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Combined Balance Sheet" sheetId="2" r:id="rId5"/>
    <sheet state="visible" name="Balance Sheet" sheetId="3" r:id="rId6"/>
    <sheet state="hidden" name="ACPL Calculations - 1.0" sheetId="4" r:id="rId7"/>
    <sheet state="hidden" name="ACPL Calculations - 2.0" sheetId="5" r:id="rId8"/>
    <sheet state="hidden" name="Old Balance Sheet" sheetId="6" r:id="rId9"/>
    <sheet state="hidden" name="Old Combined Balance Sheet" sheetId="7" r:id="rId10"/>
    <sheet state="hidden" name="Balance Sheet - FGI Insurance" sheetId="8" r:id="rId11"/>
    <sheet state="visible" name="Balance Sheet - FGI Insurance -" sheetId="9" r:id="rId12"/>
    <sheet state="hidden" name="Data For Calculation - Insuranc" sheetId="10" r:id="rId13"/>
    <sheet state="hidden" name="Distributor List" sheetId="11" r:id="rId14"/>
    <sheet state="visible" name="Payments Log" sheetId="12" r:id="rId15"/>
  </sheets>
  <definedNames/>
  <calcPr/>
</workbook>
</file>

<file path=xl/sharedStrings.xml><?xml version="1.0" encoding="utf-8"?>
<sst xmlns="http://schemas.openxmlformats.org/spreadsheetml/2006/main" count="33310" uniqueCount="4558">
  <si>
    <t>Dealer ID / Sheet ID</t>
  </si>
  <si>
    <t>Dealer Name</t>
  </si>
  <si>
    <t>Folder ID</t>
  </si>
  <si>
    <t>Folder Name</t>
  </si>
  <si>
    <t>Policies Alloted</t>
  </si>
  <si>
    <t>Active</t>
  </si>
  <si>
    <t>Dealer Code</t>
  </si>
  <si>
    <t>PA Policies List</t>
  </si>
  <si>
    <t>PA Policies PDF</t>
  </si>
  <si>
    <t>Dealer Email</t>
  </si>
  <si>
    <t>Dealer Mobile</t>
  </si>
  <si>
    <t>Created At</t>
  </si>
  <si>
    <t>Updated At</t>
  </si>
  <si>
    <t>Master Dealer</t>
  </si>
  <si>
    <t>Master Dealer ID</t>
  </si>
  <si>
    <t>Dealer Type</t>
  </si>
  <si>
    <t>Company</t>
  </si>
  <si>
    <t>Address</t>
  </si>
  <si>
    <t>City</t>
  </si>
  <si>
    <t>State</t>
  </si>
  <si>
    <t>Dealership Owner Name</t>
  </si>
  <si>
    <t>Dealership Owner Email</t>
  </si>
  <si>
    <t>Dealership Owner Mobile</t>
  </si>
  <si>
    <t>GM Name</t>
  </si>
  <si>
    <t>GM Email</t>
  </si>
  <si>
    <t>GM Mobile</t>
  </si>
  <si>
    <t>Accounts Name</t>
  </si>
  <si>
    <t>Accounts Email</t>
  </si>
  <si>
    <t>Accounts Mobile</t>
  </si>
  <si>
    <t>Executive Name</t>
  </si>
  <si>
    <t>Executive Email</t>
  </si>
  <si>
    <t>Executive Mobile</t>
  </si>
  <si>
    <t>Firm GSTIN</t>
  </si>
  <si>
    <t>Firm PAN</t>
  </si>
  <si>
    <t>Firm Account Holder Name</t>
  </si>
  <si>
    <t>Firm Account Number</t>
  </si>
  <si>
    <t>Firm Bank Name</t>
  </si>
  <si>
    <t>Firm IFSC</t>
  </si>
  <si>
    <t>Payout GSTIN</t>
  </si>
  <si>
    <t>Payout PAN</t>
  </si>
  <si>
    <t>Payout Aadhaar</t>
  </si>
  <si>
    <t>Payout Account Holder Name</t>
  </si>
  <si>
    <t>Payout Account Number</t>
  </si>
  <si>
    <t>Payout Bank Name</t>
  </si>
  <si>
    <t>Payout IFSC</t>
  </si>
  <si>
    <t>Dealer Documents Folder</t>
  </si>
  <si>
    <t>Sales Executive</t>
  </si>
  <si>
    <t>Distributor ID</t>
  </si>
  <si>
    <t>Distributor Name</t>
  </si>
  <si>
    <t>Insurance Policies Folder ID</t>
  </si>
  <si>
    <t>Insurance Policies Sheet ID</t>
  </si>
  <si>
    <t>Allow Negative Balance for ACPL</t>
  </si>
  <si>
    <t>Allow Negative Balance for Insurance</t>
  </si>
  <si>
    <t>Allow Insurance</t>
  </si>
  <si>
    <t>Credit Limit</t>
  </si>
  <si>
    <t>1ClXh28BQwwGN7Q42xt0Dc8b_R_3jweBItLcbwVq3Rj0</t>
  </si>
  <si>
    <t>MPS</t>
  </si>
  <si>
    <t>1P71zdY471DTvNbfkOfZyi4xEXPPz0Lc-</t>
  </si>
  <si>
    <t>yes</t>
  </si>
  <si>
    <t>ACPL00001</t>
  </si>
  <si>
    <t>https://docs.google.com/spreadsheets/d/1ClXh28BQwwGN7Q42xt0Dc8b_R_3jweBItLcbwVq3Rj0/edit#gid=0</t>
  </si>
  <si>
    <t>https://drive.google.com/drive/folders/1P71zdY471DTvNbfkOfZyi4xEXPPz0Lc-</t>
  </si>
  <si>
    <t>madhav@aegiscovenant.com</t>
  </si>
  <si>
    <t>31/08/2020 21:16</t>
  </si>
  <si>
    <t>Dealer</t>
  </si>
  <si>
    <t>Hero</t>
  </si>
  <si>
    <t>NA</t>
  </si>
  <si>
    <t>Gurgaon</t>
  </si>
  <si>
    <t>Haryana</t>
  </si>
  <si>
    <t>Madhav</t>
  </si>
  <si>
    <t>1LivQ-_7oRqEaSHXoPnPsUvr90GqErJc6</t>
  </si>
  <si>
    <t>1iKzfrKBU2ukY0uMLrlhX8GaIqlU-J8O1fp3J9YWVtj8</t>
  </si>
  <si>
    <t>Yes</t>
  </si>
  <si>
    <t>1ksPRehLH7gfgZpnXgiBGZpTtFA-KHaKr32rTQGuz3WY</t>
  </si>
  <si>
    <t>Globe Agencies</t>
  </si>
  <si>
    <t>1I9PM0L-EruR-hcdJxAjrLE1_N9RvhCFB</t>
  </si>
  <si>
    <t>no</t>
  </si>
  <si>
    <t>ACPL00002</t>
  </si>
  <si>
    <t>https://docs.google.com/spreadsheets/d/1ksPRehLH7gfgZpnXgiBGZpTtFA-KHaKr32rTQGuz3WY/edit#gid=0</t>
  </si>
  <si>
    <t>https://drive.google.com/drive/folders/1I9PM0L-EruR-hcdJxAjrLE1_N9RvhCFB</t>
  </si>
  <si>
    <t>globeghaziabad@yahoo.co.in</t>
  </si>
  <si>
    <t>31/08/2020 22:14</t>
  </si>
  <si>
    <t>Ghaziabad</t>
  </si>
  <si>
    <t>Uttar Pradesh</t>
  </si>
  <si>
    <t>https://drive.google.com/drive/folders/1urB9B6sFv8sA8Jfom8g9OTgf1lU2AVTK</t>
  </si>
  <si>
    <t>ACPL</t>
  </si>
  <si>
    <t>No</t>
  </si>
  <si>
    <t>184Y3L-ZLT7vcLiFDItIcLa-18phpzEbgBCBDgt_LGCQ</t>
  </si>
  <si>
    <t>Jain Motorcycle Company</t>
  </si>
  <si>
    <t>1QMpAd5PD_2rlPwqO3tjPR6bXcLVxUf7H</t>
  </si>
  <si>
    <t>ACPL00003</t>
  </si>
  <si>
    <t>https://docs.google.com/spreadsheets/d/184Y3L-ZLT7vcLiFDItIcLa-18phpzEbgBCBDgt_LGCQ/edit#gid=0</t>
  </si>
  <si>
    <t>https://drive.google.com/drive/folders/1QMpAd5PD_2rlPwqO3tjPR6bXcLVxUf7H</t>
  </si>
  <si>
    <t>jainmotorcycle.billing@gmail.com</t>
  </si>
  <si>
    <t>31/08/2020 22:27</t>
  </si>
  <si>
    <t>Mathura</t>
  </si>
  <si>
    <t>https://drive.google.com/drive/folders/1NPpJZBs0xhb3giK8-apMKEAdss4piFGk</t>
  </si>
  <si>
    <t>1NdxdE379VcEgyTXyFtYxSA9RX1kAZOR0rPt76NDuLUw</t>
  </si>
  <si>
    <t>Solitaire Automotive</t>
  </si>
  <si>
    <t>10GAfpW9tHYuuEC8gEw1zIuGL9Ux-2TMP</t>
  </si>
  <si>
    <t>ACPL00004</t>
  </si>
  <si>
    <t>https://docs.google.com/spreadsheets/d/1NdxdE379VcEgyTXyFtYxSA9RX1kAZOR0rPt76NDuLUw/edit#gid=0</t>
  </si>
  <si>
    <t>https://drive.google.com/drive/folders/10GAfpW9tHYuuEC8gEw1zIuGL9Ux-2TMP</t>
  </si>
  <si>
    <t>sales@solitaireautomotive.com</t>
  </si>
  <si>
    <t>Royal Enfield</t>
  </si>
  <si>
    <t>New Delhi</t>
  </si>
  <si>
    <t>Delhi</t>
  </si>
  <si>
    <t>https://drive.google.com/drive/folders/1dN5z2TvUuAW5fR2R8Oln19l6Xey6kLYW</t>
  </si>
  <si>
    <t>1gG6109tt997RZ0RZOh_BNdEtAIOwUW8ggEowedu-6Ck</t>
  </si>
  <si>
    <t>Asco Motors</t>
  </si>
  <si>
    <t>1SLeoM8V8lqB7AbcwpZIFkFxIxsUZyNbq</t>
  </si>
  <si>
    <t>ACPL00005</t>
  </si>
  <si>
    <t>https://docs.google.com/spreadsheets/d/1gG6109tt997RZ0RZOh_BNdEtAIOwUW8ggEowedu-6Ck/edit#gid=0</t>
  </si>
  <si>
    <t>https://drive.google.com/drive/folders/1SLeoM8V8lqB7AbcwpZIFkFxIxsUZyNbq</t>
  </si>
  <si>
    <t>ascomotors0@gmail.com</t>
  </si>
  <si>
    <t>https://drive.google.com/drive/folders/13RVo-DmL0sOEfvRaGOipwXjJdQSx4pUq</t>
  </si>
  <si>
    <t>1944RLX7T1M23YXRXYoMnJ6nD_bKLldQXRpFRA0rDLvg</t>
  </si>
  <si>
    <t>Vikas Autowheels</t>
  </si>
  <si>
    <t>1YuhiNU5R31TUFBGJpN3acdPdhZcz9vzp</t>
  </si>
  <si>
    <t>ACPL00006</t>
  </si>
  <si>
    <t>https://docs.google.com/spreadsheets/d/1944RLX7T1M23YXRXYoMnJ6nD_bKLldQXRpFRA0rDLvg/edit#gid=0</t>
  </si>
  <si>
    <t>https://drive.google.com/drive/folders/1YuhiNU5R31TUFBGJpN3acdPdhZcz9vzp</t>
  </si>
  <si>
    <t>Insurancevaw@gmail.com</t>
  </si>
  <si>
    <t>Aligarh</t>
  </si>
  <si>
    <t>https://drive.google.com/drive/folders/1C9pL2MAWOMizOneLino5h2ib1M2F2dCK</t>
  </si>
  <si>
    <t>150xD2ZWlv_NqqijpFlWWgIoGhpbdGM3zmaQdQAd1q5M</t>
  </si>
  <si>
    <t>Singla Automobiles (Main Branch)</t>
  </si>
  <si>
    <t>12By0jRbWQQGoHf1M0qMVq3rhuqo9ta3G</t>
  </si>
  <si>
    <t>ACPL00007</t>
  </si>
  <si>
    <t>https://docs.google.com/spreadsheets/d/150xD2ZWlv_NqqijpFlWWgIoGhpbdGM3zmaQdQAd1q5M/edit#gid=0</t>
  </si>
  <si>
    <t>https://drive.google.com/drive/folders/12By0jRbWQQGoHf1M0qMVq3rhuqo9ta3G</t>
  </si>
  <si>
    <t>Singlaautomobilespalam@gmail.com</t>
  </si>
  <si>
    <t>https://drive.google.com/drive/folders/1rLKIDRcCPJLJ1jU2nacUnXKhkBWMNngt</t>
  </si>
  <si>
    <t>1JEyd-aRYI6hUlGXDhzncDpHyPgPLQOL_</t>
  </si>
  <si>
    <t>1BmSBifh4DgYGRWRZJbGv6uT4uUUdnPMnLcZYcWa8i2s</t>
  </si>
  <si>
    <t>1MWQVORKrBhvtNepdNE6EH-DkM2hXYvqfa0X-kEKcBAI</t>
  </si>
  <si>
    <t>Singla Automobiles (Rajapuri)</t>
  </si>
  <si>
    <t>134sFo6G_COFJ1oMbLYLmvvtj8yRmzw_b</t>
  </si>
  <si>
    <t>ACPL00008</t>
  </si>
  <si>
    <t>https://docs.google.com/spreadsheets/d/1MWQVORKrBhvtNepdNE6EH-DkM2hXYvqfa0X-kEKcBAI/edit#gid=0</t>
  </si>
  <si>
    <t>https://drive.google.com/drive/folders/134sFo6G_COFJ1oMbLYLmvvtj8yRmzw_b</t>
  </si>
  <si>
    <t>singlaautomobilesrajapuri@gmail.com</t>
  </si>
  <si>
    <t>Sub Dealer</t>
  </si>
  <si>
    <t>1K2kmTdQ29RE0odqH86t0j8wUvDVWe7UFRs_xfvl5r94</t>
  </si>
  <si>
    <t>Singla Automobiles (C1)</t>
  </si>
  <si>
    <t>1qBZEDkoOESfVS1xbkDJORuXD6InfPfic</t>
  </si>
  <si>
    <t>ACPL00009</t>
  </si>
  <si>
    <t>https://docs.google.com/spreadsheets/d/1K2kmTdQ29RE0odqH86t0j8wUvDVWe7UFRs_xfvl5r94/edit#gid=0</t>
  </si>
  <si>
    <t>https://drive.google.com/drive/folders/1qBZEDkoOESfVS1xbkDJORuXD6InfPfic</t>
  </si>
  <si>
    <t>singlaautomobilescone@gmail.com</t>
  </si>
  <si>
    <t>1z3Kb0ZM3b0cYxMw2eBE8FLNbVZCR8EGVeEjtQyPaoso</t>
  </si>
  <si>
    <t>Singla Automobiles (Samalka)</t>
  </si>
  <si>
    <t>1ToXVjPeA8QWxPxdWbhkOT59-WBhK0eRG</t>
  </si>
  <si>
    <t>ACPL00010</t>
  </si>
  <si>
    <t>https://docs.google.com/spreadsheets/d/1z3Kb0ZM3b0cYxMw2eBE8FLNbVZCR8EGVeEjtQyPaoso/edit#gid=0</t>
  </si>
  <si>
    <t>https://drive.google.com/drive/folders/1ToXVjPeA8QWxPxdWbhkOT59-WBhK0eRG</t>
  </si>
  <si>
    <t>singlaautomobilessamalka@gmail.com</t>
  </si>
  <si>
    <t>1hcMo_yCBmlA1T0WTeHgqUHMnzUUcjAMt7oOG7Fxhs7E</t>
  </si>
  <si>
    <t>ESS AAR Motors - Jhandewalan</t>
  </si>
  <si>
    <t>13gT-NbbIsqTwdatiuOwkaMe5G2K5V2Vb</t>
  </si>
  <si>
    <t>ACPL00012</t>
  </si>
  <si>
    <t>https://docs.google.com/spreadsheets/d/1hcMo_yCBmlA1T0WTeHgqUHMnzUUcjAMt7oOG7Fxhs7E/edit#gid=0</t>
  </si>
  <si>
    <t>https://drive.google.com/drive/folders/13gT-NbbIsqTwdatiuOwkaMe5G2K5V2Vb</t>
  </si>
  <si>
    <t>essaar.jhd@gmail.com</t>
  </si>
  <si>
    <t>https://drive.google.com/drive/folders/1Tbtti76mwd1bTLqL5ipEZGfsMGOU0ORX</t>
  </si>
  <si>
    <t>1uSmiJs1JBkFcacaTukzXG8U9ymYsNT0DhKFlj58ZKns</t>
  </si>
  <si>
    <t>ESS AAR Motors - Defence Colony</t>
  </si>
  <si>
    <t>1MxyxKuX2D8QXC6FcSobdGWIN3TGVZCAo</t>
  </si>
  <si>
    <t>ACPL00013</t>
  </si>
  <si>
    <t>https://docs.google.com/spreadsheets/d/1uSmiJs1JBkFcacaTukzXG8U9ymYsNT0DhKFlj58ZKns/edit#gid=0</t>
  </si>
  <si>
    <t>https://drive.google.com/drive/folders/1MxyxKuX2D8QXC6FcSobdGWIN3TGVZCAo</t>
  </si>
  <si>
    <t>essaar.defcol@gmail.com</t>
  </si>
  <si>
    <t>1ywp9soScACCtKNm18S8bSV9jfI4bUChDWcowZ3Kbzws</t>
  </si>
  <si>
    <t>Varshney Auto Sales - Yamaha (MPS)</t>
  </si>
  <si>
    <t>1mhd8mqwvg9dOZbAG-oW7NeWBIDWEFIiQ</t>
  </si>
  <si>
    <t>Varshney Auto Sales - Yamaha</t>
  </si>
  <si>
    <t>ACPL00014</t>
  </si>
  <si>
    <t>https://docs.google.com/spreadsheets/d/1ywp9soScACCtKNm18S8bSV9jfI4bUChDWcowZ3Kbzws/edit#gid=0</t>
  </si>
  <si>
    <t>https://drive.google.com/drive/folders/1mhd8mqwvg9dOZbAG-oW7NeWBIDWEFIiQ</t>
  </si>
  <si>
    <t>praveenyamaha442@gmail.com</t>
  </si>
  <si>
    <t>https://drive.google.com/drive/folders/1di5pZI95XVtiEk7ypNO9LGyaiQAqoy92</t>
  </si>
  <si>
    <t>1ejtSq2pJ5r5wu-kZaMFvJrFblntdYFCvNJnKtYjMVzo</t>
  </si>
  <si>
    <t>Uppal Motors</t>
  </si>
  <si>
    <t>1fEHqyA7pSGD7-WlmamlbiMcNECVFryBv</t>
  </si>
  <si>
    <t>ACPL00011</t>
  </si>
  <si>
    <t>https://docs.google.com/spreadsheets/d/1ejtSq2pJ5r5wu-kZaMFvJrFblntdYFCvNJnKtYjMVzo/edit#gid=0</t>
  </si>
  <si>
    <t>https://drive.google.com/drive/folders/1fEHqyA7pSGD7-WlmamlbiMcNECVFryBv</t>
  </si>
  <si>
    <t>salesuppalmotors@gmail.com</t>
  </si>
  <si>
    <t>Gautam Buddh Nagar</t>
  </si>
  <si>
    <t>https://drive.google.com/drive/folders/1S92N2m75rF-KKTghR3Z3e3wEFwYsI0GC</t>
  </si>
  <si>
    <t>1RYX1vfvY0jbK-8SlRPLYU11dr-HUe2ntxj5PumL7c0I</t>
  </si>
  <si>
    <t>Vidhi Trading</t>
  </si>
  <si>
    <t>1cP_iaWyGhEf__Qbo8_oUr5BggbwMo1sv</t>
  </si>
  <si>
    <t>ACPL00015</t>
  </si>
  <si>
    <t>https://docs.google.com/spreadsheets/d/1RYX1vfvY0jbK-8SlRPLYU11dr-HUe2ntxj5PumL7c0I/edit#gid=0</t>
  </si>
  <si>
    <t>https://drive.google.com/drive/folders/1cP_iaWyGhEf__Qbo8_oUr5BggbwMo1sv</t>
  </si>
  <si>
    <t>vidhitrading123@gmail.com</t>
  </si>
  <si>
    <t>Raichur</t>
  </si>
  <si>
    <t>Karnataka</t>
  </si>
  <si>
    <t>https://drive.google.com/drive/folders/1jCsY4z8Iln_bzrt4nE8cXGuFQ1eLGOFb</t>
  </si>
  <si>
    <t>1ju8_gZRiNRn30bHYva0xZCNhV81e9Nwm1ItAYdj4tiU</t>
  </si>
  <si>
    <t>JS</t>
  </si>
  <si>
    <t>1Z-q53-hYL8EdubpsIwSuFmOCQhW_9nbn</t>
  </si>
  <si>
    <t>ACPL00016</t>
  </si>
  <si>
    <t>https://docs.google.com/spreadsheets/d/1ju8_gZRiNRn30bHYva0xZCNhV81e9Nwm1ItAYdj4tiU/edit#gid=0</t>
  </si>
  <si>
    <t>https://drive.google.com/drive/folders/1Z-q53-hYL8EdubpsIwSuFmOCQhW_9nbn</t>
  </si>
  <si>
    <t>shekhar@vasubpl.com</t>
  </si>
  <si>
    <t>Bhopal</t>
  </si>
  <si>
    <t>Madhya Pradesh</t>
  </si>
  <si>
    <t>https://drive.google.com/drive/folders/1x-3TnXPf09EnzONLiCxsAwc0s7FA2gn3</t>
  </si>
  <si>
    <t>1fb4oZhqM5iGS888M6X7merPGQRxnlGglIXz2Xntr8zg</t>
  </si>
  <si>
    <t>Mongold World Hero</t>
  </si>
  <si>
    <t>1R7kKx453InW5oWVc-pP6VWAr76dL2UYL</t>
  </si>
  <si>
    <t>ACPL00017</t>
  </si>
  <si>
    <t>https://docs.google.com/spreadsheets/d/1fb4oZhqM5iGS888M6X7merPGQRxnlGglIXz2Xntr8zg/edit#gid=0</t>
  </si>
  <si>
    <t>https://drive.google.com/drive/folders/1R7kKx453InW5oWVc-pP6VWAr76dL2UYL</t>
  </si>
  <si>
    <t>mongoldworld.herohonda@gmail.com</t>
  </si>
  <si>
    <t>13/09/2020 18:41</t>
  </si>
  <si>
    <t>Khair</t>
  </si>
  <si>
    <t>https://drive.google.com/drive/folders/1dSKv5T7mk9cDHoopAAvAV-HWuxfnX6cm</t>
  </si>
  <si>
    <t>1xzNzUpRuyZzl8DSwrt-yCan_GYtxqCgVm5i_XkKZrso</t>
  </si>
  <si>
    <t>Metro Motors - Rohini</t>
  </si>
  <si>
    <t>1AzRKk45YcP5UK5OIhYMvuTyLsAWGWtwE</t>
  </si>
  <si>
    <t>ACPL00018</t>
  </si>
  <si>
    <t>https://docs.google.com/spreadsheets/d/1xzNzUpRuyZzl8DSwrt-yCan_GYtxqCgVm5i_XkKZrso/edit#gid=0</t>
  </si>
  <si>
    <t>https://drive.google.com/drive/folders/1AzRKk45YcP5UK5OIhYMvuTyLsAWGWtwE</t>
  </si>
  <si>
    <t>metroherorohini@gmail.com</t>
  </si>
  <si>
    <t>14/09/2020 16:57</t>
  </si>
  <si>
    <t>https://drive.google.com/drive/folders/1z7maZ1dMhyX8waqD5d1UbOTSOsTSHPHn</t>
  </si>
  <si>
    <t>1aig_7rzTvnQej6pxtLbGhfZNPUH2VLzHk2NHcxmPOhg</t>
  </si>
  <si>
    <t>Singla Auto Agencies (Noida)</t>
  </si>
  <si>
    <t>1Nbux6zsjCwadV5HjEjvovO0pnUdPMpti</t>
  </si>
  <si>
    <t>ACPL00019</t>
  </si>
  <si>
    <t>https://docs.google.com/spreadsheets/d/1aig_7rzTvnQej6pxtLbGhfZNPUH2VLzHk2NHcxmPOhg/edit#gid=0</t>
  </si>
  <si>
    <t>https://drive.google.com/drive/folders/1Nbux6zsjCwadV5HjEjvovO0pnUdPMpti</t>
  </si>
  <si>
    <t>Billingsinglaheronoida@gmail.com</t>
  </si>
  <si>
    <t>15/09/2020 12:54</t>
  </si>
  <si>
    <t>https://drive.google.com/drive/folders/1kOtpB3JpSGN9hRE1iH8sQc2IC0WWtNce</t>
  </si>
  <si>
    <t>1abZ8ZvL2jEsKmaZ2eyUAreS2A86hpUjR</t>
  </si>
  <si>
    <t>1vJXDN0Z0kKemyqee5iQZnlBk03qNbnkqh8v1iE3ViDM</t>
  </si>
  <si>
    <t>1Q3uII698FTgwSsGljmJBRy3Pnf7HltUwjiLdE7gTk3E</t>
  </si>
  <si>
    <t>Singla Auto Agencies (Chapraulla)</t>
  </si>
  <si>
    <t>1ACPnDHFGhg3KSAEz9Tm96XoZlbYHI70X</t>
  </si>
  <si>
    <t>autosingla0chapraulla@gmail.com</t>
  </si>
  <si>
    <t>ACPL00020</t>
  </si>
  <si>
    <t>https://docs.google.com/spreadsheets/d/1Q3uII698FTgwSsGljmJBRy3Pnf7HltUwjiLdE7gTk3E/edit#gid=0</t>
  </si>
  <si>
    <t>https://drive.google.com/drive/folders/1ACPnDHFGhg3KSAEz9Tm96XoZlbYHI70X</t>
  </si>
  <si>
    <t>15/09/2020 14:50</t>
  </si>
  <si>
    <t>1vUFSLp9ap8UTFwG791bhTrhPizHEeVuDln11hfH1j4w</t>
  </si>
  <si>
    <t>Singla Auto Agencies (Dadri)</t>
  </si>
  <si>
    <t>1NcZFwn40Wlluj_juA-CjWiX5b3Nh_oz8</t>
  </si>
  <si>
    <t>ACPL00021</t>
  </si>
  <si>
    <t>https://docs.google.com/spreadsheets/d/1vUFSLp9ap8UTFwG791bhTrhPizHEeVuDln11hfH1j4w/edit#gid=0</t>
  </si>
  <si>
    <t>https://drive.google.com/drive/folders/1NcZFwn40Wlluj_juA-CjWiX5b3Nh_oz8</t>
  </si>
  <si>
    <t>singlaherodadri94@gmail.com</t>
  </si>
  <si>
    <t>15/09/2020 15:57</t>
  </si>
  <si>
    <t>1RySEyS05cXvVcjfIhWh9Hhv1aLw7DmuiSqcsr3PfWVo</t>
  </si>
  <si>
    <t>Atmaram HERO</t>
  </si>
  <si>
    <t>1tVz2C2NFA9v7asUZP3TjCgLJeke2fcxx</t>
  </si>
  <si>
    <t>Atnaram HERO</t>
  </si>
  <si>
    <t>ACPL00022</t>
  </si>
  <si>
    <t>https://docs.google.com/spreadsheets/d/1RySEyS05cXvVcjfIhWh9Hhv1aLw7DmuiSqcsr3PfWVo/edit#gid=0</t>
  </si>
  <si>
    <t>https://drive.google.com/drive/folders/1tVz2C2NFA9v7asUZP3TjCgLJeke2fcxx</t>
  </si>
  <si>
    <t>heroatmaram@gmail.com</t>
  </si>
  <si>
    <t>16/09/2020 13:39</t>
  </si>
  <si>
    <t>Agra</t>
  </si>
  <si>
    <t>https://drive.google.com/drive/folders/1jAVXzHcD2iRtXEAI52HjHFQQ2QpEi70c</t>
  </si>
  <si>
    <t>1mkGLSaVL5-IAXKq9KqXFgJH64Li9oMA9V0u_seCn1jg</t>
  </si>
  <si>
    <t>Maharaja Autoworld</t>
  </si>
  <si>
    <t>17A7IbKMCZo7fcsKgUt-5dtvZP-6JB3S8</t>
  </si>
  <si>
    <t>ACPL00023</t>
  </si>
  <si>
    <t>https://docs.google.com/spreadsheets/d/1mkGLSaVL5-IAXKq9KqXFgJH64Li9oMA9V0u_seCn1jg/edit#gid=0</t>
  </si>
  <si>
    <t>https://drive.google.com/drive/folders/17A7IbKMCZo7fcsKgUt-5dtvZP-6JB3S8</t>
  </si>
  <si>
    <t>maharajamoto@gmail.com</t>
  </si>
  <si>
    <t>16/09/2020 14:58</t>
  </si>
  <si>
    <t>Hathras</t>
  </si>
  <si>
    <t>https://drive.google.com/drive/folders/1ndvTAh0yro1WghsSZ5PQ4YW_Xd2JwJog</t>
  </si>
  <si>
    <t>1zcLyE9iYZSiWbBeptOlHKDUHdbuB0nnxanzAjCJdWSI</t>
  </si>
  <si>
    <t>G.S.TVS</t>
  </si>
  <si>
    <t>1WTq2uGfe9YhdWaBocUujfFHjlr3jj3CV</t>
  </si>
  <si>
    <t>ACPL00024</t>
  </si>
  <si>
    <t>https://docs.google.com/spreadsheets/d/1zcLyE9iYZSiWbBeptOlHKDUHdbuB0nnxanzAjCJdWSI/edit#gid=0</t>
  </si>
  <si>
    <t>https://drive.google.com/drive/folders/1WTq2uGfe9YhdWaBocUujfFHjlr3jj3CV</t>
  </si>
  <si>
    <t>gstvs.care@gmail.com</t>
  </si>
  <si>
    <t>18/09/2020 15:54</t>
  </si>
  <si>
    <t>TVS</t>
  </si>
  <si>
    <t>https://drive.google.com/drive/folders/1hec0I55cqzc5kGBXl7WRmmnYN1sS0drg</t>
  </si>
  <si>
    <t>1LnxzSZR-Hn1GFJEM91CqSDi8yQ1-11OqyVT04QUkFAM</t>
  </si>
  <si>
    <t>Shri Durga Motors</t>
  </si>
  <si>
    <t>1ffe0sw45FFOfbu0fYjdqXQoeGZNfvxKT</t>
  </si>
  <si>
    <t>ACPL00025</t>
  </si>
  <si>
    <t>https://docs.google.com/spreadsheets/d/1LnxzSZR-Hn1GFJEM91CqSDi8yQ1-11OqyVT04QUkFAM/edit#gid=0</t>
  </si>
  <si>
    <t>https://drive.google.com/drive/folders/1ffe0sw45FFOfbu0fYjdqXQoeGZNfvxKT</t>
  </si>
  <si>
    <t>sdmins999@gmail.com</t>
  </si>
  <si>
    <t>22/09/2020 16:53</t>
  </si>
  <si>
    <t>Bulandshahr</t>
  </si>
  <si>
    <t>https://drive.google.com/drive/folders/1XmAAMGrdxkiZ6J14ycc7ozdan2ocG_cD</t>
  </si>
  <si>
    <t>1ytBGcO8tIze81xKkAa9lWDcflthsPL6SuADAXbhmuwA</t>
  </si>
  <si>
    <t>Brij Biwheelers</t>
  </si>
  <si>
    <t>1dH_7okuuK-1bVoJ5Ky77KgzcTaBlOiYf</t>
  </si>
  <si>
    <t>ACPL00026</t>
  </si>
  <si>
    <t>https://docs.google.com/spreadsheets/d/1ytBGcO8tIze81xKkAa9lWDcflthsPL6SuADAXbhmuwA/edit#gid=0</t>
  </si>
  <si>
    <t>https://drive.google.com/drive/folders/1dH_7okuuK-1bVoJ5Ky77KgzcTaBlOiYf</t>
  </si>
  <si>
    <t>brijheromathura@gmail.com</t>
  </si>
  <si>
    <t>23/09/2020 13:19</t>
  </si>
  <si>
    <t>https://drive.google.com/drive/folders/17S9aOrI9e1SwOcJfruwE3_xNKYruvgaq</t>
  </si>
  <si>
    <t>1Yfv0ZT_aQDLFHljdKtMo2aojtvVSEhmBaoVtpPdjPPo</t>
  </si>
  <si>
    <t>Globe Agencies - Hapur</t>
  </si>
  <si>
    <t>1V7nR_NOlxUiLrIEz6t01JWVGqhui3_To</t>
  </si>
  <si>
    <t>ACPL00029</t>
  </si>
  <si>
    <t>https://docs.google.com/spreadsheets/d/1Yfv0ZT_aQDLFHljdKtMo2aojtvVSEhmBaoVtpPdjPPo/edit#gid=0</t>
  </si>
  <si>
    <t>https://drive.google.com/drive/folders/1V7nR_NOlxUiLrIEz6t01JWVGqhui3_To</t>
  </si>
  <si>
    <t>globeherohapur@gmail.com</t>
  </si>
  <si>
    <t>24/09/2020 18:55</t>
  </si>
  <si>
    <t>Hapur</t>
  </si>
  <si>
    <t>1sJ2STkoqQ3nTzfRPt0AHHPB6KjkvtyOHIVnE3dDR6mk</t>
  </si>
  <si>
    <t>Shiv Motors (JMC)</t>
  </si>
  <si>
    <t>15xAV-fPdeqVN5_mTxpWPPCg_nj9c75LI</t>
  </si>
  <si>
    <t>Shiv Motors</t>
  </si>
  <si>
    <t>ACPL00030</t>
  </si>
  <si>
    <t>https://docs.google.com/spreadsheets/d/1sJ2STkoqQ3nTzfRPt0AHHPB6KjkvtyOHIVnE3dDR6mk/edit#gid=0</t>
  </si>
  <si>
    <t>https://drive.google.com/drive/folders/15xAV-fPdeqVN5_mTxpWPPCg_nj9c75LI</t>
  </si>
  <si>
    <t>shivmotors.2018@gmail.com</t>
  </si>
  <si>
    <t>24/09/2020 20:06</t>
  </si>
  <si>
    <t>1WH65I6cboV1MjKQhx3zM2QiEmuHtQjnKUssDiU-VP7k</t>
  </si>
  <si>
    <t>Upadhayay Motors (JMC)</t>
  </si>
  <si>
    <t>1pCIi1O4-kVmyA98h_RCyBvONU6V0mKKb</t>
  </si>
  <si>
    <t>Upadhayay Motors</t>
  </si>
  <si>
    <t>ACPL00031</t>
  </si>
  <si>
    <t>https://docs.google.com/spreadsheets/d/1WH65I6cboV1MjKQhx3zM2QiEmuHtQjnKUssDiU-VP7k/edit#gid=0</t>
  </si>
  <si>
    <t>https://drive.google.com/drive/folders/1pCIi1O4-kVmyA98h_RCyBvONU6V0mKKb</t>
  </si>
  <si>
    <t>upadhyaymotor@gmail.com</t>
  </si>
  <si>
    <t>24/09/2020 20:07</t>
  </si>
  <si>
    <t>1ipiizJhZiRSwa-HGPYAXoFXM18mwPYV5FEGfOTvybvk</t>
  </si>
  <si>
    <t>Mahendra Motors (JMC)</t>
  </si>
  <si>
    <t>1a-jgvi_OxsqU9hHQuhNCDAnqGdBpcJjr</t>
  </si>
  <si>
    <t>Mahendra Motors</t>
  </si>
  <si>
    <t>ACPL00032</t>
  </si>
  <si>
    <t>https://docs.google.com/spreadsheets/d/1ipiizJhZiRSwa-HGPYAXoFXM18mwPYV5FEGfOTvybvk/edit#gid=0</t>
  </si>
  <si>
    <t>https://drive.google.com/drive/folders/1a-jgvi_OxsqU9hHQuhNCDAnqGdBpcJjr</t>
  </si>
  <si>
    <t>mahendramotors2015@gmail.com</t>
  </si>
  <si>
    <t>24/09/2020 20:09</t>
  </si>
  <si>
    <t>19bXssdH9Vj9S4-hnqEvDKXxBYkCZb2YideGN1EcSGyk</t>
  </si>
  <si>
    <t>Radha Motors (JMC)</t>
  </si>
  <si>
    <t>1HwCZzmhM0imq0qdee4Y_8FtM90nbNbU5</t>
  </si>
  <si>
    <t>Radha Motors</t>
  </si>
  <si>
    <t>ACPL00033</t>
  </si>
  <si>
    <t>https://docs.google.com/spreadsheets/d/19bXssdH9Vj9S4-hnqEvDKXxBYkCZb2YideGN1EcSGyk/edit#gid=0</t>
  </si>
  <si>
    <t>https://drive.google.com/drive/folders/1HwCZzmhM0imq0qdee4Y_8FtM90nbNbU5</t>
  </si>
  <si>
    <t>radhamotorssales@gmail.com</t>
  </si>
  <si>
    <t>24/09/2020 20:14</t>
  </si>
  <si>
    <t>1EKUX2g7taP0J1K7X0BVbZcttQIgEqnHtNldFX8ZYPLQ</t>
  </si>
  <si>
    <t>Agrawal Auto Sales (JMC)</t>
  </si>
  <si>
    <t>1SFMdlZ2nPw3qbPP8YByVSWRm_SmFKGpg</t>
  </si>
  <si>
    <t>Agrawal Auto Sales</t>
  </si>
  <si>
    <t>ACPL00034</t>
  </si>
  <si>
    <t>https://docs.google.com/spreadsheets/d/1EKUX2g7taP0J1K7X0BVbZcttQIgEqnHtNldFX8ZYPLQ/edit#gid=0</t>
  </si>
  <si>
    <t>https://drive.google.com/drive/folders/1SFMdlZ2nPw3qbPP8YByVSWRm_SmFKGpg</t>
  </si>
  <si>
    <t>agrawalautosales@gmail.com</t>
  </si>
  <si>
    <t>24/09/2020 20:15</t>
  </si>
  <si>
    <t>1HtysfhpGiYy4pDXvahWxBmR24wGrNyOL6Yy9V9oDnB4</t>
  </si>
  <si>
    <t>SB Khandelwal Motors (JMC)</t>
  </si>
  <si>
    <t>1khPQuXw11j78k-QzymPgip-4CWkC476j</t>
  </si>
  <si>
    <t>SB Khandelwal Motors</t>
  </si>
  <si>
    <t>ACPL00035</t>
  </si>
  <si>
    <t>https://docs.google.com/spreadsheets/d/1HtysfhpGiYy4pDXvahWxBmR24wGrNyOL6Yy9V9oDnB4/edit#gid=0</t>
  </si>
  <si>
    <t>https://drive.google.com/drive/folders/1khPQuXw11j78k-QzymPgip-4CWkC476j</t>
  </si>
  <si>
    <t>sbkhandelwal8@gmail.com</t>
  </si>
  <si>
    <t>25/09/2020 12:01</t>
  </si>
  <si>
    <t>1eZlt3K2rssS_3hpp5DKow70BJWa_wksndc0ag7yiUs4</t>
  </si>
  <si>
    <t>SK financial services (MPS)</t>
  </si>
  <si>
    <t>1PPWBI5Z64XVz-ubRTNSMmh-sRHdckZjA</t>
  </si>
  <si>
    <t>SK financial services</t>
  </si>
  <si>
    <t>ACPL00036</t>
  </si>
  <si>
    <t>https://docs.google.com/spreadsheets/d/1eZlt3K2rssS_3hpp5DKow70BJWa_wksndc0ag7yiUs4/edit#gid=0</t>
  </si>
  <si>
    <t>https://drive.google.com/drive/folders/1PPWBI5Z64XVz-ubRTNSMmh-sRHdckZjA</t>
  </si>
  <si>
    <t>ashishsharma9654530523@gmail.com</t>
  </si>
  <si>
    <t>26/09/2020 14:27</t>
  </si>
  <si>
    <t>Noida</t>
  </si>
  <si>
    <t>https://drive.google.com/drive/folders/1DddBNqOF9RPEakRdxKO44Ierl4cDbhRv</t>
  </si>
  <si>
    <t>1AjVyIHPgPw3jscNmkTH1qzR2RokK5FZaJLjeNfOiYAA</t>
  </si>
  <si>
    <t>AAA</t>
  </si>
  <si>
    <t>1nGjDE6HV_QYAFPEM4pTZGLIQrMaW2HYS</t>
  </si>
  <si>
    <t>Aligarh Auto</t>
  </si>
  <si>
    <t>ACPL00037</t>
  </si>
  <si>
    <t>https://docs.google.com/spreadsheets/d/1AjVyIHPgPw3jscNmkTH1qzR2RokK5FZaJLjeNfOiYAA/edit#gid=0</t>
  </si>
  <si>
    <t>https://drive.google.com/drive/folders/1nGjDE6HV_QYAFPEM4pTZGLIQrMaW2HYS</t>
  </si>
  <si>
    <t>aligarhautorsa@gmail.com</t>
  </si>
  <si>
    <t>27/09/2020 14:10</t>
  </si>
  <si>
    <t>https://drive.google.com/drive/folders/1RauXyGjENPBB0YVDs_8u7YnrJKlDO2Wp</t>
  </si>
  <si>
    <t>1txqT-r-3rrz_JL6hfpj1nayS9LkA6F-X3hyZ3XTUiO8</t>
  </si>
  <si>
    <t>FRIENDS AUTOMOBILES (BBW)</t>
  </si>
  <si>
    <t>14cDiXvXX-tPXEra3Z_CPxJTuI2JNAXS6</t>
  </si>
  <si>
    <t>FRIENDS AUTOMOBILES</t>
  </si>
  <si>
    <t>ACPL00038</t>
  </si>
  <si>
    <t>https://docs.google.com/spreadsheets/d/1txqT-r-3rrz_JL6hfpj1nayS9LkA6F-X3hyZ3XTUiO8/edit#gid=0</t>
  </si>
  <si>
    <t>https://drive.google.com/drive/folders/14cDiXvXX-tPXEra3Z_CPxJTuI2JNAXS6</t>
  </si>
  <si>
    <t>heroaaho@gmail.com</t>
  </si>
  <si>
    <t>30/09/2020 15:20</t>
  </si>
  <si>
    <t>16TwAyLbRSQfXo00SFqwkhgj4ImKvtFd_ORftHCn3L9g</t>
  </si>
  <si>
    <t>GHANSHYAM MOTORS (BBW)</t>
  </si>
  <si>
    <t>1xBfR231shJFJr3X52xhxZZ3vT2mMfUru</t>
  </si>
  <si>
    <t>GHANSHYAM MOTORS</t>
  </si>
  <si>
    <t>ACPL00039</t>
  </si>
  <si>
    <t>https://docs.google.com/spreadsheets/d/16TwAyLbRSQfXo00SFqwkhgj4ImKvtFd_ORftHCn3L9g/edit#gid=0</t>
  </si>
  <si>
    <t>https://drive.google.com/drive/folders/1xBfR231shJFJr3X52xhxZZ3vT2mMfUru</t>
  </si>
  <si>
    <t>heroghanshyam@gmail.com</t>
  </si>
  <si>
    <t>30/09/2020 15:21</t>
  </si>
  <si>
    <t>1Qutstkt7wbcw29p7VfI97VmiQ6zXlElNsNewjyPJF-E</t>
  </si>
  <si>
    <t>SHRI BADAM AUTO AGENCY (BBW)</t>
  </si>
  <si>
    <t>182GDn8cCXbfJitz-TcWfRqE9ASylqTug</t>
  </si>
  <si>
    <t>SHRI BADAM AUTO AGENCY</t>
  </si>
  <si>
    <t>ACPL00040</t>
  </si>
  <si>
    <t>https://docs.google.com/spreadsheets/d/1Qutstkt7wbcw29p7VfI97VmiQ6zXlElNsNewjyPJF-E/edit#gid=0</t>
  </si>
  <si>
    <t>https://drive.google.com/drive/folders/182GDn8cCXbfJitz-TcWfRqE9ASylqTug</t>
  </si>
  <si>
    <t>shribadamautoagency1@gmail.com</t>
  </si>
  <si>
    <t>30/09/2020 15:22</t>
  </si>
  <si>
    <t>1g3nFfjwGQ3RXkt5LgZuD7QgSRAiUn3W90lh8RCiEGqg</t>
  </si>
  <si>
    <t>LV MOTORS (BBW)</t>
  </si>
  <si>
    <t>1CSlXO8gOUGsxz3ngViN4_QeRK0f7E41p</t>
  </si>
  <si>
    <t>LV MOTORS</t>
  </si>
  <si>
    <t>ACPL00041</t>
  </si>
  <si>
    <t>https://docs.google.com/spreadsheets/d/1g3nFfjwGQ3RXkt5LgZuD7QgSRAiUn3W90lh8RCiEGqg/edit#gid=0</t>
  </si>
  <si>
    <t>https://drive.google.com/drive/folders/1CSlXO8gOUGsxz3ngViN4_QeRK0f7E41p</t>
  </si>
  <si>
    <t>SALES.LVMOTORS19@gmail.com</t>
  </si>
  <si>
    <t>30/09/2020 15:23</t>
  </si>
  <si>
    <t>1mh6Ew8Xo6CDWTwSaZz97uDQi3oGwOh-iBN44riWn7aM</t>
  </si>
  <si>
    <t>JAMUNA MOTORS (BBW)</t>
  </si>
  <si>
    <t>14UKwtwNqi2euLmnmNyy-9ZtYmAK4zIVl</t>
  </si>
  <si>
    <t>JAMUNA MOTORS</t>
  </si>
  <si>
    <t>ACPL00042</t>
  </si>
  <si>
    <t>https://docs.google.com/spreadsheets/d/1mh6Ew8Xo6CDWTwSaZz97uDQi3oGwOh-iBN44riWn7aM/edit#gid=0</t>
  </si>
  <si>
    <t>https://drive.google.com/drive/folders/14UKwtwNqi2euLmnmNyy-9ZtYmAK4zIVl</t>
  </si>
  <si>
    <t>herojamunamotor1983@gmail.com</t>
  </si>
  <si>
    <t>30/09/2020 15:24</t>
  </si>
  <si>
    <t>1HvellLIIt0McYf2irXwhP04Oc9HTCBdhkpvifuxyx8g</t>
  </si>
  <si>
    <t>KULDEEP AUTO ENTERPRISES (BBW)</t>
  </si>
  <si>
    <t>1f-0W3r9q4U5CzyQCt5y7u2BGiw78sBK7</t>
  </si>
  <si>
    <t>KULDEEP AUTO ENTERPRISES</t>
  </si>
  <si>
    <t>ACPL00043</t>
  </si>
  <si>
    <t>https://docs.google.com/spreadsheets/d/1HvellLIIt0McYf2irXwhP04Oc9HTCBdhkpvifuxyx8g/edit#gid=0</t>
  </si>
  <si>
    <t>https://drive.google.com/drive/folders/1f-0W3r9q4U5CzyQCt5y7u2BGiw78sBK7</t>
  </si>
  <si>
    <t>kuldeep20516@gmail.com</t>
  </si>
  <si>
    <t>30/09/2020 15:25</t>
  </si>
  <si>
    <t>10y5zpV0ufroZh5B-Qo1GwJlSJsEyRLymOo-gShU03gk</t>
  </si>
  <si>
    <t>JAJAMPATTI (BBW)</t>
  </si>
  <si>
    <t>1qctl3sdBHjdKRrFmb_3QVJ0ot6Qtm618</t>
  </si>
  <si>
    <t>JAJAMPATTI</t>
  </si>
  <si>
    <t>ACPL00044</t>
  </si>
  <si>
    <t>https://docs.google.com/spreadsheets/d/10y5zpV0ufroZh5B-Qo1GwJlSJsEyRLymOo-gShU03gk/edit#gid=0</t>
  </si>
  <si>
    <t>https://drive.google.com/drive/folders/1qctl3sdBHjdKRrFmb_3QVJ0ot6Qtm618</t>
  </si>
  <si>
    <t>HARISHSARASWATNSUI18@gmail.com</t>
  </si>
  <si>
    <t>30/09/2020 15:28</t>
  </si>
  <si>
    <t>10OrFTKO4yhmJjB2PdJsPBFWFJQhFkWOzdv4SLQemIhs</t>
  </si>
  <si>
    <t>BRIJ HERO RENEWAL (BBW)</t>
  </si>
  <si>
    <t>1XtIwW1rkyDpNQFlh3BF7osBYfJ5XBIYX</t>
  </si>
  <si>
    <t>BRIJ HERO RENEWAL</t>
  </si>
  <si>
    <t>ACPL00045</t>
  </si>
  <si>
    <t>https://docs.google.com/spreadsheets/d/10OrFTKO4yhmJjB2PdJsPBFWFJQhFkWOzdv4SLQemIhs/edit#gid=0</t>
  </si>
  <si>
    <t>https://drive.google.com/drive/folders/1XtIwW1rkyDpNQFlh3BF7osBYfJ5XBIYX</t>
  </si>
  <si>
    <t>brijrenewalcpa@gmail.com</t>
  </si>
  <si>
    <t>30/09/2020 15:29</t>
  </si>
  <si>
    <t>1XmVYrBOLuyIm0rpXhFaYpcRQ1t4YH3PN3pmiTosn08E</t>
  </si>
  <si>
    <t>Shraman Hero - GT Karnal Road</t>
  </si>
  <si>
    <t>16vpQrLPQibv97E8uvtB6Mx5OtFNcVhdI</t>
  </si>
  <si>
    <t>ACPL00046</t>
  </si>
  <si>
    <t>https://docs.google.com/spreadsheets/d/1XmVYrBOLuyIm0rpXhFaYpcRQ1t4YH3PN3pmiTosn08E/edit#gid=0</t>
  </si>
  <si>
    <t>https://drive.google.com/drive/folders/16vpQrLPQibv97E8uvtB6Mx5OtFNcVhdI</t>
  </si>
  <si>
    <t>Shramanherogtk@gmail.com</t>
  </si>
  <si>
    <t>https://drive.google.com/drive/folders/10FHD-xOxDW6NPkHVjBLelCJO6gsJwv7H</t>
  </si>
  <si>
    <t>1fB3_i1Der5Q7LYnKZHaXgW2RCBy05f1J</t>
  </si>
  <si>
    <t>1Er-WTMZIn_WlbxAnFmM1-OejZQ5nTTBqsKf0R4tAQF0</t>
  </si>
  <si>
    <t>1qJGCYN0EdS2nWGXVYAHwXqSjiLE2C95anQkkbLONbKQ</t>
  </si>
  <si>
    <t>Shri Balaji Hero - Muzaffarnagar</t>
  </si>
  <si>
    <t>1HD1ygzyAdlhyyikwm7gYuk-AthuxP5bz</t>
  </si>
  <si>
    <t>ACPL00047</t>
  </si>
  <si>
    <t>https://docs.google.com/spreadsheets/d/1qJGCYN0EdS2nWGXVYAHwXqSjiLE2C95anQkkbLONbKQ/edit#gid=0</t>
  </si>
  <si>
    <t>https://drive.google.com/drive/folders/1HD1ygzyAdlhyyikwm7gYuk-AthuxP5bz</t>
  </si>
  <si>
    <t>Shribalajiheroaegis@gmail.com</t>
  </si>
  <si>
    <t>Muzaffarnagar</t>
  </si>
  <si>
    <t>https://drive.google.com/drive/folders/1e28OBiCn2HcIdhaZANJPkEqDdyZf-7_p</t>
  </si>
  <si>
    <t>1p3Bu4mvhlVeVMP3Ogpf0F-2KWPlAp07JNr-X652uW0U</t>
  </si>
  <si>
    <t>Kavita Motors - Bijnor</t>
  </si>
  <si>
    <t>1yKL8zueP8Cfsy90BEVvvnrXqS5sL5Vra</t>
  </si>
  <si>
    <t>ACPL00048</t>
  </si>
  <si>
    <t>https://docs.google.com/spreadsheets/d/1p3Bu4mvhlVeVMP3Ogpf0F-2KWPlAp07JNr-X652uW0U/edit#gid=0</t>
  </si>
  <si>
    <t>https://drive.google.com/drive/folders/1yKL8zueP8Cfsy90BEVvvnrXqS5sL5Vra</t>
  </si>
  <si>
    <t>bdasgoyal@gmail.com</t>
  </si>
  <si>
    <t>Bijnor</t>
  </si>
  <si>
    <t>https://drive.google.com/drive/folders/1zp-6UDYbGrD7VrK8CG-UlzBbNGaGCC4V</t>
  </si>
  <si>
    <t>14s_HeeebHqLRTUCX5FSlJ3K7aiTvnkajbPMefm6jg1M</t>
  </si>
  <si>
    <t>Bharat Auto - Kasganj</t>
  </si>
  <si>
    <t>1G6OOjy1XkR_ixM0LhORzOimrBtEG1WYM</t>
  </si>
  <si>
    <t>ACPL00049</t>
  </si>
  <si>
    <t>https://docs.google.com/spreadsheets/d/14s_HeeebHqLRTUCX5FSlJ3K7aiTvnkajbPMefm6jg1M/edit#gid=0</t>
  </si>
  <si>
    <t>https://drive.google.com/drive/folders/1G6OOjy1XkR_ixM0LhORzOimrBtEG1WYM</t>
  </si>
  <si>
    <t>Bharatauto.kasganj@gmail.com</t>
  </si>
  <si>
    <t>Kasganj</t>
  </si>
  <si>
    <t>https://drive.google.com/drive/folders/1FNfO2R5oQ0Xvbepb8Qkj9zkG_FqhQpme</t>
  </si>
  <si>
    <t>1IGdLk1wrvnQTH7dsivMQu4VKWg4A7FvDBYsKsxwLpsE</t>
  </si>
  <si>
    <t>Gupta HERO</t>
  </si>
  <si>
    <t>1ASEGaxGcM1XEVPDkMD7RnHGsRo-X_oGV</t>
  </si>
  <si>
    <t>ACPL00050</t>
  </si>
  <si>
    <t>https://docs.google.com/spreadsheets/d/1IGdLk1wrvnQTH7dsivMQu4VKWg4A7FvDBYsKsxwLpsE/edit#gid=0</t>
  </si>
  <si>
    <t>https://drive.google.com/drive/folders/1ASEGaxGcM1XEVPDkMD7RnHGsRo-X_oGV</t>
  </si>
  <si>
    <t>heroauto786.1@gmail.com</t>
  </si>
  <si>
    <t>Farrukhabad</t>
  </si>
  <si>
    <t>https://drive.google.com/drive/folders/1jyIkJ2z0LxtiVfVpb-hQtXyfqEeEKqPh</t>
  </si>
  <si>
    <t>1MBxpc-2szFmqG3B_-ha57uL3XLkYoaeI5koRIOiedfw</t>
  </si>
  <si>
    <t>OLE MATHURA (BBW)</t>
  </si>
  <si>
    <t>16za0rdU5Ki_BiiGJJIRYLa4vPb6887kb</t>
  </si>
  <si>
    <t>ACPL00051</t>
  </si>
  <si>
    <t>https://docs.google.com/spreadsheets/d/1MBxpc-2szFmqG3B_-ha57uL3XLkYoaeI5koRIOiedfw/edit#gid=0</t>
  </si>
  <si>
    <t>https://drive.google.com/drive/folders/16za0rdU5Ki_BiiGJJIRYLa4vPb6887kb</t>
  </si>
  <si>
    <t>pankajinsurance1133@gmail.com</t>
  </si>
  <si>
    <t>1QJxVLeWFwDHR5Ssq189MMPEhhDqC6Su0kxd8dVVMql0</t>
  </si>
  <si>
    <t>Sarman Lal Agrawal (JMC)</t>
  </si>
  <si>
    <t>1bjuY81sfDGhHdSCYIjs90rqTs9_Ublo3</t>
  </si>
  <si>
    <t>ACPL00052</t>
  </si>
  <si>
    <t>https://docs.google.com/spreadsheets/d/1QJxVLeWFwDHR5Ssq189MMPEhhDqC6Su0kxd8dVVMql0/edit#gid=0</t>
  </si>
  <si>
    <t>https://drive.google.com/drive/folders/1bjuY81sfDGhHdSCYIjs90rqTs9_Ublo3</t>
  </si>
  <si>
    <t>durgaauto1975@gmail.com</t>
  </si>
  <si>
    <t>1csqV0P6rAjfUqgWrDmILPq5QMP6GfGOsFVhZ25vdQsw</t>
  </si>
  <si>
    <t>Kiran TVS - Meerut</t>
  </si>
  <si>
    <t>1ss347epbmh1qRtuwW4KV9kvr_0p-sVc7</t>
  </si>
  <si>
    <t>ACPL00053</t>
  </si>
  <si>
    <t>https://docs.google.com/spreadsheets/d/1csqV0P6rAjfUqgWrDmILPq5QMP6GfGOsFVhZ25vdQsw/edit#gid=0</t>
  </si>
  <si>
    <t>https://drive.google.com/drive/folders/1ss347epbmh1qRtuwW4KV9kvr_0p-sVc7</t>
  </si>
  <si>
    <t>Ankittvs27@gmail.com</t>
  </si>
  <si>
    <t>15/10/2020 12:13</t>
  </si>
  <si>
    <t>Meerut</t>
  </si>
  <si>
    <t>https://drive.google.com/drive/folders/1Uyv8RzTJy7ahpOWR_De3Xci7wyimwtkX</t>
  </si>
  <si>
    <t>1LiAiRR9BTHdMZEU0Z7g2BJlBE_7_a2qafAw9zkJ1c8U</t>
  </si>
  <si>
    <t>Namokar Honda - Meerut</t>
  </si>
  <si>
    <t>1SetA3ria_ywA4dOSxIYofKTptRiw2Gsd</t>
  </si>
  <si>
    <t>ACPL00054</t>
  </si>
  <si>
    <t>https://docs.google.com/spreadsheets/d/1LiAiRR9BTHdMZEU0Z7g2BJlBE_7_a2qafAw9zkJ1c8U/edit#gid=0</t>
  </si>
  <si>
    <t>https://drive.google.com/drive/folders/1SetA3ria_ywA4dOSxIYofKTptRiw2Gsd</t>
  </si>
  <si>
    <t>sharmasanam667@gmail.com</t>
  </si>
  <si>
    <t>15/10/2020 18:49</t>
  </si>
  <si>
    <t>Honda</t>
  </si>
  <si>
    <t>https://drive.google.com/drive/folders/1HIWVAfhSHlrRb5IvHSBIQieLmoIww0Av</t>
  </si>
  <si>
    <t>11i_cNFE5Ehj2PGllhMsAFP46O_rn6I78xO4mvWr7hEo</t>
  </si>
  <si>
    <t>Shree Shiv Shakti Hero - Meerut</t>
  </si>
  <si>
    <t>1mbIwzS0IJLBZif-53u4uXV4uAc9VoTBT</t>
  </si>
  <si>
    <t>ACPL00055</t>
  </si>
  <si>
    <t>https://docs.google.com/spreadsheets/d/11i_cNFE5Ehj2PGllhMsAFP46O_rn6I78xO4mvWr7hEo/edit#gid=0</t>
  </si>
  <si>
    <t>https://drive.google.com/drive/folders/1mbIwzS0IJLBZif-53u4uXV4uAc9VoTBT</t>
  </si>
  <si>
    <t>insurancesssa@gmail.com</t>
  </si>
  <si>
    <t>16/10/2020 12:05</t>
  </si>
  <si>
    <t>https://drive.google.com/drive/folders/1Z0QkzeQQCdP4ksO_32I8pWMS77cKkZvY</t>
  </si>
  <si>
    <t>1mX_ZCiMgVCd3AONQ2zBbbc9wQ6Mlj2RvmkSWdpWht-8</t>
  </si>
  <si>
    <t>Krishna Hero - Bulandshahr</t>
  </si>
  <si>
    <t>1sPbHKOm5TJE9fFSPsy3ik4ycx6ST-PE9</t>
  </si>
  <si>
    <t>ACPL00056</t>
  </si>
  <si>
    <t>https://docs.google.com/spreadsheets/d/1mX_ZCiMgVCd3AONQ2zBbbc9wQ6Mlj2RvmkSWdpWht-8/edit#gid=0</t>
  </si>
  <si>
    <t>https://drive.google.com/drive/folders/1sPbHKOm5TJE9fFSPsy3ik4ycx6ST-PE9</t>
  </si>
  <si>
    <t>krishnaheropa@gmail.com</t>
  </si>
  <si>
    <t>16/10/2020 17:29</t>
  </si>
  <si>
    <t>https://drive.google.com/drive/folders/1KOcTCVWhJRPP0sZpGhjQvik516gVq6ea</t>
  </si>
  <si>
    <t>1ecmgrivVWy8bdxOJUWTrTjFZtV6_I7l8EtXiRkAOpIg</t>
  </si>
  <si>
    <t>Pradip Auto (JMC)</t>
  </si>
  <si>
    <t>10dJAGDEF-x2DN5CMFApzjlTUuyv-Sir5</t>
  </si>
  <si>
    <t>ACPL00057</t>
  </si>
  <si>
    <t>https://docs.google.com/spreadsheets/d/1ecmgrivVWy8bdxOJUWTrTjFZtV6_I7l8EtXiRkAOpIg/edit#gid=0</t>
  </si>
  <si>
    <t>https://drive.google.com/drive/folders/10dJAGDEF-x2DN5CMFApzjlTUuyv-Sir5</t>
  </si>
  <si>
    <t>pradipauto1998@gmail.com</t>
  </si>
  <si>
    <t>17/10/2020 10:20</t>
  </si>
  <si>
    <t>16aXNdb7stgyV46CI_ogqmp_5tjDYpkbvhkdKtyDUa8U</t>
  </si>
  <si>
    <t>VAW Atrauli (VAW)</t>
  </si>
  <si>
    <t>1buiv5JMkMXUiDBAVQ0RZ4wPrZUoIxHtP</t>
  </si>
  <si>
    <t>ACPL00058</t>
  </si>
  <si>
    <t>https://docs.google.com/spreadsheets/d/16aXNdb7stgyV46CI_ogqmp_5tjDYpkbvhkdKtyDUa8U/edit#gid=0</t>
  </si>
  <si>
    <t>https://drive.google.com/drive/folders/1buiv5JMkMXUiDBAVQ0RZ4wPrZUoIxHtP</t>
  </si>
  <si>
    <t>vawatrauli555@gmail.com</t>
  </si>
  <si>
    <t>17/10/2020 10:25</t>
  </si>
  <si>
    <t>1geel52z8WCTlGIS5yuTVHXXiwt6tFtcJPqsUJk3zExI</t>
  </si>
  <si>
    <t>Saanvi Hero - Dehradun</t>
  </si>
  <si>
    <t>1wTCc8DPf8Vgyk_V1V4YIJgdR9v9Dhs2C</t>
  </si>
  <si>
    <t>ACPL00059</t>
  </si>
  <si>
    <t>https://docs.google.com/spreadsheets/d/1geel52z8WCTlGIS5yuTVHXXiwt6tFtcJPqsUJk3zExI/edit#gid=0</t>
  </si>
  <si>
    <t>https://drive.google.com/drive/folders/1wTCc8DPf8Vgyk_V1V4YIJgdR9v9Dhs2C</t>
  </si>
  <si>
    <t>saanvishowroom41@gmail.com</t>
  </si>
  <si>
    <t>19/10/2020 14:51</t>
  </si>
  <si>
    <t>Dehradun</t>
  </si>
  <si>
    <t>https://drive.google.com/drive/folders/12NnAF6-1GvOpqW2INkQnguT1Wbr9A8zJ</t>
  </si>
  <si>
    <t>1ZHGDvOVAJIc2OBgE48Z8YcdJsudhxavgOBsoHLuIwlA</t>
  </si>
  <si>
    <t>AAA2</t>
  </si>
  <si>
    <t>1lryuAsEB2eNDDFlDTLAJOK7HBM2I0OvO</t>
  </si>
  <si>
    <t>ACPL00060</t>
  </si>
  <si>
    <t>https://docs.google.com/spreadsheets/d/1ZHGDvOVAJIc2OBgE48Z8YcdJsudhxavgOBsoHLuIwlA/edit#gid=0</t>
  </si>
  <si>
    <t>https://drive.google.com/drive/folders/1lryuAsEB2eNDDFlDTLAJOK7HBM2I0OvO</t>
  </si>
  <si>
    <t>matradham.rsa@gmail.com</t>
  </si>
  <si>
    <t>20/10/2020 15:30</t>
  </si>
  <si>
    <t>1U9bRcPYtMNqh59ZIlDmozxitTaIZXHOWv4l1PG1zN_U</t>
  </si>
  <si>
    <t>Shakun Motors (MAW)</t>
  </si>
  <si>
    <t>1Ul94_jpabD-oBFmY1lp6aDm9vVnEkl5-</t>
  </si>
  <si>
    <t>ACPL00061</t>
  </si>
  <si>
    <t>https://docs.google.com/spreadsheets/d/1U9bRcPYtMNqh59ZIlDmozxitTaIZXHOWv4l1PG1zN_U/edit#gid=0</t>
  </si>
  <si>
    <t>https://drive.google.com/drive/folders/1Ul94_jpabD-oBFmY1lp6aDm9vVnEkl5-</t>
  </si>
  <si>
    <t>shakunmotors2853@gmail.com</t>
  </si>
  <si>
    <t>21/10/2020 18:13</t>
  </si>
  <si>
    <t>1A6lNt4Snbf2zCmcVnV2gegTZ60jgsKSMfqe-lbk0irU</t>
  </si>
  <si>
    <t>Mahadev Automobiles (SBH)</t>
  </si>
  <si>
    <t>1r5aSV0g_VMCRUWYNG5Den2m2ubrIZwRx</t>
  </si>
  <si>
    <t>ACPL00062</t>
  </si>
  <si>
    <t>https://docs.google.com/spreadsheets/d/1A6lNt4Snbf2zCmcVnV2gegTZ60jgsKSMfqe-lbk0irU/edit#gid=0</t>
  </si>
  <si>
    <t>https://drive.google.com/drive/folders/1r5aSV0g_VMCRUWYNG5Den2m2ubrIZwRx</t>
  </si>
  <si>
    <t>mahadevdeoband23237@gmail.com</t>
  </si>
  <si>
    <t>21/10/2020 18:37</t>
  </si>
  <si>
    <t>Deoband</t>
  </si>
  <si>
    <t>1eRW_MDmJeHGFDVrDu4lhY4sLKH3AbCEJuXm_MUC1mBk</t>
  </si>
  <si>
    <t>V K Auto Center (MAW)</t>
  </si>
  <si>
    <t>1yLF_ps5RNP0WV5EjyzTmpoS4oOgQmG0T</t>
  </si>
  <si>
    <t>ACPL00063</t>
  </si>
  <si>
    <t>https://docs.google.com/spreadsheets/d/1eRW_MDmJeHGFDVrDu4lhY4sLKH3AbCEJuXm_MUC1mBk/edit#gid=0</t>
  </si>
  <si>
    <t>https://drive.google.com/drive/folders/1yLF_ps5RNP0WV5EjyzTmpoS4oOgQmG0T</t>
  </si>
  <si>
    <t>gt.vikki10788@gmail.com</t>
  </si>
  <si>
    <t>22/10/2020 11:20</t>
  </si>
  <si>
    <t>10Boa663-jOP90LwqXAfooqmBUweTsg0kbbPLy7E8GaM</t>
  </si>
  <si>
    <t>Manvik Motor - TVS Faridabad</t>
  </si>
  <si>
    <t>1iNNHcXvihILognGwLAUWmJbRDI1f_DQZ</t>
  </si>
  <si>
    <t>ACPL00064</t>
  </si>
  <si>
    <t>https://docs.google.com/spreadsheets/d/10Boa663-jOP90LwqXAfooqmBUweTsg0kbbPLy7E8GaM/edit#gid=0</t>
  </si>
  <si>
    <t>https://drive.google.com/drive/folders/1iNNHcXvihILognGwLAUWmJbRDI1f_DQZ</t>
  </si>
  <si>
    <t>manvikmotors@gmail.com</t>
  </si>
  <si>
    <t>26/10/2020 12:25</t>
  </si>
  <si>
    <t>Faridabad</t>
  </si>
  <si>
    <t>https://drive.google.com/drive/folders/1B9IsDwVLzQxG57MkUYrywgD6snOxzi8c</t>
  </si>
  <si>
    <t>1RXGf0MnZWZO90gEU-wJzAFw-CxPPIv2RLUwr1sE1N44</t>
  </si>
  <si>
    <t>Gopi Auto World - Ahemdabad</t>
  </si>
  <si>
    <t>1fkHfyX_kY_sV4K7BpM5cViq3cFMP-4ZQ</t>
  </si>
  <si>
    <t>ACPL00065</t>
  </si>
  <si>
    <t>https://docs.google.com/spreadsheets/d/1RXGf0MnZWZO90gEU-wJzAFw-CxPPIv2RLUwr1sE1N44/edit#gid=0</t>
  </si>
  <si>
    <t>https://drive.google.com/drive/folders/1fkHfyX_kY_sV4K7BpM5cViq3cFMP-4ZQ</t>
  </si>
  <si>
    <t>gopiautoworld@gmail.com</t>
  </si>
  <si>
    <t>28/10/2020 14:16</t>
  </si>
  <si>
    <t>Ahemdabad</t>
  </si>
  <si>
    <t>Gujarat</t>
  </si>
  <si>
    <t>https://drive.google.com/drive/folders/1zhKN7NEw5RmI_ZiwV_BuXLN0jvtJvPBH</t>
  </si>
  <si>
    <t>1o-kgAGYwJQGPJwLj0hYgwKABboMbPKDLAWI9iRmz2LU</t>
  </si>
  <si>
    <t>Dhruv Hero - Ambala</t>
  </si>
  <si>
    <t>1rK4Ytrz7_9IByepR8AMfbO3rl45xL3tR</t>
  </si>
  <si>
    <t>ACPL00066</t>
  </si>
  <si>
    <t>https://docs.google.com/spreadsheets/d/1o-kgAGYwJQGPJwLj0hYgwKABboMbPKDLAWI9iRmz2LU/edit#gid=0</t>
  </si>
  <si>
    <t>https://drive.google.com/drive/folders/1rK4Ytrz7_9IByepR8AMfbO3rl45xL3tR</t>
  </si>
  <si>
    <t>dhruvautomobiles.hero@gmail.com</t>
  </si>
  <si>
    <t>29/10/2020 13:36</t>
  </si>
  <si>
    <t>Ambala</t>
  </si>
  <si>
    <t>https://drive.google.com/drive/folders/1LTLA25E5YT6SL47fk-YmY0vOgaW5XtEc</t>
  </si>
  <si>
    <t>1brEaJJIr9CUuMyBbZl1_6v1V659tqpHO6omaGzj0JnM</t>
  </si>
  <si>
    <t>Mahi Motors (KMB)</t>
  </si>
  <si>
    <t>1C1AjXInxubgTqA5jMZac7uMhqmc4GJdp</t>
  </si>
  <si>
    <t>ACPL00067</t>
  </si>
  <si>
    <t>https://docs.google.com/spreadsheets/d/1brEaJJIr9CUuMyBbZl1_6v1V659tqpHO6omaGzj0JnM/edit#gid=0</t>
  </si>
  <si>
    <t>https://drive.google.com/drive/folders/1C1AjXInxubgTqA5jMZac7uMhqmc4GJdp</t>
  </si>
  <si>
    <t>sahaveersingh017@gmail.com</t>
  </si>
  <si>
    <t>30/10/2020 18:31</t>
  </si>
  <si>
    <t>1DS5NtcGph94jJUNKazFINpAqRSIEGCBtibwVxAM7-qM</t>
  </si>
  <si>
    <t>NV Automobiles - TVS Mathura</t>
  </si>
  <si>
    <t>1lU4NDa8GoAmq4tIQ5PNJRraspqBX_i9v</t>
  </si>
  <si>
    <t>ACPL00068</t>
  </si>
  <si>
    <t>https://docs.google.com/spreadsheets/d/1DS5NtcGph94jJUNKazFINpAqRSIEGCBtibwVxAM7-qM/edit#gid=0</t>
  </si>
  <si>
    <t>https://drive.google.com/drive/folders/1lU4NDa8GoAmq4tIQ5PNJRraspqBX_i9v</t>
  </si>
  <si>
    <t>saurabhchaudhary94100@gmail.com</t>
  </si>
  <si>
    <t>https://drive.google.com/drive/folders/1NUva4eruYJIqX5-ceRqiToUjBfC40tmc</t>
  </si>
  <si>
    <t>1_xzpyB0amoYhYfY1WdkZ6GVcQiaJKzjQJfus2Cafu-I</t>
  </si>
  <si>
    <t>Saheb Hero - Sahibabad</t>
  </si>
  <si>
    <t>1qvxnBPNqkBh5JzjgdVayuu-j-R7lUl5t</t>
  </si>
  <si>
    <t>ACPL00069</t>
  </si>
  <si>
    <t>https://docs.google.com/spreadsheets/d/1_xzpyB0amoYhYfY1WdkZ6GVcQiaJKzjQJfus2Cafu-I/edit#gid=0</t>
  </si>
  <si>
    <t>https://drive.google.com/drive/folders/1qvxnBPNqkBh5JzjgdVayuu-j-R7lUl5t</t>
  </si>
  <si>
    <t>sahebheroaegis@gmail.com</t>
  </si>
  <si>
    <t>https://drive.google.com/drive/folders/13E4LfEl8N6kAEEukBsDWWi8S7REv4EnG</t>
  </si>
  <si>
    <t>1ek5ZSLYEG8WzBo8pYbS1V3846hx1xCXCDzzgtbytVUQ</t>
  </si>
  <si>
    <t>MAA JAGDAMBA AUTOS VAW- GANGIRI</t>
  </si>
  <si>
    <t>1CoozequUkj9RxIOJe-zHGOy_pQTh6p8u</t>
  </si>
  <si>
    <t>MAA JAGDAMBA AUTOS VAW - GANGIRI</t>
  </si>
  <si>
    <t>ACPL00070</t>
  </si>
  <si>
    <t>https://docs.google.com/spreadsheets/d/1ek5ZSLYEG8WzBo8pYbS1V3846hx1xCXCDzzgtbytVUQ/edit#gid=0</t>
  </si>
  <si>
    <t>https://drive.google.com/drive/folders/1CoozequUkj9RxIOJe-zHGOy_pQTh6p8u</t>
  </si>
  <si>
    <t>insurancegangirivaw@gmail.com</t>
  </si>
  <si>
    <t>1IXY2NfdDO9vHV01RX_OjMzkaXNv8-PJpgaemIeYfL2M</t>
  </si>
  <si>
    <t>VAW - Beswan</t>
  </si>
  <si>
    <t>1hKzYMdf_VOm3Y5VI_HwlUI51rdtlWBUN</t>
  </si>
  <si>
    <t>ACPL00071</t>
  </si>
  <si>
    <t>https://docs.google.com/spreadsheets/d/1IXY2NfdDO9vHV01RX_OjMzkaXNv8-PJpgaemIeYfL2M/edit#gid=0</t>
  </si>
  <si>
    <t>https://drive.google.com/drive/folders/1hKzYMdf_VOm3Y5VI_HwlUI51rdtlWBUN</t>
  </si>
  <si>
    <t>insurancebeswanvaw@gmail.com</t>
  </si>
  <si>
    <t>1fuov6VFDdW_GQYt6JqaxRJIc_DBrPxXJBPo_jAzr9aE</t>
  </si>
  <si>
    <t>AutoDeals Hero - Narnaul</t>
  </si>
  <si>
    <t>1I1j_X6k0JWd44AQJmVF7Y4nZS_HYo0Cd</t>
  </si>
  <si>
    <t>ACPL00072</t>
  </si>
  <si>
    <t>https://docs.google.com/spreadsheets/d/1fuov6VFDdW_GQYt6JqaxRJIc_DBrPxXJBPo_jAzr9aE/edit#gid=0</t>
  </si>
  <si>
    <t>https://drive.google.com/drive/folders/1I1j_X6k0JWd44AQJmVF7Y4nZS_HYo0Cd</t>
  </si>
  <si>
    <t>autodealshero@gmail.com</t>
  </si>
  <si>
    <t>Narnaul</t>
  </si>
  <si>
    <t>https://drive.google.com/drive/folders/1HuZ3w43YgRq_aUqdu-iXX6ep2NqXQEvL</t>
  </si>
  <si>
    <t>1nVez-s51qjTfP2ibHDiiELEFanG-2ZCG66Y-ueax5G4</t>
  </si>
  <si>
    <t>Virendra Automobile - Rewari</t>
  </si>
  <si>
    <t>1sTYbkoYoWDyn-HUlMRh5nK-IyVAtVOqw</t>
  </si>
  <si>
    <t>ACPL00073</t>
  </si>
  <si>
    <t>https://docs.google.com/spreadsheets/d/1nVez-s51qjTfP2ibHDiiELEFanG-2ZCG66Y-ueax5G4/edit#gid=0</t>
  </si>
  <si>
    <t>https://drive.google.com/drive/folders/1sTYbkoYoWDyn-HUlMRh5nK-IyVAtVOqw</t>
  </si>
  <si>
    <t>virendraautomobilespa@gmail.com</t>
  </si>
  <si>
    <t>Rewari</t>
  </si>
  <si>
    <t>https://drive.google.com/drive/folders/1lvzOoSTKzvbnPgld768EsI8HiXlNLk1W</t>
  </si>
  <si>
    <t>1Hj8E2ES-ce_eurfq39LWslS96OwPRrBIoxBx48204Vk</t>
  </si>
  <si>
    <t>Jasodha Hero - Gurgaon</t>
  </si>
  <si>
    <t>18iCrg7KkUFHgFb9CIG48B20x_565f64z</t>
  </si>
  <si>
    <t>ACPL00074</t>
  </si>
  <si>
    <t>https://docs.google.com/spreadsheets/d/1Hj8E2ES-ce_eurfq39LWslS96OwPRrBIoxBx48204Vk/edit#gid=0</t>
  </si>
  <si>
    <t>https://drive.google.com/drive/folders/18iCrg7KkUFHgFb9CIG48B20x_565f64z</t>
  </si>
  <si>
    <t>jasodhaheropa@gmail.com</t>
  </si>
  <si>
    <t>https://drive.google.com/drive/folders/1umDyTmz0ichgUdzRkbO0kw7-2-ZGBfNe</t>
  </si>
  <si>
    <t>1BJ0lIBkIWL2G8UcRM-WzcxFubQ2MW_l4KTFXv6wfKiU</t>
  </si>
  <si>
    <t>Jattari VAW - Hero</t>
  </si>
  <si>
    <t>1fMRuHYUSPd6DVK378FgWXeCDZq1ubBD8</t>
  </si>
  <si>
    <t>ACPL00075</t>
  </si>
  <si>
    <t>https://docs.google.com/spreadsheets/d/1BJ0lIBkIWL2G8UcRM-WzcxFubQ2MW_l4KTFXv6wfKiU/edit#gid=0</t>
  </si>
  <si>
    <t>https://drive.google.com/drive/folders/1fMRuHYUSPd6DVK378FgWXeCDZq1ubBD8</t>
  </si>
  <si>
    <t>insurancejattarivaw@gmail.com</t>
  </si>
  <si>
    <t>1D1RDdqE2mkZVvfOLgpQ-u1EshCLZ1JGUYX0wKpQg268</t>
  </si>
  <si>
    <t>HLB Motors TVS - Meerut</t>
  </si>
  <si>
    <t>1GBPt04UZffNeMZ_HnclV0Zfwsd1W3Gr6</t>
  </si>
  <si>
    <t>ACPL00077</t>
  </si>
  <si>
    <t>https://docs.google.com/spreadsheets/d/1D1RDdqE2mkZVvfOLgpQ-u1EshCLZ1JGUYX0wKpQg268/edit#gid=0</t>
  </si>
  <si>
    <t>https://drive.google.com/drive/folders/1GBPt04UZffNeMZ_HnclV0Zfwsd1W3Gr6</t>
  </si>
  <si>
    <t>hlbmotors.tvs@gmail.com</t>
  </si>
  <si>
    <t>https://drive.google.com/drive/folders/1AlyN5_IyzvwkgWUPf3mknXswNQ6zi6Vl</t>
  </si>
  <si>
    <t>Gaurav</t>
  </si>
  <si>
    <t>1ILnccgV7ri-O_RSwKJB1lo_gnaD6qL7mq_rwEC50RFA</t>
  </si>
  <si>
    <t>SUNIL MOTORS</t>
  </si>
  <si>
    <t>1OrrP_0izAOwD6ZRjEQHW5oVtjYWh2m62</t>
  </si>
  <si>
    <t>Sunil MOTORS</t>
  </si>
  <si>
    <t>ACPL00078</t>
  </si>
  <si>
    <t>https://docs.google.com/spreadsheets/d/1ILnccgV7ri-O_RSwKJB1lo_gnaD6qL7mq_rwEC50RFA/edit#gid=0</t>
  </si>
  <si>
    <t>https://drive.google.com/drive/folders/1OrrP_0izAOwD6ZRjEQHW5oVtjYWh2m62</t>
  </si>
  <si>
    <t>Sunilmotorsnuh@gmail.com</t>
  </si>
  <si>
    <t>Nuh</t>
  </si>
  <si>
    <t>https://drive.google.com/drive/folders/1cEn-FVF43LjPng1oHkLLe9oGhoQ1X1SG</t>
  </si>
  <si>
    <t>1fjdj_DWneQ6p5FeCIXPzszsySoRSx2_LgStCjca5XsY</t>
  </si>
  <si>
    <t>Jaya Automobiles - Bhiwani</t>
  </si>
  <si>
    <t>1tkEWDMxXYyAAkAaFAhN1Eo20YTgh_eoU</t>
  </si>
  <si>
    <t>ACPL00079</t>
  </si>
  <si>
    <t>https://docs.google.com/spreadsheets/d/1fjdj_DWneQ6p5FeCIXPzszsySoRSx2_LgStCjca5XsY/edit#gid=0</t>
  </si>
  <si>
    <t>https://drive.google.com/drive/folders/1tkEWDMxXYyAAkAaFAhN1Eo20YTgh_eoU</t>
  </si>
  <si>
    <t>jayaautomobilespa@gmail.com</t>
  </si>
  <si>
    <t>Bhiwani</t>
  </si>
  <si>
    <t>https://drive.google.com/drive/folders/1e_eKiCDGZXX25b3Uyb6x0rZLK1wWmUoA</t>
  </si>
  <si>
    <t>17IQU0-K8aHZCBdscVJssP97WqFoWmGSZpvE9qk-0w_g</t>
  </si>
  <si>
    <t>Shree Shyam Bajaj - Bhiwani</t>
  </si>
  <si>
    <t>1eUnapxLkvAcaytzf0igthUjQtgEq13TU</t>
  </si>
  <si>
    <t>ACPL00080</t>
  </si>
  <si>
    <t>https://docs.google.com/spreadsheets/d/17IQU0-K8aHZCBdscVJssP97WqFoWmGSZpvE9qk-0w_g/edit#gid=0</t>
  </si>
  <si>
    <t>https://drive.google.com/drive/folders/1eUnapxLkvAcaytzf0igthUjQtgEq13TU</t>
  </si>
  <si>
    <t>shreeshyambajaj10853@gmail.com</t>
  </si>
  <si>
    <t>Bajaj</t>
  </si>
  <si>
    <t>https://drive.google.com/drive/folders/1UTnOUgGcGBqPrWRC2GuZp8i9r04jx_TH</t>
  </si>
  <si>
    <t>1pI_tDns4A7jbcl0nEvEO_u0FclM2PyV1AT-2Q2Dx2Jo</t>
  </si>
  <si>
    <t>Chaudhary Automobiles - Hisar</t>
  </si>
  <si>
    <t>114eQUxUzXDZojq9P11vdAduFKV2yza49</t>
  </si>
  <si>
    <t>ACPL00082</t>
  </si>
  <si>
    <t>https://docs.google.com/spreadsheets/d/1pI_tDns4A7jbcl0nEvEO_u0FclM2PyV1AT-2Q2Dx2Jo/edit#gid=0</t>
  </si>
  <si>
    <t>https://drive.google.com/drive/folders/114eQUxUzXDZojq9P11vdAduFKV2yza49</t>
  </si>
  <si>
    <t>chaudharyautomobilespa@gmail.com</t>
  </si>
  <si>
    <t>Hisar</t>
  </si>
  <si>
    <t>https://drive.google.com/drive/folders/1JfedCyeXPsO-lgeUwnBA-duKukHUpqXU</t>
  </si>
  <si>
    <t>1hR0JpXiceB7xWAHLNEwMyaE9wlUgF4ljP0RD80dtSd0</t>
  </si>
  <si>
    <t>Krishna Enterprise - Gohana</t>
  </si>
  <si>
    <t>1d40Bn2bvXK0XRu_mD7vXWE9aRd1kLg4H</t>
  </si>
  <si>
    <t>ACPL00083</t>
  </si>
  <si>
    <t>https://docs.google.com/spreadsheets/d/1hR0JpXiceB7xWAHLNEwMyaE9wlUgF4ljP0RD80dtSd0/edit#gid=0</t>
  </si>
  <si>
    <t>https://drive.google.com/drive/folders/1d40Bn2bvXK0XRu_mD7vXWE9aRd1kLg4H</t>
  </si>
  <si>
    <t>narender.gohana@gmail.com</t>
  </si>
  <si>
    <t>Gohana</t>
  </si>
  <si>
    <t>https://drive.google.com/drive/folders/1XBm8avySWl53_7vG82_pRsr7UGNRWBUD</t>
  </si>
  <si>
    <t>1T--GiX2IFe0RYo58Hf-j_i7C4y0B-AEmeo-kncwUWcg</t>
  </si>
  <si>
    <t>Vikrant Automobiles (CAH)</t>
  </si>
  <si>
    <t>1qV9JGB4220NpPkbbK7EeZmUFIhrL7vxG</t>
  </si>
  <si>
    <t>ACPL00084</t>
  </si>
  <si>
    <t>https://docs.google.com/spreadsheets/d/1T--GiX2IFe0RYo58Hf-j_i7C4y0B-AEmeo-kncwUWcg/edit#gid=0</t>
  </si>
  <si>
    <t>https://drive.google.com/drive/folders/1qV9JGB4220NpPkbbK7EeZmUFIhrL7vxG</t>
  </si>
  <si>
    <t>vikrantautomobiles@gmail.com</t>
  </si>
  <si>
    <t>1te-rw28wyEruXSSOAJhw4UGEPXdsOYHDVLF_IaZTrdY</t>
  </si>
  <si>
    <t>Himanshu Automobile (KHG)</t>
  </si>
  <si>
    <t>1E45WpQMmx9BjH8cgg7QcteBg8C4JmJwK</t>
  </si>
  <si>
    <t>ACPL00085</t>
  </si>
  <si>
    <t>https://docs.google.com/spreadsheets/d/1te-rw28wyEruXSSOAJhw4UGEPXdsOYHDVLF_IaZTrdY/edit#gid=0</t>
  </si>
  <si>
    <t>https://drive.google.com/drive/folders/1E45WpQMmx9BjH8cgg7QcteBg8C4JmJwK</t>
  </si>
  <si>
    <t>Jain.kharkhoda@gmail.com</t>
  </si>
  <si>
    <t>Sonipat</t>
  </si>
  <si>
    <t>https://drive.google.com/drive/folders/1au7PrYnNFt7RPL8hAeqLRZ81Y0rGlidm</t>
  </si>
  <si>
    <t>1YGpVDN0ELgWGDdcU8lnhIXzjT7NqPXsCaqGWqE3ma8o</t>
  </si>
  <si>
    <t>TR Motors - Kundali (KEG)</t>
  </si>
  <si>
    <t>1cPdnObU4yGztlrt1EImkV-MzmgJmunrd</t>
  </si>
  <si>
    <t>ACPL00086</t>
  </si>
  <si>
    <t>https://docs.google.com/spreadsheets/d/1YGpVDN0ELgWGDdcU8lnhIXzjT7NqPXsCaqGWqE3ma8o/edit#gid=0</t>
  </si>
  <si>
    <t>https://drive.google.com/drive/folders/1cPdnObU4yGztlrt1EImkV-MzmgJmunrd</t>
  </si>
  <si>
    <t>trmotorshero@gmail.com</t>
  </si>
  <si>
    <t>1th0hj2blk-gBbR7lpmA16YsAj_ttAS2Hct4wjY5lY2o</t>
  </si>
  <si>
    <t>Johri Auto Mobile-Uklana (CAH)</t>
  </si>
  <si>
    <t>1LnP4AhiQaluv-Kai3oLCblUfb6EVUJND</t>
  </si>
  <si>
    <t>Johri Auto Mobile</t>
  </si>
  <si>
    <t>ACPL00087</t>
  </si>
  <si>
    <t>https://docs.google.com/spreadsheets/d/1th0hj2blk-gBbR7lpmA16YsAj_ttAS2Hct4wjY5lY2o/edit#gid=0</t>
  </si>
  <si>
    <t>https://drive.google.com/drive/folders/1LnP4AhiQaluv-Kai3oLCblUfb6EVUJND</t>
  </si>
  <si>
    <t>joharautomobileshisar@gmail.com</t>
  </si>
  <si>
    <t>1M25XSc1w8NZMexWP6izPWIwiJI8ces6yFAUV3fB4-pA</t>
  </si>
  <si>
    <t>Narwana Automobiles - Narwana</t>
  </si>
  <si>
    <t>10tNbXKmcDHgGrHwhtZKJmEeJYm9UoThN</t>
  </si>
  <si>
    <t>ACPL00088</t>
  </si>
  <si>
    <t>https://docs.google.com/spreadsheets/d/1M25XSc1w8NZMexWP6izPWIwiJI8ces6yFAUV3fB4-pA/edit#gid=0</t>
  </si>
  <si>
    <t>https://drive.google.com/drive/folders/10tNbXKmcDHgGrHwhtZKJmEeJYm9UoThN</t>
  </si>
  <si>
    <t>narwanaautomobiles@gmail.com</t>
  </si>
  <si>
    <t>Narwana</t>
  </si>
  <si>
    <t>https://drive.google.com/drive/folders/1pKvVMPP24tuGbtjhSmJrJlcovWUw2mND</t>
  </si>
  <si>
    <t>1UIyqHTLBGZ9oJJifSEPsCIcKejmqUySrjCf7ZVdx8Gs</t>
  </si>
  <si>
    <t>Shiv Auto- Balsamand</t>
  </si>
  <si>
    <t>1kjXMhg2YX0SjqLMq7UpG-gn8NWvKzxwT</t>
  </si>
  <si>
    <t>ACPL00089</t>
  </si>
  <si>
    <t>https://docs.google.com/spreadsheets/d/1UIyqHTLBGZ9oJJifSEPsCIcKejmqUySrjCf7ZVdx8Gs/edit#gid=0</t>
  </si>
  <si>
    <t>https://drive.google.com/drive/folders/1kjXMhg2YX0SjqLMq7UpG-gn8NWvKzxwT</t>
  </si>
  <si>
    <t>shivautomobilesbalsamand@gmail.com</t>
  </si>
  <si>
    <t>1Q4aI-AB3iqaBUsFrzL3oASW-2tjkwXyAtJSO1Lx4Z04</t>
  </si>
  <si>
    <t>SAINI AUTOMOBILES-HANSI</t>
  </si>
  <si>
    <t>1NmoWi0Io4YqfjLC-Y21wL1EnGZWEF0m8</t>
  </si>
  <si>
    <t>ACPL00090</t>
  </si>
  <si>
    <t>https://docs.google.com/spreadsheets/d/1Q4aI-AB3iqaBUsFrzL3oASW-2tjkwXyAtJSO1Lx4Z04/edit#gid=0</t>
  </si>
  <si>
    <t>https://drive.google.com/drive/folders/1NmoWi0Io4YqfjLC-Y21wL1EnGZWEF0m8</t>
  </si>
  <si>
    <t>sainiautomobilespa@gmail.com</t>
  </si>
  <si>
    <t>1ek0kGrVLOQttU35mRbEycOZ6YRg6Oon_3gkX4EwTum0</t>
  </si>
  <si>
    <t>Sharma auto Mobile-Barwala</t>
  </si>
  <si>
    <t>13z0zkxVSks3TQpBK_5vUe8uxjl-d3Kye</t>
  </si>
  <si>
    <t>ACPL00092</t>
  </si>
  <si>
    <t>https://docs.google.com/spreadsheets/d/1ek0kGrVLOQttU35mRbEycOZ6YRg6Oon_3gkX4EwTum0/edit#gid=0</t>
  </si>
  <si>
    <t>https://drive.google.com/drive/folders/13z0zkxVSks3TQpBK_5vUe8uxjl-d3Kye</t>
  </si>
  <si>
    <t>sharmauatomobilespa@gmail.com</t>
  </si>
  <si>
    <t>15e1MPdmX1KahSQrgQP1EiQhxwoiZU-49rilJy51h_W8</t>
  </si>
  <si>
    <t>Chaudhary Auto Agency - Kaithal</t>
  </si>
  <si>
    <t>1eVLjqAibyHNCOu6lw610ICjtXs8OM6wj</t>
  </si>
  <si>
    <t>ACPL00093</t>
  </si>
  <si>
    <t>https://docs.google.com/spreadsheets/d/15e1MPdmX1KahSQrgQP1EiQhxwoiZU-49rilJy51h_W8/edit#gid=0</t>
  </si>
  <si>
    <t>https://drive.google.com/drive/folders/1eVLjqAibyHNCOu6lw610ICjtXs8OM6wj</t>
  </si>
  <si>
    <t>chaudharyautoagencypa@gmail.com</t>
  </si>
  <si>
    <t>Kaithal</t>
  </si>
  <si>
    <t>https://drive.google.com/drive/folders/1wz3TJLLKbIaXZaG8KOdipvrg-d-0Vdns</t>
  </si>
  <si>
    <t>1DHuoK3CPfNh_Joggi61wQdiSIly5OZEhbKVvkkW9X5U</t>
  </si>
  <si>
    <t>Saraswati Enterprises - Pehowa</t>
  </si>
  <si>
    <t>1CvVhd66WV4xyOkIVWZIM2dB2dLa5MEoJ</t>
  </si>
  <si>
    <t>ACPL00094</t>
  </si>
  <si>
    <t>https://docs.google.com/spreadsheets/d/1DHuoK3CPfNh_Joggi61wQdiSIly5OZEhbKVvkkW9X5U/edit#gid=0</t>
  </si>
  <si>
    <t>https://drive.google.com/drive/folders/1CvVhd66WV4xyOkIVWZIM2dB2dLa5MEoJ</t>
  </si>
  <si>
    <t>saraswati.hero10462@gmail.com</t>
  </si>
  <si>
    <t>Pehowa</t>
  </si>
  <si>
    <t>https://drive.google.com/drive/folders/1Xy5b-9Fh_dHxAqthjkuuDkoueX2RFZce</t>
  </si>
  <si>
    <t>1TuBCieryI5B9C4qUUscd4DG93Cj0YeOolwC7hs56SEg</t>
  </si>
  <si>
    <t>VPS HERO - KURUKSHETRA</t>
  </si>
  <si>
    <t>1SByMQW2HdA2fMeqWsbsNcLpWgvD0wtH2</t>
  </si>
  <si>
    <t>ACPL00095</t>
  </si>
  <si>
    <t>https://docs.google.com/spreadsheets/d/1TuBCieryI5B9C4qUUscd4DG93Cj0YeOolwC7hs56SEg/edit#gid=0</t>
  </si>
  <si>
    <t>https://drive.google.com/drive/folders/1SByMQW2HdA2fMeqWsbsNcLpWgvD0wtH2</t>
  </si>
  <si>
    <t>vpsherocrm@gmail.com</t>
  </si>
  <si>
    <t>Kurukshetra</t>
  </si>
  <si>
    <t>https://drive.google.com/drive/folders/1FVSBCbQPptllYMDYIuVB9i2DMf8iYAv5</t>
  </si>
  <si>
    <t>1eiTogQPi-sHfdl6mZbOd9WL047mVrKOSLuFH6hsfT4U</t>
  </si>
  <si>
    <t>Rohit Automobiles - Yamuna Nagar</t>
  </si>
  <si>
    <t>1-n-XrFrpgx6st8B5wLiryMkBWGKoMA8-</t>
  </si>
  <si>
    <t>ACPL00096</t>
  </si>
  <si>
    <t>https://docs.google.com/spreadsheets/d/1eiTogQPi-sHfdl6mZbOd9WL047mVrKOSLuFH6hsfT4U/edit#gid=0</t>
  </si>
  <si>
    <t>https://drive.google.com/drive/folders/1-n-XrFrpgx6st8B5wLiryMkBWGKoMA8-</t>
  </si>
  <si>
    <t>rohitautomobilespa@gmail.com</t>
  </si>
  <si>
    <t>https://drive.google.com/drive/folders/1N8Hbah6EqlheRH5Lq2j82mWftvSeDEc_</t>
  </si>
  <si>
    <t>1K6oaFfzdWrW0ygNwDwWBmlm6lWJxWCUD9ydsyisVA7A</t>
  </si>
  <si>
    <t>Sahib Motors - Panipat</t>
  </si>
  <si>
    <t>1bM_TYHJW1lZhTNMEesuHCVQuxbqUnghT</t>
  </si>
  <si>
    <t>ACPL00097</t>
  </si>
  <si>
    <t>https://docs.google.com/spreadsheets/d/1K6oaFfzdWrW0ygNwDwWBmlm6lWJxWCUD9ydsyisVA7A/edit#gid=0</t>
  </si>
  <si>
    <t>https://drive.google.com/drive/folders/1bM_TYHJW1lZhTNMEesuHCVQuxbqUnghT</t>
  </si>
  <si>
    <t>sahibheropanipat@gmail.com</t>
  </si>
  <si>
    <t>Panipat</t>
  </si>
  <si>
    <t>https://drive.google.com/drive/folders/1RFBEkGfSECypHWVnjix-cEbaGMq_-Ae8</t>
  </si>
  <si>
    <t>1-Ht1VJM8lu7HceWxxtL7iafzmbHFLLgtLF3OJk7V8IQ</t>
  </si>
  <si>
    <t>LAKSHMI AUTOMOBILES - GHARAUNDA</t>
  </si>
  <si>
    <t>1csWzl8xWkaSxXlSvfL0-80Z0vcnMcnXf</t>
  </si>
  <si>
    <t>ACPL00098</t>
  </si>
  <si>
    <t>https://docs.google.com/spreadsheets/d/1-Ht1VJM8lu7HceWxxtL7iafzmbHFLLgtLF3OJk7V8IQ/edit#gid=0</t>
  </si>
  <si>
    <t>https://drive.google.com/drive/folders/1csWzl8xWkaSxXlSvfL0-80Z0vcnMcnXf</t>
  </si>
  <si>
    <t>lakshmiautomobiles@gmail.com</t>
  </si>
  <si>
    <t>Gharaunda</t>
  </si>
  <si>
    <t>https://drive.google.com/drive/folders/1WroPf7nXNDlQTJG1D0jMYKmndbrQujbF</t>
  </si>
  <si>
    <t>1Wxkr9M9brzH_Qd8RBgAFdg3jgvfV-5e6mlbAaitWxss</t>
  </si>
  <si>
    <t>Testing Ravi</t>
  </si>
  <si>
    <t>1Dwhx6PJRgltRpNakkOmvH-PZKEZKEo9i</t>
  </si>
  <si>
    <t>HDFC Payment Gateway Test</t>
  </si>
  <si>
    <t>ACPL00099</t>
  </si>
  <si>
    <t>https://docs.google.com/spreadsheets/d/1Wxkr9M9brzH_Qd8RBgAFdg3jgvfV-5e6mlbAaitWxss/edit#gid=0</t>
  </si>
  <si>
    <t>https://drive.google.com/drive/folders/1Dwhx6PJRgltRpNakkOmvH-PZKEZKEo9i</t>
  </si>
  <si>
    <t>palravi18aug@gmail.com</t>
  </si>
  <si>
    <t>17/11/2020 20:11</t>
  </si>
  <si>
    <t>https://drive.google.com/drive/folders/1uWn-5AQ1lOZQ8aXH9j8beqDCD5IH3Znb</t>
  </si>
  <si>
    <t>1KaEmNIMK0XXiIsA6XQ7GNELp4AsXjf8BnThrJvzVk2Q</t>
  </si>
  <si>
    <t>National Automobile - Jind</t>
  </si>
  <si>
    <t>14XhxrXRstM4vilczzF7UEeNFgWR8PgsS</t>
  </si>
  <si>
    <t>ACPL00100</t>
  </si>
  <si>
    <t>https://docs.google.com/spreadsheets/d/1KaEmNIMK0XXiIsA6XQ7GNELp4AsXjf8BnThrJvzVk2Q/edit#gid=0</t>
  </si>
  <si>
    <t>https://drive.google.com/drive/folders/14XhxrXRstM4vilczzF7UEeNFgWR8PgsS</t>
  </si>
  <si>
    <t>amitgoyat1245@gmail.com</t>
  </si>
  <si>
    <t>21/11/2020 11:21</t>
  </si>
  <si>
    <t>Jhajjar</t>
  </si>
  <si>
    <t>https://drive.google.com/drive/folders/1HZwED1P2PxwxfZ_EV8fziMCBs_PaDTcG</t>
  </si>
  <si>
    <t>1kk6retEj7a8ElwHKY3kD7Cti9VMfyX-Nt8jZobYqikg</t>
  </si>
  <si>
    <t>Karan Automobiles - Dabwali</t>
  </si>
  <si>
    <t>1mzrHzjDEHFUVMJsG0onDQ0EdWYW4dIgv</t>
  </si>
  <si>
    <t>ACPL00101</t>
  </si>
  <si>
    <t>https://docs.google.com/spreadsheets/d/1kk6retEj7a8ElwHKY3kD7Cti9VMfyX-Nt8jZobYqikg/edit#gid=0</t>
  </si>
  <si>
    <t>https://drive.google.com/drive/folders/1mzrHzjDEHFUVMJsG0onDQ0EdWYW4dIgv</t>
  </si>
  <si>
    <t>karanautomobiles10785@gmail.com</t>
  </si>
  <si>
    <t>21/11/2020 15:26</t>
  </si>
  <si>
    <t>Mandi Dabwali</t>
  </si>
  <si>
    <t>https://drive.google.com/drive/folders/1pDd2U-dWKp89qtevgtvZJLaeXxUrzv6D</t>
  </si>
  <si>
    <t>13RsJ1T_W8o2VNE9w100mgEYjOaU-1jlpABRILPpMAjs</t>
  </si>
  <si>
    <t>Ajit Automobiles - Ellenabad</t>
  </si>
  <si>
    <t>1_csMavyG_TWBWx8Rxgi7Wz-hYZrhDZal</t>
  </si>
  <si>
    <t>ACPL00102</t>
  </si>
  <si>
    <t>https://docs.google.com/spreadsheets/d/13RsJ1T_W8o2VNE9w100mgEYjOaU-1jlpABRILPpMAjs/edit#gid=0</t>
  </si>
  <si>
    <t>https://drive.google.com/drive/folders/1_csMavyG_TWBWx8Rxgi7Wz-hYZrhDZal</t>
  </si>
  <si>
    <t>ajitautomobiles8@gmail.com</t>
  </si>
  <si>
    <t>21/11/2020 18:05</t>
  </si>
  <si>
    <t>Ellenabad</t>
  </si>
  <si>
    <t>https://drive.google.com/drive/folders/1T8UDvfIDOji56wgmPc7FHNLz8Tw7bb05</t>
  </si>
  <si>
    <t>1nEWA1qF6Gna7lK-YjdC89uY5m1GPuTi_8hhe6AxW12M</t>
  </si>
  <si>
    <t>Shivam Auto - Rohtak</t>
  </si>
  <si>
    <t>1EV95UUebb45a4phgT8F3iPDBhPVuX4WV</t>
  </si>
  <si>
    <t>ACPL00103</t>
  </si>
  <si>
    <t>https://docs.google.com/spreadsheets/d/1nEWA1qF6Gna7lK-YjdC89uY5m1GPuTi_8hhe6AxW12M/edit#gid=0</t>
  </si>
  <si>
    <t>https://drive.google.com/drive/folders/1EV95UUebb45a4phgT8F3iPDBhPVuX4WV</t>
  </si>
  <si>
    <t>shivamautorohtak@gmail.com</t>
  </si>
  <si>
    <t>23/11/2020 16:04</t>
  </si>
  <si>
    <t>Rohtak</t>
  </si>
  <si>
    <t>https://drive.google.com/drive/folders/1cqbcO2hijyv7wx6H213Dc0fkzb0s8Gt8</t>
  </si>
  <si>
    <t>1ajtc9H9LQaAwROSG0sPyjJHA38yC9DyS1xGLXYi7kSg</t>
  </si>
  <si>
    <t>Singla Auto Agency- Tilpata</t>
  </si>
  <si>
    <t>1iQqtgcjCjYEzKwjrS3JZ0Cy-cdyg6GdY</t>
  </si>
  <si>
    <t>Singla Hero Agency Tilpata</t>
  </si>
  <si>
    <t>ACPL00104</t>
  </si>
  <si>
    <t>https://docs.google.com/spreadsheets/d/1ajtc9H9LQaAwROSG0sPyjJHA38yC9DyS1xGLXYi7kSg/edit#gid=0</t>
  </si>
  <si>
    <t>https://drive.google.com/drive/folders/1iQqtgcjCjYEzKwjrS3JZ0Cy-cdyg6GdY</t>
  </si>
  <si>
    <t>singlaautotilpata@gmail.com</t>
  </si>
  <si>
    <t>25/11/2020 13:31</t>
  </si>
  <si>
    <t>1RoojyyM-QnJWkU4BEw5RvwkrV0urtgRc4XGLN4gN_Y4</t>
  </si>
  <si>
    <t>Gaurav Automobiles - Safidon</t>
  </si>
  <si>
    <t>13jTUgQxJTYxhh68Qcb_IFBoatstBeEJH</t>
  </si>
  <si>
    <t>ACPL00107</t>
  </si>
  <si>
    <t>https://docs.google.com/spreadsheets/d/1RoojyyM-QnJWkU4BEw5RvwkrV0urtgRc4XGLN4gN_Y4/edit#gid=0</t>
  </si>
  <si>
    <t>https://drive.google.com/drive/folders/13jTUgQxJTYxhh68Qcb_IFBoatstBeEJH</t>
  </si>
  <si>
    <t>amitkdhiman420@gmail.com</t>
  </si>
  <si>
    <t>26/11/2020 16:54</t>
  </si>
  <si>
    <t>Safidon</t>
  </si>
  <si>
    <t>1mvO39KISdJTTFZrNPXYSBSiguynUfxnAQ_H-EBPwdG4</t>
  </si>
  <si>
    <t>KANHA MOTORS</t>
  </si>
  <si>
    <t>1s4AajfqY0HTfx5mQmjk-TFlxQWmmXDkt</t>
  </si>
  <si>
    <t>ACPL00109</t>
  </si>
  <si>
    <t>https://docs.google.com/spreadsheets/d/1mvO39KISdJTTFZrNPXYSBSiguynUfxnAQ_H-EBPwdG4/edit#gid=0</t>
  </si>
  <si>
    <t>https://drive.google.com/drive/folders/1s4AajfqY0HTfx5mQmjk-TFlxQWmmXDkt</t>
  </si>
  <si>
    <t>sdmshikarpur1@gmail.com</t>
  </si>
  <si>
    <t>1RuulKhAraOSJneBIfAUOQbLBn9JvoSu3eYaWMZ5M-aI</t>
  </si>
  <si>
    <t>RINKU AUTOMOBILES</t>
  </si>
  <si>
    <t>16IEuF3I64wN6efRpHV7etrPy-B1WrBkc</t>
  </si>
  <si>
    <t>ACPL00110</t>
  </si>
  <si>
    <t>https://docs.google.com/spreadsheets/d/1RuulKhAraOSJneBIfAUOQbLBn9JvoSu3eYaWMZ5M-aI/edit#gid=0</t>
  </si>
  <si>
    <t>https://drive.google.com/drive/folders/16IEuF3I64wN6efRpHV7etrPy-B1WrBkc</t>
  </si>
  <si>
    <t>sdmpahasu@gmail.com</t>
  </si>
  <si>
    <t>1Z4ZANLU0BXFj5_cuQpCVhqL-_dbEpnMn3rbGL3bya7g</t>
  </si>
  <si>
    <t>TRIAMBIKE MOTORS</t>
  </si>
  <si>
    <t>1AtRMu1PAxkeEjlLf7i-hLTTXkDsNKFIm</t>
  </si>
  <si>
    <t>ACPL00111</t>
  </si>
  <si>
    <t>https://docs.google.com/spreadsheets/d/1Z4ZANLU0BXFj5_cuQpCVhqL-_dbEpnMn3rbGL3bya7g/edit#gid=0</t>
  </si>
  <si>
    <t>https://drive.google.com/drive/folders/1AtRMu1PAxkeEjlLf7i-hLTTXkDsNKFIm</t>
  </si>
  <si>
    <t>sdmchhatari@gmail.com</t>
  </si>
  <si>
    <t>1fUQnKuEtcNauUdHQbe2Uqem42il1atlCNxeSWUXTiaA</t>
  </si>
  <si>
    <t>1MZIatoFhp0jv4eLZmnQneOMMG9yBfGrs</t>
  </si>
  <si>
    <t>SHEELA AUTOMOBILE</t>
  </si>
  <si>
    <t>ACPL00112</t>
  </si>
  <si>
    <t>https://docs.google.com/spreadsheets/d/1fUQnKuEtcNauUdHQbe2Uqem42il1atlCNxeSWUXTiaA/edit#gid=0</t>
  </si>
  <si>
    <t>https://drive.google.com/drive/folders/1MZIatoFhp0jv4eLZmnQneOMMG9yBfGrs</t>
  </si>
  <si>
    <t>sdmkakore@gmail.com</t>
  </si>
  <si>
    <t>11B-8kSH0gJgoCgMmv0w8C_6P4qZyG7h6hdldCVMJqNA</t>
  </si>
  <si>
    <t>AGARSEN AUTOMOBILE</t>
  </si>
  <si>
    <t>1wVmm8zIjXFIL1qugXfvwZ3yrK5P_w6K6</t>
  </si>
  <si>
    <t>ACPL00113</t>
  </si>
  <si>
    <t>https://docs.google.com/spreadsheets/d/11B-8kSH0gJgoCgMmv0w8C_6P4qZyG7h6hdldCVMJqNA/edit#gid=0</t>
  </si>
  <si>
    <t>https://drive.google.com/drive/folders/1wVmm8zIjXFIL1qugXfvwZ3yrK5P_w6K6</t>
  </si>
  <si>
    <t>sdmbugrasi@gmail.com</t>
  </si>
  <si>
    <t>1a7hE99lXmj_QqvEYsr78Q6N1-mxcmCnbqEiJRN1RUOk</t>
  </si>
  <si>
    <t>SOLANKI MOTORS</t>
  </si>
  <si>
    <t>1Bno_1D-38L4y-W-ON3tNKre_2Q2LO6h7</t>
  </si>
  <si>
    <t>ACPL00114</t>
  </si>
  <si>
    <t>https://docs.google.com/spreadsheets/d/1a7hE99lXmj_QqvEYsr78Q6N1-mxcmCnbqEiJRN1RUOk/edit#gid=0</t>
  </si>
  <si>
    <t>https://drive.google.com/drive/folders/1Bno_1D-38L4y-W-ON3tNKre_2Q2LO6h7</t>
  </si>
  <si>
    <t>sdmbbnagar@gmail.com</t>
  </si>
  <si>
    <t>17j5aRjD4kTe3VvlO2qpEFolWacmd9riwj8nppSGLohk</t>
  </si>
  <si>
    <t>Durga Auto - SMP</t>
  </si>
  <si>
    <t>1OpbGE3zi-05lkMfv-HhAjuroQ9nc2wlo</t>
  </si>
  <si>
    <t>ACPL00115</t>
  </si>
  <si>
    <t>https://docs.google.com/spreadsheets/d/17j5aRjD4kTe3VvlO2qpEFolWacmd9riwj8nppSGLohk/edit#gid=0</t>
  </si>
  <si>
    <t>https://drive.google.com/drive/folders/1OpbGE3zi-05lkMfv-HhAjuroQ9nc2wlo</t>
  </si>
  <si>
    <t>rajudurgaauto@gmail.com</t>
  </si>
  <si>
    <t>1t3gopzk1OTS3KoTW1PbFTMhVF5pTGTgKOkW5Lr73qQs</t>
  </si>
  <si>
    <t>Dev Vaahan- Hero Palwal</t>
  </si>
  <si>
    <t>1HXQAwl8VYbnZRQIa3ivLLd2xKihhwYK4</t>
  </si>
  <si>
    <t>Dev Vaahan Hero Palwal</t>
  </si>
  <si>
    <t>ACPL00116</t>
  </si>
  <si>
    <t>https://docs.google.com/spreadsheets/d/1t3gopzk1OTS3KoTW1PbFTMhVF5pTGTgKOkW5Lr73qQs/edit#gid=0</t>
  </si>
  <si>
    <t>https://drive.google.com/drive/folders/1HXQAwl8VYbnZRQIa3ivLLd2xKihhwYK4</t>
  </si>
  <si>
    <t>devvaahan@gmail.com</t>
  </si>
  <si>
    <t>Palwal</t>
  </si>
  <si>
    <t>https://drive.google.com/drive/folders/18iqeh6j8jMIdat-GWDEKjwFti6eZ1SGg</t>
  </si>
  <si>
    <t>1MantqYN_L9u1phKAd2tRf1JbAshYFDLMdeUkvTdUQ8E</t>
  </si>
  <si>
    <t>BD MOTORS TVS - GURGAON</t>
  </si>
  <si>
    <t>1Zb3aYXVvJwzkeI6j3Abb28qQAmaKkVjj</t>
  </si>
  <si>
    <t>ACPL00117</t>
  </si>
  <si>
    <t>https://docs.google.com/spreadsheets/d/1MantqYN_L9u1phKAd2tRf1JbAshYFDLMdeUkvTdUQ8E/edit#gid=0</t>
  </si>
  <si>
    <t>https://drive.google.com/drive/folders/1Zb3aYXVvJwzkeI6j3Abb28qQAmaKkVjj</t>
  </si>
  <si>
    <t>bdmotorstvs@gmail.com</t>
  </si>
  <si>
    <t>16/12/2020 13:33</t>
  </si>
  <si>
    <t>https://drive.google.com/drive/folders/1sfAkITnuIUEaOHmg7uA28Eo8avcQ74MU</t>
  </si>
  <si>
    <t>176zvh_D144kr5dn49FjVWXAIKjjIO1Wqb6zAj_kGTr4</t>
  </si>
  <si>
    <t>Sai Auto</t>
  </si>
  <si>
    <t>1AcAOJl10BaIfiQPHf3s_jxAonFK9RjYL</t>
  </si>
  <si>
    <t>ACPL00118</t>
  </si>
  <si>
    <t>https://docs.google.com/spreadsheets/d/176zvh_D144kr5dn49FjVWXAIKjjIO1Wqb6zAj_kGTr4/edit#gid=0</t>
  </si>
  <si>
    <t>https://drive.google.com/drive/folders/1AcAOJl10BaIfiQPHf3s_jxAonFK9RjYL</t>
  </si>
  <si>
    <t>Vijukotadiya300@gmail.com</t>
  </si>
  <si>
    <t>16/12/2020 17:50</t>
  </si>
  <si>
    <t>https://drive.google.com/drive/folders/1fWV-KySwTZWTtDRuF1kr0DYExtShpnU_</t>
  </si>
  <si>
    <t>1C_6P8aZHJLH36sahBuwDXCSV6YfPH0RInIufKGWcO4E</t>
  </si>
  <si>
    <t>VAW Narona</t>
  </si>
  <si>
    <t>1NtAV6K97tEYf183kBh134l-EEZ-iN-5k</t>
  </si>
  <si>
    <t>ACPL00119</t>
  </si>
  <si>
    <t>https://docs.google.com/spreadsheets/d/1C_6P8aZHJLH36sahBuwDXCSV6YfPH0RInIufKGWcO4E/edit#gid=0</t>
  </si>
  <si>
    <t>https://drive.google.com/drive/folders/1NtAV6K97tEYf183kBh134l-EEZ-iN-5k</t>
  </si>
  <si>
    <t>insurancevawnarona@gmail.com</t>
  </si>
  <si>
    <t>17/12/2020 20:56</t>
  </si>
  <si>
    <t>1olMJPxdvTblXlRJ5Kke7BysRgQVWxsLISMo98ayU8oo</t>
  </si>
  <si>
    <t>Gaurav arora</t>
  </si>
  <si>
    <t>1JLUQFIUWVPiOWK5uWnaQjhZmj5bnmL_9</t>
  </si>
  <si>
    <t>ACPL00120</t>
  </si>
  <si>
    <t>https://docs.google.com/spreadsheets/d/1olMJPxdvTblXlRJ5Kke7BysRgQVWxsLISMo98ayU8oo/edit#gid=0</t>
  </si>
  <si>
    <t>https://drive.google.com/drive/folders/1JLUQFIUWVPiOWK5uWnaQjhZmj5bnmL_9</t>
  </si>
  <si>
    <t>gaurav@aegiscovenant.com</t>
  </si>
  <si>
    <t>21/12/2020 12:12</t>
  </si>
  <si>
    <t>10my9j6PucXwYa7gh_WvsXD6uPvI-yhWp3q1FQznHVc8</t>
  </si>
  <si>
    <t>Sohna Honda</t>
  </si>
  <si>
    <t>1oU-RbKsd1MkrXa1NoMygsvzeQJkSsPny</t>
  </si>
  <si>
    <t>SOHNA HONDA</t>
  </si>
  <si>
    <t>ACPL00121</t>
  </si>
  <si>
    <t>https://docs.google.com/spreadsheets/d/10my9j6PucXwYa7gh_WvsXD6uPvI-yhWp3q1FQznHVc8/edit#gid=0</t>
  </si>
  <si>
    <t>https://drive.google.com/drive/folders/1oU-RbKsd1MkrXa1NoMygsvzeQJkSsPny</t>
  </si>
  <si>
    <t>sohnahonda@gmail.com</t>
  </si>
  <si>
    <t>21/12/2020 12:18</t>
  </si>
  <si>
    <t>1hwxal2Fqa0hEplduGUGitsJlZ0mEGEOEYh3fdHugU9o</t>
  </si>
  <si>
    <t>Shree Balaji Automobiles - Fatehabad</t>
  </si>
  <si>
    <t>1gUsuvvCSn0OmkVDoFcZZIpG7v2QGaDed</t>
  </si>
  <si>
    <t>ACPL00122</t>
  </si>
  <si>
    <t>https://docs.google.com/spreadsheets/d/1hwxal2Fqa0hEplduGUGitsJlZ0mEGEOEYh3fdHugU9o/edit#gid=0</t>
  </si>
  <si>
    <t>https://drive.google.com/drive/folders/1gUsuvvCSn0OmkVDoFcZZIpG7v2QGaDed</t>
  </si>
  <si>
    <t>shreebalajipafatehabad@gmail.com</t>
  </si>
  <si>
    <t>22/12/2020 13:14</t>
  </si>
  <si>
    <t>https://drive.google.com/drive/folders/1ZIQkBgK5drL4qxrq6BAGPh19xLRelZ1h</t>
  </si>
  <si>
    <t>1AyozEGLZqJCcdssyT5lh9p367qkQ4ixlLx7VhIkGjas</t>
  </si>
  <si>
    <t>Shri Krishna Auto - Rohtak</t>
  </si>
  <si>
    <t>1h0HDDwN0urBvKiUr8j5qzaZoqHvuREeG</t>
  </si>
  <si>
    <t>ACPL00123</t>
  </si>
  <si>
    <t>https://docs.google.com/spreadsheets/d/1AyozEGLZqJCcdssyT5lh9p367qkQ4ixlLx7VhIkGjas/edit#gid=0</t>
  </si>
  <si>
    <t>https://drive.google.com/drive/folders/1h0HDDwN0urBvKiUr8j5qzaZoqHvuREeG</t>
  </si>
  <si>
    <t>shrikrishnahondapa@gmail.com</t>
  </si>
  <si>
    <t>22/12/2020 16:46</t>
  </si>
  <si>
    <t>https://drive.google.com/drive/folders/1ent0zOJwg1I1oPXZ8bbWAzibVFzp-nMJ</t>
  </si>
  <si>
    <t>1vT3QczjVeQXI3BUHWLVlmriSeWuoyjUZOrXtNn1poas</t>
  </si>
  <si>
    <t>Ratandeep Motors - Sultanpur</t>
  </si>
  <si>
    <t>1D-YQ0klVgFC3iihP2YjEe6ZxgmszLFa8</t>
  </si>
  <si>
    <t>ACPL00124</t>
  </si>
  <si>
    <t>https://docs.google.com/spreadsheets/d/1vT3QczjVeQXI3BUHWLVlmriSeWuoyjUZOrXtNn1poas/edit#gid=0</t>
  </si>
  <si>
    <t>https://drive.google.com/drive/folders/1D-YQ0klVgFC3iihP2YjEe6ZxgmszLFa8</t>
  </si>
  <si>
    <t>ratandeepmotorssultanpur@gmail.com</t>
  </si>
  <si>
    <t>23/12/2020 13:02</t>
  </si>
  <si>
    <t>Sultanpur</t>
  </si>
  <si>
    <t>https://drive.google.com/drive/folders/1iJgff0ZVx2KTk3677Lxr7qWB2Tm3GuP0</t>
  </si>
  <si>
    <t>1tXTdyZsoSXVb9B3iBitP1V6V5cBJgmDdDrd7x6dN0R4</t>
  </si>
  <si>
    <t>Vijay Auto Agency (AAA) - Borna</t>
  </si>
  <si>
    <t>1incqTYKLPPrbhcs3y2NjBSM4jeCJwwGc</t>
  </si>
  <si>
    <t>ACPL00125</t>
  </si>
  <si>
    <t>https://docs.google.com/spreadsheets/d/1tXTdyZsoSXVb9B3iBitP1V6V5cBJgmDdDrd7x6dN0R4/edit#gid=0</t>
  </si>
  <si>
    <t>https://drive.google.com/drive/folders/1incqTYKLPPrbhcs3y2NjBSM4jeCJwwGc</t>
  </si>
  <si>
    <t>vijayautosalesborna@gmail.com</t>
  </si>
  <si>
    <t>23/12/2020 17:01</t>
  </si>
  <si>
    <t>11FZlKtFUzBvNAVUVwf1C2KpyoxHhbZTiI7E_EdPr-mg</t>
  </si>
  <si>
    <t>Sumitra Sons - Shahajahanpur</t>
  </si>
  <si>
    <t>120wdaapsueBz1jzliNJSoZGjJFZ34v5D</t>
  </si>
  <si>
    <t>ACPL00126</t>
  </si>
  <si>
    <t>https://docs.google.com/spreadsheets/d/11FZlKtFUzBvNAVUVwf1C2KpyoxHhbZTiI7E_EdPr-mg/edit#gid=0</t>
  </si>
  <si>
    <t>https://drive.google.com/drive/folders/120wdaapsueBz1jzliNJSoZGjJFZ34v5D</t>
  </si>
  <si>
    <t>sumitrasonscpa@gmail.com</t>
  </si>
  <si>
    <t>24/12/2020 14:34</t>
  </si>
  <si>
    <t>Shahjahanpur</t>
  </si>
  <si>
    <t>https://drive.google.com/drive/folders/1trP6fQ8gtFGH72ANAbCgghtFB7ODkLHy</t>
  </si>
  <si>
    <t>1Ls4odXuMLfeohk9ZIC00W0M7HKTZolVgkr-fVY8YwrQ</t>
  </si>
  <si>
    <t>R N Motors - Rampur</t>
  </si>
  <si>
    <t>1zs3AbHEC0BDT8M9ZaGoaifCIBOczDHGk</t>
  </si>
  <si>
    <t>ACPL00127</t>
  </si>
  <si>
    <t>https://docs.google.com/spreadsheets/d/1Ls4odXuMLfeohk9ZIC00W0M7HKTZolVgkr-fVY8YwrQ/edit#gid=0</t>
  </si>
  <si>
    <t>https://drive.google.com/drive/folders/1zs3AbHEC0BDT8M9ZaGoaifCIBOczDHGk</t>
  </si>
  <si>
    <t>kamaljeetkaur1904@gmail.com</t>
  </si>
  <si>
    <t>24/12/2020 17:58</t>
  </si>
  <si>
    <t>Rampur</t>
  </si>
  <si>
    <t>https://drive.google.com/drive/folders/1JRHXeV0nny9ZGk6Zv_73QEyghrPTuWp1</t>
  </si>
  <si>
    <t>1egrFzds1dA_qcyd-YeJKBrt74ORJ0Jzk4cfbN-wYoKI</t>
  </si>
  <si>
    <t>Venus Hero Venture - Firozabad</t>
  </si>
  <si>
    <t>1zlu2uWGjLaB5UqV-lpLE0__3jIhuRu1S</t>
  </si>
  <si>
    <t>ACPL00128</t>
  </si>
  <si>
    <t>https://docs.google.com/spreadsheets/d/1egrFzds1dA_qcyd-YeJKBrt74ORJ0Jzk4cfbN-wYoKI/edit#gid=0</t>
  </si>
  <si>
    <t>https://drive.google.com/drive/folders/1zlu2uWGjLaB5UqV-lpLE0__3jIhuRu1S</t>
  </si>
  <si>
    <t>insurance@venusauto.in</t>
  </si>
  <si>
    <t>30/12/2020 14:21</t>
  </si>
  <si>
    <t>Firozabad</t>
  </si>
  <si>
    <t>https://drive.google.com/drive/folders/1h2xUbykAKt2orsLUPqy1ITcIg1yXEk0d</t>
  </si>
  <si>
    <t>1ra6mHCXtOkmX_f5VYmZIM-O0h_lwV1ZF943CChQWm44</t>
  </si>
  <si>
    <t>VAW - Ramghat Road</t>
  </si>
  <si>
    <t>1-AhQ-Z3_AX3Qb3u2oz-ba1_-bbjbO_gy</t>
  </si>
  <si>
    <t>ACPL00129</t>
  </si>
  <si>
    <t>https://docs.google.com/spreadsheets/d/1ra6mHCXtOkmX_f5VYmZIM-O0h_lwV1ZF943CChQWm44/edit#gid=0</t>
  </si>
  <si>
    <t>https://drive.google.com/drive/folders/1-AhQ-Z3_AX3Qb3u2oz-ba1_-bbjbO_gy</t>
  </si>
  <si>
    <t>vawramghatroad@gmail.com</t>
  </si>
  <si>
    <t>1TvRQZ8YHmTzU37pKeH-YEX0J0a9zBflsEJs2L0GfFao</t>
  </si>
  <si>
    <t>VAW - Kodiaganj</t>
  </si>
  <si>
    <t>1DJ6aUo7_j27ieDvBN4-I8juFPwgTKTeR</t>
  </si>
  <si>
    <t>ACPL00130</t>
  </si>
  <si>
    <t>https://docs.google.com/spreadsheets/d/1TvRQZ8YHmTzU37pKeH-YEX0J0a9zBflsEJs2L0GfFao/edit#gid=0</t>
  </si>
  <si>
    <t>https://drive.google.com/drive/folders/1DJ6aUo7_j27ieDvBN4-I8juFPwgTKTeR</t>
  </si>
  <si>
    <t>vawkodiaganj@gmail.com</t>
  </si>
  <si>
    <t>1bYwIVlCfU99TAHdvICTPeCyAgj9qA4D16LviL3oq-wg</t>
  </si>
  <si>
    <t>VAW - Iglas</t>
  </si>
  <si>
    <t>1--LEL8U5G7SeffrjMlozHPOuOewnfDZn</t>
  </si>
  <si>
    <t>ACPL00131</t>
  </si>
  <si>
    <t>https://docs.google.com/spreadsheets/d/1bYwIVlCfU99TAHdvICTPeCyAgj9qA4D16LviL3oq-wg/edit#gid=0</t>
  </si>
  <si>
    <t>https://drive.google.com/drive/folders/1--LEL8U5G7SeffrjMlozHPOuOewnfDZn</t>
  </si>
  <si>
    <t>vawiglas@gmail.com</t>
  </si>
  <si>
    <t>1n0q72v9I-kw0RzKIviLdrLa2PsoBQvNEL7tOwmkWW5Y</t>
  </si>
  <si>
    <t>VAW - Agra Road</t>
  </si>
  <si>
    <t>1AIQ7nriGI9B9WVFJ8siploYB79ArML9h</t>
  </si>
  <si>
    <t>ACPL00132</t>
  </si>
  <si>
    <t>https://docs.google.com/spreadsheets/d/1n0q72v9I-kw0RzKIviLdrLa2PsoBQvNEL7tOwmkWW5Y/edit#gid=0</t>
  </si>
  <si>
    <t>https://drive.google.com/drive/folders/1AIQ7nriGI9B9WVFJ8siploYB79ArML9h</t>
  </si>
  <si>
    <t>vawagraroad@gmail.com</t>
  </si>
  <si>
    <t>1xZLFmrgIQQCVIpiqSQdZXo8Z3s5icym4MeFUuARl1dw</t>
  </si>
  <si>
    <t>OM TVS</t>
  </si>
  <si>
    <t>1zjc7FXcBwJ3HjIUR3gsubLfPQ1yrg0kA</t>
  </si>
  <si>
    <t>ACPL00133</t>
  </si>
  <si>
    <t>https://docs.google.com/spreadsheets/d/1xZLFmrgIQQCVIpiqSQdZXo8Z3s5icym4MeFUuARl1dw/edit#gid=0</t>
  </si>
  <si>
    <t>https://drive.google.com/drive/folders/1zjc7FXcBwJ3HjIUR3gsubLfPQ1yrg0kA</t>
  </si>
  <si>
    <t>omtvsdaurala@gmail.com</t>
  </si>
  <si>
    <t>13/01/2021 16:42</t>
  </si>
  <si>
    <t>https://drive.google.com/drive/folders/16djavhF91X92_Vu_fTtsRt09UXL1X5P7</t>
  </si>
  <si>
    <t>1QKcWwefYRSJheyPsGSz_GjUfTv41Syg0k2USNB-hpQs</t>
  </si>
  <si>
    <t>Darshan Sons (Sumitra Sons) - shahjahanpur</t>
  </si>
  <si>
    <t>1cVdB4INpnzIwYlACPKPEU0E8fl5EVhS7</t>
  </si>
  <si>
    <t>ACPL00134</t>
  </si>
  <si>
    <t>https://docs.google.com/spreadsheets/d/1QKcWwefYRSJheyPsGSz_GjUfTv41Syg0k2USNB-hpQs/edit#gid=0</t>
  </si>
  <si>
    <t>https://drive.google.com/drive/folders/1cVdB4INpnzIwYlACPKPEU0E8fl5EVhS7</t>
  </si>
  <si>
    <t>darshansonsspn@gmail.com</t>
  </si>
  <si>
    <t>18/01/2021 13:55</t>
  </si>
  <si>
    <t>1vMWNNh-aM1nrCnH4Ps5ul1sg36h7ZiVgWbYyiSJDYW8</t>
  </si>
  <si>
    <t>Tarawati Maurya</t>
  </si>
  <si>
    <t>1K-5Qy4FBbKB73sIgRr48xLnE9vAM6PWX</t>
  </si>
  <si>
    <t>ACPL00135</t>
  </si>
  <si>
    <t>https://docs.google.com/spreadsheets/d/1vMWNNh-aM1nrCnH4Ps5ul1sg36h7ZiVgWbYyiSJDYW8/edit#gid=0</t>
  </si>
  <si>
    <t>https://drive.google.com/drive/folders/1K-5Qy4FBbKB73sIgRr48xLnE9vAM6PWX</t>
  </si>
  <si>
    <t>Arjun.vanshi112@gmail.com</t>
  </si>
  <si>
    <t>22/01/2021 12:06</t>
  </si>
  <si>
    <t>181, Chaudhary sarai,budaun</t>
  </si>
  <si>
    <t>Budaun</t>
  </si>
  <si>
    <t>https://drive.google.com/drive/folders/1frtkmLB3MhQQ1Wp5zFYVz-Sy7Xe9d2lp</t>
  </si>
  <si>
    <t>18j4yqkTLlff3QgAQzxbikTB9QfvCJyXh60_rLTsgkUA</t>
  </si>
  <si>
    <t>Jassi Motors - Mainpuri</t>
  </si>
  <si>
    <t>18KOcTNlEQ2nornkTSc1gR0JWPe_jSVV7</t>
  </si>
  <si>
    <t>ACPL00136</t>
  </si>
  <si>
    <t>https://docs.google.com/spreadsheets/d/18j4yqkTLlff3QgAQzxbikTB9QfvCJyXh60_rLTsgkUA/edit#gid=0</t>
  </si>
  <si>
    <t>https://drive.google.com/drive/folders/18KOcTNlEQ2nornkTSc1gR0JWPe_jSVV7</t>
  </si>
  <si>
    <t>jassiinsurancempi@gmail.com</t>
  </si>
  <si>
    <t>27/01/2021 11:32</t>
  </si>
  <si>
    <t>Mainpuri</t>
  </si>
  <si>
    <t>https://drive.google.com/drive/folders/11axf-XPsjiLx9vJQiM4vWa2k5AjNKkIH</t>
  </si>
  <si>
    <t>1dV47fJN9zfoEbGvv71kLmpN6o-gQtGRvXq4lwNICvVc</t>
  </si>
  <si>
    <t>Dhansri Motors - Noida</t>
  </si>
  <si>
    <t>1LeR0rdsN_1CaIv_d6QaOKjzp63D7__JB</t>
  </si>
  <si>
    <t>ACPL00137</t>
  </si>
  <si>
    <t>https://docs.google.com/spreadsheets/d/1dV47fJN9zfoEbGvv71kLmpN6o-gQtGRvXq4lwNICvVc/edit#gid=0</t>
  </si>
  <si>
    <t>https://drive.google.com/drive/folders/1LeR0rdsN_1CaIv_d6QaOKjzp63D7__JB</t>
  </si>
  <si>
    <t>insurance.dhansrimotocorp@gmail.com</t>
  </si>
  <si>
    <t>27/01/2021 16:30</t>
  </si>
  <si>
    <t>https://drive.google.com/drive/folders/1vBtMi1gc7xCWuU8B-B4b1rmnK3K9bWI_</t>
  </si>
  <si>
    <t>1QtE2j1s3tO4so4-6brIBcxG25GkuhYSP382fzi5rqdw</t>
  </si>
  <si>
    <t>Lalit Mohan sharma</t>
  </si>
  <si>
    <t>1EXwONwSw2teN9LU7mStF8syPr5beVCRW</t>
  </si>
  <si>
    <t>ACPL00138</t>
  </si>
  <si>
    <t>https://docs.google.com/spreadsheets/d/1QtE2j1s3tO4so4-6brIBcxG25GkuhYSP382fzi5rqdw/edit#gid=0</t>
  </si>
  <si>
    <t>https://drive.google.com/drive/folders/1EXwONwSw2teN9LU7mStF8syPr5beVCRW</t>
  </si>
  <si>
    <t>lalit.sharma24@yahoo.in</t>
  </si>
  <si>
    <t>30/01/2021 12:08</t>
  </si>
  <si>
    <t>Krishna Nagar Mathura</t>
  </si>
  <si>
    <t>https://drive.google.com/drive/folders/1KMil2GTb6nVDDLA3f_KEPBU57tObCHqP</t>
  </si>
  <si>
    <t>1d-fClpNuQDkiOpgBIcTAkZx1QbsS35V0oPcKli3TAOc</t>
  </si>
  <si>
    <t>Lalit Mohan Sharma</t>
  </si>
  <si>
    <t>1gdnMMAoJ2ktJiI0WWAw8IKzGjKY4q0el</t>
  </si>
  <si>
    <t>ACPL00139</t>
  </si>
  <si>
    <t>https://docs.google.com/spreadsheets/d/1d-fClpNuQDkiOpgBIcTAkZx1QbsS35V0oPcKli3TAOc/edit#gid=0</t>
  </si>
  <si>
    <t>https://drive.google.com/drive/folders/1gdnMMAoJ2ktJiI0WWAw8IKzGjKY4q0el</t>
  </si>
  <si>
    <t>sharmalalitmohan03@gmail.com</t>
  </si>
  <si>
    <t>https://drive.google.com/drive/folders/1g5fLxgXijICYTdzZKntgXFfOct6WVqiP</t>
  </si>
  <si>
    <t>1whkrB_X-9Od4l-1CkkLvnSLfIwfTyRMI1A3rhlUbkHU</t>
  </si>
  <si>
    <t>Titan Automobiles - Chhattisgarh</t>
  </si>
  <si>
    <t>1LENl-krZa-gFxKQLoA_4M8F7IgB1NzvB</t>
  </si>
  <si>
    <t>ACPL00140</t>
  </si>
  <si>
    <t>https://docs.google.com/spreadsheets/d/1whkrB_X-9Od4l-1CkkLvnSLfIwfTyRMI1A3rhlUbkHU/edit#gid=0</t>
  </si>
  <si>
    <t>https://drive.google.com/drive/folders/1LENl-krZa-gFxKQLoA_4M8F7IgB1NzvB</t>
  </si>
  <si>
    <t>titantvs0786@gmail.com</t>
  </si>
  <si>
    <t>Surajpur</t>
  </si>
  <si>
    <t>Chhattisgarh</t>
  </si>
  <si>
    <t>https://drive.google.com/drive/folders/1p0ecj3trYOstSn1HYCdbs6-l9q1qC75N</t>
  </si>
  <si>
    <t>1R-KBg0YkrorE8DStygYpBSvRKir_GExYWSoR962MR28</t>
  </si>
  <si>
    <t>Infinity Auto - Delhi</t>
  </si>
  <si>
    <t>1kwKz_y3Aj12aOfVxcjmJPJJXYpMp4c82</t>
  </si>
  <si>
    <t>ACPL00141</t>
  </si>
  <si>
    <t>https://docs.google.com/spreadsheets/d/1R-KBg0YkrorE8DStygYpBSvRKir_GExYWSoR962MR28/edit#gid=0</t>
  </si>
  <si>
    <t>https://drive.google.com/drive/folders/1kwKz_y3Aj12aOfVxcjmJPJJXYpMp4c82</t>
  </si>
  <si>
    <t>hero.shramanautomobiles@gmail.com</t>
  </si>
  <si>
    <t>https://drive.google.com/drive/folders/144ZebTYaaHF-f4NKiut4ocwgizjFdArR</t>
  </si>
  <si>
    <t>1gpkFkt64SOPtUdTLgYHh3ywX3j8A0gBqJpCUqa9mZ2E</t>
  </si>
  <si>
    <t>Shri Ganga Motors(KAB)- DIWAI</t>
  </si>
  <si>
    <t>1xAwbkA6AHUW7cEQCZiknO4F7cpzEPuU7</t>
  </si>
  <si>
    <t>ACPL00142</t>
  </si>
  <si>
    <t>https://docs.google.com/spreadsheets/d/1gpkFkt64SOPtUdTLgYHh3ywX3j8A0gBqJpCUqa9mZ2E/edit#gid=0</t>
  </si>
  <si>
    <t>https://drive.google.com/drive/folders/1xAwbkA6AHUW7cEQCZiknO4F7cpzEPuU7</t>
  </si>
  <si>
    <t>ghhonda@gmail.com</t>
  </si>
  <si>
    <t>14/02/2021 14:16</t>
  </si>
  <si>
    <t>10TVZfWpwLQGjQeNEgYtxUDB0Ff-TAcnqGp35yEFO690</t>
  </si>
  <si>
    <t>Raja Motors (KAB) - Anupshahr</t>
  </si>
  <si>
    <t>1CwfruJr0h2DR54ooUeBjo9rXXbB3HJWl</t>
  </si>
  <si>
    <t>ACPL00143</t>
  </si>
  <si>
    <t>https://docs.google.com/spreadsheets/d/10TVZfWpwLQGjQeNEgYtxUDB0Ff-TAcnqGp35yEFO690/edit#gid=0</t>
  </si>
  <si>
    <t>https://drive.google.com/drive/folders/1CwfruJr0h2DR54ooUeBjo9rXXbB3HJWl</t>
  </si>
  <si>
    <t>herorajamotors@gmail.com</t>
  </si>
  <si>
    <t>14/02/2021 14:19</t>
  </si>
  <si>
    <t>1_XLcWBp4ERHFxiaI3kI_QYeTmiuf6jLnvzg57PKGdV4</t>
  </si>
  <si>
    <t>Pandit Automobiles (KAB) - Amargarh</t>
  </si>
  <si>
    <t>1MoawB0TZPvgTP5fzh2aTgh29vZDzHZcK</t>
  </si>
  <si>
    <t>ACPL00144</t>
  </si>
  <si>
    <t>https://docs.google.com/spreadsheets/d/1_XLcWBp4ERHFxiaI3kI_QYeTmiuf6jLnvzg57PKGdV4/edit#gid=0</t>
  </si>
  <si>
    <t>https://drive.google.com/drive/folders/1MoawB0TZPvgTP5fzh2aTgh29vZDzHZcK</t>
  </si>
  <si>
    <t>panditheroamargarh@gmail.com</t>
  </si>
  <si>
    <t>14/02/2021 14:20</t>
  </si>
  <si>
    <t>Amargarh</t>
  </si>
  <si>
    <t>1Kqyxw-0LSboMEeSuqYrhFgisXxilEf1M2rD8r466Po0</t>
  </si>
  <si>
    <t>Adesh Automobiles (KAB) - Narora</t>
  </si>
  <si>
    <t>1Z-W5abU1REQja8AsecOwAcGCs_7iQ36x</t>
  </si>
  <si>
    <t>ACPL00145</t>
  </si>
  <si>
    <t>https://docs.google.com/spreadsheets/d/1Kqyxw-0LSboMEeSuqYrhFgisXxilEf1M2rD8r466Po0/edit#gid=0</t>
  </si>
  <si>
    <t>https://drive.google.com/drive/folders/1Z-W5abU1REQja8AsecOwAcGCs_7iQ36x</t>
  </si>
  <si>
    <t>adeshsingh6467@gmail.com</t>
  </si>
  <si>
    <t>14/02/2021 14:21</t>
  </si>
  <si>
    <t>Narora</t>
  </si>
  <si>
    <t>1mPIzaGx8rwte8Mf-mRlb6WTN7sBNGOldRNCSH91K3bY</t>
  </si>
  <si>
    <t>Vikas Motors ( KAB)- JAHANGIRABAD</t>
  </si>
  <si>
    <t>1nApNR02byATRNiDVrK8P7d8dkDlzHHuO</t>
  </si>
  <si>
    <t>ACPL00146</t>
  </si>
  <si>
    <t>https://docs.google.com/spreadsheets/d/1mPIzaGx8rwte8Mf-mRlb6WTN7sBNGOldRNCSH91K3bY/edit#gid=0</t>
  </si>
  <si>
    <t>https://drive.google.com/drive/folders/1nApNR02byATRNiDVrK8P7d8dkDlzHHuO</t>
  </si>
  <si>
    <t>vikashlodhi036@gmail.com</t>
  </si>
  <si>
    <t>14/02/2021 14:26</t>
  </si>
  <si>
    <t>Jahangirabad</t>
  </si>
  <si>
    <t>1mU9iAGn4-HAQ-mbHBoZ8Bo4zVxOSHvTU8RtHuYSW4cI</t>
  </si>
  <si>
    <t>Sonu Motors(KAB)- AURANGABAD</t>
  </si>
  <si>
    <t>1HcHiFCRaprYsNmlAiqWdS5ptQjXtNZqV</t>
  </si>
  <si>
    <t>ACPL00147</t>
  </si>
  <si>
    <t>https://docs.google.com/spreadsheets/d/1mU9iAGn4-HAQ-mbHBoZ8Bo4zVxOSHvTU8RtHuYSW4cI/edit#gid=0</t>
  </si>
  <si>
    <t>https://drive.google.com/drive/folders/1HcHiFCRaprYsNmlAiqWdS5ptQjXtNZqV</t>
  </si>
  <si>
    <t>sonumotorsa.bad@gmail.com</t>
  </si>
  <si>
    <t>14/02/2021 14:27</t>
  </si>
  <si>
    <t>Aurangabad</t>
  </si>
  <si>
    <t>1eadD90u_QHYWVVLEumQCr0hMVIKVxHEKRn2KsZZbuqc</t>
  </si>
  <si>
    <t>AMAN HERO - GHAZIABAD</t>
  </si>
  <si>
    <t>1qnBr1EajmNql2tOd4H1dMpVqpYfIUlFw</t>
  </si>
  <si>
    <t>ACPL00148</t>
  </si>
  <si>
    <t>https://docs.google.com/spreadsheets/d/1eadD90u_QHYWVVLEumQCr0hMVIKVxHEKRn2KsZZbuqc/edit#gid=0</t>
  </si>
  <si>
    <t>https://drive.google.com/drive/folders/1qnBr1EajmNql2tOd4H1dMpVqpYfIUlFw</t>
  </si>
  <si>
    <t>amanherovijaynagarpa@gmail.com</t>
  </si>
  <si>
    <t>Vijay Nagar, Ghaziabad</t>
  </si>
  <si>
    <t>https://drive.google.com/drive/folders/1lbgOH5P99l9nymTf5Pivob4laFZTQLqa</t>
  </si>
  <si>
    <t>1eWL9qs4gF2hDOrao950bttsqaQjvqYNOwOArak2wAWY</t>
  </si>
  <si>
    <t>PREMA HONDA- BIHAR(SN)</t>
  </si>
  <si>
    <t>19cXjtKKHch2N0FYyMpJn5ine6TgKkuS-</t>
  </si>
  <si>
    <t>PREMA HONDA BIHAR</t>
  </si>
  <si>
    <t>ACPL00149</t>
  </si>
  <si>
    <t>https://docs.google.com/spreadsheets/d/1eWL9qs4gF2hDOrao950bttsqaQjvqYNOwOArak2wAWY/edit#gid=0</t>
  </si>
  <si>
    <t>https://drive.google.com/drive/folders/19cXjtKKHch2N0FYyMpJn5ine6TgKkuS-</t>
  </si>
  <si>
    <t>premaenquiry@gmail.com</t>
  </si>
  <si>
    <t>Patna</t>
  </si>
  <si>
    <t>Bihar</t>
  </si>
  <si>
    <t>https://drive.google.com/drive/folders/1HnDtkC69T2j66nEpjz0BU6WOk6rc45A3</t>
  </si>
  <si>
    <t>1rJGxnVgNYw4R0sSIyn3TAqm2-oK_NlkxU2BLo1Qupus</t>
  </si>
  <si>
    <t>Prema Honda-2-BIHAR</t>
  </si>
  <si>
    <t>1ZpRYHXjFM2AFHgfDAKgVmTGkKVZ8FDgq</t>
  </si>
  <si>
    <t>ACPL00150</t>
  </si>
  <si>
    <t>https://docs.google.com/spreadsheets/d/1rJGxnVgNYw4R0sSIyn3TAqm2-oK_NlkxU2BLo1Qupus/edit#gid=0</t>
  </si>
  <si>
    <t>https://drive.google.com/drive/folders/1ZpRYHXjFM2AFHgfDAKgVmTGkKVZ8FDgq</t>
  </si>
  <si>
    <t>acctpremahonda@gmail.com</t>
  </si>
  <si>
    <t>https://drive.google.com/drive/folders/1Z1vO7ImfFXPE6p7jRsQC6QonlyTYK-Gv</t>
  </si>
  <si>
    <t>1Y6CS_YCls02UZ2FEArdhqIm2nzY7mjD6osbZ1wBxDHc</t>
  </si>
  <si>
    <t>PREMA HONDA - RING ROAD</t>
  </si>
  <si>
    <t>19Ze4f9L1_g-mYMlALgBQ0GjugJIK3Azd</t>
  </si>
  <si>
    <t>PREMA HONDA- RING ROAD</t>
  </si>
  <si>
    <t>ACPL00151</t>
  </si>
  <si>
    <t>https://docs.google.com/spreadsheets/d/1Y6CS_YCls02UZ2FEArdhqIm2nzY7mjD6osbZ1wBxDHc/edit#gid=0</t>
  </si>
  <si>
    <t>https://drive.google.com/drive/folders/19Ze4f9L1_g-mYMlALgBQ0GjugJIK3Azd</t>
  </si>
  <si>
    <t>Premahondaboringroad@gmail.com</t>
  </si>
  <si>
    <t>PATNA</t>
  </si>
  <si>
    <t>https://drive.google.com/drive/folders/1MfNBQmNKd2SsqiJjiKfgvUJ2Qo_uBInR</t>
  </si>
  <si>
    <t>192zKbFKanpgygP9G48DLmPDTTKNW3gODllZMh9lO2n4</t>
  </si>
  <si>
    <t>Jawahar Motors - Moradabad</t>
  </si>
  <si>
    <t>1vyCK0JJ2XejE4IrUhagZIN1TpuSo1hyD</t>
  </si>
  <si>
    <t>ACPL00152</t>
  </si>
  <si>
    <t>https://docs.google.com/spreadsheets/d/192zKbFKanpgygP9G48DLmPDTTKNW3gODllZMh9lO2n4/edit#gid=0</t>
  </si>
  <si>
    <t>https://drive.google.com/drive/folders/1vyCK0JJ2XejE4IrUhagZIN1TpuSo1hyD</t>
  </si>
  <si>
    <t>jawaharmotorspa@gmail.com</t>
  </si>
  <si>
    <t>Moradabad</t>
  </si>
  <si>
    <t>https://drive.google.com/drive/folders/1Z-b9R-X2R7IyvK5JGdGOp800Q_n-1noZ</t>
  </si>
  <si>
    <t>1qQZx2rIu3czgGT-jqqGQhriwwhiT40cPvlLtgeF1YSg</t>
  </si>
  <si>
    <t>Balaji Motors - Hardoi</t>
  </si>
  <si>
    <t>1VHWGocibOcs_zM1dqYgT43p5T-Ru5nlQ</t>
  </si>
  <si>
    <t>ACPL00153</t>
  </si>
  <si>
    <t>https://docs.google.com/spreadsheets/d/1qQZx2rIu3czgGT-jqqGQhriwwhiT40cPvlLtgeF1YSg/edit#gid=0</t>
  </si>
  <si>
    <t>https://drive.google.com/drive/folders/1VHWGocibOcs_zM1dqYgT43p5T-Ru5nlQ</t>
  </si>
  <si>
    <t>balajimotorshardoi@gmail.com</t>
  </si>
  <si>
    <t>Hardoi</t>
  </si>
  <si>
    <t>https://drive.google.com/drive/folders/1y_ot-J2pehWHsy5gP_j3hZVvE75N5nbf</t>
  </si>
  <si>
    <t>1S2YNz2hsIyDIwT68EF1VR8O-D7oanl9HQJpcApwJPG4</t>
  </si>
  <si>
    <t>Vanshadi Motors - Faizabad</t>
  </si>
  <si>
    <t>1FWYggageCzUlnO-H03tXIY8BJzJOwYNz</t>
  </si>
  <si>
    <t>ACPL00154</t>
  </si>
  <si>
    <t>https://docs.google.com/spreadsheets/d/1S2YNz2hsIyDIwT68EF1VR8O-D7oanl9HQJpcApwJPG4/edit#gid=0</t>
  </si>
  <si>
    <t>https://drive.google.com/drive/folders/1FWYggageCzUlnO-H03tXIY8BJzJOwYNz</t>
  </si>
  <si>
    <t>vanshadicpa@gmail.com</t>
  </si>
  <si>
    <t>Faizabad</t>
  </si>
  <si>
    <t>https://drive.google.com/drive/folders/1Un4mwJDrpPK0jJWuVWmTESoa02IMENkk</t>
  </si>
  <si>
    <t>1BwcIzZvh2T5Ujlh5jkvkSeatvF-YbuitkQwoRkKGAHU</t>
  </si>
  <si>
    <t>Shree Shyam ji Hero- Meerut</t>
  </si>
  <si>
    <t>1-tE1eANRZvYpJ1HKT11Qo5-XGlxp73yu</t>
  </si>
  <si>
    <t>ACPL00155</t>
  </si>
  <si>
    <t>https://docs.google.com/spreadsheets/d/1BwcIzZvh2T5Ujlh5jkvkSeatvF-YbuitkQwoRkKGAHU/edit#gid=0</t>
  </si>
  <si>
    <t>https://drive.google.com/drive/folders/1-tE1eANRZvYpJ1HKT11Qo5-XGlxp73yu</t>
  </si>
  <si>
    <t>hsrpshrishyam@gmail.com</t>
  </si>
  <si>
    <t>https://drive.google.com/drive/folders/12qA1Nl5gqTLdazJ2aAlnpfnwXzUTq2Y0</t>
  </si>
  <si>
    <t>1-RGBeKDN73oqOmm6wKvrYGgPoHhF6AoBWbXbAsegR_M</t>
  </si>
  <si>
    <t>HANSAUTOMOBILE- SHAHJHANPUR(SP)</t>
  </si>
  <si>
    <t>1irdpSKCMy3n96iapsdybiQJYqSRfdRT3</t>
  </si>
  <si>
    <t>ACPL00156</t>
  </si>
  <si>
    <t>https://docs.google.com/spreadsheets/d/1-RGBeKDN73oqOmm6wKvrYGgPoHhF6AoBWbXbAsegR_M/edit#gid=0</t>
  </si>
  <si>
    <t>https://drive.google.com/drive/folders/1irdpSKCMy3n96iapsdybiQJYqSRfdRT3</t>
  </si>
  <si>
    <t>Hansautomobiles123@gmail.com</t>
  </si>
  <si>
    <t>Tilhar, SHAHJHANPUR</t>
  </si>
  <si>
    <t>SHAHJHANPUR</t>
  </si>
  <si>
    <t>https://drive.google.com/drive/folders/1q2NHxCArJ3ISlI2jKt_Rk5_Y5sbdTyJy</t>
  </si>
  <si>
    <t>1nNUUalGOlMWDdYbk6V0hbfrM7YklXBY-gP0UjcjGIBo</t>
  </si>
  <si>
    <t>GSM BAJAJ- KHANDSA GURGAON-(SP)</t>
  </si>
  <si>
    <t>1GRHDztyTF9iOnj_NW1sa7_n3xK7ddKR5</t>
  </si>
  <si>
    <t>ACPL00157</t>
  </si>
  <si>
    <t>https://docs.google.com/spreadsheets/d/1nNUUalGOlMWDdYbk6V0hbfrM7YklXBY-gP0UjcjGIBo/edit#gid=0</t>
  </si>
  <si>
    <t>https://drive.google.com/drive/folders/1GRHDztyTF9iOnj_NW1sa7_n3xK7ddKR5</t>
  </si>
  <si>
    <t>d13006.sales@baldealer.com</t>
  </si>
  <si>
    <t>Khansa, Gurgaon</t>
  </si>
  <si>
    <t>https://drive.google.com/drive/folders/1rPQYtJ1r_aJXCeZVP72Dsb3FIRnEQ20w</t>
  </si>
  <si>
    <t>1Gr4Dqm3VC_aFirTVGJtSHZmd3Y6Hkd8pWAN1HsALU_o</t>
  </si>
  <si>
    <t>Jay Kumar Arun Kumar Hero - Meerut</t>
  </si>
  <si>
    <t>1Q2Lyg9VGILkpAiDyLIDCUcTV5Ak4Ab3y</t>
  </si>
  <si>
    <t>ACPL00158</t>
  </si>
  <si>
    <t>https://docs.google.com/spreadsheets/d/1Gr4Dqm3VC_aFirTVGJtSHZmd3Y6Hkd8pWAN1HsALU_o/edit#gid=0</t>
  </si>
  <si>
    <t>https://drive.google.com/drive/folders/1Q2Lyg9VGILkpAiDyLIDCUcTV5Ak4Ab3y</t>
  </si>
  <si>
    <t>jkak4225@gmail.com</t>
  </si>
  <si>
    <t>https://drive.google.com/drive/folders/1UwgXIv_dDA23Nus65XA3dy4OE5jE0yzA</t>
  </si>
  <si>
    <t>1lgZm4ATdvS3q8SH9cQmTsfbYjc0IuVfsbWILI4aQOtw</t>
  </si>
  <si>
    <t>CHAUDHARY MOTORS- KHURJA</t>
  </si>
  <si>
    <t>1FG3ei6BIL4iEZPw_MBk2y6JJFyK19YtK</t>
  </si>
  <si>
    <t>ACPL00159</t>
  </si>
  <si>
    <t>https://docs.google.com/spreadsheets/d/1lgZm4ATdvS3q8SH9cQmTsfbYjc0IuVfsbWILI4aQOtw/edit#gid=0</t>
  </si>
  <si>
    <t>https://drive.google.com/drive/folders/1FG3ei6BIL4iEZPw_MBk2y6JJFyK19YtK</t>
  </si>
  <si>
    <t>khurja.chaudhary@gmail.com</t>
  </si>
  <si>
    <t>Khurja</t>
  </si>
  <si>
    <t>KHURJA</t>
  </si>
  <si>
    <t>https://drive.google.com/drive/folders/1CLu3Y9I1c1SsLo8bV9VeSp1eVV2KAQlP</t>
  </si>
  <si>
    <t>1pWj6JXfCN2O_M_9nR2upI3ud3_mfmIWPPdWUgAgAe9Y</t>
  </si>
  <si>
    <t>KUNDAN HERO- PUNE</t>
  </si>
  <si>
    <t>1YgFm42gxfKtv2fIciQfOfO2K_fuKcFAM</t>
  </si>
  <si>
    <t>ACPL00160</t>
  </si>
  <si>
    <t>https://docs.google.com/spreadsheets/d/1pWj6JXfCN2O_M_9nR2upI3ud3_mfmIWPPdWUgAgAe9Y/edit#gid=0</t>
  </si>
  <si>
    <t>https://drive.google.com/drive/folders/1YgFm42gxfKtv2fIciQfOfO2K_fuKcFAM</t>
  </si>
  <si>
    <t>gafarkhanp@gmail.com</t>
  </si>
  <si>
    <t>BHAVDHAN</t>
  </si>
  <si>
    <t>PUNE</t>
  </si>
  <si>
    <t>Maharashtra</t>
  </si>
  <si>
    <t>https://drive.google.com/drive/folders/1t5t2WkF2iL1vtmMU3bjFodXrWz9BlCvT</t>
  </si>
  <si>
    <t>12HJShHGOf09kSf0pLTPVE9xJIZSZJH5W8y2DhvGtYRU</t>
  </si>
  <si>
    <t>Badar Motors - Sambhal</t>
  </si>
  <si>
    <t>1pctzQlNvONFxoDLipbYQkNkSd2AuChYd</t>
  </si>
  <si>
    <t>ACPL00161</t>
  </si>
  <si>
    <t>https://docs.google.com/spreadsheets/d/12HJShHGOf09kSf0pLTPVE9xJIZSZJH5W8y2DhvGtYRU/edit#gid=0</t>
  </si>
  <si>
    <t>https://drive.google.com/drive/folders/1pctzQlNvONFxoDLipbYQkNkSd2AuChYd</t>
  </si>
  <si>
    <t>shadmanpasha.sambhal@gmail.com</t>
  </si>
  <si>
    <t>13/03/2021 17:46</t>
  </si>
  <si>
    <t>Sambhal</t>
  </si>
  <si>
    <t>https://drive.google.com/drive/folders/1XSlSk-I7DLclZCdfKN_pWUurBv3x4gx0</t>
  </si>
  <si>
    <t>1TMTMDBTSLXzi0POas5HDprui-sp3TCVvRYWE8buap-0</t>
  </si>
  <si>
    <t>Chandra Automobiles - Faizabad</t>
  </si>
  <si>
    <t>1_CoyxEKaquEJ_StbPCZ-UbHrHCYi3JwI</t>
  </si>
  <si>
    <t>ACPL00162</t>
  </si>
  <si>
    <t>https://docs.google.com/spreadsheets/d/1TMTMDBTSLXzi0POas5HDprui-sp3TCVvRYWE8buap-0/edit#gid=0</t>
  </si>
  <si>
    <t>https://drive.google.com/drive/folders/1_CoyxEKaquEJ_StbPCZ-UbHrHCYi3JwI</t>
  </si>
  <si>
    <t>cpachandrahero@gmail.com</t>
  </si>
  <si>
    <t>14/03/2021 17:23</t>
  </si>
  <si>
    <t>https://drive.google.com/drive/folders/1V9HIHhajtXou3F7n9vHfvyQSCLBlrwf9</t>
  </si>
  <si>
    <t>1yeu1sNSbb2j8YGtFyG1D4WLawBmqXJv51bLIGiQ9gJs</t>
  </si>
  <si>
    <t>GANPATI AUTOMOBILE-DEORIA</t>
  </si>
  <si>
    <t>1lFj9j1KQmCNrBcTYOUjR4GT6k8Am0KTy</t>
  </si>
  <si>
    <t>ACPL00163</t>
  </si>
  <si>
    <t>https://docs.google.com/spreadsheets/d/1yeu1sNSbb2j8YGtFyG1D4WLawBmqXJv51bLIGiQ9gJs/edit#gid=0</t>
  </si>
  <si>
    <t>https://drive.google.com/drive/folders/1lFj9j1KQmCNrBcTYOUjR4GT6k8Am0KTy</t>
  </si>
  <si>
    <t>ganpatiautomobilepa@gmail.com</t>
  </si>
  <si>
    <t>15/03/2021 13:24</t>
  </si>
  <si>
    <t>Deoria</t>
  </si>
  <si>
    <t>https://drive.google.com/drive/folders/1ShFbm3kv3rvW_pyfGvBHHuaw2Ka_K5tO</t>
  </si>
  <si>
    <t>1ujz4e03ajQcNujiybbh9kWwlqBz9h70rMo6I6wAh-WI</t>
  </si>
  <si>
    <t>Golden Enterprises - Shikohabad</t>
  </si>
  <si>
    <t>153FecE3gYfl6OrWEfgplQvlj0NlDEoZ_</t>
  </si>
  <si>
    <t>ACPL00164</t>
  </si>
  <si>
    <t>https://docs.google.com/spreadsheets/d/1ujz4e03ajQcNujiybbh9kWwlqBz9h70rMo6I6wAh-WI/edit#gid=0</t>
  </si>
  <si>
    <t>https://drive.google.com/drive/folders/153FecE3gYfl6OrWEfgplQvlj0NlDEoZ_</t>
  </si>
  <si>
    <t>insurance.goldenhero@gmail.com</t>
  </si>
  <si>
    <t>15/03/2021 17:01</t>
  </si>
  <si>
    <t>Shikohabad</t>
  </si>
  <si>
    <t>https://drive.google.com/drive/folders/1Dc-Aa6Z_zlpplCju1886g6Fnjj3BC6mX</t>
  </si>
  <si>
    <t>1L9RtM1bzB4DA93tD_IGwUFHY3tNGdFYoNpultJI5GgQ</t>
  </si>
  <si>
    <t>Sushil automobiles - Basti</t>
  </si>
  <si>
    <t>1I8rc5XDt1WXug7_JNyPVYuce-bRIvLN5</t>
  </si>
  <si>
    <t>Sushil automobiles- Basti</t>
  </si>
  <si>
    <t>ACPL00165</t>
  </si>
  <si>
    <t>https://docs.google.com/spreadsheets/d/1L9RtM1bzB4DA93tD_IGwUFHY3tNGdFYoNpultJI5GgQ/edit#gid=0</t>
  </si>
  <si>
    <t>https://drive.google.com/drive/folders/1I8rc5XDt1WXug7_JNyPVYuce-bRIvLN5</t>
  </si>
  <si>
    <t>Sushilautomobiles@gmail.com</t>
  </si>
  <si>
    <t>17/03/2021 12:29</t>
  </si>
  <si>
    <t>Basti</t>
  </si>
  <si>
    <t>https://drive.google.com/drive/folders/1NhNyM22IG3RIycmUMzzBCfpbOgTVySLa</t>
  </si>
  <si>
    <t>1BqR_Ok1XKiMbwmdK26aLR_BYoeEJpv9mAZfv_Tb9vx4</t>
  </si>
  <si>
    <t>Concept Automobile - Hardoi</t>
  </si>
  <si>
    <t>1iZb3-dZEjiEBttYm-2aD0mQCulGe5kEm</t>
  </si>
  <si>
    <t>ACPL00166</t>
  </si>
  <si>
    <t>https://docs.google.com/spreadsheets/d/1BqR_Ok1XKiMbwmdK26aLR_BYoeEJpv9mAZfv_Tb9vx4/edit#gid=0</t>
  </si>
  <si>
    <t>https://drive.google.com/drive/folders/1iZb3-dZEjiEBttYm-2aD0mQCulGe5kEm</t>
  </si>
  <si>
    <t>conceptautomobilescpa@gmail.com</t>
  </si>
  <si>
    <t>19/03/2021 13:58</t>
  </si>
  <si>
    <t>https://drive.google.com/drive/folders/1CiXF21qTI-38rZgcvXuPHRKQYZ8E2s-5</t>
  </si>
  <si>
    <t>1Pe7FzdsQsobTnfMtw8AFR97wsuAbRapZxNXhDErhL0Q</t>
  </si>
  <si>
    <t>OCEANIC TVS - Ahmedabad</t>
  </si>
  <si>
    <t>1FUX1-36jZkaFKyaZyHFTy5PcF0HhcDcT</t>
  </si>
  <si>
    <t>ACPL00167</t>
  </si>
  <si>
    <t>https://docs.google.com/spreadsheets/d/1Pe7FzdsQsobTnfMtw8AFR97wsuAbRapZxNXhDErhL0Q/edit#gid=0</t>
  </si>
  <si>
    <t>https://drive.google.com/drive/folders/1FUX1-36jZkaFKyaZyHFTy5PcF0HhcDcT</t>
  </si>
  <si>
    <t>oceanictvs.insurance@gmail.com</t>
  </si>
  <si>
    <t>20/03/2021 11:19</t>
  </si>
  <si>
    <t>Ahmedabad</t>
  </si>
  <si>
    <t>https://drive.google.com/drive/folders/1SKBYNA8wSdvH8BpYjLK-5B3DMeknzhng</t>
  </si>
  <si>
    <t>1424BF0G1OZasQ2pfFa99AWqhw7W1Y3ykkj8Wf5aSWWc</t>
  </si>
  <si>
    <t>GOKULAUTOWORLD - AHMEDABAD</t>
  </si>
  <si>
    <t>12ZhDkObPZarJ3Vi6uiHhuzP6OlRH3e2G</t>
  </si>
  <si>
    <t>ACPL00168</t>
  </si>
  <si>
    <t>https://docs.google.com/spreadsheets/d/1424BF0G1OZasQ2pfFa99AWqhw7W1Y3ykkj8Wf5aSWWc/edit#gid=0</t>
  </si>
  <si>
    <t>https://drive.google.com/drive/folders/12ZhDkObPZarJ3Vi6uiHhuzP6OlRH3e2G</t>
  </si>
  <si>
    <t>gokulautoworld@gmail.com</t>
  </si>
  <si>
    <t>30/03/2021 17:48</t>
  </si>
  <si>
    <t>https://drive.google.com/drive/folders/15KCAqDE0TIWZMTOFmBdvPhprpUYZ0qYC</t>
  </si>
  <si>
    <t>1TMacegY-Sk7pr6CF_YiZtnxppf8kQ29DX8ZSzN8Nba0</t>
  </si>
  <si>
    <t>YASH AUTOMOBILES-PUNE</t>
  </si>
  <si>
    <t>11gNfmwS517GZ7B9DP7774ooreHfmd-dX</t>
  </si>
  <si>
    <t>ACPL00169</t>
  </si>
  <si>
    <t>https://docs.google.com/spreadsheets/d/1TMacegY-Sk7pr6CF_YiZtnxppf8kQ29DX8ZSzN8Nba0/edit#gid=0</t>
  </si>
  <si>
    <t>https://drive.google.com/drive/folders/11gNfmwS517GZ7B9DP7774ooreHfmd-dX</t>
  </si>
  <si>
    <t>yashhondapune@gmail.com</t>
  </si>
  <si>
    <t>Pune</t>
  </si>
  <si>
    <t>27AAAFY0748DIZB</t>
  </si>
  <si>
    <t>https://drive.google.com/drive/folders/1ET6vhLJJC3y5LcTC6JZGrtsijZ1TIItm</t>
  </si>
  <si>
    <t>1kMvgnwSkK4p35wcMsguAxORW1vQe7W1vnlmFj46sMCo</t>
  </si>
  <si>
    <t>KOTHARI WHEEL- PUNE</t>
  </si>
  <si>
    <t>1grXiAL1tbJpDFLd7E4wBXbOMWVtvojXI</t>
  </si>
  <si>
    <t>ACPL00170</t>
  </si>
  <si>
    <t>https://docs.google.com/spreadsheets/d/1kMvgnwSkK4p35wcMsguAxORW1vQe7W1vnlmFj46sMCo/edit#gid=0</t>
  </si>
  <si>
    <t>https://drive.google.com/drive/folders/1grXiAL1tbJpDFLd7E4wBXbOMWVtvojXI</t>
  </si>
  <si>
    <t>kothariwheelsko@gmail.com</t>
  </si>
  <si>
    <t>https://drive.google.com/drive/folders/1o8P25rArnZdU6xihPjPFxBQm5fWjKwDr</t>
  </si>
  <si>
    <t>1876RfsSjY4efSikG9YDGUWajbPv924bhaJa0AJLdD8E</t>
  </si>
  <si>
    <t>Shree Durga Motors Counter 1 - Sikandrabad</t>
  </si>
  <si>
    <t>1-s-O-PqyDLAmYmtqdrolj31n7scYDPnr</t>
  </si>
  <si>
    <t>ACPL00171</t>
  </si>
  <si>
    <t>https://docs.google.com/spreadsheets/d/1876RfsSjY4efSikG9YDGUWajbPv924bhaJa0AJLdD8E/edit#gid=0</t>
  </si>
  <si>
    <t>https://drive.google.com/drive/folders/1-s-O-PqyDLAmYmtqdrolj31n7scYDPnr</t>
  </si>
  <si>
    <t>sdmins9991@gmail.com</t>
  </si>
  <si>
    <t>Sikandrabad</t>
  </si>
  <si>
    <t>1U0Ayati-OdaXS_d4dcZK-B_eN6wBy_dqoN1Vmk0t45Y</t>
  </si>
  <si>
    <t>Umar Nisar Automobiles - Gulaothi</t>
  </si>
  <si>
    <t>1oGzhxaeK4t_mML89tJ1Jce1f-g5kIFIq</t>
  </si>
  <si>
    <t>ACPL00172</t>
  </si>
  <si>
    <t>https://docs.google.com/spreadsheets/d/1U0Ayati-OdaXS_d4dcZK-B_eN6wBy_dqoN1Vmk0t45Y/edit#gid=0</t>
  </si>
  <si>
    <t>https://drive.google.com/drive/folders/1oGzhxaeK4t_mML89tJ1Jce1f-g5kIFIq</t>
  </si>
  <si>
    <t>sdmgulavathi@gmail.com</t>
  </si>
  <si>
    <t>Gulaothi</t>
  </si>
  <si>
    <t>1zei1ne3QpSt186ff-L2PaKoV0maqqSe-91NIiwTBSko</t>
  </si>
  <si>
    <t>Agrawal Motors (SDM) - Siyana</t>
  </si>
  <si>
    <t>15VDBdABLnzxfAk9dIpZN-ATd0iMWc7OY</t>
  </si>
  <si>
    <t>ACPL00173</t>
  </si>
  <si>
    <t>https://docs.google.com/spreadsheets/d/1zei1ne3QpSt186ff-L2PaKoV0maqqSe-91NIiwTBSko/edit#gid=0</t>
  </si>
  <si>
    <t>https://drive.google.com/drive/folders/15VDBdABLnzxfAk9dIpZN-ATd0iMWc7OY</t>
  </si>
  <si>
    <t>sdmins9992@gmail.com</t>
  </si>
  <si>
    <t>Siyana</t>
  </si>
  <si>
    <t>1EqLBGhhw88ePbxTSdniMo_of3cuMUNJduNtdzPonF7w</t>
  </si>
  <si>
    <t>SHREE SAI AUTOMOBILE</t>
  </si>
  <si>
    <t>126_whwmj1lZ2layv8bsHfIuQRJKgvePy</t>
  </si>
  <si>
    <t>ACPL00174</t>
  </si>
  <si>
    <t>https://docs.google.com/spreadsheets/d/1EqLBGhhw88ePbxTSdniMo_of3cuMUNJduNtdzPonF7w/edit#gid=0</t>
  </si>
  <si>
    <t>https://drive.google.com/drive/folders/126_whwmj1lZ2layv8bsHfIuQRJKgvePy</t>
  </si>
  <si>
    <t>shreesaiautomobilepa@gmail.com</t>
  </si>
  <si>
    <t>Roorkee</t>
  </si>
  <si>
    <t>ROORKEE</t>
  </si>
  <si>
    <t>Uttarakhand</t>
  </si>
  <si>
    <t>https://drive.google.com/drive/folders/1mD24sQMiUBPQb7MFXfBXb7IuNsoJEEt7</t>
  </si>
  <si>
    <t>1O_YH7HeoRy08ymR5SENYSag175TzKlknDTuYKpt1BUk</t>
  </si>
  <si>
    <t>Aditya Kapil</t>
  </si>
  <si>
    <t>1s8vrw-cNkZcxhfL7AYNt1TLnFCZXLAl2</t>
  </si>
  <si>
    <t>ADITYA KAPIL</t>
  </si>
  <si>
    <t>ACPL00175</t>
  </si>
  <si>
    <t>https://docs.google.com/spreadsheets/d/1O_YH7HeoRy08ymR5SENYSag175TzKlknDTuYKpt1BUk/edit#gid=0</t>
  </si>
  <si>
    <t>https://drive.google.com/drive/folders/1s8vrw-cNkZcxhfL7AYNt1TLnFCZXLAl2</t>
  </si>
  <si>
    <t>aditya@aegiscovenant.com</t>
  </si>
  <si>
    <t>New delhi</t>
  </si>
  <si>
    <t>https://drive.google.com/drive/folders/13tHTIG7fe-bXrQ4P3LDw0JbcxkANJU9J</t>
  </si>
  <si>
    <t>1B-m4X6iF3jRLf0ddVMd8f7C-8pwyVJ8yhSFcm_mYOvk</t>
  </si>
  <si>
    <t>LAXMI MOTORS- DEORIA(GAD)</t>
  </si>
  <si>
    <t>1e-dMUfO7ipvsXRiQModzuNx9DFrpH7J-</t>
  </si>
  <si>
    <t>ACPL00176</t>
  </si>
  <si>
    <t>https://docs.google.com/spreadsheets/d/1B-m4X6iF3jRLf0ddVMd8f7C-8pwyVJ8yhSFcm_mYOvk/edit#gid=0</t>
  </si>
  <si>
    <t>https://drive.google.com/drive/folders/1e-dMUfO7ipvsXRiQModzuNx9DFrpH7J-</t>
  </si>
  <si>
    <t>laxmimotorspa@gmail.com</t>
  </si>
  <si>
    <t>15/04/2021 10:23</t>
  </si>
  <si>
    <t>https://drive.google.com/drive/folders/1yR6Vb36SeiTGuM1jYcqF4IHgL4woj7hd</t>
  </si>
  <si>
    <t>13Q6lXJAgG-rKIYYEKfXUKjvucEdoR4-WM0JvV0evp2A</t>
  </si>
  <si>
    <t>PREMA HONDA-MAHENDRU</t>
  </si>
  <si>
    <t>1J1PbCPnrRvT0mEFzdjU9P2FmaJLjICF4</t>
  </si>
  <si>
    <t>ACPL00177</t>
  </si>
  <si>
    <t>https://docs.google.com/spreadsheets/d/13Q6lXJAgG-rKIYYEKfXUKjvucEdoR4-WM0JvV0evp2A/edit#gid=0</t>
  </si>
  <si>
    <t>https://drive.google.com/drive/folders/1J1PbCPnrRvT0mEFzdjU9P2FmaJLjICF4</t>
  </si>
  <si>
    <t>premahondamahendru7@gmail.com</t>
  </si>
  <si>
    <t>16/04/2021 12:15</t>
  </si>
  <si>
    <t>NIT MOR PATNA</t>
  </si>
  <si>
    <t>1kKJQREB-gMUjjfvkNJBZGf8b6FppISEs2byO4uZriFc</t>
  </si>
  <si>
    <t>Navya Motors - Gorakhpur</t>
  </si>
  <si>
    <t>1Y0oEVkpUUDC1QvWUOxm0SFgBMSB6n-TW</t>
  </si>
  <si>
    <t>ACPL00178</t>
  </si>
  <si>
    <t>https://docs.google.com/spreadsheets/d/1kKJQREB-gMUjjfvkNJBZGf8b6FppISEs2byO4uZriFc/edit#gid=0</t>
  </si>
  <si>
    <t>https://drive.google.com/drive/folders/1Y0oEVkpUUDC1QvWUOxm0SFgBMSB6n-TW</t>
  </si>
  <si>
    <t>navyashowroomcpa@gmail.com</t>
  </si>
  <si>
    <t>14/05/2021 08:31</t>
  </si>
  <si>
    <t>Gorakhpur</t>
  </si>
  <si>
    <t>https://drive.google.com/drive/folders/1yyjKqizeKQFY37WNXWkHlzKtMcpn-rRx</t>
  </si>
  <si>
    <t>1unvzt24PL_Fl_Wbl-5lHzYEhCzCxGGtlN9oHLIhnpPw</t>
  </si>
  <si>
    <t>Srivastava Automobiles - Lalitpur</t>
  </si>
  <si>
    <t>1rjD5CkhpTqdFg0p__lEsTDvPpZyeclsZ</t>
  </si>
  <si>
    <t>ACPL00179</t>
  </si>
  <si>
    <t>https://docs.google.com/spreadsheets/d/1unvzt24PL_Fl_Wbl-5lHzYEhCzCxGGtlN9oHLIhnpPw/edit#gid=0</t>
  </si>
  <si>
    <t>https://drive.google.com/drive/folders/1rjD5CkhpTqdFg0p__lEsTDvPpZyeclsZ</t>
  </si>
  <si>
    <t>policy@srivastavaautomobiles.com</t>
  </si>
  <si>
    <t>Lalitpur</t>
  </si>
  <si>
    <t>https://drive.google.com/drive/folders/1AF48C14ZGXJxXtIIRtFSGXn2i_5vaI_O</t>
  </si>
  <si>
    <t>1_UtGSoyOsljQXvmry7gfXGYwjwEjQbghQQGZebnq45M</t>
  </si>
  <si>
    <t>Modern Auto Agency - Bettiah</t>
  </si>
  <si>
    <t>15swfdTTf0hRgCJfyAfZgd3Kkj9Lzgvys</t>
  </si>
  <si>
    <t>ACPL00180</t>
  </si>
  <si>
    <t>https://docs.google.com/spreadsheets/d/1_UtGSoyOsljQXvmry7gfXGYwjwEjQbghQQGZebnq45M/edit#gid=0</t>
  </si>
  <si>
    <t>https://drive.google.com/drive/folders/15swfdTTf0hRgCJfyAfZgd3Kkj9Lzgvys</t>
  </si>
  <si>
    <t>modernauto10198@gmail.com</t>
  </si>
  <si>
    <t>Bettiah</t>
  </si>
  <si>
    <t>https://drive.google.com/drive/folders/1SBAqnGSlk_LoMAiGF9CwtXgXTajEUpxA</t>
  </si>
  <si>
    <t>1NEcDRVp7-BhxvyRG6JkeAHZpznEr-vKt291CED4WZPk</t>
  </si>
  <si>
    <t>Bal Mukund Hero - Etah</t>
  </si>
  <si>
    <t>1fmxZv-p_G9sb24hQ-SoUXW_ZT-IXedTB</t>
  </si>
  <si>
    <t>ACPL00181</t>
  </si>
  <si>
    <t>https://docs.google.com/spreadsheets/d/1NEcDRVp7-BhxvyRG6JkeAHZpznEr-vKt291CED4WZPk/edit#gid=0</t>
  </si>
  <si>
    <t>https://drive.google.com/drive/folders/1fmxZv-p_G9sb24hQ-SoUXW_ZT-IXedTB</t>
  </si>
  <si>
    <t>Balmukundinsurance@gmail.com</t>
  </si>
  <si>
    <t>Etah</t>
  </si>
  <si>
    <t>https://drive.google.com/drive/folders/10h5x-JeZmvlTMjOxzAHBDD7vovj2pg8a</t>
  </si>
  <si>
    <t>1DVpSm5a7kKqZxFgDUdJBRIcgAuTZosRKDnkmPEIdEG4</t>
  </si>
  <si>
    <t>MAHESH MOTORS - DINAJPUR</t>
  </si>
  <si>
    <t>1bxYghWl_NzF_lj3IkDiufqhSzKccMtU_</t>
  </si>
  <si>
    <t>ACPL00182</t>
  </si>
  <si>
    <t>https://docs.google.com/spreadsheets/d/1DVpSm5a7kKqZxFgDUdJBRIcgAuTZosRKDnkmPEIdEG4/edit#gid=0</t>
  </si>
  <si>
    <t>https://drive.google.com/drive/folders/1bxYghWl_NzF_lj3IkDiufqhSzKccMtU_</t>
  </si>
  <si>
    <t>maheshheroblg@gmail.com</t>
  </si>
  <si>
    <t>19/06/2021 14:43</t>
  </si>
  <si>
    <t>DINAJPUR</t>
  </si>
  <si>
    <t>West Bengal</t>
  </si>
  <si>
    <t>https://drive.google.com/drive/folders/1ZmX17GUv0csrp095f7FeaMxdyTHp5hlm</t>
  </si>
  <si>
    <t>1oQVPfd8k9NkVTkQGOHRAq_y-oNhBZ1Ssb0pUJIc1AnM</t>
  </si>
  <si>
    <t>Standard Auto Agency - Bahraich</t>
  </si>
  <si>
    <t>1RhnLus4L6IeXIL80FIhIR_v8mZhcHS2O</t>
  </si>
  <si>
    <t>ACPL00183</t>
  </si>
  <si>
    <t>https://docs.google.com/spreadsheets/d/1oQVPfd8k9NkVTkQGOHRAq_y-oNhBZ1Ssb0pUJIc1AnM/edit#gid=0</t>
  </si>
  <si>
    <t>https://drive.google.com/drive/folders/1RhnLus4L6IeXIL80FIhIR_v8mZhcHS2O</t>
  </si>
  <si>
    <t>cpastandardhero@gmail.com</t>
  </si>
  <si>
    <t>23/06/2021 11:34</t>
  </si>
  <si>
    <t>Bahraich</t>
  </si>
  <si>
    <t>https://drive.google.com/drive/folders/1GAAbTitzlIdBrDMstrt-r1IMKq9yKCFG</t>
  </si>
  <si>
    <t>1MZSuDBhj6MvXnyvchodYUa5X-Tmx0AyJTkxlHAAvtro</t>
  </si>
  <si>
    <t>Krishna &amp; Company - Bahraich</t>
  </si>
  <si>
    <t>1i7-UBeN5BgtH_7FQWb1WLxpCk3LpTC7J</t>
  </si>
  <si>
    <t>ACPL00184</t>
  </si>
  <si>
    <t>https://docs.google.com/spreadsheets/d/1MZSuDBhj6MvXnyvchodYUa5X-Tmx0AyJTkxlHAAvtro/edit#gid=0</t>
  </si>
  <si>
    <t>https://drive.google.com/drive/folders/1i7-UBeN5BgtH_7FQWb1WLxpCk3LpTC7J</t>
  </si>
  <si>
    <t>krishnaherocpa@gmail.com</t>
  </si>
  <si>
    <t>23/06/2021 12:53</t>
  </si>
  <si>
    <t>https://drive.google.com/drive/folders/1eKlxvRU4MfZvI1EXgOMHs-l--IfEgoc8</t>
  </si>
  <si>
    <t>1F-qgo65nyduysDsu4OiPqLBtjm1sTnysGmg4Ke93FbU</t>
  </si>
  <si>
    <t>Shri Narain auto</t>
  </si>
  <si>
    <t>1ieikGRRcxi3sv1bUn9aiE78gRbHNYBsD</t>
  </si>
  <si>
    <t>ACPL00185</t>
  </si>
  <si>
    <t>https://docs.google.com/spreadsheets/d/1F-qgo65nyduysDsu4OiPqLBtjm1sTnysGmg4Ke93FbU/edit#gid=0</t>
  </si>
  <si>
    <t>https://drive.google.com/drive/folders/1ieikGRRcxi3sv1bUn9aiE78gRbHNYBsD</t>
  </si>
  <si>
    <t>narainautopa@gmail.com</t>
  </si>
  <si>
    <t>23/06/2021 14:12</t>
  </si>
  <si>
    <t>Gola</t>
  </si>
  <si>
    <t>https://drive.google.com/drive/folders/1ptc0dP0ctiBDRvPijGp21VujFGmUd4vy</t>
  </si>
  <si>
    <t>1rHOrl-RR_wmvN1hR6qvRLwO5p4_e081st6veS3SDnKk</t>
  </si>
  <si>
    <t>AGARWAL HERO SITAPUR</t>
  </si>
  <si>
    <t>1NvjwMxPQICWKBhcbXq58MAEe4wLP3UX4</t>
  </si>
  <si>
    <t>ACPL00186</t>
  </si>
  <si>
    <t>https://docs.google.com/spreadsheets/d/1rHOrl-RR_wmvN1hR6qvRLwO5p4_e081st6veS3SDnKk/edit#gid=0</t>
  </si>
  <si>
    <t>https://drive.google.com/drive/folders/1NvjwMxPQICWKBhcbXq58MAEe4wLP3UX4</t>
  </si>
  <si>
    <t>agarwalhero.cpa@gmail.com</t>
  </si>
  <si>
    <t>24/06/2021 12:36</t>
  </si>
  <si>
    <t>SITAPUR</t>
  </si>
  <si>
    <t>Sitapur</t>
  </si>
  <si>
    <t>https://drive.google.com/drive/folders/1doJg1qXzxI5AhGu4iF7JtAqqERaEFXjZ</t>
  </si>
  <si>
    <t>15if03Q4YLoDcHi2HznX5QBpY6yQHJPDyifJKxRYKV-8</t>
  </si>
  <si>
    <t>SATKAR HONDA - RUDRAPUR</t>
  </si>
  <si>
    <t>1moSU7CU2bPgUxi1zZsb7Z2vZCkGt21eZ</t>
  </si>
  <si>
    <t>ACPL00187</t>
  </si>
  <si>
    <t>https://docs.google.com/spreadsheets/d/15if03Q4YLoDcHi2HznX5QBpY6yQHJPDyifJKxRYKV-8/edit#gid=0</t>
  </si>
  <si>
    <t>https://drive.google.com/drive/folders/1moSU7CU2bPgUxi1zZsb7Z2vZCkGt21eZ</t>
  </si>
  <si>
    <t>Satkarhonda2wheelers@gmail.com</t>
  </si>
  <si>
    <t>24/06/2021 15:14</t>
  </si>
  <si>
    <t>UTTARAKHAND</t>
  </si>
  <si>
    <t>RUDRAPUR</t>
  </si>
  <si>
    <t>05ABHFS5406J1Z4</t>
  </si>
  <si>
    <t>https://drive.google.com/drive/folders/13CbQeFj4dmzxr1QsppmjxEaHUsvYMSLG</t>
  </si>
  <si>
    <t>1Bn0dgc_QYbF664LnJPJT-IEcqhx5gMA1AtzkRyd3ZGA</t>
  </si>
  <si>
    <t>Jai Automobiles - Akbarpur</t>
  </si>
  <si>
    <t>1qqR1BDbQ9tzHTt-P1wGP2IyJ6qdLW5FB</t>
  </si>
  <si>
    <t>ACPL00188</t>
  </si>
  <si>
    <t>https://docs.google.com/spreadsheets/d/1Bn0dgc_QYbF664LnJPJT-IEcqhx5gMA1AtzkRyd3ZGA/edit#gid=0</t>
  </si>
  <si>
    <t>https://drive.google.com/drive/folders/1qqR1BDbQ9tzHTt-P1wGP2IyJ6qdLW5FB</t>
  </si>
  <si>
    <t>jaiautomobiles12@gmail.com</t>
  </si>
  <si>
    <t>25/06/2021 13:02</t>
  </si>
  <si>
    <t>Akbarpur</t>
  </si>
  <si>
    <t>https://drive.google.com/drive/folders/1eHvlKqmfi4apCt-bPJfIRJB0GqfGPdiz</t>
  </si>
  <si>
    <t>1VIUqOp_UXFVjhTtvQswmqJ7NEi8nkGyfHAoJPy-wvSA</t>
  </si>
  <si>
    <t>Kamal Hero - Gonda</t>
  </si>
  <si>
    <t>1g_G-dz3uzr6t-FpHel9_TMFjT-3RSaG1</t>
  </si>
  <si>
    <t>ACPL00189</t>
  </si>
  <si>
    <t>https://docs.google.com/spreadsheets/d/1VIUqOp_UXFVjhTtvQswmqJ7NEi8nkGyfHAoJPy-wvSA/edit#gid=0</t>
  </si>
  <si>
    <t>https://drive.google.com/drive/folders/1g_G-dz3uzr6t-FpHel9_TMFjT-3RSaG1</t>
  </si>
  <si>
    <t>kamalherocpa@gmail.com</t>
  </si>
  <si>
    <t>26/06/2021 10:55</t>
  </si>
  <si>
    <t>Gonda</t>
  </si>
  <si>
    <t>https://drive.google.com/drive/folders/1hZ9ae6-tboALNr3AyfxfzIiRl72c_EDs</t>
  </si>
  <si>
    <t>1n7-iUzN79cdRZqVwntVYXRPOJ2BUYBkTQu6jF4vKAdE</t>
  </si>
  <si>
    <t>D D S Motors - Gonda</t>
  </si>
  <si>
    <t>1KFISc_O0dlhMgbnfH8QOpx6JhpDd4Mo-</t>
  </si>
  <si>
    <t>ACPL00190</t>
  </si>
  <si>
    <t>https://docs.google.com/spreadsheets/d/1n7-iUzN79cdRZqVwntVYXRPOJ2BUYBkTQu6jF4vKAdE/edit#gid=0</t>
  </si>
  <si>
    <t>https://drive.google.com/drive/folders/1KFISc_O0dlhMgbnfH8QOpx6JhpDd4Mo-</t>
  </si>
  <si>
    <t>ddsherocpa@gmail.com</t>
  </si>
  <si>
    <t>28/06/2021 13:45</t>
  </si>
  <si>
    <t>https://drive.google.com/drive/folders/164e8DOrgYVqWADHih9sdIUaaNbiovF8u</t>
  </si>
  <si>
    <t>1hlnCiW64Y7uZNVOj2ewyfTULbWj1dUaXX2rUREx8W8o</t>
  </si>
  <si>
    <t>Asha Motor - Kannauj</t>
  </si>
  <si>
    <t>1z4gLct1vbTK-XT-iKUKF5iGCGjQBmYwk</t>
  </si>
  <si>
    <t>ACPL00191</t>
  </si>
  <si>
    <t>https://docs.google.com/spreadsheets/d/1hlnCiW64Y7uZNVOj2ewyfTULbWj1dUaXX2rUREx8W8o/edit#gid=0</t>
  </si>
  <si>
    <t>https://drive.google.com/drive/folders/1z4gLct1vbTK-XT-iKUKF5iGCGjQBmYwk</t>
  </si>
  <si>
    <t>ashamotorcpa@gmail.com</t>
  </si>
  <si>
    <t>30/06/2021 12:54</t>
  </si>
  <si>
    <t>Kannauj</t>
  </si>
  <si>
    <t>https://drive.google.com/drive/folders/1o7tWTkd2zAG1gJ5eTr7cahre4NK81raA</t>
  </si>
  <si>
    <t>1qVCbO1-x1wvM0-NhcEVhkvWdoKy0Q9zezj6PELJNkXM</t>
  </si>
  <si>
    <t>NEELAM AUTOMOBILES (MAA) - NARKATIAGANJ</t>
  </si>
  <si>
    <t>1AVCb-r2huaVDv2GWF5gKi7foUXZuNHFU</t>
  </si>
  <si>
    <t>ACPL00192</t>
  </si>
  <si>
    <t>https://docs.google.com/spreadsheets/d/1qVCbO1-x1wvM0-NhcEVhkvWdoKy0Q9zezj6PELJNkXM/edit#gid=0</t>
  </si>
  <si>
    <t>https://drive.google.com/drive/folders/1AVCb-r2huaVDv2GWF5gKi7foUXZuNHFU</t>
  </si>
  <si>
    <t>neelam22260@gmail.com</t>
  </si>
  <si>
    <t>NARKATIAGANJ</t>
  </si>
  <si>
    <t>1UyyiO2ozt9UX5AJamlEvIX5j825tQ-SAIIQCdxpAP0Y</t>
  </si>
  <si>
    <t>VINAY AUTO AGENCY (MAA) - BAGAHA</t>
  </si>
  <si>
    <t>1kVhztSDg7t16OMQjAPOuyvPh6JBVcmdx</t>
  </si>
  <si>
    <t>ACPL00193</t>
  </si>
  <si>
    <t>https://docs.google.com/spreadsheets/d/1UyyiO2ozt9UX5AJamlEvIX5j825tQ-SAIIQCdxpAP0Y/edit#gid=0</t>
  </si>
  <si>
    <t>https://drive.google.com/drive/folders/1kVhztSDg7t16OMQjAPOuyvPh6JBVcmdx</t>
  </si>
  <si>
    <t>vinayhero22261@gmail.com</t>
  </si>
  <si>
    <t>BAGAHA</t>
  </si>
  <si>
    <t>18-Jt-1hSQWeUmfNImHZoIB1DJTVR1SDzcs7QHsFc8IQ</t>
  </si>
  <si>
    <t>MILAN AUTO AGENCY (MAA) - RAMNAGAR</t>
  </si>
  <si>
    <t>1FUG2ocbU2nE1Wa-dLXWuVAJqKeIIUBfo</t>
  </si>
  <si>
    <t>ACPL00194</t>
  </si>
  <si>
    <t>https://docs.google.com/spreadsheets/d/18-Jt-1hSQWeUmfNImHZoIB1DJTVR1SDzcs7QHsFc8IQ/edit#gid=0</t>
  </si>
  <si>
    <t>https://drive.google.com/drive/folders/1FUG2ocbU2nE1Wa-dLXWuVAJqKeIIUBfo</t>
  </si>
  <si>
    <t>milan61218@gmail.com</t>
  </si>
  <si>
    <t>RAMNAGAR</t>
  </si>
  <si>
    <t>1HM8WbBnHpHB3rDjfMfy58j7gi_pEy5b2nEqGnoGP7mk</t>
  </si>
  <si>
    <t>SHAKTI AUTOMOBILES (MAA) - JAGDISHPUR</t>
  </si>
  <si>
    <t>1JHhWdX9YjCIwWJfcL-gGrJsScJrdxjTZ</t>
  </si>
  <si>
    <t>ACPL00195</t>
  </si>
  <si>
    <t>https://docs.google.com/spreadsheets/d/1HM8WbBnHpHB3rDjfMfy58j7gi_pEy5b2nEqGnoGP7mk/edit#gid=0</t>
  </si>
  <si>
    <t>https://drive.google.com/drive/folders/1JHhWdX9YjCIwWJfcL-gGrJsScJrdxjTZ</t>
  </si>
  <si>
    <t>shakti63549@gmail.com</t>
  </si>
  <si>
    <t>JAGDISHPUR</t>
  </si>
  <si>
    <t>1qxwsz8bKbkgF_CUEIo4wHtKWUOmG5XLVsTe2BNqwe-U</t>
  </si>
  <si>
    <t>OM HERO AGENCY (MAA) - LAURIYA</t>
  </si>
  <si>
    <t>1d_LFEVVOVbMYTJCG48dc6zCq3hEMvlq3</t>
  </si>
  <si>
    <t>ACPL00196</t>
  </si>
  <si>
    <t>https://docs.google.com/spreadsheets/d/1qxwsz8bKbkgF_CUEIo4wHtKWUOmG5XLVsTe2BNqwe-U/edit#gid=0</t>
  </si>
  <si>
    <t>https://drive.google.com/drive/folders/1d_LFEVVOVbMYTJCG48dc6zCq3hEMvlq3</t>
  </si>
  <si>
    <t>omhero64105@gmail.com</t>
  </si>
  <si>
    <t>LAURIYA</t>
  </si>
  <si>
    <t>1Q8U3Jj55bW7tNWEEYKak-6r3JRnqYxwcO8TnGV4lF2I</t>
  </si>
  <si>
    <t>LAXMI ENTERPRISES (MAA) - HARNATAR</t>
  </si>
  <si>
    <t>1dXT_O2yrhrPmnYpvSCtrVqVrMyilMfny</t>
  </si>
  <si>
    <t>ACPL00197</t>
  </si>
  <si>
    <t>https://docs.google.com/spreadsheets/d/1Q8U3Jj55bW7tNWEEYKak-6r3JRnqYxwcO8TnGV4lF2I/edit#gid=0</t>
  </si>
  <si>
    <t>https://drive.google.com/drive/folders/1dXT_O2yrhrPmnYpvSCtrVqVrMyilMfny</t>
  </si>
  <si>
    <t>laxmi65020@gmail.com</t>
  </si>
  <si>
    <t>HARNATAR</t>
  </si>
  <si>
    <t>1DNYx1_npboOhtIjFO3-v0kReMiQ0lrIDMiGeLHlNEsA</t>
  </si>
  <si>
    <t>GUPTA AUTO AGENCY (MAA) - TAMKUHA</t>
  </si>
  <si>
    <t>1DOxYMCkYgmYq4Nwo4cfC2LgPudkQvJ3d</t>
  </si>
  <si>
    <t>ACPL00198</t>
  </si>
  <si>
    <t>https://docs.google.com/spreadsheets/d/1DNYx1_npboOhtIjFO3-v0kReMiQ0lrIDMiGeLHlNEsA/edit#gid=0</t>
  </si>
  <si>
    <t>https://drive.google.com/drive/folders/1DOxYMCkYgmYq4Nwo4cfC2LgPudkQvJ3d</t>
  </si>
  <si>
    <t>gupta65376@gmail.com</t>
  </si>
  <si>
    <t>TAMKUHA</t>
  </si>
  <si>
    <t>1U6sajfm4sKb9dpl7fnhhnc14-rNO99jD48Fg5iEe_MM</t>
  </si>
  <si>
    <t>SHIV HERO AGENCY (MAA) - JAMUNIA</t>
  </si>
  <si>
    <t>1wzkmffuqHw1u__UtCiN0-fvocf4FcDCk</t>
  </si>
  <si>
    <t>ACPL00199</t>
  </si>
  <si>
    <t>https://docs.google.com/spreadsheets/d/1U6sajfm4sKb9dpl7fnhhnc14-rNO99jD48Fg5iEe_MM/edit#gid=0</t>
  </si>
  <si>
    <t>https://drive.google.com/drive/folders/1wzkmffuqHw1u__UtCiN0-fvocf4FcDCk</t>
  </si>
  <si>
    <t>shivhero65862@gmail.com</t>
  </si>
  <si>
    <t>JAMUNIA</t>
  </si>
  <si>
    <t>1a9gtQ7HlAwL1VT97lzul59hlYqscXYdQ7Sg85wtHL40</t>
  </si>
  <si>
    <t>NEW LAXMI AUTOMOBILES (MAA) - MAINATAND</t>
  </si>
  <si>
    <t>1wggWoJQMvvJl4TOAIuJR7CtGWO5YAyIL</t>
  </si>
  <si>
    <t>ACPL00200</t>
  </si>
  <si>
    <t>https://docs.google.com/spreadsheets/d/1a9gtQ7HlAwL1VT97lzul59hlYqscXYdQ7Sg85wtHL40/edit#gid=0</t>
  </si>
  <si>
    <t>https://drive.google.com/drive/folders/1wggWoJQMvvJl4TOAIuJR7CtGWO5YAyIL</t>
  </si>
  <si>
    <t>newlaxmi65891@gmail.com</t>
  </si>
  <si>
    <t>MAINATAND</t>
  </si>
  <si>
    <t>18hibfOdBkTwP70jRUUH2L7OgAiquBXCXX9EqLpop6DM</t>
  </si>
  <si>
    <t>BALAJI AUTOMOBILES (MAA) - CHANPATIA</t>
  </si>
  <si>
    <t>1eNECJwsBc0tR3Nc4vdRPCNY8kXlXPxgH</t>
  </si>
  <si>
    <t>ACPL00201</t>
  </si>
  <si>
    <t>https://docs.google.com/spreadsheets/d/18hibfOdBkTwP70jRUUH2L7OgAiquBXCXX9EqLpop6DM/edit#gid=0</t>
  </si>
  <si>
    <t>https://drive.google.com/drive/folders/1eNECJwsBc0tR3Nc4vdRPCNY8kXlXPxgH</t>
  </si>
  <si>
    <t>balaji66247@gmail.com</t>
  </si>
  <si>
    <t>CHANPATIA</t>
  </si>
  <si>
    <t>1tv7cW1HkpPnyDwBqxX4e63ihXTxB7vNx36c1SO0c8cw</t>
  </si>
  <si>
    <t>MAA KALI AUTOMOBILES (MAA) - CHAUTARWA</t>
  </si>
  <si>
    <t>1AX8n3Lj9jqXGakblgyBdn_gXBLxTsgEk</t>
  </si>
  <si>
    <t>ACPL00202</t>
  </si>
  <si>
    <t>https://docs.google.com/spreadsheets/d/1tv7cW1HkpPnyDwBqxX4e63ihXTxB7vNx36c1SO0c8cw/edit#gid=0</t>
  </si>
  <si>
    <t>https://drive.google.com/drive/folders/1AX8n3Lj9jqXGakblgyBdn_gXBLxTsgEk</t>
  </si>
  <si>
    <t>jaimaa66248@gmail.com</t>
  </si>
  <si>
    <t>CHAUTARWA</t>
  </si>
  <si>
    <t>1WQ0DX77J6m33SoaG5bV3EujIyD1Rwgu2cjhAGxkklkQ</t>
  </si>
  <si>
    <t>EMIRATES AUTO AGENCY (MAA) - SEMRA</t>
  </si>
  <si>
    <t>1Y4b5ANf1cB_8ZAsnWV7BuQpDS5pjIsrj</t>
  </si>
  <si>
    <t>ACPL00203</t>
  </si>
  <si>
    <t>https://docs.google.com/spreadsheets/d/1WQ0DX77J6m33SoaG5bV3EujIyD1Rwgu2cjhAGxkklkQ/edit#gid=0</t>
  </si>
  <si>
    <t>https://drive.google.com/drive/folders/1Y4b5ANf1cB_8ZAsnWV7BuQpDS5pjIsrj</t>
  </si>
  <si>
    <t>emirates11953@gmail.com</t>
  </si>
  <si>
    <t>SEMRA</t>
  </si>
  <si>
    <t>10TnasMBGApJv5zXBkEcyf7wGKAliCEb2pmIfKVexScs</t>
  </si>
  <si>
    <t>Mayank Automobiles - Muzaffarpur</t>
  </si>
  <si>
    <t>1jWfFrRx93ZeT3M91T3gTyO2pR7Fvu6Ix</t>
  </si>
  <si>
    <t>ACPL00204</t>
  </si>
  <si>
    <t>https://docs.google.com/spreadsheets/d/10TnasMBGApJv5zXBkEcyf7wGKAliCEb2pmIfKVexScs/edit#gid=0</t>
  </si>
  <si>
    <t>https://drive.google.com/drive/folders/1jWfFrRx93ZeT3M91T3gTyO2pR7Fvu6Ix</t>
  </si>
  <si>
    <t>mayanktvs.muz@gmail.com</t>
  </si>
  <si>
    <t>Muzaffarpur</t>
  </si>
  <si>
    <t>10APCPS9941P1ZC</t>
  </si>
  <si>
    <t>https://drive.google.com/drive/folders/1l_J2AYwGCk_yr5JeT-MkQX808FVSl_0q</t>
  </si>
  <si>
    <t>1xdioECnPW5B9Jx1lGE6BzQBP3X2De1AEBtF29NVixH0</t>
  </si>
  <si>
    <t>Vishwakarma Automobiles - Muzaffarpur</t>
  </si>
  <si>
    <t>1bfjc1gsA98QSk6gGLm4Xjn0VJEP10oh2</t>
  </si>
  <si>
    <t>ACPL00205</t>
  </si>
  <si>
    <t>https://docs.google.com/spreadsheets/d/1xdioECnPW5B9Jx1lGE6BzQBP3X2De1AEBtF29NVixH0/edit#gid=0</t>
  </si>
  <si>
    <t>https://drive.google.com/drive/folders/1bfjc1gsA98QSk6gGLm4Xjn0VJEP10oh2</t>
  </si>
  <si>
    <t>vishwakarmaautosale@gmail.com</t>
  </si>
  <si>
    <t>MUZAFFARPUR</t>
  </si>
  <si>
    <t>10AVTPS4494G2Z3</t>
  </si>
  <si>
    <t>https://drive.google.com/drive/folders/1-XN6R3zsaTIjYTfLn9359RQJBsxo00cb</t>
  </si>
  <si>
    <t>1DoydwShLxFhj9cTyIaVm15blnPqnJh7zHTdoUs01LN8</t>
  </si>
  <si>
    <t>SVR MOTORS - RAICHUR</t>
  </si>
  <si>
    <t>1LjrD26ja8Z6zCjdzTHaBmLYe177IDmdr</t>
  </si>
  <si>
    <t>ACPL00206</t>
  </si>
  <si>
    <t>https://docs.google.com/spreadsheets/d/1DoydwShLxFhj9cTyIaVm15blnPqnJh7zHTdoUs01LN8/edit#gid=0</t>
  </si>
  <si>
    <t>https://drive.google.com/drive/folders/1LjrD26ja8Z6zCjdzTHaBmLYe177IDmdr</t>
  </si>
  <si>
    <t>584102.VRX.MOT@GMAIL.COM</t>
  </si>
  <si>
    <t>HERO ELECTRIC VEHICLE.</t>
  </si>
  <si>
    <t>RAICHUR</t>
  </si>
  <si>
    <t>1vLaBz74ueKQC05BDHxZbKK6goeX4KXIwd6Tvp-pl8Zg</t>
  </si>
  <si>
    <t>Mahesh Motor 1 - Dinajpur</t>
  </si>
  <si>
    <t>14P9KTS2mhChOFwQ7DioDAAiQG-7eT2c1</t>
  </si>
  <si>
    <t>ACPL00207</t>
  </si>
  <si>
    <t>https://docs.google.com/spreadsheets/d/1vLaBz74ueKQC05BDHxZbKK6goeX4KXIwd6Tvp-pl8Zg/edit#gid=0</t>
  </si>
  <si>
    <t>https://drive.google.com/drive/folders/14P9KTS2mhChOFwQ7DioDAAiQG-7eT2c1</t>
  </si>
  <si>
    <t>maheshmotorsinsurance1@gmail.com</t>
  </si>
  <si>
    <t>Dinajpur</t>
  </si>
  <si>
    <t>1rhJaBBEzbkggfETTk-DY2S-cRSFPRY-RoZp0bXmjg2U</t>
  </si>
  <si>
    <t>Mahesh Motor 2 - Dinajpur</t>
  </si>
  <si>
    <t>1ZoutMW4hUcFAMyEme_Y8L5SkF1NU30g2</t>
  </si>
  <si>
    <t>ACPL00208</t>
  </si>
  <si>
    <t>https://docs.google.com/spreadsheets/d/1rhJaBBEzbkggfETTk-DY2S-cRSFPRY-RoZp0bXmjg2U/edit#gid=0</t>
  </si>
  <si>
    <t>https://drive.google.com/drive/folders/1ZoutMW4hUcFAMyEme_Y8L5SkF1NU30g2</t>
  </si>
  <si>
    <t>maheshmotorsinsurance2@gmail.com</t>
  </si>
  <si>
    <t>1HiDqUYA_MPU2cm2LpWmxJaCWOO7QBi_JoETCkTl7vPU</t>
  </si>
  <si>
    <t>Mahesh Motor 3 - Dinajpur</t>
  </si>
  <si>
    <t>1nyP_Q0DRGl-xJLducA6Vba1I6SokJ8x2</t>
  </si>
  <si>
    <t>ACPL00209</t>
  </si>
  <si>
    <t>https://docs.google.com/spreadsheets/d/1HiDqUYA_MPU2cm2LpWmxJaCWOO7QBi_JoETCkTl7vPU/edit#gid=0</t>
  </si>
  <si>
    <t>https://drive.google.com/drive/folders/1nyP_Q0DRGl-xJLducA6Vba1I6SokJ8x2</t>
  </si>
  <si>
    <t>maheshmotorsinsurance3@gmail.com</t>
  </si>
  <si>
    <t>1u5nlK89DUKbohumNTMcU9oOnhT7__c91_mu2iHHIxhk</t>
  </si>
  <si>
    <t>Tiwari Automobiles(AM) - Chhibramau</t>
  </si>
  <si>
    <t>1_dkDIkEyYSrG5rw16GIAiF9Lj1MjibWg</t>
  </si>
  <si>
    <t>ACPL00210</t>
  </si>
  <si>
    <t>https://docs.google.com/spreadsheets/d/1u5nlK89DUKbohumNTMcU9oOnhT7__c91_mu2iHHIxhk/edit#gid=0</t>
  </si>
  <si>
    <t>https://drive.google.com/drive/folders/1_dkDIkEyYSrG5rw16GIAiF9Lj1MjibWg</t>
  </si>
  <si>
    <t>tiwariautomobilescpa@gmail.com</t>
  </si>
  <si>
    <t>14/07/2021 15:59</t>
  </si>
  <si>
    <t>Chhibramau</t>
  </si>
  <si>
    <t>1Enun10TuqDjmYI19mcuHneCrMiJ9pWK970R1I3IYu50</t>
  </si>
  <si>
    <t>Shanu Motors(AM) - Saurikh</t>
  </si>
  <si>
    <t>1SCF28HPE8pt4_JeiLDEel0C_AkGin9Xb</t>
  </si>
  <si>
    <t>ACPL00211</t>
  </si>
  <si>
    <t>https://docs.google.com/spreadsheets/d/1Enun10TuqDjmYI19mcuHneCrMiJ9pWK970R1I3IYu50/edit#gid=0</t>
  </si>
  <si>
    <t>https://drive.google.com/drive/folders/1SCF28HPE8pt4_JeiLDEel0C_AkGin9Xb</t>
  </si>
  <si>
    <t>shanumotorscpa@gmail.com</t>
  </si>
  <si>
    <t>14/07/2021 16:03</t>
  </si>
  <si>
    <t>Saurikh</t>
  </si>
  <si>
    <t>1t2jvG-avz320SBpAYKAjPj-BB8Kp974TQ1yfGetbst8</t>
  </si>
  <si>
    <t>Tirwa Motors(AM) - Tirwa</t>
  </si>
  <si>
    <t>1xCCEVjUdfKwUEpN3bqkxSItaNQAIDckB</t>
  </si>
  <si>
    <t>ACPL00212</t>
  </si>
  <si>
    <t>https://docs.google.com/spreadsheets/d/1t2jvG-avz320SBpAYKAjPj-BB8Kp974TQ1yfGetbst8/edit#gid=0</t>
  </si>
  <si>
    <t>https://drive.google.com/drive/folders/1xCCEVjUdfKwUEpN3bqkxSItaNQAIDckB</t>
  </si>
  <si>
    <t>tirwamotorscpa@gmail.com</t>
  </si>
  <si>
    <t>14/07/2021 16:05</t>
  </si>
  <si>
    <t>Tirwa</t>
  </si>
  <si>
    <t>1bfmIig1fGVakKR5J49ypp9KG-WRhILBb521RabDqaq4</t>
  </si>
  <si>
    <t>Ganesh Motors(AM) - Thathiya</t>
  </si>
  <si>
    <t>1mJ7v8XzdXdK2OoTvfVvR8HRWdyygPt-l</t>
  </si>
  <si>
    <t>ACPL00213</t>
  </si>
  <si>
    <t>https://docs.google.com/spreadsheets/d/1bfmIig1fGVakKR5J49ypp9KG-WRhILBb521RabDqaq4/edit#gid=0</t>
  </si>
  <si>
    <t>https://drive.google.com/drive/folders/1mJ7v8XzdXdK2OoTvfVvR8HRWdyygPt-l</t>
  </si>
  <si>
    <t>ganeshmotorscpa@gmail.com</t>
  </si>
  <si>
    <t>14/07/2021 16:07</t>
  </si>
  <si>
    <t>Thathiya</t>
  </si>
  <si>
    <t>17IHK48lZbcBlgGAJSiVd_55rLbshhnkDVBqTU63zg3g</t>
  </si>
  <si>
    <t>Balaji Autowheels(AM) - Nademau</t>
  </si>
  <si>
    <t>15FBCH9roOVgh_RrF9qPdbbKGP1Pj5zsr</t>
  </si>
  <si>
    <t>ACPL00214</t>
  </si>
  <si>
    <t>https://docs.google.com/spreadsheets/d/17IHK48lZbcBlgGAJSiVd_55rLbshhnkDVBqTU63zg3g/edit#gid=0</t>
  </si>
  <si>
    <t>https://drive.google.com/drive/folders/15FBCH9roOVgh_RrF9qPdbbKGP1Pj5zsr</t>
  </si>
  <si>
    <t>balajiautowheelscpa@gmail.com</t>
  </si>
  <si>
    <t>14/07/2021 16:09</t>
  </si>
  <si>
    <t>Nademau</t>
  </si>
  <si>
    <t>1brGGXYNO7p4ye7lOi0GBEPWtsN031lP69rhfRORc5eg</t>
  </si>
  <si>
    <t>Shubhi Motors(AM) - Umarda</t>
  </si>
  <si>
    <t>1lt7X9uwjll855rwT8sZvFvWCsymRZc-n</t>
  </si>
  <si>
    <t>ACPL00215</t>
  </si>
  <si>
    <t>https://docs.google.com/spreadsheets/d/1brGGXYNO7p4ye7lOi0GBEPWtsN031lP69rhfRORc5eg/edit#gid=0</t>
  </si>
  <si>
    <t>https://drive.google.com/drive/folders/1lt7X9uwjll855rwT8sZvFvWCsymRZc-n</t>
  </si>
  <si>
    <t>shubhimotorscpa@gmail.com</t>
  </si>
  <si>
    <t>14/07/2021 16:10</t>
  </si>
  <si>
    <t>Umarda</t>
  </si>
  <si>
    <t>1_xXDhPc2zYZ10fr1h3mfn-L73eXsLjI78QDoo4z-PJk</t>
  </si>
  <si>
    <t>SM Motors(AM) - Sakrawa</t>
  </si>
  <si>
    <t>1Su11LiPRjhLAeUgLEsArHGpJ0xOtYv4w</t>
  </si>
  <si>
    <t>ACPL00216</t>
  </si>
  <si>
    <t>https://docs.google.com/spreadsheets/d/1_xXDhPc2zYZ10fr1h3mfn-L73eXsLjI78QDoo4z-PJk/edit#gid=0</t>
  </si>
  <si>
    <t>https://drive.google.com/drive/folders/1Su11LiPRjhLAeUgLEsArHGpJ0xOtYv4w</t>
  </si>
  <si>
    <t>smmotorscpa@gmail.com</t>
  </si>
  <si>
    <t>14/07/2021 16:11</t>
  </si>
  <si>
    <t>Sakrawa</t>
  </si>
  <si>
    <t>1OzQsznHYYDF5b9H7Egq-41PQKlWLvAn0FP2aFBNQa-s</t>
  </si>
  <si>
    <t>Sri Venkkateshwara(VT) - Raichur</t>
  </si>
  <si>
    <t>1V2q4UVXgkp6-p5kmwlADWCR7TtALqq98</t>
  </si>
  <si>
    <t>ACPL00217</t>
  </si>
  <si>
    <t>https://docs.google.com/spreadsheets/d/1OzQsznHYYDF5b9H7Egq-41PQKlWLvAn0FP2aFBNQa-s/edit#gid=0</t>
  </si>
  <si>
    <t>https://drive.google.com/drive/folders/1V2q4UVXgkp6-p5kmwlADWCR7TtALqq98</t>
  </si>
  <si>
    <t>venkkateshwaraauto7411@gmail.com</t>
  </si>
  <si>
    <t>15/07/2021 11:24</t>
  </si>
  <si>
    <t>11KI2mOYZ4I9wDgZ2By8zUkmcvYLaWDOUT2Ivww0nVBM</t>
  </si>
  <si>
    <t>Shree Balaji Bajaj Showroom(VT) - Raichur</t>
  </si>
  <si>
    <t>1aLPSfdcvUXdsnBf-VvbMOtU1LBBN41F8</t>
  </si>
  <si>
    <t>ACPL00218</t>
  </si>
  <si>
    <t>https://docs.google.com/spreadsheets/d/11KI2mOYZ4I9wDgZ2By8zUkmcvYLaWDOUT2Ivww0nVBM/edit#gid=0</t>
  </si>
  <si>
    <t>https://drive.google.com/drive/folders/1aLPSfdcvUXdsnBf-VvbMOtU1LBBN41F8</t>
  </si>
  <si>
    <t>shreebalajibajajrcr@gmail.com</t>
  </si>
  <si>
    <t>16/07/2021 16:01</t>
  </si>
  <si>
    <t>1UEfgxxulqp3XdpHhzd5wSRwLxDHVUpADNPLxS1b2Hvo</t>
  </si>
  <si>
    <t>Mayank TEST</t>
  </si>
  <si>
    <t>1yKP2H9MAPNY5THMf9r9cFOd7z5mCcnRb</t>
  </si>
  <si>
    <t>ACPL00219</t>
  </si>
  <si>
    <t>https://docs.google.com/spreadsheets/d/1UEfgxxulqp3XdpHhzd5wSRwLxDHVUpADNPLxS1b2Hvo/edit#gid=0</t>
  </si>
  <si>
    <t>https://drive.google.com/drive/folders/1yKP2H9MAPNY5THMf9r9cFOd7z5mCcnRb</t>
  </si>
  <si>
    <t>mayank@aegiscovenant.com</t>
  </si>
  <si>
    <t>18/07/2021 00:37</t>
  </si>
  <si>
    <t>1oBdMjzwb9bbeD4MxuQkbV47ZltrI8kDK</t>
  </si>
  <si>
    <t>1wxOzC5i6vtWscViU2gqMjCboAs2OGSS6WniKi15FfEA</t>
  </si>
  <si>
    <t>1GSsoBjWtxEEY9Oe4QB_zfBq2Y31JMCHYWDUPZcHZ4Is</t>
  </si>
  <si>
    <t>Begusarai Auto Agencies - Begusarai</t>
  </si>
  <si>
    <t>1xb_IDI6f9cICfKcM9Sh82XXhZicz9Um1</t>
  </si>
  <si>
    <t>ACPL00220</t>
  </si>
  <si>
    <t>https://docs.google.com/spreadsheets/d/1GSsoBjWtxEEY9Oe4QB_zfBq2Y31JMCHYWDUPZcHZ4Is/edit#gid=0</t>
  </si>
  <si>
    <t>https://drive.google.com/drive/folders/1xb_IDI6f9cICfKcM9Sh82XXhZicz9Um1</t>
  </si>
  <si>
    <t>Begusaraiautoagenciescpa@gmail.com</t>
  </si>
  <si>
    <t>19/07/2021 13:48</t>
  </si>
  <si>
    <t>Begusarai</t>
  </si>
  <si>
    <t>10AACFB4814H1Z4</t>
  </si>
  <si>
    <t>https://drive.google.com/drive/folders/1D8tiN4m6VUsrVODZnkwVceE6YuGjwhcl</t>
  </si>
  <si>
    <t>1cVGXbO2lp52NndvygvM_F7Cqcy0EMGxzT1ZUlpTQeiI</t>
  </si>
  <si>
    <t>BARABANKI MOTORS</t>
  </si>
  <si>
    <t>1CszW1ymHINLXtUvQ-mtLUToB4LCcZ2z0</t>
  </si>
  <si>
    <t>ACPL00221</t>
  </si>
  <si>
    <t>https://docs.google.com/spreadsheets/d/1cVGXbO2lp52NndvygvM_F7Cqcy0EMGxzT1ZUlpTQeiI/edit#gid=0</t>
  </si>
  <si>
    <t>https://drive.google.com/drive/folders/1CszW1ymHINLXtUvQ-mtLUToB4LCcZ2z0</t>
  </si>
  <si>
    <t>barabankimotorspa@gmail.com</t>
  </si>
  <si>
    <t>19/07/2021 16:00</t>
  </si>
  <si>
    <t>Barabanki</t>
  </si>
  <si>
    <t>BARABANKI</t>
  </si>
  <si>
    <t>https://drive.google.com/drive/folders/1bwkc7jH9anDNk0TWs2VYhdjXasBunTRi</t>
  </si>
  <si>
    <t>189IwjZKbhxdfpCM3_XZAiWsKnV1TiiKuwuI8GFe4AH0</t>
  </si>
  <si>
    <t>Bombay Automobiles- RAEBARELI</t>
  </si>
  <si>
    <t>1cZwPIAplqRVk-dzcNqksWW7rB0Lq7QkP</t>
  </si>
  <si>
    <t>ACPL00222</t>
  </si>
  <si>
    <t>https://docs.google.com/spreadsheets/d/189IwjZKbhxdfpCM3_XZAiWsKnV1TiiKuwuI8GFe4AH0/edit#gid=0</t>
  </si>
  <si>
    <t>https://drive.google.com/drive/folders/1cZwPIAplqRVk-dzcNqksWW7rB0Lq7QkP</t>
  </si>
  <si>
    <t>BOMBAYAUTOMOBILESPA@GMAIL.COM</t>
  </si>
  <si>
    <t>19/07/2021 17:35</t>
  </si>
  <si>
    <t>RaiBareli</t>
  </si>
  <si>
    <t>Raibareli</t>
  </si>
  <si>
    <t>https://drive.google.com/drive/folders/1aVsz-dtTzzDza7FjprKxyY9rLynqkdQw</t>
  </si>
  <si>
    <t>10FVvx9Av8wfEkk7tdoP2PF6PtATj8pRZnm-XwFei7iM</t>
  </si>
  <si>
    <t>A.K Automobile(AM) - Taligram</t>
  </si>
  <si>
    <t>1xacBdJor9NseuXi7qtCxd3WSIGOSVu_R</t>
  </si>
  <si>
    <t>ACPL00223</t>
  </si>
  <si>
    <t>https://docs.google.com/spreadsheets/d/10FVvx9Av8wfEkk7tdoP2PF6PtATj8pRZnm-XwFei7iM/edit#gid=0</t>
  </si>
  <si>
    <t>https://drive.google.com/drive/folders/1xacBdJor9NseuXi7qtCxd3WSIGOSVu_R</t>
  </si>
  <si>
    <t>akautomobilecpa@gmail.com</t>
  </si>
  <si>
    <t>26/07/2021 13:26</t>
  </si>
  <si>
    <t>Taligram</t>
  </si>
  <si>
    <t>19J_y8BUN9RSe9TTg9cxKYBBv29Tfi7RwvKo8Va7MJRQ</t>
  </si>
  <si>
    <t>Kshitij Auto Wheelers - Mirzapur</t>
  </si>
  <si>
    <t>1iIOgi1p3JRJwH3wwPZcjV-fkkWIH_7up</t>
  </si>
  <si>
    <t>ACPL00224</t>
  </si>
  <si>
    <t>https://docs.google.com/spreadsheets/d/19J_y8BUN9RSe9TTg9cxKYBBv29Tfi7RwvKo8Va7MJRQ/edit#gid=0</t>
  </si>
  <si>
    <t>https://drive.google.com/drive/folders/1iIOgi1p3JRJwH3wwPZcjV-fkkWIH_7up</t>
  </si>
  <si>
    <t>kawbreins@gmail.com</t>
  </si>
  <si>
    <t>27/07/2021 16:27</t>
  </si>
  <si>
    <t>Mirzapur</t>
  </si>
  <si>
    <t>https://drive.google.com/drive/folders/1W-yhNJd3QV0UTWaGi-nzoR1WW49JbXwe</t>
  </si>
  <si>
    <t>1pIkLTEq99ZID0V0k8H0hOFXZDJQMaAoy2fsIol-e81k</t>
  </si>
  <si>
    <t>NITIN MATANHELIA - GORAKHPUR</t>
  </si>
  <si>
    <t>14GsxpF3G-iHfK0iU4sOOsmQQYYS4_lZP</t>
  </si>
  <si>
    <t>D P MOTORS - GORAKHPUR</t>
  </si>
  <si>
    <t>ACPL00225</t>
  </si>
  <si>
    <t>https://docs.google.com/spreadsheets/d/1pIkLTEq99ZID0V0k8H0hOFXZDJQMaAoy2fsIol-e81k/edit#gid=0</t>
  </si>
  <si>
    <t>https://drive.google.com/drive/folders/14GsxpF3G-iHfK0iU4sOOsmQQYYS4_lZP</t>
  </si>
  <si>
    <t>dpmotorscpa@gmail.com</t>
  </si>
  <si>
    <t>28/07/2021 16:17</t>
  </si>
  <si>
    <t>GORAKHPUR</t>
  </si>
  <si>
    <t>https://drive.google.com/drive/folders/1AMyDK7WtFmAltBKnfzr8cNtLDnx1v1w3</t>
  </si>
  <si>
    <t>15TCKogSV6eLWZg1o0BLy9c__at_HGv_nwylQpiLk1k0</t>
  </si>
  <si>
    <t>Shivam Automobile - Chakia</t>
  </si>
  <si>
    <t>1G5ess9y4gkYw0eiMTk0D8Btg5DaEyd6a</t>
  </si>
  <si>
    <t>ACPL00226</t>
  </si>
  <si>
    <t>https://docs.google.com/spreadsheets/d/15TCKogSV6eLWZg1o0BLy9c__at_HGv_nwylQpiLk1k0/edit#gid=0</t>
  </si>
  <si>
    <t>https://drive.google.com/drive/folders/1G5ess9y4gkYw0eiMTk0D8Btg5DaEyd6a</t>
  </si>
  <si>
    <t>tvsdealershivamautomobile@gmail.com</t>
  </si>
  <si>
    <t>29/07/2021 17:10</t>
  </si>
  <si>
    <t>Chakia</t>
  </si>
  <si>
    <t>10BOMPK1428K1Z3</t>
  </si>
  <si>
    <t>https://drive.google.com/drive/folders/1KXfquaEYTDE7APqPoU_opiMsfRk3hrL7</t>
  </si>
  <si>
    <t>1IW00YIJovrtt6A8q0p0zoi4iwBPaPgOVnZqjzOz5yP0</t>
  </si>
  <si>
    <t>SHYAM MOTORS - FATEHPUR</t>
  </si>
  <si>
    <t>1od2G-0d_FwsKMt-zWxq4lcuLXQI250pA</t>
  </si>
  <si>
    <t>ACPL00227</t>
  </si>
  <si>
    <t>https://docs.google.com/spreadsheets/d/1IW00YIJovrtt6A8q0p0zoi4iwBPaPgOVnZqjzOz5yP0/edit#gid=0</t>
  </si>
  <si>
    <t>https://drive.google.com/drive/folders/1od2G-0d_FwsKMt-zWxq4lcuLXQI250pA</t>
  </si>
  <si>
    <t>rsashyammotors@gmail.com</t>
  </si>
  <si>
    <t>30/07/2021 17:03</t>
  </si>
  <si>
    <t>Fatehpur</t>
  </si>
  <si>
    <t>https://drive.google.com/drive/folders/1HC-04RNrsdjdwdA3IpggSRbrXIdpN2NE</t>
  </si>
  <si>
    <t>1WXvYHRsq58CQOMiTQW5jz_Rk7VXZzJwGsE9DYysdKio</t>
  </si>
  <si>
    <t>Goel Motors - Lucknow</t>
  </si>
  <si>
    <t>1TFUInlvFDIAs7yQJccCgKjgrybEsShD1</t>
  </si>
  <si>
    <t>ACPL00228</t>
  </si>
  <si>
    <t>https://docs.google.com/spreadsheets/d/1WXvYHRsq58CQOMiTQW5jz_Rk7VXZzJwGsE9DYysdKio/edit#gid=0</t>
  </si>
  <si>
    <t>https://drive.google.com/drive/folders/1TFUInlvFDIAs7yQJccCgKjgrybEsShD1</t>
  </si>
  <si>
    <t>goelmotorslko@gmail.com</t>
  </si>
  <si>
    <t>Lucknow</t>
  </si>
  <si>
    <t>https://drive.google.com/drive/folders/1ILmNJ-ZUA17Ox2jWemp7W-JBbVtKI0Gl</t>
  </si>
  <si>
    <t>1Y48WevU4dZlpN_oRadqFSD4ED20x97CYUdeAzWdn3go</t>
  </si>
  <si>
    <t>Mahalaxmi TVS- AHEMDABAD</t>
  </si>
  <si>
    <t>1ozHLAN0HQyJ54WMxAGDusQwyusxKWZJO</t>
  </si>
  <si>
    <t>ACPL00229</t>
  </si>
  <si>
    <t>https://docs.google.com/spreadsheets/d/1Y48WevU4dZlpN_oRadqFSD4ED20x97CYUdeAzWdn3go/edit#gid=0</t>
  </si>
  <si>
    <t>https://drive.google.com/drive/folders/1ozHLAN0HQyJ54WMxAGDusQwyusxKWZJO</t>
  </si>
  <si>
    <t>mahalaxmi.ins@gmail.com</t>
  </si>
  <si>
    <t>24AAXPP1477B1ZI</t>
  </si>
  <si>
    <t>https://drive.google.com/drive/folders/1DI0Fpp-qc1vzG0hz0uKBwoo0p6xrmZY1</t>
  </si>
  <si>
    <t>1iBXH7o4SHrOUcyupGINEY029YtS1MVzDOPaqJv2RrfU</t>
  </si>
  <si>
    <t>MADAN AUTO AGENCY - LAURIYA</t>
  </si>
  <si>
    <t>1bZZCBMF7x6B33ekgHsOz8NXqR-1_V1BE</t>
  </si>
  <si>
    <t>ACPL00230</t>
  </si>
  <si>
    <t>https://docs.google.com/spreadsheets/d/1iBXH7o4SHrOUcyupGINEY029YtS1MVzDOPaqJv2RrfU/edit#gid=0</t>
  </si>
  <si>
    <t>https://drive.google.com/drive/folders/1bZZCBMF7x6B33ekgHsOz8NXqR-1_V1BE</t>
  </si>
  <si>
    <t>madanhero10198@gmail.com</t>
  </si>
  <si>
    <t>Lauriya</t>
  </si>
  <si>
    <t>1JAbS28NFmfJxZrsQ7twsfzmqCme35J_wqOELlcNcX1c</t>
  </si>
  <si>
    <t>STALLIONZ TVS - AHMEDABAD</t>
  </si>
  <si>
    <t>15ybTKL0a49xEW2HiaAGH6Sk2aGWQyqcM</t>
  </si>
  <si>
    <t>ACPL00231</t>
  </si>
  <si>
    <t>https://docs.google.com/spreadsheets/d/1JAbS28NFmfJxZrsQ7twsfzmqCme35J_wqOELlcNcX1c/edit#gid=0</t>
  </si>
  <si>
    <t>https://drive.google.com/drive/folders/15ybTKL0a49xEW2HiaAGH6Sk2aGWQyqcM</t>
  </si>
  <si>
    <t>stallionztvs@gmail.com</t>
  </si>
  <si>
    <t>https://drive.google.com/drive/folders/1Q3vb1Nhnyfx4KBKK8a-mI4plJcigMJf1</t>
  </si>
  <si>
    <t>1KROhijYRp4JJHg6qMghouwiu3FhY0i9nzQ4icP6smio</t>
  </si>
  <si>
    <t>SAI HERO-UDGIR</t>
  </si>
  <si>
    <t>1WL_jMEmcop4ft39vGl3LefvgaCYpDz-N</t>
  </si>
  <si>
    <t>ACPL00232</t>
  </si>
  <si>
    <t>https://docs.google.com/spreadsheets/d/1KROhijYRp4JJHg6qMghouwiu3FhY0i9nzQ4icP6smio/edit#gid=0</t>
  </si>
  <si>
    <t>https://drive.google.com/drive/folders/1WL_jMEmcop4ft39vGl3LefvgaCYpDz-N</t>
  </si>
  <si>
    <t>saiheroaegis@gmail.com</t>
  </si>
  <si>
    <t>16/08/2021 12:05</t>
  </si>
  <si>
    <t>UDGIR</t>
  </si>
  <si>
    <t>https://drive.google.com/drive/folders/1HawQdd2bxXWDV5hlXoNpgkIDXVnhbXZN</t>
  </si>
  <si>
    <t>1nEeaFhAsFkti6A1RQlVCs8bVVDbn1HO5_E8Nv2sncWw</t>
  </si>
  <si>
    <t>Mahalaxmi TVS-ISANPUR</t>
  </si>
  <si>
    <t>1OBvMEztfq2sQBQ4-_CarIccAoRIcpTaE</t>
  </si>
  <si>
    <t>ACPL00233</t>
  </si>
  <si>
    <t>https://docs.google.com/spreadsheets/d/1nEeaFhAsFkti6A1RQlVCs8bVVDbn1HO5_E8Nv2sncWw/edit#gid=0</t>
  </si>
  <si>
    <t>https://drive.google.com/drive/folders/1OBvMEztfq2sQBQ4-_CarIccAoRIcpTaE</t>
  </si>
  <si>
    <t>mahalaxmiautoagency21@gmail.com</t>
  </si>
  <si>
    <t>16/08/2021 14:35</t>
  </si>
  <si>
    <t>1IMcQqxHRw8US8te4fBVvZW4P02L-zmWAO8h94QGx7Eg</t>
  </si>
  <si>
    <t>MAHALAXMI TVS-ODHAV</t>
  </si>
  <si>
    <t>1WAN92M-SVwz4QQSPWewxUpLUtoL3uFsV</t>
  </si>
  <si>
    <t>ACPL00234</t>
  </si>
  <si>
    <t>https://docs.google.com/spreadsheets/d/1IMcQqxHRw8US8te4fBVvZW4P02L-zmWAO8h94QGx7Eg/edit#gid=0</t>
  </si>
  <si>
    <t>https://drive.google.com/drive/folders/1WAN92M-SVwz4QQSPWewxUpLUtoL3uFsV</t>
  </si>
  <si>
    <t>mahalaxmimotors15@gmail.com</t>
  </si>
  <si>
    <t>17/08/2021 12:14</t>
  </si>
  <si>
    <t>1adAGJVvFi0F-pwP4fXxBabggqbrsou9iy1He5MQkXp4</t>
  </si>
  <si>
    <t>Janta Automobiles - Sariswa</t>
  </si>
  <si>
    <t>1qMjmvs5CweaBMqapK6nwaGnsqrxlWgiR</t>
  </si>
  <si>
    <t>ACPL00235</t>
  </si>
  <si>
    <t>https://docs.google.com/spreadsheets/d/1adAGJVvFi0F-pwP4fXxBabggqbrsou9iy1He5MQkXp4/edit#gid=0</t>
  </si>
  <si>
    <t>https://drive.google.com/drive/folders/1qMjmvs5CweaBMqapK6nwaGnsqrxlWgiR</t>
  </si>
  <si>
    <t>jantahero11953@gmail.com</t>
  </si>
  <si>
    <t>19/08/2021 14:41</t>
  </si>
  <si>
    <t>Sariswa</t>
  </si>
  <si>
    <t>https://drive.google.com/</t>
  </si>
  <si>
    <t>15uhTTh3U4NtU7dtogFOcc_qPQ7_1_JO1RNn9VV2M20o</t>
  </si>
  <si>
    <t>SHYAM BIHARI AUTO-CHANDOS</t>
  </si>
  <si>
    <t>1cugyINhAi1LuM15HUb7J-naqA3sDlBWG</t>
  </si>
  <si>
    <t>ACPL00236</t>
  </si>
  <si>
    <t>https://docs.google.com/spreadsheets/d/15uhTTh3U4NtU7dtogFOcc_qPQ7_1_JO1RNn9VV2M20o/edit#gid=0</t>
  </si>
  <si>
    <t>https://drive.google.com/drive/folders/1cugyINhAi1LuM15HUb7J-naqA3sDlBWG</t>
  </si>
  <si>
    <t>SHYAMBIHARIAUTOMOBILES@GMAIL.COM</t>
  </si>
  <si>
    <t>21/08/2021 21:34</t>
  </si>
  <si>
    <t>CHANDOS</t>
  </si>
  <si>
    <t>KAPIL</t>
  </si>
  <si>
    <t>ABHINAV BHATI</t>
  </si>
  <si>
    <t>ABHINAV@AEGISCOVENANT.COM</t>
  </si>
  <si>
    <t>YOGESH SHARMA</t>
  </si>
  <si>
    <t>SHIVKUMAR</t>
  </si>
  <si>
    <t>1TMoK3EazfL-7jZ93zmbRweRcJH2sH5eJ2ciO7ryiDaU</t>
  </si>
  <si>
    <t>JADON MOTORS-GABHANA</t>
  </si>
  <si>
    <t>1b-5S3xJHuXEavetZ1oQUuZHLE0l77Dlh</t>
  </si>
  <si>
    <t>ACPL00237</t>
  </si>
  <si>
    <t>https://docs.google.com/spreadsheets/d/1TMoK3EazfL-7jZ93zmbRweRcJH2sH5eJ2ciO7ryiDaU/edit#gid=0</t>
  </si>
  <si>
    <t>https://drive.google.com/drive/folders/1b-5S3xJHuXEavetZ1oQUuZHLE0l77Dlh</t>
  </si>
  <si>
    <t>JADONMOTORSGABHANA@GMAIL.COM</t>
  </si>
  <si>
    <t>21/08/2021 21:39</t>
  </si>
  <si>
    <t>GABHANA</t>
  </si>
  <si>
    <t>NEERAJ</t>
  </si>
  <si>
    <t>19-6IeElMwTssF4aorJkfA7Hy5Pfa62mHkj31T_xKwZg</t>
  </si>
  <si>
    <t>VIJAY AGENCY(AAA) - Aligarh</t>
  </si>
  <si>
    <t>1BTPM7Brbg6Z-m-fKSSKpy8yECk8edkVI</t>
  </si>
  <si>
    <t>ACPL00238</t>
  </si>
  <si>
    <t>https://docs.google.com/spreadsheets/d/19-6IeElMwTssF4aorJkfA7Hy5Pfa62mHkj31T_xKwZg/edit#gid=0</t>
  </si>
  <si>
    <t>https://drive.google.com/drive/folders/1BTPM7Brbg6Z-m-fKSSKpy8yECk8edkVI</t>
  </si>
  <si>
    <t>vijayautoagency1@gmail.com</t>
  </si>
  <si>
    <t>24/08/2021 11:02</t>
  </si>
  <si>
    <t>Dusyant Singh</t>
  </si>
  <si>
    <t>Satendra Sharma</t>
  </si>
  <si>
    <t>Nitin</t>
  </si>
  <si>
    <t>1IvhNiO_rNg1IV2ApA-e8TfjWXV5sahUvtIFjbiqS99s</t>
  </si>
  <si>
    <t>Shivay Motors (AAA) - Vijaygarh</t>
  </si>
  <si>
    <t>1K59RNuyS5C6PskQDdu7cL37z-hWKChhz</t>
  </si>
  <si>
    <t>ACPL00239</t>
  </si>
  <si>
    <t>https://docs.google.com/spreadsheets/d/1IvhNiO_rNg1IV2ApA-e8TfjWXV5sahUvtIFjbiqS99s/edit#gid=0</t>
  </si>
  <si>
    <t>https://drive.google.com/drive/folders/1K59RNuyS5C6PskQDdu7cL37z-hWKChhz</t>
  </si>
  <si>
    <t>shivayhero33@gmail.com</t>
  </si>
  <si>
    <t>28/08/2021 18:02</t>
  </si>
  <si>
    <t>Vijaygarh</t>
  </si>
  <si>
    <t>1kRyPQWS9rBO-hWXuMRpK-o-u45enSa2VVTYNekPb4kk</t>
  </si>
  <si>
    <t>PASHANKAR AUTO- PUNE</t>
  </si>
  <si>
    <t>1yqp8GYobei9KcRsXDWhAg3Rg7ZA2UGbW</t>
  </si>
  <si>
    <t>ACPL00240</t>
  </si>
  <si>
    <t>https://docs.google.com/spreadsheets/d/1kRyPQWS9rBO-hWXuMRpK-o-u45enSa2VVTYNekPb4kk/edit#gid=0</t>
  </si>
  <si>
    <t>https://drive.google.com/drive/folders/1yqp8GYobei9KcRsXDWhAg3Rg7ZA2UGbW</t>
  </si>
  <si>
    <t>pashankarautoaegis@gmail.com</t>
  </si>
  <si>
    <t>31/08/2021 12:31</t>
  </si>
  <si>
    <t>Pashankar</t>
  </si>
  <si>
    <t>pashankarauto@hotmail.com</t>
  </si>
  <si>
    <t>Ravi</t>
  </si>
  <si>
    <t>Shatru</t>
  </si>
  <si>
    <t>27AACCP3619F1ZK</t>
  </si>
  <si>
    <t>AACCP3619F</t>
  </si>
  <si>
    <t>PASHANKAR AUTO PVT LTD</t>
  </si>
  <si>
    <t>ICICI BANK</t>
  </si>
  <si>
    <t>ICIC0000039</t>
  </si>
  <si>
    <t>https://drive.google.com/drive/folders/1OOmUZ_A0PRqWHSm6ImhRenK9dTfgB_o8</t>
  </si>
  <si>
    <t>1R0uwjETF80Vss8P2a0gSsIF2iqphq4WIGrUlHbCVjKw</t>
  </si>
  <si>
    <t>VTECH TVS- AHMEDABAD</t>
  </si>
  <si>
    <t>1lU-hMmZPs6Lp0lKs_J7IHXFAcVpFjni7</t>
  </si>
  <si>
    <t>ACPL00241</t>
  </si>
  <si>
    <t>https://docs.google.com/spreadsheets/d/1R0uwjETF80Vss8P2a0gSsIF2iqphq4WIGrUlHbCVjKw/edit#gid=0</t>
  </si>
  <si>
    <t>https://drive.google.com/drive/folders/1lU-hMmZPs6Lp0lKs_J7IHXFAcVpFjni7</t>
  </si>
  <si>
    <t>VTECHTVS@GMAIL.COM</t>
  </si>
  <si>
    <t>AHMEDABAD</t>
  </si>
  <si>
    <t>MALAV</t>
  </si>
  <si>
    <t>KAMRAN</t>
  </si>
  <si>
    <t>24AAIFV6946L1ZJ</t>
  </si>
  <si>
    <t>AAIFV6946L</t>
  </si>
  <si>
    <t>VTECH AUTOMOTIVE</t>
  </si>
  <si>
    <t>YES BANK</t>
  </si>
  <si>
    <t>YESB0000007</t>
  </si>
  <si>
    <t>https://drive.google.com/drive/folders/1SbshH1IaV-9QHriXzLiYoRJwebaKg8ZZ</t>
  </si>
  <si>
    <t>1rmVM0JAH6j1YGKR-ibbU8XL4IHeTiP7sO3zo1VitOis</t>
  </si>
  <si>
    <t>Tirupati Motors (AAA) - Akarabad</t>
  </si>
  <si>
    <t>1GfhuXOuvtiUta0hiZ3-s7vI5kZFtPwPr</t>
  </si>
  <si>
    <t>ACPL00242</t>
  </si>
  <si>
    <t>https://docs.google.com/spreadsheets/d/1rmVM0JAH6j1YGKR-ibbU8XL4IHeTiP7sO3zo1VitOis/edit#gid=0</t>
  </si>
  <si>
    <t>https://drive.google.com/drive/folders/1GfhuXOuvtiUta0hiZ3-s7vI5kZFtPwPr</t>
  </si>
  <si>
    <t>tirupatimotors665@gmail.com</t>
  </si>
  <si>
    <t>Akarabad</t>
  </si>
  <si>
    <t>1_uE35CAqnGldLOvxOd9EuBeNaRXa3FdEC-O8GGHnflo</t>
  </si>
  <si>
    <t>Deepak automobile (AAA) - Alampur</t>
  </si>
  <si>
    <t>1Le8tFUJzG-I85Ob0C54rmbw49ULm2udr</t>
  </si>
  <si>
    <t>ACPL00243</t>
  </si>
  <si>
    <t>https://docs.google.com/spreadsheets/d/1_uE35CAqnGldLOvxOd9EuBeNaRXa3FdEC-O8GGHnflo/edit#gid=0</t>
  </si>
  <si>
    <t>https://drive.google.com/drive/folders/1Le8tFUJzG-I85Ob0C54rmbw49ULm2udr</t>
  </si>
  <si>
    <t>Automobiledeepak340@gmail.com</t>
  </si>
  <si>
    <t>Alampur</t>
  </si>
  <si>
    <t>1gvaMszi7LB0Gn6vUIkvOZFAnvJ4lHvDAQ1gAHX-11Zk</t>
  </si>
  <si>
    <t>Mahadev auto mobiles (AAA) - Jawan</t>
  </si>
  <si>
    <t>1dfCcF4K_BTRvVVhK0jWjmQiX4_R4Hk8n</t>
  </si>
  <si>
    <t>ACPL00244</t>
  </si>
  <si>
    <t>https://docs.google.com/spreadsheets/d/1gvaMszi7LB0Gn6vUIkvOZFAnvJ4lHvDAQ1gAHX-11Zk/edit#gid=0</t>
  </si>
  <si>
    <t>https://drive.google.com/drive/folders/1dfCcF4K_BTRvVVhK0jWjmQiX4_R4Hk8n</t>
  </si>
  <si>
    <t>mahadevhero22@gmail.com</t>
  </si>
  <si>
    <t>Jawan</t>
  </si>
  <si>
    <t>1uBXS8-e96xatYz1I0NwbT3MoqNyeJMLj5QciM0dVzK4</t>
  </si>
  <si>
    <t xml:space="preserve">Shiv Shyam (AAA) - Gorai </t>
  </si>
  <si>
    <t>1HCnNTRmmrCW-SJS-xj6_OljrRFUvMqgZ</t>
  </si>
  <si>
    <t>ACPL00245</t>
  </si>
  <si>
    <t>https://docs.google.com/spreadsheets/d/1uBXS8-e96xatYz1I0NwbT3MoqNyeJMLj5QciM0dVzK4/edit#gid=0</t>
  </si>
  <si>
    <t>https://drive.google.com/drive/folders/1HCnNTRmmrCW-SJS-xj6_OljrRFUvMqgZ</t>
  </si>
  <si>
    <t>shivshyam255@gmail.com</t>
  </si>
  <si>
    <t xml:space="preserve">Gorai </t>
  </si>
  <si>
    <t>15jnPMaEu2_OeDOATlNJjrJBvmq3ePhgdLWGBHROQJbo</t>
  </si>
  <si>
    <t>PASHANKAR AUTO- PUNE(SD)</t>
  </si>
  <si>
    <t>1vf39Arr-qQDOJAoTQw6CrweH_SURaZ4S</t>
  </si>
  <si>
    <t>ACPL00247</t>
  </si>
  <si>
    <t>https://docs.google.com/spreadsheets/d/15jnPMaEu2_OeDOATlNJjrJBvmq3ePhgdLWGBHROQJbo/edit#gid=0</t>
  </si>
  <si>
    <t>https://drive.google.com/drive/folders/1vf39Arr-qQDOJAoTQw6CrweH_SURaZ4S</t>
  </si>
  <si>
    <t>autoaegispashankar@gmail.com</t>
  </si>
  <si>
    <t>1D3-RH4t-FdI5s6mabxVe_emj1BWZlSPFuf3stfCzc8s</t>
  </si>
  <si>
    <t>M.L. MOTORS (KH) -  Gonda</t>
  </si>
  <si>
    <t>1Ip-MuO7wEzdg0zYg2yG5vP0qRKrodlRC</t>
  </si>
  <si>
    <t>ACPL00248</t>
  </si>
  <si>
    <t>https://docs.google.com/spreadsheets/d/1D3-RH4t-FdI5s6mabxVe_emj1BWZlSPFuf3stfCzc8s/edit#gid=0</t>
  </si>
  <si>
    <t>https://drive.google.com/drive/folders/1Ip-MuO7wEzdg0zYg2yG5vP0qRKrodlRC</t>
  </si>
  <si>
    <t>nb.mlmotors@gmail.com</t>
  </si>
  <si>
    <t>Umesh shah</t>
  </si>
  <si>
    <t>Narendra Kumar</t>
  </si>
  <si>
    <t>1uNRBa-tQr-tK4ljePvXpBlFQNtLdUR6FKNphcYBf9iY</t>
  </si>
  <si>
    <t>BRIJ NEW CPA - MATHURA</t>
  </si>
  <si>
    <t>1Z78-jSWELFamD06uf4mMz7ZFwpal0gW6</t>
  </si>
  <si>
    <t>ACPL00249</t>
  </si>
  <si>
    <t>https://docs.google.com/spreadsheets/d/1uNRBa-tQr-tK4ljePvXpBlFQNtLdUR6FKNphcYBf9iY/edit#gid=0</t>
  </si>
  <si>
    <t>https://drive.google.com/drive/folders/1Z78-jSWELFamD06uf4mMz7ZFwpal0gW6</t>
  </si>
  <si>
    <t>brijnewcpapolicy@gmail.com</t>
  </si>
  <si>
    <t>MATHURA</t>
  </si>
  <si>
    <t>VIJAY CHATURVEDI</t>
  </si>
  <si>
    <t>SACHIN SINGH</t>
  </si>
  <si>
    <t>AJAY KUMAR</t>
  </si>
  <si>
    <t>1WZ3iIAbNB5bzglH4XYG8P38qAiheukTawTpLVIGfqb8</t>
  </si>
  <si>
    <t>GAURAV SHARMA (BBW)- SONKH</t>
  </si>
  <si>
    <t>1QJjTzbClUV7yhWbxXs-uBCHp6Npc3sKL</t>
  </si>
  <si>
    <t>ACPL00250</t>
  </si>
  <si>
    <t>https://docs.google.com/spreadsheets/d/1WZ3iIAbNB5bzglH4XYG8P38qAiheukTawTpLVIGfqb8/edit#gid=0</t>
  </si>
  <si>
    <t>https://drive.google.com/drive/folders/1QJjTzbClUV7yhWbxXs-uBCHp6Npc3sKL</t>
  </si>
  <si>
    <t>gauravsharmasonkh@gmail.com</t>
  </si>
  <si>
    <t>SONKH</t>
  </si>
  <si>
    <t>1N2nhUlQIv8rArpkobd5RsjT5bHurvDy7GgSqr-hveAE</t>
  </si>
  <si>
    <t>MADAR AUTOMOBILE - CHAURE BAZAR</t>
  </si>
  <si>
    <t>1Ytxv-UFofgjiIrY8DmGYqQAvl102SpfN</t>
  </si>
  <si>
    <t>ACPL00251</t>
  </si>
  <si>
    <t>https://docs.google.com/spreadsheets/d/1N2nhUlQIv8rArpkobd5RsjT5bHurvDy7GgSqr-hveAE/edit#gid=0</t>
  </si>
  <si>
    <t>https://drive.google.com/drive/folders/1Ytxv-UFofgjiIrY8DmGYqQAvl102SpfN</t>
  </si>
  <si>
    <t>madarautomobilescpa@gmail.com</t>
  </si>
  <si>
    <t>14/09/2021 15:47</t>
  </si>
  <si>
    <t>CHAURE BAZAR</t>
  </si>
  <si>
    <t>Tarun</t>
  </si>
  <si>
    <t>Ali Chandra</t>
  </si>
  <si>
    <t>1kGb6hrNJXovJfW0VYZrNJI9HEgnPDMsvnJUI4qK6La4</t>
  </si>
  <si>
    <t>V.K MOTORS (VM)- BADAGAON</t>
  </si>
  <si>
    <t>1Ove9WfG9E5WNY7gc2erdCNJzfBnBYi_t</t>
  </si>
  <si>
    <t>ACPL00252</t>
  </si>
  <si>
    <t>https://docs.google.com/spreadsheets/d/1kGb6hrNJXovJfW0VYZrNJI9HEgnPDMsvnJUI4qK6La4/edit#gid=0</t>
  </si>
  <si>
    <t>https://drive.google.com/drive/folders/1Ove9WfG9E5WNY7gc2erdCNJzfBnBYi_t</t>
  </si>
  <si>
    <t>vkmotorscpa@gmail.com</t>
  </si>
  <si>
    <t>14/09/2021 16:39</t>
  </si>
  <si>
    <t>BADAGAON</t>
  </si>
  <si>
    <t>10eOuCid3doBRgqrYrW2izRAjuevQTzEFfL_e1Msg9_c</t>
  </si>
  <si>
    <t>AGARWAL AUTO SALES(CA) - RUDAULI</t>
  </si>
  <si>
    <t>1K9SsNjW06ZSRhp0wk6gGCrQYW7hQVidi</t>
  </si>
  <si>
    <t>ACPL00253</t>
  </si>
  <si>
    <t>https://docs.google.com/spreadsheets/d/10eOuCid3doBRgqrYrW2izRAjuevQTzEFfL_e1Msg9_c/edit#gid=0</t>
  </si>
  <si>
    <t>https://drive.google.com/drive/folders/1K9SsNjW06ZSRhp0wk6gGCrQYW7hQVidi</t>
  </si>
  <si>
    <t>agarwalautosalescpa@gmail.com</t>
  </si>
  <si>
    <t>14/09/2021 16:53</t>
  </si>
  <si>
    <t>RUDAULI</t>
  </si>
  <si>
    <t>1OENaFEyiGUoyWg7ywU3cmqippkCDyzCnmx9kypMk5Cc</t>
  </si>
  <si>
    <t>ASIA AUTOMOBILES (CA) - KUMAR GANJ</t>
  </si>
  <si>
    <t>1VY_S2b26CKiOmf3zcpNnG6Cat4bCBZ8f</t>
  </si>
  <si>
    <t>ACPL00254</t>
  </si>
  <si>
    <t>https://docs.google.com/spreadsheets/d/1OENaFEyiGUoyWg7ywU3cmqippkCDyzCnmx9kypMk5Cc/edit#gid=0</t>
  </si>
  <si>
    <t>https://drive.google.com/drive/folders/1VY_S2b26CKiOmf3zcpNnG6Cat4bCBZ8f</t>
  </si>
  <si>
    <t>asiaautomobilescpa@gmail.com</t>
  </si>
  <si>
    <t>14/09/2021 16:58</t>
  </si>
  <si>
    <t>KUMAR GANJ</t>
  </si>
  <si>
    <t>159YPitGIgsrUYgelmfjtenQTfG48TpPtKkSuINSG0gc</t>
  </si>
  <si>
    <t>GUPTA AUTO SALES(CA) - SUJAGANJ</t>
  </si>
  <si>
    <t>1sdqox_fcvur1uIX-ejxcwZ5ukKQhWs3H</t>
  </si>
  <si>
    <t>ACPL00255</t>
  </si>
  <si>
    <t>https://docs.google.com/spreadsheets/d/159YPitGIgsrUYgelmfjtenQTfG48TpPtKkSuINSG0gc/edit#gid=0</t>
  </si>
  <si>
    <t>https://drive.google.com/drive/folders/1sdqox_fcvur1uIX-ejxcwZ5ukKQhWs3H</t>
  </si>
  <si>
    <t>guptaautosalescpa@gmail.com</t>
  </si>
  <si>
    <t>14/09/2021 17:07</t>
  </si>
  <si>
    <t>SUJAGANJ</t>
  </si>
  <si>
    <t>1JVjJRde0atJYfSJfEseKCQhdqjcP24_d1-09TphqSpA</t>
  </si>
  <si>
    <t>MAWAIEE AUTOSALES(CA) - RAUZAGAON</t>
  </si>
  <si>
    <t>1s-VMaQbprrpke6_3S_GyebgB3VHBDcws</t>
  </si>
  <si>
    <t>ACPL00256</t>
  </si>
  <si>
    <t>https://docs.google.com/spreadsheets/d/1JVjJRde0atJYfSJfEseKCQhdqjcP24_d1-09TphqSpA/edit#gid=0</t>
  </si>
  <si>
    <t>https://drive.google.com/drive/folders/1s-VMaQbprrpke6_3S_GyebgB3VHBDcws</t>
  </si>
  <si>
    <t>mawaieeautosalescpa@gmail.com</t>
  </si>
  <si>
    <t>14/09/2021 17:21</t>
  </si>
  <si>
    <t>RAUZAGAON</t>
  </si>
  <si>
    <t>1HhuPJCqA1nYQYw-vxTr9qoSA3wtg7ifzyfbJykuK79E</t>
  </si>
  <si>
    <t>RADHEY AUTOMOBILES (CA) - BIKAPUR</t>
  </si>
  <si>
    <t>1K3kX-GtiAWNGhYCQgpkbaEBocJUT37WM</t>
  </si>
  <si>
    <t>ACPL00257</t>
  </si>
  <si>
    <t>https://docs.google.com/spreadsheets/d/1HhuPJCqA1nYQYw-vxTr9qoSA3wtg7ifzyfbJykuK79E/edit#gid=0</t>
  </si>
  <si>
    <t>https://drive.google.com/drive/folders/1K3kX-GtiAWNGhYCQgpkbaEBocJUT37WM</t>
  </si>
  <si>
    <t>radheyautomobilescpa@gmail.com</t>
  </si>
  <si>
    <t>14/09/2021 17:23</t>
  </si>
  <si>
    <t>BIKAPUR</t>
  </si>
  <si>
    <t>17sBaqChbGSOQK_DIkRnUGicSgCSUWKTJKT6g-HiL9uY</t>
  </si>
  <si>
    <t>SHREE AUTOSALES (CA) - GAOSAIGANJ</t>
  </si>
  <si>
    <t>1O3ChiQcHJzVCLcacYTm_QzF_Y7OcCtUn</t>
  </si>
  <si>
    <t>ACPL00258</t>
  </si>
  <si>
    <t>https://docs.google.com/spreadsheets/d/17sBaqChbGSOQK_DIkRnUGicSgCSUWKTJKT6g-HiL9uY/edit#gid=0</t>
  </si>
  <si>
    <t>https://drive.google.com/drive/folders/1O3ChiQcHJzVCLcacYTm_QzF_Y7OcCtUn</t>
  </si>
  <si>
    <t>shreeautosalescpa@gmail.com</t>
  </si>
  <si>
    <t>14/09/2021 17:26</t>
  </si>
  <si>
    <t>GAOSAIGANJ</t>
  </si>
  <si>
    <t>1VTFWB6Hw6EUp6TdZoOlRcBVDxwR_k4LX_ysjQi3ijbA</t>
  </si>
  <si>
    <t>SIYARAM AUTOMOBILES(CA) - HAIDARGANJ BAZAR</t>
  </si>
  <si>
    <t>1bfw3EBsbr2bSoDwytq9rZCQ78jT9seaL</t>
  </si>
  <si>
    <t>ACPL00259</t>
  </si>
  <si>
    <t>https://docs.google.com/spreadsheets/d/1VTFWB6Hw6EUp6TdZoOlRcBVDxwR_k4LX_ysjQi3ijbA/edit#gid=0</t>
  </si>
  <si>
    <t>https://drive.google.com/drive/folders/1bfw3EBsbr2bSoDwytq9rZCQ78jT9seaL</t>
  </si>
  <si>
    <t>siyaramautomobilecpa@gmail.com</t>
  </si>
  <si>
    <t>15/09/2021 13:20</t>
  </si>
  <si>
    <t>HAIDARGANJ BAZAR</t>
  </si>
  <si>
    <t>1SSzUIjRsBuOQW-kzcJRcEuyLwfZTtwgEZNTVqimPXRM</t>
  </si>
  <si>
    <t>YADAV AUTOSALES (CA) - BABA BAZAR</t>
  </si>
  <si>
    <t>11XRAucpYYp0z9Ab5oLkst3tP3T8CoIeB</t>
  </si>
  <si>
    <t>ACPL00260</t>
  </si>
  <si>
    <t>https://docs.google.com/spreadsheets/d/1SSzUIjRsBuOQW-kzcJRcEuyLwfZTtwgEZNTVqimPXRM/edit#gid=0</t>
  </si>
  <si>
    <t>https://drive.google.com/drive/folders/11XRAucpYYp0z9Ab5oLkst3tP3T8CoIeB</t>
  </si>
  <si>
    <t>yadavautosalescpa@gmail.com</t>
  </si>
  <si>
    <t>15/09/2021 13:24</t>
  </si>
  <si>
    <t>BABA BAZAR</t>
  </si>
  <si>
    <t>1osOyuHF4zURKwQBQVId__BAxFL3ovjDFMAESaHNUzcw</t>
  </si>
  <si>
    <t>GURU AUTO (MA) - AGSAULI</t>
  </si>
  <si>
    <t>1EbabMjdTlTxF1g__7HabJTMzPIQO4qDv</t>
  </si>
  <si>
    <t>ACPL00261</t>
  </si>
  <si>
    <t>https://docs.google.com/spreadsheets/d/1osOyuHF4zURKwQBQVId__BAxFL3ovjDFMAESaHNUzcw/edit#gid=0</t>
  </si>
  <si>
    <t>https://drive.google.com/drive/folders/1EbabMjdTlTxF1g__7HabJTMzPIQO4qDv</t>
  </si>
  <si>
    <t>guruautocpa@gmail.com</t>
  </si>
  <si>
    <t>16/09/2021 12:33</t>
  </si>
  <si>
    <t>AGSAULI</t>
  </si>
  <si>
    <t>Deepak</t>
  </si>
  <si>
    <t>Neeraj</t>
  </si>
  <si>
    <t>1jBLj7YlO7RVCF75qSzQ559wmnPniOl1ikS8tNuHDQd0</t>
  </si>
  <si>
    <t>SAGAR AUTOMOBILES (MAW) - MURSAN</t>
  </si>
  <si>
    <t>1TrpJ8-EYMVD9lQwwWMTJ9VPc4ByLTxkI</t>
  </si>
  <si>
    <t>ACPL00262</t>
  </si>
  <si>
    <t>https://docs.google.com/spreadsheets/d/1jBLj7YlO7RVCF75qSzQ559wmnPniOl1ikS8tNuHDQd0/edit#gid=0</t>
  </si>
  <si>
    <t>https://drive.google.com/drive/folders/1TrpJ8-EYMVD9lQwwWMTJ9VPc4ByLTxkI</t>
  </si>
  <si>
    <t>sagarautomobilescpa@gmail.com</t>
  </si>
  <si>
    <t>16/09/2021 12:47</t>
  </si>
  <si>
    <t>MURSAN</t>
  </si>
  <si>
    <t>15WvTCHWZ7k40lgk7ekOThzqz2K_9MGli20N9iYkrug0</t>
  </si>
  <si>
    <t>KWALITY MOTORS (MAW) - SASNI</t>
  </si>
  <si>
    <t>1tG6SIaUemv7lR5Mk83bVueqzrq3gu9dk</t>
  </si>
  <si>
    <t>ACPL00263</t>
  </si>
  <si>
    <t>https://docs.google.com/spreadsheets/d/15WvTCHWZ7k40lgk7ekOThzqz2K_9MGli20N9iYkrug0/edit#gid=0</t>
  </si>
  <si>
    <t>https://drive.google.com/drive/folders/1tG6SIaUemv7lR5Mk83bVueqzrq3gu9dk</t>
  </si>
  <si>
    <t>kwalitymotorscpa@gmail.com</t>
  </si>
  <si>
    <t>16/09/2021 12:57</t>
  </si>
  <si>
    <t>SASNI</t>
  </si>
  <si>
    <t>1zWSCvcfPxAcr86Cn-xiLCzYM42hDpWaMzqQvGvc-Ojw</t>
  </si>
  <si>
    <t>ZEESHAN AUTOMOBILES (CA) - SOHAWAL</t>
  </si>
  <si>
    <t>1M-EGjDOpIXvWbVADJdTOWe1CpeqzfdEP</t>
  </si>
  <si>
    <t>ACPL00264</t>
  </si>
  <si>
    <t>https://docs.google.com/spreadsheets/d/1zWSCvcfPxAcr86Cn-xiLCzYM42hDpWaMzqQvGvc-Ojw/edit#gid=0</t>
  </si>
  <si>
    <t>https://drive.google.com/drive/folders/1M-EGjDOpIXvWbVADJdTOWe1CpeqzfdEP</t>
  </si>
  <si>
    <t>zeeshanautomobilescpa@gmail.com</t>
  </si>
  <si>
    <t>16/09/2021 13:14</t>
  </si>
  <si>
    <t>SOHAWAL</t>
  </si>
  <si>
    <t>1tYhmR4lNj1YHeqiigs35s15UxKEVLcMXrnIYSlOkRQk</t>
  </si>
  <si>
    <t>SANDEEP HERO (VA) - INAYAT NAGAR</t>
  </si>
  <si>
    <t>1LvczJLJSk243dNva5o0s9__Mn6XK3hu7</t>
  </si>
  <si>
    <t>ACPL00265</t>
  </si>
  <si>
    <t>https://docs.google.com/spreadsheets/d/1tYhmR4lNj1YHeqiigs35s15UxKEVLcMXrnIYSlOkRQk/edit#gid=0</t>
  </si>
  <si>
    <t>https://drive.google.com/drive/folders/1LvczJLJSk243dNva5o0s9__Mn6XK3hu7</t>
  </si>
  <si>
    <t>sandeepherocpa@gmail.com</t>
  </si>
  <si>
    <t>16/09/2021 13:17</t>
  </si>
  <si>
    <t>INAYAT NAGAR</t>
  </si>
  <si>
    <t>1oG8KJLWAlMywHu47lg3UpNHq7GaTnmFRLHM1WnMwroU</t>
  </si>
  <si>
    <t>RAHUL AUTOSALES (VA) - LALUWA PUR</t>
  </si>
  <si>
    <t>1COXnFTNuNC_mJeljqzpc2nXLN7wNnw_a</t>
  </si>
  <si>
    <t>ACPL00266</t>
  </si>
  <si>
    <t>https://docs.google.com/spreadsheets/d/1oG8KJLWAlMywHu47lg3UpNHq7GaTnmFRLHM1WnMwroU/edit#gid=0</t>
  </si>
  <si>
    <t>https://drive.google.com/drive/folders/1COXnFTNuNC_mJeljqzpc2nXLN7wNnw_a</t>
  </si>
  <si>
    <t>RAHULAUTOSALESCPA@GMAIL.COM</t>
  </si>
  <si>
    <t>16/09/2021 13:20</t>
  </si>
  <si>
    <t>LALUWA PUR</t>
  </si>
  <si>
    <t>18YeFXhbwOry3OVJYZRIqhn6Omyqh0U-ahQsWUD0TmFQ</t>
  </si>
  <si>
    <t>SILVER WHEELS - KANPUR</t>
  </si>
  <si>
    <t>1z4Tz7H0INBBYXp4pgYbpIhJA2gABYj-6</t>
  </si>
  <si>
    <t>ACPL00267</t>
  </si>
  <si>
    <t>https://docs.google.com/spreadsheets/d/18YeFXhbwOry3OVJYZRIqhn6Omyqh0U-ahQsWUD0TmFQ/edit#gid=0</t>
  </si>
  <si>
    <t>https://drive.google.com/drive/folders/1z4Tz7H0INBBYXp4pgYbpIhJA2gABYj-6</t>
  </si>
  <si>
    <t>silvers9009@gmail.com</t>
  </si>
  <si>
    <t>KANPUR</t>
  </si>
  <si>
    <t>MR. AMIT</t>
  </si>
  <si>
    <t>https://drive.google.com/drive/folders/16NqOe0vGydJ8W3LsSWDCjhdTrPWegWue</t>
  </si>
  <si>
    <t>1i7nD8aYC6tcitvs73AUebjtv4kfapAZjbotnlncyi9w</t>
  </si>
  <si>
    <t>SARASWATI MOTORS - PRAYAGRAJ</t>
  </si>
  <si>
    <t>1Pf9IwSnsmlKM9fADSM6Yw7zYNtLEqCUV</t>
  </si>
  <si>
    <t>ACPL00268</t>
  </si>
  <si>
    <t>https://docs.google.com/spreadsheets/d/1i7nD8aYC6tcitvs73AUebjtv4kfapAZjbotnlncyi9w/edit#gid=0</t>
  </si>
  <si>
    <t>https://drive.google.com/drive/folders/1Pf9IwSnsmlKM9fADSM6Yw7zYNtLEqCUV</t>
  </si>
  <si>
    <t>saraswatimotorscpa@gmail.com</t>
  </si>
  <si>
    <t>PRAYAGRAJ</t>
  </si>
  <si>
    <t>ANKIT RAJ</t>
  </si>
  <si>
    <t>herovishambhercpa@smlindia.in</t>
  </si>
  <si>
    <t>DHIRENDRA</t>
  </si>
  <si>
    <t>https://drive.google.com/drive/folders/14NaEIqaj3N6-uy8NvMlq6thXbBMlN2HF</t>
  </si>
  <si>
    <t>1yvgpH1Hw8bnf4lrnmBAiOKNDWfY-irs2VtrGdI62N3w</t>
  </si>
  <si>
    <t>Mongold World Hero(VAW) - Khair</t>
  </si>
  <si>
    <t>1awB0E-_AACHkqQuPwHagoObcZTy-O6VA</t>
  </si>
  <si>
    <t>ACPL00269</t>
  </si>
  <si>
    <t>https://docs.google.com/spreadsheets/d/1yvgpH1Hw8bnf4lrnmBAiOKNDWfY-irs2VtrGdI62N3w/edit#gid=0</t>
  </si>
  <si>
    <t>https://drive.google.com/drive/folders/1awB0E-_AACHkqQuPwHagoObcZTy-O6VA</t>
  </si>
  <si>
    <t>mongoldheroautomobiles@gmail.com</t>
  </si>
  <si>
    <t>Rajeev</t>
  </si>
  <si>
    <t>Abhinav Bhati</t>
  </si>
  <si>
    <t>14mB4gV5ERRUfHqgfkG9Y3k4vrKZM_vGy769D96a1XRs</t>
  </si>
  <si>
    <t>SHIV GANGA AUTOMOBILES  - DELHI</t>
  </si>
  <si>
    <t>1Qq3iFBTABS_o7IzD3hXdrctVAjnJ0-gY</t>
  </si>
  <si>
    <t>ACPL00270</t>
  </si>
  <si>
    <t>https://docs.google.com/spreadsheets/d/14mB4gV5ERRUfHqgfkG9Y3k4vrKZM_vGy769D96a1XRs/edit#gid=0</t>
  </si>
  <si>
    <t>https://drive.google.com/drive/folders/1Qq3iFBTABS_o7IzD3hXdrctVAjnJ0-gY</t>
  </si>
  <si>
    <t>dimpal.shivgangaautomobiles@gmail.com</t>
  </si>
  <si>
    <t>13/10/2021 10:16</t>
  </si>
  <si>
    <t>DELHI</t>
  </si>
  <si>
    <t>SUNIL RAHEJA</t>
  </si>
  <si>
    <t>DIMPLE</t>
  </si>
  <si>
    <t>MUKESH</t>
  </si>
  <si>
    <t>https://drive.google.com/drive/folders/1JnxYUPck6WtrEJVGkG6ZiLFr9BNxpTqG</t>
  </si>
  <si>
    <t>10fTJqTgJ-_OwDX6g-RAXFfEfIGZgIyAe</t>
  </si>
  <si>
    <t>1VHoXClueJ_ynsqwL3c9ZFpHDheMLqvKV4-uCbOL3i7w</t>
  </si>
  <si>
    <t>1mwtInypGX68IAfrIujI69hhRfhbAPm5uMzQxz3Da4FQ</t>
  </si>
  <si>
    <t>Lucky Automobiles(MAA) - Nautan</t>
  </si>
  <si>
    <t>1eqiohY2F7Qdw4zFCzxMU1VfnaiIM2NPP</t>
  </si>
  <si>
    <t>ACPL00271</t>
  </si>
  <si>
    <t>https://docs.google.com/spreadsheets/d/1mwtInypGX68IAfrIujI69hhRfhbAPm5uMzQxz3Da4FQ/edit#gid=0</t>
  </si>
  <si>
    <t>https://drive.google.com/drive/folders/1eqiohY2F7Qdw4zFCzxMU1VfnaiIM2NPP</t>
  </si>
  <si>
    <t>luckyhero11953@gmail.com</t>
  </si>
  <si>
    <t>14/10/2021 16:24</t>
  </si>
  <si>
    <t>Nautan</t>
  </si>
  <si>
    <t>Sujeet Kumar</t>
  </si>
  <si>
    <t>Dinesh Kumar</t>
  </si>
  <si>
    <t>1kYYRjA4wQJoSt6FzyKeD92_dgOOGuQjkf6AWpDP6NFo</t>
  </si>
  <si>
    <t>Jyoti Hero Agency(MAA) - Jagdishpur</t>
  </si>
  <si>
    <t>1lcRpm_D4_Vo4P1oHQMdqGQZqrgVshgBy</t>
  </si>
  <si>
    <t>ACPL00272</t>
  </si>
  <si>
    <t>https://docs.google.com/spreadsheets/d/1kYYRjA4wQJoSt6FzyKeD92_dgOOGuQjkf6AWpDP6NFo/edit#gid=0</t>
  </si>
  <si>
    <t>https://drive.google.com/drive/folders/1lcRpm_D4_Vo4P1oHQMdqGQZqrgVshgBy</t>
  </si>
  <si>
    <t>jyotihero11953@gmail.com</t>
  </si>
  <si>
    <t>14/10/2021 17:13</t>
  </si>
  <si>
    <t>Jagdishpur</t>
  </si>
  <si>
    <t>Vivekanand Upadhyay</t>
  </si>
  <si>
    <t>1LTIwWSogdMZBmad9vycGhuGyAwmeSg8ug5WYA6jHDdw</t>
  </si>
  <si>
    <t>SHRI GURUKRIPA-MORNA(SBH)</t>
  </si>
  <si>
    <t>1NF0MYvjjuajdsvH6gKoe50GQFzktEaYS</t>
  </si>
  <si>
    <t>ACPL00273</t>
  </si>
  <si>
    <t>https://docs.google.com/spreadsheets/d/1LTIwWSogdMZBmad9vycGhuGyAwmeSg8ug5WYA6jHDdw/edit#gid=0</t>
  </si>
  <si>
    <t>https://drive.google.com/drive/folders/1NF0MYvjjuajdsvH6gKoe50GQFzktEaYS</t>
  </si>
  <si>
    <t>shrigurukirpappa@gmail.com</t>
  </si>
  <si>
    <t>25/10/2021 14:10</t>
  </si>
  <si>
    <t>MORNA</t>
  </si>
  <si>
    <t>VIJAY</t>
  </si>
  <si>
    <t>ROHIT</t>
  </si>
  <si>
    <t>HARSH</t>
  </si>
  <si>
    <t>1g0qiuDcnbyBi-CYwlfpEUrOj5boKaQ0D16LWou5stMc</t>
  </si>
  <si>
    <t xml:space="preserve"> VINAYAK AUTOMOBILES-TITAWI(SBH)</t>
  </si>
  <si>
    <t>176EUb45psgoWM-zdE_Ek_pLg4EMU01ob</t>
  </si>
  <si>
    <t>ACPL00274</t>
  </si>
  <si>
    <t>https://docs.google.com/spreadsheets/d/1g0qiuDcnbyBi-CYwlfpEUrOj5boKaQ0D16LWou5stMc/edit#gid=0</t>
  </si>
  <si>
    <t>https://drive.google.com/drive/folders/176EUb45psgoWM-zdE_Ek_pLg4EMU01ob</t>
  </si>
  <si>
    <t>vinayakautomobiles2019@gmail.com</t>
  </si>
  <si>
    <t>28/10/2021 13:39</t>
  </si>
  <si>
    <t>MUZAFFARNAGAR</t>
  </si>
  <si>
    <t>KUNAL</t>
  </si>
  <si>
    <t>PUNEET</t>
  </si>
  <si>
    <t>11f9wtVFkWuND5MycjAQF0s33JyN2F1jC8n_ilAvNXUE</t>
  </si>
  <si>
    <t>Om moters (AAA) - Jalali</t>
  </si>
  <si>
    <t>1PfwYkpfCRntO3RglO4KKuDxep2uRUXIt</t>
  </si>
  <si>
    <t>ACPL00275</t>
  </si>
  <si>
    <t>https://docs.google.com/spreadsheets/d/11f9wtVFkWuND5MycjAQF0s33JyN2F1jC8n_ilAvNXUE/edit#gid=0</t>
  </si>
  <si>
    <t>https://drive.google.com/drive/folders/1PfwYkpfCRntO3RglO4KKuDxep2uRUXIt</t>
  </si>
  <si>
    <t>ommoters2000@gmail.com</t>
  </si>
  <si>
    <t>29/10/2021 12:36</t>
  </si>
  <si>
    <t>Jalali</t>
  </si>
  <si>
    <t>Sushil Kumar</t>
  </si>
  <si>
    <t>ommoters54@gmail.com</t>
  </si>
  <si>
    <t>1-MGz10ueHtF28FBo7G_OHqG8elKH6byTXmsAdLd1HwQ</t>
  </si>
  <si>
    <t>AAA Counter - Bada gaon</t>
  </si>
  <si>
    <t>1c-ZlNZ96lB-1fbsOMX9a7xP1iAneL8yC</t>
  </si>
  <si>
    <t>ACPL00276</t>
  </si>
  <si>
    <t>https://docs.google.com/spreadsheets/d/1-MGz10ueHtF28FBo7G_OHqG8elKH6byTXmsAdLd1HwQ/edit#gid=0</t>
  </si>
  <si>
    <t>https://drive.google.com/drive/folders/1c-ZlNZ96lB-1fbsOMX9a7xP1iAneL8yC</t>
  </si>
  <si>
    <t>arunvarshney9027@gmail.com</t>
  </si>
  <si>
    <t>29/10/2021 12:49</t>
  </si>
  <si>
    <t>Bada Gaon</t>
  </si>
  <si>
    <t>Bada gaon</t>
  </si>
  <si>
    <t>Upendra kumar</t>
  </si>
  <si>
    <t>1Ql_6BdBcHGAyITSZt1pNUK3bW54CzeThIBXr7aH7K3Y</t>
  </si>
  <si>
    <t>Gupta Automobiles - Padrauna</t>
  </si>
  <si>
    <t>19yMD1egDoQ5nYAgEM6PwTXZkuGfOtJgo</t>
  </si>
  <si>
    <t>ACPL00277</t>
  </si>
  <si>
    <t>https://docs.google.com/spreadsheets/d/1Ql_6BdBcHGAyITSZt1pNUK3bW54CzeThIBXr7aH7K3Y/edit#gid=0</t>
  </si>
  <si>
    <t>https://drive.google.com/drive/folders/19yMD1egDoQ5nYAgEM6PwTXZkuGfOtJgo</t>
  </si>
  <si>
    <t>guptaherocpa@gmail.com</t>
  </si>
  <si>
    <t>29/10/2021 13:59</t>
  </si>
  <si>
    <t>Padrauna</t>
  </si>
  <si>
    <t>Ajay Kumar</t>
  </si>
  <si>
    <t>Durgesh Trivedi</t>
  </si>
  <si>
    <t>09AHWPG0569P1ZE</t>
  </si>
  <si>
    <t>AHWPG0569P</t>
  </si>
  <si>
    <t>Gupta Automobiles</t>
  </si>
  <si>
    <t>HDFC Bank LTD</t>
  </si>
  <si>
    <t>HDFC0001906</t>
  </si>
  <si>
    <t>HDFC BANK LTD</t>
  </si>
  <si>
    <t>https://drive.google.com/drive/folders/16h3BQ1l9Q2IzRb6HnE1Mwfcid94u3eoK</t>
  </si>
  <si>
    <t>1T9TOPNccEkZyvcMjs5_ErkZRFNoV3A33YcZPKCnjNeI</t>
  </si>
  <si>
    <t>VAISHNO MOTORS - JHUGAWA</t>
  </si>
  <si>
    <t>15Hgkp4hhKTUS7FLb94xlf0ccPD_2Xk9G</t>
  </si>
  <si>
    <t>ACPL00278</t>
  </si>
  <si>
    <t>https://docs.google.com/spreadsheets/d/1T9TOPNccEkZyvcMjs5_ErkZRFNoV3A33YcZPKCnjNeI/edit#gid=0</t>
  </si>
  <si>
    <t>https://drive.google.com/drive/folders/15Hgkp4hhKTUS7FLb94xlf0ccPD_2Xk9G</t>
  </si>
  <si>
    <t>vaishnomotorshero@gmail.com</t>
  </si>
  <si>
    <t>29/10/2021 17:20</t>
  </si>
  <si>
    <t>JHUGAWA</t>
  </si>
  <si>
    <t>Ajay Kumar Gupta</t>
  </si>
  <si>
    <t>09AAOFV8287E1ZE</t>
  </si>
  <si>
    <t>AAOFV8287E</t>
  </si>
  <si>
    <t>VAISHNO MOTORS</t>
  </si>
  <si>
    <t>HDFC0002285</t>
  </si>
  <si>
    <t>https://drive.google.com/drive/folders/1DT7AtLU5eNC8OFOGr4Vye3-y8fT6qhnc</t>
  </si>
  <si>
    <t>1XA3IU40iudWqjc-iMpo4sIeP_Jq8_MOSk2H-xzRtlHA</t>
  </si>
  <si>
    <t>Gupta automobiles(GA)- Ramkola road</t>
  </si>
  <si>
    <t>1KZn33-OiwGK1qngve1S3OJsjcFR_3p0U</t>
  </si>
  <si>
    <t>ACPL00279</t>
  </si>
  <si>
    <t>https://docs.google.com/spreadsheets/d/1XA3IU40iudWqjc-iMpo4sIeP_Jq8_MOSk2H-xzRtlHA/edit#gid=0</t>
  </si>
  <si>
    <t>https://drive.google.com/drive/folders/1KZn33-OiwGK1qngve1S3OJsjcFR_3p0U</t>
  </si>
  <si>
    <t>ramkolacpa@gmail.com</t>
  </si>
  <si>
    <t>30/10/2021 11:56</t>
  </si>
  <si>
    <t>Ramkola road</t>
  </si>
  <si>
    <t>1xdBmlu3NG6ftZ2So7cKWCZU08O5EvzyDf43msSPJABE</t>
  </si>
  <si>
    <t>Shri Guru Motors (GA) - PAKADIYAR BAZAR</t>
  </si>
  <si>
    <t>1hCW477L7CrKPUezvhTEHK0HTnjXLtyEw</t>
  </si>
  <si>
    <t>ACPL00280</t>
  </si>
  <si>
    <t>https://docs.google.com/spreadsheets/d/1xdBmlu3NG6ftZ2So7cKWCZU08O5EvzyDf43msSPJABE/edit#gid=0</t>
  </si>
  <si>
    <t>https://drive.google.com/drive/folders/1hCW477L7CrKPUezvhTEHK0HTnjXLtyEw</t>
  </si>
  <si>
    <t>amitgupta.kumar39@gmail.com</t>
  </si>
  <si>
    <t>30/10/2021 12:16</t>
  </si>
  <si>
    <t>PAKADIYAR BAZAR</t>
  </si>
  <si>
    <t>1_5VG-F35BWYeavx2Egt3_WJsCY1xhX1lyqQW8SX-6Tg</t>
  </si>
  <si>
    <t>SINGLA AGENCIES- BADARPUR</t>
  </si>
  <si>
    <t>1OmmF4wuzrONK3Po_M-CQVS16No106qjW</t>
  </si>
  <si>
    <t>ACPL00281</t>
  </si>
  <si>
    <t>https://docs.google.com/spreadsheets/d/1_5VG-F35BWYeavx2Egt3_WJsCY1xhX1lyqQW8SX-6Tg/edit#gid=0</t>
  </si>
  <si>
    <t>https://drive.google.com/drive/folders/1OmmF4wuzrONK3Po_M-CQVS16No106qjW</t>
  </si>
  <si>
    <t>singlaagenciescpa065@gmail.com</t>
  </si>
  <si>
    <t>30/10/2021 12:24</t>
  </si>
  <si>
    <t>Harmesh kumar singla</t>
  </si>
  <si>
    <t>Pushpendra shaky</t>
  </si>
  <si>
    <t>Pushpendra</t>
  </si>
  <si>
    <t>07AZJPS5417R1ZH</t>
  </si>
  <si>
    <t>AZJPS5417R</t>
  </si>
  <si>
    <t>Singla Agencies</t>
  </si>
  <si>
    <t>Hdfc bank</t>
  </si>
  <si>
    <t>HDFC0002034</t>
  </si>
  <si>
    <t>https://drive.google.com/drive/folders/1NdpsEUncLZM-x57nfzHfpVxRTz5_zhq_</t>
  </si>
  <si>
    <t>19pAMM1ODD7HC9W7d0aVqaU20HF154F5SEq_JiEg9FBM</t>
  </si>
  <si>
    <t xml:space="preserve">J k Motors (GA) - Mansoorganj </t>
  </si>
  <si>
    <t>1LqxMPM7Yw5Luj4mApa_KL99AX2zu5RcE</t>
  </si>
  <si>
    <t>ACPL00282</t>
  </si>
  <si>
    <t>https://docs.google.com/spreadsheets/d/19pAMM1ODD7HC9W7d0aVqaU20HF154F5SEq_JiEg9FBM/edit#gid=0</t>
  </si>
  <si>
    <t>https://drive.google.com/drive/folders/1LqxMPM7Yw5Luj4mApa_KL99AX2zu5RcE</t>
  </si>
  <si>
    <t>jkmotorscpa@gmail.com</t>
  </si>
  <si>
    <t>30/10/2021 12:41</t>
  </si>
  <si>
    <t xml:space="preserve">Mansoorganj </t>
  </si>
  <si>
    <t>Jaikishan</t>
  </si>
  <si>
    <t>1mc_8vM2cvVxFaLxhqehg3pn4kwEVbCwCJJWsBRw5SJA</t>
  </si>
  <si>
    <t>Singla Agencies-Sangam vihar-(SAB)</t>
  </si>
  <si>
    <t>14QX--Dt46q8CGq1C2vQXT7f19k-FH_H9</t>
  </si>
  <si>
    <t>ACPL00283</t>
  </si>
  <si>
    <t>https://docs.google.com/spreadsheets/d/1mc_8vM2cvVxFaLxhqehg3pn4kwEVbCwCJJWsBRw5SJA/edit#gid=0</t>
  </si>
  <si>
    <t>https://drive.google.com/drive/folders/14QX--Dt46q8CGq1C2vQXT7f19k-FH_H9</t>
  </si>
  <si>
    <t>Singlasangamcpa@gmail.com</t>
  </si>
  <si>
    <t>30/10/2021 13:03</t>
  </si>
  <si>
    <t>Sangam vihar</t>
  </si>
  <si>
    <t>Harmesh singla</t>
  </si>
  <si>
    <t>Shubham</t>
  </si>
  <si>
    <t>1OSf6HUPm5hUkqeVhhPHbTNPPdXQV5R9xQcrIw2sZ88s</t>
  </si>
  <si>
    <t>Krishna Motors-Madanpur Khadar-(SAB)</t>
  </si>
  <si>
    <t>1ovNeHmTEDDpRA0U8NVGM9oSDWoGAKI03</t>
  </si>
  <si>
    <t>ACPL00284</t>
  </si>
  <si>
    <t>https://docs.google.com/spreadsheets/d/1OSf6HUPm5hUkqeVhhPHbTNPPdXQV5R9xQcrIw2sZ88s/edit#gid=0</t>
  </si>
  <si>
    <t>https://drive.google.com/drive/folders/1ovNeHmTEDDpRA0U8NVGM9oSDWoGAKI03</t>
  </si>
  <si>
    <t>krishnamotorscpa@gmail.com</t>
  </si>
  <si>
    <t>30/10/2021 13:08</t>
  </si>
  <si>
    <t>Madanpur Khadar</t>
  </si>
  <si>
    <t>Harmesh</t>
  </si>
  <si>
    <t>1_NK5IeBBhUwOkOG5CiLqBmnSrAsMKt3Ny0Eyc48kmrA</t>
  </si>
  <si>
    <t>Singla Motors-JAITPUR- (SAB)</t>
  </si>
  <si>
    <t>1wSclKV0qtP0XH6J-NiRf6YAxzBhJ9eo-</t>
  </si>
  <si>
    <t>ACPL00285</t>
  </si>
  <si>
    <t>https://docs.google.com/spreadsheets/d/1_NK5IeBBhUwOkOG5CiLqBmnSrAsMKt3Ny0Eyc48kmrA/edit#gid=0</t>
  </si>
  <si>
    <t>https://drive.google.com/drive/folders/1wSclKV0qtP0XH6J-NiRf6YAxzBhJ9eo-</t>
  </si>
  <si>
    <t>singlamotorscpa@gmail.com</t>
  </si>
  <si>
    <t>30/10/2021 13:12</t>
  </si>
  <si>
    <t>Jaitpur</t>
  </si>
  <si>
    <t>1QOJhpGMdUnxjEHflCyBx-7AgAkJDocYTlbeJzELOi9U</t>
  </si>
  <si>
    <t>Singla Auto Need- Pandav nagar- (SAB)</t>
  </si>
  <si>
    <t>1VR1F2u5g5g4T5fdDT0MDSQXYfSeGVliT</t>
  </si>
  <si>
    <t>ACPL00286</t>
  </si>
  <si>
    <t>https://docs.google.com/spreadsheets/d/1QOJhpGMdUnxjEHflCyBx-7AgAkJDocYTlbeJzELOi9U/edit#gid=0</t>
  </si>
  <si>
    <t>https://drive.google.com/drive/folders/1VR1F2u5g5g4T5fdDT0MDSQXYfSeGVliT</t>
  </si>
  <si>
    <t>singlaautoneedcpa@gmail.com</t>
  </si>
  <si>
    <t>30/10/2021 13:17</t>
  </si>
  <si>
    <t>Pandav Nagar</t>
  </si>
  <si>
    <t>Harmesh kumar</t>
  </si>
  <si>
    <t>1Pl3xCS8yRV5PgPEBDpSJ_TjqRSqKz0udLYEAfWnXS6o</t>
  </si>
  <si>
    <t>Yash Automobiles (GA) - Salemgarh</t>
  </si>
  <si>
    <t>1RjkRDfwyjMde_MYRHKwN7QlW1x_PVbj3</t>
  </si>
  <si>
    <t>ACPL00287</t>
  </si>
  <si>
    <t>https://docs.google.com/spreadsheets/d/1Pl3xCS8yRV5PgPEBDpSJ_TjqRSqKz0udLYEAfWnXS6o/edit#gid=0</t>
  </si>
  <si>
    <t>https://drive.google.com/drive/folders/1RjkRDfwyjMde_MYRHKwN7QlW1x_PVbj3</t>
  </si>
  <si>
    <t>yashautomobiles1cpa@gmail.com</t>
  </si>
  <si>
    <t>30/10/2021 13:44</t>
  </si>
  <si>
    <t>Salemgarh</t>
  </si>
  <si>
    <t>Ajay bayut</t>
  </si>
  <si>
    <t>1MwGB4NlbAA1sDO4RNS9Gt7hcxUDE9RrGsbtMfLGnXmc</t>
  </si>
  <si>
    <t>Rishabh Motors (GA) - SEORAHI</t>
  </si>
  <si>
    <t>1XGoR_7AT3iPOYGx06dmfRaksCZsMYtHo</t>
  </si>
  <si>
    <t>ACPL00288</t>
  </si>
  <si>
    <t>https://docs.google.com/spreadsheets/d/1MwGB4NlbAA1sDO4RNS9Gt7hcxUDE9RrGsbtMfLGnXmc/edit#gid=0</t>
  </si>
  <si>
    <t>https://drive.google.com/drive/folders/1XGoR_7AT3iPOYGx06dmfRaksCZsMYtHo</t>
  </si>
  <si>
    <t>rishabhmotors8cpa@gmail.com</t>
  </si>
  <si>
    <t>30/10/2021 14:00</t>
  </si>
  <si>
    <t>SEORAHI</t>
  </si>
  <si>
    <t>Sanjay Gupta</t>
  </si>
  <si>
    <t>1_OiNFW1L4uli0OUd47a3WJ8Vi8oF4ELvOE04d55Bxu8</t>
  </si>
  <si>
    <t>Aditya Automobiles (GA) - Khadda</t>
  </si>
  <si>
    <t>1jv2CB0LRek9m53W1Hyj7S7zCtN7k7d-L</t>
  </si>
  <si>
    <t>ACPL00289</t>
  </si>
  <si>
    <t>https://docs.google.com/spreadsheets/d/1_OiNFW1L4uli0OUd47a3WJ8Vi8oF4ELvOE04d55Bxu8/edit#gid=0</t>
  </si>
  <si>
    <t>https://drive.google.com/drive/folders/1jv2CB0LRek9m53W1Hyj7S7zCtN7k7d-L</t>
  </si>
  <si>
    <t>adityaautomobilecpa@gmail.com</t>
  </si>
  <si>
    <t>30/10/2021 15:18</t>
  </si>
  <si>
    <t>Khadda</t>
  </si>
  <si>
    <t>Manish Jaiswal</t>
  </si>
  <si>
    <t>1exeGOWVXOAcHuO2L4B0HTiLTrOKeCzbSH5QoO_nqQeA</t>
  </si>
  <si>
    <t>Madheshiya Automobile (GA) - Kaptanganj</t>
  </si>
  <si>
    <t>1yTHnH4K1EZid0qdRKwVp2xx18S04IVwD</t>
  </si>
  <si>
    <t>ACPL00290</t>
  </si>
  <si>
    <t>https://docs.google.com/spreadsheets/d/1exeGOWVXOAcHuO2L4B0HTiLTrOKeCzbSH5QoO_nqQeA/edit#gid=0</t>
  </si>
  <si>
    <t>https://drive.google.com/drive/folders/1yTHnH4K1EZid0qdRKwVp2xx18S04IVwD</t>
  </si>
  <si>
    <t>MADHESHIYAAUTOMOBILECPA@GMAIL.COM</t>
  </si>
  <si>
    <t>30/10/2021 16:05</t>
  </si>
  <si>
    <t>Kaptanganj</t>
  </si>
  <si>
    <t>1j6kSc9K8tCblFNSj_E0V1RN6vamZO2mUImuRcmAEmTA</t>
  </si>
  <si>
    <t>Gautam Automobiles (GA) - Bodarwar</t>
  </si>
  <si>
    <t>1tTRuGz0_BNdOd_EL2yfD4uSelWCkPTLx</t>
  </si>
  <si>
    <t>ACPL00291</t>
  </si>
  <si>
    <t>https://docs.google.com/spreadsheets/d/1j6kSc9K8tCblFNSj_E0V1RN6vamZO2mUImuRcmAEmTA/edit#gid=0</t>
  </si>
  <si>
    <t>https://drive.google.com/drive/folders/1tTRuGz0_BNdOd_EL2yfD4uSelWCkPTLx</t>
  </si>
  <si>
    <t>gautamautomobiles21cpa@gmail.com</t>
  </si>
  <si>
    <t>30/10/2021 16:52</t>
  </si>
  <si>
    <t>Bodarwar</t>
  </si>
  <si>
    <t>SHARD GAUTAM</t>
  </si>
  <si>
    <t>1fv8dWFkW6b7Hzi-3JpJOz2oZJtF8mmvQvdvX2JWmNEQ</t>
  </si>
  <si>
    <t>Ditya Automobiles - Samaur Bazar</t>
  </si>
  <si>
    <t>1fkx1EVU-mvVL8AjYGbtVr41kyu1m11Tj</t>
  </si>
  <si>
    <t>ACPL00292</t>
  </si>
  <si>
    <t>https://docs.google.com/spreadsheets/d/1fv8dWFkW6b7Hzi-3JpJOz2oZJtF8mmvQvdvX2JWmNEQ/edit#gid=0</t>
  </si>
  <si>
    <t>https://drive.google.com/drive/folders/1fkx1EVU-mvVL8AjYGbtVr41kyu1m11Tj</t>
  </si>
  <si>
    <t>dityaautomobiles95@gmail.com</t>
  </si>
  <si>
    <t>31/10/2021 12:27</t>
  </si>
  <si>
    <t>Samaur Bazar</t>
  </si>
  <si>
    <t>1W3-jZjI2u0tVYh2hYKl3zGL5m_jhz5IRzXYj0clftmM</t>
  </si>
  <si>
    <t>Shiv Automobiles (GA) - Sukrauli</t>
  </si>
  <si>
    <t>1Pf5HwvQ8pESnAwe8Cpo_9JPG1PEB7-pu</t>
  </si>
  <si>
    <t>ACPL00293</t>
  </si>
  <si>
    <t>https://docs.google.com/spreadsheets/d/1W3-jZjI2u0tVYh2hYKl3zGL5m_jhz5IRzXYj0clftmM/edit#gid=0</t>
  </si>
  <si>
    <t>https://drive.google.com/drive/folders/1Pf5HwvQ8pESnAwe8Cpo_9JPG1PEB7-pu</t>
  </si>
  <si>
    <t>shivautomobilescpa@gmail.com</t>
  </si>
  <si>
    <t>31/10/2021 13:06</t>
  </si>
  <si>
    <t>Sukrauli</t>
  </si>
  <si>
    <t>1Rt3N-j0r2Em5s4csoiyfu2dZgRIzx0sNXUWimr9m_U4</t>
  </si>
  <si>
    <t>Kanha Motors (GA) - Captainganj</t>
  </si>
  <si>
    <t>1ReeynROSqvkn6cb4yBNY2PJvRhCxjMQO</t>
  </si>
  <si>
    <t>ACPL00294</t>
  </si>
  <si>
    <t>https://docs.google.com/spreadsheets/d/1Rt3N-j0r2Em5s4csoiyfu2dZgRIzx0sNXUWimr9m_U4/edit#gid=0</t>
  </si>
  <si>
    <t>https://drive.google.com/drive/folders/1ReeynROSqvkn6cb4yBNY2PJvRhCxjMQO</t>
  </si>
  <si>
    <t>kanhamotorscpa2022@gmail.com</t>
  </si>
  <si>
    <t>31/10/2021 13:12</t>
  </si>
  <si>
    <t>Captainganj</t>
  </si>
  <si>
    <t>1D0bYz3VnU-VHJIxa-b_ygaVix-3eTTISmRnDDIWBdUM</t>
  </si>
  <si>
    <t>Bhudev Gupta (GA) - DUDAHI</t>
  </si>
  <si>
    <t>1EJqAk-2BJUmkRIlK9vvOhbeJO5Frj6F3</t>
  </si>
  <si>
    <t>ACPL00295</t>
  </si>
  <si>
    <t>https://docs.google.com/spreadsheets/d/1D0bYz3VnU-VHJIxa-b_ygaVix-3eTTISmRnDDIWBdUM/edit#gid=0</t>
  </si>
  <si>
    <t>https://drive.google.com/drive/folders/1EJqAk-2BJUmkRIlK9vvOhbeJO5Frj6F3</t>
  </si>
  <si>
    <t>bhudevguptacpa@gmail.com</t>
  </si>
  <si>
    <t>31/10/2021 13:18</t>
  </si>
  <si>
    <t>DUDAHI</t>
  </si>
  <si>
    <t>1iS0OzsOEgzLoPMX6_hFFZoxQvPZH07oslA_7etrLuZw</t>
  </si>
  <si>
    <t>SHREE KHADKA G AUTO- AHMEDABAD</t>
  </si>
  <si>
    <t>1FOLgZCqItuKN9hkjRS7LJs7B7cscea-W</t>
  </si>
  <si>
    <t>ACPL00296</t>
  </si>
  <si>
    <t>https://docs.google.com/spreadsheets/d/1iS0OzsOEgzLoPMX6_hFFZoxQvPZH07oslA_7etrLuZw/edit#gid=0</t>
  </si>
  <si>
    <t>https://drive.google.com/drive/folders/1FOLgZCqItuKN9hkjRS7LJs7B7cscea-W</t>
  </si>
  <si>
    <t>Shreekhadkagautotvs@gmail.com</t>
  </si>
  <si>
    <t>31/10/2021 13:40</t>
  </si>
  <si>
    <t>Pankaj</t>
  </si>
  <si>
    <t>Chirag</t>
  </si>
  <si>
    <t>24AAPFJ5710R1ZS</t>
  </si>
  <si>
    <t>AAPFJ5710R</t>
  </si>
  <si>
    <t xml:space="preserve">SHREE KHADKA G AUTO </t>
  </si>
  <si>
    <t>HDFC BANK</t>
  </si>
  <si>
    <t>HDFC0001679</t>
  </si>
  <si>
    <t>https://drive.google.com/drive/folders/1Vi8eBbrEKScKQmx2F5SP8fKh1ya3Y58V</t>
  </si>
  <si>
    <t>1FBjXAE1-KKWRluxAeSNXWWc03DBWHZmw6NQIaZREyIU</t>
  </si>
  <si>
    <t>Singh Motor (GA) - Ahirauli Bazar</t>
  </si>
  <si>
    <t>1nhN0DQqsOd-HwDai_1vlvXTUpRb4UG63</t>
  </si>
  <si>
    <t>ACPL00297</t>
  </si>
  <si>
    <t>https://docs.google.com/spreadsheets/d/1FBjXAE1-KKWRluxAeSNXWWc03DBWHZmw6NQIaZREyIU/edit#gid=0</t>
  </si>
  <si>
    <t>https://drive.google.com/drive/folders/1nhN0DQqsOd-HwDai_1vlvXTUpRb4UG63</t>
  </si>
  <si>
    <t>singhmotorcpa@gmail.com</t>
  </si>
  <si>
    <t>31/10/2021 16:19</t>
  </si>
  <si>
    <t>Ahirauli Bazar</t>
  </si>
  <si>
    <t>1uBiAsC5-HA2hRNcQGD_6Mpaq6LmZNpNtQhdpeLcD4Yg</t>
  </si>
  <si>
    <t>Laxmi Automobiles (GA) - Badhu Chauraha</t>
  </si>
  <si>
    <t>1KM5N_6FaDRd8-XuLzGu2HCtfGJo5bXiM</t>
  </si>
  <si>
    <t>ACPL00298</t>
  </si>
  <si>
    <t>https://docs.google.com/spreadsheets/d/1uBiAsC5-HA2hRNcQGD_6Mpaq6LmZNpNtQhdpeLcD4Yg/edit#gid=0</t>
  </si>
  <si>
    <t>https://drive.google.com/drive/folders/1KM5N_6FaDRd8-XuLzGu2HCtfGJo5bXiM</t>
  </si>
  <si>
    <t>laxmiautomobiles01@gmail.com</t>
  </si>
  <si>
    <t>31/10/2021 16:23</t>
  </si>
  <si>
    <t>Badhu Chauraha</t>
  </si>
  <si>
    <t>1bhPjaQq-g1jDtXoW8RLurTGLJE_d2uN5NupwulpULrs</t>
  </si>
  <si>
    <t>Sunil Motors (GA) - Inderpur</t>
  </si>
  <si>
    <t>1m8qDNIJ5rMqEXMeht8yhg29XTnWFGsmM</t>
  </si>
  <si>
    <t>ACPL00299</t>
  </si>
  <si>
    <t>https://docs.google.com/spreadsheets/d/1bhPjaQq-g1jDtXoW8RLurTGLJE_d2uN5NupwulpULrs/edit#gid=0</t>
  </si>
  <si>
    <t>https://drive.google.com/drive/folders/1m8qDNIJ5rMqEXMeht8yhg29XTnWFGsmM</t>
  </si>
  <si>
    <t>sunilmotorscpa@gmail.com</t>
  </si>
  <si>
    <t>Inderpur</t>
  </si>
  <si>
    <t>1xFID_8JlzSrxrXeYVgdRqij29QdUPwj9WI5dysI9CDw</t>
  </si>
  <si>
    <t>Samar Automobiles- Dudahi</t>
  </si>
  <si>
    <t>1gk9MGh_gvdlxVRXMP1vqiad00Ijb47uV</t>
  </si>
  <si>
    <t>ACPL00300</t>
  </si>
  <si>
    <t>https://docs.google.com/spreadsheets/d/1xFID_8JlzSrxrXeYVgdRqij29QdUPwj9WI5dysI9CDw/edit#gid=0</t>
  </si>
  <si>
    <t>https://drive.google.com/drive/folders/1gk9MGh_gvdlxVRXMP1vqiad00Ijb47uV</t>
  </si>
  <si>
    <t>samarautomobilescpa@gmail.com</t>
  </si>
  <si>
    <t>Dudahi</t>
  </si>
  <si>
    <t>Sabir Siddiqui</t>
  </si>
  <si>
    <t>1X_m6RcHqFfcQ7cuPRVFGEfC7_tgNzz3k2sBzk-y5Lho</t>
  </si>
  <si>
    <t>Krishna Automobile - Mathauli bazar</t>
  </si>
  <si>
    <t>1hOPutRDFyzHZ3id1Q8bOW0ZqtgAlj-8k</t>
  </si>
  <si>
    <t>ACPL00301</t>
  </si>
  <si>
    <t>https://docs.google.com/spreadsheets/d/1X_m6RcHqFfcQ7cuPRVFGEfC7_tgNzz3k2sBzk-y5Lho/edit#gid=0</t>
  </si>
  <si>
    <t>https://drive.google.com/drive/folders/1hOPutRDFyzHZ3id1Q8bOW0ZqtgAlj-8k</t>
  </si>
  <si>
    <t>herocpa068@gmail.com</t>
  </si>
  <si>
    <t>Mathauli bazar</t>
  </si>
  <si>
    <t>1x38XOM-VqTgqoXTPjpnyXIiMMrMalrJof7768QJp3LU</t>
  </si>
  <si>
    <t>KATKAM HONDA-KAMMAM</t>
  </si>
  <si>
    <t>10G0uxFrzLlWzBcfdenqiybl8hecck5zY</t>
  </si>
  <si>
    <t>ACPL00302</t>
  </si>
  <si>
    <t>https://docs.google.com/spreadsheets/d/1x38XOM-VqTgqoXTPjpnyXIiMMrMalrJof7768QJp3LU/edit#gid=0</t>
  </si>
  <si>
    <t>https://drive.google.com/drive/folders/10G0uxFrzLlWzBcfdenqiybl8hecck5zY</t>
  </si>
  <si>
    <t>TRENDZYMIX@GMAIL.COM</t>
  </si>
  <si>
    <t>KHAMMAM</t>
  </si>
  <si>
    <t>Telangana</t>
  </si>
  <si>
    <t>NOUSHAD</t>
  </si>
  <si>
    <t>FAVPM2765J</t>
  </si>
  <si>
    <t>https://drive.google.com/drive/folders/11kbPvFFk2uTJaod4ybyWmNpZ8l6AqWHU</t>
  </si>
  <si>
    <t>1JCRksT80QgKH0ah33tn7at3md6-Y1gqZnHoR-f94zj4</t>
  </si>
  <si>
    <t>SHREE VASHU AUTOMOBILES-CHARTHAWAL(SBH)</t>
  </si>
  <si>
    <t>1AFO4YXJ1YgQQ2hBU2DATPalcq7DPJoMV</t>
  </si>
  <si>
    <t>ACPL00303</t>
  </si>
  <si>
    <t>https://docs.google.com/spreadsheets/d/1JCRksT80QgKH0ah33tn7at3md6-Y1gqZnHoR-f94zj4/edit#gid=0</t>
  </si>
  <si>
    <t>https://drive.google.com/drive/folders/1AFO4YXJ1YgQQ2hBU2DATPalcq7DPJoMV</t>
  </si>
  <si>
    <t>SHREEVASHUAUTOMOBILES@GMAIL.COM</t>
  </si>
  <si>
    <t>CHARTHAWAL</t>
  </si>
  <si>
    <t>MUZZAFARNAGAR</t>
  </si>
  <si>
    <t>VASHU VERMA</t>
  </si>
  <si>
    <t>NASEEM</t>
  </si>
  <si>
    <t>1050xuIkuCwbciPjL7NYnIQd49nor1NbjSoUBzXpeVrU</t>
  </si>
  <si>
    <t>ARC HERO- MAHIPALPUR</t>
  </si>
  <si>
    <t>12jbYM4CcrEjn1UAyxUkkMQa8jShCjaJo</t>
  </si>
  <si>
    <t>ACPL00304</t>
  </si>
  <si>
    <t>https://docs.google.com/spreadsheets/d/1050xuIkuCwbciPjL7NYnIQd49nor1NbjSoUBzXpeVrU/edit#gid=0</t>
  </si>
  <si>
    <t>https://drive.google.com/drive/folders/12jbYM4CcrEjn1UAyxUkkMQa8jShCjaJo</t>
  </si>
  <si>
    <t>arcmahipalpur@gmail.com</t>
  </si>
  <si>
    <t>13/11/2021 13:13</t>
  </si>
  <si>
    <t>MAHIPALPUR</t>
  </si>
  <si>
    <t>Sangeeta Bajaj</t>
  </si>
  <si>
    <t>Ballabh</t>
  </si>
  <si>
    <t>Ballab</t>
  </si>
  <si>
    <t>https://drive.google.com/drive/folders/1uCtvQJ9rTTPPV1E-1TEwXHDYxqseJdZZ</t>
  </si>
  <si>
    <t>1V1pZk5oXt0Os6uVzOwKNFlHPMVgym4JW</t>
  </si>
  <si>
    <t>1pPHPbCfPzehI_dMsK4Ry4urBd7UG4nxDv0YJc6pwAuw</t>
  </si>
  <si>
    <t>1m8ka1AbXWO0NCwbciwxi-1DtNMMJX9mIx0hIP9BLnJE</t>
  </si>
  <si>
    <t>ARC HERO-JAMIA</t>
  </si>
  <si>
    <t>1uksEvNkuq6Acac1CNGNLDAOuAfcw5Suv</t>
  </si>
  <si>
    <t>ACPL00305</t>
  </si>
  <si>
    <t>https://docs.google.com/spreadsheets/d/1m8ka1AbXWO0NCwbciwxi-1DtNMMJX9mIx0hIP9BLnJE/edit#gid=0</t>
  </si>
  <si>
    <t>https://drive.google.com/drive/folders/1uksEvNkuq6Acac1CNGNLDAOuAfcw5Suv</t>
  </si>
  <si>
    <t>mdakhtar18786@gmail.com</t>
  </si>
  <si>
    <t>15/11/2021 14:55</t>
  </si>
  <si>
    <t>Jamia</t>
  </si>
  <si>
    <t>archerahipalpur@gmail.com</t>
  </si>
  <si>
    <t>Akhthar</t>
  </si>
  <si>
    <t>Akhtar</t>
  </si>
  <si>
    <t>1RqFy_bn68SlMFGahThwF1Tw-BJHO5gHw</t>
  </si>
  <si>
    <t>15A1t8QOoh0t0Z3vrsDxIOA7Gl45DtjbaP5XcJTVZ5F8</t>
  </si>
  <si>
    <t>1Y1uTCqiydc9ymgUi-hDKL8MeygYhztvO_MOLfvO2Xgs</t>
  </si>
  <si>
    <t>ARC-ASHRAM</t>
  </si>
  <si>
    <t>1-FyGrAaTA5VgLcdDWd0z9woXshV4LNUV</t>
  </si>
  <si>
    <t>ACPL00306</t>
  </si>
  <si>
    <t>https://docs.google.com/spreadsheets/d/1Y1uTCqiydc9ymgUi-hDKL8MeygYhztvO_MOLfvO2Xgs/edit#gid=0</t>
  </si>
  <si>
    <t>https://drive.google.com/drive/folders/1-FyGrAaTA5VgLcdDWd0z9woXshV4LNUV</t>
  </si>
  <si>
    <t>ARCASHRAM@GMAIL.COM</t>
  </si>
  <si>
    <t>15/11/2021 15:05</t>
  </si>
  <si>
    <t>Ashram</t>
  </si>
  <si>
    <t>Sangeeta</t>
  </si>
  <si>
    <t>Rakesh</t>
  </si>
  <si>
    <t>arcashram@gmail.com</t>
  </si>
  <si>
    <t>1xMInj2E-1Wag928cEmJzzn7rb0DC-cNg</t>
  </si>
  <si>
    <t>1JE9E7-kn68YvwTir9o2eWEGJ8eif59XxLGx-bvk0CSE</t>
  </si>
  <si>
    <t>1g1XusipIkc3ou5jV0CF6g9OQKAO43--ZjNw2cfWuCJ4</t>
  </si>
  <si>
    <t>Mahesh Motor 4 - Dinajpur</t>
  </si>
  <si>
    <t>1XUjQo7SqirorWR-RVJMLRmidGXdoe4Zu</t>
  </si>
  <si>
    <t>ACPL00307</t>
  </si>
  <si>
    <t>https://docs.google.com/spreadsheets/d/1g1XusipIkc3ou5jV0CF6g9OQKAO43--ZjNw2cfWuCJ4/edit#gid=0</t>
  </si>
  <si>
    <t>https://drive.google.com/drive/folders/1XUjQo7SqirorWR-RVJMLRmidGXdoe4Zu</t>
  </si>
  <si>
    <t>maheshmotorsinsurance4@gmail.com</t>
  </si>
  <si>
    <t>17/11/2021 14:08</t>
  </si>
  <si>
    <t>PANCHAN</t>
  </si>
  <si>
    <t>1t4c7ZP0L47Ls9dLmRsXxx1BWFwfzKxl5pOAYpj31jXc</t>
  </si>
  <si>
    <t>Dev Automobile (VAW) - Gonda</t>
  </si>
  <si>
    <t>1HIBaeUnU4OHvX5wHKz0DHgbOlTsr2fKq</t>
  </si>
  <si>
    <t>ACPL00308</t>
  </si>
  <si>
    <t>https://docs.google.com/spreadsheets/d/1t4c7ZP0L47Ls9dLmRsXxx1BWFwfzKxl5pOAYpj31jXc/edit#gid=0</t>
  </si>
  <si>
    <t>https://drive.google.com/drive/folders/1HIBaeUnU4OHvX5wHKz0DHgbOlTsr2fKq</t>
  </si>
  <si>
    <t>devautomobilesgonda@gmail.com</t>
  </si>
  <si>
    <t>24/11/2021 13:25</t>
  </si>
  <si>
    <t xml:space="preserve">Anukul Chaudhary </t>
  </si>
  <si>
    <t>1AN8rkD7i89vzJPwM9ksH3k-2XvTRN_Wg3aS0QeJ0a2I</t>
  </si>
  <si>
    <t>PASHUPATI HERO - ADCHINI</t>
  </si>
  <si>
    <t>1_HMdXSsYCZOebd20s4S_zTARSiO_Ic0E</t>
  </si>
  <si>
    <t>ACPL00309</t>
  </si>
  <si>
    <t>https://docs.google.com/spreadsheets/d/1AN8rkD7i89vzJPwM9ksH3k-2XvTRN_Wg3aS0QeJ0a2I/edit#gid=0</t>
  </si>
  <si>
    <t>https://drive.google.com/drive/folders/1_HMdXSsYCZOebd20s4S_zTARSiO_Ic0E</t>
  </si>
  <si>
    <t>pashupatihero87@gmail.com</t>
  </si>
  <si>
    <t>26/11/2021 20:08</t>
  </si>
  <si>
    <t>Satvir singh</t>
  </si>
  <si>
    <t>Subhash</t>
  </si>
  <si>
    <t>Shefali</t>
  </si>
  <si>
    <t>07AAAFP3543P1ZY</t>
  </si>
  <si>
    <t>AAAFP3543P</t>
  </si>
  <si>
    <t>PASHUPATI MOTORS</t>
  </si>
  <si>
    <t>State bank of india</t>
  </si>
  <si>
    <t>SBIN0007407</t>
  </si>
  <si>
    <t>https://drive.google.com/drive/folders/1A0ucN1TJKv4318j22Ka_9pYWn6i1zcXR</t>
  </si>
  <si>
    <t>1w1krX7ocpMyqdHYyj7GvKmn4Hs8V7Fes</t>
  </si>
  <si>
    <t>1t3SPtF69qAW6tkAsPiOwZfsBX5tAcV3rUrlOfrYeDgU</t>
  </si>
  <si>
    <t>1wvUK5nYC39vfuy54L8M4AdPHlr4l9KiUbThaTK6U6x8</t>
  </si>
  <si>
    <t>PASHUPATI HERO- DEOLI</t>
  </si>
  <si>
    <t>1fH7uqokt3mW4eFD183z9nILINfq7g8f4</t>
  </si>
  <si>
    <t>ACPL00310</t>
  </si>
  <si>
    <t>https://docs.google.com/spreadsheets/d/1wvUK5nYC39vfuy54L8M4AdPHlr4l9KiUbThaTK6U6x8/edit#gid=0</t>
  </si>
  <si>
    <t>https://drive.google.com/drive/folders/1fH7uqokt3mW4eFD183z9nILINfq7g8f4</t>
  </si>
  <si>
    <t>pashupatiheroinsurancedeoli@gmail.com</t>
  </si>
  <si>
    <t>Satvir</t>
  </si>
  <si>
    <t>Upadhay</t>
  </si>
  <si>
    <t>Geeta</t>
  </si>
  <si>
    <t>12UggH35-2EFiyKdjGfSmZKXo31jAFYPG</t>
  </si>
  <si>
    <t>1lBsGoC8ldsXbTLFQA1A7KiUnD5za5HBxBmROrWCkRj8</t>
  </si>
  <si>
    <t>1L4bmBANLoZzaH3L_g0lUkCl9uqLxMUm5AXoNn34pTXE</t>
  </si>
  <si>
    <t>ETGO MOTORS - NOIDA</t>
  </si>
  <si>
    <t>1bnpMeHcuzfQCleN03tnV5EVUd0Go8BFs</t>
  </si>
  <si>
    <t>ACPL00311</t>
  </si>
  <si>
    <t>https://docs.google.com/spreadsheets/d/1L4bmBANLoZzaH3L_g0lUkCl9uqLxMUm5AXoNn34pTXE/edit#gid=0</t>
  </si>
  <si>
    <t>https://drive.google.com/drive/folders/1bnpMeHcuzfQCleN03tnV5EVUd0Go8BFs</t>
  </si>
  <si>
    <t>etgomotorscpa@gmail.com</t>
  </si>
  <si>
    <t>Tanuj Jain</t>
  </si>
  <si>
    <t>Ravi Kumar</t>
  </si>
  <si>
    <t>09AAFCE9426N1Z0</t>
  </si>
  <si>
    <t>AAFCE9426N</t>
  </si>
  <si>
    <t>ETGO MOTORS PVT LTD.</t>
  </si>
  <si>
    <t>IFDC First Bank</t>
  </si>
  <si>
    <t>IDFB0021331</t>
  </si>
  <si>
    <t>https://drive.google.com/drive/folders/1LtHPAZyVAA7vi18icZy78dP01bF-EWiu</t>
  </si>
  <si>
    <t>1bezs_AiyqeyfyAOe26bbRn8gMLTreFaNwbIZJkQdpqE</t>
  </si>
  <si>
    <t>ANANT AUTOMOBILES(KHB) - BULANDSHAHAR</t>
  </si>
  <si>
    <t>1AylV6YnaHUtxmsaoUO-rZCA8DCaZnoNp</t>
  </si>
  <si>
    <t>ACPL00312</t>
  </si>
  <si>
    <t>https://docs.google.com/spreadsheets/d/1bezs_AiyqeyfyAOe26bbRn8gMLTreFaNwbIZJkQdpqE/edit#gid=0</t>
  </si>
  <si>
    <t>https://drive.google.com/drive/folders/1AylV6YnaHUtxmsaoUO-rZCA8DCaZnoNp</t>
  </si>
  <si>
    <t>anantautomobiles.hero@gmail.com</t>
  </si>
  <si>
    <t>17/12/2021 12:31</t>
  </si>
  <si>
    <t>BULANDSHAHAR</t>
  </si>
  <si>
    <t>Mukesh Kumar Sharma</t>
  </si>
  <si>
    <t>Sunil gaur</t>
  </si>
  <si>
    <t>1rxceCPc4ChTPFerx6ZXVu45MWGLeEOukTie7Dj7H2lI</t>
  </si>
  <si>
    <t>JAI DURGA AUTOMOBILES - LAL KUAN</t>
  </si>
  <si>
    <t>13E2ot66UM_V9OHXbMUV5WAPTZ_q8283H</t>
  </si>
  <si>
    <t>ACPL00313</t>
  </si>
  <si>
    <t>https://docs.google.com/spreadsheets/d/1rxceCPc4ChTPFerx6ZXVu45MWGLeEOukTie7Dj7H2lI/edit#gid=0</t>
  </si>
  <si>
    <t>https://drive.google.com/drive/folders/13E2ot66UM_V9OHXbMUV5WAPTZ_q8283H</t>
  </si>
  <si>
    <t>jaidurgaautomobiles@gmail.com</t>
  </si>
  <si>
    <t>27/12/2021 11:30</t>
  </si>
  <si>
    <t>Rudrapur</t>
  </si>
  <si>
    <t>SAURABH GOEL</t>
  </si>
  <si>
    <t xml:space="preserve">Gaurav </t>
  </si>
  <si>
    <t>05AZYPG7824K2ZO</t>
  </si>
  <si>
    <t>AZYPG7824K</t>
  </si>
  <si>
    <t>Jai Durga Automobile</t>
  </si>
  <si>
    <t>6922002100000929</t>
  </si>
  <si>
    <t>Punjab National Bank</t>
  </si>
  <si>
    <t>Punb0692200</t>
  </si>
  <si>
    <t>https://drive.google.com/drive/folders/1p7aCTqnI2XRvz8BWTLoo3P5-1D-18UZA</t>
  </si>
  <si>
    <t>1LVNRMyRyFnfxu6UwLDnFcaHRPwib_izj4XjkxL7ErVk</t>
  </si>
  <si>
    <t>RAINBOW AUTOMOBILES - VAISHALI BIHAR</t>
  </si>
  <si>
    <t>1gnfdTUN9EC2lyutXrXtBmIPOlcpX5VzC</t>
  </si>
  <si>
    <t>ACPL00314</t>
  </si>
  <si>
    <t>https://docs.google.com/spreadsheets/d/1LVNRMyRyFnfxu6UwLDnFcaHRPwib_izj4XjkxL7ErVk/edit#gid=0</t>
  </si>
  <si>
    <t>https://drive.google.com/drive/folders/1gnfdTUN9EC2lyutXrXtBmIPOlcpX5VzC</t>
  </si>
  <si>
    <t>rainbowautomobiles2@gmail.com</t>
  </si>
  <si>
    <t>27/12/2021 13:46</t>
  </si>
  <si>
    <t>VAISHALI</t>
  </si>
  <si>
    <t xml:space="preserve">Manish </t>
  </si>
  <si>
    <t xml:space="preserve">Ajeet </t>
  </si>
  <si>
    <t>Ajeet</t>
  </si>
  <si>
    <t>10AAZFR8078A1ZZ</t>
  </si>
  <si>
    <t>AAZFR8078A</t>
  </si>
  <si>
    <t>RAINBOW AUTOMOBILES</t>
  </si>
  <si>
    <t>CENTRAL BANK OF INDIA</t>
  </si>
  <si>
    <t>CBIN0284773</t>
  </si>
  <si>
    <t>https://drive.google.com/drive/folders/1cByxL9nvJPmBtV1IPhnydovPy7vyyoge</t>
  </si>
  <si>
    <t>1pS_sTmJtzmFUbnKUjONn99guo3QQbEC7</t>
  </si>
  <si>
    <t>1cpRyZZAsi8QuxFgVCe1KHpJq78DWSGEB4W-_qkp9u-g</t>
  </si>
  <si>
    <t>1QcwlmexfHIgCbHqzkOQkbRw_BUu-91jWceUcx2050FE</t>
  </si>
  <si>
    <t>Sunil Ji Honda - Firozabad</t>
  </si>
  <si>
    <t>1X_Wb5oPGYoQWYvqFGmnIheycEfiY-TgF</t>
  </si>
  <si>
    <t>ACPL00315</t>
  </si>
  <si>
    <t>https://docs.google.com/spreadsheets/d/1QcwlmexfHIgCbHqzkOQkbRw_BUu-91jWceUcx2050FE/edit#gid=0</t>
  </si>
  <si>
    <t>https://drive.google.com/drive/folders/1X_Wb5oPGYoQWYvqFGmnIheycEfiY-TgF</t>
  </si>
  <si>
    <t>suniljihondapa@gmail.com</t>
  </si>
  <si>
    <t>28/12/2021 14:26</t>
  </si>
  <si>
    <t>Sunil Ji</t>
  </si>
  <si>
    <t>Yash</t>
  </si>
  <si>
    <t>BVSPA1172M</t>
  </si>
  <si>
    <t>https://drive.google.com/drive/folders/1z06K4LdI9nNCUb9AZNxP58DAR1Lph0oC</t>
  </si>
  <si>
    <t>1LnJ5zdvl1b_4zru0KcAtzT52jepIWcNiSYQkH8Ytlsg</t>
  </si>
  <si>
    <t>JAI DURGA AUTOMOBILES - KICHHA</t>
  </si>
  <si>
    <t>1YO1VPRC0x0suXOHpLM0iyqlm2C4eXwIY</t>
  </si>
  <si>
    <t>ACPL00316</t>
  </si>
  <si>
    <t>https://docs.google.com/spreadsheets/d/1LnJ5zdvl1b_4zru0KcAtzT52jepIWcNiSYQkH8Ytlsg/edit#gid=0</t>
  </si>
  <si>
    <t>https://drive.google.com/drive/folders/1YO1VPRC0x0suXOHpLM0iyqlm2C4eXwIY</t>
  </si>
  <si>
    <t>kichhahonda@gmail.com</t>
  </si>
  <si>
    <t>kichha</t>
  </si>
  <si>
    <t>1c4UpmPaXbD24g9f1d-SG1J5R0Bs6d07micvtytMfukg</t>
  </si>
  <si>
    <t>GOPAL AUTOMOBIE- NAJIBABAD</t>
  </si>
  <si>
    <t>17HWWs31k3AoBOCnokMadhkIScQL18agT</t>
  </si>
  <si>
    <t>ACPL00317</t>
  </si>
  <si>
    <t>https://docs.google.com/spreadsheets/d/1c4UpmPaXbD24g9f1d-SG1J5R0Bs6d07micvtytMfukg/edit#gid=0</t>
  </si>
  <si>
    <t>https://drive.google.com/drive/folders/17HWWs31k3AoBOCnokMadhkIScQL18agT</t>
  </si>
  <si>
    <t>gopalautomobilescpa@gmail.com</t>
  </si>
  <si>
    <t>17/01/2022 15:33</t>
  </si>
  <si>
    <t>Najibabad</t>
  </si>
  <si>
    <t>Narendra Singh Badwa</t>
  </si>
  <si>
    <t>Bilal zaidi</t>
  </si>
  <si>
    <t>Bilal</t>
  </si>
  <si>
    <t>Sachin</t>
  </si>
  <si>
    <t>09AAEFG9756F1Z1</t>
  </si>
  <si>
    <t>AAEFG9756F</t>
  </si>
  <si>
    <t>Gopal AUTOMOBILES</t>
  </si>
  <si>
    <t>Axis Bank</t>
  </si>
  <si>
    <t>UTIB0001059</t>
  </si>
  <si>
    <t>https://drive.google.com/drive/folders/1itE6br3CVynbCDa48e6h9I3KLWdFl4Na</t>
  </si>
  <si>
    <t>1nZkPZljbrv92nXg4QV5T4xeYzH3TvoYL_aCP-Dxrz3U</t>
  </si>
  <si>
    <t>EKAM TVS- PANCHKULA</t>
  </si>
  <si>
    <t>1FRlgMwKZ8sIpaRL60OKH_zjUj3Of6E7H</t>
  </si>
  <si>
    <t>ACPL00318</t>
  </si>
  <si>
    <t>https://docs.google.com/spreadsheets/d/1nZkPZljbrv92nXg4QV5T4xeYzH3TvoYL_aCP-Dxrz3U/edit#gid=0</t>
  </si>
  <si>
    <t>https://drive.google.com/drive/folders/1FRlgMwKZ8sIpaRL60OKH_zjUj3Of6E7H</t>
  </si>
  <si>
    <t>ekamtvsinsurance@gmail.com</t>
  </si>
  <si>
    <t>19/01/2022 13:17</t>
  </si>
  <si>
    <t>Panchkula</t>
  </si>
  <si>
    <t>PANCHKULA</t>
  </si>
  <si>
    <t>Sumit Gupta</t>
  </si>
  <si>
    <t>06AAACE9484H1ZE</t>
  </si>
  <si>
    <t>AAACE9484H</t>
  </si>
  <si>
    <t>EKAM AUTO POINT PRIVATE LIMITED</t>
  </si>
  <si>
    <t>Indian Overseas Bank</t>
  </si>
  <si>
    <t>IOBA0001419</t>
  </si>
  <si>
    <t>https://drive.google.com/drive/folders/1U1ttieT8rqZmiw41mNr7Lowzb0NsiXGf</t>
  </si>
  <si>
    <t>1O7D2GmLnvszat4H6MOYxHgkb9rmaP2A2</t>
  </si>
  <si>
    <t>1a_oxi7h3fDny2Fi__pH3xU9zitCbOg7AQKb-AFeMANs</t>
  </si>
  <si>
    <t>10WPh_WCplOI3MhoycaJcKr3lYMretoJR3ta-W3F9m_c</t>
  </si>
  <si>
    <t>SANSAAR HONDA- HARIDWAR</t>
  </si>
  <si>
    <t>1bIIZqOLpemgjhVR_YlvCYBHkk1T62Yd8</t>
  </si>
  <si>
    <t>ACPL00319</t>
  </si>
  <si>
    <t>https://docs.google.com/spreadsheets/d/10WPh_WCplOI3MhoycaJcKr3lYMretoJR3ta-W3F9m_c/edit#gid=0</t>
  </si>
  <si>
    <t>https://drive.google.com/drive/folders/1bIIZqOLpemgjhVR_YlvCYBHkk1T62Yd8</t>
  </si>
  <si>
    <t>sansarhondainsurance@gmail.com</t>
  </si>
  <si>
    <t>24/01/2022 14:37</t>
  </si>
  <si>
    <t>Haridwar</t>
  </si>
  <si>
    <t>Shakti Vardhan</t>
  </si>
  <si>
    <t>Preeti</t>
  </si>
  <si>
    <t>05AAVCS8655F1ZQ</t>
  </si>
  <si>
    <t>AAVCS8658F</t>
  </si>
  <si>
    <t>Sansaar Ventures pvt ltd</t>
  </si>
  <si>
    <t>State Bank of India</t>
  </si>
  <si>
    <t>SBIN0007154</t>
  </si>
  <si>
    <t>https://drive.google.com/drive/folders/1FKw1SlQ7ZpGH7vlz6JnhqyO58YVBE5vH</t>
  </si>
  <si>
    <t>1Ymh97cWP9AVJD4TFdCUxIgPTHzjxbv5sRAkjPizS2d8</t>
  </si>
  <si>
    <t>TWIN CITY -KHANNA</t>
  </si>
  <si>
    <t>1cNHrIt5tlEQwS3zAl10vga6P1r79Ab9O</t>
  </si>
  <si>
    <t>ACPL00320</t>
  </si>
  <si>
    <t>https://docs.google.com/spreadsheets/d/1Ymh97cWP9AVJD4TFdCUxIgPTHzjxbv5sRAkjPizS2d8/edit#gid=0</t>
  </si>
  <si>
    <t>https://drive.google.com/drive/folders/1cNHrIt5tlEQwS3zAl10vga6P1r79Ab9O</t>
  </si>
  <si>
    <t>twincitymotorscpa@gmail.com</t>
  </si>
  <si>
    <t>25/01/2022 13:46</t>
  </si>
  <si>
    <t>Khanna</t>
  </si>
  <si>
    <t>Punjab</t>
  </si>
  <si>
    <t>Shakin batla</t>
  </si>
  <si>
    <t>03ADEPB4370K1ZW</t>
  </si>
  <si>
    <t>ADEPB4370K</t>
  </si>
  <si>
    <t>TWIN CITY MOTORS</t>
  </si>
  <si>
    <t>YESB0000600</t>
  </si>
  <si>
    <t>https://drive.google.com/drive/folders/1cy3kYrKIJZOBGLPMJuBXLJFoAbE7uhlo</t>
  </si>
  <si>
    <t>1EeVOkHOYV7m-TXPjCFcVuyRfOfG243WHv6SdA9sNNrA</t>
  </si>
  <si>
    <t>PREM AUTO - HARIDWAR</t>
  </si>
  <si>
    <t>1tMRifsKUuOU1W28xQOTvszdcSzQu5KAH</t>
  </si>
  <si>
    <t>ACPL00321</t>
  </si>
  <si>
    <t>https://docs.google.com/spreadsheets/d/1EeVOkHOYV7m-TXPjCFcVuyRfOfG243WHv6SdA9sNNrA/edit#gid=0</t>
  </si>
  <si>
    <t>https://drive.google.com/drive/folders/1tMRifsKUuOU1W28xQOTvszdcSzQu5KAH</t>
  </si>
  <si>
    <t>premautojwp07@gmail.com</t>
  </si>
  <si>
    <t>26/01/2022 13:56</t>
  </si>
  <si>
    <t>Rajeev gulati</t>
  </si>
  <si>
    <t>Sanjeev</t>
  </si>
  <si>
    <t>05AADFP1509N1Z9</t>
  </si>
  <si>
    <t>AADFP1509N</t>
  </si>
  <si>
    <t>https://drive.google.com/drive/folders/1U736kG30RESX3RQhvEmH97XXVx-FDQtZ</t>
  </si>
  <si>
    <t>1HFkcA0tba7UnCoWEw5R4dohMFqwhpltBBsuWOiWeruA</t>
  </si>
  <si>
    <t>LAKHVINDRA KASHIPUR</t>
  </si>
  <si>
    <t>1GT7wXXYeq0VkhEe14ZnmrmktREuqLZke</t>
  </si>
  <si>
    <t>ACPL00322</t>
  </si>
  <si>
    <t>https://docs.google.com/spreadsheets/d/1HFkcA0tba7UnCoWEw5R4dohMFqwhpltBBsuWOiWeruA/edit#gid=0</t>
  </si>
  <si>
    <t>https://drive.google.com/drive/folders/1GT7wXXYeq0VkhEe14ZnmrmktREuqLZke</t>
  </si>
  <si>
    <t>lakhvindrasinghcpa@gmail.com</t>
  </si>
  <si>
    <t>27/01/2022 14:05</t>
  </si>
  <si>
    <t>Kashipur</t>
  </si>
  <si>
    <t>LAKHVINDRA SINGH</t>
  </si>
  <si>
    <t>DJMPS8709C</t>
  </si>
  <si>
    <t>https://drive.google.com/drive/folders/1bHCm-DbWCLqW2nC5BC0-dE70Xjz1vq8I</t>
  </si>
  <si>
    <t>1F9NONXieHjy77H-04YnZVq6s_JxwTeglgZrjTuG8YVo</t>
  </si>
  <si>
    <t>INDER HONDA-KASHIPUR</t>
  </si>
  <si>
    <t>1QbSBKZ-G1TXTM63J-C8JTGABPkR3iY--</t>
  </si>
  <si>
    <t>ACPL00323</t>
  </si>
  <si>
    <t>https://docs.google.com/spreadsheets/d/1F9NONXieHjy77H-04YnZVq6s_JxwTeglgZrjTuG8YVo/edit#gid=0</t>
  </si>
  <si>
    <t>https://drive.google.com/drive/folders/1QbSBKZ-G1TXTM63J-C8JTGABPkR3iY--</t>
  </si>
  <si>
    <t>inderhondacpa@gmail.com</t>
  </si>
  <si>
    <t>27/01/2022 15:21</t>
  </si>
  <si>
    <t>KASHIPUR</t>
  </si>
  <si>
    <t>Jitendra hooda</t>
  </si>
  <si>
    <t>Pradeep sharma</t>
  </si>
  <si>
    <t>05AADCI6180K1ZF</t>
  </si>
  <si>
    <t>AADCI6180K</t>
  </si>
  <si>
    <t>Inder Autos private limited</t>
  </si>
  <si>
    <t>SBIN0018976</t>
  </si>
  <si>
    <t>https://drive.google.com/drive/folders/1ry0HlCw5hU9Y-pMCiOQ9LeytsBgW4nCA</t>
  </si>
  <si>
    <t>1-ndxJp3oX17jCcSgSWUUGvqzyoVAJHZBrfGcG-qChjg</t>
  </si>
  <si>
    <t>KHADKA G AUTOMOBILE- AHMEDABAD</t>
  </si>
  <si>
    <t>1ZbZmE7sIPE78A1-Q5Um-tC8Ip9HJjCIJ</t>
  </si>
  <si>
    <t>ACPL00325</t>
  </si>
  <si>
    <t>https://docs.google.com/spreadsheets/d/1-ndxJp3oX17jCcSgSWUUGvqzyoVAJHZBrfGcG-qChjg/edit#gid=0</t>
  </si>
  <si>
    <t>https://drive.google.com/drive/folders/1ZbZmE7sIPE78A1-Q5Um-tC8Ip9HJjCIJ</t>
  </si>
  <si>
    <t>khadkagtvs@gmail.com</t>
  </si>
  <si>
    <t>KRISHNA GOVIND BHAI</t>
  </si>
  <si>
    <t>khadkgtvs@gmail.com</t>
  </si>
  <si>
    <t>Ajay</t>
  </si>
  <si>
    <t>24AAKCM1284HIZG</t>
  </si>
  <si>
    <t>AAKCM1284H</t>
  </si>
  <si>
    <t>KHADKA G AUTOMOBILES PVT LTD</t>
  </si>
  <si>
    <t>STATE BANK OF INDIA</t>
  </si>
  <si>
    <t>SBIN0011792</t>
  </si>
  <si>
    <t>https://drive.google.com/drive/folders/1tH_AjG1aZ4TR2ESXAZlpE6Ws7ttAlrW2</t>
  </si>
  <si>
    <t>1HzstXOBJIBMFHwYm7RpvmCIhHH60rtXQ81VHl3OF7OM</t>
  </si>
  <si>
    <t>SHIVANI MOTORS- ALLAHABAD</t>
  </si>
  <si>
    <t>1gjQ-ZWtYlGG4x_8ubbSB9iDZtzDYqwGA</t>
  </si>
  <si>
    <t>ACPL00326</t>
  </si>
  <si>
    <t>https://docs.google.com/spreadsheets/d/1HzstXOBJIBMFHwYm7RpvmCIhHH60rtXQ81VHl3OF7OM/edit#gid=0</t>
  </si>
  <si>
    <t>https://drive.google.com/drive/folders/1gjQ-ZWtYlGG4x_8ubbSB9iDZtzDYqwGA</t>
  </si>
  <si>
    <t>shivanimotorscpa@gmail.com</t>
  </si>
  <si>
    <t>Allahabad</t>
  </si>
  <si>
    <t>RAJESHWAR SINGH</t>
  </si>
  <si>
    <t>Swayamvar</t>
  </si>
  <si>
    <t>Pawan kumar</t>
  </si>
  <si>
    <t>09AHQPS1589R1ZY</t>
  </si>
  <si>
    <t>AHQPS1589R</t>
  </si>
  <si>
    <t>SHIVANI MOTORS</t>
  </si>
  <si>
    <t>INDUSIND BANK</t>
  </si>
  <si>
    <t>INDB0000124</t>
  </si>
  <si>
    <t>https://drive.google.com/drive/folders/12BbrQ4dFNMtbv-fH-ZS2om2IgZrn-5jC</t>
  </si>
  <si>
    <t>1YAU91TFMaYFp0IiAMJOnSMw_yeIgNk_GdChvblrhYL8</t>
  </si>
  <si>
    <t>A.R.C.C- HERO(SMA)</t>
  </si>
  <si>
    <t>1SZj1jkpW_7ljCb1_FpsDIFf03ENb62D6</t>
  </si>
  <si>
    <t>ACPL00327</t>
  </si>
  <si>
    <t>https://docs.google.com/spreadsheets/d/1YAU91TFMaYFp0IiAMJOnSMw_yeIgNk_GdChvblrhYL8/edit#gid=0</t>
  </si>
  <si>
    <t>https://drive.google.com/drive/folders/1SZj1jkpW_7ljCb1_FpsDIFf03ENb62D6</t>
  </si>
  <si>
    <t>arcchandia@gmail.com</t>
  </si>
  <si>
    <t>Arvin maurya</t>
  </si>
  <si>
    <t>Arvind</t>
  </si>
  <si>
    <t>09BZCPM4172K1Z1</t>
  </si>
  <si>
    <t>BZCPM4172K</t>
  </si>
  <si>
    <t>ARCC</t>
  </si>
  <si>
    <t>Indian bank</t>
  </si>
  <si>
    <t>IDIB000D582</t>
  </si>
  <si>
    <t>https://drive.google.com/drive/folders/1c9463geZOFajqhcO5HtgYnI0P0jhclsM</t>
  </si>
  <si>
    <t>1Sp6RBtw1AwI4BO_kbbFsvxWE7hmnjkkWSF-2QuN4NUM</t>
  </si>
  <si>
    <t>AMBER MOTORS--HERO-(SMA)</t>
  </si>
  <si>
    <t>1nNAOL2VfF8Ahcm-L_P8TIJsBPvAdQ7Uh</t>
  </si>
  <si>
    <t>ACPL00328</t>
  </si>
  <si>
    <t>https://docs.google.com/spreadsheets/d/1Sp6RBtw1AwI4BO_kbbFsvxWE7hmnjkkWSF-2QuN4NUM/edit#gid=0</t>
  </si>
  <si>
    <t>https://drive.google.com/drive/folders/1nNAOL2VfF8Ahcm-L_P8TIJsBPvAdQ7Uh</t>
  </si>
  <si>
    <t>ambermotors.dpur@gmail.com</t>
  </si>
  <si>
    <t>Karrar hussain</t>
  </si>
  <si>
    <t>09ACAPH9995B1ZE</t>
  </si>
  <si>
    <t>ACAPH9995B</t>
  </si>
  <si>
    <t>Amber Motors</t>
  </si>
  <si>
    <t>IDIB000D525</t>
  </si>
  <si>
    <t>https://drive.google.com/drive/folders/1Zb9dZ5EW_xTJCce_3e-31KR3deck8H5Z</t>
  </si>
  <si>
    <t>12q3xzc4QnJvovb5WwDYonjwLc2kiwxvpEYShhfp6tf4</t>
  </si>
  <si>
    <t>Metro Motors- Narela(MMR)</t>
  </si>
  <si>
    <t>1t4VnFwEFJ4d7j9f8EpUv5z9aq5ChSWX6</t>
  </si>
  <si>
    <t>ACPL00329</t>
  </si>
  <si>
    <t>https://docs.google.com/spreadsheets/d/12q3xzc4QnJvovb5WwDYonjwLc2kiwxvpEYShhfp6tf4/edit#gid=0</t>
  </si>
  <si>
    <t>https://drive.google.com/drive/folders/1t4VnFwEFJ4d7j9f8EpUv5z9aq5ChSWX6</t>
  </si>
  <si>
    <t>metromotorsnarelains@gmail.com</t>
  </si>
  <si>
    <t>13/02/2022 12:29</t>
  </si>
  <si>
    <t>Narela</t>
  </si>
  <si>
    <t>Manmohan</t>
  </si>
  <si>
    <t>Ashok</t>
  </si>
  <si>
    <t>Irfan</t>
  </si>
  <si>
    <t>11YCbfBzBLd1oGqFtO-chx-m83xTYuye-</t>
  </si>
  <si>
    <t>1JTh6glw0MRZ-V9X8ceTovB6CBe_wAk1xoVx92K2hfyA</t>
  </si>
  <si>
    <t>12Iga9HLmHF1C_B28Sz49zBPBKFPy_vA2jBForRuUnjc</t>
  </si>
  <si>
    <t>JANTA MOTORS (VM) - KUSHINAGAR</t>
  </si>
  <si>
    <t>1a3sYqEUJInEYMjAnnPHBgSEUW-toGNQq</t>
  </si>
  <si>
    <t>ACPL00330</t>
  </si>
  <si>
    <t>https://docs.google.com/spreadsheets/d/12Iga9HLmHF1C_B28Sz49zBPBKFPy_vA2jBForRuUnjc/edit#gid=0</t>
  </si>
  <si>
    <t>https://drive.google.com/drive/folders/1a3sYqEUJInEYMjAnnPHBgSEUW-toGNQq</t>
  </si>
  <si>
    <t>jantamotorshero1@gmail.com</t>
  </si>
  <si>
    <t>14/02/2022 12:57</t>
  </si>
  <si>
    <t>KUSHINAGAR</t>
  </si>
  <si>
    <t>Dhruv Narayan chaudhari</t>
  </si>
  <si>
    <t>1HsbszineZ8va458kuZefN1vGO1MrkT5vTk2Vpv1-Znw</t>
  </si>
  <si>
    <t>S S MOTORS(VM) - KUSHINAGAR</t>
  </si>
  <si>
    <t>1a_V1eVZTNoMAcfSD94lOKSUhOMMdse7F</t>
  </si>
  <si>
    <t>ACPL00331</t>
  </si>
  <si>
    <t>https://docs.google.com/spreadsheets/d/1HsbszineZ8va458kuZefN1vGO1MrkT5vTk2Vpv1-Znw/edit#gid=0</t>
  </si>
  <si>
    <t>https://drive.google.com/drive/folders/1a_V1eVZTNoMAcfSD94lOKSUhOMMdse7F</t>
  </si>
  <si>
    <t>ss.motorsturkpatti@gmail.com</t>
  </si>
  <si>
    <t>14/02/2022 13:02</t>
  </si>
  <si>
    <t>Subham kumar singh</t>
  </si>
  <si>
    <t>1V_fMo1qdnu3csZ89JNIghSxO3e0-gG5YDEzRqHF_0Wk</t>
  </si>
  <si>
    <t>C.K.R MOTORS (VM) - KUSHINAGAR</t>
  </si>
  <si>
    <t>1jPpwu8bP3So0P3CarJkBRQut_cDEq7mD</t>
  </si>
  <si>
    <t>ACPL00332</t>
  </si>
  <si>
    <t>https://docs.google.com/spreadsheets/d/1V_fMo1qdnu3csZ89JNIghSxO3e0-gG5YDEzRqHF_0Wk/edit#gid=0</t>
  </si>
  <si>
    <t>https://drive.google.com/drive/folders/1jPpwu8bP3So0P3CarJkBRQut_cDEq7mD</t>
  </si>
  <si>
    <t>ckrmotors0511@gmail.com</t>
  </si>
  <si>
    <t>14/02/2022 13:08</t>
  </si>
  <si>
    <t>DHARMENDRA KUMAR RAO</t>
  </si>
  <si>
    <t>1widHkGzeFIwrSJjcgWI00dRaKCvRfPAM7fIXW9w6sfc</t>
  </si>
  <si>
    <t>GOLU AUTOMOBILE (VM) - KUSHINAGAR</t>
  </si>
  <si>
    <t>14G3MM0I2NjELB7-S7x2hHV6YMLoLmK1N</t>
  </si>
  <si>
    <t>ACPL00333</t>
  </si>
  <si>
    <t>https://docs.google.com/spreadsheets/d/1widHkGzeFIwrSJjcgWI00dRaKCvRfPAM7fIXW9w6sfc/edit#gid=0</t>
  </si>
  <si>
    <t>https://drive.google.com/drive/folders/14G3MM0I2NjELB7-S7x2hHV6YMLoLmK1N</t>
  </si>
  <si>
    <t>goluherojaura@gmail.com</t>
  </si>
  <si>
    <t>14/02/2022 13:15</t>
  </si>
  <si>
    <t>SANDEEP GUPTA</t>
  </si>
  <si>
    <t>16tjO40jnriUy06QB22S0NR8Wknhx9T0lcBH_yEqsZIw</t>
  </si>
  <si>
    <t>TANUSHKA HERO- GWALIOR</t>
  </si>
  <si>
    <t>1wXOe_5ww-iBvBwG-hpoWcdSX1okzU6EG</t>
  </si>
  <si>
    <t>ACPL00334</t>
  </si>
  <si>
    <t>https://docs.google.com/spreadsheets/d/16tjO40jnriUy06QB22S0NR8Wknhx9T0lcBH_yEqsZIw/edit#gid=0</t>
  </si>
  <si>
    <t>https://drive.google.com/drive/folders/1wXOe_5ww-iBvBwG-hpoWcdSX1okzU6EG</t>
  </si>
  <si>
    <t>Tanushkaautomobilescpa@gmail.com</t>
  </si>
  <si>
    <t>15/02/2022 18:59</t>
  </si>
  <si>
    <t>Gwalior</t>
  </si>
  <si>
    <t>GWALIOR</t>
  </si>
  <si>
    <t>Bharat Nagpal</t>
  </si>
  <si>
    <t>Prasanna</t>
  </si>
  <si>
    <t>Prassana</t>
  </si>
  <si>
    <t>23AABCT7338N1Z0</t>
  </si>
  <si>
    <t>AABCT7338N</t>
  </si>
  <si>
    <t>TANSUSHKA AUTOMOBILES PVT LTD</t>
  </si>
  <si>
    <t xml:space="preserve">AXIS BANK </t>
  </si>
  <si>
    <t>UTIB0000158</t>
  </si>
  <si>
    <t>https://drive.google.com/drive/folders/1suO7HfUWxFVsNHjuk8lEt6UKkANgfE35</t>
  </si>
  <si>
    <t>1D40bKySVAERErGis9rDO7LQ53qmdU5GNEz2GXvuNXng</t>
  </si>
  <si>
    <t>BABA AUTOMOBILES- SHAJAPUR</t>
  </si>
  <si>
    <t>14msPMAtDryxRapID435E-kZMgpyXJISI</t>
  </si>
  <si>
    <t>ACPL00335</t>
  </si>
  <si>
    <t>https://docs.google.com/spreadsheets/d/1D40bKySVAERErGis9rDO7LQ53qmdU5GNEz2GXvuNXng/edit#gid=0</t>
  </si>
  <si>
    <t>https://drive.google.com/drive/folders/14msPMAtDryxRapID435E-kZMgpyXJISI</t>
  </si>
  <si>
    <t>Babaautomobilescpa@gmail.com</t>
  </si>
  <si>
    <t>18/02/2022 11:57</t>
  </si>
  <si>
    <t>99/1/7, Lal Ghati AB Road Shajapur - 465001</t>
  </si>
  <si>
    <t>Shajapur</t>
  </si>
  <si>
    <t>Khitiz bhatt</t>
  </si>
  <si>
    <t>Ishwar Singh</t>
  </si>
  <si>
    <t>Ishwar singh</t>
  </si>
  <si>
    <t>23AILPB4712D2ZW</t>
  </si>
  <si>
    <t>AILPB4712D</t>
  </si>
  <si>
    <t>BABA AUTOMOBILES</t>
  </si>
  <si>
    <t>Icic0000767</t>
  </si>
  <si>
    <t>https://drive.google.com/drive/folders/1Vgpz1srOrByYZnVLqpul9Hja0WChFMF4</t>
  </si>
  <si>
    <t>1kOPQVkAO_ArTU1kAd_VKRa8mVwn2PXu0IkpU2xQgvUI</t>
  </si>
  <si>
    <t>Kapil Vashist Test</t>
  </si>
  <si>
    <t>1wdXCs8gbvqw2s9JWjqtvIr2q4PW-Fx7S</t>
  </si>
  <si>
    <t>ACPL00336</t>
  </si>
  <si>
    <t>https://docs.google.com/spreadsheets/d/1kOPQVkAO_ArTU1kAd_VKRa8mVwn2PXu0IkpU2xQgvUI/edit#gid=0</t>
  </si>
  <si>
    <t>https://drive.google.com/drive/folders/1wdXCs8gbvqw2s9JWjqtvIr2q4PW-Fx7S</t>
  </si>
  <si>
    <t>kapil@aegiscovenant.com</t>
  </si>
  <si>
    <t>18/02/2022 16:12</t>
  </si>
  <si>
    <t>arvind@aegiscovenant.com</t>
  </si>
  <si>
    <t>1mxT1doFWSIKC49QGKrgrgC6fUkICfT4DLlAcSQC9Pc4</t>
  </si>
  <si>
    <t>KSHIPRA HERO-UJJAIN</t>
  </si>
  <si>
    <t>1EEx3HyZbMC7iZ1GSCRFX9qqS9uc9uVmn</t>
  </si>
  <si>
    <t>ACPL00337</t>
  </si>
  <si>
    <t>https://docs.google.com/spreadsheets/d/1mxT1doFWSIKC49QGKrgrgC6fUkICfT4DLlAcSQC9Pc4/edit#gid=0</t>
  </si>
  <si>
    <t>https://drive.google.com/drive/folders/1EEx3HyZbMC7iZ1GSCRFX9qqS9uc9uVmn</t>
  </si>
  <si>
    <t>kshipraherocpa@gmail.com</t>
  </si>
  <si>
    <t>21/02/2022 12:49</t>
  </si>
  <si>
    <t>Ujjain</t>
  </si>
  <si>
    <t>Virendra sisodia</t>
  </si>
  <si>
    <t>BEZPR5764L</t>
  </si>
  <si>
    <t>TANUJA SISODIA</t>
  </si>
  <si>
    <t>SBIN0001309</t>
  </si>
  <si>
    <t>https://drive.google.com/drive/folders/1Y3nHbi48ClgId45xMX1uLNq1Ny_gWQ2I</t>
  </si>
  <si>
    <t>1Glot5DmufEUxf7sEoY2RAdbIWFVDuW2SHPtNIbHYEdc</t>
  </si>
  <si>
    <t>UPPER INDIA -DELHI</t>
  </si>
  <si>
    <t>1yUh7VviLIlVtlkth1mquSCnZ3IMeCyoc</t>
  </si>
  <si>
    <t>ACPL00338</t>
  </si>
  <si>
    <t>https://docs.google.com/spreadsheets/d/1Glot5DmufEUxf7sEoY2RAdbIWFVDuW2SHPtNIbHYEdc/edit#gid=0</t>
  </si>
  <si>
    <t>https://drive.google.com/drive/folders/1yUh7VviLIlVtlkth1mquSCnZ3IMeCyoc</t>
  </si>
  <si>
    <t>upperindiainsurance@gmail.com</t>
  </si>
  <si>
    <t>23/02/2022 11:48</t>
  </si>
  <si>
    <t>Sunil Sethi</t>
  </si>
  <si>
    <t>Sunil dharna</t>
  </si>
  <si>
    <t>07AAACU1637J1ZC</t>
  </si>
  <si>
    <t>AAACU1637J</t>
  </si>
  <si>
    <t>UPPER INDIA TRADING CO(DELHI) PVT LTD</t>
  </si>
  <si>
    <t>HDFC0004433</t>
  </si>
  <si>
    <t>https://drive.google.com/drive/folders/1ee65bh6Z6z_Hsp4ERvjhKNhdHppFR3lR</t>
  </si>
  <si>
    <t>19CkfI9PbQCsj5eqZ39-q5LNjWeup-7u_</t>
  </si>
  <si>
    <t>1azSBpSa7laQwfh6DgoEo9VsahtHQiLtBKmzJ5rjISXY</t>
  </si>
  <si>
    <t>1KWrdiOy0dFeVUlvkflxUZSwfdTKjD2WtnSGQxGgKBiw</t>
  </si>
  <si>
    <t>NAKODA AUTOMOBILES- JHABUA</t>
  </si>
  <si>
    <t>1tmaCWQUyg3FVVxBH5XXvQAB0bJPVfiqE</t>
  </si>
  <si>
    <t>ACPL00339</t>
  </si>
  <si>
    <t>https://docs.google.com/spreadsheets/d/1KWrdiOy0dFeVUlvkflxUZSwfdTKjD2WtnSGQxGgKBiw/edit#gid=0</t>
  </si>
  <si>
    <t>https://drive.google.com/drive/folders/1tmaCWQUyg3FVVxBH5XXvQAB0bJPVfiqE</t>
  </si>
  <si>
    <t>Nakodaautomobilescpa@gmail.com</t>
  </si>
  <si>
    <t>23/02/2022 14:15</t>
  </si>
  <si>
    <t>JHABUA</t>
  </si>
  <si>
    <t>Jhabua</t>
  </si>
  <si>
    <t>Mukesh Jain</t>
  </si>
  <si>
    <t>Sonu</t>
  </si>
  <si>
    <t>23AAMHM2244Q1ZT</t>
  </si>
  <si>
    <t>AAMHM2244Q</t>
  </si>
  <si>
    <t>JAYANT AUTO CONSULT</t>
  </si>
  <si>
    <t>HDFC0009044</t>
  </si>
  <si>
    <t>https://drive.google.com/drive/folders/1EHIVyBu6esLgTm3jwsYsImEP_iHP7K76</t>
  </si>
  <si>
    <t>16Y3kc7OuouK5OrrRt3JjXIhTWz_IEXjAkD1IjXmm9J8</t>
  </si>
  <si>
    <t>SHREE LAXMINARAYAN AUTOMOBILES-DAHOD</t>
  </si>
  <si>
    <t>1ZA9k17H8zILqFPHCNAtb3F69dRU52tzl</t>
  </si>
  <si>
    <t>ACPL00340</t>
  </si>
  <si>
    <t>https://docs.google.com/spreadsheets/d/16Y3kc7OuouK5OrrRt3JjXIhTWz_IEXjAkD1IjXmm9J8/edit#gid=0</t>
  </si>
  <si>
    <t>https://drive.google.com/drive/folders/1ZA9k17H8zILqFPHCNAtb3F69dRU52tzl</t>
  </si>
  <si>
    <t>shreelaxminarayanautomobilespa@gmail.com</t>
  </si>
  <si>
    <t>23/02/2022 18:51</t>
  </si>
  <si>
    <t>Dahod</t>
  </si>
  <si>
    <t>Mukesh</t>
  </si>
  <si>
    <t>Jaideep</t>
  </si>
  <si>
    <t>24ABBPN0202B1ZR</t>
  </si>
  <si>
    <t>ABBPN0202B</t>
  </si>
  <si>
    <t>SHREE LAXMINARAYAN AUTOMOBILES</t>
  </si>
  <si>
    <t>SBIN0000368</t>
  </si>
  <si>
    <t>https://drive.google.com/drive/folders/14Id_VKXOhryMBGl-J6gAhJDtcY0HyQCT</t>
  </si>
  <si>
    <t>1Z0RLxeDSU2deGe-M9N2_xaGVhFQVJm_tASIMLykuH6Q</t>
  </si>
  <si>
    <t>APPLE HONDA- VADODARA</t>
  </si>
  <si>
    <t>1UFfrLfrUTWn4kgUbUuZEu8GPiz-H2nWC</t>
  </si>
  <si>
    <t>ACPL00341</t>
  </si>
  <si>
    <t>https://docs.google.com/spreadsheets/d/1Z0RLxeDSU2deGe-M9N2_xaGVhFQVJm_tASIMLykuH6Q/edit#gid=0</t>
  </si>
  <si>
    <t>https://drive.google.com/drive/folders/1UFfrLfrUTWn4kgUbUuZEu8GPiz-H2nWC</t>
  </si>
  <si>
    <t>applehondacpa@gmail.com</t>
  </si>
  <si>
    <t>24/02/2022 18:53</t>
  </si>
  <si>
    <t>VADODRA</t>
  </si>
  <si>
    <t>Ankur Gandhi</t>
  </si>
  <si>
    <t>24AAPFA8302E1ZQ</t>
  </si>
  <si>
    <t>AAPFA8302E</t>
  </si>
  <si>
    <t>APPLE AUTOMOTIVE</t>
  </si>
  <si>
    <t>State BANK of India</t>
  </si>
  <si>
    <t>SBIN0005589</t>
  </si>
  <si>
    <t>https://drive.google.com/drive/folders/1Eq2lH79PqXNumUWZoMt3moRJfRvZYJYB</t>
  </si>
  <si>
    <t>1yvsl28_lUG4aa66iIPEwfNrCt2m4Np6IsUERJv8hjf4</t>
  </si>
  <si>
    <t>UTTAM MOTORS- Neemuch</t>
  </si>
  <si>
    <t>1JrjlDzz6J0Vgw7FHunLDGM4VDfBBPLuM</t>
  </si>
  <si>
    <t>ACPL00342</t>
  </si>
  <si>
    <t>https://docs.google.com/spreadsheets/d/1yvsl28_lUG4aa66iIPEwfNrCt2m4Np6IsUERJv8hjf4/edit#gid=0</t>
  </si>
  <si>
    <t>https://drive.google.com/drive/folders/1JrjlDzz6J0Vgw7FHunLDGM4VDfBBPLuM</t>
  </si>
  <si>
    <t>uttammotorscpa@gmail.com</t>
  </si>
  <si>
    <t>25/02/2022 12:51</t>
  </si>
  <si>
    <t>Neemuch,</t>
  </si>
  <si>
    <t>Neemuch</t>
  </si>
  <si>
    <t>GAURAV</t>
  </si>
  <si>
    <t>23AAAFU8816E1ZC</t>
  </si>
  <si>
    <t>AAAFU8816E</t>
  </si>
  <si>
    <t>Uttam motors</t>
  </si>
  <si>
    <t>SBIN0030055</t>
  </si>
  <si>
    <t>https://drive.google.com/drive/folders/1O05ktLUt5Aai1ISeXnQ0BymAZu15-nVk</t>
  </si>
  <si>
    <t>1e3aaOiXSZCQrn6e8SubsYYbeE8N1r6f9D083h9kT6V4</t>
  </si>
  <si>
    <t>Jaydeep Auto - Vadodra</t>
  </si>
  <si>
    <t>1J6Y-StkPtfp4LtcQOjVTxftgz8MgF-bf</t>
  </si>
  <si>
    <t>ACPL00343</t>
  </si>
  <si>
    <t>https://docs.google.com/spreadsheets/d/1e3aaOiXSZCQrn6e8SubsYYbeE8N1r6f9D083h9kT6V4/edit#gid=0</t>
  </si>
  <si>
    <t>https://drive.google.com/drive/folders/1J6Y-StkPtfp4LtcQOjVTxftgz8MgF-bf</t>
  </si>
  <si>
    <t>jaydeepautocpa@gmail.com</t>
  </si>
  <si>
    <t>Vadodara</t>
  </si>
  <si>
    <t>Vadodra</t>
  </si>
  <si>
    <t>Samir patel</t>
  </si>
  <si>
    <t>Akash</t>
  </si>
  <si>
    <t>Hardik</t>
  </si>
  <si>
    <t>24AIWPP4336Q1ZB</t>
  </si>
  <si>
    <t>AIWPP4336Q</t>
  </si>
  <si>
    <t>Jaydeep bikes</t>
  </si>
  <si>
    <t>ICICI BANK , VADODRA</t>
  </si>
  <si>
    <t>ICIC0000853</t>
  </si>
  <si>
    <t>https://drive.google.com/drive/folders/1WcERPBtNRWJneMo47bb64C33UryMYJa2</t>
  </si>
  <si>
    <t>1r0KUrXS28gDx7-fgD3zjnrel7PaC3KXGiEtHPv0wv_M</t>
  </si>
  <si>
    <t>PAL ENTERPRISE- VIDISHA</t>
  </si>
  <si>
    <t>1B-GE916qjPcQpWE3-hsDudUP1I3GXVul</t>
  </si>
  <si>
    <t>ACPL00344</t>
  </si>
  <si>
    <t>https://docs.google.com/spreadsheets/d/1r0KUrXS28gDx7-fgD3zjnrel7PaC3KXGiEtHPv0wv_M/edit#gid=0</t>
  </si>
  <si>
    <t>https://drive.google.com/drive/folders/1B-GE916qjPcQpWE3-hsDudUP1I3GXVul</t>
  </si>
  <si>
    <t>palenterprisescpa@gmail.com</t>
  </si>
  <si>
    <t>VIDISHA</t>
  </si>
  <si>
    <t>Santosh Singh Raghuvanshi</t>
  </si>
  <si>
    <t>Alok</t>
  </si>
  <si>
    <t>23AAQFR5400H1ZQ</t>
  </si>
  <si>
    <t>AAQFR5400H</t>
  </si>
  <si>
    <t>SANTOSH SINGH RAGHUWANSHI</t>
  </si>
  <si>
    <t>EQUITAS</t>
  </si>
  <si>
    <t>ESFB0014003</t>
  </si>
  <si>
    <t>https://drive.google.com/drive/folders/1Q42tUQ418NZuXFC1CYwZOtv8OobJEB3z</t>
  </si>
  <si>
    <t>1BMhoyJRK7DCg_LO256ufPw72_BuKa1iu3f1v8JCofH0</t>
  </si>
  <si>
    <t>North Bihar Agro Agencies</t>
  </si>
  <si>
    <t>16b1Z3mvOpZW04_7fvgaSXACne6UvsIFe</t>
  </si>
  <si>
    <t>ACPL00345</t>
  </si>
  <si>
    <t>https://docs.google.com/spreadsheets/d/1BMhoyJRK7DCg_LO256ufPw72_BuKa1iu3f1v8JCofH0/edit#gid=0</t>
  </si>
  <si>
    <t>https://drive.google.com/drive/folders/16b1Z3mvOpZW04_7fvgaSXACne6UvsIFe</t>
  </si>
  <si>
    <t>Northbiharcpa@gmail.com</t>
  </si>
  <si>
    <t>28/03/2022 11:40</t>
  </si>
  <si>
    <t>Rajeev sharma</t>
  </si>
  <si>
    <t>Amar</t>
  </si>
  <si>
    <t>10AACCN1216A1ZM</t>
  </si>
  <si>
    <t>AACCN1216A</t>
  </si>
  <si>
    <t>NORTH BIHAR AGRO AGENCIES PRIVATE LIMITED</t>
  </si>
  <si>
    <t>ICICI Bank , muzaffarpur</t>
  </si>
  <si>
    <t>ICIC0000306</t>
  </si>
  <si>
    <t>https://drive.google.com/drive/folders/1PJYDShxipI6IoiA2ssRn3ZJwJPHUrF6V</t>
  </si>
  <si>
    <t>1SFJDdnhDWiLN-lR4hWAV93N4rK3ge8yCJzFkfHhJbDU</t>
  </si>
  <si>
    <t>AWADH AUTOMOBILES (GA) - CHHITAUNI</t>
  </si>
  <si>
    <t>1mpa4h0cLP2DNBgoUB9uVMgjinBj6B7Mm</t>
  </si>
  <si>
    <t>ACPL00346</t>
  </si>
  <si>
    <t>https://docs.google.com/spreadsheets/d/1SFJDdnhDWiLN-lR4hWAV93N4rK3ge8yCJzFkfHhJbDU/edit#gid=0</t>
  </si>
  <si>
    <t>https://drive.google.com/drive/folders/1mpa4h0cLP2DNBgoUB9uVMgjinBj6B7Mm</t>
  </si>
  <si>
    <t>prasadsuresh445@gmail.com</t>
  </si>
  <si>
    <t>28/03/2022 12:57</t>
  </si>
  <si>
    <t>CHHITAUNI</t>
  </si>
  <si>
    <t>SURESH PRASAD</t>
  </si>
  <si>
    <t>1LVFmg-oYUYvWwI6u3WOnpzEWG7hGErkioBifgg4ml3c</t>
  </si>
  <si>
    <t>J.M Motors- Forbesganj</t>
  </si>
  <si>
    <t>1ToIys2Xya60px_4x3xBBCykgmhoJGTzg</t>
  </si>
  <si>
    <t>ACPL00347</t>
  </si>
  <si>
    <t>https://docs.google.com/spreadsheets/d/1LVFmg-oYUYvWwI6u3WOnpzEWG7hGErkioBifgg4ml3c/edit#gid=0</t>
  </si>
  <si>
    <t>https://drive.google.com/drive/folders/1ToIys2Xya60px_4x3xBBCykgmhoJGTzg</t>
  </si>
  <si>
    <t>Jmmotorscpa@gmail.com</t>
  </si>
  <si>
    <t>30/03/2022 12:15</t>
  </si>
  <si>
    <t>Forbsganj</t>
  </si>
  <si>
    <t>Forbesganj</t>
  </si>
  <si>
    <t>Amit sharma</t>
  </si>
  <si>
    <t>Gautam</t>
  </si>
  <si>
    <t>BZSPS9451B</t>
  </si>
  <si>
    <t>Sudha sharma</t>
  </si>
  <si>
    <t>HDFC bank Forbesganj</t>
  </si>
  <si>
    <t>HDFC0002171</t>
  </si>
  <si>
    <t>https://drive.google.com/drive/folders/1dr9CA_bJxMA8G8XSRJcYgXrnrzsqefSj</t>
  </si>
  <si>
    <t>1fHCHQnIWmfXqP4jwi-agXjfK1q2zM0BUeG3fwB0qApc</t>
  </si>
  <si>
    <t>Mahabir Automobiles -Sultanpur</t>
  </si>
  <si>
    <t>16wZYeXNVtmEaFu4KvgrIMXGmXL5jHxwr</t>
  </si>
  <si>
    <t>ACPL00348</t>
  </si>
  <si>
    <t>https://docs.google.com/spreadsheets/d/1fHCHQnIWmfXqP4jwi-agXjfK1q2zM0BUeG3fwB0qApc/edit#gid=0</t>
  </si>
  <si>
    <t>https://drive.google.com/drive/folders/16wZYeXNVtmEaFu4KvgrIMXGmXL5jHxwr</t>
  </si>
  <si>
    <t>mahabirautomobilescpa@gmail.com</t>
  </si>
  <si>
    <t>30/03/2022 12:31</t>
  </si>
  <si>
    <t>Aman</t>
  </si>
  <si>
    <t>09AAECM3294M1ZX</t>
  </si>
  <si>
    <t>AAECM3294M</t>
  </si>
  <si>
    <t>MAHABIR AUTOMOBILES PVT LTD</t>
  </si>
  <si>
    <t>STATE BANK OF INDIA,SULTANPUR</t>
  </si>
  <si>
    <t>SBIN0063726</t>
  </si>
  <si>
    <t>https://drive.google.com/drive/folders/1pNkDbMLTGHaKX-iMQTlMh58zFd6LxeLm</t>
  </si>
  <si>
    <t>1q0ZY1YodurXjGSqWho0k_uF6nV5Cwr8l1g1rbo_fC4Y</t>
  </si>
  <si>
    <t>SHIVAM HERO- GORAKHPUR</t>
  </si>
  <si>
    <t>1mNFe8LOlkzgEZjkzgBHeCsw5sYMRjLat</t>
  </si>
  <si>
    <t>ACPL00349</t>
  </si>
  <si>
    <t>https://docs.google.com/spreadsheets/d/1q0ZY1YodurXjGSqWho0k_uF6nV5Cwr8l1g1rbo_fC4Y/edit#gid=0</t>
  </si>
  <si>
    <t>https://drive.google.com/drive/folders/1mNFe8LOlkzgEZjkzgBHeCsw5sYMRjLat</t>
  </si>
  <si>
    <t>Shivamherocpa@gmail.com</t>
  </si>
  <si>
    <t>31/03/2022 11:38</t>
  </si>
  <si>
    <t>Shivam</t>
  </si>
  <si>
    <t>09DBUPM8210E1ZC</t>
  </si>
  <si>
    <t>DBUPM8210E</t>
  </si>
  <si>
    <t>SHIVAM MATANHELIA</t>
  </si>
  <si>
    <t>State Bank of India , gorakhpur</t>
  </si>
  <si>
    <t>SBIN0003205</t>
  </si>
  <si>
    <t>https://drive.google.com/drive/folders/1hMIV-oPbhmhyilVAkCSwbK0kawRshb8Z</t>
  </si>
  <si>
    <t>1bfx7eMh4Ac2mO8jnga0N0Mq4i3FWPf37yxKEAzBtjPM</t>
  </si>
  <si>
    <t>D P MOTORS 2 - GORAKHPUR</t>
  </si>
  <si>
    <t>1kppc7t1MARvyUFrZPQ0FRe_LFBNL9oCq</t>
  </si>
  <si>
    <t>ACPL00350</t>
  </si>
  <si>
    <t>https://docs.google.com/spreadsheets/d/1bfx7eMh4Ac2mO8jnga0N0Mq4i3FWPf37yxKEAzBtjPM/edit#gid=0</t>
  </si>
  <si>
    <t>https://drive.google.com/drive/folders/1kppc7t1MARvyUFrZPQ0FRe_LFBNL9oCq</t>
  </si>
  <si>
    <t>dpmotorscpa2@gmail.com</t>
  </si>
  <si>
    <t>31/03/2022 16:01</t>
  </si>
  <si>
    <t xml:space="preserve">NITIN KUMAR </t>
  </si>
  <si>
    <t>UTTAM</t>
  </si>
  <si>
    <t>1Bgq0uJUKdFTQouDxCzlEEpEbjOG76Fl_PVNJNSPhG8Y</t>
  </si>
  <si>
    <t>KANHAIYA MOTORS- BHADARUGANJ</t>
  </si>
  <si>
    <t>1w5xYecXLp_vAQG4vF6HomOPsXk6P5BzW</t>
  </si>
  <si>
    <t>ACPL00351</t>
  </si>
  <si>
    <t>https://docs.google.com/spreadsheets/d/1Bgq0uJUKdFTQouDxCzlEEpEbjOG76Fl_PVNJNSPhG8Y/edit#gid=0</t>
  </si>
  <si>
    <t>https://drive.google.com/drive/folders/1w5xYecXLp_vAQG4vF6HomOPsXk6P5BzW</t>
  </si>
  <si>
    <t>Kanhaiyamotorscpa@gmail.com</t>
  </si>
  <si>
    <t>BHADARUGANJ</t>
  </si>
  <si>
    <t>Sanjay</t>
  </si>
  <si>
    <t>AFHPB8821J</t>
  </si>
  <si>
    <t>Sanjay Kumar bhagat</t>
  </si>
  <si>
    <t>SBIN0011809</t>
  </si>
  <si>
    <t>https://drive.google.com/drive/folders/1HCJazUZwmemgbz_YuIhp2VKoiOotiGpw</t>
  </si>
  <si>
    <t>1QVBShIrTLBej8s_qXhBmCICNAN5JsR5KakezwfMLZV0</t>
  </si>
  <si>
    <t>ANAS MOTORS- SUPAUL</t>
  </si>
  <si>
    <t>18wAyghGoE3RzmalSuUvx8z_f9fTb-ejQ</t>
  </si>
  <si>
    <t>ACPL00352</t>
  </si>
  <si>
    <t>https://docs.google.com/spreadsheets/d/1QVBShIrTLBej8s_qXhBmCICNAN5JsR5KakezwfMLZV0/edit#gid=0</t>
  </si>
  <si>
    <t>https://drive.google.com/drive/folders/18wAyghGoE3RzmalSuUvx8z_f9fTb-ejQ</t>
  </si>
  <si>
    <t>Anasmotorscpa@gmail.com</t>
  </si>
  <si>
    <t>Supaul</t>
  </si>
  <si>
    <t>Ashfaque Alam</t>
  </si>
  <si>
    <t>AMIT</t>
  </si>
  <si>
    <t>Amit</t>
  </si>
  <si>
    <t>anasmotorscpa@gmail.com</t>
  </si>
  <si>
    <t>10AGDPA0913B2ZQ</t>
  </si>
  <si>
    <t>AGDPA0913B</t>
  </si>
  <si>
    <t>Anas Motors</t>
  </si>
  <si>
    <t>SBIN0000126</t>
  </si>
  <si>
    <t>https://drive.google.com/drive/folders/1twfkuxpDLT8Z9CmAIW4GzdPNMximVktz</t>
  </si>
  <si>
    <t>1lHqETbIH4pLQdUL2QQgIDownEvMU9QozqqnIMcLSCfg</t>
  </si>
  <si>
    <t>SHRI RAM AUTOMOBILES - HATPIPLIYA</t>
  </si>
  <si>
    <t>16npSE_pYAWmi6kpnRoA-1Vyk1TFsIxqs</t>
  </si>
  <si>
    <t>ACPL00353</t>
  </si>
  <si>
    <t>https://docs.google.com/spreadsheets/d/1lHqETbIH4pLQdUL2QQgIDownEvMU9QozqqnIMcLSCfg/edit#gid=0</t>
  </si>
  <si>
    <t>https://drive.google.com/drive/folders/16npSE_pYAWmi6kpnRoA-1Vyk1TFsIxqs</t>
  </si>
  <si>
    <t>shriramautomobilescpa@gmail.com</t>
  </si>
  <si>
    <t>HATPIPLIYA</t>
  </si>
  <si>
    <t>HARISH SONI</t>
  </si>
  <si>
    <t>Harish Soni</t>
  </si>
  <si>
    <t>23BAWPS0008R1Z3</t>
  </si>
  <si>
    <t>BAWPS0008R</t>
  </si>
  <si>
    <t>SHRI RAM AUTOMOBILES</t>
  </si>
  <si>
    <t>ICICI BANK , HATPIPLIYA</t>
  </si>
  <si>
    <t>ICIC0003650</t>
  </si>
  <si>
    <t>https://drive.google.com/drive/folders/1XqZyr-TNk9GI8O2dh2aZgDEKxWMevFHC</t>
  </si>
  <si>
    <t>1igxhDrZmAR4XaBSU0Vyrw9LNbKLoFuELF4hEOFDqD9M</t>
  </si>
  <si>
    <t>KHAGARIA AUTO AGENCY- KHAGARIA</t>
  </si>
  <si>
    <t>13o0umm1e1u2XhuGr0L4rGvASf2hoE4Yh</t>
  </si>
  <si>
    <t>ACPL00354</t>
  </si>
  <si>
    <t>https://docs.google.com/spreadsheets/d/1igxhDrZmAR4XaBSU0Vyrw9LNbKLoFuELF4hEOFDqD9M/edit#gid=0</t>
  </si>
  <si>
    <t>https://drive.google.com/drive/folders/13o0umm1e1u2XhuGr0L4rGvASf2hoE4Yh</t>
  </si>
  <si>
    <t>Khagariaautoagencycpa@gmail.com</t>
  </si>
  <si>
    <t>KHAGARIA</t>
  </si>
  <si>
    <t>Vinay kumar</t>
  </si>
  <si>
    <t>VINAY KUMAR</t>
  </si>
  <si>
    <t>Vinay Kumar</t>
  </si>
  <si>
    <t>10ALMPK2632F1ZL</t>
  </si>
  <si>
    <t>ALMPK2632F</t>
  </si>
  <si>
    <t>KHAGARIAAUTO AGENCY</t>
  </si>
  <si>
    <t>CANARA BANK</t>
  </si>
  <si>
    <t>CNRB0003291</t>
  </si>
  <si>
    <t>https://drive.google.com/drive/folders/1f0RRVBAHlidcmwiIGWr9O2pNiXLVRTrg</t>
  </si>
  <si>
    <t>1_-Np_EbJqeVZ8B325ImuW6uakkiS-qdfsGdlzPQkB_o</t>
  </si>
  <si>
    <t xml:space="preserve">Unique Motors (ANS) -Madhepura </t>
  </si>
  <si>
    <t>1Jp1Jb7Bi4001O3mVBxG1FASQvenLLGAK</t>
  </si>
  <si>
    <t>ACPL00355</t>
  </si>
  <si>
    <t>https://docs.google.com/spreadsheets/d/1_-Np_EbJqeVZ8B325ImuW6uakkiS-qdfsGdlzPQkB_o/edit#gid=0</t>
  </si>
  <si>
    <t>https://drive.google.com/drive/folders/1Jp1Jb7Bi4001O3mVBxG1FASQvenLLGAK</t>
  </si>
  <si>
    <t>uniquemotorscpa@gmail.com</t>
  </si>
  <si>
    <t>Madhepura</t>
  </si>
  <si>
    <t>1ijZUuNYW1E8zpyUwJzSL5TYbwYKb9s-saRb04DNVH0s</t>
  </si>
  <si>
    <t>Unique Motors (ANS) - Saharsa</t>
  </si>
  <si>
    <t>1mKRW7EEbprKt9CDDAwc-_kHFV5cUPZcW</t>
  </si>
  <si>
    <t>ACPL00356</t>
  </si>
  <si>
    <t>https://docs.google.com/spreadsheets/d/1ijZUuNYW1E8zpyUwJzSL5TYbwYKb9s-saRb04DNVH0s/edit#gid=0</t>
  </si>
  <si>
    <t>https://drive.google.com/drive/folders/1mKRW7EEbprKt9CDDAwc-_kHFV5cUPZcW</t>
  </si>
  <si>
    <t>uniquemotorscpa1@gmail.com</t>
  </si>
  <si>
    <t>Saharsa</t>
  </si>
  <si>
    <t>1OmbiJkLdWoT3pUPafzGjcE6RP8KNKayDMZiTcehiZhY</t>
  </si>
  <si>
    <t xml:space="preserve">Autobikes (ANS) - Murliganj </t>
  </si>
  <si>
    <t>1zaSe86YwFBrfPEU2sjWOF6OUVD9AIKxG</t>
  </si>
  <si>
    <t>ACPL00357</t>
  </si>
  <si>
    <t>https://docs.google.com/spreadsheets/d/1OmbiJkLdWoT3pUPafzGjcE6RP8KNKayDMZiTcehiZhY/edit#gid=0</t>
  </si>
  <si>
    <t>https://drive.google.com/drive/folders/1zaSe86YwFBrfPEU2sjWOF6OUVD9AIKxG</t>
  </si>
  <si>
    <t>autobikescpa@gmail.com</t>
  </si>
  <si>
    <t>Simrahi</t>
  </si>
  <si>
    <t>14l8FM3O22akR8Zv19TVsq4w4zJQUjB8fnfZsvPRyvqM</t>
  </si>
  <si>
    <t xml:space="preserve">Autoplaza (ANS) -Simrahi </t>
  </si>
  <si>
    <t>12x-Ytbs-imuP1AF_K6LdrDPJudP8mPUe</t>
  </si>
  <si>
    <t>ACPL00358</t>
  </si>
  <si>
    <t>https://docs.google.com/spreadsheets/d/14l8FM3O22akR8Zv19TVsq4w4zJQUjB8fnfZsvPRyvqM/edit#gid=0</t>
  </si>
  <si>
    <t>https://drive.google.com/drive/folders/12x-Ytbs-imuP1AF_K6LdrDPJudP8mPUe</t>
  </si>
  <si>
    <t>autoplazacpa@gmail.com</t>
  </si>
  <si>
    <t>15UOdwT--s7Zl9Su2K5mgFsbjsO9NxCbTdpJ5AlQkVMM</t>
  </si>
  <si>
    <t>KHURANA MOTORS- DEWAS</t>
  </si>
  <si>
    <t>1ibnqZumNJXf8GI6CeMVp1bObVfb2O5fL</t>
  </si>
  <si>
    <t>ACPL00359</t>
  </si>
  <si>
    <t>https://docs.google.com/spreadsheets/d/15UOdwT--s7Zl9Su2K5mgFsbjsO9NxCbTdpJ5AlQkVMM/edit#gid=0</t>
  </si>
  <si>
    <t>https://drive.google.com/drive/folders/1ibnqZumNJXf8GI6CeMVp1bObVfb2O5fL</t>
  </si>
  <si>
    <t>khuranamotorscpa@gmail.com</t>
  </si>
  <si>
    <t>Dewas</t>
  </si>
  <si>
    <t>SURENDER SINGH KHURANA</t>
  </si>
  <si>
    <t>Mukesh BAJAJ</t>
  </si>
  <si>
    <t>AILPK8216Z</t>
  </si>
  <si>
    <t>RUCHI KHURANA</t>
  </si>
  <si>
    <t>ICICI BANK DEWAS</t>
  </si>
  <si>
    <t>ICIC0000759</t>
  </si>
  <si>
    <t>https://drive.google.com/drive/folders/1YY9SbOblBs6tsOt1WiZWfOmN5itZc9hx</t>
  </si>
  <si>
    <t>19TIXHN68VS31AYbvTLVgoT7ur3ACdybUa6Tgr2NssIw</t>
  </si>
  <si>
    <t>KISHAN AUTOMOBILE- (MA)</t>
  </si>
  <si>
    <t>1UExbbXOxHDwc5B6eFSHZlgKWgoy7vFgA</t>
  </si>
  <si>
    <t>ACPL00360</t>
  </si>
  <si>
    <t>https://docs.google.com/spreadsheets/d/19TIXHN68VS31AYbvTLVgoT7ur3ACdybUa6Tgr2NssIw/edit#gid=0</t>
  </si>
  <si>
    <t>https://drive.google.com/drive/folders/1UExbbXOxHDwc5B6eFSHZlgKWgoy7vFgA</t>
  </si>
  <si>
    <t>Kisanautomobilescpa@gmail.com</t>
  </si>
  <si>
    <t>SULTANPUR</t>
  </si>
  <si>
    <t>AMAN AGGARWAL</t>
  </si>
  <si>
    <t>1pgLMvBNo6E9kbkAnv0QBIhYBBR1IrW1G6mYv4sWfOmc</t>
  </si>
  <si>
    <t>KISANSKB-(MA)</t>
  </si>
  <si>
    <t>1UZ9uPgdarEtcd48ZGZGQW9Rui815OEek</t>
  </si>
  <si>
    <t>ACPL00361</t>
  </si>
  <si>
    <t>https://docs.google.com/spreadsheets/d/1pgLMvBNo6E9kbkAnv0QBIhYBBR1IrW1G6mYv4sWfOmc/edit#gid=0</t>
  </si>
  <si>
    <t>https://drive.google.com/drive/folders/1UZ9uPgdarEtcd48ZGZGQW9Rui815OEek</t>
  </si>
  <si>
    <t>kisanskbcpa@gmail.com</t>
  </si>
  <si>
    <t>Sukaul bazar</t>
  </si>
  <si>
    <t>1_wqbP8y90HVN-akJ64Qqd1i2hjJPFweXimmLRe7vvbg</t>
  </si>
  <si>
    <t>Kanha automobiles-Baldirai(MA)</t>
  </si>
  <si>
    <t>1O26enCxeJgndwXQDXvFRQyEPXhYtxQxS</t>
  </si>
  <si>
    <t>ACPL00362</t>
  </si>
  <si>
    <t>https://docs.google.com/spreadsheets/d/1_wqbP8y90HVN-akJ64Qqd1i2hjJPFweXimmLRe7vvbg/edit#gid=0</t>
  </si>
  <si>
    <t>https://drive.google.com/drive/folders/1O26enCxeJgndwXQDXvFRQyEPXhYtxQxS</t>
  </si>
  <si>
    <t>Kanhaautomobilescpa@gmail.com</t>
  </si>
  <si>
    <t>14/04/2022 16:51</t>
  </si>
  <si>
    <t>BALDIRAI</t>
  </si>
  <si>
    <t>19NDu3EYtq9wEdW_s5MHQnnQjuWO6F7LAEyvadXaaoHg</t>
  </si>
  <si>
    <t>Sharan automobiles-Wallipur(MA)</t>
  </si>
  <si>
    <t>12CcxhCz9rkaAPQUG3OJtCkjO-wFDWL9x</t>
  </si>
  <si>
    <t>ACPL00363</t>
  </si>
  <si>
    <t>https://docs.google.com/spreadsheets/d/19NDu3EYtq9wEdW_s5MHQnnQjuWO6F7LAEyvadXaaoHg/edit#gid=0</t>
  </si>
  <si>
    <t>https://drive.google.com/drive/folders/12CcxhCz9rkaAPQUG3OJtCkjO-wFDWL9x</t>
  </si>
  <si>
    <t>Sharanautomobilescpa@gmail.com</t>
  </si>
  <si>
    <t>14/04/2022 16:53</t>
  </si>
  <si>
    <t>Walipur</t>
  </si>
  <si>
    <t>1KUr1bjytPw-Vpy-d3SSzwdi3dOB5ZCQ6mJezbdLS4wo</t>
  </si>
  <si>
    <t>Hind Automobiles-Munsiganj(MA)</t>
  </si>
  <si>
    <t>1x0oO6ZYJpAcagh9EuSXj_ix2YSdNl9Yx</t>
  </si>
  <si>
    <t>ACPL00364</t>
  </si>
  <si>
    <t>https://docs.google.com/spreadsheets/d/1KUr1bjytPw-Vpy-d3SSzwdi3dOB5ZCQ6mJezbdLS4wo/edit#gid=0</t>
  </si>
  <si>
    <t>https://drive.google.com/drive/folders/1x0oO6ZYJpAcagh9EuSXj_ix2YSdNl9Yx</t>
  </si>
  <si>
    <t>Hindautomobilescpa@gmail.com</t>
  </si>
  <si>
    <t>15/04/2022 11:47</t>
  </si>
  <si>
    <t>Munsiganj</t>
  </si>
  <si>
    <t>1tTA5e4_FfYUM4c7CROCUCMKoFZEqa0MTF7qor1K6Di4</t>
  </si>
  <si>
    <t>Haji Saleemuddin Automobiles (BA) - Sahawar</t>
  </si>
  <si>
    <t>1f1b-YegWcV7m3H2dXMSNwTeTnezvFJ6O</t>
  </si>
  <si>
    <t>ACPL00365</t>
  </si>
  <si>
    <t>https://docs.google.com/spreadsheets/d/1tTA5e4_FfYUM4c7CROCUCMKoFZEqa0MTF7qor1K6Di4/edit#gid=0</t>
  </si>
  <si>
    <t>https://drive.google.com/drive/folders/1f1b-YegWcV7m3H2dXMSNwTeTnezvFJ6O</t>
  </si>
  <si>
    <t>hajisaleemuddinautomobilescpa@gmail.com</t>
  </si>
  <si>
    <t>19/04/2022 17:10</t>
  </si>
  <si>
    <t>Sahawar</t>
  </si>
  <si>
    <t>Shakeel Ahmad</t>
  </si>
  <si>
    <t>AAIFH1639Q</t>
  </si>
  <si>
    <t>https://drive.google.com/drive/folders/1zeY_K-_5doCWB6wLckdXbZ4TJvpvt_RS</t>
  </si>
  <si>
    <t>1zpjD0n2MDMpnv6d3XmAb2OMfLjhiWI0P_3JnMudl7oI</t>
  </si>
  <si>
    <t>BHARAT HERO - ISLAMPUR</t>
  </si>
  <si>
    <t>1xwG_gq2_JqQ5fU8Zt3562vLK2d5Cp5ix</t>
  </si>
  <si>
    <t>ACPL00366</t>
  </si>
  <si>
    <t>https://docs.google.com/spreadsheets/d/1zpjD0n2MDMpnv6d3XmAb2OMfLjhiWI0P_3JnMudl7oI/edit#gid=0</t>
  </si>
  <si>
    <t>https://drive.google.com/drive/folders/1xwG_gq2_JqQ5fU8Zt3562vLK2d5Cp5ix</t>
  </si>
  <si>
    <t>Bharatautomobilescpa@gmail.com</t>
  </si>
  <si>
    <t>20/04/2022 13:08</t>
  </si>
  <si>
    <t>Islampur</t>
  </si>
  <si>
    <t>Sanket</t>
  </si>
  <si>
    <t>19AAFFB4779E1Z9</t>
  </si>
  <si>
    <t>AAFFB4779E</t>
  </si>
  <si>
    <t xml:space="preserve">BHARATAUTOMOBILES </t>
  </si>
  <si>
    <t>AXIS BANK</t>
  </si>
  <si>
    <t>UTIB0003883</t>
  </si>
  <si>
    <t>https://drive.google.com/drive/folders/1bcAWXPoLB2JVaBDdGz_9fTSfRECJSFPO</t>
  </si>
  <si>
    <t>1jfpEW8cuuUihhL5SOgSGnhE6g038H7_TOjUmP2QGajY</t>
  </si>
  <si>
    <t>ZUMMERWALA TVS- VADODRA</t>
  </si>
  <si>
    <t>13okbNyJt73_GLdVv2Uj1WWVmPFNGTR4V</t>
  </si>
  <si>
    <t>ACPL00367</t>
  </si>
  <si>
    <t>https://docs.google.com/spreadsheets/d/1jfpEW8cuuUihhL5SOgSGnhE6g038H7_TOjUmP2QGajY/edit#gid=0</t>
  </si>
  <si>
    <t>https://drive.google.com/drive/folders/13okbNyJt73_GLdVv2Uj1WWVmPFNGTR4V</t>
  </si>
  <si>
    <t>Zummerwalatvscpa@gmail.com</t>
  </si>
  <si>
    <t>21/04/2022 14:29</t>
  </si>
  <si>
    <t>Kosar</t>
  </si>
  <si>
    <t>24AABFZ5974B1Z5</t>
  </si>
  <si>
    <t>AABFZ5974B</t>
  </si>
  <si>
    <t>ZUMMERWALA MOTORS</t>
  </si>
  <si>
    <t>STATE bank of india</t>
  </si>
  <si>
    <t>SBIN0004917</t>
  </si>
  <si>
    <t>https://drive.google.com/drive/folders/1mlqD0kVjIpgv0BRXzhE-H6xvIU6Nvlr9</t>
  </si>
  <si>
    <t>1DQYkbRSa6wFMMmm22_BiLeCMnUHyYyz8B4ypIjKAxsI</t>
  </si>
  <si>
    <t>VINAYAK MOTORS (GA) - SAMAUR</t>
  </si>
  <si>
    <t>1PDij3c0IvWiQp4yEXlW-g1Gwn1RDifnJ</t>
  </si>
  <si>
    <t>ACPL00368</t>
  </si>
  <si>
    <t>https://docs.google.com/spreadsheets/d/1DQYkbRSa6wFMMmm22_BiLeCMnUHyYyz8B4ypIjKAxsI/edit#gid=0</t>
  </si>
  <si>
    <t>https://drive.google.com/drive/folders/1PDij3c0IvWiQp4yEXlW-g1Gwn1RDifnJ</t>
  </si>
  <si>
    <t>motorsvinayak2@gmail.com</t>
  </si>
  <si>
    <t>22/04/2022 13:10</t>
  </si>
  <si>
    <t>SAMAUR</t>
  </si>
  <si>
    <t>ANKIT KUMAR</t>
  </si>
  <si>
    <t>1fMAoCtyh4vodLMi1U0F_zWZwZ5rFDaCBLM-jtJs7o0I</t>
  </si>
  <si>
    <t>SHYAM AUTOMOBILES (GA) - Jataha Road Bhairoganj bajar</t>
  </si>
  <si>
    <t>1WPuFrtFZuCJ0nqFo-Hp2MrdF42CX_nCI</t>
  </si>
  <si>
    <t>ACPL00369</t>
  </si>
  <si>
    <t>https://docs.google.com/spreadsheets/d/1fMAoCtyh4vodLMi1U0F_zWZwZ5rFDaCBLM-jtJs7o0I/edit#gid=0</t>
  </si>
  <si>
    <t>https://drive.google.com/drive/folders/1WPuFrtFZuCJ0nqFo-Hp2MrdF42CX_nCI</t>
  </si>
  <si>
    <t>Shyambadan9919@gmail.com</t>
  </si>
  <si>
    <t>28/04/2022 11:41</t>
  </si>
  <si>
    <t>Jataha Road Bhairoganj bajar</t>
  </si>
  <si>
    <t>Rajendar yadav</t>
  </si>
  <si>
    <t>17-i_J4Fqa8xoYSEn5aPKSTGcpk9iFdx1SsEd6pRjLjw</t>
  </si>
  <si>
    <t>SUMITRA SONS TILHAR ( SSS)</t>
  </si>
  <si>
    <t>140Gz4wROOVchA4-EUNsCEA3TBJ-Oyg2A</t>
  </si>
  <si>
    <t>ACPL00370</t>
  </si>
  <si>
    <t>https://docs.google.com/spreadsheets/d/17-i_J4Fqa8xoYSEn5aPKSTGcpk9iFdx1SsEd6pRjLjw/edit#gid=0</t>
  </si>
  <si>
    <t>https://drive.google.com/drive/folders/140Gz4wROOVchA4-EUNsCEA3TBJ-Oyg2A</t>
  </si>
  <si>
    <t>sumitrasonstilharcpa@gmail.com</t>
  </si>
  <si>
    <t>TILHAR</t>
  </si>
  <si>
    <t>Anuj Kapoor</t>
  </si>
  <si>
    <t>1WtIXh5GrBWalMc8PB3ysoiWCCaU9S6-a-IzQ6nCHe40</t>
  </si>
  <si>
    <t>Darshan sons Roza (SSS)</t>
  </si>
  <si>
    <t>1M1QUBCXYFxjFTM9OKRpq5IP0h1exCQBh</t>
  </si>
  <si>
    <t>ACPL00371</t>
  </si>
  <si>
    <t>https://docs.google.com/spreadsheets/d/1WtIXh5GrBWalMc8PB3ysoiWCCaU9S6-a-IzQ6nCHe40/edit#gid=0</t>
  </si>
  <si>
    <t>https://drive.google.com/drive/folders/1M1QUBCXYFxjFTM9OKRpq5IP0h1exCQBh</t>
  </si>
  <si>
    <t>darshansonsrozacpa@gmail.com</t>
  </si>
  <si>
    <t>Roza</t>
  </si>
  <si>
    <t>1mcnBZEebWnvF0roguMy0NFJRLZnkCfEaD9uh5qnfKo8</t>
  </si>
  <si>
    <t>SUMITRA SONS WORKSHOP (SSS)</t>
  </si>
  <si>
    <t>1kIB8Tk_J88lJ5x6nM9VD5XE37mGVXF4o</t>
  </si>
  <si>
    <t>ACPL00372</t>
  </si>
  <si>
    <t>https://docs.google.com/spreadsheets/d/1mcnBZEebWnvF0roguMy0NFJRLZnkCfEaD9uh5qnfKo8/edit#gid=0</t>
  </si>
  <si>
    <t>https://drive.google.com/drive/folders/1kIB8Tk_J88lJ5x6nM9VD5XE37mGVXF4o</t>
  </si>
  <si>
    <t>sumitrasonswrshpcpa@gmail.com</t>
  </si>
  <si>
    <t>Anuj kapoor</t>
  </si>
  <si>
    <t>1VORE0_UOf5S1wnSQfC7106jxOHchCIeVIqu4Myti3XM</t>
  </si>
  <si>
    <t>JMV AUTOMOBILES (MA) - ALIGANJ</t>
  </si>
  <si>
    <t>1Kn-tDN7rJi8hlIrc4C5xtw2a81O9vfO-</t>
  </si>
  <si>
    <t>ACPL00373</t>
  </si>
  <si>
    <t>https://docs.google.com/spreadsheets/d/1VORE0_UOf5S1wnSQfC7106jxOHchCIeVIqu4Myti3XM/edit#gid=0</t>
  </si>
  <si>
    <t>https://drive.google.com/drive/folders/1Kn-tDN7rJi8hlIrc4C5xtw2a81O9vfO-</t>
  </si>
  <si>
    <t>jmvautomobilescpa@gmail.com</t>
  </si>
  <si>
    <t>Aliganj</t>
  </si>
  <si>
    <t>Aman Agrawal</t>
  </si>
  <si>
    <t>17KbeHPShWeUJUQe1m08N3LECmT7K9fG7E4WgslCRijQ</t>
  </si>
  <si>
    <t>Sanjay Automobiles (SBH)-Kairana</t>
  </si>
  <si>
    <t>10UXjo3__B5MvP5Qydzp6tdWzziqa9dxj</t>
  </si>
  <si>
    <t>ACPL00374</t>
  </si>
  <si>
    <t>https://docs.google.com/spreadsheets/d/17KbeHPShWeUJUQe1m08N3LECmT7K9fG7E4WgslCRijQ/edit#gid=0</t>
  </si>
  <si>
    <t>https://drive.google.com/drive/folders/10UXjo3__B5MvP5Qydzp6tdWzziqa9dxj</t>
  </si>
  <si>
    <t>sanjayautocpa001@gmail.com</t>
  </si>
  <si>
    <t>Shamli</t>
  </si>
  <si>
    <t>Mr. Sandeep</t>
  </si>
  <si>
    <t>Dealer ID</t>
  </si>
  <si>
    <t>ACPL Balance</t>
  </si>
  <si>
    <t>Insurance Net Deduction</t>
  </si>
  <si>
    <t>Combined Balance</t>
  </si>
  <si>
    <t>Distribuor ID</t>
  </si>
  <si>
    <t>Payment By</t>
  </si>
  <si>
    <t>Payout Auto Credit to Master Dealer</t>
  </si>
  <si>
    <t>CPA Payment Terms</t>
  </si>
  <si>
    <t>CPA Costing</t>
  </si>
  <si>
    <t>CPA Master Dealer Payout Unit</t>
  </si>
  <si>
    <t>CPA Master Dealer Payout</t>
  </si>
  <si>
    <t>Total CPA Policies</t>
  </si>
  <si>
    <t>RSA Payment Terms</t>
  </si>
  <si>
    <t>RSA Costing</t>
  </si>
  <si>
    <t>RSA Master Dealer Payout Unit</t>
  </si>
  <si>
    <t>RSA Master Dealer Payout</t>
  </si>
  <si>
    <t>Total RSA Policies</t>
  </si>
  <si>
    <t>CPA + RSA Payment Terms</t>
  </si>
  <si>
    <t>CPA + RSA Costing</t>
  </si>
  <si>
    <t>CPA + RSA Master Dealer Payout Unit</t>
  </si>
  <si>
    <t>CPA + RSA Master Dealer Payout</t>
  </si>
  <si>
    <t>Total CPA + RSA Policies</t>
  </si>
  <si>
    <t>CPA + RSA + AHDC Payment Terms</t>
  </si>
  <si>
    <t>CPA + RSA + AHDC Costing</t>
  </si>
  <si>
    <t>CPA + RSA + AHDC Master Dealer Payout Unit</t>
  </si>
  <si>
    <t>CPA + RSA + AHDC Master Dealer Payout</t>
  </si>
  <si>
    <t>Total CPA + RSA + AHDC Policies</t>
  </si>
  <si>
    <t>CPA + RSA + AHDC + DOC Payment Terms</t>
  </si>
  <si>
    <t>CPA + RSA + AHDC + DOC Costing</t>
  </si>
  <si>
    <t>CPA + RSA + AHDC + DOC Master Dealer Payout Unit</t>
  </si>
  <si>
    <t>CPA + RSA + AHDC + DOC Master Dealer Payout</t>
  </si>
  <si>
    <t>Total CPA + RSA + AHDC + DOC Policies</t>
  </si>
  <si>
    <t>CPA + RSA : 5 Years Payment Terms</t>
  </si>
  <si>
    <t>CPA + RSA : 5 Years Costing</t>
  </si>
  <si>
    <t>CPA + RSA : 5 Years Master Dealer Payout Unit</t>
  </si>
  <si>
    <t>CPA + RSA : 5 Years Master Dealer Payout</t>
  </si>
  <si>
    <t>Total CPA + RSA : 5 Years Policies</t>
  </si>
  <si>
    <t>Assistance + CPA + AHDC2X Payment Terms</t>
  </si>
  <si>
    <t>Assistance + CPA + AHDC2X Costing</t>
  </si>
  <si>
    <t>Assistance + CPA + AHDC2X Master Dealer Payout Unit</t>
  </si>
  <si>
    <t>Assistance + CPA + AHDC2X Master Dealer Payout</t>
  </si>
  <si>
    <t>Total Assistance + CPA + AHDC2X Policies</t>
  </si>
  <si>
    <t>Assistance + CPA + AHDC Payment Terms</t>
  </si>
  <si>
    <t>Assistance + CPA + AHDC Costing</t>
  </si>
  <si>
    <t>Assistance + CPA + AHDC Master Dealer Payout Unit</t>
  </si>
  <si>
    <t>Assistance + CPA + AHDC Master Dealer Payout</t>
  </si>
  <si>
    <t>Total Assistance + CPA + AHDC Policies</t>
  </si>
  <si>
    <t>Assistance + CPA : 5 Years Payment Terms</t>
  </si>
  <si>
    <t>Assistance + CPA : 5 Years Costing</t>
  </si>
  <si>
    <t>Assistance + CPA : 5 Years Master Dealer Payout Unit</t>
  </si>
  <si>
    <t>Assistance + CPA : 5 Years Master Dealer Payout</t>
  </si>
  <si>
    <t>Total Assistance + CPA : 5 Years Policies</t>
  </si>
  <si>
    <t>RSA + AHDC + DOC Payment Terms</t>
  </si>
  <si>
    <t>RSA + AHDC + DOC Costing</t>
  </si>
  <si>
    <t>RSA + AHDC + DOC Master Dealer Payout Unit</t>
  </si>
  <si>
    <t>RSA + AHDC + DOC Master Dealer Payout</t>
  </si>
  <si>
    <t>Total RSA + AHDC + DOC Policies</t>
  </si>
  <si>
    <t>Assistance + AHDC Payment Terms</t>
  </si>
  <si>
    <t>Assistance + AHDC Costing</t>
  </si>
  <si>
    <t>Assistance + AHDC Master Dealer Payout Unit</t>
  </si>
  <si>
    <t>Assistance + AHDC Master Dealer Payout</t>
  </si>
  <si>
    <t>Total Assistance + AHDC Policies</t>
  </si>
  <si>
    <t>RSA - EV Payment Terms</t>
  </si>
  <si>
    <t>RSA - EV Costing</t>
  </si>
  <si>
    <t>RSA - EV Master Dealer Payout Unit</t>
  </si>
  <si>
    <t>RSA - EV Master Dealer Payout</t>
  </si>
  <si>
    <t>Total RSA - EV Policies</t>
  </si>
  <si>
    <t>&lt;For Future Use&gt;</t>
  </si>
  <si>
    <t>Total Policies</t>
  </si>
  <si>
    <t>Total Invoice Amount</t>
  </si>
  <si>
    <t>Total Base Cost of Policies</t>
  </si>
  <si>
    <t>Total Costing of Policies with GST</t>
  </si>
  <si>
    <t>Total CGST</t>
  </si>
  <si>
    <t>Total SGST</t>
  </si>
  <si>
    <t>Total IGST</t>
  </si>
  <si>
    <t>Total Combined GST</t>
  </si>
  <si>
    <t>GST Paid without reconcilation</t>
  </si>
  <si>
    <t xml:space="preserve">GST to be paid after reconcilation with 2A </t>
  </si>
  <si>
    <t>Reconciled GST</t>
  </si>
  <si>
    <t>Total Receivable</t>
  </si>
  <si>
    <t>Net Receivable</t>
  </si>
  <si>
    <t>FY20-21 Closing Payout</t>
  </si>
  <si>
    <t>Total Payout before TDS</t>
  </si>
  <si>
    <t>Payout Adjusted in Balance (Cut &amp; Pay)</t>
  </si>
  <si>
    <t>TDS on Payout</t>
  </si>
  <si>
    <t>Net Payout after TDS</t>
  </si>
  <si>
    <t>Balance Payout</t>
  </si>
  <si>
    <t>Actual Payable Payout</t>
  </si>
  <si>
    <t>Total Payout Given</t>
  </si>
  <si>
    <t>Total ORC Payout</t>
  </si>
  <si>
    <t>ORC Payout Adjusted in Balance</t>
  </si>
  <si>
    <t>TDS on ORC Payout after TDS</t>
  </si>
  <si>
    <t>Net ORC after TDS</t>
  </si>
  <si>
    <t>Balance ORC Payout</t>
  </si>
  <si>
    <t>Actual Payable ORC Payout</t>
  </si>
  <si>
    <t>Total ORC Payout Given</t>
  </si>
  <si>
    <t>Cancellation Adjustment</t>
  </si>
  <si>
    <t>TDS on Cancellation</t>
  </si>
  <si>
    <t>Cancellation CGST</t>
  </si>
  <si>
    <t>Cancellation SGST</t>
  </si>
  <si>
    <t>Cancellation IGST</t>
  </si>
  <si>
    <t>Total GST on Cancellation</t>
  </si>
  <si>
    <t>FY20-21 Closing Balance</t>
  </si>
  <si>
    <t>Total Amount Received</t>
  </si>
  <si>
    <t>Adjustments</t>
  </si>
  <si>
    <t>Virtual Credit</t>
  </si>
  <si>
    <t>Total Ledger Balance</t>
  </si>
  <si>
    <t>Net Ledger Balance</t>
  </si>
  <si>
    <t>Net Ledger Balance After COA</t>
  </si>
  <si>
    <t>Payment Terms to be Used</t>
  </si>
  <si>
    <t>Cut &amp; Pay</t>
  </si>
  <si>
    <t>Percentage (%)</t>
  </si>
  <si>
    <t>Base Pay</t>
  </si>
  <si>
    <t>Full Pay</t>
  </si>
  <si>
    <t>Self</t>
  </si>
  <si>
    <t>Insurance Active</t>
  </si>
  <si>
    <t>CPA + RSA Payout Terms Type</t>
  </si>
  <si>
    <t>CPA + RSA Payout Terms Value</t>
  </si>
  <si>
    <t>CPA + RSA Master Dealer's Payout Percentage (%)</t>
  </si>
  <si>
    <t>CPA + RSA Dealer's Payout Percentage (%)</t>
  </si>
  <si>
    <t>CPA + RSA Distributor's Payout Percentage (%)</t>
  </si>
  <si>
    <t>CPA + RSA + AHDC + DOC Payout Terms Type</t>
  </si>
  <si>
    <t>CPA + RSA + AHDC + DOC Payout Terms Value</t>
  </si>
  <si>
    <t>CPA + RSA + AHDC + DOC Master Dealer's Payout Percentage (%)</t>
  </si>
  <si>
    <t>CPA + RSA + AHDC + DOC Dealer's Payout Percentage (%)</t>
  </si>
  <si>
    <t>CPA + RSA + AHDC + DOC Distributor's Payout Percentage (%)</t>
  </si>
  <si>
    <t>CPA + RSA : 5 Years Payout Terms Type</t>
  </si>
  <si>
    <t>CPA + RSA : 5 Years Payout Terms Value</t>
  </si>
  <si>
    <t>CPA + RSA : 5 Years Master Dealer's Payout Percentage (%)</t>
  </si>
  <si>
    <t>CPA + RSA : 5 Years Dealer's Payout Percentage (%)</t>
  </si>
  <si>
    <t>CPA + RSA : 5 Years Distributor's Payout Percentage (%)</t>
  </si>
  <si>
    <t>Assistance + CPA + RSA : 5 Years Payout Terms Type</t>
  </si>
  <si>
    <t>Assistance + CPA + RSA : 5 Years Payout Terms Value</t>
  </si>
  <si>
    <t>Assistance + CPA + RSA : 5 Years Master Dealer's Payout Percentage (%)</t>
  </si>
  <si>
    <t>Assistance + CPA + RSA : 5 Years Dealer's Payout Percentage (%)</t>
  </si>
  <si>
    <t>Assistance + CPA + RSA : 5 Years Distributor's Payout Percentage (%)</t>
  </si>
  <si>
    <t>RSA + AHDC + DOC Payout Terms Type</t>
  </si>
  <si>
    <t>RSA + AHDC + DOC Payout Terms Value</t>
  </si>
  <si>
    <t>RSA + AHDC + DOC Dealer's Payout Percentage (%)</t>
  </si>
  <si>
    <t>RSA + AHDC + DOC Distributor's Payout Percentage (%)</t>
  </si>
  <si>
    <t>Gross Balance Deduction by Dealer</t>
  </si>
  <si>
    <t>Payout Adjusted in Balance by Dealer</t>
  </si>
  <si>
    <t>Net Balance Deduction by Dealer</t>
  </si>
  <si>
    <t>Final Gross Balance Deduction</t>
  </si>
  <si>
    <t>Final Payout Adjusted</t>
  </si>
  <si>
    <t>Final Net Balance Deduction</t>
  </si>
  <si>
    <t>Percentage on Net (%)</t>
  </si>
  <si>
    <t>Full Pay (Base Pay)</t>
  </si>
  <si>
    <t>Fixed Amount (₹)</t>
  </si>
  <si>
    <t>Cut &amp; Pay (Base Pay)</t>
  </si>
  <si>
    <t>OD1 + TP5 - Individual - Plan Type</t>
  </si>
  <si>
    <t>OD1 + TP5 - Individual - Payment Terms</t>
  </si>
  <si>
    <t>OD1 + TP5 - Individual - Costing</t>
  </si>
  <si>
    <t>OD1 + TP5 - Individual - Payout Terms</t>
  </si>
  <si>
    <t>OD1 + TP5 - Individual - Payout Terms Value</t>
  </si>
  <si>
    <t>OD1 + TP5 - Individual - Master Dealer's Payout Percentage (%)</t>
  </si>
  <si>
    <t>OD1 + TP5 - Individual - Dealer's Payout Percentage (%)</t>
  </si>
  <si>
    <t>OD1 + TP5 - Individual - Distributor's Payout Percentage (%)</t>
  </si>
  <si>
    <t>OD1 + TP5 - Individual - Total Policies</t>
  </si>
  <si>
    <t>OD1 + TP5 - Corporate - Plan Type</t>
  </si>
  <si>
    <t>OD1 + TP5 - Corporate - Payment Terms</t>
  </si>
  <si>
    <t>OD1 + TP5 - Corporate - Costing</t>
  </si>
  <si>
    <t>OD1 + TP5 - Corporate - Payout Terms</t>
  </si>
  <si>
    <t>OD1 + TP5 - Corporate - Payout Terms Value</t>
  </si>
  <si>
    <t>OD1 + TP5 - Corporate - Master Dealer's Payout Percentage (%)</t>
  </si>
  <si>
    <t>OD1 + TP5 - Corporate - Dealer's Payout Percentage (%)</t>
  </si>
  <si>
    <t>OD1 + TP5 - Corporate - Distributor's Payout Percentage (%)</t>
  </si>
  <si>
    <t>OD1 + TP5 - Corporate - Total Policies</t>
  </si>
  <si>
    <t>OD1 + TP1 - Rollover - Individual - Plan Type</t>
  </si>
  <si>
    <t>OD1 + TP1 - Rollover - Individual - Payment Terms</t>
  </si>
  <si>
    <t>OD1 + TP1 - Rollover - Individual - Costing</t>
  </si>
  <si>
    <t>OD1 + TP1 - Rollover - Individual - Payout Terms</t>
  </si>
  <si>
    <t>OD1 + TP1 - Rollover - Individual - Payout Terms Value</t>
  </si>
  <si>
    <t>OD1 + TP1 - Rollover - Individual - Master Dealer's Payout Percentage (%)</t>
  </si>
  <si>
    <t>OD1 + TP1 - Rollover - Individual - Dealer's Payout Percentage (%)</t>
  </si>
  <si>
    <t>OD1 + TP1 - Rollover - Individual - Distributor's Payout Percentage (%)</t>
  </si>
  <si>
    <t>OD1 + TP1 - Rollover - Individual - Total Policies</t>
  </si>
  <si>
    <t>OD1 + TP1 - Rollover - Corporate - Plan Type</t>
  </si>
  <si>
    <t>OD1 + TP1 - Rollover - Corporate - Payment Terms</t>
  </si>
  <si>
    <t>OD1 + TP1 - Rollover - Corporate - Costing</t>
  </si>
  <si>
    <t>OD1 + TP1 - Rollover - Corporate - Payout Terms</t>
  </si>
  <si>
    <t>OD1 + TP1 - Rollover - Corporate - Payout Terms Value</t>
  </si>
  <si>
    <t>OD1 + TP1 - Rollover - Corporate - Master Dealer's Payout Percentage (%)</t>
  </si>
  <si>
    <t>OD1 + TP1 - Rollover - Corporate - Dealer's Payout Percentage (%)</t>
  </si>
  <si>
    <t>OD1 + TP1 - Rollover - Corporate - Distributor's Payout Percentage (%)</t>
  </si>
  <si>
    <t>OD1 + TP1 - Rollover - Corporate - Total Policies</t>
  </si>
  <si>
    <t>OD1 - Rollover - Individual - Plan Type</t>
  </si>
  <si>
    <t>OD1 - Rollover - Individual - Payment Terms</t>
  </si>
  <si>
    <t>OD1 - Rollover - Individual - Costing</t>
  </si>
  <si>
    <t>OD1 - Rollover - Individual - Payout Terms</t>
  </si>
  <si>
    <t>OD1 - Rollover - Individual - Payout Terms Value</t>
  </si>
  <si>
    <t>OD1 - Rollover - Individual - Master Dealer's Payout Percentage (%)</t>
  </si>
  <si>
    <t>OD1 - Rollover - Individual - Dealer's Payout Percentage (%)</t>
  </si>
  <si>
    <t>OD1 - Rollover - Individual - Distributor's Payout Percentage (%)</t>
  </si>
  <si>
    <t>OD1 - Rollover - Individual - Total Policies</t>
  </si>
  <si>
    <t>OD1 - Rollover - Corporate - Plan Type</t>
  </si>
  <si>
    <t>OD1 - Rollover - Corporate - Payment Terms</t>
  </si>
  <si>
    <t>OD1 - Rollover - Corporate - Costing</t>
  </si>
  <si>
    <t>OD1 - Rollover - Corporate - Payout Terms</t>
  </si>
  <si>
    <t>OD1 - Rollover - Corporate - Payout Terms Value</t>
  </si>
  <si>
    <t>OD1 - Rollover - Corporate - Master Dealer's Payout Percentage (%)</t>
  </si>
  <si>
    <t>OD1 - Rollover - Corporate - Dealer's Payout Percentage (%)</t>
  </si>
  <si>
    <t>OD1 - Rollover - Corporate - Distributor's Payout Percentage (%)</t>
  </si>
  <si>
    <t>OD1 - Rollover - Corporate - Total Policies</t>
  </si>
  <si>
    <t>TP1 - Rollover - Individual - Plan Type</t>
  </si>
  <si>
    <t>TP1 - Rollover - Individual - Payment Terms</t>
  </si>
  <si>
    <t>TP1 - Rollover - Individual - Costing</t>
  </si>
  <si>
    <t>TP1 - Rollover - Individual - Payout Terms</t>
  </si>
  <si>
    <t>TP1 - Rollover - Individual - Payout Terms Value</t>
  </si>
  <si>
    <t>TP1 - Rollover - Individual - Master Dealer's Payout Percentage (%)</t>
  </si>
  <si>
    <t>TP1 - Rollover - Individual - Dealer's Payout Percentage (%)</t>
  </si>
  <si>
    <t>TP1 - Rollover - Individual - Distributor's Payout Percentage (%)</t>
  </si>
  <si>
    <t>TP1 - Rollover - Individual - Total Policies</t>
  </si>
  <si>
    <t>TP1 - Rollover - Corporate - Plan Type</t>
  </si>
  <si>
    <t>TP1 - Rollover - Corporate - Payment Terms</t>
  </si>
  <si>
    <t>TP1 - Rollover - Corporate - Costing</t>
  </si>
  <si>
    <t>TP1 - Rollover - Corporate - Payout Terms</t>
  </si>
  <si>
    <t>TP1 - Rollover - Corporate - Payout Terms Value</t>
  </si>
  <si>
    <t>TP1 - Rollover - Corporate - Master Dealer's Payout Percentage (%)</t>
  </si>
  <si>
    <t>TP1 - Rollover - Corporate - Dealer's Payout Percentage (%)</t>
  </si>
  <si>
    <t>TP1 - Rollover - Corporate - Distributor's Payout Percentage (%)</t>
  </si>
  <si>
    <t>TP1 - Rollover - Corporate - Total Policies</t>
  </si>
  <si>
    <t>CPA + RSA + AHDC + DOC</t>
  </si>
  <si>
    <t>RSA + AHDC + DOC</t>
  </si>
  <si>
    <t>CPA + RSA</t>
  </si>
  <si>
    <t>RSA</t>
  </si>
  <si>
    <t>5646aRFHGS76A</t>
  </si>
  <si>
    <t>Test Distributor</t>
  </si>
  <si>
    <t>Payment ID</t>
  </si>
  <si>
    <t>Amount</t>
  </si>
  <si>
    <t>Transaction Date</t>
  </si>
  <si>
    <t>Transaction ID</t>
  </si>
  <si>
    <t>Narration / Comment</t>
  </si>
  <si>
    <t>Requested By</t>
  </si>
  <si>
    <t>Requested At</t>
  </si>
  <si>
    <t>Approved / Rejected By</t>
  </si>
  <si>
    <t>Approved / Rejected At</t>
  </si>
  <si>
    <t>Status</t>
  </si>
  <si>
    <t>Transaction Type</t>
  </si>
  <si>
    <t>Requested At (Sort)</t>
  </si>
  <si>
    <t>2_ABaOnufKPWu7pJ_XaNqiLh3gK_ETcQ11Wrf_SxXC2S3XxlyWwKserD-H0GXbI-ZxsPFxvP4</t>
  </si>
  <si>
    <t xml:space="preserve">P090220161512162 </t>
  </si>
  <si>
    <t>Payment recd from Bharat Auto - Kasganj</t>
  </si>
  <si>
    <t>Arvind Singh</t>
  </si>
  <si>
    <t>Sonendra Verma</t>
  </si>
  <si>
    <t>Approved</t>
  </si>
  <si>
    <t>Credit</t>
  </si>
  <si>
    <t>2_ABaOnucwRUyjBe42qdWrLriV_WMjpWPoKbHcDH4CJU5CtJuwD1BqVFuwchDeLB9eAR1qXBA</t>
  </si>
  <si>
    <t xml:space="preserve">PUNBH22090070336 </t>
  </si>
  <si>
    <t>Payment recd from SILVER WHEELS - KANPUR</t>
  </si>
  <si>
    <t>2_ABaOnucH3Pf00xORnAYwiHtLoGN2-CHQLq-TlF-OpJYlDPDsAa6VNJoCCPXQiwG5XMzXc64</t>
  </si>
  <si>
    <t xml:space="preserve">IDIBH22090264637 </t>
  </si>
  <si>
    <t xml:space="preserve">Payment recd from Kshitij </t>
  </si>
  <si>
    <t>2_ABaOnud_z20h_Edv-gVqcXViO9ejpywEiz_xhpGp7PcunMtTn7tm1urTa3ybJYNmCcf3Vcs</t>
  </si>
  <si>
    <t>Payment recd from ARC HERO- MAHIPALPUR</t>
  </si>
  <si>
    <t>2_ABaOnufRbLvp9dA7vf0jbcef7GWFC_bAHaKAIQYqyii4ofKPm8psgvuNxPkcJi2bmdk7AuM</t>
  </si>
  <si>
    <t>Payment rec'd from ARC</t>
  </si>
  <si>
    <t>2_ABaOnuc93wBcfRRDU3yrfF15Q3astxyCLCR54Fv9AuNZX61i5vae1_JNzKKFiOJysRLpwtA</t>
  </si>
  <si>
    <t>2_ABaOnueOEBEPwjiPq5Q6SUXG5WDzvOH1812CZWBltkm1Bfaux1jCIzkBp3Lqga1v6sf42Mk</t>
  </si>
  <si>
    <t>Payment rec'd from Gokul Autoworld</t>
  </si>
  <si>
    <t>2_ABaOnufxe_PuoNIB0CBXO51p2UfO22WdBOnKEDQ75eftqsS_knX3gF5T547lkQHMlXTkpV4</t>
  </si>
  <si>
    <t>2_ABaOnudIFFNUDvj6nF76QU_ZSQTE-GUNmAWbbZokizA--RBqgXSfORYG57v7bIDO3Fmmi8U</t>
  </si>
  <si>
    <t>AXIC220910492052</t>
  </si>
  <si>
    <t>Payment rec'd from Barabanki Motors</t>
  </si>
  <si>
    <t>2_ABaOnuf0GDg7N4iVqPVncsxyOBJ6lSoTA4yfLb71bpJ0-yQL5U5zCfYJAf7GC9EAegP3N3c</t>
  </si>
  <si>
    <t>AXMB220910452206</t>
  </si>
  <si>
    <t>Payment rec'd from gupta automobiles</t>
  </si>
  <si>
    <t>2_ABaOnudIqAbvKRnwVUkFk8jc2Z1TaADsums7uQUv7C6Zl_5eYjiw1_eybV5XFcyviplDcXE</t>
  </si>
  <si>
    <t xml:space="preserve">Payment recd from Modern </t>
  </si>
  <si>
    <t>2_ABaOnueBY4AzEYFn0p0apJFypvZ3reySpgw7EPmaObDRrlOO6Gsdp6j5Thw9952j-tFPkko</t>
  </si>
  <si>
    <t>Payment rec'd from Singla</t>
  </si>
  <si>
    <t>2_ABaOnufyWUo726cCHK1PiYItj8aI1u_0OEQqOJit6jnZ3UqhebC1ytfpOa6C5J2OfTjh8QE</t>
  </si>
  <si>
    <t>KKBKR52022040200726738</t>
  </si>
  <si>
    <t>Payment rec'd from shiv ganga</t>
  </si>
  <si>
    <t>2_ABaOnufnl6zs9Apejq93nZx5smUIhtiIlyIp-Vd2e67RLtdGMPkSrEOh2ePPTT1myNpHHIo</t>
  </si>
  <si>
    <t xml:space="preserve">Payment rec'd from uttam motors </t>
  </si>
  <si>
    <t>2_ABaOnuew_oRa031_MX4kq82XJB_5kn-CM1Ur9ZHUliXbU_kRcrvSY5Bu8klTOt_8nw-fFN0</t>
  </si>
  <si>
    <t>Payment rec'd from upper india</t>
  </si>
  <si>
    <t>2_ABaOnuc1NVLN_58OCWqSoO4gYAX3J4dHejHIxuRUQnAM8tlLiFlNdgzxOoTyxV9IQygc7_s</t>
  </si>
  <si>
    <t>SBIN322092106042</t>
  </si>
  <si>
    <t xml:space="preserve">Payment rec'd from Bal mukund </t>
  </si>
  <si>
    <t>2_ABaOnueMru4HFg2McwKl766WlfQzUwVgA4cR6mi_OvlKe5MzbpFJCCizU6TfIilpy83Rf-A</t>
  </si>
  <si>
    <t>SBIN322092189264</t>
  </si>
  <si>
    <t>Payment rec'd from Mahalaxmi</t>
  </si>
  <si>
    <t>2_ABaOnucmPJPrV9pH4QldsOkNML6BDU3B5QOabome3Y0ibmueOQJTLCdERMgI2kb5JN4lQaY</t>
  </si>
  <si>
    <t>SBIN322092212444</t>
  </si>
  <si>
    <t>Payment rec'd from Satkar honda</t>
  </si>
  <si>
    <t>2_ABaOnufP_0bFlrL_R9opq3yzJNlJHRw8n1HL0yXJZif_UeR69h_IowwY-xme2txYyKstgSc</t>
  </si>
  <si>
    <t>SBIN422092085678</t>
  </si>
  <si>
    <t xml:space="preserve">Payment rec'd from Gupta hero </t>
  </si>
  <si>
    <t>2_ABaOnuddylPC7vL1_qZrcRFe8khDWjY6_N_R6MCEObtp-PmTvQivkO_Cel8615KTLJsp_KY</t>
  </si>
  <si>
    <t>N092221108834208</t>
  </si>
  <si>
    <t>Payment recd from VTECH</t>
  </si>
  <si>
    <t>2_ABaOnudJdCkvItFmC35lL3g6jzRsKTfn2JTuEcbjglEtB96MGguCpJ4u7WTP9eYz2Pt0ZNk</t>
  </si>
  <si>
    <t>Payment rec'd fr ARC</t>
  </si>
  <si>
    <t>2_ABaOnud2ISKdB4x7TWnbAXNAeuExbgXHN0Tld1fAoMs-WUMOBucTGqTJo1vJ_ZOtxYRz4dU</t>
  </si>
  <si>
    <t>Payment rec'd from ARCC</t>
  </si>
  <si>
    <t>2_ABaOnufe7z4sVHBrwQxcEfeoW7liqFnc0mlVbJGJkTVy_aolTHBzJa4V8dhBBOLeujzSGDU</t>
  </si>
  <si>
    <t>2_ABaOnucat3l9p-DhflM8IheGwqHrpNm0KBg4AqsskHh44Fou7lP-yyCJfpZ8N9CJI5D4f0M</t>
  </si>
  <si>
    <t>2_ABaOnucV8lRL0i0nWyOx-rBI30oUqtR6daltviEMN6cpJijoPsbyuySg4W4wYgd7WhZa5kY</t>
  </si>
  <si>
    <t>2_ABaOnudUttFSf8lp8jatglb_8vyVvdVDerb98vUMy8yxm7zzvrEEOUjEGx9zbSePo9hJQq8</t>
  </si>
  <si>
    <t>Advance credit</t>
  </si>
  <si>
    <t>Adjustment Credit</t>
  </si>
  <si>
    <t>2_ABaOnufZDT71i3jTPpzaPd-V17qJGovIIcrX3EoGTrkvWKjaKQLTpNSwSw-EL5G2yibplqY</t>
  </si>
  <si>
    <t>Payment rec'd from KANHAIYA MOTORS- BHADARUGANJ</t>
  </si>
  <si>
    <t>Rejected</t>
  </si>
  <si>
    <t>2_ABaOnued9wxK9uzcdYOmJ64v3ZoJbl6Jkcas-NqrjOSxIIjPuOxxJJYYV4OZhu4VFvnJO0g</t>
  </si>
  <si>
    <t>Reverse credit entry</t>
  </si>
  <si>
    <t>Adjustment Debit</t>
  </si>
  <si>
    <t>2_ABaOnufk8mqbOu2S0C4ccBKnZu2Cr6_Sxh5lXHsdeVZGMjXOQa0Zs3uY2hilcsf1ILv8css</t>
  </si>
  <si>
    <t>2_ABaOnueGTyST5-fxnugAziio5uUzmV31GjFij6-AMI82loddl73kCeJfK-m3EYu2oboo4eo</t>
  </si>
  <si>
    <t>Advance Credit</t>
  </si>
  <si>
    <t>2_ABaOnucSNMON3FfJspkGIUuWa8jdDkGnMkBhyQGLUu6VDBZJkK14IPZLNnj14t0Taml9dBw</t>
  </si>
  <si>
    <t>Payment received from Metro Motors- Narela(MMR)</t>
  </si>
  <si>
    <t>2_ABaOnuexb1n5OV-uH9hOYP_BT2okIflG_IiWmdNmS5CYrPRmzrMzJBLJ5TokfW-bqK0kjiw</t>
  </si>
  <si>
    <t>Payment Received from ARC HERO- MAHIPALPUR</t>
  </si>
  <si>
    <t>2_ABaOnueXZXSM_5YFrk-1aUsF4i6uQNytoNGKSqNtLF8jZ4z_cfeRAiFfJKvQuiV7pfI6fmo</t>
  </si>
  <si>
    <t>AXIC220931055986</t>
  </si>
  <si>
    <t>2_ABaOnucX4B5ugXcfP72ezMhgP_Bvu7S0SDL0-f9cRpkGLBpZYQLavR7fJEWRY2xL3t41KOw</t>
  </si>
  <si>
    <t>Payment rec'd from singla</t>
  </si>
  <si>
    <t>2_ABaOnucFgeXbiZ4BffmgYOnYnq1pmJSnjcTYxBtUavHUujbTMaHhw40RGnYa62_b9V9imMg</t>
  </si>
  <si>
    <t>Payment rec'd from Navya motors</t>
  </si>
  <si>
    <t>2_ABaOnueE1KT7kAs1z6EdBfHT1HCP346oEGerv6weZ7kErkL6-jGmmwmo3a6aQqP_tixYZLM</t>
  </si>
  <si>
    <t>Advance Entry</t>
  </si>
  <si>
    <t>2_ABaOnuceEPD0kueeEsSf4RxidLdwyA4gwyKe1ORG1iLhycDSRtQ5IhRF-ChqM6XvMEzbBik</t>
  </si>
  <si>
    <t xml:space="preserve">INDBN04047257190 </t>
  </si>
  <si>
    <t>Payment recd from SHIVANI MOTORS- ALLAHABAD</t>
  </si>
  <si>
    <t>2_ABaOnuf_OpX_DSjvuruCiL2nssUUg_-jXXEUqq6uGn1LfHnQ3eJI6He8SNlG9saH6TqzyLM</t>
  </si>
  <si>
    <t>2_ABaOnueOm79Op0LiP6m4Ft7bSUsIdwYPfmAol9HJaREgYGwkcjKkPswr-2rpDaOMxvBXJoI</t>
  </si>
  <si>
    <t>Payment recd from Titan TVS</t>
  </si>
  <si>
    <t>2_ABaOnucxuR8k8_cl5j7NubJKHdJ6Um4JghjQdshu9TPRVkyeiH42cVXzBlL9TF-Xj9jaAMY</t>
  </si>
  <si>
    <t xml:space="preserve">IDIBH22094464799 </t>
  </si>
  <si>
    <t>Payment recd from Kshitij</t>
  </si>
  <si>
    <t>2_ABaOnudAMshbsKwBTtWkybgvJLsiT8JC-OmkC2E_kkiVIfLp5AFqsZY34hNLyP-utzzmm7k</t>
  </si>
  <si>
    <t xml:space="preserve">MAHBH22094637101 </t>
  </si>
  <si>
    <t>Payment recd from Venus Hero Venture</t>
  </si>
  <si>
    <t>2_ABaOnueIy95907CUV1ITVlZBXuaGeKAFTFU0p8H3Q24GBbZ1EmBSsP3cVZzwPeVHR2cuvaA</t>
  </si>
  <si>
    <t>Payment recd from Mahabir Automobiles -Sultanpur</t>
  </si>
  <si>
    <t>2_ABaOnue2B1k_sln_7K4sX69RMSN_K9r1EwQ8YJvzSeiSH7k8PRDALfR8lFGaA9WRNy0zlUE</t>
  </si>
  <si>
    <t>Payment recd from UPPER INDIA -DELHI</t>
  </si>
  <si>
    <t>2_ABaOnudDYE0fMMP6ktcUBqRtJ3Q4uje77nG3glRdd-MWqIWZ-UG7NCc1Oqta07rMnxKDRNM</t>
  </si>
  <si>
    <t>Payment recd from AAA</t>
  </si>
  <si>
    <t>2_ABaOnuf4jhlH25UvtviM9xyuEPKGYLmpyPIDhDn-PZTH4vkyzYuArFY667KMf0NpZuaNN9c</t>
  </si>
  <si>
    <t>Credit Entry Reverse.</t>
  </si>
  <si>
    <t>2_ABaOnufduoYHXP7mJ6nB-PF_5ih5g5UbGEQhBZwCa5V7FcFoxMNqNyfUczQyClxJ_DULGh8</t>
  </si>
  <si>
    <t xml:space="preserve">Payment recd from Nitin Kumar </t>
  </si>
  <si>
    <t>2_ABaOnuf9_qOXwb0cltdNolD_DKxAJzYfjDX6GpTfHIBfGOt-ghPbV-PeZHz45zgY6YNsWLA</t>
  </si>
  <si>
    <t>Payment Recd From Goel Motors</t>
  </si>
  <si>
    <t>2_ABaOnuclqEV2-Zvlkug8f_5myZbK73Rge7b3RmSpvF2_HZG7eHHSeFSrzdU2h-13wH4ElUc</t>
  </si>
  <si>
    <t xml:space="preserve">SBIN222095675620 </t>
  </si>
  <si>
    <t xml:space="preserve">Payment recd from Bal Mukund </t>
  </si>
  <si>
    <t>2_ABaOnud7sX5lQN0TrpFdxaFQdJk2gWA0u1er5zh1y4dEZbHuyBJDYJFCNjC8NDY4Blpvj_M</t>
  </si>
  <si>
    <t>2_ABaOnudraH_OiyT_Ln_aH9XZr2foBbYgg22xRFIHkj1IBlS7UQTdP9fC_Tq6Yhreyj2LDJY</t>
  </si>
  <si>
    <t>2_ABaOnudp3PoSfYGxcOyMhVvmKWKP5t0gzzBRR2TyAZ1-blUsfYyqWrsOkZsVQXDnDTo5ZkQ</t>
  </si>
  <si>
    <t>IDIBH22095221384</t>
  </si>
  <si>
    <t>Payment rec'd from kshitij</t>
  </si>
  <si>
    <t>2_ABaOnuddd7v7PyVi-Pc3fPkzlPp2tmQlPDY3kdm1EIoDeMu2SXIFuxAgU_bYq9_YZ23keRM</t>
  </si>
  <si>
    <t xml:space="preserve">Payment rec'd from Shree balaji bajaj </t>
  </si>
  <si>
    <t>2_ABaOnuehZAOVwp6uxX8XdVdg1A5czg7x0I9RfFAi5j5z6Z8cnELOtRU407c0wBO1jyF1cYw</t>
  </si>
  <si>
    <t>27004588051DC</t>
  </si>
  <si>
    <t>Payment rec'd from North Bihar</t>
  </si>
  <si>
    <t>2_ABaOnuc4MNuYeKd69nVNuVXkxztE-iDALRG3LPnPSNA6BolBonviwV7XNc5MDtN_bMvriVk</t>
  </si>
  <si>
    <t xml:space="preserve">27004588051DC </t>
  </si>
  <si>
    <t>NEFT Cr-ICIC0SF0002-NORTH BIHAR AGRO AGE-AEGISCOVENANT PRIVATE LIMITED-27004588051DC</t>
  </si>
  <si>
    <t>Pranav Chandra</t>
  </si>
  <si>
    <t>2_ABaOnufovqNVFwmmHCP6qA-xCW0Z4_meLXE-a7B1hMf-5yuErSWH9SkRaeMYIWoDyufoAW0</t>
  </si>
  <si>
    <t>Payment rec'd from Kshipra hero</t>
  </si>
  <si>
    <t>2_ABaOnucNBLMPn9MJkjN_16mpfBvteYZ-wKEnuoc-UONTfaTUTSk4hTPY8ordGxaAsOIJIuk</t>
  </si>
  <si>
    <t>2_ABaOnueunz1C6Vwm_5nRnBi3m9Yi71ygTP6MX69DRbpbl74UUthgaTIdjllOqDRNbqbcEz0</t>
  </si>
  <si>
    <t>SBIN322095074434</t>
  </si>
  <si>
    <t>Payment rec'd from kamal hero</t>
  </si>
  <si>
    <t>2_ABaOnucMWHHUGijuRse5aK-PJINTgXz5-XGqY1e38uZXFagZaKDrPencQ0qeqEgFVRpttv8</t>
  </si>
  <si>
    <t>2_ABaOnudEPZItmdqu2rkxRdtGmMTlUgZnaraILbBWf0gJ0lqzcxhpTfMWfhdqtscr5t_1VZA</t>
  </si>
  <si>
    <t>Advance Credit Entry</t>
  </si>
  <si>
    <t>2_ABaOnueOJ7agEYPoGMApcKuPKjI9Ud4iRPx5XLJa-mhdbvhYg24fgWKwcavJEvO78OAp6uI</t>
  </si>
  <si>
    <t>Payment rec'd from Stallionz</t>
  </si>
  <si>
    <t>2_ABaOnuecdkjSB4qxNjRqNQISeBSkvlDUDtA12hSjY4NTpFfzo2QqCxksu45kOq1dyu3X1y0</t>
  </si>
  <si>
    <t xml:space="preserve">PUNBH22095431970 </t>
  </si>
  <si>
    <t xml:space="preserve">Payment recd from Saanvi Motors </t>
  </si>
  <si>
    <t>2_ABaOnufdtJKp99PWTtn7jjM9JlcLHF_P-GO__FVrUq3-8re44gDZOjzRgaX_QJY7wu86aOg</t>
  </si>
  <si>
    <t>Payment recd from maharaja</t>
  </si>
  <si>
    <t>2_ABaOnufmpCkCippmwKCzSHYhH4PZYYj1cq2oAzqKyVTPiEChpyts9MBChrcTL6PDXaV4aek</t>
  </si>
  <si>
    <t xml:space="preserve">AXSK220950026635 </t>
  </si>
  <si>
    <t>Payment recd from Shri Durga motors</t>
  </si>
  <si>
    <t>2_ABaOnufk0mZLiS5gUIIAT5meRghktISlPDT8eyo-t1edLP675zJh9_zruWxvDqk6ESWBPkE</t>
  </si>
  <si>
    <t>Payment rec'd from NAKODA AUTOMOBILES- JHABUA</t>
  </si>
  <si>
    <t>2_ABaOnucvohr9P4xzYl6Lk7UtfH7b-juhzdpHmgP5ymciaSF5eK2ZpjaFIFFaQXcjIIiQ0uc</t>
  </si>
  <si>
    <t>Advance entry Reverse</t>
  </si>
  <si>
    <t>2_ABaOnud-Rz-mB3G8XiedQEv42mE_cKMbfvd1OXXAq7bY2Tfw_bb-rgt1DGFrKQisf1kW4PM</t>
  </si>
  <si>
    <t>P095220162412312</t>
  </si>
  <si>
    <t>Payment rec'd from Khagaria</t>
  </si>
  <si>
    <t>2_ABaOnud69snqku0fjVgmhcZd29GJjgDaTwuZ6Lzyh05bgvgBYfx8gfk4doJSC-6z7DZ0nf4</t>
  </si>
  <si>
    <t>2_ABaOnudXxNFqYJ-SQbLvnwSXOYCim7rMtWLod6xrrHw03VFmHKPl94QakC2hgyHzTwnW7Gg</t>
  </si>
  <si>
    <t>KKBKH22096936661</t>
  </si>
  <si>
    <t>Payment rec'd from Tanushka automobiles</t>
  </si>
  <si>
    <t>2_ABaOnufQU2hdbLd_ybidqXHcCavgKiJdRZ6RFexxOBjXw-SdqElzbxjmf4pZ49Nbuc3nJT0</t>
  </si>
  <si>
    <t>2_ABaOnucsiwCjwHHqzkpXksDeOzMFaKnT_WMoXDaZp5C6BaIsTGC_HlrseiPM-ppbyKmMN_g</t>
  </si>
  <si>
    <t>2_ABaOnueza52IrTyRaXLy1DfO-V4QHMfb95PLNrBtPRJMwU27_Rnt-V2UwxhZHEhPDtARZ0k</t>
  </si>
  <si>
    <t>2_ABaOnufv_OYZwsirwLSwQR595lLGT2aMSSfzRYSdqgWcYPrZao8OCsVgXv3LRWayWpqNyhY</t>
  </si>
  <si>
    <t>Payment rec'd from Nitin Kumar Matanhelia</t>
  </si>
  <si>
    <t>2_ABaOnucLZxIrnwPoOPUFSNphLEHjCCHVjxbEFHIsjftTTbAK_CpRfOo47P9SlrExKGsjbCw</t>
  </si>
  <si>
    <t>Payment Recd From Shraman</t>
  </si>
  <si>
    <t>2_ABaOnucJdojAuBrDpUJ_o9xxRoQJOvN4_GBOBrobw1nLkA8_PZi3VyJGOWZWWxxHHozTcaw</t>
  </si>
  <si>
    <t>Payment recd from Jai Automobiles</t>
  </si>
  <si>
    <t>2_ABaOnufTl324b4Dtz0xRCpDVmqu3u8QIKPl31pQ63-cy6NOvpdUURY1PhHhxsslGMwDKpAY</t>
  </si>
  <si>
    <t xml:space="preserve">SBIN422096847109 </t>
  </si>
  <si>
    <t>Payment recd from Anas Motors</t>
  </si>
  <si>
    <t>2_ABaOnudgcneVjKWDMfcFtYAE2Lj-q0PW5ZFGRx804O3cxH371hjamivpco50Zz6C4kDvFIg</t>
  </si>
  <si>
    <t>Advance Entry Reverse</t>
  </si>
  <si>
    <t>2_ABaOnuduGzbmPQ8kL1WBCKKs6oFhJq6RlhWXU-XNIpLfx1Lc4S3wOgiLtnp8p9jrKGXiLag</t>
  </si>
  <si>
    <t xml:space="preserve">SBIN522096084594 </t>
  </si>
  <si>
    <t>Payment recd from Begusarai Auto Agencies - Begusarai</t>
  </si>
  <si>
    <t>2_ABaOnufawJ5npK1V4iUTuWzfecv4wDeHQKyy1g33rXzw62NPZVBVupC8ppk6muNHzHj9Vps</t>
  </si>
  <si>
    <t xml:space="preserve">ICICR52022040600611410 </t>
  </si>
  <si>
    <t xml:space="preserve">Payment recd from Vanshadi Motors </t>
  </si>
  <si>
    <t>2_ABaOnue4Xs4QC0nHDATOaGr4wdwClTo16s5SSLjjNKeFu9YefC8Y-Xwe1lxlzoaeCvQHUNI</t>
  </si>
  <si>
    <t>Payment recd from Chandra Motors</t>
  </si>
  <si>
    <t>2_ABaOnudVEoqWIAVPIkYE82DGsH7ieQnrs95GlVqBIXNltmljXTi086-GhTo-UEu7TWjyp70</t>
  </si>
  <si>
    <t xml:space="preserve">IDIBH22096481809 </t>
  </si>
  <si>
    <t xml:space="preserve">Payment recd From Kshitij </t>
  </si>
  <si>
    <t>2_ABaOnufuAfborRsRJ6Np2Cjv9X4MwFhZxEmpQVtem0skAQsVP80LFU1YNg2qw1VrZvZiPV0</t>
  </si>
  <si>
    <t xml:space="preserve">Payment recd from Agarwal Hero </t>
  </si>
  <si>
    <t>2_ABaOnuew6xw2w12K4atN4kNoHsMylIj2tnv8zfysnUI89b2TKHUv2k-p6cP2S15phSoJxhU</t>
  </si>
  <si>
    <t>AXIC220973701354</t>
  </si>
  <si>
    <t>Payment rec'd from Barabanki</t>
  </si>
  <si>
    <t>2_ABaOnucDol7eCw-1QPG_hxkwUP-fLdYZKnbvGLFN_GrKp6U-U-ykq8zAZ_eS9vK2yiyX5DI</t>
  </si>
  <si>
    <t>27037403171DC</t>
  </si>
  <si>
    <t>Payment rec'd from Pal Enterprises</t>
  </si>
  <si>
    <t>2_ABaOnufvl6UDZu6TzfWktQRHk507g5bDhl0h5JcqaCXwWBOvVske7lpFi1kJUsqCNmkM3qk</t>
  </si>
  <si>
    <t>Advance credit reverse</t>
  </si>
  <si>
    <t>2_ABaOnuda-u9xpmR9T7k6GweWkcdrHdgoe_tYOQWsav38SdZ0531O_0bKglx219jxZyevnKc</t>
  </si>
  <si>
    <t>BARBZ22097456747</t>
  </si>
  <si>
    <t>Payment rec'd from Shri ram automobiles</t>
  </si>
  <si>
    <t>2_ABaOnue1Hvo80y4w2jRazSczY-FoQkPFG7v-sJcPgkSC9RhjTFLMHx6EAPh0Q0-YGbC6Doc</t>
  </si>
  <si>
    <t>BARBZ22097621610</t>
  </si>
  <si>
    <t>Payment rec'd from shri ram automobiles</t>
  </si>
  <si>
    <t>2_ABaOnudU3YaAXAx__5IWDRKbIP2EMQ32mhiNQTJ_vURQqTo3L6yMqErJf4YKkjzEej3Qeqo</t>
  </si>
  <si>
    <t>Payment recd From J.M Motors- Forbesganj</t>
  </si>
  <si>
    <t>2_ABaOnuey0uK1S_WU_BQ9AQl_dUk2rTqRu9YUj8hMgMVTtBwJYHVYBzua4pRaaoGh_crl_jY</t>
  </si>
  <si>
    <t>2_ABaOnucTpdas9qeFAnOw2ufjtqQisR1rcsJ4QEkHwCuluc-xRNCDZhMwrvLxLWUupbSgePc</t>
  </si>
  <si>
    <t xml:space="preserve">Payment rec'd from Atmaram </t>
  </si>
  <si>
    <t>2_ABaOnudKy_aBn-9l4mMTXO7_AJhLqHi3TkT6iuDhTOiGdkGWyZyqBYC6d8BN9hGBS0gFVK0</t>
  </si>
  <si>
    <t>INDBN08048015867</t>
  </si>
  <si>
    <t>Payment rec'd from Shivani Motors</t>
  </si>
  <si>
    <t>2_ABaOnuevsKIRIMIPuCGZmCHLzMIKEuDSCHP-b-8puRixR95e9VInlLwETxr8cgNolX3BYPk</t>
  </si>
  <si>
    <t>Payment rec'd from Brij Biwheelers</t>
  </si>
  <si>
    <t>2_ABaOnueP2nXbHRhtkYIp71mkJXro3SqzpH4EB9rKsEI3EIrMUso0jG5eDkp8348LqsZGAoE</t>
  </si>
  <si>
    <t>Payment rec'd from Begusarai</t>
  </si>
  <si>
    <t>2_ABaOnudq4KY7ECsNw9t4L21xRVlWX1TAMSuwmAx13iTByak3-WnXyNiV3Zb4TF81y4jvBpk</t>
  </si>
  <si>
    <t>payout paid extra for 2 policy (dilip kumar)</t>
  </si>
  <si>
    <t>Duplicate policy (2) issued - dilip kumar(V9817201) 24/02/2022</t>
  </si>
  <si>
    <t>2_ABaOnufHmR8AG6MUEYJOJGUuvz8jHb1YLh4n8Vre3Ge6E-4kJ2DZRinFNyW8DbafL6BTIIE</t>
  </si>
  <si>
    <t>Payout paid extra - adjusted (dixon daniel)</t>
  </si>
  <si>
    <t>Duplicate policy issued (2) - Dixon daniel (V9720551) on 07/02/2022</t>
  </si>
  <si>
    <t>2_ABaOnufDR2aTQc1qbYYZ61tzFBbQJppeUeL9UHAe_ab4AuH8KoCuFi1JfxzeU62tUo1-j9w</t>
  </si>
  <si>
    <t>Payout paid extra - adjusted (Md. Arfat)</t>
  </si>
  <si>
    <t>Duplicate policy issued (1) - Md Arfat (V9990869) dated 28/03/2022</t>
  </si>
  <si>
    <t>2_ABaOnufsKD1l2rmoq-FIj_iU4ksp8WXR0VbQyWywvM9fOEv6TWBjlPKHoM-kaLk2jg_ZJUo</t>
  </si>
  <si>
    <t>KKBKH22098771732</t>
  </si>
  <si>
    <t>Payment rec'd from tanushka</t>
  </si>
  <si>
    <t>2_ABaOnuctD08bkncx6IK0v9Ct8FpzzktlkKB_m2Dk9i_0yvQ5VGcLAsxcLmXG_P5qpH39lAI</t>
  </si>
  <si>
    <t xml:space="preserve">Virtual Credit </t>
  </si>
  <si>
    <t>2_ABaOnueVC7lw1mkwTSSbkMqOBeX1hvR_-fRpi4Iq6-l-vodFySnzr4aHj9h2eWeVddPOkBM</t>
  </si>
  <si>
    <t>SBIN322098556896</t>
  </si>
  <si>
    <t>Payment rec'd from Mahesh Motors</t>
  </si>
  <si>
    <t>2_ABaOnueC2fwr9UMnPwQTBL2pFyYMifNkjiKZaQ56sJmdjXP4Hr4vRjbtsLWK8TUO2ptsK2E</t>
  </si>
  <si>
    <t>Payment rec'd from Khurana</t>
  </si>
  <si>
    <t>2_ABaOnuegmZPMFjEmSTKUBV2gG4G4tHbiTHHAcCfhbuEisHkPDc7Tm9aMIlG3StaKh1CPXGw</t>
  </si>
  <si>
    <t>IDIBH22099445796</t>
  </si>
  <si>
    <t>Payment rec'd from Kshitij</t>
  </si>
  <si>
    <t>2_ABaOnue769p0LHnfBR1PiSUX88yvxlIW7atv_ZuSWodf0HLfqz6RGlMKpH-O5iYZO0M_xUY</t>
  </si>
  <si>
    <t>Payment rec'd from navya</t>
  </si>
  <si>
    <t>2_ABaOnuep0pJsYGrXZK4QwNp9cuR7o2ByFvR7HtoAF9ng91-OZ5hby4i0SDToVdx0rQWnA5U</t>
  </si>
  <si>
    <t>2_ABaOnueZpRGF_xtHQZQ3x04RtOVkx2kJfxR9dqqlPiQMdrNkVU9HI1jp00hCGhg1mkwsK0Q</t>
  </si>
  <si>
    <t>BARBR22101074144</t>
  </si>
  <si>
    <t>Payment rec'd from Shri ram</t>
  </si>
  <si>
    <t>2_ABaOnucWlWdUmC3vyuyYOms51LL97p7uXgplrlZ28RXdPdSgWR75SerBiJXVz2qLW_umIdM</t>
  </si>
  <si>
    <t>Payment rec'd from ANAS MOTORS- SUPAUL</t>
  </si>
  <si>
    <t>2_ABaOnudli8-qk5BDMH3nZml03qj1GAuOMlGiTQ8UzTbZsbvoOZiCg5JyxWE-QUzdb5yvq-c</t>
  </si>
  <si>
    <t>2_ABaOnuel12ZRegFGWji3I2kj2IaZYvesssP2NT6IPBXbE6m9DYensfdVFAJvnfiuc6NUEvA</t>
  </si>
  <si>
    <t>2_ABaOnueGTX_vkaH4gCH4fngDTAWXOP7Gw7uAZDSZ26pqgtseWNi0upr5CitxcziSTHcpz4s</t>
  </si>
  <si>
    <t>Payment rec'd from Vaishno Motors</t>
  </si>
  <si>
    <t>2_ABaOnud6jlOZisrknDi1OjCpgeBCYuQ5m2gS1mX3sbsqO6AWMTULIv2yLX0KM-1JZkP60xY</t>
  </si>
  <si>
    <t>Payment rec'd from Mahabir Automobiles -Sultanpur</t>
  </si>
  <si>
    <t>2_ABaOnucxYm5MxiId_WR1_U9-3GnPUpjZ8EGWBHurAlk3rkGhvI8NGfylBWzVDA91NMalAn0</t>
  </si>
  <si>
    <t>KKBK221015701958</t>
  </si>
  <si>
    <t>Payment rec'd from Yash automobiles</t>
  </si>
  <si>
    <t>2_ABaOnufQ-iGrFkPZpy1BzPyryawbDBF0UbVQfLu06Pk3vSvmd0ZAA4RXg5Wju0oJOs5fYoU</t>
  </si>
  <si>
    <t>AXIC221015403653</t>
  </si>
  <si>
    <t>2_ABaOnud7fAl6sbQNXeA7AmSfhxCcNXy7LnZiJb_iJ2O7StdGEazk7ZCfeEaK6Wtk3GlwXzI</t>
  </si>
  <si>
    <t>MAHBH22101505234</t>
  </si>
  <si>
    <t xml:space="preserve">Payment rec'd from Venus </t>
  </si>
  <si>
    <t>2_ABaOnud9l6OHORiAGtWtZhpWB8jCcNWqNqIHda3omw2pgHOyOo3nf7FT8B4itp03V0kE_MY</t>
  </si>
  <si>
    <t>2_ABaOnufWKDdO9z4XYny3NGXAzPiQfGeE3gIwow6QFZTZuhCyu9_Fbg8wrwb9LQzVNKYm7FQ</t>
  </si>
  <si>
    <t>Payment rec'd from Maharaja</t>
  </si>
  <si>
    <t>2_ABaOnuc1owQ6DcPCs6tZD11a9TGx-1OT6JSWX8d9CvbMNvUuxZMxX4I4ev5EYjlKT-EdxR0</t>
  </si>
  <si>
    <t>Payment Recd From Shree Balaji Bajaj Showroom(VT) - Raichur</t>
  </si>
  <si>
    <t>2_ABaOnufoO8DHBwM-PjP4FWdd_l0vMmwRnPjLlkNkgMfoItv20yFooEMwiInPg712RXR9Ur0</t>
  </si>
  <si>
    <t xml:space="preserve">IDIBH22101218074 </t>
  </si>
  <si>
    <t>Payment recd from Kshitij Auto Wheelers - Mirzapur</t>
  </si>
  <si>
    <t>2_ABaOnufOTixPjhPAVXShwn8VzqTDkp3geBcBqWEqlYvKSIJ1PRbu7uXMb25ZQyPM_O220V8</t>
  </si>
  <si>
    <t>Payment rec'd from Kshipra Hero</t>
  </si>
  <si>
    <t>2_ABaOnudGLIhIRmbraWKhPlhEggeDFoillmMibTRY_Uov5u1lIcFgQmvHYUTDMesUMRIFgmA</t>
  </si>
  <si>
    <t xml:space="preserve">P102220163945812 </t>
  </si>
  <si>
    <t>Payment red from Khagaria</t>
  </si>
  <si>
    <t>2_ABaOnufvN1-fKDtA3uJiGWVXD1-lp4Ite3pTjacSQLTwyguAQFiSaEhyWsEKgDdEyV48Fdg</t>
  </si>
  <si>
    <t xml:space="preserve">Payment recd from Twin City </t>
  </si>
  <si>
    <t>2_ABaOnueO0PYyO81Icztq9zb6-04MBp8h2W7YgoAZwsbXweuoLbSnQyv4oo66FSFRtLEs3K8</t>
  </si>
  <si>
    <t>Payment Recd From Kshitij Auto Wheelers - Mirzapur</t>
  </si>
  <si>
    <t>2_ABaOnufLaoksK6wYJlpd3-heGN2XqSBnPwcdIl1UfnmpPow2ehngd3Rrwr_pGQ_LSGQsGz4</t>
  </si>
  <si>
    <t xml:space="preserve">27114525191DC </t>
  </si>
  <si>
    <t>Payment Recd From PAL ENTERPRISE- VIDISHA</t>
  </si>
  <si>
    <t>2_ABaOnud7WkF_ZGFz7rkgQq3zHp0hALseN3qQIkJK8EAouljnLaP_sD3GubKkpQtt60phnCE</t>
  </si>
  <si>
    <t>Payment recd from Shraman Hero - GT Karnal Road</t>
  </si>
  <si>
    <t>2_ABaOnucaiq55awkKrlSN1JxGYLH48O6jj5k8ywiozwODbsU-hHzSgtobedfxa7zH7F8xlB8</t>
  </si>
  <si>
    <t>Adjustment entry - for claim</t>
  </si>
  <si>
    <t xml:space="preserve">Adjustment entry - Credit Rs 63000 </t>
  </si>
  <si>
    <t>2_ABaOnuf_AbQNmffK0woxLAZ-_grxt3Bp_pLvXI9vWPL6LHMaGIwdVkoEhAIsFkzyMxo_aos</t>
  </si>
  <si>
    <t>SBIN222103976742</t>
  </si>
  <si>
    <t>2_ABaOnucP9va_iyTKnAHCqxrAH8CJJnrLyH1cTOluBnsNtgJp_GulMV6WMz062GCDUVek1Ow</t>
  </si>
  <si>
    <t>INDBN13048713457</t>
  </si>
  <si>
    <t>Payment rec'd from shivani motors</t>
  </si>
  <si>
    <t>2_ABaOnue3AG2rlk1sh0sfAYeGmtnrJxfuBtMc1MVLZtWLNAzoWh7mS5nxtod3z3pbTbufiVY</t>
  </si>
  <si>
    <t>PUNBH22103013126</t>
  </si>
  <si>
    <t>Payment rec'd from jain motors cycle</t>
  </si>
  <si>
    <t>2_ABaOnuegCHXIJd8hHPwp9CwrjqOIhESJy_ret670jM6MaQdJL9pdmP0wu1pcw_yRQcl07gY</t>
  </si>
  <si>
    <t>Payment rec'd from Ana's Motors</t>
  </si>
  <si>
    <t>2_ABaOnudbA-vTMGQgDe69vdB0y-U4GxNrHSHFeHPe1feCmaS_n0cQBognOGRGOdmGIUNGj3Q</t>
  </si>
  <si>
    <t>2_ABaOnueS_b5DlA7-XSFB2oVYBi8o9LEJIB7nbqvx4VrPLOHKUr-zqTqkVV9kpWS432l29C8</t>
  </si>
  <si>
    <t>IDIBH22103455720</t>
  </si>
  <si>
    <t>2_ABaOnue1j0BQeHf-02TCwLEP7znFjzG1trir7R1VX2PS64g4sY8GqvnIAF9vZcxqSiClGEc</t>
  </si>
  <si>
    <t>AXIC221047053701</t>
  </si>
  <si>
    <t>2_ABaOnucVtRskE4VyqG20n_3k5Sa-X6k-7IC4vjxIRLUcnwYYSuRZEc9KO4IbJB1XK3381Nw</t>
  </si>
  <si>
    <t>Payment rec'd from J M MOTORS</t>
  </si>
  <si>
    <t>2_ABaOnufZSSjReHu73X5AD8Im52yVyFPA1ySMmMSIGzCEQZ77-39LfdZTgSbQyrq1TfkSADI</t>
  </si>
  <si>
    <t>2_ABaOnudBBhSCgQUhwiY9RJ3jeIHxZHz9I37VEaj1JKmPdxw8t4eLl3uGIu6jpqKh1zjVruQ</t>
  </si>
  <si>
    <t>2_ABaOnucWEe4F9fv39BN1XmgfEbQX162vZgSXftTxtUhfCocdy-rpvg3GkMKVWUKu1EpRQRA</t>
  </si>
  <si>
    <t>IDIBH22104108745</t>
  </si>
  <si>
    <t>2_ABaOnufY4s8FR0t20Heuk0J9BHIets7M4dulNdaglrL3aBLKd7rkPr2qorrkZz9VsF55e4g</t>
  </si>
  <si>
    <t>Payment rec'd from Tanushka Automobiles</t>
  </si>
  <si>
    <t>2_ABaOnueesAY1ceKjQLX66CUvpzhbh36mm948Hg7XoMxcfT0CY5ymwG-Ikg867O6-GUhrbpA</t>
  </si>
  <si>
    <t xml:space="preserve">Payment rec'd from Nitin Kumar </t>
  </si>
  <si>
    <t>2_ABaOnuf_86916OGYMzd-DbNKPpOOwLv8QGr8XXJIDzhjV-a-xG9JS9emgQMEgaD-9NBcWSs</t>
  </si>
  <si>
    <t>2_ABaOnuewFglO7w64JCq3J7M_4jhArZWkn8XkZUKywTcQzCObeYpeBfTLHH_j1PuIIdjmFBI</t>
  </si>
  <si>
    <t>2_ABaOnucXLUGOWUc60O2wma4pdH9dhXfIlit08wSobIKb138nclcF2Xh65Ute04c9K48fr34</t>
  </si>
  <si>
    <t xml:space="preserve">IDIBH22106153781 </t>
  </si>
  <si>
    <t>2_ABaOnucZm4tEiMwgZnI2jxHcV5jJf_Pb-53_-inkIUN9GeL8cURpe942-6MCxWPQT98B38g</t>
  </si>
  <si>
    <t xml:space="preserve">SBIN522106122833 </t>
  </si>
  <si>
    <t>Payment recd from Satkar honda</t>
  </si>
  <si>
    <t>2_ABaOnucxWCBR26zNyPwCf-41alAmqZSlRlUPSKBej9FjveKrJnrTL7BRVeTO4F-LvVPUPfs</t>
  </si>
  <si>
    <t>2_ABaOnud_8Ud0D0u9HIFmpnDXF3qimgK3OlPEnMCgFif-gAGrHeJH84_l0zyHjV7Mt_ZOBTk</t>
  </si>
  <si>
    <t>2_ABaOnudPoXKTa6WCHNWGahD2JCTegpbaws2C7Jw-P8RSDY7yNWrycK6a1nOY3ZVUSk8YoEs</t>
  </si>
  <si>
    <t>Payment rec'd from Anas Motors</t>
  </si>
  <si>
    <t>2_ABaOnueVzcaVZ_6lYH7IMXvYUpd3JQGYKwKxDvlUWPABSNn_g3hj8lPjScafhBuht-CXt9M</t>
  </si>
  <si>
    <t>Payment rec'd from Navya Motors</t>
  </si>
  <si>
    <t>2_ABaOnuf1UghJhDwJu0tbMydp_5a4iq6j-JBjTkUhfV0GpMLI8TrgpR2VQipAbX-k53gtaeY</t>
  </si>
  <si>
    <t>2_ABaOnuco2SdGn-yNEnJZH2baZoj2IwiWjoEW-VOBupj2ksyWgMVHi_3IyI1ynlAFZqX0ouE</t>
  </si>
  <si>
    <t>Payment recd from A.R.C.C- HERO(SMA)</t>
  </si>
  <si>
    <t>2_ABaOnuchHDdt-NukC-1M4mYv0ZH7oTxDB9VsT5Y2Xe1WcAW3h4hRFz1UEwyTRAaKRZTFl3A</t>
  </si>
  <si>
    <t>AXIC221088250999</t>
  </si>
  <si>
    <t>2_ABaOnud47rp2bCvb1vzB7doUSRF6h8rtyAzUp1u1sZDU2fpRWbkdOmHC0xIzfjFtQEUnf7I</t>
  </si>
  <si>
    <t>2_ABaOnueKumqtf_qSBsstV_vLoNrnBbwKVx2npa59zhiqTuNqI2kyXiu5sUaq2BNrfbtgQ8E</t>
  </si>
  <si>
    <t>27182317701DC</t>
  </si>
  <si>
    <t>2_ABaOnudUQSjQHhBBqiIjCAryxUbnEKHoKhqjxOUZ3KeRkLUt64Eglgk1OgiJ2EHmgqXulWg</t>
  </si>
  <si>
    <t>Payment rec'd from Metro Motors</t>
  </si>
  <si>
    <t>2_ABaOnudl9cZNsxx2dDtHdn_j1kPeUuCt9LdiHVQ9wq41_BT_1GTVJA-ns0tXu2tLHWBa9Tc</t>
  </si>
  <si>
    <t>2_ABaOnufg3yEy3uW_v8GI02ZTQ7QIi4mRw1ztKO_gA-V0qjaYChqdLIAM2h2uKVEM5BY71sw</t>
  </si>
  <si>
    <t>27187494431DC</t>
  </si>
  <si>
    <t>2_ABaOnufdHRPtkPQKKzx1VYdl6yyVRzoS2q2dx3L-oc0hsubqDebywVFjrxv-LrcbSxvJMWA</t>
  </si>
  <si>
    <t xml:space="preserve">KKBKH22109701603 </t>
  </si>
  <si>
    <t>Payment recd From Dhansri Motors</t>
  </si>
  <si>
    <t>2_ABaOnucKievzRksrwdYOnRiIDsFBiRqyMckUAnAkgxyg2iJtdvWH-97RzX_JGppHlvV4C2c</t>
  </si>
  <si>
    <t xml:space="preserve">AXMB221098657093 </t>
  </si>
  <si>
    <t>Payment recd from Gupta Automobiles - Padrauna</t>
  </si>
  <si>
    <t>2_ABaOnueqtCZXJ1YEf908JHTsSQpA7e2VCvfO3xaqKp1La2VDHlSSToF16QhpoVabOyXrVJM</t>
  </si>
  <si>
    <t>Payment rec'd from Asha Motors</t>
  </si>
  <si>
    <t>2_ABaOnud7C2sIRGCDPJCWNz5ywKP0BWkfIj8K5PvRJAmbi4veymlHky2pkCTDH8qOM3QK64I</t>
  </si>
  <si>
    <t>2_ABaOnufx98Lu4xvDJld4N9k6LeB-K8--BCAY0sdLmM1baXhbRGYrLLe1BH06_xwA6CQiZ6A</t>
  </si>
  <si>
    <t xml:space="preserve">BARBX22109734025 </t>
  </si>
  <si>
    <t>Payment recd from SHRI RAM AUTOMOBILES - HATPIPLIYA</t>
  </si>
  <si>
    <t>2_ABaOnudzVlbtlQ4sPk3ToCnKL5Cdp30DOkyNfHDS9PHARY8qd5RyYaaYOM-RpYobdQ6wZFI</t>
  </si>
  <si>
    <t>Payment recd from Jai Automobiles - Akbarpur</t>
  </si>
  <si>
    <t>2_ABaOnueSIMP5wIyyk0gvdPuCS-qA8XEaEjL55oBuBNva1Jb9NMTUocdZmuWuFAA0PPEqWjE</t>
  </si>
  <si>
    <t xml:space="preserve">Payment rec'd from Mahalaxmi </t>
  </si>
  <si>
    <t>2_ABaOnucmMbtnV1k8zhCBPsTlEqUmd_1Sxwg87YXhvRgmBz87XIkwmeI7JOWi5C-6ty5jZ0w</t>
  </si>
  <si>
    <t>2_ABaOnueQrml0zgFBWeT7hDKaaNHK5jAYsh5h4Cr1jzw2UIY_Yk8Bn4dB7nk9vHNKPyOYIAY</t>
  </si>
  <si>
    <t xml:space="preserve">SBIN322109541941 </t>
  </si>
  <si>
    <t>Payment recd from Mahabir Automobiles</t>
  </si>
  <si>
    <t>2_ABaOnudl78JS4y_BMPuzwlNWwOM4gQrXAXzzAcsynWUwDgtP8jLkO2rX1DQdxVNDbAJPZpQ</t>
  </si>
  <si>
    <t>virtual credit - as per gaurav</t>
  </si>
  <si>
    <t>2_ABaOnuepejYmlLuwrl5i3JDNre2O7MpfFV83gYoRCS7yqOmDwdPzIn5MSXis0QYY4ZEmZyI</t>
  </si>
  <si>
    <t>2_ABaOnucprQ_0LK8Qk9uS7-vJiDAil94YrD6abfbMbrYXnuVE3wmbAmWQvmBt5vioQofOkyM</t>
  </si>
  <si>
    <t>SBINR52022042079236912</t>
  </si>
  <si>
    <t>Payment rec'd from JKAK</t>
  </si>
  <si>
    <t>2_ABaOnufyjeH_AKhbCDRkvExWkSIwWiWko7spoENZ8SlfCC-Wk9JN2GrroMLa-O1WzHdya8s</t>
  </si>
  <si>
    <t>MAHBH22110383321</t>
  </si>
  <si>
    <t>Payment rec'd from Venus Auto Venture</t>
  </si>
  <si>
    <t>2_ABaOnucInybDaNrdKbvo3En379X8XrGsrrvUr72Eih5TYya2F64raktc9iCfONFFCipckP8</t>
  </si>
  <si>
    <t>Payment rec'd from Upper India</t>
  </si>
  <si>
    <t>2_ABaOnuf1VPGXt79hNqY_Wj9HONKvwsmv5AzCWPTt3pLFsdpFlHZnGjcwhgh3y-W3epIMCeI</t>
  </si>
  <si>
    <t>AXIC221109651168</t>
  </si>
  <si>
    <t>Payment Recd From Barabanki</t>
  </si>
  <si>
    <t>2_ABaOnucVYvMcGFOdH76JTAlcS15AnIvz9L-kF2i1CRJY6wa6m-vfMC6E0VBvdfhqy15yEqc</t>
  </si>
  <si>
    <t>Maharaja moto corp - march payout adjusted</t>
  </si>
  <si>
    <t>2_ABaOnuetPbWHpWMCZL7pwXMTOx1M2VHDIatNx90xjiovkMbcVrK3mJBEWZvUfkCP_F2yZwY</t>
  </si>
  <si>
    <t>2_ABaOnufYHJ9-w6nOkWdt1a55XE-MkBthqJLGPrID4KeUodqUcnh7FSwr39TW55VZ7813dGA</t>
  </si>
  <si>
    <t>IMPS-211017536625-M S ANAS MOTORS-SBIN-xxxxxxxxxxxxx7818-INETIMPSS0031469136</t>
  </si>
  <si>
    <t>2_ABaOnucFP58BPuWE1xQbbO9fAcor-S3yxHamy8zQ6gIgVNMq0YFMMyVOXP1Go5nipErCoas</t>
  </si>
  <si>
    <t>2_ABaOnudZVh2mNY6ugo06cj0JNtpJWbbe0hQMjHYNWsAb6JChhCxqIjAM25fJZESxO6So2u0</t>
  </si>
  <si>
    <t>NEFT Cr-SBIN0000084-KAMAL MOTORS-AEGISCOVENANT PRIVATE LIMITED-SBIN422110357396</t>
  </si>
  <si>
    <t>2_ABaOnufcJhe3ws-gFXX1WpLswZ3vOlrzXkwM2S-Uou3XGGk7NVzTPRKNEas2EZD7VA0Cfgk</t>
  </si>
  <si>
    <t>2_ABaOnufTQ9K9FijaX4J_fOfGa8NcoA2Cb6aTIKy7r6RoIz0pFbMA4SK0I4yDbnrKq1RmIlQ</t>
  </si>
  <si>
    <t>SBIN422110652518</t>
  </si>
  <si>
    <t>Payment Received from STALLIONZ TVS - AHMEDABAD</t>
  </si>
  <si>
    <t>2_ABaOnucxFvKYx2ho71Mr7H_oU2taxusxDnctGmVVRegF6TCktT6opqsPzY5aYbhuRQeJpnk</t>
  </si>
  <si>
    <t>Payment rec'd from J M Motors</t>
  </si>
  <si>
    <t>2_ABaOnudE1DHO4W8_njuXtkGuuGBzie748JPsd3ufLUNLQmXmDj8GRww5kyTv986VQXKps_0</t>
  </si>
  <si>
    <t>2_ABaOnud87BeU1Ub5B429P6sH4aZwgpUd3G8M8Mj5AI-dW8mqcANBraylas5btlD-jfymzks</t>
  </si>
  <si>
    <t>PUNBH22111333358</t>
  </si>
  <si>
    <t>Payment recd from Jain Motors cycle</t>
  </si>
  <si>
    <t>2_ABaOnuf7iOia6kns7h-PMwbOuZ1de2lYTMq1Lz1VGQ2BFmw9gucFgOGYPkU8GuG8MsHLcBM</t>
  </si>
  <si>
    <t>IDIBH22111296111</t>
  </si>
  <si>
    <t>2_ABaOnufnS5hOBVtCXXX4PI6d2m30k6Hve2v1Mggi19jpFsFuLtdsFnopnu09MtTdEOUVa0E</t>
  </si>
  <si>
    <t>Payment recd from Shree balaji bajaj</t>
  </si>
  <si>
    <t>2_ABaOnucdA5Ho8oHEe8Qwmu594lsMTKHKUJq92e--FtNGmetWc_Hf2oTiqS9qNFE-f9cSqvg</t>
  </si>
  <si>
    <t xml:space="preserve">IDIBH22112412703 </t>
  </si>
  <si>
    <t>Payment recd from Kshitij Auto Wheelers</t>
  </si>
  <si>
    <t>2_ABaOnueTh28KY3KW4DguWbmQ_wgP559boRfsiqivONcDBlunwr8_ond6JTVElF1Fb-Nowfg</t>
  </si>
  <si>
    <t>N113221157201617</t>
  </si>
  <si>
    <t>Payment rec'd from VTECH</t>
  </si>
  <si>
    <t>2_ABaOnuf2TkxlSf79dxm4x3jUY558qPGfoBNNNka2Q1vs5TbIqAQ3sPP88_hJ22IPRfzy64E</t>
  </si>
  <si>
    <t>Payment rec'd from Tanushka Hero</t>
  </si>
  <si>
    <t>2_ABaOnuewg_5hrg0xP7MuCUPadpJxYCzzh2a8HCUaPQcr7fiBDnqQudGQvwsnzBSandgLtGI</t>
  </si>
  <si>
    <t>SBIN222113492613</t>
  </si>
  <si>
    <t>Payment rec'd from Sttalionz</t>
  </si>
  <si>
    <t>2_ABaOnue1vGkrtB6_RG4Egf4_l_C-Sibtj_oQd9HeYP5DnbJnaZOiW0dw7HRTgM2yj_IOE-k</t>
  </si>
  <si>
    <t>Payment rec'd from Brij Biweheelers</t>
  </si>
  <si>
    <t>2_ABaOnuf-ood4lwVMbd_uF8t8GLQ27L3a49el0YA61lcISRjp6DbD3YObP7f-nIuWb9VtR7A</t>
  </si>
  <si>
    <t>Payment rec'd from Shraman hero</t>
  </si>
  <si>
    <t>2_ABaOnucxupy_hPLQC6u6mzvB_BCu5AsgQpgAqgr5CqPKUmh5EDhEf2LfkqMeaRjOAfPnJNA</t>
  </si>
  <si>
    <t>2_ABaOnudbFlQWuevClhnG--eDicNaw0vxORZ9AO5rIJZPM5mHxw1yATl-aNPFTx7eZT8hvLA</t>
  </si>
  <si>
    <t>2_ABaOnudj3pJfk9hZpNmyxEo8z16ABoU6QxsWcDWdOao1XP2xER-oGXdqzgNHSiJjYF_wWsM</t>
  </si>
  <si>
    <t>2_ABaOnucqmJDlAlELF3fI62LaZvGYsgrkk6qCOLeiAxwJOMdCEk1XncUkoanR3isvThMnFT8</t>
  </si>
  <si>
    <t>Payment recd from Navya Motors - Gorakhpur</t>
  </si>
  <si>
    <t>2_ABaOnudo32SfkST90N5zEvKHYkUyJkU8O_M-Zk656LtHcP-xSxf1jX_HsuVmSTMRicbiHAM</t>
  </si>
  <si>
    <t xml:space="preserve">INDBN25049976473 </t>
  </si>
  <si>
    <t>Payment Recd From Shivani Motors</t>
  </si>
  <si>
    <t>2_ABaOnuf5JD8cg91yzsVRigy8Nnyeb7JsAAtIY4zCKq66BgXIDwRv461_ffGB0l84_ooEl3w</t>
  </si>
  <si>
    <t xml:space="preserve">AXIC221151401912 </t>
  </si>
  <si>
    <t>Payment recd from Barabanki</t>
  </si>
  <si>
    <t>2_ABaOnueeKL-8cb5H2JECO4L1tpwC-GAb2aCCKfHk7LSNEKfrNjV3uxHJ2eQb90S2wO6FZqc</t>
  </si>
  <si>
    <t xml:space="preserve">IDIBH22115485947 </t>
  </si>
  <si>
    <t>2_ABaOnuee_p4Xv16FkxtY4PkYT6qSwFynj4NgKi6CurmNQ1ADVNQlRpHRY_kjftHFdztpiDg</t>
  </si>
  <si>
    <t>2_ABaOnudsWhD-JmFAIZZ2sXz7w15-YczR2R3yZNxXpCFRSQiWG7ZDQ46lkhbB_avbeGtjBCA</t>
  </si>
  <si>
    <t>P116220165885055</t>
  </si>
  <si>
    <t>2_ABaOnufIsqnGEBvwmPnzrtTpJMJXKCWd0j-h_rb6EfzpaH1_MlHV3HG-SfJ_4jfvl4-fy8A</t>
  </si>
  <si>
    <t>P116220165906899</t>
  </si>
  <si>
    <t xml:space="preserve">Payment rec'd from Bharat Auto </t>
  </si>
  <si>
    <t>2_ABaOnucXRFF34jvNdXo4hAWlKOu6i00IrNO6MLGDU3e8x7iCQN_7M_q9rZ8s0Y9s4jr7YCI</t>
  </si>
  <si>
    <t>P116220165959516</t>
  </si>
  <si>
    <t>Payment rec'd from Bharat auto</t>
  </si>
  <si>
    <t>2_ABaOnuey6YzyRxpsTrb_F71_8bQ-EV09-7e5pUm0QXBmiQ1asjw0IljqIqzk0Klj5pUUN-U</t>
  </si>
  <si>
    <t>IDIBH22116200982</t>
  </si>
  <si>
    <t>2_ABaOnufHXQTmCxKjusEJWDScQ2KoYKxzTjH6VtCKrAApLNwLmdC-BGH_6Cq7p1Rg44SgO3Q</t>
  </si>
  <si>
    <t>27301861581DC</t>
  </si>
  <si>
    <t>2_ABaOnucq4DADq2waMTWUlOQPZ-80BEe__CQ4ksiP86p2SWtNnoqnRvVCQWMxRrn9ekAjv9c</t>
  </si>
  <si>
    <t>27302451591DC</t>
  </si>
  <si>
    <t>2_ABaOnudh--XZ--KYW0aD8z_TwhyErJL1fwcOcOqXb3GZCAFkA_gEaOk34SM8WaVYBJwXm6c</t>
  </si>
  <si>
    <t>Payment rec'd from JM Motors</t>
  </si>
  <si>
    <t>2_ABaOnudxZypSetDKmLW2lrcENvBHQiN-4fXSPSUFA0wUOaj1Df8fhfixDbRz0dajobiHDYQ</t>
  </si>
  <si>
    <t>Payment rec'd from Brij BiWheelers</t>
  </si>
  <si>
    <t>2_ABaOnuciu8RRU4WSCV_SF2FVXfQvh7c-DR-PySK6IAOCGAAdfZG-446aT0R5N0bqarWLRTE</t>
  </si>
  <si>
    <t>2_ABaOnufZ_18qpmd0bunJhnP6V6D3_mk8wIxE1Hjoa8XSlixTrBUAFy7qvob-HDYm6V17oXc</t>
  </si>
  <si>
    <t>SBIN122117338881</t>
  </si>
  <si>
    <t>Payment rec'd from Mahabir hero sultanpur</t>
  </si>
  <si>
    <t>2_ABaOnuf3Zy02EaTy7s1v5iyoMduZWzsauWUXC6zASTG71OCS03Ur6ML_p75mzH_xfUlus24</t>
  </si>
  <si>
    <t>Payment rec'd From BHARAT HERO - ISLAMPUR</t>
  </si>
  <si>
    <t>2_ABaOnueiY3CTJbHSBMxy7mB4SZ-xWL5TWf87TiOf-X0Z_M93vDrPxHY5UjaXO2F3U0lVUmo</t>
  </si>
  <si>
    <t>IDIBH22117374876</t>
  </si>
  <si>
    <t>2_ABaOnuflbzsNDNGNI34dwInr39lZtKUKtwRjQXBrU-pxnT-JRRgjMc5Sr5xCk5OnWRJ3btc</t>
  </si>
  <si>
    <t>SBIN122117079229</t>
  </si>
  <si>
    <t>2_ABaOnucL2OShHELPz6v4empA1XxwokdK-3PTHA8vt-qzo61856dr-qbOl8BXr7KCU9Dg3VE</t>
  </si>
  <si>
    <t>AXIC221172538019</t>
  </si>
  <si>
    <t>2_ABaOnufyRI_Q7bzhI9OYO5axHjr80VId-DtWrjMYkTy-7hBEDGFvQav-SzQxn8Heco_torI</t>
  </si>
  <si>
    <t>MAHBH22117119653</t>
  </si>
  <si>
    <t>Payment rec'd from Venus auto Venture</t>
  </si>
  <si>
    <t>2_ABaOnufmaUHYoayK-q6dsHXbPe7pL1QP2HW5yY-WHrCD_dYuVcQEQnDRhY4OgwMfV3OO1cQ</t>
  </si>
  <si>
    <t>Virtual credit</t>
  </si>
  <si>
    <t>2_ABaOnufJUkDAptPT9T8aK0MNDQGwa3DR0hH6VyhnLZZgp5lVYyV_CDN2_C6jGcLMpEFFUrs</t>
  </si>
  <si>
    <t>Payment rec'd from AAA</t>
  </si>
  <si>
    <t>2_ABaOnuc8b9o6kVeBMbrKzEaDAhfo4etcu2Bmr0KQ_ObDLvU1NfJcVUF4OfzJJXRE4vB_tAU</t>
  </si>
  <si>
    <t>IDIBH22118462540</t>
  </si>
  <si>
    <t>2_ABaOnue6gHQ-KYiejP_3MKgkswq_jqloyAPi8fD86GK5qTFVR4pYEJzXxrU3UjW9bDocJpw</t>
  </si>
  <si>
    <t>SBIN222118123503</t>
  </si>
  <si>
    <t>Payment rec'd from Sumitra Sons - Shahajahanpur</t>
  </si>
  <si>
    <t>2_ABaOnucbvwN-SFdnTnkohfJmM8u0phsNiMzGAgdGujFvvuSpYw-euJ_6s1aeqDRU3qVbarg</t>
  </si>
  <si>
    <t>2_ABaOnuflxHWZUZRQeEDuhtF7hYP9sY3fa9nGtsMrbf8PPJK_xqWj5EmshZQliyag7_9twkw</t>
  </si>
  <si>
    <t>KKBKH22119702568</t>
  </si>
  <si>
    <t>2_ABaOnuc8xqQ_JQiOFDcjXQCRrN_jpAN_HzchJhDDxUZjqjMLzb6kB7QuLLUTn3tyAgLBUMU</t>
  </si>
  <si>
    <t>2_ABaOnuefKiBtv4oX0dBN4RV-fEbiFZTUUDuGV9jvizPJPUu98CEteoDFps8P4xPW16O_MWk</t>
  </si>
  <si>
    <t>BKIDY22119947216</t>
  </si>
  <si>
    <t>Payment rec'd from Vikas Autowheels</t>
  </si>
  <si>
    <t>2_ABaOnufO9dCE3udb3-Qdchnw2bMu9BOhX3UO9jf1T3i5a1Dtvh-EOiNHOCoC89AEBI1Mhn8</t>
  </si>
  <si>
    <t>N119221171510777</t>
  </si>
  <si>
    <t>Payment rec'd from VTech TVS</t>
  </si>
  <si>
    <t>2_ABaOnuegah0E7nYk6VoYRV5Nd6waTnW0EddhIg3M1XeXMgxWXnujQhkFLoaXQLufOp_qmQg</t>
  </si>
  <si>
    <t>BARBV22119942853</t>
  </si>
  <si>
    <t>Payment rec'd from SHRI RAM AUTOMOBILES - HATPIPLIYA</t>
  </si>
  <si>
    <t>2_ABaOnufaZYTaWesgdOaFpDDcdQ1HmQy2_nKwePFC0ERwmQ1L879CEnoYVYSrmN0C3JDpm_0</t>
  </si>
  <si>
    <t>Payment rec'd from kshipra hero ujjain</t>
  </si>
  <si>
    <t>2_ABaOnufpexWVJISjurtBfWHIQtIuyRhfDlDGUZaI3PrXdohdrP1TFuVNW_hglgiYsXQHLnI</t>
  </si>
  <si>
    <t>SBIN122121626308</t>
  </si>
  <si>
    <t>Payment rec'd from ZUMMERWALA TVS- VADODRA</t>
  </si>
  <si>
    <t>2_ABaOnuejqIiMxMIgSgUeQk1_Af4lPc70PzjP-CTdbcv1Y2cH5EkAGkWM4m9Os_P54JB3ti0</t>
  </si>
  <si>
    <t>Payment rec'd from Sushil automobiles - Basti</t>
  </si>
  <si>
    <t>2_ABaOnuf-bdkxPHYeNCdSWSJslkaY0yeMAvV7KMXhmckZsk2JDL_lfjTpFsgCVp2mO6m9UTc</t>
  </si>
  <si>
    <t>Payment rec'd from Sushil Basti</t>
  </si>
  <si>
    <t>2_ABaOnueHj4ng8V6Zmj0Q60KVt-sK5rHo2EyBRttSbfR0hSphMPEZvoXS06s3ME05c8onnhc</t>
  </si>
  <si>
    <t>IDIBH22121360698</t>
  </si>
  <si>
    <t>2_ABaOnucV8uIZe7_ZIFBTUu3kH8aOEe3tc6IyWJbUerx3Q7Jp8uQHQ-XtVLb7QPNvMe_nAE4</t>
  </si>
  <si>
    <t>2_ABaOnuf3zz1B14BFzw0XBo7drzZ6onOy-05DaZoQVnN-K-odYlvVABsTBaHPN3iVXOeTAiM</t>
  </si>
  <si>
    <t>AXIC221204379603</t>
  </si>
  <si>
    <t>2_ABaOnucyvsQ2xefghbIv4QkP2kVu_aipMd1DGRDbEhn6DvqKJ3KvoswKvCd2yeX2Den9hzI</t>
  </si>
  <si>
    <t>2_ABaOnucDBqNjdMjmbLzoNmrEyODeerR5fz-M9CG976r6p5_dvmBH7WIrceB3uoyN-R49a5w</t>
  </si>
  <si>
    <t>AXMB221224824361</t>
  </si>
  <si>
    <t>Payment rec'd from Gupta Hero Padrauna</t>
  </si>
  <si>
    <t>2_ABaOnucUnivJYGIHtedpbIEQlClpDnruTTzx8-7c16OwcefCFT_Ec9gKEEbQTR-enlHlgfM</t>
  </si>
  <si>
    <t>2_ABaOnuf2ZG8iQiuqbPQeZeDEoi4Xsx003FtFABii0pR-rVC4UGCl0X3pkk5mfaVceSvftV8</t>
  </si>
  <si>
    <t>AXIC221224924382</t>
  </si>
  <si>
    <t>2_ABaOnueOGEoIwC3XVZGW9bYsLgVV-K4yddxXplEoyH9bLvA228ArCGlOjr-f_iAZh0Lvey8</t>
  </si>
  <si>
    <t>Payment rec'd from BHARAT HERO - ISLAMPUR</t>
  </si>
  <si>
    <t>2_ABaOnucYQJGBHWW1fRNTNDKLQBQ9t21Pwu0rSCTkWrC8aqrS4mYiAAXGa5lhx5QhzQ6EaZc</t>
  </si>
  <si>
    <t>SBIN222122403061</t>
  </si>
  <si>
    <t>Payment rec'd from Satkar Honda</t>
  </si>
  <si>
    <t>2_ABaOnufqONDX6ljomWsZN9Q7hTWbK79nlAesRKTtK2NV49lezTqkUU5VO9SaJ0LQsrCpvAQ</t>
  </si>
  <si>
    <t>2_ABaOnue8DubS0KJCn-H3h0iScjumJTmv0wNHmF3qvkVhELYQTounhc2eacGbV0A_ukSfcgY</t>
  </si>
  <si>
    <t>Adjustment due to change in base cost to Rs 150/-</t>
  </si>
  <si>
    <t>2_ABaOnudxjl47y7U6J5EbCERTnMJQRAhjE-lC8BC7UzkRd8wTlNNkyfnRXm-i1E9XJn_CsXo</t>
  </si>
  <si>
    <t>2_ABaOnufBXZaMAkKoQgpiG_eTQJqBY_jwt2i11odDbasmF30wUp0Gsfyh7s1M6N0Bt04g0SM</t>
  </si>
  <si>
    <t>SBIN322123244876</t>
  </si>
  <si>
    <t>Payment rec'd from Mahesh Motors Dinajpur</t>
  </si>
  <si>
    <t>2_ABaOnufSs6H84Eci9xGO_bPZDNwbJyuKKTuijoIfd9-vl9KMHn6lu2JwoG-TRrWxYptGwkI</t>
  </si>
  <si>
    <t xml:space="preserve">SBIN322123268164 </t>
  </si>
  <si>
    <t>Payment recd from Stallionz</t>
  </si>
  <si>
    <t>2_ABaOnudmmp0WAMqn-tqXt-E203LhIRJTrq_XDd_n62SrGqAumnyJUnMVG3dQn4gEhkO2pjE</t>
  </si>
  <si>
    <t>27405049331DC</t>
  </si>
  <si>
    <t>Payment rec'd from Nakoda</t>
  </si>
  <si>
    <t>2_ABaOnucpIRfHWKCB04BxiZ5VKwmD-j0Wjjolcpl8Un8AyaggS27qqlxOeddHUCj-zpOEaI8</t>
  </si>
  <si>
    <t>as per invoice no 22-23/17 dated 02/05/22</t>
  </si>
  <si>
    <t>Adjustment credit to dealer - for payout</t>
  </si>
  <si>
    <t>2_ABaOnudZmh6qCqw32Z_N2AZLM2PXOKLvcJKG7-GAaDIqoP7v9PrN8K9TcVGF23_NnDvjMsc</t>
  </si>
  <si>
    <t>2_ABaOnufZBp3CVpajnF7jfd7V7Ud-EghsR9gTlmFkpm8R0XcKmlQwnjW2QYrdmeRqE-k14U0</t>
  </si>
  <si>
    <t>Pay.ent rec'd from Navya Motors</t>
  </si>
  <si>
    <t>2_ABaOnudyqJk8XXGmk4M0M5yMB-0zrcfTVXkz-88495WUCYt6kk2C-tvgTF4nZo-BsTyoDW0</t>
  </si>
  <si>
    <t>SBIN422124086562</t>
  </si>
  <si>
    <t>Payment rec'd from Sumitra Sons</t>
  </si>
  <si>
    <t>2_ABaOnudgKC5mzA0LFCX3d3vzb9QhmalS3DV3u7rWMLkC4fLumICzYOLChjWz86fU5zkA18M</t>
  </si>
  <si>
    <t>Payment rec'd from Jai Automobiles</t>
  </si>
  <si>
    <t>2_ABaOnuc2tFXoLLLbb4wLQaxBRhCfQTGhxIqpisSQzcqpSXhba2_EFGHcTZeOqAtkPwlURDU</t>
  </si>
  <si>
    <t xml:space="preserve">SBIN322124989482 </t>
  </si>
  <si>
    <t>Payment recd from Gupta Hero</t>
  </si>
  <si>
    <t>2_ABaOnuciitfIC-PWJ7_gh2P0HfgBE_2bDONfFhxb67FUwZfDGCdBgWNGlx3hl_FPD8iiaiw</t>
  </si>
  <si>
    <t xml:space="preserve">IDIBH22124229921 </t>
  </si>
  <si>
    <t>2_ABaOnuckQQD5ECNGvbfwKDRF41bLVj8S_JHITC467h-ursxDYPt5HljyDhze0ULNzS-FF00</t>
  </si>
  <si>
    <t>2_ABaOnue1l7cuc68bsR7jwn12EF9yZn-Zsi5D9W5YeBX25cOg1aw6x1Xxy2Tg2HMKedzN3KM</t>
  </si>
  <si>
    <t>2_ABaOnueNRle6iELhvcdrTAdg20dpieBRwrihifL4fyFmLRcROEZxyP3LrlvwSQXhJToFh3c</t>
  </si>
  <si>
    <t>2_ABaOnufwUf45pLogQbu82WBGJsU3Z4Jq2udr__gr06vx-AJE2AvrBxTsiRnRzdjKPsYyoAs</t>
  </si>
  <si>
    <t>Payment rec'd from Shraman</t>
  </si>
  <si>
    <t>2_ABaOnudU3ms85O6q1xbIA0NAQjaURkqY92X0-D9tGSmIfsVmmqdIwrnLFQeuyJvGBTQriS4</t>
  </si>
  <si>
    <t>2_ABaOnueX4KLUpXen4Ore07KVjraoLOFeD6bQKb0QxUv77g_vlX-0PSrFp5_pm66w1LzYNT4</t>
  </si>
  <si>
    <t>Payment rec'd from Sansaar Honda</t>
  </si>
  <si>
    <t>2_ABaOnucgFYoqYcIPHJYyBSH93OSlPPW_CUoqOOYRQfaPh-2sBby8osB_0H6qGmBlgCPhZAQ</t>
  </si>
  <si>
    <t>Payment rec'd from Atmaram HERO</t>
  </si>
  <si>
    <t>2_ABaOnuem8GEFLEoOZwXj-fdM6B-hUTPUJcLByJy9nSh2kNe1uQKZQE0zNqEgjtp9EtLHiAw</t>
  </si>
  <si>
    <t>2_ABaOnudujNLCtwxR4mNS_9Qf-DYhDZrOD4FmR3TiDu_JNcga4Ky9KlW4qOZwnK5LWTT4NUo</t>
  </si>
  <si>
    <t>2_ABaOnuekY06-zcrBF1cFUT2yLHhdAx_STSBqMrG7PerbYc6-JcrIFUXmJVkz_ayAYrUElbk</t>
  </si>
  <si>
    <t>Payment rec'd from ETGO MOTORS</t>
  </si>
  <si>
    <t>2_ABaOnueUTdNXVHCxvssZmEH6cuevqe7hum5z0gMEHh-MonMkAPrU5Vj_9PEvp1BBMy8yG2g</t>
  </si>
  <si>
    <t>P125220167684418</t>
  </si>
  <si>
    <t>Payment rec'd from Bharat Auto Kasganj</t>
  </si>
  <si>
    <t>2_ABaOnudhNG5trcd5GytQn-30hzp_t0UWCYMYqa2EjZ3WRSdzGIqW22CVjpAx6zaWtDiNBXA</t>
  </si>
  <si>
    <t>INDBN06051754953</t>
  </si>
  <si>
    <t>2_ABaOnueWMSrELWb5e0fGyUHTnv-RkGq0LmrMOklxEqb0bSa3oMqHXwI3JPz4u-RuqJxAdNQ</t>
  </si>
  <si>
    <t>BARBR22126026165</t>
  </si>
  <si>
    <t>Payment rec'd from Brij Biwhellers</t>
  </si>
  <si>
    <t>2_ABaOnuc2YTjKuL0ha4XcGSzQvNrDfXPVdACn8e9OSTK5ar63YgvgSKeeNsxhzZ_zeiiMZm4</t>
  </si>
  <si>
    <t>Payment rec'd from Shree Balaji Bajaj</t>
  </si>
  <si>
    <t>2_ABaOnucZi-aOYqzMhOiXNQW1v3i6YvBIRJonYN3-y9KFUtFboHxsbIWHod_7f5IVnwZvh40</t>
  </si>
  <si>
    <t xml:space="preserve">PUNBH22126678464 </t>
  </si>
  <si>
    <t>Payment recd from SHREE SAI AUTOMOBILE</t>
  </si>
  <si>
    <t>2_ABaOnuePIuXmxcZbbxV2HcZSBo1vFb_GgSCKVPT77AAifiRC6Vm-9UQxrnoVlHhMZ_xc3Zs</t>
  </si>
  <si>
    <t xml:space="preserve">PUNBH22126677207 </t>
  </si>
  <si>
    <t>Payment recd from Shri Balaji Hero - Muzaffarnagar</t>
  </si>
  <si>
    <t>2_ABaOnueqQDASzLBmOB3bVuf1qic5eCOTlSH-HbII7SG_KT3xI1kYI6P-n0eBoeEnLWCcbBg</t>
  </si>
  <si>
    <t>SBIN222127577363</t>
  </si>
  <si>
    <t>2_ABaOnufy8maX-xuHZXXxHKgU-AIjO9OrBo3NMb19E5mmK0XRXolFli7TBDrz59BrAcufKDs</t>
  </si>
  <si>
    <t>27463795551DC</t>
  </si>
  <si>
    <t>2_ABaOnufVf5dZNV4cQjO1FeADGIDS4DoUwo6Lp0M-K7I5tDNOAIghSqnccX7_SJTek1cllwM</t>
  </si>
  <si>
    <t>2_ABaOnuctkEmEmte2oI1lmcxdFUUXONPP0KKfp_gmQbcxUKUwf_cXUbf6uPH_jFP1sqNy6QI</t>
  </si>
  <si>
    <t>2_ABaOnufK4umD2byn9PMT4qNhyaHosHdlWv_UOtof5lLQCsl78cS5AlQY_mAhAZhAIvDzn8Q</t>
  </si>
  <si>
    <t>2_ABaOnueTZeQPVsNRcgdDYp7SIytI5M93u11vOE4DA-QRi0n9PKQA-DIsEHQ5TPNfrLeyCD4</t>
  </si>
  <si>
    <t>2_ABaOnuct7BCiT25x5Ozt1YThjDout9mdYLEWVZE7XLD1Y-bwetGk-_bo094qLB04A1mkG4U</t>
  </si>
  <si>
    <t>Paymet Recd From UPPER INDIA -DELHI</t>
  </si>
  <si>
    <t>2_ABaOnuf4E-994QFKtKrLf4J7sZWSFSKhzUQ4OZ6bi3inkSUcsXYMImW9NWLiwzBjq00vpTM</t>
  </si>
  <si>
    <t>Payment recd from Goel Motors - Lucknow</t>
  </si>
  <si>
    <t>2_ABaOnucR_aU5UMbpSHE9ncLkRy6UuRjZMzmnRrYSRFqceek_MLaM6CNUNoAbdRrBJcFcxiU</t>
  </si>
  <si>
    <t>Payment recd from Modern Auto Agency</t>
  </si>
  <si>
    <t>2_ABaOnufjKevSj94Mkdby-MQPZIvtV-5J6HUmkaan-3GNEA-JhuRsiv0InJ-WT9sIMJbhMNo</t>
  </si>
  <si>
    <t>Payment recd from Asha Motors Kannauj</t>
  </si>
  <si>
    <t>2_ABaOnue80YAekxH8-z-E72E9SEUz29UM47RJ62QJkt9LGPIgQ1fGzxgwL1zNoPnzx-TWSSs</t>
  </si>
  <si>
    <t xml:space="preserve">SBIN322129887370 </t>
  </si>
  <si>
    <t>Payment recd from Krishna Hero - Bulandshahr</t>
  </si>
  <si>
    <t>2_ABaOnuezSK1wkSCB-Lz0MlCVLrwYOHTE5GnbrgP40fgC734rfDKqzkPWpFKfjAhN9GRCOwg</t>
  </si>
  <si>
    <t xml:space="preserve">PUNBH22129421038 </t>
  </si>
  <si>
    <t>Payment recd from jain Motorcycle</t>
  </si>
  <si>
    <t>2_ABaOnudB28gm8xiDPU-OfTe51OQKiJc8xqzqyrV-v8q7lT1r6eAm-v1z8K11INXjr0Zo43c</t>
  </si>
  <si>
    <t>2_ABaOnufMJGasVOTO3cWcFvHJf3fTsxRmzhf6z8z30wssq1zSQ3XTDPBSBuGnRX2UDm4zp0A</t>
  </si>
  <si>
    <t>Payment rec'd from Twin City</t>
  </si>
  <si>
    <t>2_ABaOnuckGEptnPYjNcuY5fmqXkFbTE7uOpD8t5OWi94tXe898JQWnYEB5aiMhN2GNktyK5U</t>
  </si>
  <si>
    <t>2_ABaOnufJmdb_TtqR14THorsSTBbCXNdUbdQHrLTq0nwd_TmRhL64qJWgceuHXuYHzBBR4aM</t>
  </si>
  <si>
    <t>KKBKH22129959053</t>
  </si>
  <si>
    <t xml:space="preserve">Payment rec'd from Dhansri </t>
  </si>
  <si>
    <t>2_ABaOnuf3QKIUuEyP5RW0-xXg4zrc9AULlmyHPjq1ZelHemN-cdSTO9hf8EjM2dM7ZkLPMH0</t>
  </si>
  <si>
    <t>Payment recd from Nitin Kumar Matanhelia</t>
  </si>
  <si>
    <t>2_ABaOnucL9xMYyaw0vFrMfj7_7hZ6sTkpQhttxHe0EE9A1nKy3YRdqrFjCdBr7o_uxEcJxwQ</t>
  </si>
  <si>
    <t xml:space="preserve">Payment recd from Maharaja </t>
  </si>
  <si>
    <t>2_ABaOnudQOCPvAXNFiCVHNv-IkcBkfEyWCjHfqUNeRqQAdwH8PWOvffIF-wCjN_gLN0An5r8</t>
  </si>
  <si>
    <t>27506923531DC</t>
  </si>
  <si>
    <t>2_ABaOnueYLsOtpEmR3haFIoYT2NmtHmEu5zkuWpenLyx5yUz9QB5js7VsCFEQb52A2EdJoac</t>
  </si>
  <si>
    <t>Payment rec'd from Khurana Motors</t>
  </si>
  <si>
    <t>2_ABaOnud-kXsUuy8DOrTeFpUOdJWWuh5sqcDCSjvBbQySoB0YQ4bEWY4L5ZXv_p-4quFioKg</t>
  </si>
  <si>
    <t xml:space="preserve">AXIC221309269237 </t>
  </si>
  <si>
    <t>Payment recd from Barabanki Motors</t>
  </si>
  <si>
    <t>2_ABaOnuf782qFnzixSotzNlasW0tsa6voGJy7elE94MPz5NvshpXMqf46Onz_-mZmbba-t7w</t>
  </si>
  <si>
    <t>Payment rec'd from Mahabir Automobiles</t>
  </si>
  <si>
    <t>2_ABaOnueM2mNuaSjxGHpJQlS-_n-bCQxvKcZ1gAoGOBpTy_jYa_mWu116544CwilGhgoD-qA</t>
  </si>
  <si>
    <t xml:space="preserve">Payment rec'd from Titan </t>
  </si>
  <si>
    <t>2_ABaOnucuTcugZa8iGDALSZufY-caZJdDQN4NwUsuHp1IsA91V2QdHriWGCeb1NGoaYCcWMk</t>
  </si>
  <si>
    <t>AXMB221319626243</t>
  </si>
  <si>
    <t>Payment rec'd from Gupta Padrauna</t>
  </si>
  <si>
    <t>2_ABaOnueEfyEZExyWPtNFrjyJ_PKTcDScHNDZdmZssWnJTsvEIzoIeZW9_ugltdPd5NufV5w</t>
  </si>
  <si>
    <t>2_ABaOnudgpYdcfWFAGJR9SwSqXI4-KWleX6hcZx-WQ90McgZycxRFUYFmY4gltPusm-7T_qE</t>
  </si>
  <si>
    <t>SBIN122131466612</t>
  </si>
  <si>
    <t>Payment rec'd from Sumitra sons</t>
  </si>
  <si>
    <t>2_ABaOnucQ0PLBKi0L4kvR_hhwSBMHC1kb0idO4isfAopHERQw5CIRExWNavB4LCzmr6uRHug</t>
  </si>
  <si>
    <t>2_ABaOnucYPiZcVl1e-lokuhsplAWDFJwZOuwK0CEGnUw1X-XVkJY0ud4ibRdhvSKO5Pnxw9Y</t>
  </si>
  <si>
    <t>IDIBH22131204566</t>
  </si>
  <si>
    <t xml:space="preserve">Payment rec'd from Kshitij </t>
  </si>
  <si>
    <t>2_ABaOnufdr99DZETaITvArIATy2GI7uVhgkTATgu4eNckZBHlw5VeI-Bzl53Ygw_ihPnfluU</t>
  </si>
  <si>
    <t xml:space="preserve">MAHBH22131458135 </t>
  </si>
  <si>
    <t>Payment recd from Venus Hero Venture - Firozabad</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</si>
</sst>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m/dd/yyyy h:mm"/>
    <numFmt numFmtId="165" formatCode="m/d/yyyy h:mm"/>
    <numFmt numFmtId="166" formatCode="yyyy-mm-dd"/>
    <numFmt numFmtId="167" formatCode="yyyy-mm-dd h:mm:ss"/>
  </numFmts>
  <fonts count="14">
    <font>
      <sz val="10.0"/>
      <color rgb="FF000000"/>
      <name val="Arial"/>
      <scheme val="minor"/>
    </font>
    <font>
      <color rgb="FFFFFFFF"/>
      <name val="Arial"/>
    </font>
    <font>
      <color theme="1"/>
      <name val="Arial"/>
    </font>
    <font>
      <u/>
      <color rgb="FF1155CC"/>
      <name val="Arial"/>
    </font>
    <font>
      <u/>
      <color rgb="FF0000FF"/>
      <name val="Arial"/>
    </font>
    <font>
      <color rgb="FF000000"/>
      <name val="Arial"/>
    </font>
    <font>
      <u/>
      <color rgb="FF1155CC"/>
      <name val="Arial"/>
    </font>
    <font>
      <u/>
      <color rgb="FF1155CC"/>
      <name val="Arial"/>
    </font>
    <font>
      <u/>
      <color rgb="FF0000FF"/>
      <name val="Arial"/>
    </font>
    <font>
      <u/>
      <color rgb="FF1155CC"/>
      <name val="Arial"/>
    </font>
    <font>
      <sz val="10.0"/>
      <color rgb="FF000000"/>
      <name val="Arial"/>
    </font>
    <font>
      <color theme="1"/>
      <name val="Arial"/>
      <scheme val="minor"/>
    </font>
    <font>
      <color rgb="FF222222"/>
      <name val="Arial"/>
    </font>
    <font>
      <color rgb="FFFFFFFF"/>
      <name val="Arial"/>
      <scheme val="minor"/>
    </font>
  </fonts>
  <fills count="7">
    <fill>
      <patternFill patternType="none"/>
    </fill>
    <fill>
      <patternFill patternType="lightGray"/>
    </fill>
    <fill>
      <patternFill patternType="solid">
        <fgColor rgb="FF6AA84F"/>
        <bgColor rgb="FF6AA84F"/>
      </patternFill>
    </fill>
    <fill>
      <patternFill patternType="solid">
        <fgColor rgb="FFFFFFFF"/>
        <bgColor rgb="FFFFFFFF"/>
      </patternFill>
    </fill>
    <fill>
      <patternFill patternType="solid">
        <fgColor rgb="FFCFE2F3"/>
        <bgColor rgb="FFCFE2F3"/>
      </patternFill>
    </fill>
    <fill>
      <patternFill patternType="solid">
        <fgColor rgb="FFFFFF8B"/>
        <bgColor rgb="FFFFFF8B"/>
      </patternFill>
    </fill>
    <fill>
      <patternFill patternType="solid">
        <fgColor rgb="FFEAD1DC"/>
        <bgColor rgb="FFEAD1DC"/>
      </patternFill>
    </fill>
  </fills>
  <borders count="1">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Alignment="1" applyFont="1">
      <alignment horizontal="lef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2" numFmtId="0" xfId="0" applyAlignment="1" applyFont="1">
      <alignment horizontal="left" readingOrder="0" shrinkToFit="0" wrapText="0"/>
    </xf>
    <xf borderId="0" fillId="0" fontId="2" numFmtId="0" xfId="0" applyFont="1"/>
    <xf borderId="0" fillId="0" fontId="5" numFmtId="0" xfId="0" applyAlignment="1" applyFont="1">
      <alignment readingOrder="0" shrinkToFit="0" vertical="top" wrapText="0"/>
    </xf>
    <xf borderId="0" fillId="0" fontId="6" numFmtId="0" xfId="0" applyAlignment="1" applyFont="1">
      <alignment readingOrder="0" shrinkToFit="0" vertical="top" wrapText="0"/>
    </xf>
    <xf borderId="0" fillId="3" fontId="2" numFmtId="0" xfId="0" applyAlignment="1" applyFill="1" applyFont="1">
      <alignment readingOrder="0"/>
    </xf>
    <xf borderId="0" fillId="3" fontId="7" numFmtId="0" xfId="0" applyAlignment="1" applyFont="1">
      <alignment readingOrder="0"/>
    </xf>
    <xf borderId="0" fillId="3" fontId="8" numFmtId="0" xfId="0" applyAlignment="1" applyFont="1">
      <alignment readingOrder="0"/>
    </xf>
    <xf borderId="0" fillId="3" fontId="2" numFmtId="164" xfId="0" applyAlignment="1" applyFont="1" applyNumberFormat="1">
      <alignment horizontal="left" readingOrder="0" shrinkToFit="0" wrapText="0"/>
    </xf>
    <xf borderId="0" fillId="0" fontId="5" numFmtId="0" xfId="0" applyAlignment="1" applyFont="1">
      <alignment horizontal="left" readingOrder="0" shrinkToFit="0" vertical="top" wrapText="0"/>
    </xf>
    <xf borderId="0" fillId="0" fontId="9" numFmtId="0" xfId="0" applyAlignment="1" applyFont="1">
      <alignment horizontal="left" readingOrder="0" shrinkToFit="0" vertical="top" wrapText="0"/>
    </xf>
    <xf borderId="0" fillId="0" fontId="2" numFmtId="164" xfId="0" applyAlignment="1" applyFont="1" applyNumberFormat="1">
      <alignment horizontal="left" readingOrder="0" shrinkToFit="0" wrapText="0"/>
    </xf>
    <xf borderId="0" fillId="0" fontId="10" numFmtId="0" xfId="0" applyAlignment="1" applyFont="1">
      <alignment horizontal="left"/>
    </xf>
    <xf borderId="0" fillId="0" fontId="2" numFmtId="165" xfId="0" applyAlignment="1" applyFont="1" applyNumberFormat="1">
      <alignment horizontal="left" readingOrder="0" shrinkToFit="0" wrapText="0"/>
    </xf>
    <xf borderId="0" fillId="0" fontId="2" numFmtId="0" xfId="0" applyAlignment="1" applyFont="1">
      <alignment vertical="top"/>
    </xf>
    <xf borderId="0" fillId="0" fontId="2" numFmtId="0" xfId="0" applyAlignment="1" applyFont="1">
      <alignment readingOrder="0" vertical="top"/>
    </xf>
    <xf borderId="0" fillId="0" fontId="11" numFmtId="0" xfId="0" applyAlignment="1" applyFont="1">
      <alignment horizontal="left"/>
    </xf>
    <xf borderId="0" fillId="4" fontId="2" numFmtId="0" xfId="0" applyAlignment="1" applyFill="1" applyFont="1">
      <alignment vertical="bottom"/>
    </xf>
    <xf borderId="0" fillId="4" fontId="11" numFmtId="0" xfId="0" applyAlignment="1" applyFont="1">
      <alignment readingOrder="0"/>
    </xf>
    <xf borderId="0" fillId="4" fontId="2" numFmtId="0" xfId="0" applyAlignment="1" applyFont="1">
      <alignment readingOrder="0" vertical="bottom"/>
    </xf>
    <xf borderId="0" fillId="0" fontId="2" numFmtId="0" xfId="0" applyAlignment="1" applyFont="1">
      <alignment vertical="bottom"/>
    </xf>
    <xf borderId="0" fillId="0" fontId="11" numFmtId="0" xfId="0" applyFont="1"/>
    <xf borderId="0" fillId="2" fontId="1" numFmtId="0" xfId="0" applyAlignment="1" applyFont="1">
      <alignment readingOrder="0" vertical="bottom"/>
    </xf>
    <xf borderId="0" fillId="2" fontId="1" numFmtId="0" xfId="0" applyAlignment="1" applyFont="1">
      <alignment vertical="bottom"/>
    </xf>
    <xf borderId="0" fillId="2" fontId="1" numFmtId="0" xfId="0" applyAlignment="1" applyFont="1">
      <alignment vertical="bottom"/>
    </xf>
    <xf borderId="0" fillId="0" fontId="2" numFmtId="0" xfId="0" applyAlignment="1" applyFont="1">
      <alignment readingOrder="0" vertical="bottom"/>
    </xf>
    <xf borderId="0" fillId="0" fontId="2" numFmtId="0" xfId="0" applyAlignment="1" applyFont="1">
      <alignment horizontal="right" readingOrder="0" vertical="bottom"/>
    </xf>
    <xf borderId="0" fillId="0" fontId="2" numFmtId="0" xfId="0" applyAlignment="1" applyFont="1">
      <alignment horizontal="left" readingOrder="0" vertical="bottom"/>
    </xf>
    <xf borderId="0" fillId="0" fontId="2" numFmtId="0" xfId="0" applyAlignment="1" applyFont="1">
      <alignment horizontal="right" vertical="bottom"/>
    </xf>
    <xf borderId="0" fillId="0" fontId="11" numFmtId="0" xfId="0" applyAlignment="1" applyFont="1">
      <alignment readingOrder="0"/>
    </xf>
    <xf borderId="0" fillId="5" fontId="2" numFmtId="0" xfId="0" applyAlignment="1" applyFill="1" applyFont="1">
      <alignment horizontal="right" readingOrder="0" vertical="bottom"/>
    </xf>
    <xf borderId="0" fillId="6" fontId="2" numFmtId="0" xfId="0" applyAlignment="1" applyFill="1" applyFont="1">
      <alignment horizontal="right" vertical="bottom"/>
    </xf>
    <xf borderId="0" fillId="6" fontId="2" numFmtId="0" xfId="0" applyAlignment="1" applyFont="1">
      <alignment horizontal="right" readingOrder="0" vertical="bottom"/>
    </xf>
    <xf borderId="0" fillId="5" fontId="2" numFmtId="0" xfId="0" applyAlignment="1" applyFont="1">
      <alignment horizontal="right" vertical="bottom"/>
    </xf>
    <xf borderId="0" fillId="0" fontId="2" numFmtId="1" xfId="0" applyAlignment="1" applyFont="1" applyNumberFormat="1">
      <alignment horizontal="right" vertical="bottom"/>
    </xf>
    <xf borderId="0" fillId="0" fontId="5" numFmtId="0" xfId="0" applyAlignment="1" applyFont="1">
      <alignment horizontal="right" readingOrder="0" shrinkToFit="0" vertical="bottom" wrapText="0"/>
    </xf>
    <xf borderId="0" fillId="3" fontId="12" numFmtId="0" xfId="0" applyAlignment="1" applyFont="1">
      <alignment readingOrder="0"/>
    </xf>
    <xf borderId="0" fillId="0" fontId="2" numFmtId="0" xfId="0" applyAlignment="1" applyFont="1">
      <alignment vertical="bottom"/>
    </xf>
    <xf borderId="0" fillId="0" fontId="2" numFmtId="0" xfId="0" applyAlignment="1" applyFont="1">
      <alignment horizontal="right" vertical="bottom"/>
    </xf>
    <xf borderId="0" fillId="2" fontId="13" numFmtId="0" xfId="0" applyFont="1"/>
    <xf borderId="0" fillId="0" fontId="11" numFmtId="1" xfId="0" applyFont="1" applyNumberFormat="1"/>
    <xf borderId="0" fillId="4" fontId="5" numFmtId="0" xfId="0" applyAlignment="1" applyFont="1">
      <alignment readingOrder="0" shrinkToFit="0" vertical="bottom" wrapText="0"/>
    </xf>
    <xf borderId="0" fillId="3" fontId="12" numFmtId="0" xfId="0" applyAlignment="1" applyFont="1">
      <alignment horizontal="right" vertical="bottom"/>
    </xf>
    <xf borderId="0" fillId="2" fontId="13" numFmtId="0" xfId="0" applyAlignment="1" applyFont="1">
      <alignment readingOrder="0"/>
    </xf>
    <xf borderId="0" fillId="0" fontId="11" numFmtId="166" xfId="0" applyAlignment="1" applyFont="1" applyNumberFormat="1">
      <alignment readingOrder="0"/>
    </xf>
    <xf borderId="0" fillId="0" fontId="11" numFmtId="167" xfId="0" applyAlignment="1" applyFont="1" applyNumberFormat="1">
      <alignment readingOrder="0"/>
    </xf>
  </cellXfs>
  <cellStyles count="1">
    <cellStyle xfId="0" name="Normal" builtinId="0"/>
  </cellStyles>
  <dxfs count="5">
    <dxf>
      <font>
        <color rgb="FFFFFFFF"/>
      </font>
      <fill>
        <patternFill patternType="solid">
          <fgColor rgb="FFFF0000"/>
          <bgColor rgb="FFFF0000"/>
        </patternFill>
      </fill>
      <border/>
    </dxf>
    <dxf>
      <font/>
      <fill>
        <patternFill patternType="solid">
          <fgColor rgb="FFFF9900"/>
          <bgColor rgb="FFFF9900"/>
        </patternFill>
      </fill>
      <border/>
    </dxf>
    <dxf>
      <font/>
      <fill>
        <patternFill patternType="solid">
          <fgColor rgb="FF00FF00"/>
          <bgColor rgb="FF00FF00"/>
        </patternFill>
      </fill>
      <border/>
    </dxf>
    <dxf>
      <font/>
      <fill>
        <patternFill patternType="solid">
          <fgColor rgb="FFFFFF8B"/>
          <bgColor rgb="FFFFFF8B"/>
        </patternFill>
      </fill>
      <border/>
    </dxf>
    <dxf>
      <font>
        <color rgb="FFFFFFFF"/>
      </font>
      <fill>
        <patternFill patternType="solid">
          <fgColor rgb="FFFF9900"/>
          <bgColor rgb="FFFF99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drive.google.com/drive/folders/1OrrP_0izAOwD6ZRjEQHW5oVtjYWh2m62" TargetMode="External"/><Relationship Id="rId194" Type="http://schemas.openxmlformats.org/officeDocument/2006/relationships/hyperlink" Target="https://drive.google.com/drive/folders/1e_eKiCDGZXX25b3Uyb6x0rZLK1wWmUoA" TargetMode="External"/><Relationship Id="rId193" Type="http://schemas.openxmlformats.org/officeDocument/2006/relationships/hyperlink" Target="https://drive.google.com/drive/folders/1tkEWDMxXYyAAkAaFAhN1Eo20YTgh_eoU" TargetMode="External"/><Relationship Id="rId192" Type="http://schemas.openxmlformats.org/officeDocument/2006/relationships/hyperlink" Target="https://docs.google.com/spreadsheets/d/1fjdj_DWneQ6p5FeCIXPzszsySoRSx2_LgStCjca5XsY/edit" TargetMode="External"/><Relationship Id="rId191" Type="http://schemas.openxmlformats.org/officeDocument/2006/relationships/hyperlink" Target="https://drive.google.com/drive/folders/1cEn-FVF43LjPng1oHkLLe9oGhoQ1X1SG" TargetMode="External"/><Relationship Id="rId187" Type="http://schemas.openxmlformats.org/officeDocument/2006/relationships/hyperlink" Target="https://drive.google.com/drive/folders/1GBPt04UZffNeMZ_HnclV0Zfwsd1W3Gr6" TargetMode="External"/><Relationship Id="rId186" Type="http://schemas.openxmlformats.org/officeDocument/2006/relationships/hyperlink" Target="https://docs.google.com/spreadsheets/d/1D1RDdqE2mkZVvfOLgpQ-u1EshCLZ1JGUYX0wKpQg268/edit" TargetMode="External"/><Relationship Id="rId185" Type="http://schemas.openxmlformats.org/officeDocument/2006/relationships/hyperlink" Target="https://drive.google.com/drive/folders/1fMRuHYUSPd6DVK378FgWXeCDZq1ubBD8" TargetMode="External"/><Relationship Id="rId184" Type="http://schemas.openxmlformats.org/officeDocument/2006/relationships/hyperlink" Target="https://docs.google.com/spreadsheets/d/1BJ0lIBkIWL2G8UcRM-WzcxFubQ2MW_l4KTFXv6wfKiU/edit" TargetMode="External"/><Relationship Id="rId189" Type="http://schemas.openxmlformats.org/officeDocument/2006/relationships/hyperlink" Target="https://docs.google.com/spreadsheets/d/1ILnccgV7ri-O_RSwKJB1lo_gnaD6qL7mq_rwEC50RFA/edit" TargetMode="External"/><Relationship Id="rId188" Type="http://schemas.openxmlformats.org/officeDocument/2006/relationships/hyperlink" Target="https://drive.google.com/drive/folders/1AlyN5_IyzvwkgWUPf3mknXswNQ6zi6Vl" TargetMode="External"/><Relationship Id="rId183" Type="http://schemas.openxmlformats.org/officeDocument/2006/relationships/hyperlink" Target="https://drive.google.com/drive/folders/1umDyTmz0ichgUdzRkbO0kw7-2-ZGBfNe" TargetMode="External"/><Relationship Id="rId182" Type="http://schemas.openxmlformats.org/officeDocument/2006/relationships/hyperlink" Target="https://drive.google.com/drive/folders/18iCrg7KkUFHgFb9CIG48B20x_565f64z" TargetMode="External"/><Relationship Id="rId181" Type="http://schemas.openxmlformats.org/officeDocument/2006/relationships/hyperlink" Target="https://docs.google.com/spreadsheets/d/1Hj8E2ES-ce_eurfq39LWslS96OwPRrBIoxBx48204Vk/edit" TargetMode="External"/><Relationship Id="rId180" Type="http://schemas.openxmlformats.org/officeDocument/2006/relationships/hyperlink" Target="https://drive.google.com/drive/folders/1lvzOoSTKzvbnPgld768EsI8HiXlNLk1W" TargetMode="External"/><Relationship Id="rId176" Type="http://schemas.openxmlformats.org/officeDocument/2006/relationships/hyperlink" Target="https://drive.google.com/drive/folders/1I1j_X6k0JWd44AQJmVF7Y4nZS_HYo0Cd" TargetMode="External"/><Relationship Id="rId175" Type="http://schemas.openxmlformats.org/officeDocument/2006/relationships/hyperlink" Target="https://docs.google.com/spreadsheets/d/1fuov6VFDdW_GQYt6JqaxRJIc_DBrPxXJBPo_jAzr9aE/edit" TargetMode="External"/><Relationship Id="rId174" Type="http://schemas.openxmlformats.org/officeDocument/2006/relationships/hyperlink" Target="https://drive.google.com/drive/folders/1hKzYMdf_VOm3Y5VI_HwlUI51rdtlWBUN" TargetMode="External"/><Relationship Id="rId173" Type="http://schemas.openxmlformats.org/officeDocument/2006/relationships/hyperlink" Target="https://docs.google.com/spreadsheets/d/1IXY2NfdDO9vHV01RX_OjMzkaXNv8-PJpgaemIeYfL2M/edit" TargetMode="External"/><Relationship Id="rId179" Type="http://schemas.openxmlformats.org/officeDocument/2006/relationships/hyperlink" Target="https://drive.google.com/drive/folders/1sTYbkoYoWDyn-HUlMRh5nK-IyVAtVOqw" TargetMode="External"/><Relationship Id="rId178" Type="http://schemas.openxmlformats.org/officeDocument/2006/relationships/hyperlink" Target="https://docs.google.com/spreadsheets/d/1nVez-s51qjTfP2ibHDiiELEFanG-2ZCG66Y-ueax5G4/edit" TargetMode="External"/><Relationship Id="rId177" Type="http://schemas.openxmlformats.org/officeDocument/2006/relationships/hyperlink" Target="https://drive.google.com/drive/folders/1HuZ3w43YgRq_aUqdu-iXX6ep2NqXQEvL" TargetMode="External"/><Relationship Id="rId198" Type="http://schemas.openxmlformats.org/officeDocument/2006/relationships/hyperlink" Target="https://docs.google.com/spreadsheets/d/1pI_tDns4A7jbcl0nEvEO_u0FclM2PyV1AT-2Q2Dx2Jo/edit" TargetMode="External"/><Relationship Id="rId197" Type="http://schemas.openxmlformats.org/officeDocument/2006/relationships/hyperlink" Target="https://drive.google.com/drive/folders/1UTnOUgGcGBqPrWRC2GuZp8i9r04jx_TH" TargetMode="External"/><Relationship Id="rId196" Type="http://schemas.openxmlformats.org/officeDocument/2006/relationships/hyperlink" Target="https://drive.google.com/drive/folders/1eUnapxLkvAcaytzf0igthUjQtgEq13TU" TargetMode="External"/><Relationship Id="rId195" Type="http://schemas.openxmlformats.org/officeDocument/2006/relationships/hyperlink" Target="https://docs.google.com/spreadsheets/d/17IQU0-K8aHZCBdscVJssP97WqFoWmGSZpvE9qk-0w_g/edit" TargetMode="External"/><Relationship Id="rId199" Type="http://schemas.openxmlformats.org/officeDocument/2006/relationships/hyperlink" Target="https://drive.google.com/drive/folders/114eQUxUzXDZojq9P11vdAduFKV2yza49" TargetMode="External"/><Relationship Id="rId150" Type="http://schemas.openxmlformats.org/officeDocument/2006/relationships/hyperlink" Target="https://docs.google.com/spreadsheets/d/1A6lNt4Snbf2zCmcVnV2gegTZ60jgsKSMfqe-lbk0irU/edit" TargetMode="External"/><Relationship Id="rId392" Type="http://schemas.openxmlformats.org/officeDocument/2006/relationships/hyperlink" Target="https://drive.google.com/drive/folders/1t5t2WkF2iL1vtmMU3bjFodXrWz9BlCvT" TargetMode="External"/><Relationship Id="rId391" Type="http://schemas.openxmlformats.org/officeDocument/2006/relationships/hyperlink" Target="https://drive.google.com/drive/folders/1YgFm42gxfKtv2fIciQfOfO2K_fuKcFAM" TargetMode="External"/><Relationship Id="rId390" Type="http://schemas.openxmlformats.org/officeDocument/2006/relationships/hyperlink" Target="https://docs.google.com/spreadsheets/d/1pWj6JXfCN2O_M_9nR2upI3ud3_mfmIWPPdWUgAgAe9Y/edit" TargetMode="External"/><Relationship Id="rId1" Type="http://schemas.openxmlformats.org/officeDocument/2006/relationships/hyperlink" Target="https://docs.google.com/spreadsheets/d/1ClXh28BQwwGN7Q42xt0Dc8b_R_3jweBItLcbwVq3Rj0/edit" TargetMode="External"/><Relationship Id="rId2" Type="http://schemas.openxmlformats.org/officeDocument/2006/relationships/hyperlink" Target="https://drive.google.com/drive/folders/1P71zdY471DTvNbfkOfZyi4xEXPPz0Lc-" TargetMode="External"/><Relationship Id="rId3" Type="http://schemas.openxmlformats.org/officeDocument/2006/relationships/hyperlink" Target="https://docs.google.com/spreadsheets/d/1ksPRehLH7gfgZpnXgiBGZpTtFA-KHaKr32rTQGuz3WY/edit" TargetMode="External"/><Relationship Id="rId149" Type="http://schemas.openxmlformats.org/officeDocument/2006/relationships/hyperlink" Target="https://drive.google.com/drive/folders/1Ul94_jpabD-oBFmY1lp6aDm9vVnEkl5-" TargetMode="External"/><Relationship Id="rId4" Type="http://schemas.openxmlformats.org/officeDocument/2006/relationships/hyperlink" Target="https://drive.google.com/drive/folders/1I9PM0L-EruR-hcdJxAjrLE1_N9RvhCFB" TargetMode="External"/><Relationship Id="rId148" Type="http://schemas.openxmlformats.org/officeDocument/2006/relationships/hyperlink" Target="https://docs.google.com/spreadsheets/d/1U9bRcPYtMNqh59ZIlDmozxitTaIZXHOWv4l1PG1zN_U/edit" TargetMode="External"/><Relationship Id="rId9" Type="http://schemas.openxmlformats.org/officeDocument/2006/relationships/hyperlink" Target="https://docs.google.com/spreadsheets/d/1NdxdE379VcEgyTXyFtYxSA9RX1kAZOR0rPt76NDuLUw/edit" TargetMode="External"/><Relationship Id="rId143" Type="http://schemas.openxmlformats.org/officeDocument/2006/relationships/hyperlink" Target="https://docs.google.com/spreadsheets/d/1geel52z8WCTlGIS5yuTVHXXiwt6tFtcJPqsUJk3zExI/edit" TargetMode="External"/><Relationship Id="rId385" Type="http://schemas.openxmlformats.org/officeDocument/2006/relationships/hyperlink" Target="https://drive.google.com/drive/folders/1Q2Lyg9VGILkpAiDyLIDCUcTV5Ak4Ab3y" TargetMode="External"/><Relationship Id="rId142" Type="http://schemas.openxmlformats.org/officeDocument/2006/relationships/hyperlink" Target="https://drive.google.com/drive/folders/1buiv5JMkMXUiDBAVQ0RZ4wPrZUoIxHtP" TargetMode="External"/><Relationship Id="rId384" Type="http://schemas.openxmlformats.org/officeDocument/2006/relationships/hyperlink" Target="https://docs.google.com/spreadsheets/d/1Gr4Dqm3VC_aFirTVGJtSHZmd3Y6Hkd8pWAN1HsALU_o/edit" TargetMode="External"/><Relationship Id="rId141" Type="http://schemas.openxmlformats.org/officeDocument/2006/relationships/hyperlink" Target="https://docs.google.com/spreadsheets/d/16aXNdb7stgyV46CI_ogqmp_5tjDYpkbvhkdKtyDUa8U/edit" TargetMode="External"/><Relationship Id="rId383" Type="http://schemas.openxmlformats.org/officeDocument/2006/relationships/hyperlink" Target="https://drive.google.com/drive/folders/1rPQYtJ1r_aJXCeZVP72Dsb3FIRnEQ20w" TargetMode="External"/><Relationship Id="rId140" Type="http://schemas.openxmlformats.org/officeDocument/2006/relationships/hyperlink" Target="https://drive.google.com/drive/folders/10dJAGDEF-x2DN5CMFApzjlTUuyv-Sir5" TargetMode="External"/><Relationship Id="rId382" Type="http://schemas.openxmlformats.org/officeDocument/2006/relationships/hyperlink" Target="https://drive.google.com/drive/folders/1GRHDztyTF9iOnj_NW1sa7_n3xK7ddKR5" TargetMode="External"/><Relationship Id="rId5" Type="http://schemas.openxmlformats.org/officeDocument/2006/relationships/hyperlink" Target="https://drive.google.com/drive/folders/1urB9B6sFv8sA8Jfom8g9OTgf1lU2AVTK" TargetMode="External"/><Relationship Id="rId147" Type="http://schemas.openxmlformats.org/officeDocument/2006/relationships/hyperlink" Target="https://drive.google.com/drive/folders/1lryuAsEB2eNDDFlDTLAJOK7HBM2I0OvO" TargetMode="External"/><Relationship Id="rId389" Type="http://schemas.openxmlformats.org/officeDocument/2006/relationships/hyperlink" Target="https://drive.google.com/drive/folders/1CLu3Y9I1c1SsLo8bV9VeSp1eVV2KAQlP" TargetMode="External"/><Relationship Id="rId6" Type="http://schemas.openxmlformats.org/officeDocument/2006/relationships/hyperlink" Target="https://docs.google.com/spreadsheets/d/184Y3L-ZLT7vcLiFDItIcLa-18phpzEbgBCBDgt_LGCQ/edit" TargetMode="External"/><Relationship Id="rId146" Type="http://schemas.openxmlformats.org/officeDocument/2006/relationships/hyperlink" Target="https://docs.google.com/spreadsheets/d/1ZHGDvOVAJIc2OBgE48Z8YcdJsudhxavgOBsoHLuIwlA/edit" TargetMode="External"/><Relationship Id="rId388" Type="http://schemas.openxmlformats.org/officeDocument/2006/relationships/hyperlink" Target="https://drive.google.com/drive/folders/1FG3ei6BIL4iEZPw_MBk2y6JJFyK19YtK" TargetMode="External"/><Relationship Id="rId7" Type="http://schemas.openxmlformats.org/officeDocument/2006/relationships/hyperlink" Target="https://drive.google.com/drive/folders/1QMpAd5PD_2rlPwqO3tjPR6bXcLVxUf7H" TargetMode="External"/><Relationship Id="rId145" Type="http://schemas.openxmlformats.org/officeDocument/2006/relationships/hyperlink" Target="https://drive.google.com/drive/folders/12NnAF6-1GvOpqW2INkQnguT1Wbr9A8zJ" TargetMode="External"/><Relationship Id="rId387" Type="http://schemas.openxmlformats.org/officeDocument/2006/relationships/hyperlink" Target="https://docs.google.com/spreadsheets/d/1lgZm4ATdvS3q8SH9cQmTsfbYjc0IuVfsbWILI4aQOtw/edit" TargetMode="External"/><Relationship Id="rId8" Type="http://schemas.openxmlformats.org/officeDocument/2006/relationships/hyperlink" Target="https://drive.google.com/drive/folders/1NPpJZBs0xhb3giK8-apMKEAdss4piFGk" TargetMode="External"/><Relationship Id="rId144" Type="http://schemas.openxmlformats.org/officeDocument/2006/relationships/hyperlink" Target="https://drive.google.com/drive/folders/1wTCc8DPf8Vgyk_V1V4YIJgdR9v9Dhs2C" TargetMode="External"/><Relationship Id="rId386" Type="http://schemas.openxmlformats.org/officeDocument/2006/relationships/hyperlink" Target="https://drive.google.com/drive/folders/1UwgXIv_dDA23Nus65XA3dy4OE5jE0yzA" TargetMode="External"/><Relationship Id="rId381" Type="http://schemas.openxmlformats.org/officeDocument/2006/relationships/hyperlink" Target="https://docs.google.com/spreadsheets/d/1nNUUalGOlMWDdYbk6V0hbfrM7YklXBY-gP0UjcjGIBo/edit" TargetMode="External"/><Relationship Id="rId380" Type="http://schemas.openxmlformats.org/officeDocument/2006/relationships/hyperlink" Target="https://drive.google.com/drive/folders/1q2NHxCArJ3ISlI2jKt_Rk5_Y5sbdTyJy" TargetMode="External"/><Relationship Id="rId139" Type="http://schemas.openxmlformats.org/officeDocument/2006/relationships/hyperlink" Target="https://docs.google.com/spreadsheets/d/1ecmgrivVWy8bdxOJUWTrTjFZtV6_I7l8EtXiRkAOpIg/edit" TargetMode="External"/><Relationship Id="rId138" Type="http://schemas.openxmlformats.org/officeDocument/2006/relationships/hyperlink" Target="https://drive.google.com/drive/folders/1KOcTCVWhJRPP0sZpGhjQvik516gVq6ea" TargetMode="External"/><Relationship Id="rId137" Type="http://schemas.openxmlformats.org/officeDocument/2006/relationships/hyperlink" Target="https://drive.google.com/drive/folders/1sPbHKOm5TJE9fFSPsy3ik4ycx6ST-PE9" TargetMode="External"/><Relationship Id="rId379" Type="http://schemas.openxmlformats.org/officeDocument/2006/relationships/hyperlink" Target="https://drive.google.com/drive/folders/1irdpSKCMy3n96iapsdybiQJYqSRfdRT3" TargetMode="External"/><Relationship Id="rId132" Type="http://schemas.openxmlformats.org/officeDocument/2006/relationships/hyperlink" Target="https://drive.google.com/drive/folders/1HIWVAfhSHlrRb5IvHSBIQieLmoIww0Av" TargetMode="External"/><Relationship Id="rId374" Type="http://schemas.openxmlformats.org/officeDocument/2006/relationships/hyperlink" Target="https://drive.google.com/drive/folders/1Un4mwJDrpPK0jJWuVWmTESoa02IMENkk" TargetMode="External"/><Relationship Id="rId131" Type="http://schemas.openxmlformats.org/officeDocument/2006/relationships/hyperlink" Target="https://drive.google.com/drive/folders/1SetA3ria_ywA4dOSxIYofKTptRiw2Gsd" TargetMode="External"/><Relationship Id="rId373" Type="http://schemas.openxmlformats.org/officeDocument/2006/relationships/hyperlink" Target="https://drive.google.com/drive/folders/1FWYggageCzUlnO-H03tXIY8BJzJOwYNz" TargetMode="External"/><Relationship Id="rId130" Type="http://schemas.openxmlformats.org/officeDocument/2006/relationships/hyperlink" Target="https://docs.google.com/spreadsheets/d/1LiAiRR9BTHdMZEU0Z7g2BJlBE_7_a2qafAw9zkJ1c8U/edit" TargetMode="External"/><Relationship Id="rId372" Type="http://schemas.openxmlformats.org/officeDocument/2006/relationships/hyperlink" Target="https://docs.google.com/spreadsheets/d/1S2YNz2hsIyDIwT68EF1VR8O-D7oanl9HQJpcApwJPG4/edit" TargetMode="External"/><Relationship Id="rId371" Type="http://schemas.openxmlformats.org/officeDocument/2006/relationships/hyperlink" Target="https://drive.google.com/drive/folders/1y_ot-J2pehWHsy5gP_j3hZVvE75N5nbf" TargetMode="External"/><Relationship Id="rId136" Type="http://schemas.openxmlformats.org/officeDocument/2006/relationships/hyperlink" Target="https://docs.google.com/spreadsheets/d/1mX_ZCiMgVCd3AONQ2zBbbc9wQ6Mlj2RvmkSWdpWht-8/edit" TargetMode="External"/><Relationship Id="rId378" Type="http://schemas.openxmlformats.org/officeDocument/2006/relationships/hyperlink" Target="https://docs.google.com/spreadsheets/d/1-RGBeKDN73oqOmm6wKvrYGgPoHhF6AoBWbXbAsegR_M/edit" TargetMode="External"/><Relationship Id="rId135" Type="http://schemas.openxmlformats.org/officeDocument/2006/relationships/hyperlink" Target="https://drive.google.com/drive/folders/1Z0QkzeQQCdP4ksO_32I8pWMS77cKkZvY" TargetMode="External"/><Relationship Id="rId377" Type="http://schemas.openxmlformats.org/officeDocument/2006/relationships/hyperlink" Target="https://drive.google.com/drive/folders/12qA1Nl5gqTLdazJ2aAlnpfnwXzUTq2Y0" TargetMode="External"/><Relationship Id="rId134" Type="http://schemas.openxmlformats.org/officeDocument/2006/relationships/hyperlink" Target="https://drive.google.com/drive/folders/1mbIwzS0IJLBZif-53u4uXV4uAc9VoTBT" TargetMode="External"/><Relationship Id="rId376" Type="http://schemas.openxmlformats.org/officeDocument/2006/relationships/hyperlink" Target="https://drive.google.com/drive/folders/1-tE1eANRZvYpJ1HKT11Qo5-XGlxp73yu" TargetMode="External"/><Relationship Id="rId133" Type="http://schemas.openxmlformats.org/officeDocument/2006/relationships/hyperlink" Target="https://docs.google.com/spreadsheets/d/11i_cNFE5Ehj2PGllhMsAFP46O_rn6I78xO4mvWr7hEo/edit" TargetMode="External"/><Relationship Id="rId375" Type="http://schemas.openxmlformats.org/officeDocument/2006/relationships/hyperlink" Target="https://docs.google.com/spreadsheets/d/1BwcIzZvh2T5Ujlh5jkvkSeatvF-YbuitkQwoRkKGAHU/edit" TargetMode="External"/><Relationship Id="rId172" Type="http://schemas.openxmlformats.org/officeDocument/2006/relationships/hyperlink" Target="https://drive.google.com/drive/folders/1CoozequUkj9RxIOJe-zHGOy_pQTh6p8u" TargetMode="External"/><Relationship Id="rId171" Type="http://schemas.openxmlformats.org/officeDocument/2006/relationships/hyperlink" Target="https://docs.google.com/spreadsheets/d/1ek5ZSLYEG8WzBo8pYbS1V3846hx1xCXCDzzgtbytVUQ/edit" TargetMode="External"/><Relationship Id="rId170" Type="http://schemas.openxmlformats.org/officeDocument/2006/relationships/hyperlink" Target="https://drive.google.com/drive/folders/13E4LfEl8N6kAEEukBsDWWi8S7REv4EnG" TargetMode="External"/><Relationship Id="rId165" Type="http://schemas.openxmlformats.org/officeDocument/2006/relationships/hyperlink" Target="https://docs.google.com/spreadsheets/d/1DS5NtcGph94jJUNKazFINpAqRSIEGCBtibwVxAM7-qM/edit" TargetMode="External"/><Relationship Id="rId164" Type="http://schemas.openxmlformats.org/officeDocument/2006/relationships/hyperlink" Target="https://drive.google.com/drive/folders/1C1AjXInxubgTqA5jMZac7uMhqmc4GJdp" TargetMode="External"/><Relationship Id="rId163" Type="http://schemas.openxmlformats.org/officeDocument/2006/relationships/hyperlink" Target="https://docs.google.com/spreadsheets/d/1brEaJJIr9CUuMyBbZl1_6v1V659tqpHO6omaGzj0JnM/edit" TargetMode="External"/><Relationship Id="rId162" Type="http://schemas.openxmlformats.org/officeDocument/2006/relationships/hyperlink" Target="https://drive.google.com/drive/folders/1LTLA25E5YT6SL47fk-YmY0vOgaW5XtEc" TargetMode="External"/><Relationship Id="rId169" Type="http://schemas.openxmlformats.org/officeDocument/2006/relationships/hyperlink" Target="https://drive.google.com/drive/folders/1qvxnBPNqkBh5JzjgdVayuu-j-R7lUl5t" TargetMode="External"/><Relationship Id="rId168" Type="http://schemas.openxmlformats.org/officeDocument/2006/relationships/hyperlink" Target="https://docs.google.com/spreadsheets/d/1_xzpyB0amoYhYfY1WdkZ6GVcQiaJKzjQJfus2Cafu-I/edit" TargetMode="External"/><Relationship Id="rId167" Type="http://schemas.openxmlformats.org/officeDocument/2006/relationships/hyperlink" Target="https://drive.google.com/drive/folders/1NUva4eruYJIqX5-ceRqiToUjBfC40tmc" TargetMode="External"/><Relationship Id="rId166" Type="http://schemas.openxmlformats.org/officeDocument/2006/relationships/hyperlink" Target="https://drive.google.com/drive/folders/1lU4NDa8GoAmq4tIQ5PNJRraspqBX_i9v" TargetMode="External"/><Relationship Id="rId161" Type="http://schemas.openxmlformats.org/officeDocument/2006/relationships/hyperlink" Target="https://drive.google.com/drive/folders/1rK4Ytrz7_9IByepR8AMfbO3rl45xL3tR" TargetMode="External"/><Relationship Id="rId160" Type="http://schemas.openxmlformats.org/officeDocument/2006/relationships/hyperlink" Target="https://docs.google.com/spreadsheets/d/1o-kgAGYwJQGPJwLj0hYgwKABboMbPKDLAWI9iRmz2LU/edit" TargetMode="External"/><Relationship Id="rId159" Type="http://schemas.openxmlformats.org/officeDocument/2006/relationships/hyperlink" Target="https://drive.google.com/drive/folders/1zhKN7NEw5RmI_ZiwV_BuXLN0jvtJvPBH" TargetMode="External"/><Relationship Id="rId154" Type="http://schemas.openxmlformats.org/officeDocument/2006/relationships/hyperlink" Target="https://docs.google.com/spreadsheets/d/10Boa663-jOP90LwqXAfooqmBUweTsg0kbbPLy7E8GaM/edit" TargetMode="External"/><Relationship Id="rId396" Type="http://schemas.openxmlformats.org/officeDocument/2006/relationships/hyperlink" Target="https://docs.google.com/spreadsheets/d/1TMTMDBTSLXzi0POas5HDprui-sp3TCVvRYWE8buap-0/edit" TargetMode="External"/><Relationship Id="rId153" Type="http://schemas.openxmlformats.org/officeDocument/2006/relationships/hyperlink" Target="https://drive.google.com/drive/folders/1yLF_ps5RNP0WV5EjyzTmpoS4oOgQmG0T" TargetMode="External"/><Relationship Id="rId395" Type="http://schemas.openxmlformats.org/officeDocument/2006/relationships/hyperlink" Target="https://drive.google.com/drive/folders/1XSlSk-I7DLclZCdfKN_pWUurBv3x4gx0" TargetMode="External"/><Relationship Id="rId152" Type="http://schemas.openxmlformats.org/officeDocument/2006/relationships/hyperlink" Target="https://docs.google.com/spreadsheets/d/1eRW_MDmJeHGFDVrDu4lhY4sLKH3AbCEJuXm_MUC1mBk/edit" TargetMode="External"/><Relationship Id="rId394" Type="http://schemas.openxmlformats.org/officeDocument/2006/relationships/hyperlink" Target="https://drive.google.com/drive/folders/1pctzQlNvONFxoDLipbYQkNkSd2AuChYd" TargetMode="External"/><Relationship Id="rId151" Type="http://schemas.openxmlformats.org/officeDocument/2006/relationships/hyperlink" Target="https://drive.google.com/drive/folders/1r5aSV0g_VMCRUWYNG5Den2m2ubrIZwRx" TargetMode="External"/><Relationship Id="rId393" Type="http://schemas.openxmlformats.org/officeDocument/2006/relationships/hyperlink" Target="https://docs.google.com/spreadsheets/d/12HJShHGOf09kSf0pLTPVE9xJIZSZJH5W8y2DhvGtYRU/edit" TargetMode="External"/><Relationship Id="rId158" Type="http://schemas.openxmlformats.org/officeDocument/2006/relationships/hyperlink" Target="https://drive.google.com/drive/folders/1fkHfyX_kY_sV4K7BpM5cViq3cFMP-4ZQ" TargetMode="External"/><Relationship Id="rId157" Type="http://schemas.openxmlformats.org/officeDocument/2006/relationships/hyperlink" Target="https://docs.google.com/spreadsheets/d/1RXGf0MnZWZO90gEU-wJzAFw-CxPPIv2RLUwr1sE1N44/edit" TargetMode="External"/><Relationship Id="rId399" Type="http://schemas.openxmlformats.org/officeDocument/2006/relationships/hyperlink" Target="https://docs.google.com/spreadsheets/d/1yeu1sNSbb2j8YGtFyG1D4WLawBmqXJv51bLIGiQ9gJs/edit" TargetMode="External"/><Relationship Id="rId156" Type="http://schemas.openxmlformats.org/officeDocument/2006/relationships/hyperlink" Target="https://drive.google.com/drive/folders/1B9IsDwVLzQxG57MkUYrywgD6snOxzi8c" TargetMode="External"/><Relationship Id="rId398" Type="http://schemas.openxmlformats.org/officeDocument/2006/relationships/hyperlink" Target="https://drive.google.com/drive/folders/1V9HIHhajtXou3F7n9vHfvyQSCLBlrwf9" TargetMode="External"/><Relationship Id="rId155" Type="http://schemas.openxmlformats.org/officeDocument/2006/relationships/hyperlink" Target="https://drive.google.com/drive/folders/1iNNHcXvihILognGwLAUWmJbRDI1f_DQZ" TargetMode="External"/><Relationship Id="rId397" Type="http://schemas.openxmlformats.org/officeDocument/2006/relationships/hyperlink" Target="https://drive.google.com/drive/folders/1_CoyxEKaquEJ_StbPCZ-UbHrHCYi3JwI" TargetMode="External"/><Relationship Id="rId808" Type="http://schemas.openxmlformats.org/officeDocument/2006/relationships/hyperlink" Target="https://drive.google.com/drive/folders/1Vgpz1srOrByYZnVLqpul9Hja0WChFMF4" TargetMode="External"/><Relationship Id="rId807" Type="http://schemas.openxmlformats.org/officeDocument/2006/relationships/hyperlink" Target="https://drive.google.com/drive/folders/14msPMAtDryxRapID435E-kZMgpyXJISI" TargetMode="External"/><Relationship Id="rId806" Type="http://schemas.openxmlformats.org/officeDocument/2006/relationships/hyperlink" Target="https://docs.google.com/spreadsheets/d/1D40bKySVAERErGis9rDO7LQ53qmdU5GNEz2GXvuNXng/edit" TargetMode="External"/><Relationship Id="rId805" Type="http://schemas.openxmlformats.org/officeDocument/2006/relationships/hyperlink" Target="https://drive.google.com/drive/folders/1suO7HfUWxFVsNHjuk8lEt6UKkANgfE35" TargetMode="External"/><Relationship Id="rId809" Type="http://schemas.openxmlformats.org/officeDocument/2006/relationships/hyperlink" Target="https://docs.google.com/spreadsheets/d/1kOPQVkAO_ArTU1kAd_VKRa8mVwn2PXu0IkpU2xQgvUI/edit" TargetMode="External"/><Relationship Id="rId800" Type="http://schemas.openxmlformats.org/officeDocument/2006/relationships/hyperlink" Target="https://drive.google.com/drive/folders/1jPpwu8bP3So0P3CarJkBRQut_cDEq7mD" TargetMode="External"/><Relationship Id="rId804" Type="http://schemas.openxmlformats.org/officeDocument/2006/relationships/hyperlink" Target="https://drive.google.com/drive/folders/1wXOe_5ww-iBvBwG-hpoWcdSX1okzU6EG" TargetMode="External"/><Relationship Id="rId803" Type="http://schemas.openxmlformats.org/officeDocument/2006/relationships/hyperlink" Target="https://docs.google.com/spreadsheets/d/16tjO40jnriUy06QB22S0NR8Wknhx9T0lcBH_yEqsZIw/edit" TargetMode="External"/><Relationship Id="rId802" Type="http://schemas.openxmlformats.org/officeDocument/2006/relationships/hyperlink" Target="https://drive.google.com/drive/folders/14G3MM0I2NjELB7-S7x2hHV6YMLoLmK1N" TargetMode="External"/><Relationship Id="rId801" Type="http://schemas.openxmlformats.org/officeDocument/2006/relationships/hyperlink" Target="https://docs.google.com/spreadsheets/d/1widHkGzeFIwrSJjcgWI00dRaKCvRfPAM7fIXW9w6sfc/edit" TargetMode="External"/><Relationship Id="rId40" Type="http://schemas.openxmlformats.org/officeDocument/2006/relationships/hyperlink" Target="https://drive.google.com/drive/folders/1jCsY4z8Iln_bzrt4nE8cXGuFQ1eLGOFb" TargetMode="External"/><Relationship Id="rId42" Type="http://schemas.openxmlformats.org/officeDocument/2006/relationships/hyperlink" Target="https://drive.google.com/drive/folders/1Z-q53-hYL8EdubpsIwSuFmOCQhW_9nbn" TargetMode="External"/><Relationship Id="rId41" Type="http://schemas.openxmlformats.org/officeDocument/2006/relationships/hyperlink" Target="https://docs.google.com/spreadsheets/d/1ju8_gZRiNRn30bHYva0xZCNhV81e9Nwm1ItAYdj4tiU/edit" TargetMode="External"/><Relationship Id="rId44" Type="http://schemas.openxmlformats.org/officeDocument/2006/relationships/hyperlink" Target="https://docs.google.com/spreadsheets/d/1fb4oZhqM5iGS888M6X7merPGQRxnlGglIXz2Xntr8zg/edit" TargetMode="External"/><Relationship Id="rId43" Type="http://schemas.openxmlformats.org/officeDocument/2006/relationships/hyperlink" Target="https://drive.google.com/drive/folders/1x-3TnXPf09EnzONLiCxsAwc0s7FA2gn3" TargetMode="External"/><Relationship Id="rId46" Type="http://schemas.openxmlformats.org/officeDocument/2006/relationships/hyperlink" Target="https://drive.google.com/drive/folders/1dSKv5T7mk9cDHoopAAvAV-HWuxfnX6cm" TargetMode="External"/><Relationship Id="rId45" Type="http://schemas.openxmlformats.org/officeDocument/2006/relationships/hyperlink" Target="https://drive.google.com/drive/folders/1R7kKx453InW5oWVc-pP6VWAr76dL2UYL" TargetMode="External"/><Relationship Id="rId509" Type="http://schemas.openxmlformats.org/officeDocument/2006/relationships/hyperlink" Target="https://docs.google.com/spreadsheets/d/1xdioECnPW5B9Jx1lGE6BzQBP3X2De1AEBtF29NVixH0/edit" TargetMode="External"/><Relationship Id="rId508" Type="http://schemas.openxmlformats.org/officeDocument/2006/relationships/hyperlink" Target="https://drive.google.com/drive/folders/1l_J2AYwGCk_yr5JeT-MkQX808FVSl_0q" TargetMode="External"/><Relationship Id="rId503" Type="http://schemas.openxmlformats.org/officeDocument/2006/relationships/hyperlink" Target="https://drive.google.com/drive/folders/1AX8n3Lj9jqXGakblgyBdn_gXBLxTsgEk" TargetMode="External"/><Relationship Id="rId745" Type="http://schemas.openxmlformats.org/officeDocument/2006/relationships/hyperlink" Target="https://drive.google.com/drive/folders/1bnpMeHcuzfQCleN03tnV5EVUd0Go8BFs" TargetMode="External"/><Relationship Id="rId502" Type="http://schemas.openxmlformats.org/officeDocument/2006/relationships/hyperlink" Target="https://docs.google.com/spreadsheets/d/1tv7cW1HkpPnyDwBqxX4e63ihXTxB7vNx36c1SO0c8cw/edit" TargetMode="External"/><Relationship Id="rId744" Type="http://schemas.openxmlformats.org/officeDocument/2006/relationships/hyperlink" Target="https://docs.google.com/spreadsheets/d/1L4bmBANLoZzaH3L_g0lUkCl9uqLxMUm5AXoNn34pTXE/edit" TargetMode="External"/><Relationship Id="rId501" Type="http://schemas.openxmlformats.org/officeDocument/2006/relationships/hyperlink" Target="https://drive.google.com/drive/folders/1eNECJwsBc0tR3Nc4vdRPCNY8kXlXPxgH" TargetMode="External"/><Relationship Id="rId743" Type="http://schemas.openxmlformats.org/officeDocument/2006/relationships/hyperlink" Target="https://drive.google.com/drive/folders/1fH7uqokt3mW4eFD183z9nILINfq7g8f4" TargetMode="External"/><Relationship Id="rId500" Type="http://schemas.openxmlformats.org/officeDocument/2006/relationships/hyperlink" Target="https://docs.google.com/spreadsheets/d/18hibfOdBkTwP70jRUUH2L7OgAiquBXCXX9EqLpop6DM/edit" TargetMode="External"/><Relationship Id="rId742" Type="http://schemas.openxmlformats.org/officeDocument/2006/relationships/hyperlink" Target="https://docs.google.com/spreadsheets/d/1wvUK5nYC39vfuy54L8M4AdPHlr4l9KiUbThaTK6U6x8/edit" TargetMode="External"/><Relationship Id="rId507" Type="http://schemas.openxmlformats.org/officeDocument/2006/relationships/hyperlink" Target="https://drive.google.com/drive/folders/1jWfFrRx93ZeT3M91T3gTyO2pR7Fvu6Ix" TargetMode="External"/><Relationship Id="rId749" Type="http://schemas.openxmlformats.org/officeDocument/2006/relationships/hyperlink" Target="https://docs.google.com/spreadsheets/d/1rxceCPc4ChTPFerx6ZXVu45MWGLeEOukTie7Dj7H2lI/edit" TargetMode="External"/><Relationship Id="rId506" Type="http://schemas.openxmlformats.org/officeDocument/2006/relationships/hyperlink" Target="https://docs.google.com/spreadsheets/d/10TnasMBGApJv5zXBkEcyf7wGKAliCEb2pmIfKVexScs/edit" TargetMode="External"/><Relationship Id="rId748" Type="http://schemas.openxmlformats.org/officeDocument/2006/relationships/hyperlink" Target="https://drive.google.com/drive/folders/1AylV6YnaHUtxmsaoUO-rZCA8DCaZnoNp" TargetMode="External"/><Relationship Id="rId505" Type="http://schemas.openxmlformats.org/officeDocument/2006/relationships/hyperlink" Target="https://drive.google.com/drive/folders/1Y4b5ANf1cB_8ZAsnWV7BuQpDS5pjIsrj" TargetMode="External"/><Relationship Id="rId747" Type="http://schemas.openxmlformats.org/officeDocument/2006/relationships/hyperlink" Target="https://docs.google.com/spreadsheets/d/1bezs_AiyqeyfyAOe26bbRn8gMLTreFaNwbIZJkQdpqE/edit" TargetMode="External"/><Relationship Id="rId504" Type="http://schemas.openxmlformats.org/officeDocument/2006/relationships/hyperlink" Target="https://docs.google.com/spreadsheets/d/1WQ0DX77J6m33SoaG5bV3EujIyD1Rwgu2cjhAGxkklkQ/edit" TargetMode="External"/><Relationship Id="rId746" Type="http://schemas.openxmlformats.org/officeDocument/2006/relationships/hyperlink" Target="https://drive.google.com/drive/folders/1LtHPAZyVAA7vi18icZy78dP01bF-EWiu" TargetMode="External"/><Relationship Id="rId48" Type="http://schemas.openxmlformats.org/officeDocument/2006/relationships/hyperlink" Target="https://drive.google.com/drive/folders/1AzRKk45YcP5UK5OIhYMvuTyLsAWGWtwE" TargetMode="External"/><Relationship Id="rId47" Type="http://schemas.openxmlformats.org/officeDocument/2006/relationships/hyperlink" Target="https://docs.google.com/spreadsheets/d/1xzNzUpRuyZzl8DSwrt-yCan_GYtxqCgVm5i_XkKZrso/edit" TargetMode="External"/><Relationship Id="rId49" Type="http://schemas.openxmlformats.org/officeDocument/2006/relationships/hyperlink" Target="https://drive.google.com/drive/folders/1z7maZ1dMhyX8waqD5d1UbOTSOsTSHPHn" TargetMode="External"/><Relationship Id="rId741" Type="http://schemas.openxmlformats.org/officeDocument/2006/relationships/hyperlink" Target="https://drive.google.com/drive/folders/1A0ucN1TJKv4318j22Ka_9pYWn6i1zcXR" TargetMode="External"/><Relationship Id="rId740" Type="http://schemas.openxmlformats.org/officeDocument/2006/relationships/hyperlink" Target="https://drive.google.com/drive/folders/1_HMdXSsYCZOebd20s4S_zTARSiO_Ic0E" TargetMode="External"/><Relationship Id="rId31" Type="http://schemas.openxmlformats.org/officeDocument/2006/relationships/hyperlink" Target="https://drive.google.com/drive/folders/1MxyxKuX2D8QXC6FcSobdGWIN3TGVZCAo" TargetMode="External"/><Relationship Id="rId30" Type="http://schemas.openxmlformats.org/officeDocument/2006/relationships/hyperlink" Target="https://docs.google.com/spreadsheets/d/1uSmiJs1JBkFcacaTukzXG8U9ymYsNT0DhKFlj58ZKns/edit" TargetMode="External"/><Relationship Id="rId33" Type="http://schemas.openxmlformats.org/officeDocument/2006/relationships/hyperlink" Target="https://drive.google.com/drive/folders/1mhd8mqwvg9dOZbAG-oW7NeWBIDWEFIiQ" TargetMode="External"/><Relationship Id="rId32" Type="http://schemas.openxmlformats.org/officeDocument/2006/relationships/hyperlink" Target="https://docs.google.com/spreadsheets/d/1ywp9soScACCtKNm18S8bSV9jfI4bUChDWcowZ3Kbzws/edit" TargetMode="External"/><Relationship Id="rId35" Type="http://schemas.openxmlformats.org/officeDocument/2006/relationships/hyperlink" Target="https://docs.google.com/spreadsheets/d/1ejtSq2pJ5r5wu-kZaMFvJrFblntdYFCvNJnKtYjMVzo/edit" TargetMode="External"/><Relationship Id="rId34" Type="http://schemas.openxmlformats.org/officeDocument/2006/relationships/hyperlink" Target="https://drive.google.com/drive/folders/1di5pZI95XVtiEk7ypNO9LGyaiQAqoy92" TargetMode="External"/><Relationship Id="rId739" Type="http://schemas.openxmlformats.org/officeDocument/2006/relationships/hyperlink" Target="https://docs.google.com/spreadsheets/d/1AN8rkD7i89vzJPwM9ksH3k-2XvTRN_Wg3aS0QeJ0a2I/edit" TargetMode="External"/><Relationship Id="rId734" Type="http://schemas.openxmlformats.org/officeDocument/2006/relationships/hyperlink" Target="https://drive.google.com/drive/folders/1-FyGrAaTA5VgLcdDWd0z9woXshV4LNUV" TargetMode="External"/><Relationship Id="rId733" Type="http://schemas.openxmlformats.org/officeDocument/2006/relationships/hyperlink" Target="https://docs.google.com/spreadsheets/d/1Y1uTCqiydc9ymgUi-hDKL8MeygYhztvO_MOLfvO2Xgs/edit" TargetMode="External"/><Relationship Id="rId732" Type="http://schemas.openxmlformats.org/officeDocument/2006/relationships/hyperlink" Target="https://drive.google.com/drive/folders/1uksEvNkuq6Acac1CNGNLDAOuAfcw5Suv" TargetMode="External"/><Relationship Id="rId731" Type="http://schemas.openxmlformats.org/officeDocument/2006/relationships/hyperlink" Target="https://docs.google.com/spreadsheets/d/1m8ka1AbXWO0NCwbciwxi-1DtNMMJX9mIx0hIP9BLnJE/edit" TargetMode="External"/><Relationship Id="rId738" Type="http://schemas.openxmlformats.org/officeDocument/2006/relationships/hyperlink" Target="https://drive.google.com/drive/folders/1HIBaeUnU4OHvX5wHKz0DHgbOlTsr2fKq" TargetMode="External"/><Relationship Id="rId737" Type="http://schemas.openxmlformats.org/officeDocument/2006/relationships/hyperlink" Target="https://docs.google.com/spreadsheets/d/1t4c7ZP0L47Ls9dLmRsXxx1BWFwfzKxl5pOAYpj31jXc/edit" TargetMode="External"/><Relationship Id="rId736" Type="http://schemas.openxmlformats.org/officeDocument/2006/relationships/hyperlink" Target="https://drive.google.com/drive/folders/1XUjQo7SqirorWR-RVJMLRmidGXdoe4Zu" TargetMode="External"/><Relationship Id="rId735" Type="http://schemas.openxmlformats.org/officeDocument/2006/relationships/hyperlink" Target="https://docs.google.com/spreadsheets/d/1g1XusipIkc3ou5jV0CF6g9OQKAO43--ZjNw2cfWuCJ4/edit" TargetMode="External"/><Relationship Id="rId37" Type="http://schemas.openxmlformats.org/officeDocument/2006/relationships/hyperlink" Target="https://drive.google.com/drive/folders/1S92N2m75rF-KKTghR3Z3e3wEFwYsI0GC" TargetMode="External"/><Relationship Id="rId36" Type="http://schemas.openxmlformats.org/officeDocument/2006/relationships/hyperlink" Target="https://drive.google.com/drive/folders/1fEHqyA7pSGD7-WlmamlbiMcNECVFryBv" TargetMode="External"/><Relationship Id="rId39" Type="http://schemas.openxmlformats.org/officeDocument/2006/relationships/hyperlink" Target="https://drive.google.com/drive/folders/1cP_iaWyGhEf__Qbo8_oUr5BggbwMo1sv" TargetMode="External"/><Relationship Id="rId38" Type="http://schemas.openxmlformats.org/officeDocument/2006/relationships/hyperlink" Target="https://docs.google.com/spreadsheets/d/1RYX1vfvY0jbK-8SlRPLYU11dr-HUe2ntxj5PumL7c0I/edit" TargetMode="External"/><Relationship Id="rId730" Type="http://schemas.openxmlformats.org/officeDocument/2006/relationships/hyperlink" Target="https://drive.google.com/drive/folders/1uCtvQJ9rTTPPV1E-1TEwXHDYxqseJdZZ" TargetMode="External"/><Relationship Id="rId20" Type="http://schemas.openxmlformats.org/officeDocument/2006/relationships/hyperlink" Target="https://drive.google.com/drive/folders/1rLKIDRcCPJLJ1jU2nacUnXKhkBWMNngt" TargetMode="External"/><Relationship Id="rId22" Type="http://schemas.openxmlformats.org/officeDocument/2006/relationships/hyperlink" Target="https://drive.google.com/drive/folders/134sFo6G_COFJ1oMbLYLmvvtj8yRmzw_b" TargetMode="External"/><Relationship Id="rId21" Type="http://schemas.openxmlformats.org/officeDocument/2006/relationships/hyperlink" Target="https://docs.google.com/spreadsheets/d/1MWQVORKrBhvtNepdNE6EH-DkM2hXYvqfa0X-kEKcBAI/edit" TargetMode="External"/><Relationship Id="rId24" Type="http://schemas.openxmlformats.org/officeDocument/2006/relationships/hyperlink" Target="https://drive.google.com/drive/folders/1qBZEDkoOESfVS1xbkDJORuXD6InfPfic" TargetMode="External"/><Relationship Id="rId23" Type="http://schemas.openxmlformats.org/officeDocument/2006/relationships/hyperlink" Target="https://docs.google.com/spreadsheets/d/1K2kmTdQ29RE0odqH86t0j8wUvDVWe7UFRs_xfvl5r94/edit" TargetMode="External"/><Relationship Id="rId525" Type="http://schemas.openxmlformats.org/officeDocument/2006/relationships/hyperlink" Target="https://drive.google.com/drive/folders/1xCCEVjUdfKwUEpN3bqkxSItaNQAIDckB" TargetMode="External"/><Relationship Id="rId767" Type="http://schemas.openxmlformats.org/officeDocument/2006/relationships/hyperlink" Target="https://drive.google.com/drive/folders/1bIIZqOLpemgjhVR_YlvCYBHkk1T62Yd8" TargetMode="External"/><Relationship Id="rId524" Type="http://schemas.openxmlformats.org/officeDocument/2006/relationships/hyperlink" Target="https://docs.google.com/spreadsheets/d/1t2jvG-avz320SBpAYKAjPj-BB8Kp974TQ1yfGetbst8/edit" TargetMode="External"/><Relationship Id="rId766" Type="http://schemas.openxmlformats.org/officeDocument/2006/relationships/hyperlink" Target="https://docs.google.com/spreadsheets/d/10WPh_WCplOI3MhoycaJcKr3lYMretoJR3ta-W3F9m_c/edit" TargetMode="External"/><Relationship Id="rId523" Type="http://schemas.openxmlformats.org/officeDocument/2006/relationships/hyperlink" Target="https://drive.google.com/drive/folders/1SCF28HPE8pt4_JeiLDEel0C_AkGin9Xb" TargetMode="External"/><Relationship Id="rId765" Type="http://schemas.openxmlformats.org/officeDocument/2006/relationships/hyperlink" Target="https://drive.google.com/drive/folders/1U1ttieT8rqZmiw41mNr7Lowzb0NsiXGf" TargetMode="External"/><Relationship Id="rId522" Type="http://schemas.openxmlformats.org/officeDocument/2006/relationships/hyperlink" Target="https://docs.google.com/spreadsheets/d/1Enun10TuqDjmYI19mcuHneCrMiJ9pWK970R1I3IYu50/edit" TargetMode="External"/><Relationship Id="rId764" Type="http://schemas.openxmlformats.org/officeDocument/2006/relationships/hyperlink" Target="https://drive.google.com/drive/folders/1FRlgMwKZ8sIpaRL60OKH_zjUj3Of6E7H" TargetMode="External"/><Relationship Id="rId529" Type="http://schemas.openxmlformats.org/officeDocument/2006/relationships/hyperlink" Target="https://drive.google.com/drive/folders/15FBCH9roOVgh_RrF9qPdbbKGP1Pj5zsr" TargetMode="External"/><Relationship Id="rId528" Type="http://schemas.openxmlformats.org/officeDocument/2006/relationships/hyperlink" Target="https://docs.google.com/spreadsheets/d/17IHK48lZbcBlgGAJSiVd_55rLbshhnkDVBqTU63zg3g/edit" TargetMode="External"/><Relationship Id="rId527" Type="http://schemas.openxmlformats.org/officeDocument/2006/relationships/hyperlink" Target="https://drive.google.com/drive/folders/1mJ7v8XzdXdK2OoTvfVvR8HRWdyygPt-l" TargetMode="External"/><Relationship Id="rId769" Type="http://schemas.openxmlformats.org/officeDocument/2006/relationships/hyperlink" Target="https://docs.google.com/spreadsheets/d/1Ymh97cWP9AVJD4TFdCUxIgPTHzjxbv5sRAkjPizS2d8/edit" TargetMode="External"/><Relationship Id="rId526" Type="http://schemas.openxmlformats.org/officeDocument/2006/relationships/hyperlink" Target="https://docs.google.com/spreadsheets/d/1bfmIig1fGVakKR5J49ypp9KG-WRhILBb521RabDqaq4/edit" TargetMode="External"/><Relationship Id="rId768" Type="http://schemas.openxmlformats.org/officeDocument/2006/relationships/hyperlink" Target="https://drive.google.com/drive/folders/1FKw1SlQ7ZpGH7vlz6JnhqyO58YVBE5vH" TargetMode="External"/><Relationship Id="rId26" Type="http://schemas.openxmlformats.org/officeDocument/2006/relationships/hyperlink" Target="https://drive.google.com/drive/folders/1ToXVjPeA8QWxPxdWbhkOT59-WBhK0eRG" TargetMode="External"/><Relationship Id="rId25" Type="http://schemas.openxmlformats.org/officeDocument/2006/relationships/hyperlink" Target="https://docs.google.com/spreadsheets/d/1z3Kb0ZM3b0cYxMw2eBE8FLNbVZCR8EGVeEjtQyPaoso/edit" TargetMode="External"/><Relationship Id="rId28" Type="http://schemas.openxmlformats.org/officeDocument/2006/relationships/hyperlink" Target="https://drive.google.com/drive/folders/13gT-NbbIsqTwdatiuOwkaMe5G2K5V2Vb" TargetMode="External"/><Relationship Id="rId27" Type="http://schemas.openxmlformats.org/officeDocument/2006/relationships/hyperlink" Target="https://docs.google.com/spreadsheets/d/1hcMo_yCBmlA1T0WTeHgqUHMnzUUcjAMt7oOG7Fxhs7E/edit" TargetMode="External"/><Relationship Id="rId521" Type="http://schemas.openxmlformats.org/officeDocument/2006/relationships/hyperlink" Target="https://drive.google.com/drive/folders/1_dkDIkEyYSrG5rw16GIAiF9Lj1MjibWg" TargetMode="External"/><Relationship Id="rId763" Type="http://schemas.openxmlformats.org/officeDocument/2006/relationships/hyperlink" Target="https://docs.google.com/spreadsheets/d/1nZkPZljbrv92nXg4QV5T4xeYzH3TvoYL_aCP-Dxrz3U/edit" TargetMode="External"/><Relationship Id="rId29" Type="http://schemas.openxmlformats.org/officeDocument/2006/relationships/hyperlink" Target="https://drive.google.com/drive/folders/1Tbtti76mwd1bTLqL5ipEZGfsMGOU0ORX" TargetMode="External"/><Relationship Id="rId520" Type="http://schemas.openxmlformats.org/officeDocument/2006/relationships/hyperlink" Target="https://docs.google.com/spreadsheets/d/1u5nlK89DUKbohumNTMcU9oOnhT7__c91_mu2iHHIxhk/edit" TargetMode="External"/><Relationship Id="rId762" Type="http://schemas.openxmlformats.org/officeDocument/2006/relationships/hyperlink" Target="https://drive.google.com/drive/folders/1itE6br3CVynbCDa48e6h9I3KLWdFl4Na" TargetMode="External"/><Relationship Id="rId761" Type="http://schemas.openxmlformats.org/officeDocument/2006/relationships/hyperlink" Target="https://drive.google.com/drive/folders/17HWWs31k3AoBOCnokMadhkIScQL18agT" TargetMode="External"/><Relationship Id="rId760" Type="http://schemas.openxmlformats.org/officeDocument/2006/relationships/hyperlink" Target="https://docs.google.com/spreadsheets/d/1c4UpmPaXbD24g9f1d-SG1J5R0Bs6d07micvtytMfukg/edit" TargetMode="External"/><Relationship Id="rId11" Type="http://schemas.openxmlformats.org/officeDocument/2006/relationships/hyperlink" Target="https://drive.google.com/drive/folders/1dN5z2TvUuAW5fR2R8Oln19l6Xey6kLYW" TargetMode="External"/><Relationship Id="rId10" Type="http://schemas.openxmlformats.org/officeDocument/2006/relationships/hyperlink" Target="https://drive.google.com/drive/folders/10GAfpW9tHYuuEC8gEw1zIuGL9Ux-2TMP" TargetMode="External"/><Relationship Id="rId13" Type="http://schemas.openxmlformats.org/officeDocument/2006/relationships/hyperlink" Target="https://drive.google.com/drive/folders/1SLeoM8V8lqB7AbcwpZIFkFxIxsUZyNbq" TargetMode="External"/><Relationship Id="rId12" Type="http://schemas.openxmlformats.org/officeDocument/2006/relationships/hyperlink" Target="https://docs.google.com/spreadsheets/d/1gG6109tt997RZ0RZOh_BNdEtAIOwUW8ggEowedu-6Ck/edit" TargetMode="External"/><Relationship Id="rId519" Type="http://schemas.openxmlformats.org/officeDocument/2006/relationships/hyperlink" Target="https://drive.google.com/drive/folders/1nyP_Q0DRGl-xJLducA6Vba1I6SokJ8x2" TargetMode="External"/><Relationship Id="rId514" Type="http://schemas.openxmlformats.org/officeDocument/2006/relationships/hyperlink" Target="https://docs.google.com/spreadsheets/d/1vLaBz74ueKQC05BDHxZbKK6goeX4KXIwd6Tvp-pl8Zg/edit" TargetMode="External"/><Relationship Id="rId756" Type="http://schemas.openxmlformats.org/officeDocument/2006/relationships/hyperlink" Target="https://drive.google.com/drive/folders/1X_Wb5oPGYoQWYvqFGmnIheycEfiY-TgF" TargetMode="External"/><Relationship Id="rId513" Type="http://schemas.openxmlformats.org/officeDocument/2006/relationships/hyperlink" Target="https://drive.google.com/drive/folders/1LjrD26ja8Z6zCjdzTHaBmLYe177IDmdr" TargetMode="External"/><Relationship Id="rId755" Type="http://schemas.openxmlformats.org/officeDocument/2006/relationships/hyperlink" Target="https://docs.google.com/spreadsheets/d/1QcwlmexfHIgCbHqzkOQkbRw_BUu-91jWceUcx2050FE/edit" TargetMode="External"/><Relationship Id="rId512" Type="http://schemas.openxmlformats.org/officeDocument/2006/relationships/hyperlink" Target="https://docs.google.com/spreadsheets/d/1DoydwShLxFhj9cTyIaVm15blnPqnJh7zHTdoUs01LN8/edit" TargetMode="External"/><Relationship Id="rId754" Type="http://schemas.openxmlformats.org/officeDocument/2006/relationships/hyperlink" Target="https://drive.google.com/drive/folders/1cByxL9nvJPmBtV1IPhnydovPy7vyyoge" TargetMode="External"/><Relationship Id="rId511" Type="http://schemas.openxmlformats.org/officeDocument/2006/relationships/hyperlink" Target="https://drive.google.com/drive/folders/1-XN6R3zsaTIjYTfLn9359RQJBsxo00cb" TargetMode="External"/><Relationship Id="rId753" Type="http://schemas.openxmlformats.org/officeDocument/2006/relationships/hyperlink" Target="https://drive.google.com/drive/folders/1gnfdTUN9EC2lyutXrXtBmIPOlcpX5VzC" TargetMode="External"/><Relationship Id="rId518" Type="http://schemas.openxmlformats.org/officeDocument/2006/relationships/hyperlink" Target="https://docs.google.com/spreadsheets/d/1HiDqUYA_MPU2cm2LpWmxJaCWOO7QBi_JoETCkTl7vPU/edit" TargetMode="External"/><Relationship Id="rId517" Type="http://schemas.openxmlformats.org/officeDocument/2006/relationships/hyperlink" Target="https://drive.google.com/drive/folders/1ZoutMW4hUcFAMyEme_Y8L5SkF1NU30g2" TargetMode="External"/><Relationship Id="rId759" Type="http://schemas.openxmlformats.org/officeDocument/2006/relationships/hyperlink" Target="https://drive.google.com/drive/folders/1YO1VPRC0x0suXOHpLM0iyqlm2C4eXwIY" TargetMode="External"/><Relationship Id="rId516" Type="http://schemas.openxmlformats.org/officeDocument/2006/relationships/hyperlink" Target="https://docs.google.com/spreadsheets/d/1rhJaBBEzbkggfETTk-DY2S-cRSFPRY-RoZp0bXmjg2U/edit" TargetMode="External"/><Relationship Id="rId758" Type="http://schemas.openxmlformats.org/officeDocument/2006/relationships/hyperlink" Target="https://docs.google.com/spreadsheets/d/1LnJ5zdvl1b_4zru0KcAtzT52jepIWcNiSYQkH8Ytlsg/edit" TargetMode="External"/><Relationship Id="rId515" Type="http://schemas.openxmlformats.org/officeDocument/2006/relationships/hyperlink" Target="https://drive.google.com/drive/folders/14P9KTS2mhChOFwQ7DioDAAiQG-7eT2c1" TargetMode="External"/><Relationship Id="rId757" Type="http://schemas.openxmlformats.org/officeDocument/2006/relationships/hyperlink" Target="https://drive.google.com/drive/folders/1z06K4LdI9nNCUb9AZNxP58DAR1Lph0oC" TargetMode="External"/><Relationship Id="rId15" Type="http://schemas.openxmlformats.org/officeDocument/2006/relationships/hyperlink" Target="https://docs.google.com/spreadsheets/d/1944RLX7T1M23YXRXYoMnJ6nD_bKLldQXRpFRA0rDLvg/edit" TargetMode="External"/><Relationship Id="rId14" Type="http://schemas.openxmlformats.org/officeDocument/2006/relationships/hyperlink" Target="https://drive.google.com/drive/folders/13RVo-DmL0sOEfvRaGOipwXjJdQSx4pUq" TargetMode="External"/><Relationship Id="rId17" Type="http://schemas.openxmlformats.org/officeDocument/2006/relationships/hyperlink" Target="https://drive.google.com/drive/folders/1C9pL2MAWOMizOneLino5h2ib1M2F2dCK" TargetMode="External"/><Relationship Id="rId16" Type="http://schemas.openxmlformats.org/officeDocument/2006/relationships/hyperlink" Target="https://drive.google.com/drive/folders/1YuhiNU5R31TUFBGJpN3acdPdhZcz9vzp" TargetMode="External"/><Relationship Id="rId19" Type="http://schemas.openxmlformats.org/officeDocument/2006/relationships/hyperlink" Target="https://drive.google.com/drive/folders/12By0jRbWQQGoHf1M0qMVq3rhuqo9ta3G" TargetMode="External"/><Relationship Id="rId510" Type="http://schemas.openxmlformats.org/officeDocument/2006/relationships/hyperlink" Target="https://drive.google.com/drive/folders/1bfjc1gsA98QSk6gGLm4Xjn0VJEP10oh2" TargetMode="External"/><Relationship Id="rId752" Type="http://schemas.openxmlformats.org/officeDocument/2006/relationships/hyperlink" Target="https://docs.google.com/spreadsheets/d/1LVNRMyRyFnfxu6UwLDnFcaHRPwib_izj4XjkxL7ErVk/edit" TargetMode="External"/><Relationship Id="rId18" Type="http://schemas.openxmlformats.org/officeDocument/2006/relationships/hyperlink" Target="https://docs.google.com/spreadsheets/d/150xD2ZWlv_NqqijpFlWWgIoGhpbdGM3zmaQdQAd1q5M/edit" TargetMode="External"/><Relationship Id="rId751" Type="http://schemas.openxmlformats.org/officeDocument/2006/relationships/hyperlink" Target="https://drive.google.com/drive/folders/1p7aCTqnI2XRvz8BWTLoo3P5-1D-18UZA" TargetMode="External"/><Relationship Id="rId750" Type="http://schemas.openxmlformats.org/officeDocument/2006/relationships/hyperlink" Target="https://drive.google.com/drive/folders/13E2ot66UM_V9OHXbMUV5WAPTZ_q8283H" TargetMode="External"/><Relationship Id="rId84" Type="http://schemas.openxmlformats.org/officeDocument/2006/relationships/hyperlink" Target="https://docs.google.com/spreadsheets/d/1HtysfhpGiYy4pDXvahWxBmR24wGrNyOL6Yy9V9oDnB4/edit" TargetMode="External"/><Relationship Id="rId83" Type="http://schemas.openxmlformats.org/officeDocument/2006/relationships/hyperlink" Target="https://drive.google.com/drive/folders/1SFMdlZ2nPw3qbPP8YByVSWRm_SmFKGpg" TargetMode="External"/><Relationship Id="rId86" Type="http://schemas.openxmlformats.org/officeDocument/2006/relationships/hyperlink" Target="https://docs.google.com/spreadsheets/d/1eZlt3K2rssS_3hpp5DKow70BJWa_wksndc0ag7yiUs4/edit" TargetMode="External"/><Relationship Id="rId85" Type="http://schemas.openxmlformats.org/officeDocument/2006/relationships/hyperlink" Target="https://drive.google.com/drive/folders/1khPQuXw11j78k-QzymPgip-4CWkC476j" TargetMode="External"/><Relationship Id="rId88" Type="http://schemas.openxmlformats.org/officeDocument/2006/relationships/hyperlink" Target="https://drive.google.com/drive/folders/1DddBNqOF9RPEakRdxKO44Ierl4cDbhRv" TargetMode="External"/><Relationship Id="rId87" Type="http://schemas.openxmlformats.org/officeDocument/2006/relationships/hyperlink" Target="https://drive.google.com/drive/folders/1PPWBI5Z64XVz-ubRTNSMmh-sRHdckZjA" TargetMode="External"/><Relationship Id="rId89" Type="http://schemas.openxmlformats.org/officeDocument/2006/relationships/hyperlink" Target="https://docs.google.com/spreadsheets/d/1AjVyIHPgPw3jscNmkTH1qzR2RokK5FZaJLjeNfOiYAA/edit" TargetMode="External"/><Relationship Id="rId709" Type="http://schemas.openxmlformats.org/officeDocument/2006/relationships/hyperlink" Target="https://drive.google.com/drive/folders/1EJqAk-2BJUmkRIlK9vvOhbeJO5Frj6F3" TargetMode="External"/><Relationship Id="rId708" Type="http://schemas.openxmlformats.org/officeDocument/2006/relationships/hyperlink" Target="https://docs.google.com/spreadsheets/d/1D0bYz3VnU-VHJIxa-b_ygaVix-3eTTISmRnDDIWBdUM/edit" TargetMode="External"/><Relationship Id="rId707" Type="http://schemas.openxmlformats.org/officeDocument/2006/relationships/hyperlink" Target="https://drive.google.com/drive/folders/1ReeynROSqvkn6cb4yBNY2PJvRhCxjMQO" TargetMode="External"/><Relationship Id="rId706" Type="http://schemas.openxmlformats.org/officeDocument/2006/relationships/hyperlink" Target="https://docs.google.com/spreadsheets/d/1Rt3N-j0r2Em5s4csoiyfu2dZgRIzx0sNXUWimr9m_U4/edit" TargetMode="External"/><Relationship Id="rId80" Type="http://schemas.openxmlformats.org/officeDocument/2006/relationships/hyperlink" Target="https://docs.google.com/spreadsheets/d/19bXssdH9Vj9S4-hnqEvDKXxBYkCZb2YideGN1EcSGyk/edit" TargetMode="External"/><Relationship Id="rId82" Type="http://schemas.openxmlformats.org/officeDocument/2006/relationships/hyperlink" Target="https://docs.google.com/spreadsheets/d/1EKUX2g7taP0J1K7X0BVbZcttQIgEqnHtNldFX8ZYPLQ/edit" TargetMode="External"/><Relationship Id="rId81" Type="http://schemas.openxmlformats.org/officeDocument/2006/relationships/hyperlink" Target="https://drive.google.com/drive/folders/1HwCZzmhM0imq0qdee4Y_8FtM90nbNbU5" TargetMode="External"/><Relationship Id="rId701" Type="http://schemas.openxmlformats.org/officeDocument/2006/relationships/hyperlink" Target="https://drive.google.com/drive/folders/1tTRuGz0_BNdOd_EL2yfD4uSelWCkPTLx" TargetMode="External"/><Relationship Id="rId700" Type="http://schemas.openxmlformats.org/officeDocument/2006/relationships/hyperlink" Target="https://docs.google.com/spreadsheets/d/1j6kSc9K8tCblFNSj_E0V1RN6vamZO2mUImuRcmAEmTA/edit" TargetMode="External"/><Relationship Id="rId705" Type="http://schemas.openxmlformats.org/officeDocument/2006/relationships/hyperlink" Target="https://drive.google.com/drive/folders/1Pf5HwvQ8pESnAwe8Cpo_9JPG1PEB7-pu" TargetMode="External"/><Relationship Id="rId704" Type="http://schemas.openxmlformats.org/officeDocument/2006/relationships/hyperlink" Target="https://docs.google.com/spreadsheets/d/1W3-jZjI2u0tVYh2hYKl3zGL5m_jhz5IRzXYj0clftmM/edit" TargetMode="External"/><Relationship Id="rId703" Type="http://schemas.openxmlformats.org/officeDocument/2006/relationships/hyperlink" Target="https://drive.google.com/drive/folders/1fkx1EVU-mvVL8AjYGbtVr41kyu1m11Tj" TargetMode="External"/><Relationship Id="rId702" Type="http://schemas.openxmlformats.org/officeDocument/2006/relationships/hyperlink" Target="https://docs.google.com/spreadsheets/d/1fv8dWFkW6b7Hzi-3JpJOz2oZJtF8mmvQvdvX2JWmNEQ/edit" TargetMode="External"/><Relationship Id="rId73" Type="http://schemas.openxmlformats.org/officeDocument/2006/relationships/hyperlink" Target="https://drive.google.com/drive/folders/1V7nR_NOlxUiLrIEz6t01JWVGqhui3_To" TargetMode="External"/><Relationship Id="rId72" Type="http://schemas.openxmlformats.org/officeDocument/2006/relationships/hyperlink" Target="https://docs.google.com/spreadsheets/d/1Yfv0ZT_aQDLFHljdKtMo2aojtvVSEhmBaoVtpPdjPPo/edit" TargetMode="External"/><Relationship Id="rId75" Type="http://schemas.openxmlformats.org/officeDocument/2006/relationships/hyperlink" Target="https://drive.google.com/drive/folders/15xAV-fPdeqVN5_mTxpWPPCg_nj9c75LI" TargetMode="External"/><Relationship Id="rId74" Type="http://schemas.openxmlformats.org/officeDocument/2006/relationships/hyperlink" Target="https://docs.google.com/spreadsheets/d/1sJ2STkoqQ3nTzfRPt0AHHPB6KjkvtyOHIVnE3dDR6mk/edit" TargetMode="External"/><Relationship Id="rId77" Type="http://schemas.openxmlformats.org/officeDocument/2006/relationships/hyperlink" Target="https://drive.google.com/drive/folders/1pCIi1O4-kVmyA98h_RCyBvONU6V0mKKb" TargetMode="External"/><Relationship Id="rId76" Type="http://schemas.openxmlformats.org/officeDocument/2006/relationships/hyperlink" Target="https://docs.google.com/spreadsheets/d/1WH65I6cboV1MjKQhx3zM2QiEmuHtQjnKUssDiU-VP7k/edit" TargetMode="External"/><Relationship Id="rId79" Type="http://schemas.openxmlformats.org/officeDocument/2006/relationships/hyperlink" Target="https://drive.google.com/drive/folders/1a-jgvi_OxsqU9hHQuhNCDAnqGdBpcJjr" TargetMode="External"/><Relationship Id="rId78" Type="http://schemas.openxmlformats.org/officeDocument/2006/relationships/hyperlink" Target="https://docs.google.com/spreadsheets/d/1ipiizJhZiRSwa-HGPYAXoFXM18mwPYV5FEGfOTvybvk/edit" TargetMode="External"/><Relationship Id="rId71" Type="http://schemas.openxmlformats.org/officeDocument/2006/relationships/hyperlink" Target="https://drive.google.com/drive/folders/17S9aOrI9e1SwOcJfruwE3_xNKYruvgaq" TargetMode="External"/><Relationship Id="rId70" Type="http://schemas.openxmlformats.org/officeDocument/2006/relationships/hyperlink" Target="https://drive.google.com/drive/folders/1dH_7okuuK-1bVoJ5Ky77KgzcTaBlOiYf" TargetMode="External"/><Relationship Id="rId62" Type="http://schemas.openxmlformats.org/officeDocument/2006/relationships/hyperlink" Target="https://drive.google.com/drive/folders/1ndvTAh0yro1WghsSZ5PQ4YW_Xd2JwJog" TargetMode="External"/><Relationship Id="rId61" Type="http://schemas.openxmlformats.org/officeDocument/2006/relationships/hyperlink" Target="https://drive.google.com/drive/folders/17A7IbKMCZo7fcsKgUt-5dtvZP-6JB3S8" TargetMode="External"/><Relationship Id="rId64" Type="http://schemas.openxmlformats.org/officeDocument/2006/relationships/hyperlink" Target="https://drive.google.com/drive/folders/1WTq2uGfe9YhdWaBocUujfFHjlr3jj3CV" TargetMode="External"/><Relationship Id="rId63" Type="http://schemas.openxmlformats.org/officeDocument/2006/relationships/hyperlink" Target="https://docs.google.com/spreadsheets/d/1zcLyE9iYZSiWbBeptOlHKDUHdbuB0nnxanzAjCJdWSI/edit" TargetMode="External"/><Relationship Id="rId66" Type="http://schemas.openxmlformats.org/officeDocument/2006/relationships/hyperlink" Target="https://docs.google.com/spreadsheets/d/1LnxzSZR-Hn1GFJEM91CqSDi8yQ1-11OqyVT04QUkFAM/edit" TargetMode="External"/><Relationship Id="rId65" Type="http://schemas.openxmlformats.org/officeDocument/2006/relationships/hyperlink" Target="https://drive.google.com/drive/folders/1hec0I55cqzc5kGBXl7WRmmnYN1sS0drg" TargetMode="External"/><Relationship Id="rId68" Type="http://schemas.openxmlformats.org/officeDocument/2006/relationships/hyperlink" Target="https://drive.google.com/drive/folders/1XmAAMGrdxkiZ6J14ycc7ozdan2ocG_cD" TargetMode="External"/><Relationship Id="rId67" Type="http://schemas.openxmlformats.org/officeDocument/2006/relationships/hyperlink" Target="https://drive.google.com/drive/folders/1ffe0sw45FFOfbu0fYjdqXQoeGZNfvxKT" TargetMode="External"/><Relationship Id="rId729" Type="http://schemas.openxmlformats.org/officeDocument/2006/relationships/hyperlink" Target="https://drive.google.com/drive/folders/12jbYM4CcrEjn1UAyxUkkMQa8jShCjaJo" TargetMode="External"/><Relationship Id="rId728" Type="http://schemas.openxmlformats.org/officeDocument/2006/relationships/hyperlink" Target="https://docs.google.com/spreadsheets/d/1050xuIkuCwbciPjL7NYnIQd49nor1NbjSoUBzXpeVrU/edit" TargetMode="External"/><Relationship Id="rId60" Type="http://schemas.openxmlformats.org/officeDocument/2006/relationships/hyperlink" Target="https://docs.google.com/spreadsheets/d/1mkGLSaVL5-IAXKq9KqXFgJH64Li9oMA9V0u_seCn1jg/edit" TargetMode="External"/><Relationship Id="rId723" Type="http://schemas.openxmlformats.org/officeDocument/2006/relationships/hyperlink" Target="https://docs.google.com/spreadsheets/d/1x38XOM-VqTgqoXTPjpnyXIiMMrMalrJof7768QJp3LU/edit" TargetMode="External"/><Relationship Id="rId722" Type="http://schemas.openxmlformats.org/officeDocument/2006/relationships/hyperlink" Target="https://drive.google.com/drive/folders/1hOPutRDFyzHZ3id1Q8bOW0ZqtgAlj-8k" TargetMode="External"/><Relationship Id="rId721" Type="http://schemas.openxmlformats.org/officeDocument/2006/relationships/hyperlink" Target="https://docs.google.com/spreadsheets/d/1X_m6RcHqFfcQ7cuPRVFGEfC7_tgNzz3k2sBzk-y5Lho/edit" TargetMode="External"/><Relationship Id="rId720" Type="http://schemas.openxmlformats.org/officeDocument/2006/relationships/hyperlink" Target="https://drive.google.com/drive/folders/1gk9MGh_gvdlxVRXMP1vqiad00Ijb47uV" TargetMode="External"/><Relationship Id="rId727" Type="http://schemas.openxmlformats.org/officeDocument/2006/relationships/hyperlink" Target="https://drive.google.com/drive/folders/1AFO4YXJ1YgQQ2hBU2DATPalcq7DPJoMV" TargetMode="External"/><Relationship Id="rId726" Type="http://schemas.openxmlformats.org/officeDocument/2006/relationships/hyperlink" Target="https://docs.google.com/spreadsheets/d/1JCRksT80QgKH0ah33tn7at3md6-Y1gqZnHoR-f94zj4/edit" TargetMode="External"/><Relationship Id="rId725" Type="http://schemas.openxmlformats.org/officeDocument/2006/relationships/hyperlink" Target="https://drive.google.com/drive/folders/11kbPvFFk2uTJaod4ybyWmNpZ8l6AqWHU" TargetMode="External"/><Relationship Id="rId724" Type="http://schemas.openxmlformats.org/officeDocument/2006/relationships/hyperlink" Target="https://drive.google.com/drive/folders/10G0uxFrzLlWzBcfdenqiybl8hecck5zY" TargetMode="External"/><Relationship Id="rId69" Type="http://schemas.openxmlformats.org/officeDocument/2006/relationships/hyperlink" Target="https://docs.google.com/spreadsheets/d/1ytBGcO8tIze81xKkAa9lWDcflthsPL6SuADAXbhmuwA/edit" TargetMode="External"/><Relationship Id="rId51" Type="http://schemas.openxmlformats.org/officeDocument/2006/relationships/hyperlink" Target="https://drive.google.com/drive/folders/1Nbux6zsjCwadV5HjEjvovO0pnUdPMpti" TargetMode="External"/><Relationship Id="rId50" Type="http://schemas.openxmlformats.org/officeDocument/2006/relationships/hyperlink" Target="https://docs.google.com/spreadsheets/d/1aig_7rzTvnQej6pxtLbGhfZNPUH2VLzHk2NHcxmPOhg/edit" TargetMode="External"/><Relationship Id="rId53" Type="http://schemas.openxmlformats.org/officeDocument/2006/relationships/hyperlink" Target="https://docs.google.com/spreadsheets/d/1Q3uII698FTgwSsGljmJBRy3Pnf7HltUwjiLdE7gTk3E/edit" TargetMode="External"/><Relationship Id="rId52" Type="http://schemas.openxmlformats.org/officeDocument/2006/relationships/hyperlink" Target="https://drive.google.com/drive/folders/1kOtpB3JpSGN9hRE1iH8sQc2IC0WWtNce" TargetMode="External"/><Relationship Id="rId55" Type="http://schemas.openxmlformats.org/officeDocument/2006/relationships/hyperlink" Target="https://docs.google.com/spreadsheets/d/1vUFSLp9ap8UTFwG791bhTrhPizHEeVuDln11hfH1j4w/edit" TargetMode="External"/><Relationship Id="rId54" Type="http://schemas.openxmlformats.org/officeDocument/2006/relationships/hyperlink" Target="https://drive.google.com/drive/folders/1ACPnDHFGhg3KSAEz9Tm96XoZlbYHI70X" TargetMode="External"/><Relationship Id="rId57" Type="http://schemas.openxmlformats.org/officeDocument/2006/relationships/hyperlink" Target="https://docs.google.com/spreadsheets/d/1RySEyS05cXvVcjfIhWh9Hhv1aLw7DmuiSqcsr3PfWVo/edit" TargetMode="External"/><Relationship Id="rId56" Type="http://schemas.openxmlformats.org/officeDocument/2006/relationships/hyperlink" Target="https://drive.google.com/drive/folders/1NcZFwn40Wlluj_juA-CjWiX5b3Nh_oz8" TargetMode="External"/><Relationship Id="rId719" Type="http://schemas.openxmlformats.org/officeDocument/2006/relationships/hyperlink" Target="https://docs.google.com/spreadsheets/d/1xFID_8JlzSrxrXeYVgdRqij29QdUPwj9WI5dysI9CDw/edit" TargetMode="External"/><Relationship Id="rId718" Type="http://schemas.openxmlformats.org/officeDocument/2006/relationships/hyperlink" Target="https://drive.google.com/drive/folders/1m8qDNIJ5rMqEXMeht8yhg29XTnWFGsmM" TargetMode="External"/><Relationship Id="rId717" Type="http://schemas.openxmlformats.org/officeDocument/2006/relationships/hyperlink" Target="https://docs.google.com/spreadsheets/d/1bhPjaQq-g1jDtXoW8RLurTGLJE_d2uN5NupwulpULrs/edit" TargetMode="External"/><Relationship Id="rId712" Type="http://schemas.openxmlformats.org/officeDocument/2006/relationships/hyperlink" Target="https://drive.google.com/drive/folders/1Vi8eBbrEKScKQmx2F5SP8fKh1ya3Y58V" TargetMode="External"/><Relationship Id="rId711" Type="http://schemas.openxmlformats.org/officeDocument/2006/relationships/hyperlink" Target="https://drive.google.com/drive/folders/1FOLgZCqItuKN9hkjRS7LJs7B7cscea-W" TargetMode="External"/><Relationship Id="rId710" Type="http://schemas.openxmlformats.org/officeDocument/2006/relationships/hyperlink" Target="https://docs.google.com/spreadsheets/d/1iS0OzsOEgzLoPMX6_hFFZoxQvPZH07oslA_7etrLuZw/edit" TargetMode="External"/><Relationship Id="rId716" Type="http://schemas.openxmlformats.org/officeDocument/2006/relationships/hyperlink" Target="https://drive.google.com/drive/folders/1KM5N_6FaDRd8-XuLzGu2HCtfGJo5bXiM" TargetMode="External"/><Relationship Id="rId715" Type="http://schemas.openxmlformats.org/officeDocument/2006/relationships/hyperlink" Target="https://docs.google.com/spreadsheets/d/1uBiAsC5-HA2hRNcQGD_6Mpaq6LmZNpNtQhdpeLcD4Yg/edit" TargetMode="External"/><Relationship Id="rId714" Type="http://schemas.openxmlformats.org/officeDocument/2006/relationships/hyperlink" Target="https://drive.google.com/drive/folders/1nhN0DQqsOd-HwDai_1vlvXTUpRb4UG63" TargetMode="External"/><Relationship Id="rId713" Type="http://schemas.openxmlformats.org/officeDocument/2006/relationships/hyperlink" Target="https://docs.google.com/spreadsheets/d/1FBjXAE1-KKWRluxAeSNXWWc03DBWHZmw6NQIaZREyIU/edit" TargetMode="External"/><Relationship Id="rId59" Type="http://schemas.openxmlformats.org/officeDocument/2006/relationships/hyperlink" Target="https://drive.google.com/drive/folders/1jAVXzHcD2iRtXEAI52HjHFQQ2QpEi70c" TargetMode="External"/><Relationship Id="rId58" Type="http://schemas.openxmlformats.org/officeDocument/2006/relationships/hyperlink" Target="https://drive.google.com/drive/folders/1tVz2C2NFA9v7asUZP3TjCgLJeke2fcxx" TargetMode="External"/><Relationship Id="rId590" Type="http://schemas.openxmlformats.org/officeDocument/2006/relationships/hyperlink" Target="https://docs.google.com/spreadsheets/d/1IvhNiO_rNg1IV2ApA-e8TfjWXV5sahUvtIFjbiqS99s/edit" TargetMode="External"/><Relationship Id="rId107" Type="http://schemas.openxmlformats.org/officeDocument/2006/relationships/hyperlink" Target="https://drive.google.com/drive/folders/1XtIwW1rkyDpNQFlh3BF7osBYfJ5XBIYX" TargetMode="External"/><Relationship Id="rId349" Type="http://schemas.openxmlformats.org/officeDocument/2006/relationships/hyperlink" Target="https://drive.google.com/drive/folders/1Z-W5abU1REQja8AsecOwAcGCs_7iQ36x" TargetMode="External"/><Relationship Id="rId106" Type="http://schemas.openxmlformats.org/officeDocument/2006/relationships/hyperlink" Target="https://docs.google.com/spreadsheets/d/10OrFTKO4yhmJjB2PdJsPBFWFJQhFkWOzdv4SLQemIhs/edit" TargetMode="External"/><Relationship Id="rId348" Type="http://schemas.openxmlformats.org/officeDocument/2006/relationships/hyperlink" Target="https://docs.google.com/spreadsheets/d/1Kqyxw-0LSboMEeSuqYrhFgisXxilEf1M2rD8r466Po0/edit" TargetMode="External"/><Relationship Id="rId105" Type="http://schemas.openxmlformats.org/officeDocument/2006/relationships/hyperlink" Target="https://drive.google.com/drive/folders/1qctl3sdBHjdKRrFmb_3QVJ0ot6Qtm618" TargetMode="External"/><Relationship Id="rId347" Type="http://schemas.openxmlformats.org/officeDocument/2006/relationships/hyperlink" Target="https://drive.google.com/drive/folders/1MoawB0TZPvgTP5fzh2aTgh29vZDzHZcK" TargetMode="External"/><Relationship Id="rId589" Type="http://schemas.openxmlformats.org/officeDocument/2006/relationships/hyperlink" Target="https://drive.google.com/drive/folders/1BTPM7Brbg6Z-m-fKSSKpy8yECk8edkVI" TargetMode="External"/><Relationship Id="rId104" Type="http://schemas.openxmlformats.org/officeDocument/2006/relationships/hyperlink" Target="https://docs.google.com/spreadsheets/d/10y5zpV0ufroZh5B-Qo1GwJlSJsEyRLymOo-gShU03gk/edit" TargetMode="External"/><Relationship Id="rId346" Type="http://schemas.openxmlformats.org/officeDocument/2006/relationships/hyperlink" Target="https://docs.google.com/spreadsheets/d/1_XLcWBp4ERHFxiaI3kI_QYeTmiuf6jLnvzg57PKGdV4/edit" TargetMode="External"/><Relationship Id="rId588" Type="http://schemas.openxmlformats.org/officeDocument/2006/relationships/hyperlink" Target="https://docs.google.com/spreadsheets/d/19-6IeElMwTssF4aorJkfA7Hy5Pfa62mHkj31T_xKwZg/edit" TargetMode="External"/><Relationship Id="rId109" Type="http://schemas.openxmlformats.org/officeDocument/2006/relationships/hyperlink" Target="https://drive.google.com/drive/folders/16vpQrLPQibv97E8uvtB6Mx5OtFNcVhdI" TargetMode="External"/><Relationship Id="rId108" Type="http://schemas.openxmlformats.org/officeDocument/2006/relationships/hyperlink" Target="https://docs.google.com/spreadsheets/d/1XmVYrBOLuyIm0rpXhFaYpcRQ1t4YH3PN3pmiTosn08E/edit" TargetMode="External"/><Relationship Id="rId341" Type="http://schemas.openxmlformats.org/officeDocument/2006/relationships/hyperlink" Target="https://drive.google.com/drive/folders/144ZebTYaaHF-f4NKiut4ocwgizjFdArR" TargetMode="External"/><Relationship Id="rId583" Type="http://schemas.openxmlformats.org/officeDocument/2006/relationships/hyperlink" Target="https://drive.google.com/" TargetMode="External"/><Relationship Id="rId340" Type="http://schemas.openxmlformats.org/officeDocument/2006/relationships/hyperlink" Target="https://drive.google.com/drive/folders/1kwKz_y3Aj12aOfVxcjmJPJJXYpMp4c82" TargetMode="External"/><Relationship Id="rId582" Type="http://schemas.openxmlformats.org/officeDocument/2006/relationships/hyperlink" Target="https://drive.google.com/drive/folders/1qMjmvs5CweaBMqapK6nwaGnsqrxlWgiR" TargetMode="External"/><Relationship Id="rId581" Type="http://schemas.openxmlformats.org/officeDocument/2006/relationships/hyperlink" Target="https://docs.google.com/spreadsheets/d/1adAGJVvFi0F-pwP4fXxBabggqbrsou9iy1He5MQkXp4/edit" TargetMode="External"/><Relationship Id="rId580" Type="http://schemas.openxmlformats.org/officeDocument/2006/relationships/hyperlink" Target="https://drive.google.com/drive/folders/1WAN92M-SVwz4QQSPWewxUpLUtoL3uFsV" TargetMode="External"/><Relationship Id="rId103" Type="http://schemas.openxmlformats.org/officeDocument/2006/relationships/hyperlink" Target="https://drive.google.com/drive/folders/1f-0W3r9q4U5CzyQCt5y7u2BGiw78sBK7" TargetMode="External"/><Relationship Id="rId345" Type="http://schemas.openxmlformats.org/officeDocument/2006/relationships/hyperlink" Target="https://drive.google.com/drive/folders/1CwfruJr0h2DR54ooUeBjo9rXXbB3HJWl" TargetMode="External"/><Relationship Id="rId587" Type="http://schemas.openxmlformats.org/officeDocument/2006/relationships/hyperlink" Target="https://drive.google.com/drive/folders/1b-5S3xJHuXEavetZ1oQUuZHLE0l77Dlh" TargetMode="External"/><Relationship Id="rId102" Type="http://schemas.openxmlformats.org/officeDocument/2006/relationships/hyperlink" Target="https://docs.google.com/spreadsheets/d/1HvellLIIt0McYf2irXwhP04Oc9HTCBdhkpvifuxyx8g/edit" TargetMode="External"/><Relationship Id="rId344" Type="http://schemas.openxmlformats.org/officeDocument/2006/relationships/hyperlink" Target="https://docs.google.com/spreadsheets/d/10TVZfWpwLQGjQeNEgYtxUDB0Ff-TAcnqGp35yEFO690/edit" TargetMode="External"/><Relationship Id="rId586" Type="http://schemas.openxmlformats.org/officeDocument/2006/relationships/hyperlink" Target="https://docs.google.com/spreadsheets/d/1TMoK3EazfL-7jZ93zmbRweRcJH2sH5eJ2ciO7ryiDaU/edit" TargetMode="External"/><Relationship Id="rId101" Type="http://schemas.openxmlformats.org/officeDocument/2006/relationships/hyperlink" Target="https://drive.google.com/drive/folders/14UKwtwNqi2euLmnmNyy-9ZtYmAK4zIVl" TargetMode="External"/><Relationship Id="rId343" Type="http://schemas.openxmlformats.org/officeDocument/2006/relationships/hyperlink" Target="https://drive.google.com/drive/folders/1xAwbkA6AHUW7cEQCZiknO4F7cpzEPuU7" TargetMode="External"/><Relationship Id="rId585" Type="http://schemas.openxmlformats.org/officeDocument/2006/relationships/hyperlink" Target="https://drive.google.com/drive/folders/1cugyINhAi1LuM15HUb7J-naqA3sDlBWG" TargetMode="External"/><Relationship Id="rId100" Type="http://schemas.openxmlformats.org/officeDocument/2006/relationships/hyperlink" Target="https://docs.google.com/spreadsheets/d/1mh6Ew8Xo6CDWTwSaZz97uDQi3oGwOh-iBN44riWn7aM/edit" TargetMode="External"/><Relationship Id="rId342" Type="http://schemas.openxmlformats.org/officeDocument/2006/relationships/hyperlink" Target="https://docs.google.com/spreadsheets/d/1gpkFkt64SOPtUdTLgYHh3ywX3j8A0gBqJpCUqa9mZ2E/edit" TargetMode="External"/><Relationship Id="rId584" Type="http://schemas.openxmlformats.org/officeDocument/2006/relationships/hyperlink" Target="https://docs.google.com/spreadsheets/d/15uhTTh3U4NtU7dtogFOcc_qPQ7_1_JO1RNn9VV2M20o/edit" TargetMode="External"/><Relationship Id="rId338" Type="http://schemas.openxmlformats.org/officeDocument/2006/relationships/hyperlink" Target="https://drive.google.com/drive/folders/1p0ecj3trYOstSn1HYCdbs6-l9q1qC75N" TargetMode="External"/><Relationship Id="rId337" Type="http://schemas.openxmlformats.org/officeDocument/2006/relationships/hyperlink" Target="https://drive.google.com/drive/folders/1LENl-krZa-gFxKQLoA_4M8F7IgB1NzvB" TargetMode="External"/><Relationship Id="rId579" Type="http://schemas.openxmlformats.org/officeDocument/2006/relationships/hyperlink" Target="https://docs.google.com/spreadsheets/d/1IMcQqxHRw8US8te4fBVvZW4P02L-zmWAO8h94QGx7Eg/edit" TargetMode="External"/><Relationship Id="rId336" Type="http://schemas.openxmlformats.org/officeDocument/2006/relationships/hyperlink" Target="https://docs.google.com/spreadsheets/d/1whkrB_X-9Od4l-1CkkLvnSLfIwfTyRMI1A3rhlUbkHU/edit" TargetMode="External"/><Relationship Id="rId578" Type="http://schemas.openxmlformats.org/officeDocument/2006/relationships/hyperlink" Target="https://drive.google.com/drive/folders/1OBvMEztfq2sQBQ4-_CarIccAoRIcpTaE" TargetMode="External"/><Relationship Id="rId335" Type="http://schemas.openxmlformats.org/officeDocument/2006/relationships/hyperlink" Target="https://drive.google.com/drive/folders/1g5fLxgXijICYTdzZKntgXFfOct6WVqiP" TargetMode="External"/><Relationship Id="rId577" Type="http://schemas.openxmlformats.org/officeDocument/2006/relationships/hyperlink" Target="https://docs.google.com/spreadsheets/d/1nEeaFhAsFkti6A1RQlVCs8bVVDbn1HO5_E8Nv2sncWw/edit" TargetMode="External"/><Relationship Id="rId339" Type="http://schemas.openxmlformats.org/officeDocument/2006/relationships/hyperlink" Target="https://docs.google.com/spreadsheets/d/1R-KBg0YkrorE8DStygYpBSvRKir_GExYWSoR962MR28/edit" TargetMode="External"/><Relationship Id="rId330" Type="http://schemas.openxmlformats.org/officeDocument/2006/relationships/hyperlink" Target="https://docs.google.com/spreadsheets/d/1QtE2j1s3tO4so4-6brIBcxG25GkuhYSP382fzi5rqdw/edit" TargetMode="External"/><Relationship Id="rId572" Type="http://schemas.openxmlformats.org/officeDocument/2006/relationships/hyperlink" Target="https://drive.google.com/drive/folders/15ybTKL0a49xEW2HiaAGH6Sk2aGWQyqcM" TargetMode="External"/><Relationship Id="rId571" Type="http://schemas.openxmlformats.org/officeDocument/2006/relationships/hyperlink" Target="https://docs.google.com/spreadsheets/d/1JAbS28NFmfJxZrsQ7twsfzmqCme35J_wqOELlcNcX1c/edit" TargetMode="External"/><Relationship Id="rId570" Type="http://schemas.openxmlformats.org/officeDocument/2006/relationships/hyperlink" Target="https://drive.google.com/drive/folders/1bZZCBMF7x6B33ekgHsOz8NXqR-1_V1BE" TargetMode="External"/><Relationship Id="rId334" Type="http://schemas.openxmlformats.org/officeDocument/2006/relationships/hyperlink" Target="https://drive.google.com/drive/folders/1gdnMMAoJ2ktJiI0WWAw8IKzGjKY4q0el" TargetMode="External"/><Relationship Id="rId576" Type="http://schemas.openxmlformats.org/officeDocument/2006/relationships/hyperlink" Target="https://drive.google.com/drive/folders/1HawQdd2bxXWDV5hlXoNpgkIDXVnhbXZN" TargetMode="External"/><Relationship Id="rId333" Type="http://schemas.openxmlformats.org/officeDocument/2006/relationships/hyperlink" Target="https://docs.google.com/spreadsheets/d/1d-fClpNuQDkiOpgBIcTAkZx1QbsS35V0oPcKli3TAOc/edit" TargetMode="External"/><Relationship Id="rId575" Type="http://schemas.openxmlformats.org/officeDocument/2006/relationships/hyperlink" Target="https://drive.google.com/drive/folders/1WL_jMEmcop4ft39vGl3LefvgaCYpDz-N" TargetMode="External"/><Relationship Id="rId332" Type="http://schemas.openxmlformats.org/officeDocument/2006/relationships/hyperlink" Target="https://drive.google.com/drive/folders/1KMil2GTb6nVDDLA3f_KEPBU57tObCHqP" TargetMode="External"/><Relationship Id="rId574" Type="http://schemas.openxmlformats.org/officeDocument/2006/relationships/hyperlink" Target="https://docs.google.com/spreadsheets/d/1KROhijYRp4JJHg6qMghouwiu3FhY0i9nzQ4icP6smio/edit" TargetMode="External"/><Relationship Id="rId331" Type="http://schemas.openxmlformats.org/officeDocument/2006/relationships/hyperlink" Target="https://drive.google.com/drive/folders/1EXwONwSw2teN9LU7mStF8syPr5beVCRW" TargetMode="External"/><Relationship Id="rId573" Type="http://schemas.openxmlformats.org/officeDocument/2006/relationships/hyperlink" Target="https://drive.google.com/drive/folders/1Q3vb1Nhnyfx4KBKK8a-mI4plJcigMJf1" TargetMode="External"/><Relationship Id="rId370" Type="http://schemas.openxmlformats.org/officeDocument/2006/relationships/hyperlink" Target="https://drive.google.com/drive/folders/1VHWGocibOcs_zM1dqYgT43p5T-Ru5nlQ" TargetMode="External"/><Relationship Id="rId129" Type="http://schemas.openxmlformats.org/officeDocument/2006/relationships/hyperlink" Target="https://drive.google.com/drive/folders/1Uyv8RzTJy7ahpOWR_De3Xci7wyimwtkX" TargetMode="External"/><Relationship Id="rId128" Type="http://schemas.openxmlformats.org/officeDocument/2006/relationships/hyperlink" Target="https://drive.google.com/drive/folders/1ss347epbmh1qRtuwW4KV9kvr_0p-sVc7" TargetMode="External"/><Relationship Id="rId127" Type="http://schemas.openxmlformats.org/officeDocument/2006/relationships/hyperlink" Target="https://docs.google.com/spreadsheets/d/1csqV0P6rAjfUqgWrDmILPq5QMP6GfGOsFVhZ25vdQsw/edit" TargetMode="External"/><Relationship Id="rId369" Type="http://schemas.openxmlformats.org/officeDocument/2006/relationships/hyperlink" Target="https://docs.google.com/spreadsheets/d/1qQZx2rIu3czgGT-jqqGQhriwwhiT40cPvlLtgeF1YSg/edit" TargetMode="External"/><Relationship Id="rId126" Type="http://schemas.openxmlformats.org/officeDocument/2006/relationships/hyperlink" Target="https://drive.google.com/drive/folders/1bjuY81sfDGhHdSCYIjs90rqTs9_Ublo3" TargetMode="External"/><Relationship Id="rId368" Type="http://schemas.openxmlformats.org/officeDocument/2006/relationships/hyperlink" Target="https://drive.google.com/drive/folders/1Z-b9R-X2R7IyvK5JGdGOp800Q_n-1noZ" TargetMode="External"/><Relationship Id="rId121" Type="http://schemas.openxmlformats.org/officeDocument/2006/relationships/hyperlink" Target="https://drive.google.com/drive/folders/1ASEGaxGcM1XEVPDkMD7RnHGsRo-X_oGV" TargetMode="External"/><Relationship Id="rId363" Type="http://schemas.openxmlformats.org/officeDocument/2006/relationships/hyperlink" Target="https://docs.google.com/spreadsheets/d/1Y6CS_YCls02UZ2FEArdhqIm2nzY7mjD6osbZ1wBxDHc/edit" TargetMode="External"/><Relationship Id="rId120" Type="http://schemas.openxmlformats.org/officeDocument/2006/relationships/hyperlink" Target="https://docs.google.com/spreadsheets/d/1IGdLk1wrvnQTH7dsivMQu4VKWg4A7FvDBYsKsxwLpsE/edit" TargetMode="External"/><Relationship Id="rId362" Type="http://schemas.openxmlformats.org/officeDocument/2006/relationships/hyperlink" Target="https://drive.google.com/drive/folders/1Z1vO7ImfFXPE6p7jRsQC6QonlyTYK-Gv" TargetMode="External"/><Relationship Id="rId361" Type="http://schemas.openxmlformats.org/officeDocument/2006/relationships/hyperlink" Target="https://drive.google.com/drive/folders/1ZpRYHXjFM2AFHgfDAKgVmTGkKVZ8FDgq" TargetMode="External"/><Relationship Id="rId360" Type="http://schemas.openxmlformats.org/officeDocument/2006/relationships/hyperlink" Target="https://docs.google.com/spreadsheets/d/1rJGxnVgNYw4R0sSIyn3TAqm2-oK_NlkxU2BLo1Qupus/edit" TargetMode="External"/><Relationship Id="rId125" Type="http://schemas.openxmlformats.org/officeDocument/2006/relationships/hyperlink" Target="https://docs.google.com/spreadsheets/d/1QJxVLeWFwDHR5Ssq189MMPEhhDqC6Su0kxd8dVVMql0/edit" TargetMode="External"/><Relationship Id="rId367" Type="http://schemas.openxmlformats.org/officeDocument/2006/relationships/hyperlink" Target="https://drive.google.com/drive/folders/1vyCK0JJ2XejE4IrUhagZIN1TpuSo1hyD" TargetMode="External"/><Relationship Id="rId124" Type="http://schemas.openxmlformats.org/officeDocument/2006/relationships/hyperlink" Target="https://drive.google.com/drive/folders/16za0rdU5Ki_BiiGJJIRYLa4vPb6887kb" TargetMode="External"/><Relationship Id="rId366" Type="http://schemas.openxmlformats.org/officeDocument/2006/relationships/hyperlink" Target="https://docs.google.com/spreadsheets/d/192zKbFKanpgygP9G48DLmPDTTKNW3gODllZMh9lO2n4/edit" TargetMode="External"/><Relationship Id="rId123" Type="http://schemas.openxmlformats.org/officeDocument/2006/relationships/hyperlink" Target="https://docs.google.com/spreadsheets/d/1MBxpc-2szFmqG3B_-ha57uL3XLkYoaeI5koRIOiedfw/edit" TargetMode="External"/><Relationship Id="rId365" Type="http://schemas.openxmlformats.org/officeDocument/2006/relationships/hyperlink" Target="https://drive.google.com/drive/folders/1MfNBQmNKd2SsqiJjiKfgvUJ2Qo_uBInR" TargetMode="External"/><Relationship Id="rId122" Type="http://schemas.openxmlformats.org/officeDocument/2006/relationships/hyperlink" Target="https://drive.google.com/drive/folders/1jyIkJ2z0LxtiVfVpb-hQtXyfqEeEKqPh" TargetMode="External"/><Relationship Id="rId364" Type="http://schemas.openxmlformats.org/officeDocument/2006/relationships/hyperlink" Target="https://drive.google.com/drive/folders/19Ze4f9L1_g-mYMlALgBQ0GjugJIK3Azd" TargetMode="External"/><Relationship Id="rId95" Type="http://schemas.openxmlformats.org/officeDocument/2006/relationships/hyperlink" Target="https://drive.google.com/drive/folders/1xBfR231shJFJr3X52xhxZZ3vT2mMfUru" TargetMode="External"/><Relationship Id="rId94" Type="http://schemas.openxmlformats.org/officeDocument/2006/relationships/hyperlink" Target="https://docs.google.com/spreadsheets/d/16TwAyLbRSQfXo00SFqwkhgj4ImKvtFd_ORftHCn3L9g/edit" TargetMode="External"/><Relationship Id="rId97" Type="http://schemas.openxmlformats.org/officeDocument/2006/relationships/hyperlink" Target="https://drive.google.com/drive/folders/182GDn8cCXbfJitz-TcWfRqE9ASylqTug" TargetMode="External"/><Relationship Id="rId96" Type="http://schemas.openxmlformats.org/officeDocument/2006/relationships/hyperlink" Target="https://docs.google.com/spreadsheets/d/1Qutstkt7wbcw29p7VfI97VmiQ6zXlElNsNewjyPJF-E/edit" TargetMode="External"/><Relationship Id="rId99" Type="http://schemas.openxmlformats.org/officeDocument/2006/relationships/hyperlink" Target="https://drive.google.com/drive/folders/1CSlXO8gOUGsxz3ngViN4_QeRK0f7E41p" TargetMode="External"/><Relationship Id="rId98" Type="http://schemas.openxmlformats.org/officeDocument/2006/relationships/hyperlink" Target="https://docs.google.com/spreadsheets/d/1g3nFfjwGQ3RXkt5LgZuD7QgSRAiUn3W90lh8RCiEGqg/edit" TargetMode="External"/><Relationship Id="rId91" Type="http://schemas.openxmlformats.org/officeDocument/2006/relationships/hyperlink" Target="https://drive.google.com/drive/folders/1RauXyGjENPBB0YVDs_8u7YnrJKlDO2Wp" TargetMode="External"/><Relationship Id="rId90" Type="http://schemas.openxmlformats.org/officeDocument/2006/relationships/hyperlink" Target="https://drive.google.com/drive/folders/1nGjDE6HV_QYAFPEM4pTZGLIQrMaW2HYS" TargetMode="External"/><Relationship Id="rId93" Type="http://schemas.openxmlformats.org/officeDocument/2006/relationships/hyperlink" Target="https://drive.google.com/drive/folders/14cDiXvXX-tPXEra3Z_CPxJTuI2JNAXS6" TargetMode="External"/><Relationship Id="rId92" Type="http://schemas.openxmlformats.org/officeDocument/2006/relationships/hyperlink" Target="https://docs.google.com/spreadsheets/d/1txqT-r-3rrz_JL6hfpj1nayS9LkA6F-X3hyZ3XTUiO8/edit" TargetMode="External"/><Relationship Id="rId118" Type="http://schemas.openxmlformats.org/officeDocument/2006/relationships/hyperlink" Target="https://drive.google.com/drive/folders/1G6OOjy1XkR_ixM0LhORzOimrBtEG1WYM" TargetMode="External"/><Relationship Id="rId117" Type="http://schemas.openxmlformats.org/officeDocument/2006/relationships/hyperlink" Target="https://docs.google.com/spreadsheets/d/14s_HeeebHqLRTUCX5FSlJ3K7aiTvnkajbPMefm6jg1M/edit" TargetMode="External"/><Relationship Id="rId359" Type="http://schemas.openxmlformats.org/officeDocument/2006/relationships/hyperlink" Target="https://drive.google.com/drive/folders/1HnDtkC69T2j66nEpjz0BU6WOk6rc45A3" TargetMode="External"/><Relationship Id="rId116" Type="http://schemas.openxmlformats.org/officeDocument/2006/relationships/hyperlink" Target="https://drive.google.com/drive/folders/1zp-6UDYbGrD7VrK8CG-UlzBbNGaGCC4V" TargetMode="External"/><Relationship Id="rId358" Type="http://schemas.openxmlformats.org/officeDocument/2006/relationships/hyperlink" Target="https://drive.google.com/drive/folders/19cXjtKKHch2N0FYyMpJn5ine6TgKkuS-" TargetMode="External"/><Relationship Id="rId115" Type="http://schemas.openxmlformats.org/officeDocument/2006/relationships/hyperlink" Target="https://drive.google.com/drive/folders/1yKL8zueP8Cfsy90BEVvvnrXqS5sL5Vra" TargetMode="External"/><Relationship Id="rId357" Type="http://schemas.openxmlformats.org/officeDocument/2006/relationships/hyperlink" Target="https://docs.google.com/spreadsheets/d/1eWL9qs4gF2hDOrao950bttsqaQjvqYNOwOArak2wAWY/edit" TargetMode="External"/><Relationship Id="rId599" Type="http://schemas.openxmlformats.org/officeDocument/2006/relationships/hyperlink" Target="https://drive.google.com/drive/folders/1GfhuXOuvtiUta0hiZ3-s7vI5kZFtPwPr" TargetMode="External"/><Relationship Id="rId119" Type="http://schemas.openxmlformats.org/officeDocument/2006/relationships/hyperlink" Target="https://drive.google.com/drive/folders/1FNfO2R5oQ0Xvbepb8Qkj9zkG_FqhQpme" TargetMode="External"/><Relationship Id="rId110" Type="http://schemas.openxmlformats.org/officeDocument/2006/relationships/hyperlink" Target="https://drive.google.com/drive/folders/10FHD-xOxDW6NPkHVjBLelCJO6gsJwv7H" TargetMode="External"/><Relationship Id="rId352" Type="http://schemas.openxmlformats.org/officeDocument/2006/relationships/hyperlink" Target="https://docs.google.com/spreadsheets/d/1mU9iAGn4-HAQ-mbHBoZ8Bo4zVxOSHvTU8RtHuYSW4cI/edit" TargetMode="External"/><Relationship Id="rId594" Type="http://schemas.openxmlformats.org/officeDocument/2006/relationships/hyperlink" Target="https://drive.google.com/drive/folders/1OOmUZ_A0PRqWHSm6ImhRenK9dTfgB_o8" TargetMode="External"/><Relationship Id="rId351" Type="http://schemas.openxmlformats.org/officeDocument/2006/relationships/hyperlink" Target="https://drive.google.com/drive/folders/1nApNR02byATRNiDVrK8P7d8dkDlzHHuO" TargetMode="External"/><Relationship Id="rId593" Type="http://schemas.openxmlformats.org/officeDocument/2006/relationships/hyperlink" Target="https://drive.google.com/drive/folders/1yqp8GYobei9KcRsXDWhAg3Rg7ZA2UGbW" TargetMode="External"/><Relationship Id="rId350" Type="http://schemas.openxmlformats.org/officeDocument/2006/relationships/hyperlink" Target="https://docs.google.com/spreadsheets/d/1mPIzaGx8rwte8Mf-mRlb6WTN7sBNGOldRNCSH91K3bY/edit" TargetMode="External"/><Relationship Id="rId592" Type="http://schemas.openxmlformats.org/officeDocument/2006/relationships/hyperlink" Target="https://docs.google.com/spreadsheets/d/1kRyPQWS9rBO-hWXuMRpK-o-u45enSa2VVTYNekPb4kk/edit" TargetMode="External"/><Relationship Id="rId591" Type="http://schemas.openxmlformats.org/officeDocument/2006/relationships/hyperlink" Target="https://drive.google.com/drive/folders/1K59RNuyS5C6PskQDdu7cL37z-hWKChhz" TargetMode="External"/><Relationship Id="rId114" Type="http://schemas.openxmlformats.org/officeDocument/2006/relationships/hyperlink" Target="https://docs.google.com/spreadsheets/d/1p3Bu4mvhlVeVMP3Ogpf0F-2KWPlAp07JNr-X652uW0U/edit" TargetMode="External"/><Relationship Id="rId356" Type="http://schemas.openxmlformats.org/officeDocument/2006/relationships/hyperlink" Target="https://drive.google.com/drive/folders/1lbgOH5P99l9nymTf5Pivob4laFZTQLqa" TargetMode="External"/><Relationship Id="rId598" Type="http://schemas.openxmlformats.org/officeDocument/2006/relationships/hyperlink" Target="https://docs.google.com/spreadsheets/d/1rmVM0JAH6j1YGKR-ibbU8XL4IHeTiP7sO3zo1VitOis/edit" TargetMode="External"/><Relationship Id="rId113" Type="http://schemas.openxmlformats.org/officeDocument/2006/relationships/hyperlink" Target="https://drive.google.com/drive/folders/1e28OBiCn2HcIdhaZANJPkEqDdyZf-7_p" TargetMode="External"/><Relationship Id="rId355" Type="http://schemas.openxmlformats.org/officeDocument/2006/relationships/hyperlink" Target="https://drive.google.com/drive/folders/1qnBr1EajmNql2tOd4H1dMpVqpYfIUlFw" TargetMode="External"/><Relationship Id="rId597" Type="http://schemas.openxmlformats.org/officeDocument/2006/relationships/hyperlink" Target="https://drive.google.com/drive/folders/1SbshH1IaV-9QHriXzLiYoRJwebaKg8ZZ" TargetMode="External"/><Relationship Id="rId112" Type="http://schemas.openxmlformats.org/officeDocument/2006/relationships/hyperlink" Target="https://drive.google.com/drive/folders/1HD1ygzyAdlhyyikwm7gYuk-AthuxP5bz" TargetMode="External"/><Relationship Id="rId354" Type="http://schemas.openxmlformats.org/officeDocument/2006/relationships/hyperlink" Target="https://docs.google.com/spreadsheets/d/1eadD90u_QHYWVVLEumQCr0hMVIKVxHEKRn2KsZZbuqc/edit" TargetMode="External"/><Relationship Id="rId596" Type="http://schemas.openxmlformats.org/officeDocument/2006/relationships/hyperlink" Target="https://drive.google.com/drive/folders/1lU-hMmZPs6Lp0lKs_J7IHXFAcVpFjni7" TargetMode="External"/><Relationship Id="rId111" Type="http://schemas.openxmlformats.org/officeDocument/2006/relationships/hyperlink" Target="https://docs.google.com/spreadsheets/d/1qJGCYN0EdS2nWGXVYAHwXqSjiLE2C95anQkkbLONbKQ/edit" TargetMode="External"/><Relationship Id="rId353" Type="http://schemas.openxmlformats.org/officeDocument/2006/relationships/hyperlink" Target="https://drive.google.com/drive/folders/1HcHiFCRaprYsNmlAiqWdS5ptQjXtNZqV" TargetMode="External"/><Relationship Id="rId595" Type="http://schemas.openxmlformats.org/officeDocument/2006/relationships/hyperlink" Target="https://docs.google.com/spreadsheets/d/1R0uwjETF80Vss8P2a0gSsIF2iqphq4WIGrUlHbCVjKw/edit" TargetMode="External"/><Relationship Id="rId305" Type="http://schemas.openxmlformats.org/officeDocument/2006/relationships/hyperlink" Target="https://docs.google.com/spreadsheets/d/1egrFzds1dA_qcyd-YeJKBrt74ORJ0Jzk4cfbN-wYoKI/edit" TargetMode="External"/><Relationship Id="rId547" Type="http://schemas.openxmlformats.org/officeDocument/2006/relationships/hyperlink" Target="https://drive.google.com/drive/folders/1cZwPIAplqRVk-dzcNqksWW7rB0Lq7QkP" TargetMode="External"/><Relationship Id="rId789" Type="http://schemas.openxmlformats.org/officeDocument/2006/relationships/hyperlink" Target="https://drive.google.com/drive/folders/1c9463geZOFajqhcO5HtgYnI0P0jhclsM" TargetMode="External"/><Relationship Id="rId304" Type="http://schemas.openxmlformats.org/officeDocument/2006/relationships/hyperlink" Target="https://drive.google.com/drive/folders/1JRHXeV0nny9ZGk6Zv_73QEyghrPTuWp1" TargetMode="External"/><Relationship Id="rId546" Type="http://schemas.openxmlformats.org/officeDocument/2006/relationships/hyperlink" Target="https://docs.google.com/spreadsheets/d/189IwjZKbhxdfpCM3_XZAiWsKnV1TiiKuwuI8GFe4AH0/edit" TargetMode="External"/><Relationship Id="rId788" Type="http://schemas.openxmlformats.org/officeDocument/2006/relationships/hyperlink" Target="https://drive.google.com/drive/folders/1SZj1jkpW_7ljCb1_FpsDIFf03ENb62D6" TargetMode="External"/><Relationship Id="rId303" Type="http://schemas.openxmlformats.org/officeDocument/2006/relationships/hyperlink" Target="https://drive.google.com/drive/folders/1zs3AbHEC0BDT8M9ZaGoaifCIBOczDHGk" TargetMode="External"/><Relationship Id="rId545" Type="http://schemas.openxmlformats.org/officeDocument/2006/relationships/hyperlink" Target="https://drive.google.com/drive/folders/1bwkc7jH9anDNk0TWs2VYhdjXasBunTRi" TargetMode="External"/><Relationship Id="rId787" Type="http://schemas.openxmlformats.org/officeDocument/2006/relationships/hyperlink" Target="https://docs.google.com/spreadsheets/d/1YAU91TFMaYFp0IiAMJOnSMw_yeIgNk_GdChvblrhYL8/edit" TargetMode="External"/><Relationship Id="rId302" Type="http://schemas.openxmlformats.org/officeDocument/2006/relationships/hyperlink" Target="https://docs.google.com/spreadsheets/d/1Ls4odXuMLfeohk9ZIC00W0M7HKTZolVgkr-fVY8YwrQ/edit" TargetMode="External"/><Relationship Id="rId544" Type="http://schemas.openxmlformats.org/officeDocument/2006/relationships/hyperlink" Target="https://drive.google.com/drive/folders/1CszW1ymHINLXtUvQ-mtLUToB4LCcZ2z0" TargetMode="External"/><Relationship Id="rId786" Type="http://schemas.openxmlformats.org/officeDocument/2006/relationships/hyperlink" Target="https://drive.google.com/drive/folders/12BbrQ4dFNMtbv-fH-ZS2om2IgZrn-5jC" TargetMode="External"/><Relationship Id="rId309" Type="http://schemas.openxmlformats.org/officeDocument/2006/relationships/hyperlink" Target="https://drive.google.com/drive/folders/1-AhQ-Z3_AX3Qb3u2oz-ba1_-bbjbO_gy" TargetMode="External"/><Relationship Id="rId308" Type="http://schemas.openxmlformats.org/officeDocument/2006/relationships/hyperlink" Target="https://docs.google.com/spreadsheets/d/1ra6mHCXtOkmX_f5VYmZIM-O0h_lwV1ZF943CChQWm44/edit" TargetMode="External"/><Relationship Id="rId307" Type="http://schemas.openxmlformats.org/officeDocument/2006/relationships/hyperlink" Target="https://drive.google.com/drive/folders/1h2xUbykAKt2orsLUPqy1ITcIg1yXEk0d" TargetMode="External"/><Relationship Id="rId549" Type="http://schemas.openxmlformats.org/officeDocument/2006/relationships/hyperlink" Target="https://docs.google.com/spreadsheets/d/10FVvx9Av8wfEkk7tdoP2PF6PtATj8pRZnm-XwFei7iM/edit" TargetMode="External"/><Relationship Id="rId306" Type="http://schemas.openxmlformats.org/officeDocument/2006/relationships/hyperlink" Target="https://drive.google.com/drive/folders/1zlu2uWGjLaB5UqV-lpLE0__3jIhuRu1S" TargetMode="External"/><Relationship Id="rId548" Type="http://schemas.openxmlformats.org/officeDocument/2006/relationships/hyperlink" Target="https://drive.google.com/drive/folders/1aVsz-dtTzzDza7FjprKxyY9rLynqkdQw" TargetMode="External"/><Relationship Id="rId781" Type="http://schemas.openxmlformats.org/officeDocument/2006/relationships/hyperlink" Target="https://docs.google.com/spreadsheets/d/1-ndxJp3oX17jCcSgSWUUGvqzyoVAJHZBrfGcG-qChjg/edit" TargetMode="External"/><Relationship Id="rId780" Type="http://schemas.openxmlformats.org/officeDocument/2006/relationships/hyperlink" Target="https://drive.google.com/drive/folders/1ry0HlCw5hU9Y-pMCiOQ9LeytsBgW4nCA" TargetMode="External"/><Relationship Id="rId301" Type="http://schemas.openxmlformats.org/officeDocument/2006/relationships/hyperlink" Target="https://drive.google.com/drive/folders/1trP6fQ8gtFGH72ANAbCgghtFB7ODkLHy" TargetMode="External"/><Relationship Id="rId543" Type="http://schemas.openxmlformats.org/officeDocument/2006/relationships/hyperlink" Target="https://docs.google.com/spreadsheets/d/1cVGXbO2lp52NndvygvM_F7Cqcy0EMGxzT1ZUlpTQeiI/edit" TargetMode="External"/><Relationship Id="rId785" Type="http://schemas.openxmlformats.org/officeDocument/2006/relationships/hyperlink" Target="https://drive.google.com/drive/folders/1gjQ-ZWtYlGG4x_8ubbSB9iDZtzDYqwGA" TargetMode="External"/><Relationship Id="rId300" Type="http://schemas.openxmlformats.org/officeDocument/2006/relationships/hyperlink" Target="https://drive.google.com/drive/folders/120wdaapsueBz1jzliNJSoZGjJFZ34v5D" TargetMode="External"/><Relationship Id="rId542" Type="http://schemas.openxmlformats.org/officeDocument/2006/relationships/hyperlink" Target="https://drive.google.com/drive/folders/1D8tiN4m6VUsrVODZnkwVceE6YuGjwhcl" TargetMode="External"/><Relationship Id="rId784" Type="http://schemas.openxmlformats.org/officeDocument/2006/relationships/hyperlink" Target="https://docs.google.com/spreadsheets/d/1HzstXOBJIBMFHwYm7RpvmCIhHH60rtXQ81VHl3OF7OM/edit" TargetMode="External"/><Relationship Id="rId541" Type="http://schemas.openxmlformats.org/officeDocument/2006/relationships/hyperlink" Target="https://drive.google.com/drive/folders/1xb_IDI6f9cICfKcM9Sh82XXhZicz9Um1" TargetMode="External"/><Relationship Id="rId783" Type="http://schemas.openxmlformats.org/officeDocument/2006/relationships/hyperlink" Target="https://drive.google.com/drive/folders/1tH_AjG1aZ4TR2ESXAZlpE6Ws7ttAlrW2" TargetMode="External"/><Relationship Id="rId540" Type="http://schemas.openxmlformats.org/officeDocument/2006/relationships/hyperlink" Target="https://docs.google.com/spreadsheets/d/1GSsoBjWtxEEY9Oe4QB_zfBq2Y31JMCHYWDUPZcHZ4Is/edit" TargetMode="External"/><Relationship Id="rId782" Type="http://schemas.openxmlformats.org/officeDocument/2006/relationships/hyperlink" Target="https://drive.google.com/drive/folders/1ZbZmE7sIPE78A1-Q5Um-tC8Ip9HJjCIJ" TargetMode="External"/><Relationship Id="rId536" Type="http://schemas.openxmlformats.org/officeDocument/2006/relationships/hyperlink" Target="https://docs.google.com/spreadsheets/d/11KI2mOYZ4I9wDgZ2By8zUkmcvYLaWDOUT2Ivww0nVBM/edit" TargetMode="External"/><Relationship Id="rId778" Type="http://schemas.openxmlformats.org/officeDocument/2006/relationships/hyperlink" Target="https://docs.google.com/spreadsheets/d/1F9NONXieHjy77H-04YnZVq6s_JxwTeglgZrjTuG8YVo/edit" TargetMode="External"/><Relationship Id="rId535" Type="http://schemas.openxmlformats.org/officeDocument/2006/relationships/hyperlink" Target="https://drive.google.com/drive/folders/1V2q4UVXgkp6-p5kmwlADWCR7TtALqq98" TargetMode="External"/><Relationship Id="rId777" Type="http://schemas.openxmlformats.org/officeDocument/2006/relationships/hyperlink" Target="https://drive.google.com/drive/folders/1bHCm-DbWCLqW2nC5BC0-dE70Xjz1vq8I" TargetMode="External"/><Relationship Id="rId534" Type="http://schemas.openxmlformats.org/officeDocument/2006/relationships/hyperlink" Target="https://docs.google.com/spreadsheets/d/1OzQsznHYYDF5b9H7Egq-41PQKlWLvAn0FP2aFBNQa-s/edit" TargetMode="External"/><Relationship Id="rId776" Type="http://schemas.openxmlformats.org/officeDocument/2006/relationships/hyperlink" Target="https://drive.google.com/drive/folders/1GT7wXXYeq0VkhEe14ZnmrmktREuqLZke" TargetMode="External"/><Relationship Id="rId533" Type="http://schemas.openxmlformats.org/officeDocument/2006/relationships/hyperlink" Target="https://drive.google.com/drive/folders/1Su11LiPRjhLAeUgLEsArHGpJ0xOtYv4w" TargetMode="External"/><Relationship Id="rId775" Type="http://schemas.openxmlformats.org/officeDocument/2006/relationships/hyperlink" Target="https://docs.google.com/spreadsheets/d/1HFkcA0tba7UnCoWEw5R4dohMFqwhpltBBsuWOiWeruA/edit" TargetMode="External"/><Relationship Id="rId539" Type="http://schemas.openxmlformats.org/officeDocument/2006/relationships/hyperlink" Target="https://drive.google.com/drive/folders/1yKP2H9MAPNY5THMf9r9cFOd7z5mCcnRb" TargetMode="External"/><Relationship Id="rId538" Type="http://schemas.openxmlformats.org/officeDocument/2006/relationships/hyperlink" Target="https://docs.google.com/spreadsheets/d/1UEfgxxulqp3XdpHhzd5wSRwLxDHVUpADNPLxS1b2Hvo/edit" TargetMode="External"/><Relationship Id="rId537" Type="http://schemas.openxmlformats.org/officeDocument/2006/relationships/hyperlink" Target="https://drive.google.com/drive/folders/1aLPSfdcvUXdsnBf-VvbMOtU1LBBN41F8" TargetMode="External"/><Relationship Id="rId779" Type="http://schemas.openxmlformats.org/officeDocument/2006/relationships/hyperlink" Target="https://drive.google.com/drive/folders/1QbSBKZ-G1TXTM63J-C8JTGABPkR3iY--" TargetMode="External"/><Relationship Id="rId770" Type="http://schemas.openxmlformats.org/officeDocument/2006/relationships/hyperlink" Target="https://drive.google.com/drive/folders/1cNHrIt5tlEQwS3zAl10vga6P1r79Ab9O" TargetMode="External"/><Relationship Id="rId532" Type="http://schemas.openxmlformats.org/officeDocument/2006/relationships/hyperlink" Target="https://docs.google.com/spreadsheets/d/1_xXDhPc2zYZ10fr1h3mfn-L73eXsLjI78QDoo4z-PJk/edit" TargetMode="External"/><Relationship Id="rId774" Type="http://schemas.openxmlformats.org/officeDocument/2006/relationships/hyperlink" Target="https://drive.google.com/drive/folders/1U736kG30RESX3RQhvEmH97XXVx-FDQtZ" TargetMode="External"/><Relationship Id="rId531" Type="http://schemas.openxmlformats.org/officeDocument/2006/relationships/hyperlink" Target="https://drive.google.com/drive/folders/1lt7X9uwjll855rwT8sZvFvWCsymRZc-n" TargetMode="External"/><Relationship Id="rId773" Type="http://schemas.openxmlformats.org/officeDocument/2006/relationships/hyperlink" Target="https://drive.google.com/drive/folders/1tMRifsKUuOU1W28xQOTvszdcSzQu5KAH" TargetMode="External"/><Relationship Id="rId530" Type="http://schemas.openxmlformats.org/officeDocument/2006/relationships/hyperlink" Target="https://docs.google.com/spreadsheets/d/1brGGXYNO7p4ye7lOi0GBEPWtsN031lP69rhfRORc5eg/edit" TargetMode="External"/><Relationship Id="rId772" Type="http://schemas.openxmlformats.org/officeDocument/2006/relationships/hyperlink" Target="https://docs.google.com/spreadsheets/d/1EeVOkHOYV7m-TXPjCFcVuyRfOfG243WHv6SdA9sNNrA/edit" TargetMode="External"/><Relationship Id="rId771" Type="http://schemas.openxmlformats.org/officeDocument/2006/relationships/hyperlink" Target="https://drive.google.com/drive/folders/1cy3kYrKIJZOBGLPMJuBXLJFoAbE7uhlo" TargetMode="External"/><Relationship Id="rId327" Type="http://schemas.openxmlformats.org/officeDocument/2006/relationships/hyperlink" Target="https://docs.google.com/spreadsheets/d/1dV47fJN9zfoEbGvv71kLmpN6o-gQtGRvXq4lwNICvVc/edit" TargetMode="External"/><Relationship Id="rId569" Type="http://schemas.openxmlformats.org/officeDocument/2006/relationships/hyperlink" Target="https://docs.google.com/spreadsheets/d/1iBXH7o4SHrOUcyupGINEY029YtS1MVzDOPaqJv2RrfU/edit" TargetMode="External"/><Relationship Id="rId326" Type="http://schemas.openxmlformats.org/officeDocument/2006/relationships/hyperlink" Target="https://drive.google.com/drive/folders/11axf-XPsjiLx9vJQiM4vWa2k5AjNKkIH" TargetMode="External"/><Relationship Id="rId568" Type="http://schemas.openxmlformats.org/officeDocument/2006/relationships/hyperlink" Target="https://drive.google.com/drive/folders/1DI0Fpp-qc1vzG0hz0uKBwoo0p6xrmZY1" TargetMode="External"/><Relationship Id="rId325" Type="http://schemas.openxmlformats.org/officeDocument/2006/relationships/hyperlink" Target="https://drive.google.com/drive/folders/18KOcTNlEQ2nornkTSc1gR0JWPe_jSVV7" TargetMode="External"/><Relationship Id="rId567" Type="http://schemas.openxmlformats.org/officeDocument/2006/relationships/hyperlink" Target="https://drive.google.com/drive/folders/1ozHLAN0HQyJ54WMxAGDusQwyusxKWZJO" TargetMode="External"/><Relationship Id="rId324" Type="http://schemas.openxmlformats.org/officeDocument/2006/relationships/hyperlink" Target="https://docs.google.com/spreadsheets/d/18j4yqkTLlff3QgAQzxbikTB9QfvCJyXh60_rLTsgkUA/edit" TargetMode="External"/><Relationship Id="rId566" Type="http://schemas.openxmlformats.org/officeDocument/2006/relationships/hyperlink" Target="https://docs.google.com/spreadsheets/d/1Y48WevU4dZlpN_oRadqFSD4ED20x97CYUdeAzWdn3go/edit" TargetMode="External"/><Relationship Id="rId329" Type="http://schemas.openxmlformats.org/officeDocument/2006/relationships/hyperlink" Target="https://drive.google.com/drive/folders/1vBtMi1gc7xCWuU8B-B4b1rmnK3K9bWI_" TargetMode="External"/><Relationship Id="rId328" Type="http://schemas.openxmlformats.org/officeDocument/2006/relationships/hyperlink" Target="https://drive.google.com/drive/folders/1LeR0rdsN_1CaIv_d6QaOKjzp63D7__JB" TargetMode="External"/><Relationship Id="rId561" Type="http://schemas.openxmlformats.org/officeDocument/2006/relationships/hyperlink" Target="https://drive.google.com/drive/folders/1od2G-0d_FwsKMt-zWxq4lcuLXQI250pA" TargetMode="External"/><Relationship Id="rId560" Type="http://schemas.openxmlformats.org/officeDocument/2006/relationships/hyperlink" Target="https://docs.google.com/spreadsheets/d/1IW00YIJovrtt6A8q0p0zoi4iwBPaPgOVnZqjzOz5yP0/edit" TargetMode="External"/><Relationship Id="rId323" Type="http://schemas.openxmlformats.org/officeDocument/2006/relationships/hyperlink" Target="https://drive.google.com/drive/folders/1frtkmLB3MhQQ1Wp5zFYVz-Sy7Xe9d2lp" TargetMode="External"/><Relationship Id="rId565" Type="http://schemas.openxmlformats.org/officeDocument/2006/relationships/hyperlink" Target="https://drive.google.com/drive/folders/1ILmNJ-ZUA17Ox2jWemp7W-JBbVtKI0Gl" TargetMode="External"/><Relationship Id="rId322" Type="http://schemas.openxmlformats.org/officeDocument/2006/relationships/hyperlink" Target="https://drive.google.com/drive/folders/1K-5Qy4FBbKB73sIgRr48xLnE9vAM6PWX" TargetMode="External"/><Relationship Id="rId564" Type="http://schemas.openxmlformats.org/officeDocument/2006/relationships/hyperlink" Target="https://drive.google.com/drive/folders/1TFUInlvFDIAs7yQJccCgKjgrybEsShD1" TargetMode="External"/><Relationship Id="rId321" Type="http://schemas.openxmlformats.org/officeDocument/2006/relationships/hyperlink" Target="https://docs.google.com/spreadsheets/d/1vMWNNh-aM1nrCnH4Ps5ul1sg36h7ZiVgWbYyiSJDYW8/edit" TargetMode="External"/><Relationship Id="rId563" Type="http://schemas.openxmlformats.org/officeDocument/2006/relationships/hyperlink" Target="https://docs.google.com/spreadsheets/d/1WXvYHRsq58CQOMiTQW5jz_Rk7VXZzJwGsE9DYysdKio/edit" TargetMode="External"/><Relationship Id="rId320" Type="http://schemas.openxmlformats.org/officeDocument/2006/relationships/hyperlink" Target="https://drive.google.com/drive/folders/1cVdB4INpnzIwYlACPKPEU0E8fl5EVhS7" TargetMode="External"/><Relationship Id="rId562" Type="http://schemas.openxmlformats.org/officeDocument/2006/relationships/hyperlink" Target="https://drive.google.com/drive/folders/1HC-04RNrsdjdwdA3IpggSRbrXIdpN2NE" TargetMode="External"/><Relationship Id="rId316" Type="http://schemas.openxmlformats.org/officeDocument/2006/relationships/hyperlink" Target="https://docs.google.com/spreadsheets/d/1xZLFmrgIQQCVIpiqSQdZXo8Z3s5icym4MeFUuARl1dw/edit" TargetMode="External"/><Relationship Id="rId558" Type="http://schemas.openxmlformats.org/officeDocument/2006/relationships/hyperlink" Target="https://drive.google.com/drive/folders/1G5ess9y4gkYw0eiMTk0D8Btg5DaEyd6a" TargetMode="External"/><Relationship Id="rId315" Type="http://schemas.openxmlformats.org/officeDocument/2006/relationships/hyperlink" Target="https://drive.google.com/drive/folders/1AIQ7nriGI9B9WVFJ8siploYB79ArML9h" TargetMode="External"/><Relationship Id="rId557" Type="http://schemas.openxmlformats.org/officeDocument/2006/relationships/hyperlink" Target="https://docs.google.com/spreadsheets/d/15TCKogSV6eLWZg1o0BLy9c__at_HGv_nwylQpiLk1k0/edit" TargetMode="External"/><Relationship Id="rId799" Type="http://schemas.openxmlformats.org/officeDocument/2006/relationships/hyperlink" Target="https://docs.google.com/spreadsheets/d/1V_fMo1qdnu3csZ89JNIghSxO3e0-gG5YDEzRqHF_0Wk/edit" TargetMode="External"/><Relationship Id="rId314" Type="http://schemas.openxmlformats.org/officeDocument/2006/relationships/hyperlink" Target="https://docs.google.com/spreadsheets/d/1n0q72v9I-kw0RzKIviLdrLa2PsoBQvNEL7tOwmkWW5Y/edit" TargetMode="External"/><Relationship Id="rId556" Type="http://schemas.openxmlformats.org/officeDocument/2006/relationships/hyperlink" Target="https://drive.google.com/drive/folders/1AMyDK7WtFmAltBKnfzr8cNtLDnx1v1w3" TargetMode="External"/><Relationship Id="rId798" Type="http://schemas.openxmlformats.org/officeDocument/2006/relationships/hyperlink" Target="https://drive.google.com/drive/folders/1a_V1eVZTNoMAcfSD94lOKSUhOMMdse7F" TargetMode="External"/><Relationship Id="rId313" Type="http://schemas.openxmlformats.org/officeDocument/2006/relationships/hyperlink" Target="https://drive.google.com/drive/folders/1--LEL8U5G7SeffrjMlozHPOuOewnfDZn" TargetMode="External"/><Relationship Id="rId555" Type="http://schemas.openxmlformats.org/officeDocument/2006/relationships/hyperlink" Target="https://drive.google.com/drive/folders/14GsxpF3G-iHfK0iU4sOOsmQQYYS4_lZP" TargetMode="External"/><Relationship Id="rId797" Type="http://schemas.openxmlformats.org/officeDocument/2006/relationships/hyperlink" Target="https://docs.google.com/spreadsheets/d/1HsbszineZ8va458kuZefN1vGO1MrkT5vTk2Vpv1-Znw/edit" TargetMode="External"/><Relationship Id="rId319" Type="http://schemas.openxmlformats.org/officeDocument/2006/relationships/hyperlink" Target="https://docs.google.com/spreadsheets/d/1QKcWwefYRSJheyPsGSz_GjUfTv41Syg0k2USNB-hpQs/edit" TargetMode="External"/><Relationship Id="rId318" Type="http://schemas.openxmlformats.org/officeDocument/2006/relationships/hyperlink" Target="https://drive.google.com/drive/folders/16djavhF91X92_Vu_fTtsRt09UXL1X5P7" TargetMode="External"/><Relationship Id="rId317" Type="http://schemas.openxmlformats.org/officeDocument/2006/relationships/hyperlink" Target="https://drive.google.com/drive/folders/1zjc7FXcBwJ3HjIUR3gsubLfPQ1yrg0kA" TargetMode="External"/><Relationship Id="rId559" Type="http://schemas.openxmlformats.org/officeDocument/2006/relationships/hyperlink" Target="https://drive.google.com/drive/folders/1KXfquaEYTDE7APqPoU_opiMsfRk3hrL7" TargetMode="External"/><Relationship Id="rId550" Type="http://schemas.openxmlformats.org/officeDocument/2006/relationships/hyperlink" Target="https://drive.google.com/drive/folders/1xacBdJor9NseuXi7qtCxd3WSIGOSVu_R" TargetMode="External"/><Relationship Id="rId792" Type="http://schemas.openxmlformats.org/officeDocument/2006/relationships/hyperlink" Target="https://drive.google.com/drive/folders/1Zb9dZ5EW_xTJCce_3e-31KR3deck8H5Z" TargetMode="External"/><Relationship Id="rId791" Type="http://schemas.openxmlformats.org/officeDocument/2006/relationships/hyperlink" Target="https://drive.google.com/drive/folders/1nNAOL2VfF8Ahcm-L_P8TIJsBPvAdQ7Uh" TargetMode="External"/><Relationship Id="rId790" Type="http://schemas.openxmlformats.org/officeDocument/2006/relationships/hyperlink" Target="https://docs.google.com/spreadsheets/d/1Sp6RBtw1AwI4BO_kbbFsvxWE7hmnjkkWSF-2QuN4NUM/edit" TargetMode="External"/><Relationship Id="rId312" Type="http://schemas.openxmlformats.org/officeDocument/2006/relationships/hyperlink" Target="https://docs.google.com/spreadsheets/d/1bYwIVlCfU99TAHdvICTPeCyAgj9qA4D16LviL3oq-wg/edit" TargetMode="External"/><Relationship Id="rId554" Type="http://schemas.openxmlformats.org/officeDocument/2006/relationships/hyperlink" Target="https://docs.google.com/spreadsheets/d/1pIkLTEq99ZID0V0k8H0hOFXZDJQMaAoy2fsIol-e81k/edit" TargetMode="External"/><Relationship Id="rId796" Type="http://schemas.openxmlformats.org/officeDocument/2006/relationships/hyperlink" Target="https://drive.google.com/drive/folders/1a3sYqEUJInEYMjAnnPHBgSEUW-toGNQq" TargetMode="External"/><Relationship Id="rId311" Type="http://schemas.openxmlformats.org/officeDocument/2006/relationships/hyperlink" Target="https://drive.google.com/drive/folders/1DJ6aUo7_j27ieDvBN4-I8juFPwgTKTeR" TargetMode="External"/><Relationship Id="rId553" Type="http://schemas.openxmlformats.org/officeDocument/2006/relationships/hyperlink" Target="https://drive.google.com/drive/folders/1W-yhNJd3QV0UTWaGi-nzoR1WW49JbXwe" TargetMode="External"/><Relationship Id="rId795" Type="http://schemas.openxmlformats.org/officeDocument/2006/relationships/hyperlink" Target="https://docs.google.com/spreadsheets/d/12Iga9HLmHF1C_B28Sz49zBPBKFPy_vA2jBForRuUnjc/edit" TargetMode="External"/><Relationship Id="rId310" Type="http://schemas.openxmlformats.org/officeDocument/2006/relationships/hyperlink" Target="https://docs.google.com/spreadsheets/d/1TvRQZ8YHmTzU37pKeH-YEX0J0a9zBflsEJs2L0GfFao/edit" TargetMode="External"/><Relationship Id="rId552" Type="http://schemas.openxmlformats.org/officeDocument/2006/relationships/hyperlink" Target="https://drive.google.com/drive/folders/1iIOgi1p3JRJwH3wwPZcjV-fkkWIH_7up" TargetMode="External"/><Relationship Id="rId794" Type="http://schemas.openxmlformats.org/officeDocument/2006/relationships/hyperlink" Target="https://drive.google.com/drive/folders/1t4VnFwEFJ4d7j9f8EpUv5z9aq5ChSWX6" TargetMode="External"/><Relationship Id="rId551" Type="http://schemas.openxmlformats.org/officeDocument/2006/relationships/hyperlink" Target="https://docs.google.com/spreadsheets/d/19J_y8BUN9RSe9TTg9cxKYBBv29Tfi7RwvKo8Va7MJRQ/edit" TargetMode="External"/><Relationship Id="rId793" Type="http://schemas.openxmlformats.org/officeDocument/2006/relationships/hyperlink" Target="https://docs.google.com/spreadsheets/d/12q3xzc4QnJvovb5WwDYonjwLc2kiwxvpEYShhfp6tf4/edit" TargetMode="External"/><Relationship Id="rId297" Type="http://schemas.openxmlformats.org/officeDocument/2006/relationships/hyperlink" Target="https://docs.google.com/spreadsheets/d/1tXTdyZsoSXVb9B3iBitP1V6V5cBJgmDdDrd7x6dN0R4/edit" TargetMode="External"/><Relationship Id="rId296" Type="http://schemas.openxmlformats.org/officeDocument/2006/relationships/hyperlink" Target="https://drive.google.com/drive/folders/1iJgff0ZVx2KTk3677Lxr7qWB2Tm3GuP0" TargetMode="External"/><Relationship Id="rId295" Type="http://schemas.openxmlformats.org/officeDocument/2006/relationships/hyperlink" Target="https://drive.google.com/drive/folders/1D-YQ0klVgFC3iihP2YjEe6ZxgmszLFa8" TargetMode="External"/><Relationship Id="rId294" Type="http://schemas.openxmlformats.org/officeDocument/2006/relationships/hyperlink" Target="https://docs.google.com/spreadsheets/d/1vT3QczjVeQXI3BUHWLVlmriSeWuoyjUZOrXtNn1poas/edit" TargetMode="External"/><Relationship Id="rId299" Type="http://schemas.openxmlformats.org/officeDocument/2006/relationships/hyperlink" Target="https://docs.google.com/spreadsheets/d/11FZlKtFUzBvNAVUVwf1C2KpyoxHhbZTiI7E_EdPr-mg/edit" TargetMode="External"/><Relationship Id="rId298" Type="http://schemas.openxmlformats.org/officeDocument/2006/relationships/hyperlink" Target="https://drive.google.com/drive/folders/1incqTYKLPPrbhcs3y2NjBSM4jeCJwwGc" TargetMode="External"/><Relationship Id="rId271" Type="http://schemas.openxmlformats.org/officeDocument/2006/relationships/hyperlink" Target="https://docs.google.com/spreadsheets/d/17j5aRjD4kTe3VvlO2qpEFolWacmd9riwj8nppSGLohk/edit" TargetMode="External"/><Relationship Id="rId270" Type="http://schemas.openxmlformats.org/officeDocument/2006/relationships/hyperlink" Target="https://drive.google.com/drive/folders/1Bno_1D-38L4y-W-ON3tNKre_2Q2LO6h7" TargetMode="External"/><Relationship Id="rId269" Type="http://schemas.openxmlformats.org/officeDocument/2006/relationships/hyperlink" Target="https://docs.google.com/spreadsheets/d/1a7hE99lXmj_QqvEYsr78Q6N1-mxcmCnbqEiJRN1RUOk/edit" TargetMode="External"/><Relationship Id="rId264" Type="http://schemas.openxmlformats.org/officeDocument/2006/relationships/hyperlink" Target="https://drive.google.com/drive/folders/1AtRMu1PAxkeEjlLf7i-hLTTXkDsNKFIm" TargetMode="External"/><Relationship Id="rId263" Type="http://schemas.openxmlformats.org/officeDocument/2006/relationships/hyperlink" Target="https://docs.google.com/spreadsheets/d/1Z4ZANLU0BXFj5_cuQpCVhqL-_dbEpnMn3rbGL3bya7g/edit" TargetMode="External"/><Relationship Id="rId262" Type="http://schemas.openxmlformats.org/officeDocument/2006/relationships/hyperlink" Target="https://drive.google.com/drive/folders/16IEuF3I64wN6efRpHV7etrPy-B1WrBkc" TargetMode="External"/><Relationship Id="rId261" Type="http://schemas.openxmlformats.org/officeDocument/2006/relationships/hyperlink" Target="https://docs.google.com/spreadsheets/d/1RuulKhAraOSJneBIfAUOQbLBn9JvoSu3eYaWMZ5M-aI/edit" TargetMode="External"/><Relationship Id="rId268" Type="http://schemas.openxmlformats.org/officeDocument/2006/relationships/hyperlink" Target="https://drive.google.com/drive/folders/1wVmm8zIjXFIL1qugXfvwZ3yrK5P_w6K6" TargetMode="External"/><Relationship Id="rId267" Type="http://schemas.openxmlformats.org/officeDocument/2006/relationships/hyperlink" Target="https://docs.google.com/spreadsheets/d/11B-8kSH0gJgoCgMmv0w8C_6P4qZyG7h6hdldCVMJqNA/edit" TargetMode="External"/><Relationship Id="rId266" Type="http://schemas.openxmlformats.org/officeDocument/2006/relationships/hyperlink" Target="https://drive.google.com/drive/folders/1MZIatoFhp0jv4eLZmnQneOMMG9yBfGrs" TargetMode="External"/><Relationship Id="rId265" Type="http://schemas.openxmlformats.org/officeDocument/2006/relationships/hyperlink" Target="https://docs.google.com/spreadsheets/d/1fUQnKuEtcNauUdHQbe2Uqem42il1atlCNxeSWUXTiaA/edit" TargetMode="External"/><Relationship Id="rId260" Type="http://schemas.openxmlformats.org/officeDocument/2006/relationships/hyperlink" Target="https://drive.google.com/drive/folders/1s4AajfqY0HTfx5mQmjk-TFlxQWmmXDkt" TargetMode="External"/><Relationship Id="rId259" Type="http://schemas.openxmlformats.org/officeDocument/2006/relationships/hyperlink" Target="https://docs.google.com/spreadsheets/d/1mvO39KISdJTTFZrNPXYSBSiguynUfxnAQ_H-EBPwdG4/edit" TargetMode="External"/><Relationship Id="rId258" Type="http://schemas.openxmlformats.org/officeDocument/2006/relationships/hyperlink" Target="https://drive.google.com/drive/folders/13jTUgQxJTYxhh68Qcb_IFBoatstBeEJH" TargetMode="External"/><Relationship Id="rId253" Type="http://schemas.openxmlformats.org/officeDocument/2006/relationships/hyperlink" Target="https://drive.google.com/drive/folders/1EV95UUebb45a4phgT8F3iPDBhPVuX4WV" TargetMode="External"/><Relationship Id="rId495" Type="http://schemas.openxmlformats.org/officeDocument/2006/relationships/hyperlink" Target="https://drive.google.com/drive/folders/1DOxYMCkYgmYq4Nwo4cfC2LgPudkQvJ3d" TargetMode="External"/><Relationship Id="rId252" Type="http://schemas.openxmlformats.org/officeDocument/2006/relationships/hyperlink" Target="https://docs.google.com/spreadsheets/d/1nEWA1qF6Gna7lK-YjdC89uY5m1GPuTi_8hhe6AxW12M/edit" TargetMode="External"/><Relationship Id="rId494" Type="http://schemas.openxmlformats.org/officeDocument/2006/relationships/hyperlink" Target="https://docs.google.com/spreadsheets/d/1DNYx1_npboOhtIjFO3-v0kReMiQ0lrIDMiGeLHlNEsA/edit" TargetMode="External"/><Relationship Id="rId251" Type="http://schemas.openxmlformats.org/officeDocument/2006/relationships/hyperlink" Target="https://drive.google.com/drive/folders/1T8UDvfIDOji56wgmPc7FHNLz8Tw7bb05" TargetMode="External"/><Relationship Id="rId493" Type="http://schemas.openxmlformats.org/officeDocument/2006/relationships/hyperlink" Target="https://drive.google.com/drive/folders/1dXT_O2yrhrPmnYpvSCtrVqVrMyilMfny" TargetMode="External"/><Relationship Id="rId250" Type="http://schemas.openxmlformats.org/officeDocument/2006/relationships/hyperlink" Target="https://drive.google.com/drive/folders/1_csMavyG_TWBWx8Rxgi7Wz-hYZrhDZal" TargetMode="External"/><Relationship Id="rId492" Type="http://schemas.openxmlformats.org/officeDocument/2006/relationships/hyperlink" Target="https://docs.google.com/spreadsheets/d/1Q8U3Jj55bW7tNWEEYKak-6r3JRnqYxwcO8TnGV4lF2I/edit" TargetMode="External"/><Relationship Id="rId257" Type="http://schemas.openxmlformats.org/officeDocument/2006/relationships/hyperlink" Target="https://docs.google.com/spreadsheets/d/1RoojyyM-QnJWkU4BEw5RvwkrV0urtgRc4XGLN4gN_Y4/edit" TargetMode="External"/><Relationship Id="rId499" Type="http://schemas.openxmlformats.org/officeDocument/2006/relationships/hyperlink" Target="https://drive.google.com/drive/folders/1wggWoJQMvvJl4TOAIuJR7CtGWO5YAyIL" TargetMode="External"/><Relationship Id="rId256" Type="http://schemas.openxmlformats.org/officeDocument/2006/relationships/hyperlink" Target="https://drive.google.com/drive/folders/1iQqtgcjCjYEzKwjrS3JZ0Cy-cdyg6GdY" TargetMode="External"/><Relationship Id="rId498" Type="http://schemas.openxmlformats.org/officeDocument/2006/relationships/hyperlink" Target="https://docs.google.com/spreadsheets/d/1a9gtQ7HlAwL1VT97lzul59hlYqscXYdQ7Sg85wtHL40/edit" TargetMode="External"/><Relationship Id="rId255" Type="http://schemas.openxmlformats.org/officeDocument/2006/relationships/hyperlink" Target="https://docs.google.com/spreadsheets/d/1ajtc9H9LQaAwROSG0sPyjJHA38yC9DyS1xGLXYi7kSg/edit" TargetMode="External"/><Relationship Id="rId497" Type="http://schemas.openxmlformats.org/officeDocument/2006/relationships/hyperlink" Target="https://drive.google.com/drive/folders/1wzkmffuqHw1u__UtCiN0-fvocf4FcDCk" TargetMode="External"/><Relationship Id="rId254" Type="http://schemas.openxmlformats.org/officeDocument/2006/relationships/hyperlink" Target="https://drive.google.com/drive/folders/1cqbcO2hijyv7wx6H213Dc0fkzb0s8Gt8" TargetMode="External"/><Relationship Id="rId496" Type="http://schemas.openxmlformats.org/officeDocument/2006/relationships/hyperlink" Target="https://docs.google.com/spreadsheets/d/1U6sajfm4sKb9dpl7fnhhnc14-rNO99jD48Fg5iEe_MM/edit" TargetMode="External"/><Relationship Id="rId293" Type="http://schemas.openxmlformats.org/officeDocument/2006/relationships/hyperlink" Target="https://drive.google.com/drive/folders/1ent0zOJwg1I1oPXZ8bbWAzibVFzp-nMJ" TargetMode="External"/><Relationship Id="rId292" Type="http://schemas.openxmlformats.org/officeDocument/2006/relationships/hyperlink" Target="https://drive.google.com/drive/folders/1h0HDDwN0urBvKiUr8j5qzaZoqHvuREeG" TargetMode="External"/><Relationship Id="rId291" Type="http://schemas.openxmlformats.org/officeDocument/2006/relationships/hyperlink" Target="https://docs.google.com/spreadsheets/d/1AyozEGLZqJCcdssyT5lh9p367qkQ4ixlLx7VhIkGjas/edit" TargetMode="External"/><Relationship Id="rId290" Type="http://schemas.openxmlformats.org/officeDocument/2006/relationships/hyperlink" Target="https://drive.google.com/drive/folders/1ZIQkBgK5drL4qxrq6BAGPh19xLRelZ1h" TargetMode="External"/><Relationship Id="rId286" Type="http://schemas.openxmlformats.org/officeDocument/2006/relationships/hyperlink" Target="https://docs.google.com/spreadsheets/d/10my9j6PucXwYa7gh_WvsXD6uPvI-yhWp3q1FQznHVc8/edit" TargetMode="External"/><Relationship Id="rId285" Type="http://schemas.openxmlformats.org/officeDocument/2006/relationships/hyperlink" Target="https://drive.google.com/drive/folders/1JLUQFIUWVPiOWK5uWnaQjhZmj5bnmL_9" TargetMode="External"/><Relationship Id="rId284" Type="http://schemas.openxmlformats.org/officeDocument/2006/relationships/hyperlink" Target="https://docs.google.com/spreadsheets/d/1olMJPxdvTblXlRJ5Kke7BysRgQVWxsLISMo98ayU8oo/edit" TargetMode="External"/><Relationship Id="rId283" Type="http://schemas.openxmlformats.org/officeDocument/2006/relationships/hyperlink" Target="https://drive.google.com/drive/folders/1NtAV6K97tEYf183kBh134l-EEZ-iN-5k" TargetMode="External"/><Relationship Id="rId289" Type="http://schemas.openxmlformats.org/officeDocument/2006/relationships/hyperlink" Target="https://drive.google.com/drive/folders/1gUsuvvCSn0OmkVDoFcZZIpG7v2QGaDed" TargetMode="External"/><Relationship Id="rId288" Type="http://schemas.openxmlformats.org/officeDocument/2006/relationships/hyperlink" Target="https://docs.google.com/spreadsheets/d/1hwxal2Fqa0hEplduGUGitsJlZ0mEGEOEYh3fdHugU9o/edit" TargetMode="External"/><Relationship Id="rId287" Type="http://schemas.openxmlformats.org/officeDocument/2006/relationships/hyperlink" Target="https://drive.google.com/drive/folders/1oU-RbKsd1MkrXa1NoMygsvzeQJkSsPny" TargetMode="External"/><Relationship Id="rId282" Type="http://schemas.openxmlformats.org/officeDocument/2006/relationships/hyperlink" Target="https://docs.google.com/spreadsheets/d/1C_6P8aZHJLH36sahBuwDXCSV6YfPH0RInIufKGWcO4E/edit" TargetMode="External"/><Relationship Id="rId281" Type="http://schemas.openxmlformats.org/officeDocument/2006/relationships/hyperlink" Target="https://drive.google.com/drive/folders/1fWV-KySwTZWTtDRuF1kr0DYExtShpnU_" TargetMode="External"/><Relationship Id="rId280" Type="http://schemas.openxmlformats.org/officeDocument/2006/relationships/hyperlink" Target="https://drive.google.com/drive/folders/1AcAOJl10BaIfiQPHf3s_jxAonFK9RjYL" TargetMode="External"/><Relationship Id="rId275" Type="http://schemas.openxmlformats.org/officeDocument/2006/relationships/hyperlink" Target="https://drive.google.com/drive/folders/18iqeh6j8jMIdat-GWDEKjwFti6eZ1SGg" TargetMode="External"/><Relationship Id="rId274" Type="http://schemas.openxmlformats.org/officeDocument/2006/relationships/hyperlink" Target="https://drive.google.com/drive/folders/1HXQAwl8VYbnZRQIa3ivLLd2xKihhwYK4" TargetMode="External"/><Relationship Id="rId273" Type="http://schemas.openxmlformats.org/officeDocument/2006/relationships/hyperlink" Target="https://docs.google.com/spreadsheets/d/1t3gopzk1OTS3KoTW1PbFTMhVF5pTGTgKOkW5Lr73qQs/edit" TargetMode="External"/><Relationship Id="rId272" Type="http://schemas.openxmlformats.org/officeDocument/2006/relationships/hyperlink" Target="https://drive.google.com/drive/folders/1OpbGE3zi-05lkMfv-HhAjuroQ9nc2wlo" TargetMode="External"/><Relationship Id="rId279" Type="http://schemas.openxmlformats.org/officeDocument/2006/relationships/hyperlink" Target="https://docs.google.com/spreadsheets/d/176zvh_D144kr5dn49FjVWXAIKjjIO1Wqb6zAj_kGTr4/edit" TargetMode="External"/><Relationship Id="rId278" Type="http://schemas.openxmlformats.org/officeDocument/2006/relationships/hyperlink" Target="https://drive.google.com/drive/folders/1sfAkITnuIUEaOHmg7uA28Eo8avcQ74MU" TargetMode="External"/><Relationship Id="rId277" Type="http://schemas.openxmlformats.org/officeDocument/2006/relationships/hyperlink" Target="https://drive.google.com/drive/folders/1Zb3aYXVvJwzkeI6j3Abb28qQAmaKkVjj" TargetMode="External"/><Relationship Id="rId276" Type="http://schemas.openxmlformats.org/officeDocument/2006/relationships/hyperlink" Target="https://docs.google.com/spreadsheets/d/1MantqYN_L9u1phKAd2tRf1JbAshYFDLMdeUkvTdUQ8E/edit" TargetMode="External"/><Relationship Id="rId907" Type="http://schemas.openxmlformats.org/officeDocument/2006/relationships/drawing" Target="../drawings/drawing1.xml"/><Relationship Id="rId906" Type="http://schemas.openxmlformats.org/officeDocument/2006/relationships/hyperlink" Target="https://drive.google.com/drive/folders/10UXjo3__B5MvP5Qydzp6tdWzziqa9dxj" TargetMode="External"/><Relationship Id="rId905" Type="http://schemas.openxmlformats.org/officeDocument/2006/relationships/hyperlink" Target="https://docs.google.com/spreadsheets/d/17KbeHPShWeUJUQe1m08N3LECmT7K9fG7E4WgslCRijQ/edit" TargetMode="External"/><Relationship Id="rId904" Type="http://schemas.openxmlformats.org/officeDocument/2006/relationships/hyperlink" Target="https://drive.google.com/drive/folders/1Kn-tDN7rJi8hlIrc4C5xtw2a81O9vfO-" TargetMode="External"/><Relationship Id="rId903" Type="http://schemas.openxmlformats.org/officeDocument/2006/relationships/hyperlink" Target="https://docs.google.com/spreadsheets/d/1VORE0_UOf5S1wnSQfC7106jxOHchCIeVIqu4Myti3XM/edit" TargetMode="External"/><Relationship Id="rId902" Type="http://schemas.openxmlformats.org/officeDocument/2006/relationships/hyperlink" Target="https://drive.google.com/drive/folders/1kIB8Tk_J88lJ5x6nM9VD5XE37mGVXF4o" TargetMode="External"/><Relationship Id="rId901" Type="http://schemas.openxmlformats.org/officeDocument/2006/relationships/hyperlink" Target="https://docs.google.com/spreadsheets/d/1mcnBZEebWnvF0roguMy0NFJRLZnkCfEaD9uh5qnfKo8/edit" TargetMode="External"/><Relationship Id="rId900" Type="http://schemas.openxmlformats.org/officeDocument/2006/relationships/hyperlink" Target="https://drive.google.com/drive/folders/1M1QUBCXYFxjFTM9OKRpq5IP0h1exCQBh" TargetMode="External"/><Relationship Id="rId629" Type="http://schemas.openxmlformats.org/officeDocument/2006/relationships/hyperlink" Target="https://drive.google.com/drive/folders/1O3ChiQcHJzVCLcacYTm_QzF_Y7OcCtUn" TargetMode="External"/><Relationship Id="rId624" Type="http://schemas.openxmlformats.org/officeDocument/2006/relationships/hyperlink" Target="https://docs.google.com/spreadsheets/d/1JVjJRde0atJYfSJfEseKCQhdqjcP24_d1-09TphqSpA/edit" TargetMode="External"/><Relationship Id="rId866" Type="http://schemas.openxmlformats.org/officeDocument/2006/relationships/hyperlink" Target="https://drive.google.com/drive/folders/1mKRW7EEbprKt9CDDAwc-_kHFV5cUPZcW" TargetMode="External"/><Relationship Id="rId623" Type="http://schemas.openxmlformats.org/officeDocument/2006/relationships/hyperlink" Target="https://drive.google.com/drive/folders/1sdqox_fcvur1uIX-ejxcwZ5ukKQhWs3H" TargetMode="External"/><Relationship Id="rId865" Type="http://schemas.openxmlformats.org/officeDocument/2006/relationships/hyperlink" Target="https://docs.google.com/spreadsheets/d/1ijZUuNYW1E8zpyUwJzSL5TYbwYKb9s-saRb04DNVH0s/edit" TargetMode="External"/><Relationship Id="rId622" Type="http://schemas.openxmlformats.org/officeDocument/2006/relationships/hyperlink" Target="https://docs.google.com/spreadsheets/d/159YPitGIgsrUYgelmfjtenQTfG48TpPtKkSuINSG0gc/edit" TargetMode="External"/><Relationship Id="rId864" Type="http://schemas.openxmlformats.org/officeDocument/2006/relationships/hyperlink" Target="https://drive.google.com/drive/folders/1Jp1Jb7Bi4001O3mVBxG1FASQvenLLGAK" TargetMode="External"/><Relationship Id="rId621" Type="http://schemas.openxmlformats.org/officeDocument/2006/relationships/hyperlink" Target="https://drive.google.com/drive/folders/1VY_S2b26CKiOmf3zcpNnG6Cat4bCBZ8f" TargetMode="External"/><Relationship Id="rId863" Type="http://schemas.openxmlformats.org/officeDocument/2006/relationships/hyperlink" Target="https://docs.google.com/spreadsheets/d/1_-Np_EbJqeVZ8B325ImuW6uakkiS-qdfsGdlzPQkB_o/edit" TargetMode="External"/><Relationship Id="rId628" Type="http://schemas.openxmlformats.org/officeDocument/2006/relationships/hyperlink" Target="https://docs.google.com/spreadsheets/d/17sBaqChbGSOQK_DIkRnUGicSgCSUWKTJKT6g-HiL9uY/edit" TargetMode="External"/><Relationship Id="rId627" Type="http://schemas.openxmlformats.org/officeDocument/2006/relationships/hyperlink" Target="https://drive.google.com/drive/folders/1K3kX-GtiAWNGhYCQgpkbaEBocJUT37WM" TargetMode="External"/><Relationship Id="rId869" Type="http://schemas.openxmlformats.org/officeDocument/2006/relationships/hyperlink" Target="https://docs.google.com/spreadsheets/d/14l8FM3O22akR8Zv19TVsq4w4zJQUjB8fnfZsvPRyvqM/edit" TargetMode="External"/><Relationship Id="rId626" Type="http://schemas.openxmlformats.org/officeDocument/2006/relationships/hyperlink" Target="https://docs.google.com/spreadsheets/d/1HhuPJCqA1nYQYw-vxTr9qoSA3wtg7ifzyfbJykuK79E/edit" TargetMode="External"/><Relationship Id="rId868" Type="http://schemas.openxmlformats.org/officeDocument/2006/relationships/hyperlink" Target="https://drive.google.com/drive/folders/1zaSe86YwFBrfPEU2sjWOF6OUVD9AIKxG" TargetMode="External"/><Relationship Id="rId625" Type="http://schemas.openxmlformats.org/officeDocument/2006/relationships/hyperlink" Target="https://drive.google.com/drive/folders/1s-VMaQbprrpke6_3S_GyebgB3VHBDcws" TargetMode="External"/><Relationship Id="rId867" Type="http://schemas.openxmlformats.org/officeDocument/2006/relationships/hyperlink" Target="https://docs.google.com/spreadsheets/d/1OmbiJkLdWoT3pUPafzGjcE6RP8KNKayDMZiTcehiZhY/edit" TargetMode="External"/><Relationship Id="rId620" Type="http://schemas.openxmlformats.org/officeDocument/2006/relationships/hyperlink" Target="https://docs.google.com/spreadsheets/d/1OENaFEyiGUoyWg7ywU3cmqippkCDyzCnmx9kypMk5Cc/edit" TargetMode="External"/><Relationship Id="rId862" Type="http://schemas.openxmlformats.org/officeDocument/2006/relationships/hyperlink" Target="https://drive.google.com/drive/folders/1f0RRVBAHlidcmwiIGWr9O2pNiXLVRTrg" TargetMode="External"/><Relationship Id="rId861" Type="http://schemas.openxmlformats.org/officeDocument/2006/relationships/hyperlink" Target="https://drive.google.com/drive/folders/13o0umm1e1u2XhuGr0L4rGvASf2hoE4Yh" TargetMode="External"/><Relationship Id="rId860" Type="http://schemas.openxmlformats.org/officeDocument/2006/relationships/hyperlink" Target="https://docs.google.com/spreadsheets/d/1igxhDrZmAR4XaBSU0Vyrw9LNbKLoFuELF4hEOFDqD9M/edit" TargetMode="External"/><Relationship Id="rId619" Type="http://schemas.openxmlformats.org/officeDocument/2006/relationships/hyperlink" Target="https://drive.google.com/drive/folders/1K9SsNjW06ZSRhp0wk6gGCrQYW7hQVidi" TargetMode="External"/><Relationship Id="rId618" Type="http://schemas.openxmlformats.org/officeDocument/2006/relationships/hyperlink" Target="https://docs.google.com/spreadsheets/d/10eOuCid3doBRgqrYrW2izRAjuevQTzEFfL_e1Msg9_c/edit" TargetMode="External"/><Relationship Id="rId613" Type="http://schemas.openxmlformats.org/officeDocument/2006/relationships/hyperlink" Target="https://drive.google.com/drive/folders/1QJjTzbClUV7yhWbxXs-uBCHp6Npc3sKL" TargetMode="External"/><Relationship Id="rId855" Type="http://schemas.openxmlformats.org/officeDocument/2006/relationships/hyperlink" Target="https://drive.google.com/drive/folders/18wAyghGoE3RzmalSuUvx8z_f9fTb-ejQ" TargetMode="External"/><Relationship Id="rId612" Type="http://schemas.openxmlformats.org/officeDocument/2006/relationships/hyperlink" Target="https://docs.google.com/spreadsheets/d/1WZ3iIAbNB5bzglH4XYG8P38qAiheukTawTpLVIGfqb8/edit" TargetMode="External"/><Relationship Id="rId854" Type="http://schemas.openxmlformats.org/officeDocument/2006/relationships/hyperlink" Target="https://docs.google.com/spreadsheets/d/1QVBShIrTLBej8s_qXhBmCICNAN5JsR5KakezwfMLZV0/edit" TargetMode="External"/><Relationship Id="rId611" Type="http://schemas.openxmlformats.org/officeDocument/2006/relationships/hyperlink" Target="https://drive.google.com/drive/folders/1Z78-jSWELFamD06uf4mMz7ZFwpal0gW6" TargetMode="External"/><Relationship Id="rId853" Type="http://schemas.openxmlformats.org/officeDocument/2006/relationships/hyperlink" Target="https://drive.google.com/drive/folders/1HCJazUZwmemgbz_YuIhp2VKoiOotiGpw" TargetMode="External"/><Relationship Id="rId610" Type="http://schemas.openxmlformats.org/officeDocument/2006/relationships/hyperlink" Target="https://docs.google.com/spreadsheets/d/1uNRBa-tQr-tK4ljePvXpBlFQNtLdUR6FKNphcYBf9iY/edit" TargetMode="External"/><Relationship Id="rId852" Type="http://schemas.openxmlformats.org/officeDocument/2006/relationships/hyperlink" Target="https://drive.google.com/drive/folders/1w5xYecXLp_vAQG4vF6HomOPsXk6P5BzW" TargetMode="External"/><Relationship Id="rId617" Type="http://schemas.openxmlformats.org/officeDocument/2006/relationships/hyperlink" Target="https://drive.google.com/drive/folders/1Ove9WfG9E5WNY7gc2erdCNJzfBnBYi_t" TargetMode="External"/><Relationship Id="rId859" Type="http://schemas.openxmlformats.org/officeDocument/2006/relationships/hyperlink" Target="https://drive.google.com/drive/folders/1XqZyr-TNk9GI8O2dh2aZgDEKxWMevFHC" TargetMode="External"/><Relationship Id="rId616" Type="http://schemas.openxmlformats.org/officeDocument/2006/relationships/hyperlink" Target="https://docs.google.com/spreadsheets/d/1kGb6hrNJXovJfW0VYZrNJI9HEgnPDMsvnJUI4qK6La4/edit" TargetMode="External"/><Relationship Id="rId858" Type="http://schemas.openxmlformats.org/officeDocument/2006/relationships/hyperlink" Target="https://drive.google.com/drive/folders/16npSE_pYAWmi6kpnRoA-1Vyk1TFsIxqs" TargetMode="External"/><Relationship Id="rId615" Type="http://schemas.openxmlformats.org/officeDocument/2006/relationships/hyperlink" Target="https://drive.google.com/drive/folders/1Ytxv-UFofgjiIrY8DmGYqQAvl102SpfN" TargetMode="External"/><Relationship Id="rId857" Type="http://schemas.openxmlformats.org/officeDocument/2006/relationships/hyperlink" Target="https://docs.google.com/spreadsheets/d/1lHqETbIH4pLQdUL2QQgIDownEvMU9QozqqnIMcLSCfg/edit" TargetMode="External"/><Relationship Id="rId614" Type="http://schemas.openxmlformats.org/officeDocument/2006/relationships/hyperlink" Target="https://docs.google.com/spreadsheets/d/1N2nhUlQIv8rArpkobd5RsjT5bHurvDy7GgSqr-hveAE/edit" TargetMode="External"/><Relationship Id="rId856" Type="http://schemas.openxmlformats.org/officeDocument/2006/relationships/hyperlink" Target="https://drive.google.com/drive/folders/1twfkuxpDLT8Z9CmAIW4GzdPNMximVktz" TargetMode="External"/><Relationship Id="rId851" Type="http://schemas.openxmlformats.org/officeDocument/2006/relationships/hyperlink" Target="https://docs.google.com/spreadsheets/d/1Bgq0uJUKdFTQouDxCzlEEpEbjOG76Fl_PVNJNSPhG8Y/edit" TargetMode="External"/><Relationship Id="rId850" Type="http://schemas.openxmlformats.org/officeDocument/2006/relationships/hyperlink" Target="https://drive.google.com/drive/folders/1kppc7t1MARvyUFrZPQ0FRe_LFBNL9oCq" TargetMode="External"/><Relationship Id="rId409" Type="http://schemas.openxmlformats.org/officeDocument/2006/relationships/hyperlink" Target="https://drive.google.com/drive/folders/1iZb3-dZEjiEBttYm-2aD0mQCulGe5kEm" TargetMode="External"/><Relationship Id="rId404" Type="http://schemas.openxmlformats.org/officeDocument/2006/relationships/hyperlink" Target="https://drive.google.com/drive/folders/1Dc-Aa6Z_zlpplCju1886g6Fnjj3BC6mX" TargetMode="External"/><Relationship Id="rId646" Type="http://schemas.openxmlformats.org/officeDocument/2006/relationships/hyperlink" Target="https://docs.google.com/spreadsheets/d/18YeFXhbwOry3OVJYZRIqhn6Omyqh0U-ahQsWUD0TmFQ/edit" TargetMode="External"/><Relationship Id="rId888" Type="http://schemas.openxmlformats.org/officeDocument/2006/relationships/hyperlink" Target="https://drive.google.com/drive/folders/1xwG_gq2_JqQ5fU8Zt3562vLK2d5Cp5ix" TargetMode="External"/><Relationship Id="rId403" Type="http://schemas.openxmlformats.org/officeDocument/2006/relationships/hyperlink" Target="https://drive.google.com/drive/folders/153FecE3gYfl6OrWEfgplQvlj0NlDEoZ_" TargetMode="External"/><Relationship Id="rId645" Type="http://schemas.openxmlformats.org/officeDocument/2006/relationships/hyperlink" Target="https://drive.google.com/drive/folders/1COXnFTNuNC_mJeljqzpc2nXLN7wNnw_a" TargetMode="External"/><Relationship Id="rId887" Type="http://schemas.openxmlformats.org/officeDocument/2006/relationships/hyperlink" Target="https://docs.google.com/spreadsheets/d/1zpjD0n2MDMpnv6d3XmAb2OMfLjhiWI0P_3JnMudl7oI/edit" TargetMode="External"/><Relationship Id="rId402" Type="http://schemas.openxmlformats.org/officeDocument/2006/relationships/hyperlink" Target="https://docs.google.com/spreadsheets/d/1ujz4e03ajQcNujiybbh9kWwlqBz9h70rMo6I6wAh-WI/edit" TargetMode="External"/><Relationship Id="rId644" Type="http://schemas.openxmlformats.org/officeDocument/2006/relationships/hyperlink" Target="https://docs.google.com/spreadsheets/d/1oG8KJLWAlMywHu47lg3UpNHq7GaTnmFRLHM1WnMwroU/edit" TargetMode="External"/><Relationship Id="rId886" Type="http://schemas.openxmlformats.org/officeDocument/2006/relationships/hyperlink" Target="https://drive.google.com/drive/folders/1zeY_K-_5doCWB6wLckdXbZ4TJvpvt_RS" TargetMode="External"/><Relationship Id="rId401" Type="http://schemas.openxmlformats.org/officeDocument/2006/relationships/hyperlink" Target="https://drive.google.com/drive/folders/1ShFbm3kv3rvW_pyfGvBHHuaw2Ka_K5tO" TargetMode="External"/><Relationship Id="rId643" Type="http://schemas.openxmlformats.org/officeDocument/2006/relationships/hyperlink" Target="https://drive.google.com/drive/folders/1LvczJLJSk243dNva5o0s9__Mn6XK3hu7" TargetMode="External"/><Relationship Id="rId885" Type="http://schemas.openxmlformats.org/officeDocument/2006/relationships/hyperlink" Target="https://drive.google.com/drive/folders/1f1b-YegWcV7m3H2dXMSNwTeTnezvFJ6O" TargetMode="External"/><Relationship Id="rId408" Type="http://schemas.openxmlformats.org/officeDocument/2006/relationships/hyperlink" Target="https://docs.google.com/spreadsheets/d/1BqR_Ok1XKiMbwmdK26aLR_BYoeEJpv9mAZfv_Tb9vx4/edit" TargetMode="External"/><Relationship Id="rId407" Type="http://schemas.openxmlformats.org/officeDocument/2006/relationships/hyperlink" Target="https://drive.google.com/drive/folders/1NhNyM22IG3RIycmUMzzBCfpbOgTVySLa" TargetMode="External"/><Relationship Id="rId649" Type="http://schemas.openxmlformats.org/officeDocument/2006/relationships/hyperlink" Target="https://docs.google.com/spreadsheets/d/1i7nD8aYC6tcitvs73AUebjtv4kfapAZjbotnlncyi9w/edit" TargetMode="External"/><Relationship Id="rId406" Type="http://schemas.openxmlformats.org/officeDocument/2006/relationships/hyperlink" Target="https://drive.google.com/drive/folders/1I8rc5XDt1WXug7_JNyPVYuce-bRIvLN5" TargetMode="External"/><Relationship Id="rId648" Type="http://schemas.openxmlformats.org/officeDocument/2006/relationships/hyperlink" Target="https://drive.google.com/drive/folders/16NqOe0vGydJ8W3LsSWDCjhdTrPWegWue" TargetMode="External"/><Relationship Id="rId405" Type="http://schemas.openxmlformats.org/officeDocument/2006/relationships/hyperlink" Target="https://docs.google.com/spreadsheets/d/1L9RtM1bzB4DA93tD_IGwUFHY3tNGdFYoNpultJI5GgQ/edit" TargetMode="External"/><Relationship Id="rId647" Type="http://schemas.openxmlformats.org/officeDocument/2006/relationships/hyperlink" Target="https://drive.google.com/drive/folders/1z4Tz7H0INBBYXp4pgYbpIhJA2gABYj-6" TargetMode="External"/><Relationship Id="rId889" Type="http://schemas.openxmlformats.org/officeDocument/2006/relationships/hyperlink" Target="https://drive.google.com/drive/folders/1bcAWXPoLB2JVaBDdGz_9fTSfRECJSFPO" TargetMode="External"/><Relationship Id="rId880" Type="http://schemas.openxmlformats.org/officeDocument/2006/relationships/hyperlink" Target="https://docs.google.com/spreadsheets/d/19NDu3EYtq9wEdW_s5MHQnnQjuWO6F7LAEyvadXaaoHg/edit" TargetMode="External"/><Relationship Id="rId400" Type="http://schemas.openxmlformats.org/officeDocument/2006/relationships/hyperlink" Target="https://drive.google.com/drive/folders/1lFj9j1KQmCNrBcTYOUjR4GT6k8Am0KTy" TargetMode="External"/><Relationship Id="rId642" Type="http://schemas.openxmlformats.org/officeDocument/2006/relationships/hyperlink" Target="https://docs.google.com/spreadsheets/d/1tYhmR4lNj1YHeqiigs35s15UxKEVLcMXrnIYSlOkRQk/edit" TargetMode="External"/><Relationship Id="rId884" Type="http://schemas.openxmlformats.org/officeDocument/2006/relationships/hyperlink" Target="https://docs.google.com/spreadsheets/d/1tTA5e4_FfYUM4c7CROCUCMKoFZEqa0MTF7qor1K6Di4/edit" TargetMode="External"/><Relationship Id="rId641" Type="http://schemas.openxmlformats.org/officeDocument/2006/relationships/hyperlink" Target="https://drive.google.com/drive/folders/1M-EGjDOpIXvWbVADJdTOWe1CpeqzfdEP" TargetMode="External"/><Relationship Id="rId883" Type="http://schemas.openxmlformats.org/officeDocument/2006/relationships/hyperlink" Target="https://drive.google.com/drive/folders/1x0oO6ZYJpAcagh9EuSXj_ix2YSdNl9Yx" TargetMode="External"/><Relationship Id="rId640" Type="http://schemas.openxmlformats.org/officeDocument/2006/relationships/hyperlink" Target="https://docs.google.com/spreadsheets/d/1zWSCvcfPxAcr86Cn-xiLCzYM42hDpWaMzqQvGvc-Ojw/edit" TargetMode="External"/><Relationship Id="rId882" Type="http://schemas.openxmlformats.org/officeDocument/2006/relationships/hyperlink" Target="https://docs.google.com/spreadsheets/d/1KUr1bjytPw-Vpy-d3SSzwdi3dOB5ZCQ6mJezbdLS4wo/edit" TargetMode="External"/><Relationship Id="rId881" Type="http://schemas.openxmlformats.org/officeDocument/2006/relationships/hyperlink" Target="https://drive.google.com/drive/folders/12CcxhCz9rkaAPQUG3OJtCkjO-wFDWL9x" TargetMode="External"/><Relationship Id="rId635" Type="http://schemas.openxmlformats.org/officeDocument/2006/relationships/hyperlink" Target="https://drive.google.com/drive/folders/1EbabMjdTlTxF1g__7HabJTMzPIQO4qDv" TargetMode="External"/><Relationship Id="rId877" Type="http://schemas.openxmlformats.org/officeDocument/2006/relationships/hyperlink" Target="https://drive.google.com/drive/folders/1UZ9uPgdarEtcd48ZGZGQW9Rui815OEek" TargetMode="External"/><Relationship Id="rId634" Type="http://schemas.openxmlformats.org/officeDocument/2006/relationships/hyperlink" Target="https://docs.google.com/spreadsheets/d/1osOyuHF4zURKwQBQVId__BAxFL3ovjDFMAESaHNUzcw/edit" TargetMode="External"/><Relationship Id="rId876" Type="http://schemas.openxmlformats.org/officeDocument/2006/relationships/hyperlink" Target="https://docs.google.com/spreadsheets/d/1pgLMvBNo6E9kbkAnv0QBIhYBBR1IrW1G6mYv4sWfOmc/edit" TargetMode="External"/><Relationship Id="rId633" Type="http://schemas.openxmlformats.org/officeDocument/2006/relationships/hyperlink" Target="https://drive.google.com/drive/folders/11XRAucpYYp0z9Ab5oLkst3tP3T8CoIeB" TargetMode="External"/><Relationship Id="rId875" Type="http://schemas.openxmlformats.org/officeDocument/2006/relationships/hyperlink" Target="https://drive.google.com/drive/folders/1UExbbXOxHDwc5B6eFSHZlgKWgoy7vFgA" TargetMode="External"/><Relationship Id="rId632" Type="http://schemas.openxmlformats.org/officeDocument/2006/relationships/hyperlink" Target="https://docs.google.com/spreadsheets/d/1SSzUIjRsBuOQW-kzcJRcEuyLwfZTtwgEZNTVqimPXRM/edit" TargetMode="External"/><Relationship Id="rId874" Type="http://schemas.openxmlformats.org/officeDocument/2006/relationships/hyperlink" Target="https://docs.google.com/spreadsheets/d/19TIXHN68VS31AYbvTLVgoT7ur3ACdybUa6Tgr2NssIw/edit" TargetMode="External"/><Relationship Id="rId639" Type="http://schemas.openxmlformats.org/officeDocument/2006/relationships/hyperlink" Target="https://drive.google.com/drive/folders/1tG6SIaUemv7lR5Mk83bVueqzrq3gu9dk" TargetMode="External"/><Relationship Id="rId638" Type="http://schemas.openxmlformats.org/officeDocument/2006/relationships/hyperlink" Target="https://docs.google.com/spreadsheets/d/15WvTCHWZ7k40lgk7ekOThzqz2K_9MGli20N9iYkrug0/edit" TargetMode="External"/><Relationship Id="rId637" Type="http://schemas.openxmlformats.org/officeDocument/2006/relationships/hyperlink" Target="https://drive.google.com/drive/folders/1TrpJ8-EYMVD9lQwwWMTJ9VPc4ByLTxkI" TargetMode="External"/><Relationship Id="rId879" Type="http://schemas.openxmlformats.org/officeDocument/2006/relationships/hyperlink" Target="https://drive.google.com/drive/folders/1O26enCxeJgndwXQDXvFRQyEPXhYtxQxS" TargetMode="External"/><Relationship Id="rId636" Type="http://schemas.openxmlformats.org/officeDocument/2006/relationships/hyperlink" Target="https://docs.google.com/spreadsheets/d/1jBLj7YlO7RVCF75qSzQ559wmnPniOl1ikS8tNuHDQd0/edit" TargetMode="External"/><Relationship Id="rId878" Type="http://schemas.openxmlformats.org/officeDocument/2006/relationships/hyperlink" Target="https://docs.google.com/spreadsheets/d/1_wqbP8y90HVN-akJ64Qqd1i2hjJPFweXimmLRe7vvbg/edit" TargetMode="External"/><Relationship Id="rId631" Type="http://schemas.openxmlformats.org/officeDocument/2006/relationships/hyperlink" Target="https://drive.google.com/drive/folders/1bfw3EBsbr2bSoDwytq9rZCQ78jT9seaL" TargetMode="External"/><Relationship Id="rId873" Type="http://schemas.openxmlformats.org/officeDocument/2006/relationships/hyperlink" Target="https://drive.google.com/drive/folders/1YY9SbOblBs6tsOt1WiZWfOmN5itZc9hx" TargetMode="External"/><Relationship Id="rId630" Type="http://schemas.openxmlformats.org/officeDocument/2006/relationships/hyperlink" Target="https://docs.google.com/spreadsheets/d/1VTFWB6Hw6EUp6TdZoOlRcBVDxwR_k4LX_ysjQi3ijbA/edit" TargetMode="External"/><Relationship Id="rId872" Type="http://schemas.openxmlformats.org/officeDocument/2006/relationships/hyperlink" Target="https://drive.google.com/drive/folders/1ibnqZumNJXf8GI6CeMVp1bObVfb2O5fL" TargetMode="External"/><Relationship Id="rId871" Type="http://schemas.openxmlformats.org/officeDocument/2006/relationships/hyperlink" Target="https://docs.google.com/spreadsheets/d/15UOdwT--s7Zl9Su2K5mgFsbjsO9NxCbTdpJ5AlQkVMM/edit" TargetMode="External"/><Relationship Id="rId870" Type="http://schemas.openxmlformats.org/officeDocument/2006/relationships/hyperlink" Target="https://drive.google.com/drive/folders/12x-Ytbs-imuP1AF_K6LdrDPJudP8mPUe" TargetMode="External"/><Relationship Id="rId829" Type="http://schemas.openxmlformats.org/officeDocument/2006/relationships/hyperlink" Target="https://docs.google.com/spreadsheets/d/1e3aaOiXSZCQrn6e8SubsYYbeE8N1r6f9D083h9kT6V4/edit" TargetMode="External"/><Relationship Id="rId828" Type="http://schemas.openxmlformats.org/officeDocument/2006/relationships/hyperlink" Target="https://drive.google.com/drive/folders/1O05ktLUt5Aai1ISeXnQ0BymAZu15-nVk" TargetMode="External"/><Relationship Id="rId827" Type="http://schemas.openxmlformats.org/officeDocument/2006/relationships/hyperlink" Target="https://drive.google.com/drive/folders/1JrjlDzz6J0Vgw7FHunLDGM4VDfBBPLuM" TargetMode="External"/><Relationship Id="rId822" Type="http://schemas.openxmlformats.org/officeDocument/2006/relationships/hyperlink" Target="https://drive.google.com/drive/folders/14Id_VKXOhryMBGl-J6gAhJDtcY0HyQCT" TargetMode="External"/><Relationship Id="rId821" Type="http://schemas.openxmlformats.org/officeDocument/2006/relationships/hyperlink" Target="https://drive.google.com/drive/folders/1ZA9k17H8zILqFPHCNAtb3F69dRU52tzl" TargetMode="External"/><Relationship Id="rId820" Type="http://schemas.openxmlformats.org/officeDocument/2006/relationships/hyperlink" Target="https://docs.google.com/spreadsheets/d/16Y3kc7OuouK5OrrRt3JjXIhTWz_IEXjAkD1IjXmm9J8/edit" TargetMode="External"/><Relationship Id="rId826" Type="http://schemas.openxmlformats.org/officeDocument/2006/relationships/hyperlink" Target="https://docs.google.com/spreadsheets/d/1yvsl28_lUG4aa66iIPEwfNrCt2m4Np6IsUERJv8hjf4/edit" TargetMode="External"/><Relationship Id="rId825" Type="http://schemas.openxmlformats.org/officeDocument/2006/relationships/hyperlink" Target="https://drive.google.com/drive/folders/1Eq2lH79PqXNumUWZoMt3moRJfRvZYJYB" TargetMode="External"/><Relationship Id="rId824" Type="http://schemas.openxmlformats.org/officeDocument/2006/relationships/hyperlink" Target="https://drive.google.com/drive/folders/1UFfrLfrUTWn4kgUbUuZEu8GPiz-H2nWC" TargetMode="External"/><Relationship Id="rId823" Type="http://schemas.openxmlformats.org/officeDocument/2006/relationships/hyperlink" Target="https://docs.google.com/spreadsheets/d/1Z0RLxeDSU2deGe-M9N2_xaGVhFQVJm_tASIMLykuH6Q/edit" TargetMode="External"/><Relationship Id="rId819" Type="http://schemas.openxmlformats.org/officeDocument/2006/relationships/hyperlink" Target="https://drive.google.com/drive/folders/1EHIVyBu6esLgTm3jwsYsImEP_iHP7K76" TargetMode="External"/><Relationship Id="rId818" Type="http://schemas.openxmlformats.org/officeDocument/2006/relationships/hyperlink" Target="https://drive.google.com/drive/folders/1tmaCWQUyg3FVVxBH5XXvQAB0bJPVfiqE" TargetMode="External"/><Relationship Id="rId817" Type="http://schemas.openxmlformats.org/officeDocument/2006/relationships/hyperlink" Target="https://docs.google.com/spreadsheets/d/1KWrdiOy0dFeVUlvkflxUZSwfdTKjD2WtnSGQxGgKBiw/edit" TargetMode="External"/><Relationship Id="rId816" Type="http://schemas.openxmlformats.org/officeDocument/2006/relationships/hyperlink" Target="https://drive.google.com/drive/folders/1ee65bh6Z6z_Hsp4ERvjhKNhdHppFR3lR" TargetMode="External"/><Relationship Id="rId811" Type="http://schemas.openxmlformats.org/officeDocument/2006/relationships/hyperlink" Target="https://docs.google.com/spreadsheets/d/1mxT1doFWSIKC49QGKrgrgC6fUkICfT4DLlAcSQC9Pc4/edit" TargetMode="External"/><Relationship Id="rId810" Type="http://schemas.openxmlformats.org/officeDocument/2006/relationships/hyperlink" Target="https://drive.google.com/drive/folders/1wdXCs8gbvqw2s9JWjqtvIr2q4PW-Fx7S" TargetMode="External"/><Relationship Id="rId815" Type="http://schemas.openxmlformats.org/officeDocument/2006/relationships/hyperlink" Target="https://drive.google.com/drive/folders/1yUh7VviLIlVtlkth1mquSCnZ3IMeCyoc" TargetMode="External"/><Relationship Id="rId814" Type="http://schemas.openxmlformats.org/officeDocument/2006/relationships/hyperlink" Target="https://docs.google.com/spreadsheets/d/1Glot5DmufEUxf7sEoY2RAdbIWFVDuW2SHPtNIbHYEdc/edit" TargetMode="External"/><Relationship Id="rId813" Type="http://schemas.openxmlformats.org/officeDocument/2006/relationships/hyperlink" Target="https://drive.google.com/drive/folders/1Y3nHbi48ClgId45xMX1uLNq1Ny_gWQ2I" TargetMode="External"/><Relationship Id="rId812" Type="http://schemas.openxmlformats.org/officeDocument/2006/relationships/hyperlink" Target="https://drive.google.com/drive/folders/1EEx3HyZbMC7iZ1GSCRFX9qqS9uc9uVmn" TargetMode="External"/><Relationship Id="rId609" Type="http://schemas.openxmlformats.org/officeDocument/2006/relationships/hyperlink" Target="https://drive.google.com/drive/folders/1Ip-MuO7wEzdg0zYg2yG5vP0qRKrodlRC" TargetMode="External"/><Relationship Id="rId608" Type="http://schemas.openxmlformats.org/officeDocument/2006/relationships/hyperlink" Target="https://docs.google.com/spreadsheets/d/1D3-RH4t-FdI5s6mabxVe_emj1BWZlSPFuf3stfCzc8s/edit" TargetMode="External"/><Relationship Id="rId607" Type="http://schemas.openxmlformats.org/officeDocument/2006/relationships/hyperlink" Target="https://drive.google.com/drive/folders/1vf39Arr-qQDOJAoTQw6CrweH_SURaZ4S" TargetMode="External"/><Relationship Id="rId849" Type="http://schemas.openxmlformats.org/officeDocument/2006/relationships/hyperlink" Target="https://docs.google.com/spreadsheets/d/1bfx7eMh4Ac2mO8jnga0N0Mq4i3FWPf37yxKEAzBtjPM/edit" TargetMode="External"/><Relationship Id="rId602" Type="http://schemas.openxmlformats.org/officeDocument/2006/relationships/hyperlink" Target="https://docs.google.com/spreadsheets/d/1gvaMszi7LB0Gn6vUIkvOZFAnvJ4lHvDAQ1gAHX-11Zk/edit" TargetMode="External"/><Relationship Id="rId844" Type="http://schemas.openxmlformats.org/officeDocument/2006/relationships/hyperlink" Target="https://drive.google.com/drive/folders/16wZYeXNVtmEaFu4KvgrIMXGmXL5jHxwr" TargetMode="External"/><Relationship Id="rId601" Type="http://schemas.openxmlformats.org/officeDocument/2006/relationships/hyperlink" Target="https://drive.google.com/drive/folders/1Le8tFUJzG-I85Ob0C54rmbw49ULm2udr" TargetMode="External"/><Relationship Id="rId843" Type="http://schemas.openxmlformats.org/officeDocument/2006/relationships/hyperlink" Target="https://docs.google.com/spreadsheets/d/1fHCHQnIWmfXqP4jwi-agXjfK1q2zM0BUeG3fwB0qApc/edit" TargetMode="External"/><Relationship Id="rId600" Type="http://schemas.openxmlformats.org/officeDocument/2006/relationships/hyperlink" Target="https://docs.google.com/spreadsheets/d/1_uE35CAqnGldLOvxOd9EuBeNaRXa3FdEC-O8GGHnflo/edit" TargetMode="External"/><Relationship Id="rId842" Type="http://schemas.openxmlformats.org/officeDocument/2006/relationships/hyperlink" Target="https://drive.google.com/drive/folders/1dr9CA_bJxMA8G8XSRJcYgXrnrzsqefSj" TargetMode="External"/><Relationship Id="rId841" Type="http://schemas.openxmlformats.org/officeDocument/2006/relationships/hyperlink" Target="https://drive.google.com/drive/folders/1ToIys2Xya60px_4x3xBBCykgmhoJGTzg" TargetMode="External"/><Relationship Id="rId606" Type="http://schemas.openxmlformats.org/officeDocument/2006/relationships/hyperlink" Target="https://docs.google.com/spreadsheets/d/15jnPMaEu2_OeDOATlNJjrJBvmq3ePhgdLWGBHROQJbo/edit" TargetMode="External"/><Relationship Id="rId848" Type="http://schemas.openxmlformats.org/officeDocument/2006/relationships/hyperlink" Target="https://drive.google.com/drive/folders/1hMIV-oPbhmhyilVAkCSwbK0kawRshb8Z" TargetMode="External"/><Relationship Id="rId605" Type="http://schemas.openxmlformats.org/officeDocument/2006/relationships/hyperlink" Target="https://drive.google.com/drive/folders/1HCnNTRmmrCW-SJS-xj6_OljrRFUvMqgZ" TargetMode="External"/><Relationship Id="rId847" Type="http://schemas.openxmlformats.org/officeDocument/2006/relationships/hyperlink" Target="https://drive.google.com/drive/folders/1mNFe8LOlkzgEZjkzgBHeCsw5sYMRjLat" TargetMode="External"/><Relationship Id="rId604" Type="http://schemas.openxmlformats.org/officeDocument/2006/relationships/hyperlink" Target="https://docs.google.com/spreadsheets/d/1uBXS8-e96xatYz1I0NwbT3MoqNyeJMLj5QciM0dVzK4/edit" TargetMode="External"/><Relationship Id="rId846" Type="http://schemas.openxmlformats.org/officeDocument/2006/relationships/hyperlink" Target="https://docs.google.com/spreadsheets/d/1q0ZY1YodurXjGSqWho0k_uF6nV5Cwr8l1g1rbo_fC4Y/edit" TargetMode="External"/><Relationship Id="rId603" Type="http://schemas.openxmlformats.org/officeDocument/2006/relationships/hyperlink" Target="https://drive.google.com/drive/folders/1dfCcF4K_BTRvVVhK0jWjmQiX4_R4Hk8n" TargetMode="External"/><Relationship Id="rId845" Type="http://schemas.openxmlformats.org/officeDocument/2006/relationships/hyperlink" Target="https://drive.google.com/drive/folders/1pNkDbMLTGHaKX-iMQTlMh58zFd6LxeLm" TargetMode="External"/><Relationship Id="rId840" Type="http://schemas.openxmlformats.org/officeDocument/2006/relationships/hyperlink" Target="https://docs.google.com/spreadsheets/d/1LVFmg-oYUYvWwI6u3WOnpzEWG7hGErkioBifgg4ml3c/edit" TargetMode="External"/><Relationship Id="rId839" Type="http://schemas.openxmlformats.org/officeDocument/2006/relationships/hyperlink" Target="https://drive.google.com/drive/folders/1mpa4h0cLP2DNBgoUB9uVMgjinBj6B7Mm" TargetMode="External"/><Relationship Id="rId838" Type="http://schemas.openxmlformats.org/officeDocument/2006/relationships/hyperlink" Target="https://docs.google.com/spreadsheets/d/1SFJDdnhDWiLN-lR4hWAV93N4rK3ge8yCJzFkfHhJbDU/edit" TargetMode="External"/><Relationship Id="rId833" Type="http://schemas.openxmlformats.org/officeDocument/2006/relationships/hyperlink" Target="https://drive.google.com/drive/folders/1B-GE916qjPcQpWE3-hsDudUP1I3GXVul" TargetMode="External"/><Relationship Id="rId832" Type="http://schemas.openxmlformats.org/officeDocument/2006/relationships/hyperlink" Target="https://docs.google.com/spreadsheets/d/1r0KUrXS28gDx7-fgD3zjnrel7PaC3KXGiEtHPv0wv_M/edit" TargetMode="External"/><Relationship Id="rId831" Type="http://schemas.openxmlformats.org/officeDocument/2006/relationships/hyperlink" Target="https://drive.google.com/drive/folders/1WcERPBtNRWJneMo47bb64C33UryMYJa2" TargetMode="External"/><Relationship Id="rId830" Type="http://schemas.openxmlformats.org/officeDocument/2006/relationships/hyperlink" Target="https://drive.google.com/drive/folders/1J6Y-StkPtfp4LtcQOjVTxftgz8MgF-bf" TargetMode="External"/><Relationship Id="rId837" Type="http://schemas.openxmlformats.org/officeDocument/2006/relationships/hyperlink" Target="https://drive.google.com/drive/folders/1PJYDShxipI6IoiA2ssRn3ZJwJPHUrF6V" TargetMode="External"/><Relationship Id="rId836" Type="http://schemas.openxmlformats.org/officeDocument/2006/relationships/hyperlink" Target="https://drive.google.com/drive/folders/16b1Z3mvOpZW04_7fvgaSXACne6UvsIFe" TargetMode="External"/><Relationship Id="rId835" Type="http://schemas.openxmlformats.org/officeDocument/2006/relationships/hyperlink" Target="https://docs.google.com/spreadsheets/d/1BMhoyJRK7DCg_LO256ufPw72_BuKa1iu3f1v8JCofH0/edit" TargetMode="External"/><Relationship Id="rId834" Type="http://schemas.openxmlformats.org/officeDocument/2006/relationships/hyperlink" Target="https://drive.google.com/drive/folders/1Q42tUQ418NZuXFC1CYwZOtv8OobJEB3z" TargetMode="External"/><Relationship Id="rId228" Type="http://schemas.openxmlformats.org/officeDocument/2006/relationships/hyperlink" Target="https://docs.google.com/spreadsheets/d/1TuBCieryI5B9C4qUUscd4DG93Cj0YeOolwC7hs56SEg/edit" TargetMode="External"/><Relationship Id="rId227" Type="http://schemas.openxmlformats.org/officeDocument/2006/relationships/hyperlink" Target="https://drive.google.com/drive/folders/1Xy5b-9Fh_dHxAqthjkuuDkoueX2RFZce" TargetMode="External"/><Relationship Id="rId469" Type="http://schemas.openxmlformats.org/officeDocument/2006/relationships/hyperlink" Target="https://drive.google.com/drive/folders/13CbQeFj4dmzxr1QsppmjxEaHUsvYMSLG" TargetMode="External"/><Relationship Id="rId226" Type="http://schemas.openxmlformats.org/officeDocument/2006/relationships/hyperlink" Target="https://drive.google.com/drive/folders/1CvVhd66WV4xyOkIVWZIM2dB2dLa5MEoJ" TargetMode="External"/><Relationship Id="rId468" Type="http://schemas.openxmlformats.org/officeDocument/2006/relationships/hyperlink" Target="https://drive.google.com/drive/folders/1moSU7CU2bPgUxi1zZsb7Z2vZCkGt21eZ" TargetMode="External"/><Relationship Id="rId225" Type="http://schemas.openxmlformats.org/officeDocument/2006/relationships/hyperlink" Target="https://docs.google.com/spreadsheets/d/1DHuoK3CPfNh_Joggi61wQdiSIly5OZEhbKVvkkW9X5U/edit" TargetMode="External"/><Relationship Id="rId467" Type="http://schemas.openxmlformats.org/officeDocument/2006/relationships/hyperlink" Target="https://docs.google.com/spreadsheets/d/15if03Q4YLoDcHi2HznX5QBpY6yQHJPDyifJKxRYKV-8/edit" TargetMode="External"/><Relationship Id="rId229" Type="http://schemas.openxmlformats.org/officeDocument/2006/relationships/hyperlink" Target="https://drive.google.com/drive/folders/1SByMQW2HdA2fMeqWsbsNcLpWgvD0wtH2" TargetMode="External"/><Relationship Id="rId220" Type="http://schemas.openxmlformats.org/officeDocument/2006/relationships/hyperlink" Target="https://docs.google.com/spreadsheets/d/1ek0kGrVLOQttU35mRbEycOZ6YRg6Oon_3gkX4EwTum0/edit" TargetMode="External"/><Relationship Id="rId462" Type="http://schemas.openxmlformats.org/officeDocument/2006/relationships/hyperlink" Target="https://drive.google.com/drive/folders/1ieikGRRcxi3sv1bUn9aiE78gRbHNYBsD" TargetMode="External"/><Relationship Id="rId461" Type="http://schemas.openxmlformats.org/officeDocument/2006/relationships/hyperlink" Target="https://docs.google.com/spreadsheets/d/1F-qgo65nyduysDsu4OiPqLBtjm1sTnysGmg4Ke93FbU/edit" TargetMode="External"/><Relationship Id="rId460" Type="http://schemas.openxmlformats.org/officeDocument/2006/relationships/hyperlink" Target="https://drive.google.com/drive/folders/1eKlxvRU4MfZvI1EXgOMHs-l--IfEgoc8" TargetMode="External"/><Relationship Id="rId224" Type="http://schemas.openxmlformats.org/officeDocument/2006/relationships/hyperlink" Target="https://drive.google.com/drive/folders/1wz3TJLLKbIaXZaG8KOdipvrg-d-0Vdns" TargetMode="External"/><Relationship Id="rId466" Type="http://schemas.openxmlformats.org/officeDocument/2006/relationships/hyperlink" Target="https://drive.google.com/drive/folders/1doJg1qXzxI5AhGu4iF7JtAqqERaEFXjZ" TargetMode="External"/><Relationship Id="rId223" Type="http://schemas.openxmlformats.org/officeDocument/2006/relationships/hyperlink" Target="https://drive.google.com/drive/folders/1eVLjqAibyHNCOu6lw610ICjtXs8OM6wj" TargetMode="External"/><Relationship Id="rId465" Type="http://schemas.openxmlformats.org/officeDocument/2006/relationships/hyperlink" Target="https://drive.google.com/drive/folders/1NvjwMxPQICWKBhcbXq58MAEe4wLP3UX4" TargetMode="External"/><Relationship Id="rId222" Type="http://schemas.openxmlformats.org/officeDocument/2006/relationships/hyperlink" Target="https://docs.google.com/spreadsheets/d/15e1MPdmX1KahSQrgQP1EiQhxwoiZU-49rilJy51h_W8/edit" TargetMode="External"/><Relationship Id="rId464" Type="http://schemas.openxmlformats.org/officeDocument/2006/relationships/hyperlink" Target="https://docs.google.com/spreadsheets/d/1rHOrl-RR_wmvN1hR6qvRLwO5p4_e081st6veS3SDnKk/edit" TargetMode="External"/><Relationship Id="rId221" Type="http://schemas.openxmlformats.org/officeDocument/2006/relationships/hyperlink" Target="https://drive.google.com/drive/folders/13z0zkxVSks3TQpBK_5vUe8uxjl-d3Kye" TargetMode="External"/><Relationship Id="rId463" Type="http://schemas.openxmlformats.org/officeDocument/2006/relationships/hyperlink" Target="https://drive.google.com/drive/folders/1ptc0dP0ctiBDRvPijGp21VujFGmUd4vy" TargetMode="External"/><Relationship Id="rId217" Type="http://schemas.openxmlformats.org/officeDocument/2006/relationships/hyperlink" Target="https://drive.google.com/drive/folders/1kjXMhg2YX0SjqLMq7UpG-gn8NWvKzxwT" TargetMode="External"/><Relationship Id="rId459" Type="http://schemas.openxmlformats.org/officeDocument/2006/relationships/hyperlink" Target="https://drive.google.com/drive/folders/1i7-UBeN5BgtH_7FQWb1WLxpCk3LpTC7J" TargetMode="External"/><Relationship Id="rId216" Type="http://schemas.openxmlformats.org/officeDocument/2006/relationships/hyperlink" Target="https://docs.google.com/spreadsheets/d/1UIyqHTLBGZ9oJJifSEPsCIcKejmqUySrjCf7ZVdx8Gs/edit" TargetMode="External"/><Relationship Id="rId458" Type="http://schemas.openxmlformats.org/officeDocument/2006/relationships/hyperlink" Target="https://docs.google.com/spreadsheets/d/1MZSuDBhj6MvXnyvchodYUa5X-Tmx0AyJTkxlHAAvtro/edit" TargetMode="External"/><Relationship Id="rId215" Type="http://schemas.openxmlformats.org/officeDocument/2006/relationships/hyperlink" Target="https://drive.google.com/drive/folders/1pKvVMPP24tuGbtjhSmJrJlcovWUw2mND" TargetMode="External"/><Relationship Id="rId457" Type="http://schemas.openxmlformats.org/officeDocument/2006/relationships/hyperlink" Target="https://drive.google.com/drive/folders/1GAAbTitzlIdBrDMstrt-r1IMKq9yKCFG" TargetMode="External"/><Relationship Id="rId699" Type="http://schemas.openxmlformats.org/officeDocument/2006/relationships/hyperlink" Target="https://drive.google.com/drive/folders/1yTHnH4K1EZid0qdRKwVp2xx18S04IVwD" TargetMode="External"/><Relationship Id="rId214" Type="http://schemas.openxmlformats.org/officeDocument/2006/relationships/hyperlink" Target="https://drive.google.com/drive/folders/10tNbXKmcDHgGrHwhtZKJmEeJYm9UoThN" TargetMode="External"/><Relationship Id="rId456" Type="http://schemas.openxmlformats.org/officeDocument/2006/relationships/hyperlink" Target="https://drive.google.com/drive/folders/1RhnLus4L6IeXIL80FIhIR_v8mZhcHS2O" TargetMode="External"/><Relationship Id="rId698" Type="http://schemas.openxmlformats.org/officeDocument/2006/relationships/hyperlink" Target="https://docs.google.com/spreadsheets/d/1exeGOWVXOAcHuO2L4B0HTiLTrOKeCzbSH5QoO_nqQeA/edit" TargetMode="External"/><Relationship Id="rId219" Type="http://schemas.openxmlformats.org/officeDocument/2006/relationships/hyperlink" Target="https://drive.google.com/drive/folders/1NmoWi0Io4YqfjLC-Y21wL1EnGZWEF0m8" TargetMode="External"/><Relationship Id="rId218" Type="http://schemas.openxmlformats.org/officeDocument/2006/relationships/hyperlink" Target="https://docs.google.com/spreadsheets/d/1Q4aI-AB3iqaBUsFrzL3oASW-2tjkwXyAtJSO1Lx4Z04/edit" TargetMode="External"/><Relationship Id="rId451" Type="http://schemas.openxmlformats.org/officeDocument/2006/relationships/hyperlink" Target="https://drive.google.com/drive/folders/10h5x-JeZmvlTMjOxzAHBDD7vovj2pg8a" TargetMode="External"/><Relationship Id="rId693" Type="http://schemas.openxmlformats.org/officeDocument/2006/relationships/hyperlink" Target="https://drive.google.com/drive/folders/1RjkRDfwyjMde_MYRHKwN7QlW1x_PVbj3" TargetMode="External"/><Relationship Id="rId450" Type="http://schemas.openxmlformats.org/officeDocument/2006/relationships/hyperlink" Target="https://drive.google.com/drive/folders/1fmxZv-p_G9sb24hQ-SoUXW_ZT-IXedTB" TargetMode="External"/><Relationship Id="rId692" Type="http://schemas.openxmlformats.org/officeDocument/2006/relationships/hyperlink" Target="https://docs.google.com/spreadsheets/d/1Pl3xCS8yRV5PgPEBDpSJ_TjqRSqKz0udLYEAfWnXS6o/edit" TargetMode="External"/><Relationship Id="rId691" Type="http://schemas.openxmlformats.org/officeDocument/2006/relationships/hyperlink" Target="https://drive.google.com/drive/folders/1VR1F2u5g5g4T5fdDT0MDSQXYfSeGVliT" TargetMode="External"/><Relationship Id="rId690" Type="http://schemas.openxmlformats.org/officeDocument/2006/relationships/hyperlink" Target="https://docs.google.com/spreadsheets/d/1QOJhpGMdUnxjEHflCyBx-7AgAkJDocYTlbeJzELOi9U/edit" TargetMode="External"/><Relationship Id="rId213" Type="http://schemas.openxmlformats.org/officeDocument/2006/relationships/hyperlink" Target="https://docs.google.com/spreadsheets/d/1M25XSc1w8NZMexWP6izPWIwiJI8ces6yFAUV3fB4-pA/edit" TargetMode="External"/><Relationship Id="rId455" Type="http://schemas.openxmlformats.org/officeDocument/2006/relationships/hyperlink" Target="https://docs.google.com/spreadsheets/d/1oQVPfd8k9NkVTkQGOHRAq_y-oNhBZ1Ssb0pUJIc1AnM/edit" TargetMode="External"/><Relationship Id="rId697" Type="http://schemas.openxmlformats.org/officeDocument/2006/relationships/hyperlink" Target="https://drive.google.com/drive/folders/1jv2CB0LRek9m53W1Hyj7S7zCtN7k7d-L" TargetMode="External"/><Relationship Id="rId212" Type="http://schemas.openxmlformats.org/officeDocument/2006/relationships/hyperlink" Target="https://drive.google.com/drive/folders/1LnP4AhiQaluv-Kai3oLCblUfb6EVUJND" TargetMode="External"/><Relationship Id="rId454" Type="http://schemas.openxmlformats.org/officeDocument/2006/relationships/hyperlink" Target="https://drive.google.com/drive/folders/1ZmX17GUv0csrp095f7FeaMxdyTHp5hlm" TargetMode="External"/><Relationship Id="rId696" Type="http://schemas.openxmlformats.org/officeDocument/2006/relationships/hyperlink" Target="https://docs.google.com/spreadsheets/d/1_OiNFW1L4uli0OUd47a3WJ8Vi8oF4ELvOE04d55Bxu8/edit" TargetMode="External"/><Relationship Id="rId211" Type="http://schemas.openxmlformats.org/officeDocument/2006/relationships/hyperlink" Target="https://docs.google.com/spreadsheets/d/1th0hj2blk-gBbR7lpmA16YsAj_ttAS2Hct4wjY5lY2o/edit" TargetMode="External"/><Relationship Id="rId453" Type="http://schemas.openxmlformats.org/officeDocument/2006/relationships/hyperlink" Target="https://drive.google.com/drive/folders/1bxYghWl_NzF_lj3IkDiufqhSzKccMtU_" TargetMode="External"/><Relationship Id="rId695" Type="http://schemas.openxmlformats.org/officeDocument/2006/relationships/hyperlink" Target="https://drive.google.com/drive/folders/1XGoR_7AT3iPOYGx06dmfRaksCZsMYtHo" TargetMode="External"/><Relationship Id="rId210" Type="http://schemas.openxmlformats.org/officeDocument/2006/relationships/hyperlink" Target="https://drive.google.com/drive/folders/1cPdnObU4yGztlrt1EImkV-MzmgJmunrd" TargetMode="External"/><Relationship Id="rId452" Type="http://schemas.openxmlformats.org/officeDocument/2006/relationships/hyperlink" Target="https://docs.google.com/spreadsheets/d/1DVpSm5a7kKqZxFgDUdJBRIcgAuTZosRKDnkmPEIdEG4/edit" TargetMode="External"/><Relationship Id="rId694" Type="http://schemas.openxmlformats.org/officeDocument/2006/relationships/hyperlink" Target="https://docs.google.com/spreadsheets/d/1MwGB4NlbAA1sDO4RNS9Gt7hcxUDE9RrGsbtMfLGnXmc/edit" TargetMode="External"/><Relationship Id="rId491" Type="http://schemas.openxmlformats.org/officeDocument/2006/relationships/hyperlink" Target="https://drive.google.com/drive/folders/1d_LFEVVOVbMYTJCG48dc6zCq3hEMvlq3" TargetMode="External"/><Relationship Id="rId490" Type="http://schemas.openxmlformats.org/officeDocument/2006/relationships/hyperlink" Target="https://docs.google.com/spreadsheets/d/1qxwsz8bKbkgF_CUEIo4wHtKWUOmG5XLVsTe2BNqwe-U/edit" TargetMode="External"/><Relationship Id="rId249" Type="http://schemas.openxmlformats.org/officeDocument/2006/relationships/hyperlink" Target="https://docs.google.com/spreadsheets/d/13RsJ1T_W8o2VNE9w100mgEYjOaU-1jlpABRILPpMAjs/edit" TargetMode="External"/><Relationship Id="rId248" Type="http://schemas.openxmlformats.org/officeDocument/2006/relationships/hyperlink" Target="https://drive.google.com/drive/folders/1pDd2U-dWKp89qtevgtvZJLaeXxUrzv6D" TargetMode="External"/><Relationship Id="rId247" Type="http://schemas.openxmlformats.org/officeDocument/2006/relationships/hyperlink" Target="https://drive.google.com/drive/folders/1mzrHzjDEHFUVMJsG0onDQ0EdWYW4dIgv" TargetMode="External"/><Relationship Id="rId489" Type="http://schemas.openxmlformats.org/officeDocument/2006/relationships/hyperlink" Target="https://drive.google.com/drive/folders/1JHhWdX9YjCIwWJfcL-gGrJsScJrdxjTZ" TargetMode="External"/><Relationship Id="rId242" Type="http://schemas.openxmlformats.org/officeDocument/2006/relationships/hyperlink" Target="https://drive.google.com/drive/folders/1uWn-5AQ1lOZQ8aXH9j8beqDCD5IH3Znb" TargetMode="External"/><Relationship Id="rId484" Type="http://schemas.openxmlformats.org/officeDocument/2006/relationships/hyperlink" Target="https://docs.google.com/spreadsheets/d/1UyyiO2ozt9UX5AJamlEvIX5j825tQ-SAIIQCdxpAP0Y/edit" TargetMode="External"/><Relationship Id="rId241" Type="http://schemas.openxmlformats.org/officeDocument/2006/relationships/hyperlink" Target="https://drive.google.com/drive/folders/1Dwhx6PJRgltRpNakkOmvH-PZKEZKEo9i" TargetMode="External"/><Relationship Id="rId483" Type="http://schemas.openxmlformats.org/officeDocument/2006/relationships/hyperlink" Target="https://drive.google.com/drive/folders/1AVCb-r2huaVDv2GWF5gKi7foUXZuNHFU" TargetMode="External"/><Relationship Id="rId240" Type="http://schemas.openxmlformats.org/officeDocument/2006/relationships/hyperlink" Target="https://docs.google.com/spreadsheets/d/1Wxkr9M9brzH_Qd8RBgAFdg3jgvfV-5e6mlbAaitWxss/edit" TargetMode="External"/><Relationship Id="rId482" Type="http://schemas.openxmlformats.org/officeDocument/2006/relationships/hyperlink" Target="https://docs.google.com/spreadsheets/d/1qVCbO1-x1wvM0-NhcEVhkvWdoKy0Q9zezj6PELJNkXM/edit" TargetMode="External"/><Relationship Id="rId481" Type="http://schemas.openxmlformats.org/officeDocument/2006/relationships/hyperlink" Target="https://drive.google.com/drive/folders/1o7tWTkd2zAG1gJ5eTr7cahre4NK81raA" TargetMode="External"/><Relationship Id="rId246" Type="http://schemas.openxmlformats.org/officeDocument/2006/relationships/hyperlink" Target="https://docs.google.com/spreadsheets/d/1kk6retEj7a8ElwHKY3kD7Cti9VMfyX-Nt8jZobYqikg/edit" TargetMode="External"/><Relationship Id="rId488" Type="http://schemas.openxmlformats.org/officeDocument/2006/relationships/hyperlink" Target="https://docs.google.com/spreadsheets/d/1HM8WbBnHpHB3rDjfMfy58j7gi_pEy5b2nEqGnoGP7mk/edit" TargetMode="External"/><Relationship Id="rId245" Type="http://schemas.openxmlformats.org/officeDocument/2006/relationships/hyperlink" Target="https://drive.google.com/drive/folders/1HZwED1P2PxwxfZ_EV8fziMCBs_PaDTcG" TargetMode="External"/><Relationship Id="rId487" Type="http://schemas.openxmlformats.org/officeDocument/2006/relationships/hyperlink" Target="https://drive.google.com/drive/folders/1FUG2ocbU2nE1Wa-dLXWuVAJqKeIIUBfo" TargetMode="External"/><Relationship Id="rId244" Type="http://schemas.openxmlformats.org/officeDocument/2006/relationships/hyperlink" Target="https://drive.google.com/drive/folders/14XhxrXRstM4vilczzF7UEeNFgWR8PgsS" TargetMode="External"/><Relationship Id="rId486" Type="http://schemas.openxmlformats.org/officeDocument/2006/relationships/hyperlink" Target="https://docs.google.com/spreadsheets/d/18-Jt-1hSQWeUmfNImHZoIB1DJTVR1SDzcs7QHsFc8IQ/edit" TargetMode="External"/><Relationship Id="rId243" Type="http://schemas.openxmlformats.org/officeDocument/2006/relationships/hyperlink" Target="https://docs.google.com/spreadsheets/d/1KaEmNIMK0XXiIsA6XQ7GNELp4AsXjf8BnThrJvzVk2Q/edit" TargetMode="External"/><Relationship Id="rId485" Type="http://schemas.openxmlformats.org/officeDocument/2006/relationships/hyperlink" Target="https://drive.google.com/drive/folders/1kVhztSDg7t16OMQjAPOuyvPh6JBVcmdx" TargetMode="External"/><Relationship Id="rId480" Type="http://schemas.openxmlformats.org/officeDocument/2006/relationships/hyperlink" Target="https://drive.google.com/drive/folders/1z4gLct1vbTK-XT-iKUKF5iGCGjQBmYwk" TargetMode="External"/><Relationship Id="rId239" Type="http://schemas.openxmlformats.org/officeDocument/2006/relationships/hyperlink" Target="https://drive.google.com/drive/folders/1WroPf7nXNDlQTJG1D0jMYKmndbrQujbF" TargetMode="External"/><Relationship Id="rId238" Type="http://schemas.openxmlformats.org/officeDocument/2006/relationships/hyperlink" Target="https://drive.google.com/drive/folders/1csWzl8xWkaSxXlSvfL0-80Z0vcnMcnXf" TargetMode="External"/><Relationship Id="rId237" Type="http://schemas.openxmlformats.org/officeDocument/2006/relationships/hyperlink" Target="https://docs.google.com/spreadsheets/d/1-Ht1VJM8lu7HceWxxtL7iafzmbHFLLgtLF3OJk7V8IQ/edit" TargetMode="External"/><Relationship Id="rId479" Type="http://schemas.openxmlformats.org/officeDocument/2006/relationships/hyperlink" Target="https://docs.google.com/spreadsheets/d/1hlnCiW64Y7uZNVOj2ewyfTULbWj1dUaXX2rUREx8W8o/edit" TargetMode="External"/><Relationship Id="rId236" Type="http://schemas.openxmlformats.org/officeDocument/2006/relationships/hyperlink" Target="https://drive.google.com/drive/folders/1RFBEkGfSECypHWVnjix-cEbaGMq_-Ae8" TargetMode="External"/><Relationship Id="rId478" Type="http://schemas.openxmlformats.org/officeDocument/2006/relationships/hyperlink" Target="https://drive.google.com/drive/folders/164e8DOrgYVqWADHih9sdIUaaNbiovF8u" TargetMode="External"/><Relationship Id="rId231" Type="http://schemas.openxmlformats.org/officeDocument/2006/relationships/hyperlink" Target="https://docs.google.com/spreadsheets/d/1eiTogQPi-sHfdl6mZbOd9WL047mVrKOSLuFH6hsfT4U/edit" TargetMode="External"/><Relationship Id="rId473" Type="http://schemas.openxmlformats.org/officeDocument/2006/relationships/hyperlink" Target="https://docs.google.com/spreadsheets/d/1VIUqOp_UXFVjhTtvQswmqJ7NEi8nkGyfHAoJPy-wvSA/edit" TargetMode="External"/><Relationship Id="rId230" Type="http://schemas.openxmlformats.org/officeDocument/2006/relationships/hyperlink" Target="https://drive.google.com/drive/folders/1FVSBCbQPptllYMDYIuVB9i2DMf8iYAv5" TargetMode="External"/><Relationship Id="rId472" Type="http://schemas.openxmlformats.org/officeDocument/2006/relationships/hyperlink" Target="https://drive.google.com/drive/folders/1eHvlKqmfi4apCt-bPJfIRJB0GqfGPdiz" TargetMode="External"/><Relationship Id="rId471" Type="http://schemas.openxmlformats.org/officeDocument/2006/relationships/hyperlink" Target="https://drive.google.com/drive/folders/1qqR1BDbQ9tzHTt-P1wGP2IyJ6qdLW5FB" TargetMode="External"/><Relationship Id="rId470" Type="http://schemas.openxmlformats.org/officeDocument/2006/relationships/hyperlink" Target="https://docs.google.com/spreadsheets/d/1Bn0dgc_QYbF664LnJPJT-IEcqhx5gMA1AtzkRyd3ZGA/edit" TargetMode="External"/><Relationship Id="rId235" Type="http://schemas.openxmlformats.org/officeDocument/2006/relationships/hyperlink" Target="https://drive.google.com/drive/folders/1bM_TYHJW1lZhTNMEesuHCVQuxbqUnghT" TargetMode="External"/><Relationship Id="rId477" Type="http://schemas.openxmlformats.org/officeDocument/2006/relationships/hyperlink" Target="https://drive.google.com/drive/folders/1KFISc_O0dlhMgbnfH8QOpx6JhpDd4Mo-" TargetMode="External"/><Relationship Id="rId234" Type="http://schemas.openxmlformats.org/officeDocument/2006/relationships/hyperlink" Target="https://docs.google.com/spreadsheets/d/1K6oaFfzdWrW0ygNwDwWBmlm6lWJxWCUD9ydsyisVA7A/edit" TargetMode="External"/><Relationship Id="rId476" Type="http://schemas.openxmlformats.org/officeDocument/2006/relationships/hyperlink" Target="https://docs.google.com/spreadsheets/d/1n7-iUzN79cdRZqVwntVYXRPOJ2BUYBkTQu6jF4vKAdE/edit" TargetMode="External"/><Relationship Id="rId233" Type="http://schemas.openxmlformats.org/officeDocument/2006/relationships/hyperlink" Target="https://drive.google.com/drive/folders/1N8Hbah6EqlheRH5Lq2j82mWftvSeDEc_" TargetMode="External"/><Relationship Id="rId475" Type="http://schemas.openxmlformats.org/officeDocument/2006/relationships/hyperlink" Target="https://drive.google.com/drive/folders/1hZ9ae6-tboALNr3AyfxfzIiRl72c_EDs" TargetMode="External"/><Relationship Id="rId232" Type="http://schemas.openxmlformats.org/officeDocument/2006/relationships/hyperlink" Target="https://drive.google.com/drive/folders/1-n-XrFrpgx6st8B5wLiryMkBWGKoMA8-" TargetMode="External"/><Relationship Id="rId474" Type="http://schemas.openxmlformats.org/officeDocument/2006/relationships/hyperlink" Target="https://drive.google.com/drive/folders/1g_G-dz3uzr6t-FpHel9_TMFjT-3RSaG1" TargetMode="External"/><Relationship Id="rId426" Type="http://schemas.openxmlformats.org/officeDocument/2006/relationships/hyperlink" Target="https://drive.google.com/drive/folders/1oGzhxaeK4t_mML89tJ1Jce1f-g5kIFIq" TargetMode="External"/><Relationship Id="rId668" Type="http://schemas.openxmlformats.org/officeDocument/2006/relationships/hyperlink" Target="https://drive.google.com/drive/folders/1c-ZlNZ96lB-1fbsOMX9a7xP1iAneL8yC" TargetMode="External"/><Relationship Id="rId425" Type="http://schemas.openxmlformats.org/officeDocument/2006/relationships/hyperlink" Target="https://docs.google.com/spreadsheets/d/1U0Ayati-OdaXS_d4dcZK-B_eN6wBy_dqoN1Vmk0t45Y/edit" TargetMode="External"/><Relationship Id="rId667" Type="http://schemas.openxmlformats.org/officeDocument/2006/relationships/hyperlink" Target="https://docs.google.com/spreadsheets/d/1-MGz10ueHtF28FBo7G_OHqG8elKH6byTXmsAdLd1HwQ/edit" TargetMode="External"/><Relationship Id="rId424" Type="http://schemas.openxmlformats.org/officeDocument/2006/relationships/hyperlink" Target="https://drive.google.com/drive/folders/1-s-O-PqyDLAmYmtqdrolj31n7scYDPnr" TargetMode="External"/><Relationship Id="rId666" Type="http://schemas.openxmlformats.org/officeDocument/2006/relationships/hyperlink" Target="https://drive.google.com/drive/folders/1PfwYkpfCRntO3RglO4KKuDxep2uRUXIt" TargetMode="External"/><Relationship Id="rId423" Type="http://schemas.openxmlformats.org/officeDocument/2006/relationships/hyperlink" Target="https://docs.google.com/spreadsheets/d/1876RfsSjY4efSikG9YDGUWajbPv924bhaJa0AJLdD8E/edit" TargetMode="External"/><Relationship Id="rId665" Type="http://schemas.openxmlformats.org/officeDocument/2006/relationships/hyperlink" Target="https://docs.google.com/spreadsheets/d/11f9wtVFkWuND5MycjAQF0s33JyN2F1jC8n_ilAvNXUE/edit" TargetMode="External"/><Relationship Id="rId429" Type="http://schemas.openxmlformats.org/officeDocument/2006/relationships/hyperlink" Target="https://docs.google.com/spreadsheets/d/1EqLBGhhw88ePbxTSdniMo_of3cuMUNJduNtdzPonF7w/edit" TargetMode="External"/><Relationship Id="rId428" Type="http://schemas.openxmlformats.org/officeDocument/2006/relationships/hyperlink" Target="https://drive.google.com/drive/folders/15VDBdABLnzxfAk9dIpZN-ATd0iMWc7OY" TargetMode="External"/><Relationship Id="rId427" Type="http://schemas.openxmlformats.org/officeDocument/2006/relationships/hyperlink" Target="https://docs.google.com/spreadsheets/d/1zei1ne3QpSt186ff-L2PaKoV0maqqSe-91NIiwTBSko/edit" TargetMode="External"/><Relationship Id="rId669" Type="http://schemas.openxmlformats.org/officeDocument/2006/relationships/hyperlink" Target="https://docs.google.com/spreadsheets/d/1Ql_6BdBcHGAyITSZt1pNUK3bW54CzeThIBXr7aH7K3Y/edit" TargetMode="External"/><Relationship Id="rId660" Type="http://schemas.openxmlformats.org/officeDocument/2006/relationships/hyperlink" Target="https://drive.google.com/drive/folders/1lcRpm_D4_Vo4P1oHQMdqGQZqrgVshgBy" TargetMode="External"/><Relationship Id="rId422" Type="http://schemas.openxmlformats.org/officeDocument/2006/relationships/hyperlink" Target="https://drive.google.com/drive/folders/1o8P25rArnZdU6xihPjPFxBQm5fWjKwDr" TargetMode="External"/><Relationship Id="rId664" Type="http://schemas.openxmlformats.org/officeDocument/2006/relationships/hyperlink" Target="https://drive.google.com/drive/folders/176EUb45psgoWM-zdE_Ek_pLg4EMU01ob" TargetMode="External"/><Relationship Id="rId421" Type="http://schemas.openxmlformats.org/officeDocument/2006/relationships/hyperlink" Target="https://drive.google.com/drive/folders/1grXiAL1tbJpDFLd7E4wBXbOMWVtvojXI" TargetMode="External"/><Relationship Id="rId663" Type="http://schemas.openxmlformats.org/officeDocument/2006/relationships/hyperlink" Target="https://docs.google.com/spreadsheets/d/1g0qiuDcnbyBi-CYwlfpEUrOj5boKaQ0D16LWou5stMc/edit" TargetMode="External"/><Relationship Id="rId420" Type="http://schemas.openxmlformats.org/officeDocument/2006/relationships/hyperlink" Target="https://docs.google.com/spreadsheets/d/1kMvgnwSkK4p35wcMsguAxORW1vQe7W1vnlmFj46sMCo/edit" TargetMode="External"/><Relationship Id="rId662" Type="http://schemas.openxmlformats.org/officeDocument/2006/relationships/hyperlink" Target="https://drive.google.com/drive/folders/1NF0MYvjjuajdsvH6gKoe50GQFzktEaYS" TargetMode="External"/><Relationship Id="rId661" Type="http://schemas.openxmlformats.org/officeDocument/2006/relationships/hyperlink" Target="https://docs.google.com/spreadsheets/d/1LTIwWSogdMZBmad9vycGhuGyAwmeSg8ug5WYA6jHDdw/edit" TargetMode="External"/><Relationship Id="rId415" Type="http://schemas.openxmlformats.org/officeDocument/2006/relationships/hyperlink" Target="https://drive.google.com/drive/folders/12ZhDkObPZarJ3Vi6uiHhuzP6OlRH3e2G" TargetMode="External"/><Relationship Id="rId657" Type="http://schemas.openxmlformats.org/officeDocument/2006/relationships/hyperlink" Target="https://docs.google.com/spreadsheets/d/1mwtInypGX68IAfrIujI69hhRfhbAPm5uMzQxz3Da4FQ/edit" TargetMode="External"/><Relationship Id="rId899" Type="http://schemas.openxmlformats.org/officeDocument/2006/relationships/hyperlink" Target="https://docs.google.com/spreadsheets/d/1WtIXh5GrBWalMc8PB3ysoiWCCaU9S6-a-IzQ6nCHe40/edit" TargetMode="External"/><Relationship Id="rId414" Type="http://schemas.openxmlformats.org/officeDocument/2006/relationships/hyperlink" Target="https://docs.google.com/spreadsheets/d/1424BF0G1OZasQ2pfFa99AWqhw7W1Y3ykkj8Wf5aSWWc/edit" TargetMode="External"/><Relationship Id="rId656" Type="http://schemas.openxmlformats.org/officeDocument/2006/relationships/hyperlink" Target="https://drive.google.com/drive/folders/1JnxYUPck6WtrEJVGkG6ZiLFr9BNxpTqG" TargetMode="External"/><Relationship Id="rId898" Type="http://schemas.openxmlformats.org/officeDocument/2006/relationships/hyperlink" Target="https://drive.google.com/drive/folders/140Gz4wROOVchA4-EUNsCEA3TBJ-Oyg2A" TargetMode="External"/><Relationship Id="rId413" Type="http://schemas.openxmlformats.org/officeDocument/2006/relationships/hyperlink" Target="https://drive.google.com/drive/folders/1SKBYNA8wSdvH8BpYjLK-5B3DMeknzhng" TargetMode="External"/><Relationship Id="rId655" Type="http://schemas.openxmlformats.org/officeDocument/2006/relationships/hyperlink" Target="https://drive.google.com/drive/folders/1Qq3iFBTABS_o7IzD3hXdrctVAjnJ0-gY" TargetMode="External"/><Relationship Id="rId897" Type="http://schemas.openxmlformats.org/officeDocument/2006/relationships/hyperlink" Target="https://docs.google.com/spreadsheets/d/17-i_J4Fqa8xoYSEn5aPKSTGcpk9iFdx1SsEd6pRjLjw/edit" TargetMode="External"/><Relationship Id="rId412" Type="http://schemas.openxmlformats.org/officeDocument/2006/relationships/hyperlink" Target="https://drive.google.com/drive/folders/1FUX1-36jZkaFKyaZyHFTy5PcF0HhcDcT" TargetMode="External"/><Relationship Id="rId654" Type="http://schemas.openxmlformats.org/officeDocument/2006/relationships/hyperlink" Target="https://docs.google.com/spreadsheets/d/14mB4gV5ERRUfHqgfkG9Y3k4vrKZM_vGy769D96a1XRs/edit" TargetMode="External"/><Relationship Id="rId896" Type="http://schemas.openxmlformats.org/officeDocument/2006/relationships/hyperlink" Target="https://drive.google.com/drive/folders/1WPuFrtFZuCJ0nqFo-Hp2MrdF42CX_nCI" TargetMode="External"/><Relationship Id="rId419" Type="http://schemas.openxmlformats.org/officeDocument/2006/relationships/hyperlink" Target="https://drive.google.com/drive/folders/1ET6vhLJJC3y5LcTC6JZGrtsijZ1TIItm" TargetMode="External"/><Relationship Id="rId418" Type="http://schemas.openxmlformats.org/officeDocument/2006/relationships/hyperlink" Target="https://drive.google.com/drive/folders/11gNfmwS517GZ7B9DP7774ooreHfmd-dX" TargetMode="External"/><Relationship Id="rId417" Type="http://schemas.openxmlformats.org/officeDocument/2006/relationships/hyperlink" Target="https://docs.google.com/spreadsheets/d/1TMacegY-Sk7pr6CF_YiZtnxppf8kQ29DX8ZSzN8Nba0/edit" TargetMode="External"/><Relationship Id="rId659" Type="http://schemas.openxmlformats.org/officeDocument/2006/relationships/hyperlink" Target="https://docs.google.com/spreadsheets/d/1kYYRjA4wQJoSt6FzyKeD92_dgOOGuQjkf6AWpDP6NFo/edit" TargetMode="External"/><Relationship Id="rId416" Type="http://schemas.openxmlformats.org/officeDocument/2006/relationships/hyperlink" Target="https://drive.google.com/drive/folders/15KCAqDE0TIWZMTOFmBdvPhprpUYZ0qYC" TargetMode="External"/><Relationship Id="rId658" Type="http://schemas.openxmlformats.org/officeDocument/2006/relationships/hyperlink" Target="https://drive.google.com/drive/folders/1eqiohY2F7Qdw4zFCzxMU1VfnaiIM2NPP" TargetMode="External"/><Relationship Id="rId891" Type="http://schemas.openxmlformats.org/officeDocument/2006/relationships/hyperlink" Target="https://drive.google.com/drive/folders/13okbNyJt73_GLdVv2Uj1WWVmPFNGTR4V" TargetMode="External"/><Relationship Id="rId890" Type="http://schemas.openxmlformats.org/officeDocument/2006/relationships/hyperlink" Target="https://docs.google.com/spreadsheets/d/1jfpEW8cuuUihhL5SOgSGnhE6g038H7_TOjUmP2QGajY/edit" TargetMode="External"/><Relationship Id="rId411" Type="http://schemas.openxmlformats.org/officeDocument/2006/relationships/hyperlink" Target="https://docs.google.com/spreadsheets/d/1Pe7FzdsQsobTnfMtw8AFR97wsuAbRapZxNXhDErhL0Q/edit" TargetMode="External"/><Relationship Id="rId653" Type="http://schemas.openxmlformats.org/officeDocument/2006/relationships/hyperlink" Target="https://drive.google.com/drive/folders/1awB0E-_AACHkqQuPwHagoObcZTy-O6VA" TargetMode="External"/><Relationship Id="rId895" Type="http://schemas.openxmlformats.org/officeDocument/2006/relationships/hyperlink" Target="https://docs.google.com/spreadsheets/d/1fMAoCtyh4vodLMi1U0F_zWZwZ5rFDaCBLM-jtJs7o0I/edit" TargetMode="External"/><Relationship Id="rId410" Type="http://schemas.openxmlformats.org/officeDocument/2006/relationships/hyperlink" Target="https://drive.google.com/drive/folders/1CiXF21qTI-38rZgcvXuPHRKQYZ8E2s-5" TargetMode="External"/><Relationship Id="rId652" Type="http://schemas.openxmlformats.org/officeDocument/2006/relationships/hyperlink" Target="https://docs.google.com/spreadsheets/d/1yvgpH1Hw8bnf4lrnmBAiOKNDWfY-irs2VtrGdI62N3w/edit" TargetMode="External"/><Relationship Id="rId894" Type="http://schemas.openxmlformats.org/officeDocument/2006/relationships/hyperlink" Target="https://drive.google.com/drive/folders/1PDij3c0IvWiQp4yEXlW-g1Gwn1RDifnJ" TargetMode="External"/><Relationship Id="rId651" Type="http://schemas.openxmlformats.org/officeDocument/2006/relationships/hyperlink" Target="https://drive.google.com/drive/folders/14NaEIqaj3N6-uy8NvMlq6thXbBMlN2HF" TargetMode="External"/><Relationship Id="rId893" Type="http://schemas.openxmlformats.org/officeDocument/2006/relationships/hyperlink" Target="https://docs.google.com/spreadsheets/d/1DQYkbRSa6wFMMmm22_BiLeCMnUHyYyz8B4ypIjKAxsI/edit" TargetMode="External"/><Relationship Id="rId650" Type="http://schemas.openxmlformats.org/officeDocument/2006/relationships/hyperlink" Target="https://drive.google.com/drive/folders/1Pf9IwSnsmlKM9fADSM6Yw7zYNtLEqCUV" TargetMode="External"/><Relationship Id="rId892" Type="http://schemas.openxmlformats.org/officeDocument/2006/relationships/hyperlink" Target="https://drive.google.com/drive/folders/1mlqD0kVjIpgv0BRXzhE-H6xvIU6Nvlr9" TargetMode="External"/><Relationship Id="rId206" Type="http://schemas.openxmlformats.org/officeDocument/2006/relationships/hyperlink" Target="https://docs.google.com/spreadsheets/d/1te-rw28wyEruXSSOAJhw4UGEPXdsOYHDVLF_IaZTrdY/edit" TargetMode="External"/><Relationship Id="rId448" Type="http://schemas.openxmlformats.org/officeDocument/2006/relationships/hyperlink" Target="https://drive.google.com/drive/folders/1SBAqnGSlk_LoMAiGF9CwtXgXTajEUpxA" TargetMode="External"/><Relationship Id="rId205" Type="http://schemas.openxmlformats.org/officeDocument/2006/relationships/hyperlink" Target="https://drive.google.com/drive/folders/1qV9JGB4220NpPkbbK7EeZmUFIhrL7vxG" TargetMode="External"/><Relationship Id="rId447" Type="http://schemas.openxmlformats.org/officeDocument/2006/relationships/hyperlink" Target="https://drive.google.com/drive/folders/15swfdTTf0hRgCJfyAfZgd3Kkj9Lzgvys" TargetMode="External"/><Relationship Id="rId689" Type="http://schemas.openxmlformats.org/officeDocument/2006/relationships/hyperlink" Target="https://drive.google.com/drive/folders/1wSclKV0qtP0XH6J-NiRf6YAxzBhJ9eo-" TargetMode="External"/><Relationship Id="rId204" Type="http://schemas.openxmlformats.org/officeDocument/2006/relationships/hyperlink" Target="https://docs.google.com/spreadsheets/d/1T--GiX2IFe0RYo58Hf-j_i7C4y0B-AEmeo-kncwUWcg/edit" TargetMode="External"/><Relationship Id="rId446" Type="http://schemas.openxmlformats.org/officeDocument/2006/relationships/hyperlink" Target="https://docs.google.com/spreadsheets/d/1_UtGSoyOsljQXvmry7gfXGYwjwEjQbghQQGZebnq45M/edit" TargetMode="External"/><Relationship Id="rId688" Type="http://schemas.openxmlformats.org/officeDocument/2006/relationships/hyperlink" Target="https://docs.google.com/spreadsheets/d/1_NK5IeBBhUwOkOG5CiLqBmnSrAsMKt3Ny0Eyc48kmrA/edit" TargetMode="External"/><Relationship Id="rId203" Type="http://schemas.openxmlformats.org/officeDocument/2006/relationships/hyperlink" Target="https://drive.google.com/drive/folders/1XBm8avySWl53_7vG82_pRsr7UGNRWBUD" TargetMode="External"/><Relationship Id="rId445" Type="http://schemas.openxmlformats.org/officeDocument/2006/relationships/hyperlink" Target="https://drive.google.com/drive/folders/1AF48C14ZGXJxXtIIRtFSGXn2i_5vaI_O" TargetMode="External"/><Relationship Id="rId687" Type="http://schemas.openxmlformats.org/officeDocument/2006/relationships/hyperlink" Target="https://drive.google.com/drive/folders/1ovNeHmTEDDpRA0U8NVGM9oSDWoGAKI03" TargetMode="External"/><Relationship Id="rId209" Type="http://schemas.openxmlformats.org/officeDocument/2006/relationships/hyperlink" Target="https://docs.google.com/spreadsheets/d/1YGpVDN0ELgWGDdcU8lnhIXzjT7NqPXsCaqGWqE3ma8o/edit" TargetMode="External"/><Relationship Id="rId208" Type="http://schemas.openxmlformats.org/officeDocument/2006/relationships/hyperlink" Target="https://drive.google.com/drive/folders/1au7PrYnNFt7RPL8hAeqLRZ81Y0rGlidm" TargetMode="External"/><Relationship Id="rId207" Type="http://schemas.openxmlformats.org/officeDocument/2006/relationships/hyperlink" Target="https://drive.google.com/drive/folders/1E45WpQMmx9BjH8cgg7QcteBg8C4JmJwK" TargetMode="External"/><Relationship Id="rId449" Type="http://schemas.openxmlformats.org/officeDocument/2006/relationships/hyperlink" Target="https://docs.google.com/spreadsheets/d/1NEcDRVp7-BhxvyRG6JkeAHZpznEr-vKt291CED4WZPk/edit" TargetMode="External"/><Relationship Id="rId440" Type="http://schemas.openxmlformats.org/officeDocument/2006/relationships/hyperlink" Target="https://docs.google.com/spreadsheets/d/1kKJQREB-gMUjjfvkNJBZGf8b6FppISEs2byO4uZriFc/edit" TargetMode="External"/><Relationship Id="rId682" Type="http://schemas.openxmlformats.org/officeDocument/2006/relationships/hyperlink" Target="https://docs.google.com/spreadsheets/d/19pAMM1ODD7HC9W7d0aVqaU20HF154F5SEq_JiEg9FBM/edit" TargetMode="External"/><Relationship Id="rId681" Type="http://schemas.openxmlformats.org/officeDocument/2006/relationships/hyperlink" Target="https://drive.google.com/drive/folders/1NdpsEUncLZM-x57nfzHfpVxRTz5_zhq_" TargetMode="External"/><Relationship Id="rId680" Type="http://schemas.openxmlformats.org/officeDocument/2006/relationships/hyperlink" Target="https://drive.google.com/drive/folders/1OmmF4wuzrONK3Po_M-CQVS16No106qjW" TargetMode="External"/><Relationship Id="rId202" Type="http://schemas.openxmlformats.org/officeDocument/2006/relationships/hyperlink" Target="https://drive.google.com/drive/folders/1d40Bn2bvXK0XRu_mD7vXWE9aRd1kLg4H" TargetMode="External"/><Relationship Id="rId444" Type="http://schemas.openxmlformats.org/officeDocument/2006/relationships/hyperlink" Target="https://drive.google.com/drive/folders/1rjD5CkhpTqdFg0p__lEsTDvPpZyeclsZ" TargetMode="External"/><Relationship Id="rId686" Type="http://schemas.openxmlformats.org/officeDocument/2006/relationships/hyperlink" Target="https://docs.google.com/spreadsheets/d/1OSf6HUPm5hUkqeVhhPHbTNPPdXQV5R9xQcrIw2sZ88s/edit" TargetMode="External"/><Relationship Id="rId201" Type="http://schemas.openxmlformats.org/officeDocument/2006/relationships/hyperlink" Target="https://docs.google.com/spreadsheets/d/1hR0JpXiceB7xWAHLNEwMyaE9wlUgF4ljP0RD80dtSd0/edit" TargetMode="External"/><Relationship Id="rId443" Type="http://schemas.openxmlformats.org/officeDocument/2006/relationships/hyperlink" Target="https://docs.google.com/spreadsheets/d/1unvzt24PL_Fl_Wbl-5lHzYEhCzCxGGtlN9oHLIhnpPw/edit" TargetMode="External"/><Relationship Id="rId685" Type="http://schemas.openxmlformats.org/officeDocument/2006/relationships/hyperlink" Target="https://drive.google.com/drive/folders/14QX--Dt46q8CGq1C2vQXT7f19k-FH_H9" TargetMode="External"/><Relationship Id="rId200" Type="http://schemas.openxmlformats.org/officeDocument/2006/relationships/hyperlink" Target="https://drive.google.com/drive/folders/1JfedCyeXPsO-lgeUwnBA-duKukHUpqXU" TargetMode="External"/><Relationship Id="rId442" Type="http://schemas.openxmlformats.org/officeDocument/2006/relationships/hyperlink" Target="https://drive.google.com/drive/folders/1yyjKqizeKQFY37WNXWkHlzKtMcpn-rRx" TargetMode="External"/><Relationship Id="rId684" Type="http://schemas.openxmlformats.org/officeDocument/2006/relationships/hyperlink" Target="https://docs.google.com/spreadsheets/d/1mc_8vM2cvVxFaLxhqehg3pn4kwEVbCwCJJWsBRw5SJA/edit" TargetMode="External"/><Relationship Id="rId441" Type="http://schemas.openxmlformats.org/officeDocument/2006/relationships/hyperlink" Target="https://drive.google.com/drive/folders/1Y0oEVkpUUDC1QvWUOxm0SFgBMSB6n-TW" TargetMode="External"/><Relationship Id="rId683" Type="http://schemas.openxmlformats.org/officeDocument/2006/relationships/hyperlink" Target="https://drive.google.com/drive/folders/1LqxMPM7Yw5Luj4mApa_KL99AX2zu5RcE" TargetMode="External"/><Relationship Id="rId437" Type="http://schemas.openxmlformats.org/officeDocument/2006/relationships/hyperlink" Target="https://drive.google.com/drive/folders/1yR6Vb36SeiTGuM1jYcqF4IHgL4woj7hd" TargetMode="External"/><Relationship Id="rId679" Type="http://schemas.openxmlformats.org/officeDocument/2006/relationships/hyperlink" Target="https://docs.google.com/spreadsheets/d/1_5VG-F35BWYeavx2Egt3_WJsCY1xhX1lyqQW8SX-6Tg/edit" TargetMode="External"/><Relationship Id="rId436" Type="http://schemas.openxmlformats.org/officeDocument/2006/relationships/hyperlink" Target="https://drive.google.com/drive/folders/1e-dMUfO7ipvsXRiQModzuNx9DFrpH7J-" TargetMode="External"/><Relationship Id="rId678" Type="http://schemas.openxmlformats.org/officeDocument/2006/relationships/hyperlink" Target="https://drive.google.com/drive/folders/1hCW477L7CrKPUezvhTEHK0HTnjXLtyEw" TargetMode="External"/><Relationship Id="rId435" Type="http://schemas.openxmlformats.org/officeDocument/2006/relationships/hyperlink" Target="https://docs.google.com/spreadsheets/d/1B-m4X6iF3jRLf0ddVMd8f7C-8pwyVJ8yhSFcm_mYOvk/edit" TargetMode="External"/><Relationship Id="rId677" Type="http://schemas.openxmlformats.org/officeDocument/2006/relationships/hyperlink" Target="https://docs.google.com/spreadsheets/d/1xdBmlu3NG6ftZ2So7cKWCZU08O5EvzyDf43msSPJABE/edit" TargetMode="External"/><Relationship Id="rId434" Type="http://schemas.openxmlformats.org/officeDocument/2006/relationships/hyperlink" Target="https://drive.google.com/drive/folders/13tHTIG7fe-bXrQ4P3LDw0JbcxkANJU9J" TargetMode="External"/><Relationship Id="rId676" Type="http://schemas.openxmlformats.org/officeDocument/2006/relationships/hyperlink" Target="https://drive.google.com/drive/folders/1KZn33-OiwGK1qngve1S3OJsjcFR_3p0U" TargetMode="External"/><Relationship Id="rId439" Type="http://schemas.openxmlformats.org/officeDocument/2006/relationships/hyperlink" Target="https://drive.google.com/drive/folders/1J1PbCPnrRvT0mEFzdjU9P2FmaJLjICF4" TargetMode="External"/><Relationship Id="rId438" Type="http://schemas.openxmlformats.org/officeDocument/2006/relationships/hyperlink" Target="https://docs.google.com/spreadsheets/d/13Q6lXJAgG-rKIYYEKfXUKjvucEdoR4-WM0JvV0evp2A/edit" TargetMode="External"/><Relationship Id="rId671" Type="http://schemas.openxmlformats.org/officeDocument/2006/relationships/hyperlink" Target="https://drive.google.com/drive/folders/16h3BQ1l9Q2IzRb6HnE1Mwfcid94u3eoK" TargetMode="External"/><Relationship Id="rId670" Type="http://schemas.openxmlformats.org/officeDocument/2006/relationships/hyperlink" Target="https://drive.google.com/drive/folders/19yMD1egDoQ5nYAgEM6PwTXZkuGfOtJgo" TargetMode="External"/><Relationship Id="rId433" Type="http://schemas.openxmlformats.org/officeDocument/2006/relationships/hyperlink" Target="https://drive.google.com/drive/folders/1s8vrw-cNkZcxhfL7AYNt1TLnFCZXLAl2" TargetMode="External"/><Relationship Id="rId675" Type="http://schemas.openxmlformats.org/officeDocument/2006/relationships/hyperlink" Target="https://docs.google.com/spreadsheets/d/1XA3IU40iudWqjc-iMpo4sIeP_Jq8_MOSk2H-xzRtlHA/edit" TargetMode="External"/><Relationship Id="rId432" Type="http://schemas.openxmlformats.org/officeDocument/2006/relationships/hyperlink" Target="https://docs.google.com/spreadsheets/d/1O_YH7HeoRy08ymR5SENYSag175TzKlknDTuYKpt1BUk/edit" TargetMode="External"/><Relationship Id="rId674" Type="http://schemas.openxmlformats.org/officeDocument/2006/relationships/hyperlink" Target="https://drive.google.com/drive/folders/1DT7AtLU5eNC8OFOGr4Vye3-y8fT6qhnc" TargetMode="External"/><Relationship Id="rId431" Type="http://schemas.openxmlformats.org/officeDocument/2006/relationships/hyperlink" Target="https://drive.google.com/drive/folders/1mD24sQMiUBPQb7MFXfBXb7IuNsoJEEt7" TargetMode="External"/><Relationship Id="rId673" Type="http://schemas.openxmlformats.org/officeDocument/2006/relationships/hyperlink" Target="https://drive.google.com/drive/folders/15Hgkp4hhKTUS7FLb94xlf0ccPD_2Xk9G" TargetMode="External"/><Relationship Id="rId430" Type="http://schemas.openxmlformats.org/officeDocument/2006/relationships/hyperlink" Target="https://drive.google.com/drive/folders/126_whwmj1lZ2layv8bsHfIuQRJKgvePy" TargetMode="External"/><Relationship Id="rId672" Type="http://schemas.openxmlformats.org/officeDocument/2006/relationships/hyperlink" Target="https://docs.google.com/spreadsheets/d/1T9TOPNccEkZyvcMjs5_ErkZRFNoV3A33YcZPKCnjNeI/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6.13"/>
    <col customWidth="1" min="2" max="2" width="27.13"/>
    <col customWidth="1" hidden="1" min="3" max="3" width="35.5"/>
    <col hidden="1" min="4" max="4" width="12.63"/>
    <col customWidth="1" min="5" max="5" width="12.25"/>
    <col customWidth="1" min="6" max="6" width="6.13"/>
    <col customWidth="1" min="7" max="7" width="10.75"/>
    <col customWidth="1" min="10" max="10" width="31.63"/>
    <col customWidth="1" min="11" max="11" width="11.25"/>
    <col customWidth="1" min="12" max="12" width="9.13"/>
    <col customWidth="1" min="13" max="13" width="9.75"/>
    <col customWidth="1" min="14" max="14" width="33.38"/>
    <col customWidth="1" min="15" max="15" width="13.63"/>
    <col customWidth="1" min="16" max="20" width="11.5"/>
    <col customWidth="1" min="21" max="21" width="19.25"/>
    <col customWidth="1" min="22" max="22" width="19.0"/>
    <col customWidth="1" min="23" max="23" width="19.75"/>
    <col customWidth="1" min="24" max="24" width="8.63"/>
    <col customWidth="1" min="25" max="25" width="8.38"/>
    <col customWidth="1" min="26" max="26" width="9.0"/>
    <col customWidth="1" min="27" max="27" width="12.75"/>
    <col customWidth="1" min="28" max="28" width="12.5"/>
    <col customWidth="1" min="29" max="29" width="13.25"/>
    <col customWidth="1" min="30" max="30" width="13.13"/>
    <col customWidth="1" min="31" max="31" width="12.88"/>
    <col customWidth="1" min="32" max="32" width="13.63"/>
    <col customWidth="1" min="33" max="33" width="9.88"/>
    <col customWidth="1" min="34" max="34" width="8.13"/>
    <col customWidth="1" min="35" max="35" width="21.13"/>
    <col customWidth="1" min="36" max="36" width="17.25"/>
    <col customWidth="1" min="37" max="37" width="13.5"/>
    <col customWidth="1" min="38" max="38" width="8.63"/>
    <col customWidth="1" min="39" max="39" width="11.75"/>
    <col customWidth="1" min="40" max="40" width="10.0"/>
    <col customWidth="1" min="41" max="41" width="13.0"/>
    <col customWidth="1" min="42" max="42" width="23.0"/>
    <col customWidth="1" min="43" max="43" width="19.0"/>
    <col customWidth="1" min="44" max="44" width="15.38"/>
    <col customWidth="1" min="45" max="45" width="10.5"/>
    <col customWidth="1" min="46" max="46" width="20.0"/>
    <col customWidth="1" min="47" max="47" width="12.88"/>
    <col customWidth="1" min="48" max="48" width="10.75"/>
    <col customWidth="1" min="49" max="49" width="13.5"/>
    <col customWidth="1" min="50" max="50" width="21.88"/>
    <col customWidth="1" min="51" max="51" width="21.5"/>
    <col customWidth="1" min="52" max="52" width="25.75"/>
    <col customWidth="1" min="53" max="53" width="28.75"/>
    <col customWidth="1" min="54" max="55" width="12.7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3" t="s">
        <v>55</v>
      </c>
      <c r="B2" s="3" t="s">
        <v>56</v>
      </c>
      <c r="C2" s="3" t="s">
        <v>57</v>
      </c>
      <c r="D2" s="3" t="s">
        <v>56</v>
      </c>
      <c r="E2" s="3">
        <v>100000.0</v>
      </c>
      <c r="F2" s="3" t="s">
        <v>58</v>
      </c>
      <c r="G2" s="3" t="s">
        <v>59</v>
      </c>
      <c r="H2" s="4" t="s">
        <v>60</v>
      </c>
      <c r="I2" s="5" t="s">
        <v>61</v>
      </c>
      <c r="J2" s="3" t="s">
        <v>62</v>
      </c>
      <c r="K2" s="3">
        <v>7.017093081E9</v>
      </c>
      <c r="L2" s="6" t="s">
        <v>63</v>
      </c>
      <c r="M2" s="3"/>
      <c r="N2" s="3" t="str">
        <f t="shared" ref="N2:N8" si="1">B2</f>
        <v>MPS</v>
      </c>
      <c r="O2" s="7" t="str">
        <f t="shared" ref="O2:O8" si="2">(A2)</f>
        <v>1ClXh28BQwwGN7Q42xt0Dc8b_R_3jweBItLcbwVq3Rj0</v>
      </c>
      <c r="P2" s="3" t="s">
        <v>64</v>
      </c>
      <c r="Q2" s="8" t="s">
        <v>65</v>
      </c>
      <c r="R2" s="3" t="s">
        <v>66</v>
      </c>
      <c r="S2" s="8" t="s">
        <v>67</v>
      </c>
      <c r="T2" s="8" t="s">
        <v>68</v>
      </c>
      <c r="U2" s="8"/>
      <c r="V2" s="8"/>
      <c r="W2" s="8"/>
      <c r="X2" s="8"/>
      <c r="Y2" s="8"/>
      <c r="Z2" s="8"/>
      <c r="AA2" s="8"/>
      <c r="AB2" s="8"/>
      <c r="AC2" s="8"/>
      <c r="AD2" s="8"/>
      <c r="AE2" s="8"/>
      <c r="AF2" s="8"/>
      <c r="AG2" s="7"/>
      <c r="AH2" s="8"/>
      <c r="AI2" s="8"/>
      <c r="AJ2" s="8"/>
      <c r="AK2" s="8"/>
      <c r="AL2" s="8"/>
      <c r="AM2" s="8"/>
      <c r="AN2" s="8"/>
      <c r="AO2" s="8"/>
      <c r="AP2" s="8"/>
      <c r="AQ2" s="8"/>
      <c r="AR2" s="8"/>
      <c r="AS2" s="8"/>
      <c r="AU2" s="8" t="s">
        <v>69</v>
      </c>
      <c r="AV2" s="8" t="str">
        <f>'Distributor List'!A2</f>
        <v>5646aRFHGS76A</v>
      </c>
      <c r="AW2" s="8" t="str">
        <f>'Distributor List'!B2</f>
        <v>Test Distributor</v>
      </c>
      <c r="AX2" s="8" t="s">
        <v>70</v>
      </c>
      <c r="AY2" s="8" t="s">
        <v>71</v>
      </c>
      <c r="AZ2" s="8" t="s">
        <v>72</v>
      </c>
      <c r="BA2" s="8" t="s">
        <v>72</v>
      </c>
      <c r="BB2" s="8" t="s">
        <v>72</v>
      </c>
      <c r="BC2" s="8">
        <v>0.0</v>
      </c>
    </row>
    <row r="3">
      <c r="A3" s="3" t="s">
        <v>73</v>
      </c>
      <c r="B3" s="3" t="s">
        <v>74</v>
      </c>
      <c r="C3" s="3" t="s">
        <v>75</v>
      </c>
      <c r="D3" s="3" t="s">
        <v>74</v>
      </c>
      <c r="E3" s="3">
        <v>100000.0</v>
      </c>
      <c r="F3" s="3" t="s">
        <v>76</v>
      </c>
      <c r="G3" s="3" t="s">
        <v>77</v>
      </c>
      <c r="H3" s="5" t="s">
        <v>78</v>
      </c>
      <c r="I3" s="5" t="s">
        <v>79</v>
      </c>
      <c r="J3" s="3" t="s">
        <v>80</v>
      </c>
      <c r="K3" s="3">
        <v>9.278544039E9</v>
      </c>
      <c r="L3" s="6" t="s">
        <v>81</v>
      </c>
      <c r="M3" s="3"/>
      <c r="N3" s="3" t="str">
        <f t="shared" si="1"/>
        <v>Globe Agencies</v>
      </c>
      <c r="O3" s="3" t="str">
        <f t="shared" si="2"/>
        <v>1ksPRehLH7gfgZpnXgiBGZpTtFA-KHaKr32rTQGuz3WY</v>
      </c>
      <c r="P3" s="3" t="s">
        <v>64</v>
      </c>
      <c r="Q3" s="8" t="s">
        <v>65</v>
      </c>
      <c r="R3" s="3" t="s">
        <v>66</v>
      </c>
      <c r="S3" s="8" t="s">
        <v>82</v>
      </c>
      <c r="T3" s="8" t="s">
        <v>83</v>
      </c>
      <c r="U3" s="8"/>
      <c r="V3" s="8"/>
      <c r="W3" s="8"/>
      <c r="X3" s="8"/>
      <c r="Y3" s="8"/>
      <c r="Z3" s="8"/>
      <c r="AA3" s="8"/>
      <c r="AB3" s="8"/>
      <c r="AC3" s="8"/>
      <c r="AD3" s="8"/>
      <c r="AE3" s="8"/>
      <c r="AF3" s="8"/>
      <c r="AG3" s="7"/>
      <c r="AH3" s="8"/>
      <c r="AI3" s="8"/>
      <c r="AJ3" s="8"/>
      <c r="AK3" s="8"/>
      <c r="AL3" s="8"/>
      <c r="AM3" s="8"/>
      <c r="AN3" s="8"/>
      <c r="AO3" s="8"/>
      <c r="AP3" s="8"/>
      <c r="AQ3" s="8"/>
      <c r="AR3" s="8"/>
      <c r="AS3" s="8"/>
      <c r="AT3" s="9" t="s">
        <v>84</v>
      </c>
      <c r="AU3" s="8" t="s">
        <v>85</v>
      </c>
      <c r="AV3" s="8"/>
      <c r="AW3" s="8"/>
      <c r="AX3" s="8"/>
      <c r="AY3" s="8"/>
      <c r="AZ3" s="8" t="s">
        <v>86</v>
      </c>
      <c r="BA3" s="8" t="s">
        <v>86</v>
      </c>
      <c r="BB3" s="8" t="s">
        <v>86</v>
      </c>
      <c r="BC3" s="8">
        <v>0.0</v>
      </c>
    </row>
    <row r="4">
      <c r="A4" s="3" t="s">
        <v>87</v>
      </c>
      <c r="B4" s="3" t="s">
        <v>88</v>
      </c>
      <c r="C4" s="3" t="s">
        <v>89</v>
      </c>
      <c r="D4" s="3" t="s">
        <v>88</v>
      </c>
      <c r="E4" s="3">
        <v>100000.0</v>
      </c>
      <c r="F4" s="3" t="s">
        <v>58</v>
      </c>
      <c r="G4" s="3" t="s">
        <v>90</v>
      </c>
      <c r="H4" s="4" t="s">
        <v>91</v>
      </c>
      <c r="I4" s="5" t="s">
        <v>92</v>
      </c>
      <c r="J4" s="3" t="s">
        <v>93</v>
      </c>
      <c r="K4" s="3">
        <v>9.358397497E9</v>
      </c>
      <c r="L4" s="6" t="s">
        <v>94</v>
      </c>
      <c r="M4" s="3"/>
      <c r="N4" s="3" t="str">
        <f t="shared" si="1"/>
        <v>Jain Motorcycle Company</v>
      </c>
      <c r="O4" s="3" t="str">
        <f t="shared" si="2"/>
        <v>184Y3L-ZLT7vcLiFDItIcLa-18phpzEbgBCBDgt_LGCQ</v>
      </c>
      <c r="P4" s="3" t="s">
        <v>64</v>
      </c>
      <c r="Q4" s="8" t="s">
        <v>65</v>
      </c>
      <c r="R4" s="3" t="s">
        <v>66</v>
      </c>
      <c r="S4" s="8" t="s">
        <v>95</v>
      </c>
      <c r="T4" s="8" t="s">
        <v>83</v>
      </c>
      <c r="U4" s="8"/>
      <c r="V4" s="8"/>
      <c r="W4" s="8"/>
      <c r="X4" s="8"/>
      <c r="Y4" s="8"/>
      <c r="Z4" s="8"/>
      <c r="AA4" s="8"/>
      <c r="AB4" s="8"/>
      <c r="AC4" s="8"/>
      <c r="AD4" s="8"/>
      <c r="AE4" s="8"/>
      <c r="AF4" s="8"/>
      <c r="AG4" s="7"/>
      <c r="AH4" s="8"/>
      <c r="AI4" s="8"/>
      <c r="AJ4" s="8"/>
      <c r="AK4" s="8"/>
      <c r="AL4" s="8"/>
      <c r="AM4" s="8"/>
      <c r="AN4" s="8"/>
      <c r="AO4" s="8"/>
      <c r="AP4" s="8"/>
      <c r="AQ4" s="8"/>
      <c r="AR4" s="8"/>
      <c r="AS4" s="8"/>
      <c r="AT4" s="9" t="s">
        <v>96</v>
      </c>
      <c r="AU4" s="8" t="s">
        <v>85</v>
      </c>
      <c r="AV4" s="8"/>
      <c r="AW4" s="8"/>
      <c r="AX4" s="8"/>
      <c r="AY4" s="8"/>
      <c r="AZ4" s="8" t="s">
        <v>72</v>
      </c>
      <c r="BA4" s="8" t="s">
        <v>86</v>
      </c>
      <c r="BB4" s="8" t="s">
        <v>86</v>
      </c>
      <c r="BC4" s="8">
        <v>0.0</v>
      </c>
    </row>
    <row r="5">
      <c r="A5" s="10" t="s">
        <v>97</v>
      </c>
      <c r="B5" s="10" t="s">
        <v>98</v>
      </c>
      <c r="C5" s="10" t="s">
        <v>99</v>
      </c>
      <c r="D5" s="10" t="s">
        <v>98</v>
      </c>
      <c r="E5" s="3">
        <v>100000.0</v>
      </c>
      <c r="F5" s="10" t="s">
        <v>76</v>
      </c>
      <c r="G5" s="10" t="s">
        <v>100</v>
      </c>
      <c r="H5" s="11" t="s">
        <v>101</v>
      </c>
      <c r="I5" s="12" t="s">
        <v>102</v>
      </c>
      <c r="J5" s="10" t="s">
        <v>103</v>
      </c>
      <c r="K5" s="10">
        <v>9.810703922E9</v>
      </c>
      <c r="L5" s="13">
        <v>43839.01736111111</v>
      </c>
      <c r="M5" s="10"/>
      <c r="N5" s="10" t="str">
        <f t="shared" si="1"/>
        <v>Solitaire Automotive</v>
      </c>
      <c r="O5" s="10" t="str">
        <f t="shared" si="2"/>
        <v>1NdxdE379VcEgyTXyFtYxSA9RX1kAZOR0rPt76NDuLUw</v>
      </c>
      <c r="P5" s="3" t="s">
        <v>64</v>
      </c>
      <c r="Q5" s="8" t="s">
        <v>104</v>
      </c>
      <c r="R5" s="3" t="s">
        <v>66</v>
      </c>
      <c r="S5" s="8" t="s">
        <v>105</v>
      </c>
      <c r="T5" s="14" t="s">
        <v>106</v>
      </c>
      <c r="U5" s="14"/>
      <c r="V5" s="14"/>
      <c r="W5" s="14"/>
      <c r="X5" s="14"/>
      <c r="Y5" s="14"/>
      <c r="Z5" s="14"/>
      <c r="AA5" s="14"/>
      <c r="AB5" s="14"/>
      <c r="AC5" s="14"/>
      <c r="AD5" s="14"/>
      <c r="AE5" s="14"/>
      <c r="AF5" s="14"/>
      <c r="AG5" s="7"/>
      <c r="AH5" s="14"/>
      <c r="AI5" s="14"/>
      <c r="AJ5" s="14"/>
      <c r="AK5" s="14"/>
      <c r="AL5" s="14"/>
      <c r="AM5" s="14"/>
      <c r="AN5" s="14"/>
      <c r="AO5" s="14"/>
      <c r="AP5" s="14"/>
      <c r="AQ5" s="14"/>
      <c r="AR5" s="14"/>
      <c r="AS5" s="14"/>
      <c r="AT5" s="15" t="s">
        <v>107</v>
      </c>
      <c r="AU5" s="14" t="s">
        <v>85</v>
      </c>
      <c r="AV5" s="14"/>
      <c r="AW5" s="14"/>
      <c r="AX5" s="14"/>
      <c r="AY5" s="14"/>
      <c r="AZ5" s="8" t="s">
        <v>86</v>
      </c>
      <c r="BA5" s="8" t="s">
        <v>86</v>
      </c>
      <c r="BB5" s="8" t="s">
        <v>86</v>
      </c>
      <c r="BC5" s="8">
        <v>0.0</v>
      </c>
    </row>
    <row r="6">
      <c r="A6" s="3" t="s">
        <v>108</v>
      </c>
      <c r="B6" s="3" t="s">
        <v>109</v>
      </c>
      <c r="C6" s="3" t="s">
        <v>110</v>
      </c>
      <c r="D6" s="3" t="s">
        <v>109</v>
      </c>
      <c r="E6" s="3">
        <v>100000.0</v>
      </c>
      <c r="F6" s="3" t="s">
        <v>76</v>
      </c>
      <c r="G6" s="3" t="s">
        <v>111</v>
      </c>
      <c r="H6" s="5" t="s">
        <v>112</v>
      </c>
      <c r="I6" s="5" t="s">
        <v>113</v>
      </c>
      <c r="J6" s="3" t="s">
        <v>114</v>
      </c>
      <c r="K6" s="3">
        <v>9.810469407E9</v>
      </c>
      <c r="L6" s="16">
        <v>43839.623611111114</v>
      </c>
      <c r="M6" s="3"/>
      <c r="N6" s="3" t="str">
        <f t="shared" si="1"/>
        <v>Asco Motors</v>
      </c>
      <c r="O6" s="3" t="str">
        <f t="shared" si="2"/>
        <v>1gG6109tt997RZ0RZOh_BNdEtAIOwUW8ggEowedu-6Ck</v>
      </c>
      <c r="P6" s="3" t="s">
        <v>64</v>
      </c>
      <c r="Q6" s="8" t="s">
        <v>104</v>
      </c>
      <c r="R6" s="3" t="s">
        <v>66</v>
      </c>
      <c r="S6" s="8" t="s">
        <v>106</v>
      </c>
      <c r="T6" s="8" t="s">
        <v>106</v>
      </c>
      <c r="U6" s="8"/>
      <c r="V6" s="8"/>
      <c r="W6" s="8"/>
      <c r="X6" s="8"/>
      <c r="Y6" s="8"/>
      <c r="Z6" s="8"/>
      <c r="AA6" s="8"/>
      <c r="AB6" s="8"/>
      <c r="AC6" s="8"/>
      <c r="AD6" s="8"/>
      <c r="AE6" s="8"/>
      <c r="AF6" s="8"/>
      <c r="AG6" s="7"/>
      <c r="AH6" s="8"/>
      <c r="AI6" s="8"/>
      <c r="AJ6" s="8"/>
      <c r="AK6" s="8"/>
      <c r="AL6" s="8"/>
      <c r="AM6" s="8"/>
      <c r="AN6" s="8"/>
      <c r="AO6" s="8"/>
      <c r="AP6" s="8"/>
      <c r="AQ6" s="8"/>
      <c r="AR6" s="8"/>
      <c r="AS6" s="8"/>
      <c r="AT6" s="9" t="s">
        <v>115</v>
      </c>
      <c r="AU6" s="8" t="s">
        <v>85</v>
      </c>
      <c r="AV6" s="8"/>
      <c r="AW6" s="8"/>
      <c r="AX6" s="8"/>
      <c r="AY6" s="8"/>
      <c r="AZ6" s="8" t="s">
        <v>86</v>
      </c>
      <c r="BA6" s="8" t="s">
        <v>86</v>
      </c>
      <c r="BB6" s="8" t="s">
        <v>86</v>
      </c>
      <c r="BC6" s="8">
        <v>0.0</v>
      </c>
    </row>
    <row r="7">
      <c r="A7" s="3" t="s">
        <v>116</v>
      </c>
      <c r="B7" s="3" t="s">
        <v>117</v>
      </c>
      <c r="C7" s="3" t="s">
        <v>118</v>
      </c>
      <c r="D7" s="3" t="s">
        <v>117</v>
      </c>
      <c r="E7" s="3">
        <v>100000.0</v>
      </c>
      <c r="F7" s="3" t="s">
        <v>58</v>
      </c>
      <c r="G7" s="3" t="s">
        <v>119</v>
      </c>
      <c r="H7" s="4" t="s">
        <v>120</v>
      </c>
      <c r="I7" s="5" t="s">
        <v>121</v>
      </c>
      <c r="J7" s="3" t="s">
        <v>122</v>
      </c>
      <c r="K7" s="3">
        <v>9.997071471E9</v>
      </c>
      <c r="L7" s="16">
        <v>43839.63958333333</v>
      </c>
      <c r="M7" s="3"/>
      <c r="N7" s="3" t="str">
        <f t="shared" si="1"/>
        <v>Vikas Autowheels</v>
      </c>
      <c r="O7" s="3" t="str">
        <f t="shared" si="2"/>
        <v>1944RLX7T1M23YXRXYoMnJ6nD_bKLldQXRpFRA0rDLvg</v>
      </c>
      <c r="P7" s="3" t="s">
        <v>64</v>
      </c>
      <c r="Q7" s="8" t="s">
        <v>65</v>
      </c>
      <c r="R7" s="3" t="s">
        <v>66</v>
      </c>
      <c r="S7" s="8" t="s">
        <v>123</v>
      </c>
      <c r="T7" s="8" t="s">
        <v>83</v>
      </c>
      <c r="U7" s="8"/>
      <c r="V7" s="8"/>
      <c r="W7" s="8"/>
      <c r="X7" s="8"/>
      <c r="Y7" s="8"/>
      <c r="Z7" s="8"/>
      <c r="AA7" s="8"/>
      <c r="AB7" s="8"/>
      <c r="AC7" s="8"/>
      <c r="AD7" s="8"/>
      <c r="AE7" s="8"/>
      <c r="AF7" s="8"/>
      <c r="AG7" s="7"/>
      <c r="AH7" s="8"/>
      <c r="AI7" s="8"/>
      <c r="AJ7" s="8"/>
      <c r="AK7" s="8"/>
      <c r="AL7" s="8"/>
      <c r="AM7" s="8"/>
      <c r="AN7" s="8"/>
      <c r="AO7" s="8"/>
      <c r="AP7" s="8"/>
      <c r="AQ7" s="8"/>
      <c r="AR7" s="8"/>
      <c r="AS7" s="8"/>
      <c r="AT7" s="9" t="s">
        <v>124</v>
      </c>
      <c r="AU7" s="8" t="s">
        <v>85</v>
      </c>
      <c r="AV7" s="8"/>
      <c r="AW7" s="8"/>
      <c r="AX7" s="8"/>
      <c r="AY7" s="8"/>
      <c r="AZ7" s="8" t="s">
        <v>72</v>
      </c>
      <c r="BA7" s="8" t="s">
        <v>86</v>
      </c>
      <c r="BB7" s="8" t="s">
        <v>86</v>
      </c>
      <c r="BC7" s="8">
        <v>0.0</v>
      </c>
    </row>
    <row r="8">
      <c r="A8" s="3" t="s">
        <v>125</v>
      </c>
      <c r="B8" s="3" t="s">
        <v>126</v>
      </c>
      <c r="C8" s="3" t="s">
        <v>127</v>
      </c>
      <c r="D8" s="3" t="s">
        <v>126</v>
      </c>
      <c r="E8" s="3">
        <v>100000.0</v>
      </c>
      <c r="F8" s="3" t="s">
        <v>58</v>
      </c>
      <c r="G8" s="3" t="s">
        <v>128</v>
      </c>
      <c r="H8" s="5" t="s">
        <v>129</v>
      </c>
      <c r="I8" s="5" t="s">
        <v>130</v>
      </c>
      <c r="J8" s="3" t="s">
        <v>131</v>
      </c>
      <c r="K8" s="3">
        <v>9.560260768E9</v>
      </c>
      <c r="L8" s="16">
        <v>43839.66458333333</v>
      </c>
      <c r="M8" s="3"/>
      <c r="N8" s="3" t="str">
        <f t="shared" si="1"/>
        <v>Singla Automobiles (Main Branch)</v>
      </c>
      <c r="O8" s="3" t="str">
        <f t="shared" si="2"/>
        <v>150xD2ZWlv_NqqijpFlWWgIoGhpbdGM3zmaQdQAd1q5M</v>
      </c>
      <c r="P8" s="3" t="s">
        <v>64</v>
      </c>
      <c r="Q8" s="8" t="s">
        <v>65</v>
      </c>
      <c r="R8" s="3" t="s">
        <v>66</v>
      </c>
      <c r="S8" s="8" t="s">
        <v>105</v>
      </c>
      <c r="T8" s="14" t="s">
        <v>106</v>
      </c>
      <c r="U8" s="14"/>
      <c r="V8" s="14"/>
      <c r="W8" s="14"/>
      <c r="X8" s="14"/>
      <c r="Y8" s="14"/>
      <c r="Z8" s="14"/>
      <c r="AA8" s="14"/>
      <c r="AB8" s="14"/>
      <c r="AC8" s="14"/>
      <c r="AD8" s="14"/>
      <c r="AE8" s="14"/>
      <c r="AF8" s="14"/>
      <c r="AG8" s="7"/>
      <c r="AH8" s="14"/>
      <c r="AI8" s="14"/>
      <c r="AJ8" s="14"/>
      <c r="AK8" s="14"/>
      <c r="AL8" s="14"/>
      <c r="AM8" s="14"/>
      <c r="AN8" s="14"/>
      <c r="AO8" s="14"/>
      <c r="AP8" s="14"/>
      <c r="AQ8" s="14"/>
      <c r="AR8" s="14"/>
      <c r="AS8" s="14"/>
      <c r="AT8" s="15" t="s">
        <v>132</v>
      </c>
      <c r="AU8" s="14" t="s">
        <v>85</v>
      </c>
      <c r="AV8" s="14"/>
      <c r="AW8" s="14"/>
      <c r="AX8" s="14" t="s">
        <v>133</v>
      </c>
      <c r="AY8" s="14" t="s">
        <v>134</v>
      </c>
      <c r="AZ8" s="8" t="s">
        <v>86</v>
      </c>
      <c r="BA8" s="8" t="s">
        <v>86</v>
      </c>
      <c r="BB8" s="8" t="s">
        <v>72</v>
      </c>
      <c r="BC8" s="8">
        <v>0.0</v>
      </c>
    </row>
    <row r="9">
      <c r="A9" s="3" t="s">
        <v>135</v>
      </c>
      <c r="B9" s="3" t="s">
        <v>136</v>
      </c>
      <c r="C9" s="3" t="s">
        <v>137</v>
      </c>
      <c r="D9" s="3" t="s">
        <v>136</v>
      </c>
      <c r="E9" s="3">
        <v>100000.0</v>
      </c>
      <c r="F9" s="3" t="s">
        <v>58</v>
      </c>
      <c r="G9" s="3" t="s">
        <v>138</v>
      </c>
      <c r="H9" s="5" t="s">
        <v>139</v>
      </c>
      <c r="I9" s="5" t="s">
        <v>140</v>
      </c>
      <c r="J9" s="3" t="s">
        <v>141</v>
      </c>
      <c r="K9" s="3">
        <v>9.560260768E9</v>
      </c>
      <c r="L9" s="16">
        <v>43839.665972222225</v>
      </c>
      <c r="M9" s="3"/>
      <c r="N9" s="3" t="str">
        <f>(B8)</f>
        <v>Singla Automobiles (Main Branch)</v>
      </c>
      <c r="O9" s="3" t="str">
        <f>(A8)</f>
        <v>150xD2ZWlv_NqqijpFlWWgIoGhpbdGM3zmaQdQAd1q5M</v>
      </c>
      <c r="P9" s="3" t="s">
        <v>142</v>
      </c>
      <c r="Q9" s="8" t="s">
        <v>65</v>
      </c>
      <c r="R9" s="3" t="s">
        <v>66</v>
      </c>
      <c r="S9" s="8" t="s">
        <v>105</v>
      </c>
      <c r="T9" s="14" t="s">
        <v>106</v>
      </c>
      <c r="U9" s="14"/>
      <c r="V9" s="14"/>
      <c r="W9" s="14"/>
      <c r="X9" s="14"/>
      <c r="Y9" s="14"/>
      <c r="Z9" s="14"/>
      <c r="AA9" s="14"/>
      <c r="AB9" s="14"/>
      <c r="AC9" s="14"/>
      <c r="AD9" s="14"/>
      <c r="AE9" s="14"/>
      <c r="AF9" s="14"/>
      <c r="AG9" s="7"/>
      <c r="AH9" s="14"/>
      <c r="AI9" s="14"/>
      <c r="AJ9" s="14"/>
      <c r="AK9" s="14"/>
      <c r="AL9" s="14"/>
      <c r="AM9" s="14"/>
      <c r="AN9" s="14"/>
      <c r="AO9" s="14"/>
      <c r="AP9" s="14"/>
      <c r="AQ9" s="14"/>
      <c r="AR9" s="14"/>
      <c r="AS9" s="14"/>
      <c r="AT9" s="14"/>
      <c r="AU9" s="14" t="s">
        <v>85</v>
      </c>
      <c r="AV9" s="14"/>
      <c r="AW9" s="14"/>
      <c r="AX9" s="14"/>
      <c r="AY9" s="14"/>
      <c r="AZ9" s="8" t="s">
        <v>86</v>
      </c>
      <c r="BA9" s="8" t="s">
        <v>86</v>
      </c>
      <c r="BB9" s="8" t="s">
        <v>86</v>
      </c>
      <c r="BC9" s="8">
        <v>0.0</v>
      </c>
    </row>
    <row r="10">
      <c r="A10" s="3" t="s">
        <v>143</v>
      </c>
      <c r="B10" s="3" t="s">
        <v>144</v>
      </c>
      <c r="C10" s="3" t="s">
        <v>145</v>
      </c>
      <c r="D10" s="3" t="s">
        <v>144</v>
      </c>
      <c r="E10" s="3">
        <v>100000.0</v>
      </c>
      <c r="F10" s="3" t="s">
        <v>58</v>
      </c>
      <c r="G10" s="3" t="s">
        <v>146</v>
      </c>
      <c r="H10" s="4" t="s">
        <v>147</v>
      </c>
      <c r="I10" s="5" t="s">
        <v>148</v>
      </c>
      <c r="J10" s="3" t="s">
        <v>149</v>
      </c>
      <c r="K10" s="3">
        <v>9.560260768E9</v>
      </c>
      <c r="L10" s="16">
        <v>43839.677777777775</v>
      </c>
      <c r="M10" s="3"/>
      <c r="N10" s="17" t="str">
        <f>(B8)</f>
        <v>Singla Automobiles (Main Branch)</v>
      </c>
      <c r="O10" s="17" t="str">
        <f>(A8)</f>
        <v>150xD2ZWlv_NqqijpFlWWgIoGhpbdGM3zmaQdQAd1q5M</v>
      </c>
      <c r="P10" s="3" t="s">
        <v>142</v>
      </c>
      <c r="Q10" s="8" t="s">
        <v>65</v>
      </c>
      <c r="R10" s="3" t="s">
        <v>66</v>
      </c>
      <c r="S10" s="8" t="s">
        <v>105</v>
      </c>
      <c r="T10" s="14" t="s">
        <v>106</v>
      </c>
      <c r="U10" s="14"/>
      <c r="V10" s="14"/>
      <c r="W10" s="14"/>
      <c r="X10" s="14"/>
      <c r="Y10" s="14"/>
      <c r="Z10" s="14"/>
      <c r="AA10" s="14"/>
      <c r="AB10" s="14"/>
      <c r="AC10" s="14"/>
      <c r="AD10" s="14"/>
      <c r="AE10" s="14"/>
      <c r="AF10" s="14"/>
      <c r="AG10" s="7"/>
      <c r="AH10" s="14"/>
      <c r="AI10" s="14"/>
      <c r="AJ10" s="14"/>
      <c r="AK10" s="14"/>
      <c r="AL10" s="14"/>
      <c r="AM10" s="14"/>
      <c r="AN10" s="14"/>
      <c r="AO10" s="14"/>
      <c r="AP10" s="14"/>
      <c r="AQ10" s="14"/>
      <c r="AR10" s="14"/>
      <c r="AS10" s="14"/>
      <c r="AT10" s="14"/>
      <c r="AU10" s="14" t="s">
        <v>85</v>
      </c>
      <c r="AV10" s="14"/>
      <c r="AW10" s="14"/>
      <c r="AX10" s="14"/>
      <c r="AY10" s="14"/>
      <c r="AZ10" s="8" t="s">
        <v>86</v>
      </c>
      <c r="BA10" s="8" t="s">
        <v>86</v>
      </c>
      <c r="BB10" s="8" t="s">
        <v>86</v>
      </c>
      <c r="BC10" s="8">
        <v>0.0</v>
      </c>
    </row>
    <row r="11">
      <c r="A11" s="3" t="s">
        <v>150</v>
      </c>
      <c r="B11" s="3" t="s">
        <v>151</v>
      </c>
      <c r="C11" s="3" t="s">
        <v>152</v>
      </c>
      <c r="D11" s="3" t="s">
        <v>151</v>
      </c>
      <c r="E11" s="3">
        <v>100000.0</v>
      </c>
      <c r="F11" s="3" t="s">
        <v>58</v>
      </c>
      <c r="G11" s="3" t="s">
        <v>153</v>
      </c>
      <c r="H11" s="4" t="s">
        <v>154</v>
      </c>
      <c r="I11" s="5" t="s">
        <v>155</v>
      </c>
      <c r="J11" s="3" t="s">
        <v>156</v>
      </c>
      <c r="K11" s="3">
        <v>9.560260768E9</v>
      </c>
      <c r="L11" s="16">
        <v>43839.68125</v>
      </c>
      <c r="M11" s="3"/>
      <c r="N11" s="17" t="str">
        <f>(B8)</f>
        <v>Singla Automobiles (Main Branch)</v>
      </c>
      <c r="O11" s="17" t="str">
        <f>(A8)</f>
        <v>150xD2ZWlv_NqqijpFlWWgIoGhpbdGM3zmaQdQAd1q5M</v>
      </c>
      <c r="P11" s="3" t="s">
        <v>142</v>
      </c>
      <c r="Q11" s="8" t="s">
        <v>65</v>
      </c>
      <c r="R11" s="3" t="s">
        <v>66</v>
      </c>
      <c r="S11" s="8" t="s">
        <v>105</v>
      </c>
      <c r="T11" s="14" t="s">
        <v>106</v>
      </c>
      <c r="U11" s="14"/>
      <c r="V11" s="14"/>
      <c r="W11" s="14"/>
      <c r="X11" s="14"/>
      <c r="Y11" s="14"/>
      <c r="Z11" s="14"/>
      <c r="AA11" s="14"/>
      <c r="AB11" s="14"/>
      <c r="AC11" s="14"/>
      <c r="AD11" s="14"/>
      <c r="AE11" s="14"/>
      <c r="AF11" s="14"/>
      <c r="AG11" s="7"/>
      <c r="AH11" s="14"/>
      <c r="AI11" s="14"/>
      <c r="AJ11" s="14"/>
      <c r="AK11" s="14"/>
      <c r="AL11" s="14"/>
      <c r="AM11" s="14"/>
      <c r="AN11" s="14"/>
      <c r="AO11" s="14"/>
      <c r="AP11" s="14"/>
      <c r="AQ11" s="14"/>
      <c r="AR11" s="14"/>
      <c r="AS11" s="14"/>
      <c r="AT11" s="14"/>
      <c r="AU11" s="14" t="s">
        <v>85</v>
      </c>
      <c r="AV11" s="14"/>
      <c r="AW11" s="14"/>
      <c r="AX11" s="14"/>
      <c r="AY11" s="14"/>
      <c r="AZ11" s="8" t="s">
        <v>86</v>
      </c>
      <c r="BA11" s="8" t="s">
        <v>86</v>
      </c>
      <c r="BB11" s="8" t="s">
        <v>86</v>
      </c>
      <c r="BC11" s="8">
        <v>0.0</v>
      </c>
    </row>
    <row r="12">
      <c r="A12" s="3" t="s">
        <v>157</v>
      </c>
      <c r="B12" s="3" t="s">
        <v>158</v>
      </c>
      <c r="C12" s="3" t="s">
        <v>159</v>
      </c>
      <c r="D12" s="3" t="s">
        <v>158</v>
      </c>
      <c r="E12" s="3">
        <v>100000.0</v>
      </c>
      <c r="F12" s="3" t="s">
        <v>76</v>
      </c>
      <c r="G12" s="3" t="s">
        <v>160</v>
      </c>
      <c r="H12" s="5" t="s">
        <v>161</v>
      </c>
      <c r="I12" s="5" t="s">
        <v>162</v>
      </c>
      <c r="J12" s="3" t="s">
        <v>163</v>
      </c>
      <c r="K12" s="3">
        <v>9.819424414E9</v>
      </c>
      <c r="L12" s="16">
        <v>43930.50763888889</v>
      </c>
      <c r="M12" s="3"/>
      <c r="N12" s="3" t="str">
        <f>B12</f>
        <v>ESS AAR Motors - Jhandewalan</v>
      </c>
      <c r="O12" s="3" t="str">
        <f>(A12)</f>
        <v>1hcMo_yCBmlA1T0WTeHgqUHMnzUUcjAMt7oOG7Fxhs7E</v>
      </c>
      <c r="P12" s="3" t="s">
        <v>64</v>
      </c>
      <c r="Q12" s="8" t="s">
        <v>104</v>
      </c>
      <c r="R12" s="3" t="s">
        <v>66</v>
      </c>
      <c r="S12" s="8" t="s">
        <v>105</v>
      </c>
      <c r="T12" s="8" t="s">
        <v>106</v>
      </c>
      <c r="U12" s="8"/>
      <c r="V12" s="8"/>
      <c r="W12" s="8"/>
      <c r="X12" s="8"/>
      <c r="Y12" s="8"/>
      <c r="Z12" s="8"/>
      <c r="AA12" s="8"/>
      <c r="AB12" s="8"/>
      <c r="AC12" s="8"/>
      <c r="AD12" s="8"/>
      <c r="AE12" s="8"/>
      <c r="AF12" s="8"/>
      <c r="AG12" s="7"/>
      <c r="AH12" s="8"/>
      <c r="AI12" s="8"/>
      <c r="AJ12" s="8"/>
      <c r="AK12" s="8"/>
      <c r="AL12" s="8"/>
      <c r="AM12" s="8"/>
      <c r="AN12" s="8"/>
      <c r="AO12" s="8"/>
      <c r="AP12" s="8"/>
      <c r="AQ12" s="8"/>
      <c r="AR12" s="8"/>
      <c r="AS12" s="8"/>
      <c r="AT12" s="9" t="s">
        <v>164</v>
      </c>
      <c r="AU12" s="8" t="s">
        <v>85</v>
      </c>
      <c r="AV12" s="8"/>
      <c r="AW12" s="8"/>
      <c r="AX12" s="8"/>
      <c r="AY12" s="8"/>
      <c r="AZ12" s="8" t="s">
        <v>86</v>
      </c>
      <c r="BA12" s="8" t="s">
        <v>86</v>
      </c>
      <c r="BB12" s="8" t="s">
        <v>86</v>
      </c>
      <c r="BC12" s="8">
        <v>0.0</v>
      </c>
    </row>
    <row r="13">
      <c r="A13" s="3" t="s">
        <v>165</v>
      </c>
      <c r="B13" s="3" t="s">
        <v>166</v>
      </c>
      <c r="C13" s="3" t="s">
        <v>167</v>
      </c>
      <c r="D13" s="3" t="s">
        <v>166</v>
      </c>
      <c r="E13" s="3">
        <v>100000.0</v>
      </c>
      <c r="F13" s="3" t="s">
        <v>76</v>
      </c>
      <c r="G13" s="3" t="s">
        <v>168</v>
      </c>
      <c r="H13" s="5" t="s">
        <v>169</v>
      </c>
      <c r="I13" s="5" t="s">
        <v>170</v>
      </c>
      <c r="J13" s="3" t="s">
        <v>171</v>
      </c>
      <c r="K13" s="3">
        <v>9.819424414E9</v>
      </c>
      <c r="L13" s="16">
        <v>43930.50902777778</v>
      </c>
      <c r="M13" s="3"/>
      <c r="N13" s="3" t="str">
        <f>(B12)</f>
        <v>ESS AAR Motors - Jhandewalan</v>
      </c>
      <c r="O13" s="3" t="str">
        <f>(A12)</f>
        <v>1hcMo_yCBmlA1T0WTeHgqUHMnzUUcjAMt7oOG7Fxhs7E</v>
      </c>
      <c r="P13" s="3" t="s">
        <v>142</v>
      </c>
      <c r="Q13" s="8" t="s">
        <v>104</v>
      </c>
      <c r="R13" s="3" t="s">
        <v>66</v>
      </c>
      <c r="S13" s="8" t="s">
        <v>105</v>
      </c>
      <c r="T13" s="8" t="s">
        <v>106</v>
      </c>
      <c r="U13" s="8"/>
      <c r="V13" s="8"/>
      <c r="W13" s="8"/>
      <c r="X13" s="8"/>
      <c r="Y13" s="8"/>
      <c r="Z13" s="8"/>
      <c r="AA13" s="8"/>
      <c r="AB13" s="8"/>
      <c r="AC13" s="8"/>
      <c r="AD13" s="8"/>
      <c r="AE13" s="8"/>
      <c r="AF13" s="8"/>
      <c r="AG13" s="7"/>
      <c r="AH13" s="8"/>
      <c r="AI13" s="8"/>
      <c r="AJ13" s="8"/>
      <c r="AK13" s="8"/>
      <c r="AL13" s="8"/>
      <c r="AM13" s="8"/>
      <c r="AN13" s="8"/>
      <c r="AO13" s="8"/>
      <c r="AP13" s="8"/>
      <c r="AQ13" s="8"/>
      <c r="AR13" s="8"/>
      <c r="AS13" s="8"/>
      <c r="AT13" s="8"/>
      <c r="AU13" s="8" t="s">
        <v>85</v>
      </c>
      <c r="AV13" s="8"/>
      <c r="AW13" s="8"/>
      <c r="AX13" s="8"/>
      <c r="AY13" s="8"/>
      <c r="AZ13" s="8" t="s">
        <v>86</v>
      </c>
      <c r="BA13" s="8" t="s">
        <v>86</v>
      </c>
      <c r="BB13" s="8" t="s">
        <v>86</v>
      </c>
      <c r="BC13" s="8">
        <v>0.0</v>
      </c>
    </row>
    <row r="14">
      <c r="A14" s="3" t="s">
        <v>172</v>
      </c>
      <c r="B14" s="3" t="s">
        <v>173</v>
      </c>
      <c r="C14" s="3" t="s">
        <v>174</v>
      </c>
      <c r="D14" s="3" t="s">
        <v>175</v>
      </c>
      <c r="E14" s="3">
        <v>100000.0</v>
      </c>
      <c r="F14" s="3" t="s">
        <v>76</v>
      </c>
      <c r="G14" s="3" t="s">
        <v>176</v>
      </c>
      <c r="H14" s="5" t="s">
        <v>177</v>
      </c>
      <c r="I14" s="5" t="s">
        <v>178</v>
      </c>
      <c r="J14" s="3" t="s">
        <v>179</v>
      </c>
      <c r="K14" s="3">
        <v>9.719168442E9</v>
      </c>
      <c r="L14" s="16">
        <v>43960.65416666667</v>
      </c>
      <c r="M14" s="3"/>
      <c r="N14" s="3" t="str">
        <f t="shared" ref="N14:N20" si="3">B14</f>
        <v>Varshney Auto Sales - Yamaha (MPS)</v>
      </c>
      <c r="O14" s="3" t="str">
        <f t="shared" ref="O14:O20" si="4">(A14)</f>
        <v>1ywp9soScACCtKNm18S8bSV9jfI4bUChDWcowZ3Kbzws</v>
      </c>
      <c r="P14" s="3" t="s">
        <v>64</v>
      </c>
      <c r="Q14" s="8" t="s">
        <v>65</v>
      </c>
      <c r="R14" s="3" t="s">
        <v>66</v>
      </c>
      <c r="S14" s="8" t="s">
        <v>123</v>
      </c>
      <c r="T14" s="8" t="s">
        <v>83</v>
      </c>
      <c r="U14" s="8"/>
      <c r="V14" s="8"/>
      <c r="W14" s="8"/>
      <c r="X14" s="8"/>
      <c r="Y14" s="8"/>
      <c r="Z14" s="8"/>
      <c r="AA14" s="8"/>
      <c r="AB14" s="8"/>
      <c r="AC14" s="8"/>
      <c r="AD14" s="8"/>
      <c r="AE14" s="8"/>
      <c r="AF14" s="8"/>
      <c r="AG14" s="7"/>
      <c r="AH14" s="8"/>
      <c r="AI14" s="8"/>
      <c r="AJ14" s="8"/>
      <c r="AK14" s="8"/>
      <c r="AL14" s="8"/>
      <c r="AM14" s="8"/>
      <c r="AN14" s="8"/>
      <c r="AO14" s="8"/>
      <c r="AP14" s="8"/>
      <c r="AQ14" s="8"/>
      <c r="AR14" s="8"/>
      <c r="AS14" s="8"/>
      <c r="AT14" s="9" t="s">
        <v>180</v>
      </c>
      <c r="AU14" s="8" t="s">
        <v>85</v>
      </c>
      <c r="AV14" s="8"/>
      <c r="AW14" s="8"/>
      <c r="AX14" s="8"/>
      <c r="AY14" s="8"/>
      <c r="AZ14" s="8" t="s">
        <v>86</v>
      </c>
      <c r="BA14" s="8" t="s">
        <v>86</v>
      </c>
      <c r="BB14" s="8" t="s">
        <v>86</v>
      </c>
      <c r="BC14" s="8">
        <v>0.0</v>
      </c>
    </row>
    <row r="15">
      <c r="A15" s="3" t="s">
        <v>181</v>
      </c>
      <c r="B15" s="3" t="s">
        <v>182</v>
      </c>
      <c r="C15" s="3" t="s">
        <v>183</v>
      </c>
      <c r="D15" s="3" t="s">
        <v>182</v>
      </c>
      <c r="E15" s="3">
        <v>100000.0</v>
      </c>
      <c r="F15" s="3" t="s">
        <v>58</v>
      </c>
      <c r="G15" s="3" t="s">
        <v>184</v>
      </c>
      <c r="H15" s="5" t="s">
        <v>185</v>
      </c>
      <c r="I15" s="5" t="s">
        <v>186</v>
      </c>
      <c r="J15" s="3" t="s">
        <v>187</v>
      </c>
      <c r="K15" s="3">
        <v>9.899710525E9</v>
      </c>
      <c r="L15" s="16">
        <v>43870.447916666664</v>
      </c>
      <c r="M15" s="3"/>
      <c r="N15" s="3" t="str">
        <f t="shared" si="3"/>
        <v>Uppal Motors</v>
      </c>
      <c r="O15" s="3" t="str">
        <f t="shared" si="4"/>
        <v>1ejtSq2pJ5r5wu-kZaMFvJrFblntdYFCvNJnKtYjMVzo</v>
      </c>
      <c r="P15" s="3" t="s">
        <v>64</v>
      </c>
      <c r="Q15" s="8" t="s">
        <v>65</v>
      </c>
      <c r="R15" s="3" t="s">
        <v>66</v>
      </c>
      <c r="S15" s="8" t="s">
        <v>188</v>
      </c>
      <c r="T15" s="8" t="s">
        <v>83</v>
      </c>
      <c r="U15" s="8"/>
      <c r="V15" s="8"/>
      <c r="W15" s="8"/>
      <c r="X15" s="8"/>
      <c r="Y15" s="8"/>
      <c r="Z15" s="8"/>
      <c r="AA15" s="8"/>
      <c r="AB15" s="8"/>
      <c r="AC15" s="8"/>
      <c r="AD15" s="8"/>
      <c r="AE15" s="8"/>
      <c r="AF15" s="8"/>
      <c r="AG15" s="7"/>
      <c r="AH15" s="8"/>
      <c r="AI15" s="8"/>
      <c r="AJ15" s="8"/>
      <c r="AK15" s="8"/>
      <c r="AL15" s="8"/>
      <c r="AM15" s="8"/>
      <c r="AN15" s="8"/>
      <c r="AO15" s="8"/>
      <c r="AP15" s="8"/>
      <c r="AQ15" s="8"/>
      <c r="AR15" s="8"/>
      <c r="AS15" s="8"/>
      <c r="AT15" s="9" t="s">
        <v>189</v>
      </c>
      <c r="AU15" s="8" t="s">
        <v>85</v>
      </c>
      <c r="AV15" s="8"/>
      <c r="AW15" s="8"/>
      <c r="AX15" s="8"/>
      <c r="AY15" s="8"/>
      <c r="AZ15" s="8" t="s">
        <v>86</v>
      </c>
      <c r="BA15" s="8" t="s">
        <v>86</v>
      </c>
      <c r="BB15" s="8" t="s">
        <v>86</v>
      </c>
      <c r="BC15" s="8">
        <v>0.0</v>
      </c>
    </row>
    <row r="16">
      <c r="A16" s="3" t="s">
        <v>190</v>
      </c>
      <c r="B16" s="3" t="s">
        <v>191</v>
      </c>
      <c r="C16" s="3" t="s">
        <v>192</v>
      </c>
      <c r="D16" s="3" t="s">
        <v>191</v>
      </c>
      <c r="E16" s="3">
        <v>100000.0</v>
      </c>
      <c r="F16" s="3" t="s">
        <v>58</v>
      </c>
      <c r="G16" s="3" t="s">
        <v>193</v>
      </c>
      <c r="H16" s="5" t="s">
        <v>194</v>
      </c>
      <c r="I16" s="5" t="s">
        <v>195</v>
      </c>
      <c r="J16" s="3" t="s">
        <v>196</v>
      </c>
      <c r="K16" s="3">
        <v>9.606820257E9</v>
      </c>
      <c r="L16" s="16">
        <v>44144.78888888889</v>
      </c>
      <c r="M16" s="3"/>
      <c r="N16" s="3" t="str">
        <f t="shared" si="3"/>
        <v>Vidhi Trading</v>
      </c>
      <c r="O16" s="3" t="str">
        <f t="shared" si="4"/>
        <v>1RYX1vfvY0jbK-8SlRPLYU11dr-HUe2ntxj5PumL7c0I</v>
      </c>
      <c r="P16" s="3" t="s">
        <v>64</v>
      </c>
      <c r="Q16" s="8" t="s">
        <v>65</v>
      </c>
      <c r="R16" s="3" t="s">
        <v>66</v>
      </c>
      <c r="S16" s="8" t="s">
        <v>197</v>
      </c>
      <c r="T16" s="8" t="s">
        <v>198</v>
      </c>
      <c r="U16" s="8"/>
      <c r="V16" s="8"/>
      <c r="W16" s="8"/>
      <c r="X16" s="8"/>
      <c r="Y16" s="8"/>
      <c r="Z16" s="8"/>
      <c r="AA16" s="8"/>
      <c r="AB16" s="8"/>
      <c r="AC16" s="8"/>
      <c r="AD16" s="8"/>
      <c r="AE16" s="8"/>
      <c r="AF16" s="8"/>
      <c r="AG16" s="7"/>
      <c r="AH16" s="8"/>
      <c r="AI16" s="8"/>
      <c r="AJ16" s="8"/>
      <c r="AK16" s="8"/>
      <c r="AL16" s="8"/>
      <c r="AM16" s="8"/>
      <c r="AN16" s="8"/>
      <c r="AO16" s="8"/>
      <c r="AP16" s="8"/>
      <c r="AQ16" s="8"/>
      <c r="AR16" s="8"/>
      <c r="AS16" s="8"/>
      <c r="AT16" s="9" t="s">
        <v>199</v>
      </c>
      <c r="AU16" s="8" t="s">
        <v>85</v>
      </c>
      <c r="AV16" s="8"/>
      <c r="AW16" s="8"/>
      <c r="AX16" s="8"/>
      <c r="AY16" s="8"/>
      <c r="AZ16" s="8" t="s">
        <v>86</v>
      </c>
      <c r="BA16" s="8" t="s">
        <v>86</v>
      </c>
      <c r="BB16" s="8" t="s">
        <v>86</v>
      </c>
      <c r="BC16" s="8">
        <v>0.0</v>
      </c>
    </row>
    <row r="17">
      <c r="A17" s="3" t="s">
        <v>200</v>
      </c>
      <c r="B17" s="3" t="s">
        <v>201</v>
      </c>
      <c r="C17" s="3" t="s">
        <v>202</v>
      </c>
      <c r="D17" s="3" t="s">
        <v>201</v>
      </c>
      <c r="E17" s="3">
        <v>100000.0</v>
      </c>
      <c r="F17" s="3" t="s">
        <v>58</v>
      </c>
      <c r="G17" s="3" t="s">
        <v>203</v>
      </c>
      <c r="H17" s="5" t="s">
        <v>204</v>
      </c>
      <c r="I17" s="5" t="s">
        <v>205</v>
      </c>
      <c r="J17" s="3" t="s">
        <v>206</v>
      </c>
      <c r="K17" s="3">
        <v>9.302481112E9</v>
      </c>
      <c r="L17" s="16">
        <v>44144.85277777778</v>
      </c>
      <c r="M17" s="3"/>
      <c r="N17" s="3" t="str">
        <f t="shared" si="3"/>
        <v>JS</v>
      </c>
      <c r="O17" s="3" t="str">
        <f t="shared" si="4"/>
        <v>1ju8_gZRiNRn30bHYva0xZCNhV81e9Nwm1ItAYdj4tiU</v>
      </c>
      <c r="P17" s="3" t="s">
        <v>64</v>
      </c>
      <c r="Q17" s="8" t="s">
        <v>65</v>
      </c>
      <c r="R17" s="3" t="s">
        <v>66</v>
      </c>
      <c r="S17" s="8" t="s">
        <v>207</v>
      </c>
      <c r="T17" s="8" t="s">
        <v>208</v>
      </c>
      <c r="U17" s="8"/>
      <c r="V17" s="8"/>
      <c r="W17" s="8"/>
      <c r="X17" s="8"/>
      <c r="Y17" s="8"/>
      <c r="Z17" s="8"/>
      <c r="AA17" s="8"/>
      <c r="AB17" s="8"/>
      <c r="AC17" s="8"/>
      <c r="AD17" s="8"/>
      <c r="AE17" s="8"/>
      <c r="AF17" s="8"/>
      <c r="AG17" s="7"/>
      <c r="AH17" s="8"/>
      <c r="AI17" s="8"/>
      <c r="AJ17" s="8"/>
      <c r="AK17" s="8"/>
      <c r="AL17" s="8"/>
      <c r="AM17" s="8"/>
      <c r="AN17" s="8"/>
      <c r="AO17" s="8"/>
      <c r="AP17" s="8"/>
      <c r="AQ17" s="8"/>
      <c r="AR17" s="8"/>
      <c r="AS17" s="8"/>
      <c r="AT17" s="9" t="s">
        <v>209</v>
      </c>
      <c r="AU17" s="8" t="s">
        <v>85</v>
      </c>
      <c r="AV17" s="8"/>
      <c r="AW17" s="8"/>
      <c r="AX17" s="8"/>
      <c r="AY17" s="8"/>
      <c r="AZ17" s="8" t="s">
        <v>86</v>
      </c>
      <c r="BA17" s="8" t="s">
        <v>86</v>
      </c>
      <c r="BB17" s="8" t="s">
        <v>86</v>
      </c>
      <c r="BC17" s="8">
        <v>0.0</v>
      </c>
    </row>
    <row r="18">
      <c r="A18" s="3" t="s">
        <v>210</v>
      </c>
      <c r="B18" s="3" t="s">
        <v>211</v>
      </c>
      <c r="C18" s="3" t="s">
        <v>212</v>
      </c>
      <c r="D18" s="3" t="s">
        <v>211</v>
      </c>
      <c r="E18" s="3">
        <v>100000.0</v>
      </c>
      <c r="F18" s="3" t="s">
        <v>58</v>
      </c>
      <c r="G18" s="3" t="s">
        <v>213</v>
      </c>
      <c r="H18" s="5" t="s">
        <v>214</v>
      </c>
      <c r="I18" s="5" t="s">
        <v>215</v>
      </c>
      <c r="J18" s="3" t="s">
        <v>216</v>
      </c>
      <c r="K18" s="3">
        <v>8.94101041E9</v>
      </c>
      <c r="L18" s="6" t="s">
        <v>217</v>
      </c>
      <c r="M18" s="3"/>
      <c r="N18" s="3" t="str">
        <f t="shared" si="3"/>
        <v>Mongold World Hero</v>
      </c>
      <c r="O18" s="3" t="str">
        <f t="shared" si="4"/>
        <v>1fb4oZhqM5iGS888M6X7merPGQRxnlGglIXz2Xntr8zg</v>
      </c>
      <c r="P18" s="3" t="s">
        <v>64</v>
      </c>
      <c r="Q18" s="8" t="s">
        <v>65</v>
      </c>
      <c r="R18" s="3" t="s">
        <v>66</v>
      </c>
      <c r="S18" s="8" t="s">
        <v>218</v>
      </c>
      <c r="T18" s="8" t="s">
        <v>83</v>
      </c>
      <c r="U18" s="8"/>
      <c r="V18" s="8"/>
      <c r="W18" s="8"/>
      <c r="X18" s="8"/>
      <c r="Y18" s="8"/>
      <c r="Z18" s="8"/>
      <c r="AA18" s="8"/>
      <c r="AB18" s="8"/>
      <c r="AC18" s="8"/>
      <c r="AD18" s="8"/>
      <c r="AE18" s="8"/>
      <c r="AF18" s="8"/>
      <c r="AG18" s="7"/>
      <c r="AH18" s="8"/>
      <c r="AI18" s="8"/>
      <c r="AJ18" s="8"/>
      <c r="AK18" s="8"/>
      <c r="AL18" s="8"/>
      <c r="AM18" s="8"/>
      <c r="AN18" s="8"/>
      <c r="AO18" s="8"/>
      <c r="AP18" s="8"/>
      <c r="AQ18" s="8"/>
      <c r="AR18" s="8"/>
      <c r="AS18" s="8"/>
      <c r="AT18" s="9" t="s">
        <v>219</v>
      </c>
      <c r="AU18" s="8" t="s">
        <v>85</v>
      </c>
      <c r="AV18" s="8"/>
      <c r="AW18" s="8"/>
      <c r="AX18" s="8"/>
      <c r="AY18" s="8"/>
      <c r="AZ18" s="8" t="s">
        <v>86</v>
      </c>
      <c r="BA18" s="8" t="s">
        <v>86</v>
      </c>
      <c r="BB18" s="8" t="s">
        <v>86</v>
      </c>
      <c r="BC18" s="8">
        <v>0.0</v>
      </c>
    </row>
    <row r="19">
      <c r="A19" s="3" t="s">
        <v>220</v>
      </c>
      <c r="B19" s="3" t="s">
        <v>221</v>
      </c>
      <c r="C19" s="3" t="s">
        <v>222</v>
      </c>
      <c r="D19" s="3" t="s">
        <v>221</v>
      </c>
      <c r="E19" s="3">
        <v>100000.0</v>
      </c>
      <c r="F19" s="3" t="s">
        <v>58</v>
      </c>
      <c r="G19" s="3" t="s">
        <v>223</v>
      </c>
      <c r="H19" s="5" t="s">
        <v>224</v>
      </c>
      <c r="I19" s="5" t="s">
        <v>225</v>
      </c>
      <c r="J19" s="3" t="s">
        <v>226</v>
      </c>
      <c r="K19" s="3">
        <v>9.999993333E9</v>
      </c>
      <c r="L19" s="6" t="s">
        <v>227</v>
      </c>
      <c r="M19" s="3"/>
      <c r="N19" s="3" t="str">
        <f t="shared" si="3"/>
        <v>Metro Motors - Rohini</v>
      </c>
      <c r="O19" s="3" t="str">
        <f t="shared" si="4"/>
        <v>1xzNzUpRuyZzl8DSwrt-yCan_GYtxqCgVm5i_XkKZrso</v>
      </c>
      <c r="P19" s="3" t="s">
        <v>64</v>
      </c>
      <c r="Q19" s="8" t="s">
        <v>65</v>
      </c>
      <c r="R19" s="3" t="s">
        <v>66</v>
      </c>
      <c r="S19" s="8" t="s">
        <v>105</v>
      </c>
      <c r="T19" s="8" t="s">
        <v>106</v>
      </c>
      <c r="U19" s="8"/>
      <c r="V19" s="8"/>
      <c r="W19" s="8"/>
      <c r="X19" s="8"/>
      <c r="Y19" s="8"/>
      <c r="Z19" s="8"/>
      <c r="AA19" s="8"/>
      <c r="AB19" s="8"/>
      <c r="AC19" s="8"/>
      <c r="AD19" s="8"/>
      <c r="AE19" s="8"/>
      <c r="AF19" s="8"/>
      <c r="AG19" s="7"/>
      <c r="AH19" s="8"/>
      <c r="AI19" s="8"/>
      <c r="AJ19" s="8"/>
      <c r="AK19" s="8"/>
      <c r="AL19" s="8"/>
      <c r="AM19" s="8"/>
      <c r="AN19" s="8"/>
      <c r="AO19" s="8"/>
      <c r="AP19" s="8"/>
      <c r="AQ19" s="8"/>
      <c r="AR19" s="8"/>
      <c r="AS19" s="8"/>
      <c r="AT19" s="9" t="s">
        <v>228</v>
      </c>
      <c r="AU19" s="8" t="s">
        <v>85</v>
      </c>
      <c r="AV19" s="8"/>
      <c r="AW19" s="8"/>
      <c r="AX19" s="8"/>
      <c r="AY19" s="8"/>
      <c r="AZ19" s="8" t="s">
        <v>86</v>
      </c>
      <c r="BA19" s="8" t="s">
        <v>86</v>
      </c>
      <c r="BB19" s="8" t="s">
        <v>86</v>
      </c>
      <c r="BC19" s="8">
        <v>0.0</v>
      </c>
    </row>
    <row r="20">
      <c r="A20" s="3" t="s">
        <v>229</v>
      </c>
      <c r="B20" s="3" t="s">
        <v>230</v>
      </c>
      <c r="C20" s="3" t="s">
        <v>231</v>
      </c>
      <c r="D20" s="3" t="s">
        <v>230</v>
      </c>
      <c r="E20" s="3">
        <v>100000.0</v>
      </c>
      <c r="F20" s="3" t="s">
        <v>58</v>
      </c>
      <c r="G20" s="3" t="s">
        <v>232</v>
      </c>
      <c r="H20" s="5" t="s">
        <v>233</v>
      </c>
      <c r="I20" s="5" t="s">
        <v>234</v>
      </c>
      <c r="J20" s="3" t="s">
        <v>235</v>
      </c>
      <c r="K20" s="3">
        <v>8.527628481E9</v>
      </c>
      <c r="L20" s="6" t="s">
        <v>236</v>
      </c>
      <c r="M20" s="3"/>
      <c r="N20" s="3" t="str">
        <f t="shared" si="3"/>
        <v>Singla Auto Agencies (Noida)</v>
      </c>
      <c r="O20" s="3" t="str">
        <f t="shared" si="4"/>
        <v>1aig_7rzTvnQej6pxtLbGhfZNPUH2VLzHk2NHcxmPOhg</v>
      </c>
      <c r="P20" s="3" t="s">
        <v>64</v>
      </c>
      <c r="Q20" s="8" t="s">
        <v>65</v>
      </c>
      <c r="R20" s="3" t="s">
        <v>66</v>
      </c>
      <c r="S20" s="8" t="s">
        <v>188</v>
      </c>
      <c r="T20" s="8" t="s">
        <v>83</v>
      </c>
      <c r="U20" s="8"/>
      <c r="V20" s="8"/>
      <c r="W20" s="8"/>
      <c r="X20" s="8"/>
      <c r="Y20" s="8"/>
      <c r="Z20" s="8"/>
      <c r="AA20" s="8"/>
      <c r="AB20" s="8"/>
      <c r="AC20" s="8"/>
      <c r="AD20" s="8"/>
      <c r="AE20" s="8"/>
      <c r="AF20" s="8"/>
      <c r="AG20" s="7"/>
      <c r="AH20" s="8"/>
      <c r="AI20" s="8"/>
      <c r="AJ20" s="8"/>
      <c r="AK20" s="8"/>
      <c r="AL20" s="8"/>
      <c r="AM20" s="8"/>
      <c r="AN20" s="8"/>
      <c r="AO20" s="8"/>
      <c r="AP20" s="8"/>
      <c r="AQ20" s="8"/>
      <c r="AR20" s="8"/>
      <c r="AS20" s="8"/>
      <c r="AT20" s="9" t="s">
        <v>237</v>
      </c>
      <c r="AU20" s="8" t="s">
        <v>85</v>
      </c>
      <c r="AV20" s="8"/>
      <c r="AW20" s="8"/>
      <c r="AX20" s="8" t="s">
        <v>238</v>
      </c>
      <c r="AY20" s="8" t="s">
        <v>239</v>
      </c>
      <c r="AZ20" s="8" t="s">
        <v>86</v>
      </c>
      <c r="BA20" s="8" t="s">
        <v>86</v>
      </c>
      <c r="BB20" s="8" t="s">
        <v>72</v>
      </c>
      <c r="BC20" s="8">
        <v>200000.0</v>
      </c>
    </row>
    <row r="21">
      <c r="A21" s="3" t="s">
        <v>240</v>
      </c>
      <c r="B21" s="3" t="s">
        <v>241</v>
      </c>
      <c r="C21" s="3" t="s">
        <v>242</v>
      </c>
      <c r="D21" s="3" t="s">
        <v>243</v>
      </c>
      <c r="E21" s="3">
        <v>100000.0</v>
      </c>
      <c r="F21" s="3" t="s">
        <v>58</v>
      </c>
      <c r="G21" s="3" t="s">
        <v>244</v>
      </c>
      <c r="H21" s="5" t="s">
        <v>245</v>
      </c>
      <c r="I21" s="5" t="s">
        <v>246</v>
      </c>
      <c r="J21" s="3" t="s">
        <v>243</v>
      </c>
      <c r="K21" s="3">
        <v>8.527628481E9</v>
      </c>
      <c r="L21" s="6" t="s">
        <v>247</v>
      </c>
      <c r="M21" s="3"/>
      <c r="N21" s="3" t="str">
        <f>(B20)</f>
        <v>Singla Auto Agencies (Noida)</v>
      </c>
      <c r="O21" s="3" t="str">
        <f>(A20)</f>
        <v>1aig_7rzTvnQej6pxtLbGhfZNPUH2VLzHk2NHcxmPOhg</v>
      </c>
      <c r="P21" s="3" t="s">
        <v>142</v>
      </c>
      <c r="Q21" s="8" t="s">
        <v>65</v>
      </c>
      <c r="R21" s="3" t="s">
        <v>66</v>
      </c>
      <c r="S21" s="8" t="s">
        <v>82</v>
      </c>
      <c r="T21" s="8" t="s">
        <v>83</v>
      </c>
      <c r="U21" s="8"/>
      <c r="V21" s="8"/>
      <c r="W21" s="8"/>
      <c r="X21" s="8"/>
      <c r="Y21" s="8"/>
      <c r="Z21" s="8"/>
      <c r="AA21" s="8"/>
      <c r="AB21" s="8"/>
      <c r="AC21" s="8"/>
      <c r="AD21" s="8"/>
      <c r="AE21" s="8"/>
      <c r="AF21" s="8"/>
      <c r="AG21" s="7"/>
      <c r="AH21" s="8"/>
      <c r="AI21" s="8"/>
      <c r="AJ21" s="8"/>
      <c r="AK21" s="8"/>
      <c r="AL21" s="8"/>
      <c r="AM21" s="8"/>
      <c r="AN21" s="8"/>
      <c r="AO21" s="8"/>
      <c r="AP21" s="8"/>
      <c r="AQ21" s="8"/>
      <c r="AR21" s="8"/>
      <c r="AS21" s="8"/>
      <c r="AT21" s="8"/>
      <c r="AU21" s="8" t="s">
        <v>85</v>
      </c>
      <c r="AV21" s="8"/>
      <c r="AW21" s="8"/>
      <c r="AX21" s="8"/>
      <c r="AY21" s="8"/>
      <c r="AZ21" s="8" t="s">
        <v>86</v>
      </c>
      <c r="BA21" s="8" t="s">
        <v>86</v>
      </c>
      <c r="BB21" s="8" t="s">
        <v>86</v>
      </c>
      <c r="BC21" s="8">
        <v>0.0</v>
      </c>
    </row>
    <row r="22">
      <c r="A22" s="3" t="s">
        <v>248</v>
      </c>
      <c r="B22" s="3" t="s">
        <v>249</v>
      </c>
      <c r="C22" s="3" t="s">
        <v>250</v>
      </c>
      <c r="D22" s="3" t="s">
        <v>249</v>
      </c>
      <c r="E22" s="3">
        <v>100000.0</v>
      </c>
      <c r="F22" s="3" t="s">
        <v>58</v>
      </c>
      <c r="G22" s="3" t="s">
        <v>251</v>
      </c>
      <c r="H22" s="5" t="s">
        <v>252</v>
      </c>
      <c r="I22" s="5" t="s">
        <v>253</v>
      </c>
      <c r="J22" s="3" t="s">
        <v>254</v>
      </c>
      <c r="K22" s="3">
        <v>8.527628481E9</v>
      </c>
      <c r="L22" s="6" t="s">
        <v>255</v>
      </c>
      <c r="M22" s="3"/>
      <c r="N22" s="3" t="str">
        <f>(B20)</f>
        <v>Singla Auto Agencies (Noida)</v>
      </c>
      <c r="O22" s="3" t="str">
        <f>(A20)</f>
        <v>1aig_7rzTvnQej6pxtLbGhfZNPUH2VLzHk2NHcxmPOhg</v>
      </c>
      <c r="P22" s="3" t="s">
        <v>142</v>
      </c>
      <c r="Q22" s="8" t="s">
        <v>65</v>
      </c>
      <c r="R22" s="3" t="s">
        <v>66</v>
      </c>
      <c r="S22" s="8" t="s">
        <v>188</v>
      </c>
      <c r="T22" s="8" t="s">
        <v>83</v>
      </c>
      <c r="U22" s="8"/>
      <c r="V22" s="8"/>
      <c r="W22" s="8"/>
      <c r="X22" s="8"/>
      <c r="Y22" s="8"/>
      <c r="Z22" s="8"/>
      <c r="AA22" s="8"/>
      <c r="AB22" s="8"/>
      <c r="AC22" s="8"/>
      <c r="AD22" s="8"/>
      <c r="AE22" s="8"/>
      <c r="AF22" s="8"/>
      <c r="AG22" s="7"/>
      <c r="AH22" s="8"/>
      <c r="AI22" s="8"/>
      <c r="AJ22" s="8"/>
      <c r="AK22" s="8"/>
      <c r="AL22" s="8"/>
      <c r="AM22" s="8"/>
      <c r="AN22" s="8"/>
      <c r="AO22" s="8"/>
      <c r="AP22" s="8"/>
      <c r="AQ22" s="8"/>
      <c r="AR22" s="8"/>
      <c r="AS22" s="8"/>
      <c r="AT22" s="8"/>
      <c r="AU22" s="8" t="s">
        <v>85</v>
      </c>
      <c r="AV22" s="8"/>
      <c r="AW22" s="8"/>
      <c r="AX22" s="8"/>
      <c r="AY22" s="8"/>
      <c r="AZ22" s="8" t="s">
        <v>86</v>
      </c>
      <c r="BA22" s="8" t="s">
        <v>86</v>
      </c>
      <c r="BB22" s="8" t="s">
        <v>86</v>
      </c>
      <c r="BC22" s="8">
        <v>0.0</v>
      </c>
    </row>
    <row r="23">
      <c r="A23" s="3" t="s">
        <v>256</v>
      </c>
      <c r="B23" s="3" t="s">
        <v>257</v>
      </c>
      <c r="C23" s="3" t="s">
        <v>258</v>
      </c>
      <c r="D23" s="3" t="s">
        <v>259</v>
      </c>
      <c r="E23" s="3">
        <v>100000.0</v>
      </c>
      <c r="F23" s="3" t="s">
        <v>58</v>
      </c>
      <c r="G23" s="3" t="s">
        <v>260</v>
      </c>
      <c r="H23" s="5" t="s">
        <v>261</v>
      </c>
      <c r="I23" s="5" t="s">
        <v>262</v>
      </c>
      <c r="J23" s="3" t="s">
        <v>263</v>
      </c>
      <c r="K23" s="3">
        <v>8.909573233E9</v>
      </c>
      <c r="L23" s="6" t="s">
        <v>264</v>
      </c>
      <c r="M23" s="3"/>
      <c r="N23" s="3" t="str">
        <f t="shared" ref="N23:N28" si="5">B23</f>
        <v>Atmaram HERO</v>
      </c>
      <c r="O23" s="3" t="str">
        <f t="shared" ref="O23:O27" si="6">(A23)</f>
        <v>1RySEyS05cXvVcjfIhWh9Hhv1aLw7DmuiSqcsr3PfWVo</v>
      </c>
      <c r="P23" s="3" t="s">
        <v>64</v>
      </c>
      <c r="Q23" s="8" t="s">
        <v>65</v>
      </c>
      <c r="R23" s="3" t="s">
        <v>66</v>
      </c>
      <c r="S23" s="8" t="s">
        <v>265</v>
      </c>
      <c r="T23" s="8" t="s">
        <v>83</v>
      </c>
      <c r="U23" s="8"/>
      <c r="V23" s="8"/>
      <c r="W23" s="8"/>
      <c r="X23" s="8"/>
      <c r="Y23" s="8"/>
      <c r="Z23" s="8"/>
      <c r="AA23" s="8"/>
      <c r="AB23" s="8"/>
      <c r="AC23" s="8"/>
      <c r="AD23" s="8"/>
      <c r="AE23" s="8"/>
      <c r="AF23" s="8"/>
      <c r="AG23" s="7"/>
      <c r="AH23" s="8"/>
      <c r="AI23" s="8"/>
      <c r="AJ23" s="8"/>
      <c r="AK23" s="8"/>
      <c r="AL23" s="8"/>
      <c r="AM23" s="8"/>
      <c r="AN23" s="8"/>
      <c r="AO23" s="8"/>
      <c r="AP23" s="8"/>
      <c r="AQ23" s="8"/>
      <c r="AR23" s="8"/>
      <c r="AS23" s="8"/>
      <c r="AT23" s="9" t="s">
        <v>266</v>
      </c>
      <c r="AU23" s="8" t="s">
        <v>85</v>
      </c>
      <c r="AV23" s="8"/>
      <c r="AW23" s="8"/>
      <c r="AX23" s="8"/>
      <c r="AY23" s="8"/>
      <c r="AZ23" s="8" t="s">
        <v>72</v>
      </c>
      <c r="BA23" s="8" t="s">
        <v>86</v>
      </c>
      <c r="BB23" s="8" t="s">
        <v>86</v>
      </c>
      <c r="BC23" s="8">
        <v>0.0</v>
      </c>
    </row>
    <row r="24">
      <c r="A24" s="3" t="s">
        <v>267</v>
      </c>
      <c r="B24" s="3" t="s">
        <v>268</v>
      </c>
      <c r="C24" s="3" t="s">
        <v>269</v>
      </c>
      <c r="D24" s="3" t="s">
        <v>268</v>
      </c>
      <c r="E24" s="3">
        <v>100000.0</v>
      </c>
      <c r="F24" s="3" t="s">
        <v>58</v>
      </c>
      <c r="G24" s="3" t="s">
        <v>270</v>
      </c>
      <c r="H24" s="5" t="s">
        <v>271</v>
      </c>
      <c r="I24" s="5" t="s">
        <v>272</v>
      </c>
      <c r="J24" s="3" t="s">
        <v>273</v>
      </c>
      <c r="K24" s="3">
        <v>9.997099981E9</v>
      </c>
      <c r="L24" s="6" t="s">
        <v>274</v>
      </c>
      <c r="M24" s="3"/>
      <c r="N24" s="3" t="str">
        <f t="shared" si="5"/>
        <v>Maharaja Autoworld</v>
      </c>
      <c r="O24" s="3" t="str">
        <f t="shared" si="6"/>
        <v>1mkGLSaVL5-IAXKq9KqXFgJH64Li9oMA9V0u_seCn1jg</v>
      </c>
      <c r="P24" s="3" t="s">
        <v>64</v>
      </c>
      <c r="Q24" s="8" t="s">
        <v>65</v>
      </c>
      <c r="R24" s="3" t="s">
        <v>66</v>
      </c>
      <c r="S24" s="8" t="s">
        <v>275</v>
      </c>
      <c r="T24" s="8" t="s">
        <v>83</v>
      </c>
      <c r="U24" s="8"/>
      <c r="V24" s="8"/>
      <c r="W24" s="8"/>
      <c r="X24" s="8"/>
      <c r="Y24" s="8"/>
      <c r="Z24" s="8"/>
      <c r="AA24" s="8"/>
      <c r="AB24" s="8"/>
      <c r="AC24" s="8"/>
      <c r="AD24" s="8"/>
      <c r="AE24" s="8"/>
      <c r="AF24" s="8"/>
      <c r="AG24" s="7"/>
      <c r="AH24" s="8"/>
      <c r="AI24" s="8"/>
      <c r="AJ24" s="8"/>
      <c r="AK24" s="8"/>
      <c r="AL24" s="8"/>
      <c r="AM24" s="8"/>
      <c r="AN24" s="8"/>
      <c r="AO24" s="8"/>
      <c r="AP24" s="8"/>
      <c r="AQ24" s="8"/>
      <c r="AR24" s="8"/>
      <c r="AS24" s="8"/>
      <c r="AT24" s="9" t="s">
        <v>276</v>
      </c>
      <c r="AU24" s="8" t="s">
        <v>85</v>
      </c>
      <c r="AV24" s="8"/>
      <c r="AW24" s="8"/>
      <c r="AX24" s="8"/>
      <c r="AY24" s="8"/>
      <c r="AZ24" s="8" t="s">
        <v>86</v>
      </c>
      <c r="BA24" s="8" t="s">
        <v>86</v>
      </c>
      <c r="BB24" s="8" t="s">
        <v>86</v>
      </c>
      <c r="BC24" s="8">
        <v>0.0</v>
      </c>
    </row>
    <row r="25">
      <c r="A25" s="3" t="s">
        <v>277</v>
      </c>
      <c r="B25" s="3" t="s">
        <v>278</v>
      </c>
      <c r="C25" s="3" t="s">
        <v>279</v>
      </c>
      <c r="D25" s="3" t="s">
        <v>278</v>
      </c>
      <c r="E25" s="3">
        <v>100000.0</v>
      </c>
      <c r="F25" s="3" t="s">
        <v>76</v>
      </c>
      <c r="G25" s="3" t="s">
        <v>280</v>
      </c>
      <c r="H25" s="5" t="s">
        <v>281</v>
      </c>
      <c r="I25" s="5" t="s">
        <v>282</v>
      </c>
      <c r="J25" s="3" t="s">
        <v>283</v>
      </c>
      <c r="K25" s="3">
        <v>8.447806448E9</v>
      </c>
      <c r="L25" s="6" t="s">
        <v>284</v>
      </c>
      <c r="M25" s="3"/>
      <c r="N25" s="3" t="str">
        <f t="shared" si="5"/>
        <v>G.S.TVS</v>
      </c>
      <c r="O25" s="3" t="str">
        <f t="shared" si="6"/>
        <v>1zcLyE9iYZSiWbBeptOlHKDUHdbuB0nnxanzAjCJdWSI</v>
      </c>
      <c r="P25" s="3" t="s">
        <v>64</v>
      </c>
      <c r="Q25" s="8" t="s">
        <v>285</v>
      </c>
      <c r="R25" s="3" t="s">
        <v>66</v>
      </c>
      <c r="S25" s="8" t="s">
        <v>82</v>
      </c>
      <c r="T25" s="8" t="s">
        <v>83</v>
      </c>
      <c r="U25" s="8"/>
      <c r="V25" s="8"/>
      <c r="W25" s="8"/>
      <c r="X25" s="8"/>
      <c r="Y25" s="8"/>
      <c r="Z25" s="8"/>
      <c r="AA25" s="8"/>
      <c r="AB25" s="8"/>
      <c r="AC25" s="8"/>
      <c r="AD25" s="8"/>
      <c r="AE25" s="8"/>
      <c r="AF25" s="8"/>
      <c r="AG25" s="7"/>
      <c r="AH25" s="8"/>
      <c r="AI25" s="8"/>
      <c r="AJ25" s="8"/>
      <c r="AK25" s="8"/>
      <c r="AL25" s="8"/>
      <c r="AM25" s="8"/>
      <c r="AN25" s="8"/>
      <c r="AO25" s="8"/>
      <c r="AP25" s="8"/>
      <c r="AQ25" s="8"/>
      <c r="AR25" s="8"/>
      <c r="AS25" s="8"/>
      <c r="AT25" s="9" t="s">
        <v>286</v>
      </c>
      <c r="AU25" s="8" t="s">
        <v>85</v>
      </c>
      <c r="AV25" s="8"/>
      <c r="AW25" s="8"/>
      <c r="AX25" s="8"/>
      <c r="AY25" s="8"/>
      <c r="AZ25" s="8" t="s">
        <v>86</v>
      </c>
      <c r="BA25" s="8" t="s">
        <v>86</v>
      </c>
      <c r="BB25" s="8" t="s">
        <v>86</v>
      </c>
      <c r="BC25" s="8">
        <v>0.0</v>
      </c>
    </row>
    <row r="26">
      <c r="A26" s="3" t="s">
        <v>287</v>
      </c>
      <c r="B26" s="3" t="s">
        <v>288</v>
      </c>
      <c r="C26" s="3" t="s">
        <v>289</v>
      </c>
      <c r="D26" s="3" t="s">
        <v>288</v>
      </c>
      <c r="E26" s="3">
        <v>100000.0</v>
      </c>
      <c r="F26" s="3" t="s">
        <v>58</v>
      </c>
      <c r="G26" s="3" t="s">
        <v>290</v>
      </c>
      <c r="H26" s="5" t="s">
        <v>291</v>
      </c>
      <c r="I26" s="5" t="s">
        <v>292</v>
      </c>
      <c r="J26" s="3" t="s">
        <v>293</v>
      </c>
      <c r="K26" s="3">
        <v>9.358020149E9</v>
      </c>
      <c r="L26" s="6" t="s">
        <v>294</v>
      </c>
      <c r="M26" s="3"/>
      <c r="N26" s="3" t="str">
        <f t="shared" si="5"/>
        <v>Shri Durga Motors</v>
      </c>
      <c r="O26" s="3" t="str">
        <f t="shared" si="6"/>
        <v>1LnxzSZR-Hn1GFJEM91CqSDi8yQ1-11OqyVT04QUkFAM</v>
      </c>
      <c r="P26" s="3" t="s">
        <v>64</v>
      </c>
      <c r="Q26" s="8" t="s">
        <v>65</v>
      </c>
      <c r="R26" s="3" t="s">
        <v>66</v>
      </c>
      <c r="S26" s="8" t="s">
        <v>295</v>
      </c>
      <c r="T26" s="8" t="s">
        <v>83</v>
      </c>
      <c r="U26" s="8"/>
      <c r="V26" s="8"/>
      <c r="W26" s="8"/>
      <c r="X26" s="8"/>
      <c r="Y26" s="8"/>
      <c r="Z26" s="8"/>
      <c r="AA26" s="8"/>
      <c r="AB26" s="8"/>
      <c r="AC26" s="8"/>
      <c r="AD26" s="8"/>
      <c r="AE26" s="8"/>
      <c r="AF26" s="8"/>
      <c r="AG26" s="7"/>
      <c r="AH26" s="8"/>
      <c r="AI26" s="8"/>
      <c r="AJ26" s="8"/>
      <c r="AK26" s="8"/>
      <c r="AL26" s="8"/>
      <c r="AM26" s="8"/>
      <c r="AN26" s="8"/>
      <c r="AO26" s="8"/>
      <c r="AP26" s="8"/>
      <c r="AQ26" s="8"/>
      <c r="AR26" s="8"/>
      <c r="AS26" s="8"/>
      <c r="AT26" s="9" t="s">
        <v>296</v>
      </c>
      <c r="AU26" s="8" t="s">
        <v>85</v>
      </c>
      <c r="AV26" s="8"/>
      <c r="AW26" s="8"/>
      <c r="AX26" s="8"/>
      <c r="AY26" s="8"/>
      <c r="AZ26" s="8" t="s">
        <v>86</v>
      </c>
      <c r="BA26" s="8" t="s">
        <v>86</v>
      </c>
      <c r="BB26" s="8" t="s">
        <v>86</v>
      </c>
      <c r="BC26" s="8">
        <v>0.0</v>
      </c>
    </row>
    <row r="27">
      <c r="A27" s="3" t="s">
        <v>297</v>
      </c>
      <c r="B27" s="3" t="s">
        <v>298</v>
      </c>
      <c r="C27" s="3" t="s">
        <v>299</v>
      </c>
      <c r="D27" s="3" t="s">
        <v>298</v>
      </c>
      <c r="E27" s="3">
        <v>100000.0</v>
      </c>
      <c r="F27" s="3" t="s">
        <v>58</v>
      </c>
      <c r="G27" s="3" t="s">
        <v>300</v>
      </c>
      <c r="H27" s="5" t="s">
        <v>301</v>
      </c>
      <c r="I27" s="5" t="s">
        <v>302</v>
      </c>
      <c r="J27" s="3" t="s">
        <v>303</v>
      </c>
      <c r="K27" s="3">
        <v>9.89709885E9</v>
      </c>
      <c r="L27" s="6" t="s">
        <v>304</v>
      </c>
      <c r="M27" s="3"/>
      <c r="N27" s="3" t="str">
        <f t="shared" si="5"/>
        <v>Brij Biwheelers</v>
      </c>
      <c r="O27" s="3" t="str">
        <f t="shared" si="6"/>
        <v>1ytBGcO8tIze81xKkAa9lWDcflthsPL6SuADAXbhmuwA</v>
      </c>
      <c r="P27" s="3" t="s">
        <v>64</v>
      </c>
      <c r="Q27" s="8" t="s">
        <v>65</v>
      </c>
      <c r="R27" s="3" t="s">
        <v>66</v>
      </c>
      <c r="S27" s="8" t="s">
        <v>95</v>
      </c>
      <c r="T27" s="8" t="s">
        <v>83</v>
      </c>
      <c r="U27" s="8"/>
      <c r="V27" s="8"/>
      <c r="W27" s="8"/>
      <c r="X27" s="8"/>
      <c r="Y27" s="8"/>
      <c r="Z27" s="8"/>
      <c r="AA27" s="8"/>
      <c r="AB27" s="8"/>
      <c r="AC27" s="8"/>
      <c r="AD27" s="8"/>
      <c r="AE27" s="8"/>
      <c r="AF27" s="8"/>
      <c r="AG27" s="7"/>
      <c r="AH27" s="8"/>
      <c r="AI27" s="8"/>
      <c r="AJ27" s="8"/>
      <c r="AK27" s="8"/>
      <c r="AL27" s="8"/>
      <c r="AM27" s="8"/>
      <c r="AN27" s="8"/>
      <c r="AO27" s="8"/>
      <c r="AP27" s="8"/>
      <c r="AQ27" s="8"/>
      <c r="AR27" s="8"/>
      <c r="AS27" s="8"/>
      <c r="AT27" s="9" t="s">
        <v>305</v>
      </c>
      <c r="AU27" s="8" t="s">
        <v>85</v>
      </c>
      <c r="AV27" s="8"/>
      <c r="AW27" s="8"/>
      <c r="AX27" s="8"/>
      <c r="AY27" s="8"/>
      <c r="AZ27" s="8" t="s">
        <v>86</v>
      </c>
      <c r="BA27" s="8" t="s">
        <v>86</v>
      </c>
      <c r="BB27" s="8" t="s">
        <v>86</v>
      </c>
      <c r="BC27" s="8">
        <v>0.0</v>
      </c>
    </row>
    <row r="28">
      <c r="A28" s="3" t="s">
        <v>306</v>
      </c>
      <c r="B28" s="3" t="s">
        <v>307</v>
      </c>
      <c r="C28" s="3" t="s">
        <v>308</v>
      </c>
      <c r="D28" s="3" t="s">
        <v>307</v>
      </c>
      <c r="E28" s="3">
        <v>100000.0</v>
      </c>
      <c r="F28" s="3" t="s">
        <v>76</v>
      </c>
      <c r="G28" s="3" t="s">
        <v>309</v>
      </c>
      <c r="H28" s="5" t="s">
        <v>310</v>
      </c>
      <c r="I28" s="5" t="s">
        <v>311</v>
      </c>
      <c r="J28" s="3" t="s">
        <v>312</v>
      </c>
      <c r="K28" s="3">
        <v>9.278544039E9</v>
      </c>
      <c r="L28" s="6" t="s">
        <v>313</v>
      </c>
      <c r="M28" s="3"/>
      <c r="N28" s="3" t="str">
        <f t="shared" si="5"/>
        <v>Globe Agencies - Hapur</v>
      </c>
      <c r="O28" s="3" t="s">
        <v>73</v>
      </c>
      <c r="P28" s="3" t="s">
        <v>142</v>
      </c>
      <c r="Q28" s="8" t="s">
        <v>65</v>
      </c>
      <c r="R28" s="3" t="s">
        <v>66</v>
      </c>
      <c r="S28" s="8" t="s">
        <v>314</v>
      </c>
      <c r="T28" s="8" t="s">
        <v>83</v>
      </c>
      <c r="U28" s="8"/>
      <c r="V28" s="8"/>
      <c r="W28" s="8"/>
      <c r="X28" s="8"/>
      <c r="Y28" s="8"/>
      <c r="Z28" s="8"/>
      <c r="AA28" s="8"/>
      <c r="AB28" s="8"/>
      <c r="AC28" s="8"/>
      <c r="AD28" s="8"/>
      <c r="AE28" s="8"/>
      <c r="AF28" s="8"/>
      <c r="AG28" s="7"/>
      <c r="AH28" s="8"/>
      <c r="AI28" s="8"/>
      <c r="AJ28" s="8"/>
      <c r="AK28" s="8"/>
      <c r="AL28" s="8"/>
      <c r="AM28" s="8"/>
      <c r="AN28" s="8"/>
      <c r="AO28" s="8"/>
      <c r="AP28" s="8"/>
      <c r="AQ28" s="8"/>
      <c r="AR28" s="8"/>
      <c r="AS28" s="8"/>
      <c r="AT28" s="8"/>
      <c r="AU28" s="8" t="s">
        <v>85</v>
      </c>
      <c r="AV28" s="8"/>
      <c r="AW28" s="8"/>
      <c r="AX28" s="8"/>
      <c r="AY28" s="8"/>
      <c r="AZ28" s="8" t="s">
        <v>86</v>
      </c>
      <c r="BA28" s="8" t="s">
        <v>86</v>
      </c>
      <c r="BB28" s="8" t="s">
        <v>86</v>
      </c>
      <c r="BC28" s="8">
        <v>0.0</v>
      </c>
    </row>
    <row r="29">
      <c r="A29" s="3" t="s">
        <v>315</v>
      </c>
      <c r="B29" s="3" t="s">
        <v>316</v>
      </c>
      <c r="C29" s="3" t="s">
        <v>317</v>
      </c>
      <c r="D29" s="3" t="s">
        <v>318</v>
      </c>
      <c r="E29" s="3">
        <v>100000.0</v>
      </c>
      <c r="F29" s="3" t="s">
        <v>58</v>
      </c>
      <c r="G29" s="3" t="s">
        <v>319</v>
      </c>
      <c r="H29" s="5" t="s">
        <v>320</v>
      </c>
      <c r="I29" s="5" t="s">
        <v>321</v>
      </c>
      <c r="J29" s="3" t="s">
        <v>322</v>
      </c>
      <c r="K29" s="3">
        <v>9.3682412E9</v>
      </c>
      <c r="L29" s="6" t="s">
        <v>323</v>
      </c>
      <c r="M29" s="3"/>
      <c r="N29" s="3" t="str">
        <f>(B4)</f>
        <v>Jain Motorcycle Company</v>
      </c>
      <c r="O29" s="3" t="str">
        <f>(A4)</f>
        <v>184Y3L-ZLT7vcLiFDItIcLa-18phpzEbgBCBDgt_LGCQ</v>
      </c>
      <c r="P29" s="3" t="s">
        <v>142</v>
      </c>
      <c r="Q29" s="8" t="s">
        <v>65</v>
      </c>
      <c r="R29" s="3" t="s">
        <v>66</v>
      </c>
      <c r="S29" s="8" t="s">
        <v>95</v>
      </c>
      <c r="T29" s="8" t="s">
        <v>83</v>
      </c>
      <c r="U29" s="8"/>
      <c r="V29" s="8"/>
      <c r="W29" s="8"/>
      <c r="X29" s="8"/>
      <c r="Y29" s="8"/>
      <c r="Z29" s="8"/>
      <c r="AA29" s="8"/>
      <c r="AB29" s="8"/>
      <c r="AC29" s="8"/>
      <c r="AD29" s="8"/>
      <c r="AE29" s="8"/>
      <c r="AF29" s="8"/>
      <c r="AG29" s="7"/>
      <c r="AH29" s="8"/>
      <c r="AI29" s="8"/>
      <c r="AJ29" s="8"/>
      <c r="AK29" s="8"/>
      <c r="AL29" s="8"/>
      <c r="AM29" s="8"/>
      <c r="AN29" s="8"/>
      <c r="AO29" s="8"/>
      <c r="AP29" s="8"/>
      <c r="AQ29" s="8"/>
      <c r="AR29" s="8"/>
      <c r="AS29" s="8"/>
      <c r="AT29" s="8"/>
      <c r="AU29" s="8" t="s">
        <v>85</v>
      </c>
      <c r="AV29" s="8"/>
      <c r="AW29" s="8"/>
      <c r="AX29" s="8"/>
      <c r="AY29" s="8"/>
      <c r="AZ29" s="8" t="s">
        <v>72</v>
      </c>
      <c r="BA29" s="8" t="s">
        <v>86</v>
      </c>
      <c r="BB29" s="8" t="s">
        <v>86</v>
      </c>
      <c r="BC29" s="8">
        <v>0.0</v>
      </c>
    </row>
    <row r="30">
      <c r="A30" s="3" t="s">
        <v>324</v>
      </c>
      <c r="B30" s="3" t="s">
        <v>325</v>
      </c>
      <c r="C30" s="3" t="s">
        <v>326</v>
      </c>
      <c r="D30" s="3" t="s">
        <v>327</v>
      </c>
      <c r="E30" s="3">
        <v>100000.0</v>
      </c>
      <c r="F30" s="3" t="s">
        <v>58</v>
      </c>
      <c r="G30" s="3" t="s">
        <v>328</v>
      </c>
      <c r="H30" s="5" t="s">
        <v>329</v>
      </c>
      <c r="I30" s="5" t="s">
        <v>330</v>
      </c>
      <c r="J30" s="3" t="s">
        <v>331</v>
      </c>
      <c r="K30" s="3">
        <v>9.3682412E9</v>
      </c>
      <c r="L30" s="6" t="s">
        <v>332</v>
      </c>
      <c r="M30" s="3"/>
      <c r="N30" s="3" t="str">
        <f>(B4)</f>
        <v>Jain Motorcycle Company</v>
      </c>
      <c r="O30" s="3" t="str">
        <f>(A4)</f>
        <v>184Y3L-ZLT7vcLiFDItIcLa-18phpzEbgBCBDgt_LGCQ</v>
      </c>
      <c r="P30" s="3" t="s">
        <v>142</v>
      </c>
      <c r="Q30" s="8" t="s">
        <v>65</v>
      </c>
      <c r="R30" s="3" t="s">
        <v>66</v>
      </c>
      <c r="S30" s="8" t="s">
        <v>95</v>
      </c>
      <c r="T30" s="8" t="s">
        <v>83</v>
      </c>
      <c r="U30" s="8"/>
      <c r="V30" s="8"/>
      <c r="W30" s="8"/>
      <c r="X30" s="8"/>
      <c r="Y30" s="8"/>
      <c r="Z30" s="8"/>
      <c r="AA30" s="8"/>
      <c r="AB30" s="8"/>
      <c r="AC30" s="8"/>
      <c r="AD30" s="8"/>
      <c r="AE30" s="8"/>
      <c r="AF30" s="8"/>
      <c r="AG30" s="7"/>
      <c r="AH30" s="8"/>
      <c r="AI30" s="8"/>
      <c r="AJ30" s="8"/>
      <c r="AK30" s="8"/>
      <c r="AL30" s="8"/>
      <c r="AM30" s="8"/>
      <c r="AN30" s="8"/>
      <c r="AO30" s="8"/>
      <c r="AP30" s="8"/>
      <c r="AQ30" s="8"/>
      <c r="AR30" s="8"/>
      <c r="AS30" s="8"/>
      <c r="AT30" s="8"/>
      <c r="AU30" s="8" t="s">
        <v>85</v>
      </c>
      <c r="AV30" s="8"/>
      <c r="AW30" s="8"/>
      <c r="AX30" s="8"/>
      <c r="AY30" s="8"/>
      <c r="AZ30" s="8" t="s">
        <v>72</v>
      </c>
      <c r="BA30" s="8" t="s">
        <v>86</v>
      </c>
      <c r="BB30" s="8" t="s">
        <v>86</v>
      </c>
      <c r="BC30" s="8">
        <v>0.0</v>
      </c>
    </row>
    <row r="31">
      <c r="A31" s="3" t="s">
        <v>333</v>
      </c>
      <c r="B31" s="3" t="s">
        <v>334</v>
      </c>
      <c r="C31" s="3" t="s">
        <v>335</v>
      </c>
      <c r="D31" s="3" t="s">
        <v>336</v>
      </c>
      <c r="E31" s="3">
        <v>100000.0</v>
      </c>
      <c r="F31" s="3" t="s">
        <v>58</v>
      </c>
      <c r="G31" s="3" t="s">
        <v>337</v>
      </c>
      <c r="H31" s="5" t="s">
        <v>338</v>
      </c>
      <c r="I31" s="5" t="s">
        <v>339</v>
      </c>
      <c r="J31" s="3" t="s">
        <v>340</v>
      </c>
      <c r="K31" s="3">
        <v>9.3682412E9</v>
      </c>
      <c r="L31" s="6" t="s">
        <v>341</v>
      </c>
      <c r="M31" s="3"/>
      <c r="N31" s="3" t="str">
        <f>(B4)</f>
        <v>Jain Motorcycle Company</v>
      </c>
      <c r="O31" s="3" t="str">
        <f>(A4)</f>
        <v>184Y3L-ZLT7vcLiFDItIcLa-18phpzEbgBCBDgt_LGCQ</v>
      </c>
      <c r="P31" s="3" t="s">
        <v>142</v>
      </c>
      <c r="Q31" s="8" t="s">
        <v>65</v>
      </c>
      <c r="R31" s="3" t="s">
        <v>66</v>
      </c>
      <c r="S31" s="8" t="s">
        <v>95</v>
      </c>
      <c r="T31" s="8" t="s">
        <v>83</v>
      </c>
      <c r="U31" s="8"/>
      <c r="V31" s="8"/>
      <c r="W31" s="8"/>
      <c r="X31" s="8"/>
      <c r="Y31" s="8"/>
      <c r="Z31" s="8"/>
      <c r="AA31" s="8"/>
      <c r="AB31" s="8"/>
      <c r="AC31" s="8"/>
      <c r="AD31" s="8"/>
      <c r="AE31" s="8"/>
      <c r="AF31" s="8"/>
      <c r="AG31" s="7"/>
      <c r="AH31" s="8"/>
      <c r="AI31" s="8"/>
      <c r="AJ31" s="8"/>
      <c r="AK31" s="8"/>
      <c r="AL31" s="8"/>
      <c r="AM31" s="8"/>
      <c r="AN31" s="8"/>
      <c r="AO31" s="8"/>
      <c r="AP31" s="8"/>
      <c r="AQ31" s="8"/>
      <c r="AR31" s="8"/>
      <c r="AS31" s="8"/>
      <c r="AT31" s="8"/>
      <c r="AU31" s="8" t="s">
        <v>85</v>
      </c>
      <c r="AV31" s="8"/>
      <c r="AW31" s="8"/>
      <c r="AX31" s="8"/>
      <c r="AY31" s="8"/>
      <c r="AZ31" s="8" t="s">
        <v>72</v>
      </c>
      <c r="BA31" s="8" t="s">
        <v>86</v>
      </c>
      <c r="BB31" s="8" t="s">
        <v>86</v>
      </c>
      <c r="BC31" s="8">
        <v>0.0</v>
      </c>
    </row>
    <row r="32">
      <c r="A32" s="3" t="s">
        <v>342</v>
      </c>
      <c r="B32" s="3" t="s">
        <v>343</v>
      </c>
      <c r="C32" s="3" t="s">
        <v>344</v>
      </c>
      <c r="D32" s="3" t="s">
        <v>345</v>
      </c>
      <c r="E32" s="3">
        <v>100000.0</v>
      </c>
      <c r="F32" s="3" t="s">
        <v>58</v>
      </c>
      <c r="G32" s="3" t="s">
        <v>346</v>
      </c>
      <c r="H32" s="5" t="s">
        <v>347</v>
      </c>
      <c r="I32" s="5" t="s">
        <v>348</v>
      </c>
      <c r="J32" s="3" t="s">
        <v>349</v>
      </c>
      <c r="K32" s="3">
        <v>9.3682412E9</v>
      </c>
      <c r="L32" s="6" t="s">
        <v>350</v>
      </c>
      <c r="M32" s="3"/>
      <c r="N32" s="3" t="str">
        <f>(B4)</f>
        <v>Jain Motorcycle Company</v>
      </c>
      <c r="O32" s="3" t="str">
        <f>(A4)</f>
        <v>184Y3L-ZLT7vcLiFDItIcLa-18phpzEbgBCBDgt_LGCQ</v>
      </c>
      <c r="P32" s="3" t="s">
        <v>142</v>
      </c>
      <c r="Q32" s="8" t="s">
        <v>65</v>
      </c>
      <c r="R32" s="3" t="s">
        <v>66</v>
      </c>
      <c r="S32" s="8" t="s">
        <v>95</v>
      </c>
      <c r="T32" s="8" t="s">
        <v>83</v>
      </c>
      <c r="U32" s="8"/>
      <c r="V32" s="8"/>
      <c r="W32" s="8"/>
      <c r="X32" s="8"/>
      <c r="Y32" s="8"/>
      <c r="Z32" s="8"/>
      <c r="AA32" s="8"/>
      <c r="AB32" s="8"/>
      <c r="AC32" s="8"/>
      <c r="AD32" s="8"/>
      <c r="AE32" s="8"/>
      <c r="AF32" s="8"/>
      <c r="AG32" s="7"/>
      <c r="AH32" s="8"/>
      <c r="AI32" s="8"/>
      <c r="AJ32" s="8"/>
      <c r="AK32" s="8"/>
      <c r="AL32" s="8"/>
      <c r="AM32" s="8"/>
      <c r="AN32" s="8"/>
      <c r="AO32" s="8"/>
      <c r="AP32" s="8"/>
      <c r="AQ32" s="8"/>
      <c r="AR32" s="8"/>
      <c r="AS32" s="8"/>
      <c r="AT32" s="8"/>
      <c r="AU32" s="8" t="s">
        <v>85</v>
      </c>
      <c r="AV32" s="8"/>
      <c r="AW32" s="8"/>
      <c r="AX32" s="8"/>
      <c r="AY32" s="8"/>
      <c r="AZ32" s="8" t="s">
        <v>72</v>
      </c>
      <c r="BA32" s="8" t="s">
        <v>86</v>
      </c>
      <c r="BB32" s="8" t="s">
        <v>86</v>
      </c>
      <c r="BC32" s="8">
        <v>0.0</v>
      </c>
    </row>
    <row r="33">
      <c r="A33" s="3" t="s">
        <v>351</v>
      </c>
      <c r="B33" s="3" t="s">
        <v>352</v>
      </c>
      <c r="C33" s="3" t="s">
        <v>353</v>
      </c>
      <c r="D33" s="3" t="s">
        <v>354</v>
      </c>
      <c r="E33" s="3">
        <v>100000.0</v>
      </c>
      <c r="F33" s="3" t="s">
        <v>58</v>
      </c>
      <c r="G33" s="3" t="s">
        <v>355</v>
      </c>
      <c r="H33" s="5" t="s">
        <v>356</v>
      </c>
      <c r="I33" s="5" t="s">
        <v>357</v>
      </c>
      <c r="J33" s="3" t="s">
        <v>358</v>
      </c>
      <c r="K33" s="3">
        <v>9.3682412E9</v>
      </c>
      <c r="L33" s="6" t="s">
        <v>359</v>
      </c>
      <c r="M33" s="3"/>
      <c r="N33" s="3" t="str">
        <f>(B4)</f>
        <v>Jain Motorcycle Company</v>
      </c>
      <c r="O33" s="3" t="str">
        <f>(A4)</f>
        <v>184Y3L-ZLT7vcLiFDItIcLa-18phpzEbgBCBDgt_LGCQ</v>
      </c>
      <c r="P33" s="3" t="s">
        <v>142</v>
      </c>
      <c r="Q33" s="8" t="s">
        <v>65</v>
      </c>
      <c r="R33" s="3" t="s">
        <v>66</v>
      </c>
      <c r="S33" s="8" t="s">
        <v>95</v>
      </c>
      <c r="T33" s="8" t="s">
        <v>83</v>
      </c>
      <c r="U33" s="8"/>
      <c r="V33" s="8"/>
      <c r="W33" s="8"/>
      <c r="X33" s="8"/>
      <c r="Y33" s="8"/>
      <c r="Z33" s="8"/>
      <c r="AA33" s="8"/>
      <c r="AB33" s="8"/>
      <c r="AC33" s="8"/>
      <c r="AD33" s="8"/>
      <c r="AE33" s="8"/>
      <c r="AF33" s="8"/>
      <c r="AG33" s="7"/>
      <c r="AH33" s="8"/>
      <c r="AI33" s="8"/>
      <c r="AJ33" s="8"/>
      <c r="AK33" s="8"/>
      <c r="AL33" s="8"/>
      <c r="AM33" s="8"/>
      <c r="AN33" s="8"/>
      <c r="AO33" s="8"/>
      <c r="AP33" s="8"/>
      <c r="AQ33" s="8"/>
      <c r="AR33" s="8"/>
      <c r="AS33" s="8"/>
      <c r="AT33" s="8"/>
      <c r="AU33" s="8" t="s">
        <v>85</v>
      </c>
      <c r="AV33" s="8"/>
      <c r="AW33" s="8"/>
      <c r="AX33" s="8"/>
      <c r="AY33" s="8"/>
      <c r="AZ33" s="8" t="s">
        <v>72</v>
      </c>
      <c r="BA33" s="8" t="s">
        <v>86</v>
      </c>
      <c r="BB33" s="8" t="s">
        <v>86</v>
      </c>
      <c r="BC33" s="8">
        <v>0.0</v>
      </c>
    </row>
    <row r="34">
      <c r="A34" s="3" t="s">
        <v>360</v>
      </c>
      <c r="B34" s="3" t="s">
        <v>361</v>
      </c>
      <c r="C34" s="3" t="s">
        <v>362</v>
      </c>
      <c r="D34" s="3" t="s">
        <v>363</v>
      </c>
      <c r="E34" s="3">
        <v>100000.0</v>
      </c>
      <c r="F34" s="3" t="s">
        <v>58</v>
      </c>
      <c r="G34" s="3" t="s">
        <v>364</v>
      </c>
      <c r="H34" s="5" t="s">
        <v>365</v>
      </c>
      <c r="I34" s="5" t="s">
        <v>366</v>
      </c>
      <c r="J34" s="3" t="s">
        <v>367</v>
      </c>
      <c r="K34" s="3">
        <v>9.3682412E9</v>
      </c>
      <c r="L34" s="6" t="s">
        <v>368</v>
      </c>
      <c r="M34" s="3"/>
      <c r="N34" s="3" t="str">
        <f>(B4)</f>
        <v>Jain Motorcycle Company</v>
      </c>
      <c r="O34" s="3" t="str">
        <f>(A4)</f>
        <v>184Y3L-ZLT7vcLiFDItIcLa-18phpzEbgBCBDgt_LGCQ</v>
      </c>
      <c r="P34" s="3" t="s">
        <v>142</v>
      </c>
      <c r="Q34" s="8" t="s">
        <v>65</v>
      </c>
      <c r="R34" s="3" t="s">
        <v>66</v>
      </c>
      <c r="S34" s="8" t="s">
        <v>95</v>
      </c>
      <c r="T34" s="8" t="s">
        <v>83</v>
      </c>
      <c r="U34" s="8"/>
      <c r="V34" s="8"/>
      <c r="W34" s="8"/>
      <c r="X34" s="8"/>
      <c r="Y34" s="8"/>
      <c r="Z34" s="8"/>
      <c r="AA34" s="8"/>
      <c r="AB34" s="8"/>
      <c r="AC34" s="8"/>
      <c r="AD34" s="8"/>
      <c r="AE34" s="8"/>
      <c r="AF34" s="8"/>
      <c r="AG34" s="7"/>
      <c r="AH34" s="8"/>
      <c r="AI34" s="8"/>
      <c r="AJ34" s="8"/>
      <c r="AK34" s="8"/>
      <c r="AL34" s="8"/>
      <c r="AM34" s="8"/>
      <c r="AN34" s="8"/>
      <c r="AO34" s="8"/>
      <c r="AP34" s="8"/>
      <c r="AQ34" s="8"/>
      <c r="AR34" s="8"/>
      <c r="AS34" s="8"/>
      <c r="AT34" s="8"/>
      <c r="AU34" s="8" t="s">
        <v>85</v>
      </c>
      <c r="AV34" s="8"/>
      <c r="AW34" s="8"/>
      <c r="AX34" s="8"/>
      <c r="AY34" s="8"/>
      <c r="AZ34" s="8" t="s">
        <v>72</v>
      </c>
      <c r="BA34" s="8" t="s">
        <v>86</v>
      </c>
      <c r="BB34" s="8" t="s">
        <v>86</v>
      </c>
      <c r="BC34" s="8">
        <v>0.0</v>
      </c>
    </row>
    <row r="35">
      <c r="A35" s="3" t="s">
        <v>369</v>
      </c>
      <c r="B35" s="3" t="s">
        <v>370</v>
      </c>
      <c r="C35" s="3" t="s">
        <v>371</v>
      </c>
      <c r="D35" s="3" t="s">
        <v>372</v>
      </c>
      <c r="E35" s="3">
        <v>100000.0</v>
      </c>
      <c r="F35" s="3" t="s">
        <v>76</v>
      </c>
      <c r="G35" s="3" t="s">
        <v>373</v>
      </c>
      <c r="H35" s="5" t="s">
        <v>374</v>
      </c>
      <c r="I35" s="5" t="s">
        <v>375</v>
      </c>
      <c r="J35" s="3" t="s">
        <v>376</v>
      </c>
      <c r="K35" s="3">
        <v>9.654530523E9</v>
      </c>
      <c r="L35" s="6" t="s">
        <v>377</v>
      </c>
      <c r="M35" s="3"/>
      <c r="N35" s="3" t="str">
        <f t="shared" ref="N35:N36" si="7">B35</f>
        <v>SK financial services (MPS)</v>
      </c>
      <c r="O35" s="3" t="str">
        <f t="shared" ref="O35:O36" si="8">(A35)</f>
        <v>1eZlt3K2rssS_3hpp5DKow70BJWa_wksndc0ag7yiUs4</v>
      </c>
      <c r="P35" s="3" t="s">
        <v>64</v>
      </c>
      <c r="Q35" s="8" t="s">
        <v>65</v>
      </c>
      <c r="R35" s="3" t="s">
        <v>66</v>
      </c>
      <c r="S35" s="8" t="s">
        <v>378</v>
      </c>
      <c r="T35" s="8" t="s">
        <v>83</v>
      </c>
      <c r="U35" s="8"/>
      <c r="V35" s="8"/>
      <c r="W35" s="8"/>
      <c r="X35" s="8"/>
      <c r="Y35" s="8"/>
      <c r="Z35" s="8"/>
      <c r="AA35" s="8"/>
      <c r="AB35" s="8"/>
      <c r="AC35" s="8"/>
      <c r="AD35" s="8"/>
      <c r="AE35" s="8"/>
      <c r="AF35" s="8"/>
      <c r="AG35" s="7"/>
      <c r="AH35" s="8"/>
      <c r="AI35" s="8"/>
      <c r="AJ35" s="8"/>
      <c r="AK35" s="8"/>
      <c r="AL35" s="8"/>
      <c r="AM35" s="8"/>
      <c r="AN35" s="8"/>
      <c r="AO35" s="8"/>
      <c r="AP35" s="8"/>
      <c r="AQ35" s="8"/>
      <c r="AR35" s="8"/>
      <c r="AS35" s="8"/>
      <c r="AT35" s="9" t="s">
        <v>379</v>
      </c>
      <c r="AU35" s="8" t="s">
        <v>69</v>
      </c>
      <c r="AV35" s="8"/>
      <c r="AW35" s="8"/>
      <c r="AX35" s="8"/>
      <c r="AY35" s="8"/>
      <c r="AZ35" s="8" t="s">
        <v>86</v>
      </c>
      <c r="BA35" s="8" t="s">
        <v>86</v>
      </c>
      <c r="BB35" s="8" t="s">
        <v>86</v>
      </c>
      <c r="BC35" s="8">
        <v>0.0</v>
      </c>
    </row>
    <row r="36">
      <c r="A36" s="3" t="s">
        <v>380</v>
      </c>
      <c r="B36" s="3" t="s">
        <v>381</v>
      </c>
      <c r="C36" s="3" t="s">
        <v>382</v>
      </c>
      <c r="D36" s="3" t="s">
        <v>383</v>
      </c>
      <c r="E36" s="3">
        <v>100000.0</v>
      </c>
      <c r="F36" s="3" t="s">
        <v>58</v>
      </c>
      <c r="G36" s="3" t="s">
        <v>384</v>
      </c>
      <c r="H36" s="5" t="s">
        <v>385</v>
      </c>
      <c r="I36" s="5" t="s">
        <v>386</v>
      </c>
      <c r="J36" s="3" t="s">
        <v>387</v>
      </c>
      <c r="K36" s="3">
        <v>9.871300958E9</v>
      </c>
      <c r="L36" s="6" t="s">
        <v>388</v>
      </c>
      <c r="M36" s="3"/>
      <c r="N36" s="3" t="str">
        <f t="shared" si="7"/>
        <v>AAA</v>
      </c>
      <c r="O36" s="3" t="str">
        <f t="shared" si="8"/>
        <v>1AjVyIHPgPw3jscNmkTH1qzR2RokK5FZaJLjeNfOiYAA</v>
      </c>
      <c r="P36" s="3" t="s">
        <v>64</v>
      </c>
      <c r="Q36" s="8" t="s">
        <v>65</v>
      </c>
      <c r="R36" s="3" t="s">
        <v>66</v>
      </c>
      <c r="S36" s="8" t="s">
        <v>123</v>
      </c>
      <c r="T36" s="8" t="s">
        <v>83</v>
      </c>
      <c r="U36" s="8"/>
      <c r="V36" s="8"/>
      <c r="W36" s="8"/>
      <c r="X36" s="8"/>
      <c r="Y36" s="8"/>
      <c r="Z36" s="8"/>
      <c r="AA36" s="8"/>
      <c r="AB36" s="8"/>
      <c r="AC36" s="8"/>
      <c r="AD36" s="8"/>
      <c r="AE36" s="8"/>
      <c r="AF36" s="8"/>
      <c r="AG36" s="7"/>
      <c r="AH36" s="8"/>
      <c r="AI36" s="8"/>
      <c r="AJ36" s="8"/>
      <c r="AK36" s="8"/>
      <c r="AL36" s="8"/>
      <c r="AM36" s="8"/>
      <c r="AN36" s="8"/>
      <c r="AO36" s="8"/>
      <c r="AP36" s="8"/>
      <c r="AQ36" s="8"/>
      <c r="AR36" s="8"/>
      <c r="AS36" s="8"/>
      <c r="AT36" s="9" t="s">
        <v>389</v>
      </c>
      <c r="AU36" s="8" t="s">
        <v>85</v>
      </c>
      <c r="AV36" s="8"/>
      <c r="AW36" s="8"/>
      <c r="AX36" s="8"/>
      <c r="AY36" s="8"/>
      <c r="AZ36" s="8" t="s">
        <v>86</v>
      </c>
      <c r="BA36" s="8" t="s">
        <v>86</v>
      </c>
      <c r="BB36" s="8" t="s">
        <v>86</v>
      </c>
      <c r="BC36" s="8">
        <v>0.0</v>
      </c>
    </row>
    <row r="37">
      <c r="A37" s="3" t="s">
        <v>390</v>
      </c>
      <c r="B37" s="3" t="s">
        <v>391</v>
      </c>
      <c r="C37" s="3" t="s">
        <v>392</v>
      </c>
      <c r="D37" s="3" t="s">
        <v>393</v>
      </c>
      <c r="E37" s="3">
        <v>100000.0</v>
      </c>
      <c r="F37" s="3" t="s">
        <v>76</v>
      </c>
      <c r="G37" s="3" t="s">
        <v>394</v>
      </c>
      <c r="H37" s="5" t="s">
        <v>395</v>
      </c>
      <c r="I37" s="5" t="s">
        <v>396</v>
      </c>
      <c r="J37" s="3" t="s">
        <v>397</v>
      </c>
      <c r="K37" s="3">
        <v>7.455002895E9</v>
      </c>
      <c r="L37" s="6" t="s">
        <v>398</v>
      </c>
      <c r="M37" s="3"/>
      <c r="N37" s="3" t="str">
        <f>(B27)</f>
        <v>Brij Biwheelers</v>
      </c>
      <c r="O37" s="3" t="str">
        <f>(A27)</f>
        <v>1ytBGcO8tIze81xKkAa9lWDcflthsPL6SuADAXbhmuwA</v>
      </c>
      <c r="P37" s="3" t="s">
        <v>142</v>
      </c>
      <c r="Q37" s="8" t="s">
        <v>65</v>
      </c>
      <c r="R37" s="3" t="s">
        <v>66</v>
      </c>
      <c r="S37" s="8" t="s">
        <v>95</v>
      </c>
      <c r="T37" s="8" t="s">
        <v>83</v>
      </c>
      <c r="U37" s="8"/>
      <c r="V37" s="8"/>
      <c r="W37" s="8"/>
      <c r="X37" s="8"/>
      <c r="Y37" s="8"/>
      <c r="Z37" s="8"/>
      <c r="AA37" s="8"/>
      <c r="AB37" s="8"/>
      <c r="AC37" s="8"/>
      <c r="AD37" s="8"/>
      <c r="AE37" s="8"/>
      <c r="AF37" s="8"/>
      <c r="AG37" s="7"/>
      <c r="AH37" s="8"/>
      <c r="AI37" s="8"/>
      <c r="AJ37" s="8"/>
      <c r="AK37" s="8"/>
      <c r="AL37" s="8"/>
      <c r="AM37" s="8"/>
      <c r="AN37" s="8"/>
      <c r="AO37" s="8"/>
      <c r="AP37" s="8"/>
      <c r="AQ37" s="8"/>
      <c r="AR37" s="8"/>
      <c r="AS37" s="8"/>
      <c r="AT37" s="8"/>
      <c r="AU37" s="8" t="s">
        <v>85</v>
      </c>
      <c r="AV37" s="8"/>
      <c r="AW37" s="8"/>
      <c r="AX37" s="8"/>
      <c r="AY37" s="8"/>
      <c r="AZ37" s="8" t="s">
        <v>86</v>
      </c>
      <c r="BA37" s="8" t="s">
        <v>86</v>
      </c>
      <c r="BB37" s="8" t="s">
        <v>86</v>
      </c>
      <c r="BC37" s="8">
        <v>0.0</v>
      </c>
    </row>
    <row r="38">
      <c r="A38" s="3" t="s">
        <v>399</v>
      </c>
      <c r="B38" s="3" t="s">
        <v>400</v>
      </c>
      <c r="C38" s="3" t="s">
        <v>401</v>
      </c>
      <c r="D38" s="3" t="s">
        <v>402</v>
      </c>
      <c r="E38" s="3">
        <v>100000.0</v>
      </c>
      <c r="F38" s="3" t="s">
        <v>76</v>
      </c>
      <c r="G38" s="3" t="s">
        <v>403</v>
      </c>
      <c r="H38" s="5" t="s">
        <v>404</v>
      </c>
      <c r="I38" s="5" t="s">
        <v>405</v>
      </c>
      <c r="J38" s="3" t="s">
        <v>406</v>
      </c>
      <c r="K38" s="3">
        <v>7.455002895E9</v>
      </c>
      <c r="L38" s="6" t="s">
        <v>407</v>
      </c>
      <c r="M38" s="3"/>
      <c r="N38" s="3" t="str">
        <f>(B27)</f>
        <v>Brij Biwheelers</v>
      </c>
      <c r="O38" s="3" t="str">
        <f>(A27)</f>
        <v>1ytBGcO8tIze81xKkAa9lWDcflthsPL6SuADAXbhmuwA</v>
      </c>
      <c r="P38" s="3" t="s">
        <v>142</v>
      </c>
      <c r="Q38" s="8" t="s">
        <v>65</v>
      </c>
      <c r="R38" s="3" t="s">
        <v>66</v>
      </c>
      <c r="S38" s="8" t="s">
        <v>95</v>
      </c>
      <c r="T38" s="8" t="s">
        <v>83</v>
      </c>
      <c r="U38" s="8"/>
      <c r="V38" s="8"/>
      <c r="W38" s="8"/>
      <c r="X38" s="8"/>
      <c r="Y38" s="8"/>
      <c r="Z38" s="8"/>
      <c r="AA38" s="8"/>
      <c r="AB38" s="8"/>
      <c r="AC38" s="8"/>
      <c r="AD38" s="8"/>
      <c r="AE38" s="8"/>
      <c r="AF38" s="8"/>
      <c r="AG38" s="7"/>
      <c r="AH38" s="8"/>
      <c r="AI38" s="8"/>
      <c r="AJ38" s="8"/>
      <c r="AK38" s="8"/>
      <c r="AL38" s="8"/>
      <c r="AM38" s="8"/>
      <c r="AN38" s="8"/>
      <c r="AO38" s="8"/>
      <c r="AP38" s="8"/>
      <c r="AQ38" s="8"/>
      <c r="AR38" s="8"/>
      <c r="AS38" s="8"/>
      <c r="AT38" s="8"/>
      <c r="AU38" s="8" t="s">
        <v>85</v>
      </c>
      <c r="AV38" s="8"/>
      <c r="AW38" s="8"/>
      <c r="AX38" s="8"/>
      <c r="AY38" s="8"/>
      <c r="AZ38" s="8" t="s">
        <v>86</v>
      </c>
      <c r="BA38" s="8" t="s">
        <v>86</v>
      </c>
      <c r="BB38" s="8" t="s">
        <v>86</v>
      </c>
      <c r="BC38" s="8">
        <v>0.0</v>
      </c>
    </row>
    <row r="39">
      <c r="A39" s="3" t="s">
        <v>408</v>
      </c>
      <c r="B39" s="3" t="s">
        <v>409</v>
      </c>
      <c r="C39" s="3" t="s">
        <v>410</v>
      </c>
      <c r="D39" s="3" t="s">
        <v>411</v>
      </c>
      <c r="E39" s="3">
        <v>100000.0</v>
      </c>
      <c r="F39" s="3" t="s">
        <v>76</v>
      </c>
      <c r="G39" s="3" t="s">
        <v>412</v>
      </c>
      <c r="H39" s="5" t="s">
        <v>413</v>
      </c>
      <c r="I39" s="5" t="s">
        <v>414</v>
      </c>
      <c r="J39" s="3" t="s">
        <v>415</v>
      </c>
      <c r="K39" s="3">
        <v>7.455002895E9</v>
      </c>
      <c r="L39" s="6" t="s">
        <v>416</v>
      </c>
      <c r="M39" s="3"/>
      <c r="N39" s="3" t="str">
        <f>(B27)</f>
        <v>Brij Biwheelers</v>
      </c>
      <c r="O39" s="3" t="str">
        <f>(A27)</f>
        <v>1ytBGcO8tIze81xKkAa9lWDcflthsPL6SuADAXbhmuwA</v>
      </c>
      <c r="P39" s="3" t="s">
        <v>142</v>
      </c>
      <c r="Q39" s="8" t="s">
        <v>65</v>
      </c>
      <c r="R39" s="3" t="s">
        <v>66</v>
      </c>
      <c r="S39" s="8" t="s">
        <v>95</v>
      </c>
      <c r="T39" s="8" t="s">
        <v>83</v>
      </c>
      <c r="U39" s="8"/>
      <c r="V39" s="8"/>
      <c r="W39" s="8"/>
      <c r="X39" s="8"/>
      <c r="Y39" s="8"/>
      <c r="Z39" s="8"/>
      <c r="AA39" s="8"/>
      <c r="AB39" s="8"/>
      <c r="AC39" s="8"/>
      <c r="AD39" s="8"/>
      <c r="AE39" s="8"/>
      <c r="AF39" s="8"/>
      <c r="AG39" s="7"/>
      <c r="AH39" s="8"/>
      <c r="AI39" s="8"/>
      <c r="AJ39" s="8"/>
      <c r="AK39" s="8"/>
      <c r="AL39" s="8"/>
      <c r="AM39" s="8"/>
      <c r="AN39" s="8"/>
      <c r="AO39" s="8"/>
      <c r="AP39" s="8"/>
      <c r="AQ39" s="8"/>
      <c r="AR39" s="8"/>
      <c r="AS39" s="8"/>
      <c r="AT39" s="8"/>
      <c r="AU39" s="8" t="s">
        <v>85</v>
      </c>
      <c r="AV39" s="8"/>
      <c r="AW39" s="8"/>
      <c r="AX39" s="8"/>
      <c r="AY39" s="8"/>
      <c r="AZ39" s="8" t="s">
        <v>86</v>
      </c>
      <c r="BA39" s="8" t="s">
        <v>86</v>
      </c>
      <c r="BB39" s="8" t="s">
        <v>86</v>
      </c>
      <c r="BC39" s="8">
        <v>0.0</v>
      </c>
    </row>
    <row r="40">
      <c r="A40" s="3" t="s">
        <v>417</v>
      </c>
      <c r="B40" s="3" t="s">
        <v>418</v>
      </c>
      <c r="C40" s="3" t="s">
        <v>419</v>
      </c>
      <c r="D40" s="3" t="s">
        <v>420</v>
      </c>
      <c r="E40" s="3">
        <v>100000.0</v>
      </c>
      <c r="F40" s="3" t="s">
        <v>76</v>
      </c>
      <c r="G40" s="3" t="s">
        <v>421</v>
      </c>
      <c r="H40" s="5" t="s">
        <v>422</v>
      </c>
      <c r="I40" s="5" t="s">
        <v>423</v>
      </c>
      <c r="J40" s="3" t="s">
        <v>424</v>
      </c>
      <c r="K40" s="3">
        <v>7.455002895E9</v>
      </c>
      <c r="L40" s="6" t="s">
        <v>425</v>
      </c>
      <c r="M40" s="3"/>
      <c r="N40" s="3" t="str">
        <f>(B27)</f>
        <v>Brij Biwheelers</v>
      </c>
      <c r="O40" s="3" t="str">
        <f>(A27)</f>
        <v>1ytBGcO8tIze81xKkAa9lWDcflthsPL6SuADAXbhmuwA</v>
      </c>
      <c r="P40" s="3" t="s">
        <v>142</v>
      </c>
      <c r="Q40" s="8" t="s">
        <v>65</v>
      </c>
      <c r="R40" s="3" t="s">
        <v>66</v>
      </c>
      <c r="S40" s="8" t="s">
        <v>95</v>
      </c>
      <c r="T40" s="8" t="s">
        <v>83</v>
      </c>
      <c r="U40" s="8"/>
      <c r="V40" s="8"/>
      <c r="W40" s="8"/>
      <c r="X40" s="8"/>
      <c r="Y40" s="8"/>
      <c r="Z40" s="8"/>
      <c r="AA40" s="8"/>
      <c r="AB40" s="8"/>
      <c r="AC40" s="8"/>
      <c r="AD40" s="8"/>
      <c r="AE40" s="8"/>
      <c r="AF40" s="8"/>
      <c r="AG40" s="7"/>
      <c r="AH40" s="8"/>
      <c r="AI40" s="8"/>
      <c r="AJ40" s="8"/>
      <c r="AK40" s="8"/>
      <c r="AL40" s="8"/>
      <c r="AM40" s="8"/>
      <c r="AN40" s="8"/>
      <c r="AO40" s="8"/>
      <c r="AP40" s="8"/>
      <c r="AQ40" s="8"/>
      <c r="AR40" s="8"/>
      <c r="AS40" s="8"/>
      <c r="AT40" s="8"/>
      <c r="AU40" s="8" t="s">
        <v>85</v>
      </c>
      <c r="AV40" s="8"/>
      <c r="AW40" s="8"/>
      <c r="AX40" s="8"/>
      <c r="AY40" s="8"/>
      <c r="AZ40" s="8" t="s">
        <v>86</v>
      </c>
      <c r="BA40" s="8" t="s">
        <v>86</v>
      </c>
      <c r="BB40" s="8" t="s">
        <v>86</v>
      </c>
      <c r="BC40" s="8">
        <v>0.0</v>
      </c>
    </row>
    <row r="41">
      <c r="A41" s="3" t="s">
        <v>426</v>
      </c>
      <c r="B41" s="3" t="s">
        <v>427</v>
      </c>
      <c r="C41" s="3" t="s">
        <v>428</v>
      </c>
      <c r="D41" s="3" t="s">
        <v>429</v>
      </c>
      <c r="E41" s="3">
        <v>100000.0</v>
      </c>
      <c r="F41" s="3" t="s">
        <v>76</v>
      </c>
      <c r="G41" s="3" t="s">
        <v>430</v>
      </c>
      <c r="H41" s="5" t="s">
        <v>431</v>
      </c>
      <c r="I41" s="5" t="s">
        <v>432</v>
      </c>
      <c r="J41" s="3" t="s">
        <v>433</v>
      </c>
      <c r="K41" s="3">
        <v>7.455002895E9</v>
      </c>
      <c r="L41" s="6" t="s">
        <v>434</v>
      </c>
      <c r="M41" s="3"/>
      <c r="N41" s="3" t="str">
        <f>(B27)</f>
        <v>Brij Biwheelers</v>
      </c>
      <c r="O41" s="3" t="str">
        <f>(A27)</f>
        <v>1ytBGcO8tIze81xKkAa9lWDcflthsPL6SuADAXbhmuwA</v>
      </c>
      <c r="P41" s="3" t="s">
        <v>142</v>
      </c>
      <c r="Q41" s="8" t="s">
        <v>65</v>
      </c>
      <c r="R41" s="3" t="s">
        <v>66</v>
      </c>
      <c r="S41" s="8" t="s">
        <v>95</v>
      </c>
      <c r="T41" s="8" t="s">
        <v>83</v>
      </c>
      <c r="U41" s="8"/>
      <c r="V41" s="8"/>
      <c r="W41" s="8"/>
      <c r="X41" s="8"/>
      <c r="Y41" s="8"/>
      <c r="Z41" s="8"/>
      <c r="AA41" s="8"/>
      <c r="AB41" s="8"/>
      <c r="AC41" s="8"/>
      <c r="AD41" s="8"/>
      <c r="AE41" s="8"/>
      <c r="AF41" s="8"/>
      <c r="AG41" s="7"/>
      <c r="AH41" s="8"/>
      <c r="AI41" s="8"/>
      <c r="AJ41" s="8"/>
      <c r="AK41" s="8"/>
      <c r="AL41" s="8"/>
      <c r="AM41" s="8"/>
      <c r="AN41" s="8"/>
      <c r="AO41" s="8"/>
      <c r="AP41" s="8"/>
      <c r="AQ41" s="8"/>
      <c r="AR41" s="8"/>
      <c r="AS41" s="8"/>
      <c r="AT41" s="8"/>
      <c r="AU41" s="8" t="s">
        <v>85</v>
      </c>
      <c r="AV41" s="8"/>
      <c r="AW41" s="8"/>
      <c r="AX41" s="8"/>
      <c r="AY41" s="8"/>
      <c r="AZ41" s="8" t="s">
        <v>86</v>
      </c>
      <c r="BA41" s="8" t="s">
        <v>86</v>
      </c>
      <c r="BB41" s="8" t="s">
        <v>86</v>
      </c>
      <c r="BC41" s="8">
        <v>0.0</v>
      </c>
    </row>
    <row r="42">
      <c r="A42" s="3" t="s">
        <v>435</v>
      </c>
      <c r="B42" s="3" t="s">
        <v>436</v>
      </c>
      <c r="C42" s="3" t="s">
        <v>437</v>
      </c>
      <c r="D42" s="3" t="s">
        <v>438</v>
      </c>
      <c r="E42" s="3">
        <v>100000.0</v>
      </c>
      <c r="F42" s="3" t="s">
        <v>76</v>
      </c>
      <c r="G42" s="3" t="s">
        <v>439</v>
      </c>
      <c r="H42" s="5" t="s">
        <v>440</v>
      </c>
      <c r="I42" s="5" t="s">
        <v>441</v>
      </c>
      <c r="J42" s="3" t="s">
        <v>442</v>
      </c>
      <c r="K42" s="3">
        <v>7.455002895E9</v>
      </c>
      <c r="L42" s="6" t="s">
        <v>443</v>
      </c>
      <c r="M42" s="3"/>
      <c r="N42" s="3" t="str">
        <f>(B27)</f>
        <v>Brij Biwheelers</v>
      </c>
      <c r="O42" s="3" t="str">
        <f>(A27)</f>
        <v>1ytBGcO8tIze81xKkAa9lWDcflthsPL6SuADAXbhmuwA</v>
      </c>
      <c r="P42" s="3" t="s">
        <v>142</v>
      </c>
      <c r="Q42" s="8" t="s">
        <v>65</v>
      </c>
      <c r="R42" s="3" t="s">
        <v>66</v>
      </c>
      <c r="S42" s="8" t="s">
        <v>95</v>
      </c>
      <c r="T42" s="8" t="s">
        <v>83</v>
      </c>
      <c r="U42" s="8"/>
      <c r="V42" s="8"/>
      <c r="W42" s="8"/>
      <c r="X42" s="8"/>
      <c r="Y42" s="8"/>
      <c r="Z42" s="8"/>
      <c r="AA42" s="8"/>
      <c r="AB42" s="8"/>
      <c r="AC42" s="8"/>
      <c r="AD42" s="8"/>
      <c r="AE42" s="8"/>
      <c r="AF42" s="8"/>
      <c r="AG42" s="7"/>
      <c r="AH42" s="8"/>
      <c r="AI42" s="8"/>
      <c r="AJ42" s="8"/>
      <c r="AK42" s="8"/>
      <c r="AL42" s="8"/>
      <c r="AM42" s="8"/>
      <c r="AN42" s="8"/>
      <c r="AO42" s="8"/>
      <c r="AP42" s="8"/>
      <c r="AQ42" s="8"/>
      <c r="AR42" s="8"/>
      <c r="AS42" s="8"/>
      <c r="AT42" s="8"/>
      <c r="AU42" s="8" t="s">
        <v>85</v>
      </c>
      <c r="AV42" s="8"/>
      <c r="AW42" s="8"/>
      <c r="AX42" s="8"/>
      <c r="AY42" s="8"/>
      <c r="AZ42" s="8" t="s">
        <v>86</v>
      </c>
      <c r="BA42" s="8" t="s">
        <v>86</v>
      </c>
      <c r="BB42" s="8" t="s">
        <v>86</v>
      </c>
      <c r="BC42" s="8">
        <v>0.0</v>
      </c>
    </row>
    <row r="43">
      <c r="A43" s="3" t="s">
        <v>444</v>
      </c>
      <c r="B43" s="3" t="s">
        <v>445</v>
      </c>
      <c r="C43" s="3" t="s">
        <v>446</v>
      </c>
      <c r="D43" s="3" t="s">
        <v>447</v>
      </c>
      <c r="E43" s="3">
        <v>100000.0</v>
      </c>
      <c r="F43" s="3" t="s">
        <v>58</v>
      </c>
      <c r="G43" s="3" t="s">
        <v>448</v>
      </c>
      <c r="H43" s="5" t="s">
        <v>449</v>
      </c>
      <c r="I43" s="5" t="s">
        <v>450</v>
      </c>
      <c r="J43" s="3" t="s">
        <v>451</v>
      </c>
      <c r="K43" s="3">
        <v>7.455002895E9</v>
      </c>
      <c r="L43" s="6" t="s">
        <v>452</v>
      </c>
      <c r="M43" s="3"/>
      <c r="N43" s="3" t="str">
        <f>(B27)</f>
        <v>Brij Biwheelers</v>
      </c>
      <c r="O43" s="3" t="str">
        <f>(A27)</f>
        <v>1ytBGcO8tIze81xKkAa9lWDcflthsPL6SuADAXbhmuwA</v>
      </c>
      <c r="P43" s="3" t="s">
        <v>142</v>
      </c>
      <c r="Q43" s="8" t="s">
        <v>65</v>
      </c>
      <c r="R43" s="3" t="s">
        <v>66</v>
      </c>
      <c r="S43" s="8" t="s">
        <v>95</v>
      </c>
      <c r="T43" s="8" t="s">
        <v>83</v>
      </c>
      <c r="U43" s="8"/>
      <c r="V43" s="8"/>
      <c r="W43" s="8"/>
      <c r="X43" s="8"/>
      <c r="Y43" s="8"/>
      <c r="Z43" s="8"/>
      <c r="AA43" s="8"/>
      <c r="AB43" s="8"/>
      <c r="AC43" s="8"/>
      <c r="AD43" s="8"/>
      <c r="AE43" s="8"/>
      <c r="AF43" s="8"/>
      <c r="AG43" s="7"/>
      <c r="AH43" s="8"/>
      <c r="AI43" s="8"/>
      <c r="AJ43" s="8"/>
      <c r="AK43" s="8"/>
      <c r="AL43" s="8"/>
      <c r="AM43" s="8"/>
      <c r="AN43" s="8"/>
      <c r="AO43" s="8"/>
      <c r="AP43" s="8"/>
      <c r="AQ43" s="8"/>
      <c r="AR43" s="8"/>
      <c r="AS43" s="8"/>
      <c r="AT43" s="8"/>
      <c r="AU43" s="8" t="s">
        <v>85</v>
      </c>
      <c r="AV43" s="8"/>
      <c r="AW43" s="8"/>
      <c r="AX43" s="8"/>
      <c r="AY43" s="8"/>
      <c r="AZ43" s="8" t="s">
        <v>86</v>
      </c>
      <c r="BA43" s="8" t="s">
        <v>86</v>
      </c>
      <c r="BB43" s="8" t="s">
        <v>86</v>
      </c>
      <c r="BC43" s="8">
        <v>0.0</v>
      </c>
    </row>
    <row r="44">
      <c r="A44" s="3" t="s">
        <v>453</v>
      </c>
      <c r="B44" s="3" t="s">
        <v>454</v>
      </c>
      <c r="C44" s="3" t="s">
        <v>455</v>
      </c>
      <c r="D44" s="3" t="s">
        <v>456</v>
      </c>
      <c r="E44" s="3">
        <v>100000.0</v>
      </c>
      <c r="F44" s="3" t="s">
        <v>76</v>
      </c>
      <c r="G44" s="3" t="s">
        <v>457</v>
      </c>
      <c r="H44" s="5" t="s">
        <v>458</v>
      </c>
      <c r="I44" s="5" t="s">
        <v>459</v>
      </c>
      <c r="J44" s="3" t="s">
        <v>460</v>
      </c>
      <c r="K44" s="3">
        <v>7.455002895E9</v>
      </c>
      <c r="L44" s="6" t="s">
        <v>461</v>
      </c>
      <c r="M44" s="3"/>
      <c r="N44" s="3" t="str">
        <f>(B27)</f>
        <v>Brij Biwheelers</v>
      </c>
      <c r="O44" s="3" t="str">
        <f>(A27)</f>
        <v>1ytBGcO8tIze81xKkAa9lWDcflthsPL6SuADAXbhmuwA</v>
      </c>
      <c r="P44" s="3" t="s">
        <v>142</v>
      </c>
      <c r="Q44" s="8" t="s">
        <v>65</v>
      </c>
      <c r="R44" s="3" t="s">
        <v>66</v>
      </c>
      <c r="S44" s="8" t="s">
        <v>95</v>
      </c>
      <c r="T44" s="8" t="s">
        <v>83</v>
      </c>
      <c r="U44" s="8"/>
      <c r="V44" s="8"/>
      <c r="W44" s="8"/>
      <c r="X44" s="8"/>
      <c r="Y44" s="8"/>
      <c r="Z44" s="8"/>
      <c r="AA44" s="8"/>
      <c r="AB44" s="8"/>
      <c r="AC44" s="8"/>
      <c r="AD44" s="8"/>
      <c r="AE44" s="8"/>
      <c r="AF44" s="8"/>
      <c r="AG44" s="7"/>
      <c r="AH44" s="8"/>
      <c r="AI44" s="8"/>
      <c r="AJ44" s="8"/>
      <c r="AK44" s="8"/>
      <c r="AL44" s="8"/>
      <c r="AM44" s="8"/>
      <c r="AN44" s="8"/>
      <c r="AO44" s="8"/>
      <c r="AP44" s="8"/>
      <c r="AQ44" s="8"/>
      <c r="AR44" s="8"/>
      <c r="AS44" s="8"/>
      <c r="AT44" s="8"/>
      <c r="AU44" s="8" t="s">
        <v>85</v>
      </c>
      <c r="AV44" s="8"/>
      <c r="AW44" s="8"/>
      <c r="AX44" s="8"/>
      <c r="AY44" s="8"/>
      <c r="AZ44" s="8" t="s">
        <v>86</v>
      </c>
      <c r="BA44" s="8" t="s">
        <v>86</v>
      </c>
      <c r="BB44" s="8" t="s">
        <v>86</v>
      </c>
      <c r="BC44" s="8">
        <v>0.0</v>
      </c>
    </row>
    <row r="45">
      <c r="A45" s="3" t="s">
        <v>462</v>
      </c>
      <c r="B45" s="3" t="s">
        <v>463</v>
      </c>
      <c r="C45" s="3" t="s">
        <v>464</v>
      </c>
      <c r="D45" s="3" t="s">
        <v>463</v>
      </c>
      <c r="E45" s="3">
        <v>100000.0</v>
      </c>
      <c r="F45" s="3" t="s">
        <v>58</v>
      </c>
      <c r="G45" s="3" t="s">
        <v>465</v>
      </c>
      <c r="H45" s="5" t="s">
        <v>466</v>
      </c>
      <c r="I45" s="5" t="s">
        <v>467</v>
      </c>
      <c r="J45" s="3" t="s">
        <v>468</v>
      </c>
      <c r="K45" s="3">
        <v>9.811432459E9</v>
      </c>
      <c r="L45" s="16">
        <v>43961.592361111114</v>
      </c>
      <c r="M45" s="3"/>
      <c r="N45" s="3" t="str">
        <f t="shared" ref="N45:N49" si="9">B45</f>
        <v>Shraman Hero - GT Karnal Road</v>
      </c>
      <c r="O45" s="3" t="str">
        <f t="shared" ref="O45:O49" si="10">(A45)</f>
        <v>1XmVYrBOLuyIm0rpXhFaYpcRQ1t4YH3PN3pmiTosn08E</v>
      </c>
      <c r="P45" s="3" t="s">
        <v>64</v>
      </c>
      <c r="Q45" s="8" t="s">
        <v>65</v>
      </c>
      <c r="R45" s="3" t="s">
        <v>66</v>
      </c>
      <c r="S45" s="8" t="s">
        <v>106</v>
      </c>
      <c r="T45" s="8" t="s">
        <v>106</v>
      </c>
      <c r="U45" s="8"/>
      <c r="V45" s="8"/>
      <c r="W45" s="8"/>
      <c r="X45" s="8"/>
      <c r="Y45" s="8"/>
      <c r="Z45" s="8"/>
      <c r="AA45" s="8"/>
      <c r="AB45" s="8"/>
      <c r="AC45" s="8"/>
      <c r="AD45" s="8"/>
      <c r="AE45" s="8"/>
      <c r="AF45" s="8"/>
      <c r="AG45" s="7"/>
      <c r="AH45" s="8"/>
      <c r="AI45" s="8"/>
      <c r="AJ45" s="8"/>
      <c r="AK45" s="8"/>
      <c r="AL45" s="8"/>
      <c r="AM45" s="8"/>
      <c r="AN45" s="8"/>
      <c r="AO45" s="8"/>
      <c r="AP45" s="8"/>
      <c r="AQ45" s="8"/>
      <c r="AR45" s="8"/>
      <c r="AS45" s="8"/>
      <c r="AT45" s="9" t="s">
        <v>469</v>
      </c>
      <c r="AU45" s="8" t="s">
        <v>85</v>
      </c>
      <c r="AV45" s="8"/>
      <c r="AW45" s="8"/>
      <c r="AX45" s="8" t="s">
        <v>470</v>
      </c>
      <c r="AY45" s="8" t="s">
        <v>471</v>
      </c>
      <c r="AZ45" s="8" t="s">
        <v>72</v>
      </c>
      <c r="BA45" s="8" t="s">
        <v>86</v>
      </c>
      <c r="BB45" s="8" t="s">
        <v>72</v>
      </c>
      <c r="BC45" s="8">
        <v>0.0</v>
      </c>
    </row>
    <row r="46">
      <c r="A46" s="3" t="s">
        <v>472</v>
      </c>
      <c r="B46" s="3" t="s">
        <v>473</v>
      </c>
      <c r="C46" s="3" t="s">
        <v>474</v>
      </c>
      <c r="D46" s="3" t="s">
        <v>473</v>
      </c>
      <c r="E46" s="3">
        <v>100000.0</v>
      </c>
      <c r="F46" s="3" t="s">
        <v>58</v>
      </c>
      <c r="G46" s="3" t="s">
        <v>475</v>
      </c>
      <c r="H46" s="5" t="s">
        <v>476</v>
      </c>
      <c r="I46" s="5" t="s">
        <v>477</v>
      </c>
      <c r="J46" s="3" t="s">
        <v>478</v>
      </c>
      <c r="K46" s="3">
        <v>7.300966932E9</v>
      </c>
      <c r="L46" s="16">
        <v>43961.63611111111</v>
      </c>
      <c r="M46" s="3"/>
      <c r="N46" s="3" t="str">
        <f t="shared" si="9"/>
        <v>Shri Balaji Hero - Muzaffarnagar</v>
      </c>
      <c r="O46" s="3" t="str">
        <f t="shared" si="10"/>
        <v>1qJGCYN0EdS2nWGXVYAHwXqSjiLE2C95anQkkbLONbKQ</v>
      </c>
      <c r="P46" s="3" t="s">
        <v>64</v>
      </c>
      <c r="Q46" s="8" t="s">
        <v>65</v>
      </c>
      <c r="R46" s="3" t="s">
        <v>66</v>
      </c>
      <c r="S46" s="8" t="s">
        <v>479</v>
      </c>
      <c r="T46" s="8" t="s">
        <v>83</v>
      </c>
      <c r="U46" s="8"/>
      <c r="V46" s="8"/>
      <c r="W46" s="8"/>
      <c r="X46" s="8"/>
      <c r="Y46" s="8"/>
      <c r="Z46" s="8"/>
      <c r="AA46" s="8"/>
      <c r="AB46" s="8"/>
      <c r="AC46" s="8"/>
      <c r="AD46" s="8"/>
      <c r="AE46" s="8"/>
      <c r="AF46" s="8"/>
      <c r="AG46" s="7"/>
      <c r="AH46" s="8"/>
      <c r="AI46" s="8"/>
      <c r="AJ46" s="8"/>
      <c r="AK46" s="8"/>
      <c r="AL46" s="8"/>
      <c r="AM46" s="8"/>
      <c r="AN46" s="8"/>
      <c r="AO46" s="8"/>
      <c r="AP46" s="8"/>
      <c r="AQ46" s="8"/>
      <c r="AR46" s="8"/>
      <c r="AS46" s="8"/>
      <c r="AT46" s="9" t="s">
        <v>480</v>
      </c>
      <c r="AU46" s="8" t="s">
        <v>85</v>
      </c>
      <c r="AV46" s="8"/>
      <c r="AW46" s="8"/>
      <c r="AX46" s="8"/>
      <c r="AY46" s="8"/>
      <c r="AZ46" s="8" t="s">
        <v>72</v>
      </c>
      <c r="BA46" s="8" t="s">
        <v>86</v>
      </c>
      <c r="BB46" s="8" t="s">
        <v>86</v>
      </c>
      <c r="BC46" s="8">
        <v>0.0</v>
      </c>
    </row>
    <row r="47">
      <c r="A47" s="3" t="s">
        <v>481</v>
      </c>
      <c r="B47" s="3" t="s">
        <v>482</v>
      </c>
      <c r="C47" s="3" t="s">
        <v>483</v>
      </c>
      <c r="D47" s="3" t="s">
        <v>482</v>
      </c>
      <c r="E47" s="3">
        <v>100000.0</v>
      </c>
      <c r="F47" s="3" t="s">
        <v>58</v>
      </c>
      <c r="G47" s="3" t="s">
        <v>484</v>
      </c>
      <c r="H47" s="5" t="s">
        <v>485</v>
      </c>
      <c r="I47" s="5" t="s">
        <v>486</v>
      </c>
      <c r="J47" s="3" t="s">
        <v>487</v>
      </c>
      <c r="K47" s="3">
        <v>9.425113001E9</v>
      </c>
      <c r="L47" s="16">
        <v>43992.535416666666</v>
      </c>
      <c r="M47" s="3"/>
      <c r="N47" s="3" t="str">
        <f t="shared" si="9"/>
        <v>Kavita Motors - Bijnor</v>
      </c>
      <c r="O47" s="3" t="str">
        <f t="shared" si="10"/>
        <v>1p3Bu4mvhlVeVMP3Ogpf0F-2KWPlAp07JNr-X652uW0U</v>
      </c>
      <c r="P47" s="3" t="s">
        <v>64</v>
      </c>
      <c r="Q47" s="8" t="s">
        <v>65</v>
      </c>
      <c r="R47" s="3" t="s">
        <v>66</v>
      </c>
      <c r="S47" s="8" t="s">
        <v>488</v>
      </c>
      <c r="T47" s="8" t="s">
        <v>83</v>
      </c>
      <c r="U47" s="8"/>
      <c r="V47" s="8"/>
      <c r="W47" s="8"/>
      <c r="X47" s="8"/>
      <c r="Y47" s="8"/>
      <c r="Z47" s="8"/>
      <c r="AA47" s="8"/>
      <c r="AB47" s="8"/>
      <c r="AC47" s="8"/>
      <c r="AD47" s="8"/>
      <c r="AE47" s="8"/>
      <c r="AF47" s="8"/>
      <c r="AG47" s="7"/>
      <c r="AH47" s="8"/>
      <c r="AI47" s="8"/>
      <c r="AJ47" s="8"/>
      <c r="AK47" s="8"/>
      <c r="AL47" s="8"/>
      <c r="AM47" s="8"/>
      <c r="AN47" s="8"/>
      <c r="AO47" s="8"/>
      <c r="AP47" s="8"/>
      <c r="AQ47" s="8"/>
      <c r="AR47" s="8"/>
      <c r="AS47" s="8"/>
      <c r="AT47" s="9" t="s">
        <v>489</v>
      </c>
      <c r="AU47" s="8" t="s">
        <v>85</v>
      </c>
      <c r="AV47" s="8"/>
      <c r="AW47" s="8"/>
      <c r="AX47" s="8"/>
      <c r="AY47" s="8"/>
      <c r="AZ47" s="8" t="s">
        <v>86</v>
      </c>
      <c r="BA47" s="8" t="s">
        <v>86</v>
      </c>
      <c r="BB47" s="8" t="s">
        <v>86</v>
      </c>
      <c r="BC47" s="8">
        <v>0.0</v>
      </c>
    </row>
    <row r="48">
      <c r="A48" s="3" t="s">
        <v>490</v>
      </c>
      <c r="B48" s="3" t="s">
        <v>491</v>
      </c>
      <c r="C48" s="3" t="s">
        <v>492</v>
      </c>
      <c r="D48" s="3" t="s">
        <v>491</v>
      </c>
      <c r="E48" s="3">
        <v>100000.0</v>
      </c>
      <c r="F48" s="3" t="s">
        <v>58</v>
      </c>
      <c r="G48" s="3" t="s">
        <v>493</v>
      </c>
      <c r="H48" s="5" t="s">
        <v>494</v>
      </c>
      <c r="I48" s="5" t="s">
        <v>495</v>
      </c>
      <c r="J48" s="3" t="s">
        <v>496</v>
      </c>
      <c r="K48" s="3">
        <v>9.837604782E9</v>
      </c>
      <c r="L48" s="16">
        <v>43992.64166666667</v>
      </c>
      <c r="M48" s="3"/>
      <c r="N48" s="3" t="str">
        <f t="shared" si="9"/>
        <v>Bharat Auto - Kasganj</v>
      </c>
      <c r="O48" s="3" t="str">
        <f t="shared" si="10"/>
        <v>14s_HeeebHqLRTUCX5FSlJ3K7aiTvnkajbPMefm6jg1M</v>
      </c>
      <c r="P48" s="3" t="s">
        <v>64</v>
      </c>
      <c r="Q48" s="8" t="s">
        <v>65</v>
      </c>
      <c r="R48" s="3" t="s">
        <v>66</v>
      </c>
      <c r="S48" s="8" t="s">
        <v>497</v>
      </c>
      <c r="T48" s="8" t="s">
        <v>83</v>
      </c>
      <c r="U48" s="8"/>
      <c r="V48" s="8"/>
      <c r="W48" s="8"/>
      <c r="X48" s="8"/>
      <c r="Y48" s="8"/>
      <c r="Z48" s="8"/>
      <c r="AA48" s="8"/>
      <c r="AB48" s="8"/>
      <c r="AC48" s="8"/>
      <c r="AD48" s="8"/>
      <c r="AE48" s="8"/>
      <c r="AF48" s="8"/>
      <c r="AG48" s="7"/>
      <c r="AH48" s="8"/>
      <c r="AI48" s="8"/>
      <c r="AJ48" s="8"/>
      <c r="AK48" s="8"/>
      <c r="AL48" s="8"/>
      <c r="AM48" s="8"/>
      <c r="AN48" s="8"/>
      <c r="AO48" s="8"/>
      <c r="AP48" s="8"/>
      <c r="AQ48" s="8"/>
      <c r="AR48" s="8"/>
      <c r="AS48" s="8"/>
      <c r="AT48" s="9" t="s">
        <v>498</v>
      </c>
      <c r="AU48" s="8" t="s">
        <v>85</v>
      </c>
      <c r="AV48" s="8"/>
      <c r="AW48" s="8"/>
      <c r="AX48" s="8"/>
      <c r="AY48" s="8"/>
      <c r="AZ48" s="8" t="s">
        <v>72</v>
      </c>
      <c r="BA48" s="8" t="s">
        <v>86</v>
      </c>
      <c r="BB48" s="8" t="s">
        <v>86</v>
      </c>
      <c r="BC48" s="8">
        <v>0.0</v>
      </c>
    </row>
    <row r="49">
      <c r="A49" s="3" t="s">
        <v>499</v>
      </c>
      <c r="B49" s="3" t="s">
        <v>500</v>
      </c>
      <c r="C49" s="3" t="s">
        <v>501</v>
      </c>
      <c r="D49" s="3" t="s">
        <v>500</v>
      </c>
      <c r="E49" s="3">
        <v>100000.0</v>
      </c>
      <c r="F49" s="3" t="s">
        <v>58</v>
      </c>
      <c r="G49" s="3" t="s">
        <v>502</v>
      </c>
      <c r="H49" s="5" t="s">
        <v>503</v>
      </c>
      <c r="I49" s="5" t="s">
        <v>504</v>
      </c>
      <c r="J49" s="3" t="s">
        <v>505</v>
      </c>
      <c r="K49" s="3">
        <v>9.899436766E9</v>
      </c>
      <c r="L49" s="18">
        <v>44114.60763888889</v>
      </c>
      <c r="M49" s="3"/>
      <c r="N49" s="3" t="str">
        <f t="shared" si="9"/>
        <v>Gupta HERO</v>
      </c>
      <c r="O49" s="3" t="str">
        <f t="shared" si="10"/>
        <v>1IGdLk1wrvnQTH7dsivMQu4VKWg4A7FvDBYsKsxwLpsE</v>
      </c>
      <c r="P49" s="3" t="s">
        <v>64</v>
      </c>
      <c r="Q49" s="8" t="s">
        <v>65</v>
      </c>
      <c r="R49" s="3" t="s">
        <v>66</v>
      </c>
      <c r="S49" s="8" t="s">
        <v>506</v>
      </c>
      <c r="T49" s="8" t="s">
        <v>83</v>
      </c>
      <c r="U49" s="8"/>
      <c r="V49" s="8"/>
      <c r="W49" s="8"/>
      <c r="X49" s="8"/>
      <c r="Y49" s="8"/>
      <c r="Z49" s="8"/>
      <c r="AA49" s="8"/>
      <c r="AB49" s="8"/>
      <c r="AC49" s="8"/>
      <c r="AD49" s="8"/>
      <c r="AE49" s="8"/>
      <c r="AF49" s="8"/>
      <c r="AG49" s="7"/>
      <c r="AH49" s="8"/>
      <c r="AI49" s="8"/>
      <c r="AJ49" s="8"/>
      <c r="AK49" s="8"/>
      <c r="AL49" s="8"/>
      <c r="AM49" s="8"/>
      <c r="AN49" s="8"/>
      <c r="AO49" s="8"/>
      <c r="AP49" s="8"/>
      <c r="AQ49" s="8"/>
      <c r="AR49" s="8"/>
      <c r="AS49" s="8"/>
      <c r="AT49" s="9" t="s">
        <v>507</v>
      </c>
      <c r="AU49" s="8" t="s">
        <v>69</v>
      </c>
      <c r="AV49" s="8"/>
      <c r="AW49" s="8"/>
      <c r="AX49" s="8"/>
      <c r="AY49" s="8"/>
      <c r="AZ49" s="8" t="s">
        <v>72</v>
      </c>
      <c r="BA49" s="8" t="s">
        <v>86</v>
      </c>
      <c r="BB49" s="8" t="s">
        <v>86</v>
      </c>
      <c r="BC49" s="8">
        <v>0.0</v>
      </c>
    </row>
    <row r="50">
      <c r="A50" s="3" t="s">
        <v>508</v>
      </c>
      <c r="B50" s="3" t="s">
        <v>509</v>
      </c>
      <c r="C50" s="3" t="s">
        <v>510</v>
      </c>
      <c r="D50" s="3" t="s">
        <v>509</v>
      </c>
      <c r="E50" s="3">
        <v>100000.0</v>
      </c>
      <c r="F50" s="3" t="s">
        <v>58</v>
      </c>
      <c r="G50" s="3" t="s">
        <v>511</v>
      </c>
      <c r="H50" s="5" t="s">
        <v>512</v>
      </c>
      <c r="I50" s="5" t="s">
        <v>513</v>
      </c>
      <c r="J50" s="3" t="s">
        <v>514</v>
      </c>
      <c r="K50" s="3">
        <v>7.455002895E9</v>
      </c>
      <c r="L50" s="18">
        <v>44145.740277777775</v>
      </c>
      <c r="M50" s="3"/>
      <c r="N50" s="3" t="str">
        <f>(B27)</f>
        <v>Brij Biwheelers</v>
      </c>
      <c r="O50" s="3" t="str">
        <f>(A27)</f>
        <v>1ytBGcO8tIze81xKkAa9lWDcflthsPL6SuADAXbhmuwA</v>
      </c>
      <c r="P50" s="3" t="s">
        <v>142</v>
      </c>
      <c r="Q50" s="8" t="s">
        <v>65</v>
      </c>
      <c r="R50" s="3" t="s">
        <v>66</v>
      </c>
      <c r="S50" s="8" t="s">
        <v>95</v>
      </c>
      <c r="T50" s="8" t="s">
        <v>83</v>
      </c>
      <c r="U50" s="8"/>
      <c r="V50" s="8"/>
      <c r="W50" s="8"/>
      <c r="X50" s="8"/>
      <c r="Y50" s="8"/>
      <c r="Z50" s="8"/>
      <c r="AA50" s="8"/>
      <c r="AB50" s="8"/>
      <c r="AC50" s="8"/>
      <c r="AD50" s="8"/>
      <c r="AE50" s="8"/>
      <c r="AF50" s="8"/>
      <c r="AG50" s="7"/>
      <c r="AH50" s="8"/>
      <c r="AI50" s="8"/>
      <c r="AJ50" s="8"/>
      <c r="AK50" s="8"/>
      <c r="AL50" s="8"/>
      <c r="AM50" s="8"/>
      <c r="AN50" s="8"/>
      <c r="AO50" s="8"/>
      <c r="AP50" s="8"/>
      <c r="AQ50" s="8"/>
      <c r="AR50" s="8"/>
      <c r="AS50" s="8"/>
      <c r="AT50" s="8"/>
      <c r="AU50" s="8" t="s">
        <v>85</v>
      </c>
      <c r="AV50" s="8"/>
      <c r="AW50" s="8"/>
      <c r="AX50" s="8"/>
      <c r="AY50" s="8"/>
      <c r="AZ50" s="8" t="s">
        <v>86</v>
      </c>
      <c r="BA50" s="8" t="s">
        <v>86</v>
      </c>
      <c r="BB50" s="8" t="s">
        <v>86</v>
      </c>
      <c r="BC50" s="8">
        <v>0.0</v>
      </c>
    </row>
    <row r="51">
      <c r="A51" s="3" t="s">
        <v>515</v>
      </c>
      <c r="B51" s="3" t="s">
        <v>516</v>
      </c>
      <c r="C51" s="3" t="s">
        <v>517</v>
      </c>
      <c r="D51" s="3" t="s">
        <v>516</v>
      </c>
      <c r="E51" s="3">
        <v>100000.0</v>
      </c>
      <c r="F51" s="3" t="s">
        <v>58</v>
      </c>
      <c r="G51" s="3" t="s">
        <v>518</v>
      </c>
      <c r="H51" s="5" t="s">
        <v>519</v>
      </c>
      <c r="I51" s="5" t="s">
        <v>520</v>
      </c>
      <c r="J51" s="3" t="s">
        <v>521</v>
      </c>
      <c r="K51" s="3">
        <v>9.358397497E9</v>
      </c>
      <c r="L51" s="18">
        <v>44175.70416666667</v>
      </c>
      <c r="M51" s="3"/>
      <c r="N51" s="3" t="str">
        <f>(B4)</f>
        <v>Jain Motorcycle Company</v>
      </c>
      <c r="O51" s="3" t="str">
        <f>(A4)</f>
        <v>184Y3L-ZLT7vcLiFDItIcLa-18phpzEbgBCBDgt_LGCQ</v>
      </c>
      <c r="P51" s="3" t="s">
        <v>142</v>
      </c>
      <c r="Q51" s="8" t="s">
        <v>65</v>
      </c>
      <c r="R51" s="3" t="s">
        <v>66</v>
      </c>
      <c r="S51" s="8" t="s">
        <v>95</v>
      </c>
      <c r="T51" s="8" t="s">
        <v>83</v>
      </c>
      <c r="U51" s="8"/>
      <c r="V51" s="8"/>
      <c r="W51" s="8"/>
      <c r="X51" s="8"/>
      <c r="Y51" s="8"/>
      <c r="Z51" s="8"/>
      <c r="AA51" s="8"/>
      <c r="AB51" s="8"/>
      <c r="AC51" s="8"/>
      <c r="AD51" s="8"/>
      <c r="AE51" s="8"/>
      <c r="AF51" s="8"/>
      <c r="AG51" s="7"/>
      <c r="AH51" s="8"/>
      <c r="AI51" s="8"/>
      <c r="AJ51" s="8"/>
      <c r="AK51" s="8"/>
      <c r="AL51" s="8"/>
      <c r="AM51" s="8"/>
      <c r="AN51" s="8"/>
      <c r="AO51" s="8"/>
      <c r="AP51" s="8"/>
      <c r="AQ51" s="8"/>
      <c r="AR51" s="8"/>
      <c r="AS51" s="8"/>
      <c r="AT51" s="8"/>
      <c r="AU51" s="8" t="s">
        <v>85</v>
      </c>
      <c r="AV51" s="8"/>
      <c r="AW51" s="8"/>
      <c r="AX51" s="8"/>
      <c r="AY51" s="8"/>
      <c r="AZ51" s="8" t="s">
        <v>72</v>
      </c>
      <c r="BA51" s="8" t="s">
        <v>86</v>
      </c>
      <c r="BB51" s="8" t="s">
        <v>86</v>
      </c>
      <c r="BC51" s="8">
        <v>0.0</v>
      </c>
    </row>
    <row r="52">
      <c r="A52" s="3" t="s">
        <v>522</v>
      </c>
      <c r="B52" s="3" t="s">
        <v>523</v>
      </c>
      <c r="C52" s="3" t="s">
        <v>524</v>
      </c>
      <c r="D52" s="3" t="s">
        <v>523</v>
      </c>
      <c r="E52" s="3">
        <v>100000.0</v>
      </c>
      <c r="F52" s="3" t="s">
        <v>76</v>
      </c>
      <c r="G52" s="3" t="s">
        <v>525</v>
      </c>
      <c r="H52" s="5" t="s">
        <v>526</v>
      </c>
      <c r="I52" s="5" t="s">
        <v>527</v>
      </c>
      <c r="J52" s="3" t="s">
        <v>528</v>
      </c>
      <c r="K52" s="3">
        <v>9.927119889E9</v>
      </c>
      <c r="L52" s="6" t="s">
        <v>529</v>
      </c>
      <c r="M52" s="3"/>
      <c r="N52" s="3" t="str">
        <f t="shared" ref="N52:N55" si="11">B52</f>
        <v>Kiran TVS - Meerut</v>
      </c>
      <c r="O52" s="3" t="str">
        <f t="shared" ref="O52:O55" si="12">(A52)</f>
        <v>1csqV0P6rAjfUqgWrDmILPq5QMP6GfGOsFVhZ25vdQsw</v>
      </c>
      <c r="P52" s="3" t="s">
        <v>64</v>
      </c>
      <c r="Q52" s="8" t="s">
        <v>285</v>
      </c>
      <c r="R52" s="3" t="s">
        <v>66</v>
      </c>
      <c r="S52" s="8" t="s">
        <v>530</v>
      </c>
      <c r="T52" s="8" t="s">
        <v>83</v>
      </c>
      <c r="U52" s="8"/>
      <c r="V52" s="8"/>
      <c r="W52" s="8"/>
      <c r="X52" s="8"/>
      <c r="Y52" s="8"/>
      <c r="Z52" s="8"/>
      <c r="AA52" s="8"/>
      <c r="AB52" s="8"/>
      <c r="AC52" s="8"/>
      <c r="AD52" s="8"/>
      <c r="AE52" s="8"/>
      <c r="AF52" s="8"/>
      <c r="AG52" s="7"/>
      <c r="AH52" s="8"/>
      <c r="AI52" s="8"/>
      <c r="AJ52" s="8"/>
      <c r="AK52" s="8"/>
      <c r="AL52" s="8"/>
      <c r="AM52" s="8"/>
      <c r="AN52" s="8"/>
      <c r="AO52" s="8"/>
      <c r="AP52" s="8"/>
      <c r="AQ52" s="8"/>
      <c r="AR52" s="8"/>
      <c r="AS52" s="8"/>
      <c r="AT52" s="9" t="s">
        <v>531</v>
      </c>
      <c r="AU52" s="8" t="s">
        <v>85</v>
      </c>
      <c r="AV52" s="8"/>
      <c r="AW52" s="8"/>
      <c r="AX52" s="8"/>
      <c r="AY52" s="8"/>
      <c r="AZ52" s="8" t="s">
        <v>86</v>
      </c>
      <c r="BA52" s="8" t="s">
        <v>86</v>
      </c>
      <c r="BB52" s="8" t="s">
        <v>86</v>
      </c>
      <c r="BC52" s="8">
        <v>0.0</v>
      </c>
    </row>
    <row r="53">
      <c r="A53" s="3" t="s">
        <v>532</v>
      </c>
      <c r="B53" s="3" t="s">
        <v>533</v>
      </c>
      <c r="C53" s="3" t="s">
        <v>534</v>
      </c>
      <c r="D53" s="3" t="s">
        <v>533</v>
      </c>
      <c r="E53" s="3">
        <v>100000.0</v>
      </c>
      <c r="F53" s="3" t="s">
        <v>58</v>
      </c>
      <c r="G53" s="3" t="s">
        <v>535</v>
      </c>
      <c r="H53" s="5" t="s">
        <v>536</v>
      </c>
      <c r="I53" s="5" t="s">
        <v>537</v>
      </c>
      <c r="J53" s="3" t="s">
        <v>538</v>
      </c>
      <c r="K53" s="3">
        <v>6.395747123E9</v>
      </c>
      <c r="L53" s="6" t="s">
        <v>539</v>
      </c>
      <c r="M53" s="3"/>
      <c r="N53" s="3" t="str">
        <f t="shared" si="11"/>
        <v>Namokar Honda - Meerut</v>
      </c>
      <c r="O53" s="3" t="str">
        <f t="shared" si="12"/>
        <v>1LiAiRR9BTHdMZEU0Z7g2BJlBE_7_a2qafAw9zkJ1c8U</v>
      </c>
      <c r="P53" s="3" t="s">
        <v>64</v>
      </c>
      <c r="Q53" s="8" t="s">
        <v>540</v>
      </c>
      <c r="R53" s="3" t="s">
        <v>66</v>
      </c>
      <c r="S53" s="8" t="s">
        <v>530</v>
      </c>
      <c r="T53" s="8" t="s">
        <v>83</v>
      </c>
      <c r="U53" s="8"/>
      <c r="V53" s="8"/>
      <c r="W53" s="8"/>
      <c r="X53" s="8"/>
      <c r="Y53" s="8"/>
      <c r="Z53" s="8"/>
      <c r="AA53" s="8"/>
      <c r="AB53" s="8"/>
      <c r="AC53" s="8"/>
      <c r="AD53" s="8"/>
      <c r="AE53" s="8"/>
      <c r="AF53" s="8"/>
      <c r="AG53" s="7"/>
      <c r="AH53" s="8"/>
      <c r="AI53" s="8"/>
      <c r="AJ53" s="8"/>
      <c r="AK53" s="8"/>
      <c r="AL53" s="8"/>
      <c r="AM53" s="8"/>
      <c r="AN53" s="8"/>
      <c r="AO53" s="8"/>
      <c r="AP53" s="8"/>
      <c r="AQ53" s="8"/>
      <c r="AR53" s="8"/>
      <c r="AS53" s="8"/>
      <c r="AT53" s="9" t="s">
        <v>541</v>
      </c>
      <c r="AU53" s="8" t="s">
        <v>85</v>
      </c>
      <c r="AV53" s="8"/>
      <c r="AW53" s="8"/>
      <c r="AX53" s="8"/>
      <c r="AY53" s="8"/>
      <c r="AZ53" s="8" t="s">
        <v>86</v>
      </c>
      <c r="BA53" s="8" t="s">
        <v>86</v>
      </c>
      <c r="BB53" s="8" t="s">
        <v>86</v>
      </c>
      <c r="BC53" s="8">
        <v>0.0</v>
      </c>
    </row>
    <row r="54">
      <c r="A54" s="3" t="s">
        <v>542</v>
      </c>
      <c r="B54" s="3" t="s">
        <v>543</v>
      </c>
      <c r="C54" s="3" t="s">
        <v>544</v>
      </c>
      <c r="D54" s="3" t="s">
        <v>543</v>
      </c>
      <c r="E54" s="3">
        <v>100000.0</v>
      </c>
      <c r="F54" s="3" t="s">
        <v>58</v>
      </c>
      <c r="G54" s="3" t="s">
        <v>545</v>
      </c>
      <c r="H54" s="5" t="s">
        <v>546</v>
      </c>
      <c r="I54" s="5" t="s">
        <v>547</v>
      </c>
      <c r="J54" s="3" t="s">
        <v>548</v>
      </c>
      <c r="K54" s="3">
        <v>8.650800614E9</v>
      </c>
      <c r="L54" s="6" t="s">
        <v>549</v>
      </c>
      <c r="M54" s="3"/>
      <c r="N54" s="3" t="str">
        <f t="shared" si="11"/>
        <v>Shree Shiv Shakti Hero - Meerut</v>
      </c>
      <c r="O54" s="3" t="str">
        <f t="shared" si="12"/>
        <v>11i_cNFE5Ehj2PGllhMsAFP46O_rn6I78xO4mvWr7hEo</v>
      </c>
      <c r="P54" s="3" t="s">
        <v>64</v>
      </c>
      <c r="Q54" s="8" t="s">
        <v>65</v>
      </c>
      <c r="R54" s="3" t="s">
        <v>66</v>
      </c>
      <c r="S54" s="8" t="s">
        <v>479</v>
      </c>
      <c r="T54" s="8" t="s">
        <v>83</v>
      </c>
      <c r="U54" s="8"/>
      <c r="V54" s="8"/>
      <c r="W54" s="8"/>
      <c r="X54" s="8"/>
      <c r="Y54" s="8"/>
      <c r="Z54" s="8"/>
      <c r="AA54" s="8"/>
      <c r="AB54" s="8"/>
      <c r="AC54" s="8"/>
      <c r="AD54" s="8"/>
      <c r="AE54" s="8"/>
      <c r="AF54" s="8"/>
      <c r="AG54" s="7"/>
      <c r="AH54" s="8"/>
      <c r="AI54" s="8"/>
      <c r="AJ54" s="8"/>
      <c r="AK54" s="8"/>
      <c r="AL54" s="8"/>
      <c r="AM54" s="8"/>
      <c r="AN54" s="8"/>
      <c r="AO54" s="8"/>
      <c r="AP54" s="8"/>
      <c r="AQ54" s="8"/>
      <c r="AR54" s="8"/>
      <c r="AS54" s="8"/>
      <c r="AT54" s="9" t="s">
        <v>550</v>
      </c>
      <c r="AU54" s="8" t="s">
        <v>85</v>
      </c>
      <c r="AV54" s="8"/>
      <c r="AW54" s="8"/>
      <c r="AX54" s="8"/>
      <c r="AY54" s="8"/>
      <c r="AZ54" s="8" t="s">
        <v>86</v>
      </c>
      <c r="BA54" s="8" t="s">
        <v>86</v>
      </c>
      <c r="BB54" s="8" t="s">
        <v>86</v>
      </c>
      <c r="BC54" s="8">
        <v>0.0</v>
      </c>
    </row>
    <row r="55">
      <c r="A55" s="3" t="s">
        <v>551</v>
      </c>
      <c r="B55" s="3" t="s">
        <v>552</v>
      </c>
      <c r="C55" s="3" t="s">
        <v>553</v>
      </c>
      <c r="D55" s="3" t="s">
        <v>552</v>
      </c>
      <c r="E55" s="3">
        <v>100000.0</v>
      </c>
      <c r="F55" s="3" t="s">
        <v>58</v>
      </c>
      <c r="G55" s="3" t="s">
        <v>554</v>
      </c>
      <c r="H55" s="5" t="s">
        <v>555</v>
      </c>
      <c r="I55" s="5" t="s">
        <v>556</v>
      </c>
      <c r="J55" s="3" t="s">
        <v>557</v>
      </c>
      <c r="K55" s="3">
        <v>9.8976003E9</v>
      </c>
      <c r="L55" s="6" t="s">
        <v>558</v>
      </c>
      <c r="M55" s="3"/>
      <c r="N55" s="3" t="str">
        <f t="shared" si="11"/>
        <v>Krishna Hero - Bulandshahr</v>
      </c>
      <c r="O55" s="3" t="str">
        <f t="shared" si="12"/>
        <v>1mX_ZCiMgVCd3AONQ2zBbbc9wQ6Mlj2RvmkSWdpWht-8</v>
      </c>
      <c r="P55" s="3" t="s">
        <v>64</v>
      </c>
      <c r="Q55" s="8" t="s">
        <v>65</v>
      </c>
      <c r="R55" s="3" t="s">
        <v>66</v>
      </c>
      <c r="S55" s="8" t="s">
        <v>295</v>
      </c>
      <c r="T55" s="8" t="s">
        <v>83</v>
      </c>
      <c r="U55" s="8"/>
      <c r="V55" s="8"/>
      <c r="W55" s="8"/>
      <c r="X55" s="8"/>
      <c r="Y55" s="8"/>
      <c r="Z55" s="8"/>
      <c r="AA55" s="8"/>
      <c r="AB55" s="8"/>
      <c r="AC55" s="8"/>
      <c r="AD55" s="8"/>
      <c r="AE55" s="8"/>
      <c r="AF55" s="8"/>
      <c r="AG55" s="7"/>
      <c r="AH55" s="8"/>
      <c r="AI55" s="8"/>
      <c r="AJ55" s="8"/>
      <c r="AK55" s="8"/>
      <c r="AL55" s="8"/>
      <c r="AM55" s="8"/>
      <c r="AN55" s="8"/>
      <c r="AO55" s="8"/>
      <c r="AP55" s="8"/>
      <c r="AQ55" s="8"/>
      <c r="AR55" s="8"/>
      <c r="AS55" s="8"/>
      <c r="AT55" s="9" t="s">
        <v>559</v>
      </c>
      <c r="AU55" s="8" t="s">
        <v>85</v>
      </c>
      <c r="AV55" s="8"/>
      <c r="AW55" s="8"/>
      <c r="AX55" s="8"/>
      <c r="AY55" s="8"/>
      <c r="AZ55" s="8" t="s">
        <v>72</v>
      </c>
      <c r="BA55" s="8" t="s">
        <v>86</v>
      </c>
      <c r="BB55" s="8" t="s">
        <v>86</v>
      </c>
      <c r="BC55" s="8">
        <v>0.0</v>
      </c>
    </row>
    <row r="56">
      <c r="A56" s="3" t="s">
        <v>560</v>
      </c>
      <c r="B56" s="3" t="s">
        <v>561</v>
      </c>
      <c r="C56" s="3" t="s">
        <v>562</v>
      </c>
      <c r="D56" s="3" t="s">
        <v>561</v>
      </c>
      <c r="E56" s="3">
        <v>100000.0</v>
      </c>
      <c r="F56" s="3" t="s">
        <v>58</v>
      </c>
      <c r="G56" s="3" t="s">
        <v>563</v>
      </c>
      <c r="H56" s="5" t="s">
        <v>564</v>
      </c>
      <c r="I56" s="5" t="s">
        <v>565</v>
      </c>
      <c r="J56" s="3" t="s">
        <v>566</v>
      </c>
      <c r="K56" s="3">
        <v>9.358397497E9</v>
      </c>
      <c r="L56" s="6" t="s">
        <v>567</v>
      </c>
      <c r="M56" s="3"/>
      <c r="N56" s="3" t="str">
        <f>(B4)</f>
        <v>Jain Motorcycle Company</v>
      </c>
      <c r="O56" s="3" t="str">
        <f>(A4)</f>
        <v>184Y3L-ZLT7vcLiFDItIcLa-18phpzEbgBCBDgt_LGCQ</v>
      </c>
      <c r="P56" s="3" t="s">
        <v>142</v>
      </c>
      <c r="Q56" s="8" t="s">
        <v>65</v>
      </c>
      <c r="R56" s="3" t="s">
        <v>66</v>
      </c>
      <c r="S56" s="8" t="s">
        <v>95</v>
      </c>
      <c r="T56" s="8" t="s">
        <v>83</v>
      </c>
      <c r="U56" s="8"/>
      <c r="V56" s="8"/>
      <c r="W56" s="8"/>
      <c r="X56" s="8"/>
      <c r="Y56" s="8"/>
      <c r="Z56" s="8"/>
      <c r="AA56" s="8"/>
      <c r="AB56" s="8"/>
      <c r="AC56" s="8"/>
      <c r="AD56" s="8"/>
      <c r="AE56" s="8"/>
      <c r="AF56" s="8"/>
      <c r="AG56" s="7"/>
      <c r="AH56" s="8"/>
      <c r="AI56" s="8"/>
      <c r="AJ56" s="8"/>
      <c r="AK56" s="8"/>
      <c r="AL56" s="8"/>
      <c r="AM56" s="8"/>
      <c r="AN56" s="8"/>
      <c r="AO56" s="8"/>
      <c r="AP56" s="8"/>
      <c r="AQ56" s="8"/>
      <c r="AR56" s="8"/>
      <c r="AS56" s="8"/>
      <c r="AT56" s="8"/>
      <c r="AU56" s="8" t="s">
        <v>85</v>
      </c>
      <c r="AV56" s="8"/>
      <c r="AW56" s="8"/>
      <c r="AX56" s="8"/>
      <c r="AY56" s="8"/>
      <c r="AZ56" s="8" t="s">
        <v>72</v>
      </c>
      <c r="BA56" s="8" t="s">
        <v>86</v>
      </c>
      <c r="BB56" s="8" t="s">
        <v>86</v>
      </c>
      <c r="BC56" s="8">
        <v>0.0</v>
      </c>
    </row>
    <row r="57">
      <c r="A57" s="3" t="s">
        <v>568</v>
      </c>
      <c r="B57" s="3" t="s">
        <v>569</v>
      </c>
      <c r="C57" s="3" t="s">
        <v>570</v>
      </c>
      <c r="D57" s="3" t="s">
        <v>569</v>
      </c>
      <c r="E57" s="3">
        <v>100000.0</v>
      </c>
      <c r="F57" s="3" t="s">
        <v>58</v>
      </c>
      <c r="G57" s="3" t="s">
        <v>571</v>
      </c>
      <c r="H57" s="5" t="s">
        <v>572</v>
      </c>
      <c r="I57" s="5" t="s">
        <v>573</v>
      </c>
      <c r="J57" s="3" t="s">
        <v>574</v>
      </c>
      <c r="K57" s="3">
        <v>9.997071471E9</v>
      </c>
      <c r="L57" s="6" t="s">
        <v>575</v>
      </c>
      <c r="M57" s="3"/>
      <c r="N57" s="3" t="str">
        <f>(B7)</f>
        <v>Vikas Autowheels</v>
      </c>
      <c r="O57" s="3" t="str">
        <f>(A7)</f>
        <v>1944RLX7T1M23YXRXYoMnJ6nD_bKLldQXRpFRA0rDLvg</v>
      </c>
      <c r="P57" s="3" t="s">
        <v>142</v>
      </c>
      <c r="Q57" s="8" t="s">
        <v>65</v>
      </c>
      <c r="R57" s="3" t="s">
        <v>66</v>
      </c>
      <c r="S57" s="8" t="s">
        <v>123</v>
      </c>
      <c r="T57" s="8" t="s">
        <v>83</v>
      </c>
      <c r="U57" s="8"/>
      <c r="V57" s="8"/>
      <c r="W57" s="8"/>
      <c r="X57" s="8"/>
      <c r="Y57" s="8"/>
      <c r="Z57" s="8"/>
      <c r="AA57" s="8"/>
      <c r="AB57" s="8"/>
      <c r="AC57" s="8"/>
      <c r="AD57" s="8"/>
      <c r="AE57" s="8"/>
      <c r="AF57" s="8"/>
      <c r="AG57" s="7"/>
      <c r="AH57" s="8"/>
      <c r="AI57" s="8"/>
      <c r="AJ57" s="8"/>
      <c r="AK57" s="8"/>
      <c r="AL57" s="8"/>
      <c r="AM57" s="8"/>
      <c r="AN57" s="8"/>
      <c r="AO57" s="8"/>
      <c r="AP57" s="8"/>
      <c r="AQ57" s="8"/>
      <c r="AR57" s="8"/>
      <c r="AS57" s="8"/>
      <c r="AT57" s="8"/>
      <c r="AU57" s="8" t="s">
        <v>85</v>
      </c>
      <c r="AV57" s="8"/>
      <c r="AW57" s="8"/>
      <c r="AX57" s="8"/>
      <c r="AY57" s="8"/>
      <c r="AZ57" s="8" t="s">
        <v>72</v>
      </c>
      <c r="BA57" s="8" t="s">
        <v>86</v>
      </c>
      <c r="BB57" s="8" t="s">
        <v>86</v>
      </c>
      <c r="BC57" s="8">
        <v>0.0</v>
      </c>
    </row>
    <row r="58">
      <c r="A58" s="3" t="s">
        <v>576</v>
      </c>
      <c r="B58" s="3" t="s">
        <v>577</v>
      </c>
      <c r="C58" s="3" t="s">
        <v>578</v>
      </c>
      <c r="D58" s="3" t="s">
        <v>577</v>
      </c>
      <c r="E58" s="3">
        <v>100000.0</v>
      </c>
      <c r="F58" s="3" t="s">
        <v>58</v>
      </c>
      <c r="G58" s="3" t="s">
        <v>579</v>
      </c>
      <c r="H58" s="5" t="s">
        <v>580</v>
      </c>
      <c r="I58" s="5" t="s">
        <v>581</v>
      </c>
      <c r="J58" s="3" t="s">
        <v>582</v>
      </c>
      <c r="K58" s="3">
        <v>9.83702703E9</v>
      </c>
      <c r="L58" s="6" t="s">
        <v>583</v>
      </c>
      <c r="M58" s="3"/>
      <c r="N58" s="3" t="str">
        <f>B58</f>
        <v>Saanvi Hero - Dehradun</v>
      </c>
      <c r="O58" s="3" t="str">
        <f>(A58)</f>
        <v>1geel52z8WCTlGIS5yuTVHXXiwt6tFtcJPqsUJk3zExI</v>
      </c>
      <c r="P58" s="3" t="s">
        <v>64</v>
      </c>
      <c r="Q58" s="8" t="s">
        <v>65</v>
      </c>
      <c r="R58" s="3" t="s">
        <v>66</v>
      </c>
      <c r="S58" s="8" t="s">
        <v>584</v>
      </c>
      <c r="T58" s="8" t="s">
        <v>83</v>
      </c>
      <c r="U58" s="8"/>
      <c r="V58" s="8"/>
      <c r="W58" s="8"/>
      <c r="X58" s="8"/>
      <c r="Y58" s="8"/>
      <c r="Z58" s="8"/>
      <c r="AA58" s="8"/>
      <c r="AB58" s="8"/>
      <c r="AC58" s="8"/>
      <c r="AD58" s="8"/>
      <c r="AE58" s="8"/>
      <c r="AF58" s="8"/>
      <c r="AG58" s="7"/>
      <c r="AH58" s="8"/>
      <c r="AI58" s="8"/>
      <c r="AJ58" s="8"/>
      <c r="AK58" s="8"/>
      <c r="AL58" s="8"/>
      <c r="AM58" s="8"/>
      <c r="AN58" s="8"/>
      <c r="AO58" s="8"/>
      <c r="AP58" s="8"/>
      <c r="AQ58" s="8"/>
      <c r="AR58" s="8"/>
      <c r="AS58" s="8"/>
      <c r="AT58" s="9" t="s">
        <v>585</v>
      </c>
      <c r="AU58" s="8" t="s">
        <v>85</v>
      </c>
      <c r="AV58" s="8"/>
      <c r="AW58" s="8"/>
      <c r="AX58" s="8"/>
      <c r="AY58" s="8"/>
      <c r="AZ58" s="8" t="s">
        <v>86</v>
      </c>
      <c r="BA58" s="8" t="s">
        <v>86</v>
      </c>
      <c r="BB58" s="8" t="s">
        <v>86</v>
      </c>
      <c r="BC58" s="8">
        <v>0.0</v>
      </c>
    </row>
    <row r="59">
      <c r="A59" s="3" t="s">
        <v>586</v>
      </c>
      <c r="B59" s="3" t="s">
        <v>587</v>
      </c>
      <c r="C59" s="3" t="s">
        <v>588</v>
      </c>
      <c r="D59" s="3" t="s">
        <v>587</v>
      </c>
      <c r="E59" s="3">
        <v>100000.0</v>
      </c>
      <c r="F59" s="3" t="s">
        <v>58</v>
      </c>
      <c r="G59" s="3" t="s">
        <v>589</v>
      </c>
      <c r="H59" s="5" t="s">
        <v>590</v>
      </c>
      <c r="I59" s="5" t="s">
        <v>591</v>
      </c>
      <c r="J59" s="3" t="s">
        <v>592</v>
      </c>
      <c r="K59" s="3">
        <v>9.871300958E9</v>
      </c>
      <c r="L59" s="6" t="s">
        <v>593</v>
      </c>
      <c r="M59" s="3"/>
      <c r="N59" s="3" t="s">
        <v>381</v>
      </c>
      <c r="O59" s="3" t="s">
        <v>380</v>
      </c>
      <c r="P59" s="3" t="s">
        <v>142</v>
      </c>
      <c r="Q59" s="8" t="s">
        <v>65</v>
      </c>
      <c r="R59" s="3" t="s">
        <v>66</v>
      </c>
      <c r="S59" s="8" t="s">
        <v>123</v>
      </c>
      <c r="T59" s="8" t="s">
        <v>83</v>
      </c>
      <c r="U59" s="8"/>
      <c r="V59" s="8"/>
      <c r="W59" s="8"/>
      <c r="X59" s="8"/>
      <c r="Y59" s="8"/>
      <c r="Z59" s="8"/>
      <c r="AA59" s="8"/>
      <c r="AB59" s="8"/>
      <c r="AC59" s="8"/>
      <c r="AD59" s="8"/>
      <c r="AE59" s="8"/>
      <c r="AF59" s="8"/>
      <c r="AG59" s="7"/>
      <c r="AH59" s="8"/>
      <c r="AI59" s="8"/>
      <c r="AJ59" s="8"/>
      <c r="AK59" s="8"/>
      <c r="AL59" s="8"/>
      <c r="AM59" s="8"/>
      <c r="AN59" s="8"/>
      <c r="AO59" s="8"/>
      <c r="AP59" s="8"/>
      <c r="AQ59" s="8"/>
      <c r="AR59" s="8"/>
      <c r="AS59" s="8"/>
      <c r="AT59" s="8"/>
      <c r="AU59" s="8" t="s">
        <v>85</v>
      </c>
      <c r="AV59" s="8"/>
      <c r="AW59" s="8"/>
      <c r="AX59" s="8"/>
      <c r="AY59" s="8"/>
      <c r="AZ59" s="8" t="s">
        <v>86</v>
      </c>
      <c r="BA59" s="8" t="s">
        <v>86</v>
      </c>
      <c r="BB59" s="8" t="s">
        <v>86</v>
      </c>
      <c r="BC59" s="8">
        <v>0.0</v>
      </c>
    </row>
    <row r="60">
      <c r="A60" s="3" t="s">
        <v>594</v>
      </c>
      <c r="B60" s="3" t="s">
        <v>595</v>
      </c>
      <c r="C60" s="3" t="s">
        <v>596</v>
      </c>
      <c r="D60" s="3" t="s">
        <v>595</v>
      </c>
      <c r="E60" s="3">
        <v>100000.0</v>
      </c>
      <c r="F60" s="3" t="s">
        <v>58</v>
      </c>
      <c r="G60" s="3" t="s">
        <v>597</v>
      </c>
      <c r="H60" s="5" t="s">
        <v>598</v>
      </c>
      <c r="I60" s="5" t="s">
        <v>599</v>
      </c>
      <c r="J60" s="3" t="s">
        <v>600</v>
      </c>
      <c r="K60" s="3">
        <v>9.997099981E9</v>
      </c>
      <c r="L60" s="6" t="s">
        <v>601</v>
      </c>
      <c r="M60" s="3"/>
      <c r="N60" s="3" t="str">
        <f>(B24)</f>
        <v>Maharaja Autoworld</v>
      </c>
      <c r="O60" s="3" t="str">
        <f>(A24)</f>
        <v>1mkGLSaVL5-IAXKq9KqXFgJH64Li9oMA9V0u_seCn1jg</v>
      </c>
      <c r="P60" s="3" t="s">
        <v>142</v>
      </c>
      <c r="Q60" s="8" t="s">
        <v>65</v>
      </c>
      <c r="R60" s="3" t="s">
        <v>66</v>
      </c>
      <c r="S60" s="8" t="s">
        <v>275</v>
      </c>
      <c r="T60" s="8" t="s">
        <v>83</v>
      </c>
      <c r="U60" s="8"/>
      <c r="V60" s="8"/>
      <c r="W60" s="8"/>
      <c r="X60" s="8"/>
      <c r="Y60" s="8"/>
      <c r="Z60" s="8"/>
      <c r="AA60" s="8"/>
      <c r="AB60" s="8"/>
      <c r="AC60" s="8"/>
      <c r="AD60" s="8"/>
      <c r="AE60" s="8"/>
      <c r="AF60" s="8"/>
      <c r="AG60" s="7"/>
      <c r="AH60" s="8"/>
      <c r="AI60" s="8"/>
      <c r="AJ60" s="8"/>
      <c r="AK60" s="8"/>
      <c r="AL60" s="8"/>
      <c r="AM60" s="8"/>
      <c r="AN60" s="8"/>
      <c r="AO60" s="8"/>
      <c r="AP60" s="8"/>
      <c r="AQ60" s="8"/>
      <c r="AR60" s="8"/>
      <c r="AS60" s="8"/>
      <c r="AT60" s="8"/>
      <c r="AU60" s="8" t="s">
        <v>85</v>
      </c>
      <c r="AV60" s="8"/>
      <c r="AW60" s="8"/>
      <c r="AX60" s="8"/>
      <c r="AY60" s="8"/>
      <c r="AZ60" s="8" t="s">
        <v>86</v>
      </c>
      <c r="BA60" s="8" t="s">
        <v>86</v>
      </c>
      <c r="BB60" s="8" t="s">
        <v>86</v>
      </c>
      <c r="BC60" s="8">
        <v>0.0</v>
      </c>
    </row>
    <row r="61">
      <c r="A61" s="3" t="s">
        <v>602</v>
      </c>
      <c r="B61" s="3" t="s">
        <v>603</v>
      </c>
      <c r="C61" s="3" t="s">
        <v>604</v>
      </c>
      <c r="D61" s="3" t="s">
        <v>603</v>
      </c>
      <c r="E61" s="3">
        <v>100000.0</v>
      </c>
      <c r="F61" s="3" t="s">
        <v>58</v>
      </c>
      <c r="G61" s="3" t="s">
        <v>605</v>
      </c>
      <c r="H61" s="5" t="s">
        <v>606</v>
      </c>
      <c r="I61" s="5" t="s">
        <v>607</v>
      </c>
      <c r="J61" s="3" t="s">
        <v>608</v>
      </c>
      <c r="K61" s="3">
        <v>9.7588914E9</v>
      </c>
      <c r="L61" s="6" t="s">
        <v>609</v>
      </c>
      <c r="M61" s="3"/>
      <c r="N61" s="3" t="str">
        <f>(B46)</f>
        <v>Shri Balaji Hero - Muzaffarnagar</v>
      </c>
      <c r="O61" s="3" t="str">
        <f>(A46)</f>
        <v>1qJGCYN0EdS2nWGXVYAHwXqSjiLE2C95anQkkbLONbKQ</v>
      </c>
      <c r="P61" s="3" t="s">
        <v>142</v>
      </c>
      <c r="Q61" s="8" t="s">
        <v>65</v>
      </c>
      <c r="R61" s="3" t="s">
        <v>66</v>
      </c>
      <c r="S61" s="8" t="s">
        <v>610</v>
      </c>
      <c r="T61" s="8" t="s">
        <v>83</v>
      </c>
      <c r="U61" s="8"/>
      <c r="V61" s="8"/>
      <c r="W61" s="8"/>
      <c r="X61" s="8"/>
      <c r="Y61" s="8"/>
      <c r="Z61" s="8"/>
      <c r="AA61" s="8"/>
      <c r="AB61" s="8"/>
      <c r="AC61" s="8"/>
      <c r="AD61" s="8"/>
      <c r="AE61" s="8"/>
      <c r="AF61" s="8"/>
      <c r="AG61" s="7"/>
      <c r="AH61" s="8"/>
      <c r="AI61" s="8"/>
      <c r="AJ61" s="8"/>
      <c r="AK61" s="8"/>
      <c r="AL61" s="8"/>
      <c r="AM61" s="8"/>
      <c r="AN61" s="8"/>
      <c r="AO61" s="8"/>
      <c r="AP61" s="8"/>
      <c r="AQ61" s="8"/>
      <c r="AR61" s="8"/>
      <c r="AS61" s="8"/>
      <c r="AT61" s="8"/>
      <c r="AU61" s="8" t="s">
        <v>85</v>
      </c>
      <c r="AV61" s="8"/>
      <c r="AW61" s="8"/>
      <c r="AX61" s="8"/>
      <c r="AY61" s="8"/>
      <c r="AZ61" s="8" t="s">
        <v>72</v>
      </c>
      <c r="BA61" s="8" t="s">
        <v>86</v>
      </c>
      <c r="BB61" s="8" t="s">
        <v>86</v>
      </c>
      <c r="BC61" s="8">
        <v>0.0</v>
      </c>
    </row>
    <row r="62">
      <c r="A62" s="3" t="s">
        <v>611</v>
      </c>
      <c r="B62" s="3" t="s">
        <v>612</v>
      </c>
      <c r="C62" s="3" t="s">
        <v>613</v>
      </c>
      <c r="D62" s="3" t="s">
        <v>612</v>
      </c>
      <c r="E62" s="3">
        <v>100000.0</v>
      </c>
      <c r="F62" s="3" t="s">
        <v>58</v>
      </c>
      <c r="G62" s="3" t="s">
        <v>614</v>
      </c>
      <c r="H62" s="5" t="s">
        <v>615</v>
      </c>
      <c r="I62" s="5" t="s">
        <v>616</v>
      </c>
      <c r="J62" s="3" t="s">
        <v>617</v>
      </c>
      <c r="K62" s="3">
        <v>9.997099981E9</v>
      </c>
      <c r="L62" s="6" t="s">
        <v>618</v>
      </c>
      <c r="M62" s="3"/>
      <c r="N62" s="3" t="str">
        <f>(B24)</f>
        <v>Maharaja Autoworld</v>
      </c>
      <c r="O62" s="3" t="str">
        <f>(A24)</f>
        <v>1mkGLSaVL5-IAXKq9KqXFgJH64Li9oMA9V0u_seCn1jg</v>
      </c>
      <c r="P62" s="3" t="s">
        <v>142</v>
      </c>
      <c r="Q62" s="8" t="s">
        <v>65</v>
      </c>
      <c r="R62" s="3" t="s">
        <v>66</v>
      </c>
      <c r="S62" s="8" t="s">
        <v>275</v>
      </c>
      <c r="T62" s="8" t="s">
        <v>83</v>
      </c>
      <c r="U62" s="8"/>
      <c r="V62" s="8"/>
      <c r="W62" s="8"/>
      <c r="X62" s="8"/>
      <c r="Y62" s="8"/>
      <c r="Z62" s="8"/>
      <c r="AA62" s="8"/>
      <c r="AB62" s="8"/>
      <c r="AC62" s="8"/>
      <c r="AD62" s="8"/>
      <c r="AE62" s="8"/>
      <c r="AF62" s="8"/>
      <c r="AG62" s="7"/>
      <c r="AH62" s="8"/>
      <c r="AI62" s="8"/>
      <c r="AJ62" s="8"/>
      <c r="AK62" s="8"/>
      <c r="AL62" s="8"/>
      <c r="AM62" s="8"/>
      <c r="AN62" s="8"/>
      <c r="AO62" s="8"/>
      <c r="AP62" s="8"/>
      <c r="AQ62" s="8"/>
      <c r="AR62" s="8"/>
      <c r="AS62" s="8"/>
      <c r="AT62" s="8"/>
      <c r="AU62" s="8" t="s">
        <v>85</v>
      </c>
      <c r="AV62" s="8"/>
      <c r="AW62" s="8"/>
      <c r="AX62" s="8"/>
      <c r="AY62" s="8"/>
      <c r="AZ62" s="8" t="s">
        <v>86</v>
      </c>
      <c r="BA62" s="8" t="s">
        <v>86</v>
      </c>
      <c r="BB62" s="8" t="s">
        <v>86</v>
      </c>
      <c r="BC62" s="8">
        <v>0.0</v>
      </c>
    </row>
    <row r="63">
      <c r="A63" s="3" t="s">
        <v>619</v>
      </c>
      <c r="B63" s="3" t="s">
        <v>620</v>
      </c>
      <c r="C63" s="3" t="s">
        <v>621</v>
      </c>
      <c r="D63" s="3" t="s">
        <v>620</v>
      </c>
      <c r="E63" s="3">
        <v>100000.0</v>
      </c>
      <c r="F63" s="3" t="s">
        <v>76</v>
      </c>
      <c r="G63" s="3" t="s">
        <v>622</v>
      </c>
      <c r="H63" s="5" t="s">
        <v>623</v>
      </c>
      <c r="I63" s="5" t="s">
        <v>624</v>
      </c>
      <c r="J63" s="3" t="s">
        <v>625</v>
      </c>
      <c r="K63" s="3">
        <v>9.873025283E9</v>
      </c>
      <c r="L63" s="6" t="s">
        <v>626</v>
      </c>
      <c r="M63" s="3"/>
      <c r="N63" s="3" t="str">
        <f t="shared" ref="N63:N65" si="13">B63</f>
        <v>Manvik Motor - TVS Faridabad</v>
      </c>
      <c r="O63" s="3" t="str">
        <f t="shared" ref="O63:O65" si="14">(A63)</f>
        <v>10Boa663-jOP90LwqXAfooqmBUweTsg0kbbPLy7E8GaM</v>
      </c>
      <c r="P63" s="3" t="s">
        <v>64</v>
      </c>
      <c r="Q63" s="8" t="s">
        <v>285</v>
      </c>
      <c r="R63" s="3" t="s">
        <v>66</v>
      </c>
      <c r="S63" s="8" t="s">
        <v>627</v>
      </c>
      <c r="T63" s="8" t="s">
        <v>68</v>
      </c>
      <c r="U63" s="8"/>
      <c r="V63" s="8"/>
      <c r="W63" s="8"/>
      <c r="X63" s="8"/>
      <c r="Y63" s="8"/>
      <c r="Z63" s="8"/>
      <c r="AA63" s="8"/>
      <c r="AB63" s="8"/>
      <c r="AC63" s="8"/>
      <c r="AD63" s="8"/>
      <c r="AE63" s="8"/>
      <c r="AF63" s="8"/>
      <c r="AG63" s="7"/>
      <c r="AH63" s="8"/>
      <c r="AI63" s="8"/>
      <c r="AJ63" s="8"/>
      <c r="AK63" s="8"/>
      <c r="AL63" s="8"/>
      <c r="AM63" s="8"/>
      <c r="AN63" s="8"/>
      <c r="AO63" s="8"/>
      <c r="AP63" s="8"/>
      <c r="AQ63" s="8"/>
      <c r="AR63" s="8"/>
      <c r="AS63" s="8"/>
      <c r="AT63" s="9" t="s">
        <v>628</v>
      </c>
      <c r="AU63" s="8" t="s">
        <v>85</v>
      </c>
      <c r="AV63" s="8"/>
      <c r="AW63" s="8"/>
      <c r="AX63" s="8"/>
      <c r="AY63" s="8"/>
      <c r="AZ63" s="8" t="s">
        <v>86</v>
      </c>
      <c r="BA63" s="8" t="s">
        <v>86</v>
      </c>
      <c r="BB63" s="8" t="s">
        <v>86</v>
      </c>
      <c r="BC63" s="8">
        <v>0.0</v>
      </c>
    </row>
    <row r="64">
      <c r="A64" s="3" t="s">
        <v>629</v>
      </c>
      <c r="B64" s="3" t="s">
        <v>630</v>
      </c>
      <c r="C64" s="3" t="s">
        <v>631</v>
      </c>
      <c r="D64" s="3" t="s">
        <v>630</v>
      </c>
      <c r="E64" s="3">
        <v>100000.0</v>
      </c>
      <c r="F64" s="3" t="s">
        <v>58</v>
      </c>
      <c r="G64" s="3" t="s">
        <v>632</v>
      </c>
      <c r="H64" s="5" t="s">
        <v>633</v>
      </c>
      <c r="I64" s="5" t="s">
        <v>634</v>
      </c>
      <c r="J64" s="3" t="s">
        <v>635</v>
      </c>
      <c r="K64" s="3">
        <v>9.879006987E9</v>
      </c>
      <c r="L64" s="6" t="s">
        <v>636</v>
      </c>
      <c r="M64" s="3"/>
      <c r="N64" s="3" t="str">
        <f t="shared" si="13"/>
        <v>Gopi Auto World - Ahemdabad</v>
      </c>
      <c r="O64" s="3" t="str">
        <f t="shared" si="14"/>
        <v>1RXGf0MnZWZO90gEU-wJzAFw-CxPPIv2RLUwr1sE1N44</v>
      </c>
      <c r="P64" s="3" t="s">
        <v>64</v>
      </c>
      <c r="Q64" s="8" t="s">
        <v>540</v>
      </c>
      <c r="R64" s="3" t="s">
        <v>66</v>
      </c>
      <c r="S64" s="8" t="s">
        <v>637</v>
      </c>
      <c r="T64" s="8" t="s">
        <v>638</v>
      </c>
      <c r="U64" s="8"/>
      <c r="V64" s="8"/>
      <c r="W64" s="8"/>
      <c r="X64" s="8"/>
      <c r="Y64" s="8"/>
      <c r="Z64" s="8"/>
      <c r="AA64" s="8"/>
      <c r="AB64" s="8"/>
      <c r="AC64" s="8"/>
      <c r="AD64" s="8"/>
      <c r="AE64" s="8"/>
      <c r="AF64" s="8"/>
      <c r="AG64" s="7"/>
      <c r="AH64" s="8"/>
      <c r="AI64" s="8"/>
      <c r="AJ64" s="8"/>
      <c r="AK64" s="8"/>
      <c r="AL64" s="8"/>
      <c r="AM64" s="8"/>
      <c r="AN64" s="8"/>
      <c r="AO64" s="8"/>
      <c r="AP64" s="8"/>
      <c r="AQ64" s="8"/>
      <c r="AR64" s="8"/>
      <c r="AS64" s="8"/>
      <c r="AT64" s="9" t="s">
        <v>639</v>
      </c>
      <c r="AU64" s="8" t="s">
        <v>85</v>
      </c>
      <c r="AV64" s="8"/>
      <c r="AW64" s="8"/>
      <c r="AX64" s="8"/>
      <c r="AY64" s="8"/>
      <c r="AZ64" s="8" t="s">
        <v>86</v>
      </c>
      <c r="BA64" s="8" t="s">
        <v>86</v>
      </c>
      <c r="BB64" s="8" t="s">
        <v>86</v>
      </c>
      <c r="BC64" s="8">
        <v>0.0</v>
      </c>
    </row>
    <row r="65">
      <c r="A65" s="3" t="s">
        <v>640</v>
      </c>
      <c r="B65" s="3" t="s">
        <v>641</v>
      </c>
      <c r="C65" s="3" t="s">
        <v>642</v>
      </c>
      <c r="D65" s="3" t="s">
        <v>641</v>
      </c>
      <c r="E65" s="3">
        <v>100000.0</v>
      </c>
      <c r="F65" s="3" t="s">
        <v>76</v>
      </c>
      <c r="G65" s="3" t="s">
        <v>643</v>
      </c>
      <c r="H65" s="5" t="s">
        <v>644</v>
      </c>
      <c r="I65" s="5" t="s">
        <v>645</v>
      </c>
      <c r="J65" s="3" t="s">
        <v>646</v>
      </c>
      <c r="K65" s="3">
        <v>9.9961E9</v>
      </c>
      <c r="L65" s="6" t="s">
        <v>647</v>
      </c>
      <c r="M65" s="3"/>
      <c r="N65" s="3" t="str">
        <f t="shared" si="13"/>
        <v>Dhruv Hero - Ambala</v>
      </c>
      <c r="O65" s="3" t="str">
        <f t="shared" si="14"/>
        <v>1o-kgAGYwJQGPJwLj0hYgwKABboMbPKDLAWI9iRmz2LU</v>
      </c>
      <c r="P65" s="3" t="s">
        <v>64</v>
      </c>
      <c r="Q65" s="8" t="s">
        <v>65</v>
      </c>
      <c r="R65" s="3" t="s">
        <v>66</v>
      </c>
      <c r="S65" s="8" t="s">
        <v>648</v>
      </c>
      <c r="T65" s="8" t="s">
        <v>68</v>
      </c>
      <c r="U65" s="8"/>
      <c r="V65" s="8"/>
      <c r="W65" s="8"/>
      <c r="X65" s="8"/>
      <c r="Y65" s="8"/>
      <c r="Z65" s="8"/>
      <c r="AA65" s="8"/>
      <c r="AB65" s="8"/>
      <c r="AC65" s="8"/>
      <c r="AD65" s="8"/>
      <c r="AE65" s="8"/>
      <c r="AF65" s="8"/>
      <c r="AG65" s="7"/>
      <c r="AH65" s="8"/>
      <c r="AI65" s="8"/>
      <c r="AJ65" s="8"/>
      <c r="AK65" s="8"/>
      <c r="AL65" s="8"/>
      <c r="AM65" s="8"/>
      <c r="AN65" s="8"/>
      <c r="AO65" s="8"/>
      <c r="AP65" s="8"/>
      <c r="AQ65" s="8"/>
      <c r="AR65" s="8"/>
      <c r="AS65" s="8"/>
      <c r="AT65" s="9" t="s">
        <v>649</v>
      </c>
      <c r="AU65" s="8" t="s">
        <v>85</v>
      </c>
      <c r="AV65" s="8"/>
      <c r="AW65" s="8"/>
      <c r="AX65" s="8"/>
      <c r="AY65" s="8"/>
      <c r="AZ65" s="8" t="s">
        <v>86</v>
      </c>
      <c r="BA65" s="8" t="s">
        <v>86</v>
      </c>
      <c r="BB65" s="8" t="s">
        <v>86</v>
      </c>
      <c r="BC65" s="8">
        <v>0.0</v>
      </c>
    </row>
    <row r="66">
      <c r="A66" s="3" t="s">
        <v>650</v>
      </c>
      <c r="B66" s="3" t="s">
        <v>651</v>
      </c>
      <c r="C66" s="3" t="s">
        <v>652</v>
      </c>
      <c r="D66" s="3" t="s">
        <v>651</v>
      </c>
      <c r="E66" s="3">
        <v>100000.0</v>
      </c>
      <c r="F66" s="3" t="s">
        <v>58</v>
      </c>
      <c r="G66" s="3" t="s">
        <v>653</v>
      </c>
      <c r="H66" s="5" t="s">
        <v>654</v>
      </c>
      <c r="I66" s="5" t="s">
        <v>655</v>
      </c>
      <c r="J66" s="3" t="s">
        <v>656</v>
      </c>
      <c r="K66" s="3">
        <v>9.425113001E9</v>
      </c>
      <c r="L66" s="6" t="s">
        <v>657</v>
      </c>
      <c r="M66" s="3"/>
      <c r="N66" s="17" t="str">
        <f>(B47)</f>
        <v>Kavita Motors - Bijnor</v>
      </c>
      <c r="O66" s="17" t="str">
        <f>(A47)</f>
        <v>1p3Bu4mvhlVeVMP3Ogpf0F-2KWPlAp07JNr-X652uW0U</v>
      </c>
      <c r="P66" s="3" t="s">
        <v>142</v>
      </c>
      <c r="Q66" s="8" t="s">
        <v>65</v>
      </c>
      <c r="R66" s="3" t="s">
        <v>66</v>
      </c>
      <c r="S66" s="8" t="s">
        <v>488</v>
      </c>
      <c r="T66" s="8" t="s">
        <v>83</v>
      </c>
      <c r="U66" s="8"/>
      <c r="V66" s="8"/>
      <c r="W66" s="8"/>
      <c r="X66" s="8"/>
      <c r="Y66" s="8"/>
      <c r="Z66" s="8"/>
      <c r="AA66" s="8"/>
      <c r="AB66" s="8"/>
      <c r="AC66" s="8"/>
      <c r="AD66" s="8"/>
      <c r="AE66" s="8"/>
      <c r="AF66" s="8"/>
      <c r="AG66" s="7"/>
      <c r="AH66" s="8"/>
      <c r="AI66" s="8"/>
      <c r="AJ66" s="8"/>
      <c r="AK66" s="8"/>
      <c r="AL66" s="8"/>
      <c r="AM66" s="8"/>
      <c r="AN66" s="8"/>
      <c r="AO66" s="8"/>
      <c r="AP66" s="8"/>
      <c r="AQ66" s="8"/>
      <c r="AR66" s="8"/>
      <c r="AS66" s="8"/>
      <c r="AT66" s="8"/>
      <c r="AU66" s="8" t="s">
        <v>85</v>
      </c>
      <c r="AV66" s="8"/>
      <c r="AW66" s="8"/>
      <c r="AX66" s="8"/>
      <c r="AY66" s="8"/>
      <c r="AZ66" s="8" t="s">
        <v>86</v>
      </c>
      <c r="BA66" s="8" t="s">
        <v>86</v>
      </c>
      <c r="BB66" s="8" t="s">
        <v>86</v>
      </c>
      <c r="BC66" s="8">
        <v>0.0</v>
      </c>
    </row>
    <row r="67">
      <c r="A67" s="3" t="s">
        <v>658</v>
      </c>
      <c r="B67" s="3" t="s">
        <v>659</v>
      </c>
      <c r="C67" s="3" t="s">
        <v>660</v>
      </c>
      <c r="D67" s="3" t="s">
        <v>659</v>
      </c>
      <c r="E67" s="3">
        <v>100000.0</v>
      </c>
      <c r="F67" s="3" t="s">
        <v>76</v>
      </c>
      <c r="G67" s="3" t="s">
        <v>661</v>
      </c>
      <c r="H67" s="5" t="s">
        <v>662</v>
      </c>
      <c r="I67" s="5" t="s">
        <v>663</v>
      </c>
      <c r="J67" s="3" t="s">
        <v>664</v>
      </c>
      <c r="K67" s="3">
        <v>9.410034475E9</v>
      </c>
      <c r="L67" s="16">
        <v>43841.580555555556</v>
      </c>
      <c r="M67" s="3"/>
      <c r="N67" s="3" t="str">
        <f t="shared" ref="N67:N68" si="15">B67</f>
        <v>NV Automobiles - TVS Mathura</v>
      </c>
      <c r="O67" s="3" t="str">
        <f t="shared" ref="O67:O68" si="16">(A67)</f>
        <v>1DS5NtcGph94jJUNKazFINpAqRSIEGCBtibwVxAM7-qM</v>
      </c>
      <c r="P67" s="3" t="s">
        <v>64</v>
      </c>
      <c r="Q67" s="8" t="s">
        <v>285</v>
      </c>
      <c r="R67" s="3" t="s">
        <v>66</v>
      </c>
      <c r="S67" s="8" t="s">
        <v>95</v>
      </c>
      <c r="T67" s="8" t="s">
        <v>83</v>
      </c>
      <c r="U67" s="8"/>
      <c r="V67" s="8"/>
      <c r="W67" s="8"/>
      <c r="X67" s="8"/>
      <c r="Y67" s="8"/>
      <c r="Z67" s="8"/>
      <c r="AA67" s="8"/>
      <c r="AB67" s="8"/>
      <c r="AC67" s="8"/>
      <c r="AD67" s="8"/>
      <c r="AE67" s="8"/>
      <c r="AF67" s="8"/>
      <c r="AG67" s="7"/>
      <c r="AH67" s="8"/>
      <c r="AI67" s="8"/>
      <c r="AJ67" s="8"/>
      <c r="AK67" s="8"/>
      <c r="AL67" s="8"/>
      <c r="AM67" s="8"/>
      <c r="AN67" s="8"/>
      <c r="AO67" s="8"/>
      <c r="AP67" s="8"/>
      <c r="AQ67" s="8"/>
      <c r="AR67" s="8"/>
      <c r="AS67" s="8"/>
      <c r="AT67" s="9" t="s">
        <v>665</v>
      </c>
      <c r="AU67" s="8" t="s">
        <v>85</v>
      </c>
      <c r="AV67" s="8"/>
      <c r="AW67" s="8"/>
      <c r="AX67" s="8"/>
      <c r="AY67" s="8"/>
      <c r="AZ67" s="8" t="s">
        <v>86</v>
      </c>
      <c r="BA67" s="8" t="s">
        <v>86</v>
      </c>
      <c r="BB67" s="8" t="s">
        <v>86</v>
      </c>
      <c r="BC67" s="8">
        <v>0.0</v>
      </c>
    </row>
    <row r="68">
      <c r="A68" s="3" t="s">
        <v>666</v>
      </c>
      <c r="B68" s="3" t="s">
        <v>667</v>
      </c>
      <c r="C68" s="3" t="s">
        <v>668</v>
      </c>
      <c r="D68" s="3" t="s">
        <v>667</v>
      </c>
      <c r="E68" s="3">
        <v>100000.0</v>
      </c>
      <c r="F68" s="3" t="s">
        <v>76</v>
      </c>
      <c r="G68" s="3" t="s">
        <v>669</v>
      </c>
      <c r="H68" s="5" t="s">
        <v>670</v>
      </c>
      <c r="I68" s="5" t="s">
        <v>671</v>
      </c>
      <c r="J68" s="3" t="s">
        <v>672</v>
      </c>
      <c r="K68" s="3">
        <v>9.350971061E9</v>
      </c>
      <c r="L68" s="16">
        <v>43901.46527777778</v>
      </c>
      <c r="M68" s="3"/>
      <c r="N68" s="3" t="str">
        <f t="shared" si="15"/>
        <v>Saheb Hero - Sahibabad</v>
      </c>
      <c r="O68" s="3" t="str">
        <f t="shared" si="16"/>
        <v>1_xzpyB0amoYhYfY1WdkZ6GVcQiaJKzjQJfus2Cafu-I</v>
      </c>
      <c r="P68" s="3" t="s">
        <v>64</v>
      </c>
      <c r="Q68" s="8" t="s">
        <v>65</v>
      </c>
      <c r="R68" s="3" t="s">
        <v>66</v>
      </c>
      <c r="S68" s="8" t="s">
        <v>82</v>
      </c>
      <c r="T68" s="8" t="s">
        <v>83</v>
      </c>
      <c r="U68" s="8"/>
      <c r="V68" s="8"/>
      <c r="W68" s="8"/>
      <c r="X68" s="8"/>
      <c r="Y68" s="8"/>
      <c r="Z68" s="8"/>
      <c r="AA68" s="8"/>
      <c r="AB68" s="8"/>
      <c r="AC68" s="8"/>
      <c r="AD68" s="8"/>
      <c r="AE68" s="8"/>
      <c r="AF68" s="8"/>
      <c r="AG68" s="7"/>
      <c r="AH68" s="8"/>
      <c r="AI68" s="8"/>
      <c r="AJ68" s="8"/>
      <c r="AK68" s="8"/>
      <c r="AL68" s="8"/>
      <c r="AM68" s="8"/>
      <c r="AN68" s="8"/>
      <c r="AO68" s="8"/>
      <c r="AP68" s="8"/>
      <c r="AQ68" s="8"/>
      <c r="AR68" s="8"/>
      <c r="AS68" s="8"/>
      <c r="AT68" s="9" t="s">
        <v>673</v>
      </c>
      <c r="AU68" s="8" t="s">
        <v>85</v>
      </c>
      <c r="AV68" s="8"/>
      <c r="AW68" s="8"/>
      <c r="AX68" s="8"/>
      <c r="AY68" s="8"/>
      <c r="AZ68" s="8" t="s">
        <v>86</v>
      </c>
      <c r="BA68" s="8" t="s">
        <v>86</v>
      </c>
      <c r="BB68" s="8" t="s">
        <v>86</v>
      </c>
      <c r="BC68" s="8">
        <v>0.0</v>
      </c>
    </row>
    <row r="69">
      <c r="A69" s="3" t="s">
        <v>674</v>
      </c>
      <c r="B69" s="3" t="s">
        <v>675</v>
      </c>
      <c r="C69" s="3" t="s">
        <v>676</v>
      </c>
      <c r="D69" s="3" t="s">
        <v>677</v>
      </c>
      <c r="E69" s="3">
        <v>100000.0</v>
      </c>
      <c r="F69" s="3" t="s">
        <v>58</v>
      </c>
      <c r="G69" s="3" t="s">
        <v>678</v>
      </c>
      <c r="H69" s="5" t="s">
        <v>679</v>
      </c>
      <c r="I69" s="5" t="s">
        <v>680</v>
      </c>
      <c r="J69" s="3" t="s">
        <v>681</v>
      </c>
      <c r="K69" s="3">
        <v>9.997071471E9</v>
      </c>
      <c r="L69" s="16">
        <v>43901.75833333333</v>
      </c>
      <c r="M69" s="3"/>
      <c r="N69" s="3" t="str">
        <f>(B7)</f>
        <v>Vikas Autowheels</v>
      </c>
      <c r="O69" s="3" t="str">
        <f>(A7)</f>
        <v>1944RLX7T1M23YXRXYoMnJ6nD_bKLldQXRpFRA0rDLvg</v>
      </c>
      <c r="P69" s="3" t="s">
        <v>142</v>
      </c>
      <c r="Q69" s="8" t="s">
        <v>65</v>
      </c>
      <c r="R69" s="3" t="s">
        <v>66</v>
      </c>
      <c r="S69" s="8" t="s">
        <v>123</v>
      </c>
      <c r="T69" s="8" t="s">
        <v>83</v>
      </c>
      <c r="U69" s="8"/>
      <c r="V69" s="8"/>
      <c r="W69" s="8"/>
      <c r="X69" s="8"/>
      <c r="Y69" s="8"/>
      <c r="Z69" s="8"/>
      <c r="AA69" s="8"/>
      <c r="AB69" s="8"/>
      <c r="AC69" s="8"/>
      <c r="AD69" s="8"/>
      <c r="AE69" s="8"/>
      <c r="AF69" s="8"/>
      <c r="AG69" s="7"/>
      <c r="AH69" s="8"/>
      <c r="AI69" s="8"/>
      <c r="AJ69" s="8"/>
      <c r="AK69" s="8"/>
      <c r="AL69" s="8"/>
      <c r="AM69" s="8"/>
      <c r="AN69" s="8"/>
      <c r="AO69" s="8"/>
      <c r="AP69" s="8"/>
      <c r="AQ69" s="8"/>
      <c r="AR69" s="8"/>
      <c r="AS69" s="8"/>
      <c r="AT69" s="8"/>
      <c r="AU69" s="8" t="s">
        <v>85</v>
      </c>
      <c r="AV69" s="8"/>
      <c r="AW69" s="8"/>
      <c r="AX69" s="8"/>
      <c r="AY69" s="8"/>
      <c r="AZ69" s="8" t="s">
        <v>72</v>
      </c>
      <c r="BA69" s="8" t="s">
        <v>86</v>
      </c>
      <c r="BB69" s="8" t="s">
        <v>86</v>
      </c>
      <c r="BC69" s="8">
        <v>0.0</v>
      </c>
    </row>
    <row r="70">
      <c r="A70" s="3" t="s">
        <v>682</v>
      </c>
      <c r="B70" s="3" t="s">
        <v>683</v>
      </c>
      <c r="C70" s="3" t="s">
        <v>684</v>
      </c>
      <c r="D70" s="3" t="s">
        <v>683</v>
      </c>
      <c r="E70" s="3">
        <v>100000.0</v>
      </c>
      <c r="F70" s="3" t="s">
        <v>58</v>
      </c>
      <c r="G70" s="3" t="s">
        <v>685</v>
      </c>
      <c r="H70" s="5" t="s">
        <v>686</v>
      </c>
      <c r="I70" s="5" t="s">
        <v>687</v>
      </c>
      <c r="J70" s="3" t="s">
        <v>688</v>
      </c>
      <c r="K70" s="3">
        <v>9.997071471E9</v>
      </c>
      <c r="L70" s="16">
        <v>43901.76666666667</v>
      </c>
      <c r="M70" s="3"/>
      <c r="N70" s="3" t="str">
        <f>(B7)</f>
        <v>Vikas Autowheels</v>
      </c>
      <c r="O70" s="3" t="str">
        <f>(A7)</f>
        <v>1944RLX7T1M23YXRXYoMnJ6nD_bKLldQXRpFRA0rDLvg</v>
      </c>
      <c r="P70" s="3" t="s">
        <v>142</v>
      </c>
      <c r="Q70" s="8" t="s">
        <v>65</v>
      </c>
      <c r="R70" s="3" t="s">
        <v>66</v>
      </c>
      <c r="S70" s="8" t="s">
        <v>123</v>
      </c>
      <c r="T70" s="8" t="s">
        <v>83</v>
      </c>
      <c r="U70" s="8"/>
      <c r="V70" s="8"/>
      <c r="W70" s="8"/>
      <c r="X70" s="8"/>
      <c r="Y70" s="8"/>
      <c r="Z70" s="8"/>
      <c r="AA70" s="8"/>
      <c r="AB70" s="8"/>
      <c r="AC70" s="8"/>
      <c r="AD70" s="8"/>
      <c r="AE70" s="8"/>
      <c r="AF70" s="8"/>
      <c r="AG70" s="7"/>
      <c r="AH70" s="8"/>
      <c r="AI70" s="8"/>
      <c r="AJ70" s="8"/>
      <c r="AK70" s="8"/>
      <c r="AL70" s="8"/>
      <c r="AM70" s="8"/>
      <c r="AN70" s="8"/>
      <c r="AO70" s="8"/>
      <c r="AP70" s="8"/>
      <c r="AQ70" s="8"/>
      <c r="AR70" s="8"/>
      <c r="AS70" s="8"/>
      <c r="AT70" s="8"/>
      <c r="AU70" s="8" t="s">
        <v>85</v>
      </c>
      <c r="AV70" s="8"/>
      <c r="AW70" s="8"/>
      <c r="AX70" s="8"/>
      <c r="AY70" s="8"/>
      <c r="AZ70" s="8" t="s">
        <v>72</v>
      </c>
      <c r="BA70" s="8" t="s">
        <v>86</v>
      </c>
      <c r="BB70" s="8" t="s">
        <v>86</v>
      </c>
      <c r="BC70" s="8">
        <v>0.0</v>
      </c>
    </row>
    <row r="71">
      <c r="A71" s="3" t="s">
        <v>689</v>
      </c>
      <c r="B71" s="3" t="s">
        <v>690</v>
      </c>
      <c r="C71" s="3" t="s">
        <v>691</v>
      </c>
      <c r="D71" s="3" t="s">
        <v>690</v>
      </c>
      <c r="E71" s="3">
        <v>100000.0</v>
      </c>
      <c r="F71" s="3" t="s">
        <v>76</v>
      </c>
      <c r="G71" s="3" t="s">
        <v>692</v>
      </c>
      <c r="H71" s="5" t="s">
        <v>693</v>
      </c>
      <c r="I71" s="5" t="s">
        <v>694</v>
      </c>
      <c r="J71" s="3" t="s">
        <v>695</v>
      </c>
      <c r="K71" s="3">
        <v>8.607768901E9</v>
      </c>
      <c r="L71" s="16">
        <v>43932.490277777775</v>
      </c>
      <c r="M71" s="3"/>
      <c r="N71" s="3" t="str">
        <f t="shared" ref="N71:N73" si="17">B71</f>
        <v>AutoDeals Hero - Narnaul</v>
      </c>
      <c r="O71" s="3" t="str">
        <f t="shared" ref="O71:O73" si="18">(A71)</f>
        <v>1fuov6VFDdW_GQYt6JqaxRJIc_DBrPxXJBPo_jAzr9aE</v>
      </c>
      <c r="P71" s="3" t="s">
        <v>64</v>
      </c>
      <c r="Q71" s="8" t="s">
        <v>65</v>
      </c>
      <c r="R71" s="3" t="s">
        <v>66</v>
      </c>
      <c r="S71" s="8" t="s">
        <v>696</v>
      </c>
      <c r="T71" s="8" t="s">
        <v>68</v>
      </c>
      <c r="U71" s="8"/>
      <c r="V71" s="8"/>
      <c r="W71" s="8"/>
      <c r="X71" s="8"/>
      <c r="Y71" s="8"/>
      <c r="Z71" s="8"/>
      <c r="AA71" s="8"/>
      <c r="AB71" s="8"/>
      <c r="AC71" s="8"/>
      <c r="AD71" s="8"/>
      <c r="AE71" s="8"/>
      <c r="AF71" s="8"/>
      <c r="AG71" s="7"/>
      <c r="AH71" s="8"/>
      <c r="AI71" s="8"/>
      <c r="AJ71" s="8"/>
      <c r="AK71" s="8"/>
      <c r="AL71" s="8"/>
      <c r="AM71" s="8"/>
      <c r="AN71" s="8"/>
      <c r="AO71" s="8"/>
      <c r="AP71" s="8"/>
      <c r="AQ71" s="8"/>
      <c r="AR71" s="8"/>
      <c r="AS71" s="8"/>
      <c r="AT71" s="9" t="s">
        <v>697</v>
      </c>
      <c r="AU71" s="8" t="s">
        <v>85</v>
      </c>
      <c r="AV71" s="8"/>
      <c r="AW71" s="8"/>
      <c r="AX71" s="8"/>
      <c r="AY71" s="8"/>
      <c r="AZ71" s="8" t="s">
        <v>86</v>
      </c>
      <c r="BA71" s="8" t="s">
        <v>86</v>
      </c>
      <c r="BB71" s="8" t="s">
        <v>86</v>
      </c>
      <c r="BC71" s="8">
        <v>0.0</v>
      </c>
    </row>
    <row r="72">
      <c r="A72" s="3" t="s">
        <v>698</v>
      </c>
      <c r="B72" s="3" t="s">
        <v>699</v>
      </c>
      <c r="C72" s="3" t="s">
        <v>700</v>
      </c>
      <c r="D72" s="3" t="s">
        <v>699</v>
      </c>
      <c r="E72" s="3">
        <v>100000.0</v>
      </c>
      <c r="F72" s="3" t="s">
        <v>76</v>
      </c>
      <c r="G72" s="3" t="s">
        <v>701</v>
      </c>
      <c r="H72" s="5" t="s">
        <v>702</v>
      </c>
      <c r="I72" s="5" t="s">
        <v>703</v>
      </c>
      <c r="J72" s="3" t="s">
        <v>704</v>
      </c>
      <c r="K72" s="3">
        <v>8.929123232E9</v>
      </c>
      <c r="L72" s="16">
        <v>43932.65694444445</v>
      </c>
      <c r="M72" s="3"/>
      <c r="N72" s="3" t="str">
        <f t="shared" si="17"/>
        <v>Virendra Automobile - Rewari</v>
      </c>
      <c r="O72" s="3" t="str">
        <f t="shared" si="18"/>
        <v>1nVez-s51qjTfP2ibHDiiELEFanG-2ZCG66Y-ueax5G4</v>
      </c>
      <c r="P72" s="3" t="s">
        <v>64</v>
      </c>
      <c r="Q72" s="8" t="s">
        <v>65</v>
      </c>
      <c r="R72" s="3" t="s">
        <v>66</v>
      </c>
      <c r="S72" s="8" t="s">
        <v>705</v>
      </c>
      <c r="T72" s="8" t="s">
        <v>68</v>
      </c>
      <c r="U72" s="8"/>
      <c r="V72" s="8"/>
      <c r="W72" s="8"/>
      <c r="X72" s="8"/>
      <c r="Y72" s="8"/>
      <c r="Z72" s="8"/>
      <c r="AA72" s="8"/>
      <c r="AB72" s="8"/>
      <c r="AC72" s="8"/>
      <c r="AD72" s="8"/>
      <c r="AE72" s="8"/>
      <c r="AF72" s="8"/>
      <c r="AG72" s="7"/>
      <c r="AH72" s="8"/>
      <c r="AI72" s="8"/>
      <c r="AJ72" s="8"/>
      <c r="AK72" s="8"/>
      <c r="AL72" s="8"/>
      <c r="AM72" s="8"/>
      <c r="AN72" s="8"/>
      <c r="AO72" s="8"/>
      <c r="AP72" s="8"/>
      <c r="AQ72" s="8"/>
      <c r="AR72" s="8"/>
      <c r="AS72" s="8"/>
      <c r="AT72" s="9" t="s">
        <v>706</v>
      </c>
      <c r="AU72" s="8" t="s">
        <v>85</v>
      </c>
      <c r="AV72" s="8"/>
      <c r="AW72" s="8"/>
      <c r="AX72" s="8"/>
      <c r="AY72" s="8"/>
      <c r="AZ72" s="8" t="s">
        <v>86</v>
      </c>
      <c r="BA72" s="8" t="s">
        <v>86</v>
      </c>
      <c r="BB72" s="8" t="s">
        <v>86</v>
      </c>
      <c r="BC72" s="8">
        <v>0.0</v>
      </c>
    </row>
    <row r="73">
      <c r="A73" s="3" t="s">
        <v>707</v>
      </c>
      <c r="B73" s="3" t="s">
        <v>708</v>
      </c>
      <c r="C73" s="3" t="s">
        <v>709</v>
      </c>
      <c r="D73" s="3" t="s">
        <v>708</v>
      </c>
      <c r="E73" s="3">
        <v>100000.0</v>
      </c>
      <c r="F73" s="3" t="s">
        <v>76</v>
      </c>
      <c r="G73" s="3" t="s">
        <v>710</v>
      </c>
      <c r="H73" s="5" t="s">
        <v>711</v>
      </c>
      <c r="I73" s="5" t="s">
        <v>712</v>
      </c>
      <c r="J73" s="3" t="s">
        <v>713</v>
      </c>
      <c r="K73" s="3">
        <v>8.800494202E9</v>
      </c>
      <c r="L73" s="16">
        <v>43962.45486111111</v>
      </c>
      <c r="M73" s="3"/>
      <c r="N73" s="3" t="str">
        <f t="shared" si="17"/>
        <v>Jasodha Hero - Gurgaon</v>
      </c>
      <c r="O73" s="3" t="str">
        <f t="shared" si="18"/>
        <v>1Hj8E2ES-ce_eurfq39LWslS96OwPRrBIoxBx48204Vk</v>
      </c>
      <c r="P73" s="3" t="s">
        <v>64</v>
      </c>
      <c r="Q73" s="8" t="s">
        <v>65</v>
      </c>
      <c r="R73" s="3" t="s">
        <v>66</v>
      </c>
      <c r="S73" s="8" t="s">
        <v>67</v>
      </c>
      <c r="T73" s="8" t="s">
        <v>68</v>
      </c>
      <c r="U73" s="8"/>
      <c r="V73" s="8"/>
      <c r="W73" s="8"/>
      <c r="X73" s="8"/>
      <c r="Y73" s="8"/>
      <c r="Z73" s="8"/>
      <c r="AA73" s="8"/>
      <c r="AB73" s="8"/>
      <c r="AC73" s="8"/>
      <c r="AD73" s="8"/>
      <c r="AE73" s="8"/>
      <c r="AF73" s="8"/>
      <c r="AG73" s="7"/>
      <c r="AH73" s="8"/>
      <c r="AI73" s="8"/>
      <c r="AJ73" s="8"/>
      <c r="AK73" s="8"/>
      <c r="AL73" s="8"/>
      <c r="AM73" s="8"/>
      <c r="AN73" s="8"/>
      <c r="AO73" s="8"/>
      <c r="AP73" s="8"/>
      <c r="AQ73" s="8"/>
      <c r="AR73" s="8"/>
      <c r="AS73" s="8"/>
      <c r="AT73" s="9" t="s">
        <v>714</v>
      </c>
      <c r="AU73" s="8" t="s">
        <v>85</v>
      </c>
      <c r="AV73" s="8"/>
      <c r="AW73" s="8"/>
      <c r="AX73" s="8"/>
      <c r="AY73" s="8"/>
      <c r="AZ73" s="8" t="s">
        <v>86</v>
      </c>
      <c r="BA73" s="8" t="s">
        <v>86</v>
      </c>
      <c r="BB73" s="8" t="s">
        <v>86</v>
      </c>
      <c r="BC73" s="8">
        <v>0.0</v>
      </c>
    </row>
    <row r="74">
      <c r="A74" s="3" t="s">
        <v>715</v>
      </c>
      <c r="B74" s="3" t="s">
        <v>716</v>
      </c>
      <c r="C74" s="3" t="s">
        <v>717</v>
      </c>
      <c r="D74" s="3" t="s">
        <v>716</v>
      </c>
      <c r="E74" s="3">
        <v>100000.0</v>
      </c>
      <c r="F74" s="3" t="s">
        <v>58</v>
      </c>
      <c r="G74" s="3" t="s">
        <v>718</v>
      </c>
      <c r="H74" s="5" t="s">
        <v>719</v>
      </c>
      <c r="I74" s="5" t="s">
        <v>720</v>
      </c>
      <c r="J74" s="3" t="s">
        <v>721</v>
      </c>
      <c r="K74" s="3">
        <v>9.997071471E9</v>
      </c>
      <c r="L74" s="16">
        <v>43962.48333333333</v>
      </c>
      <c r="M74" s="3"/>
      <c r="N74" s="3" t="str">
        <f>(B7)</f>
        <v>Vikas Autowheels</v>
      </c>
      <c r="O74" s="3" t="str">
        <f>(A7)</f>
        <v>1944RLX7T1M23YXRXYoMnJ6nD_bKLldQXRpFRA0rDLvg</v>
      </c>
      <c r="P74" s="3" t="s">
        <v>142</v>
      </c>
      <c r="Q74" s="8" t="s">
        <v>65</v>
      </c>
      <c r="R74" s="3" t="s">
        <v>66</v>
      </c>
      <c r="S74" s="8" t="s">
        <v>123</v>
      </c>
      <c r="T74" s="8" t="s">
        <v>83</v>
      </c>
      <c r="U74" s="8"/>
      <c r="V74" s="8"/>
      <c r="W74" s="8"/>
      <c r="X74" s="8"/>
      <c r="Y74" s="8"/>
      <c r="Z74" s="8"/>
      <c r="AA74" s="8"/>
      <c r="AB74" s="8"/>
      <c r="AC74" s="8"/>
      <c r="AD74" s="8"/>
      <c r="AE74" s="8"/>
      <c r="AF74" s="8"/>
      <c r="AG74" s="7"/>
      <c r="AH74" s="8"/>
      <c r="AI74" s="8"/>
      <c r="AJ74" s="8"/>
      <c r="AK74" s="8"/>
      <c r="AL74" s="8"/>
      <c r="AM74" s="8"/>
      <c r="AN74" s="8"/>
      <c r="AO74" s="8"/>
      <c r="AP74" s="8"/>
      <c r="AQ74" s="8"/>
      <c r="AR74" s="8"/>
      <c r="AS74" s="8"/>
      <c r="AT74" s="8"/>
      <c r="AU74" s="8" t="s">
        <v>85</v>
      </c>
      <c r="AV74" s="8"/>
      <c r="AW74" s="8"/>
      <c r="AX74" s="8"/>
      <c r="AY74" s="8"/>
      <c r="AZ74" s="8" t="s">
        <v>72</v>
      </c>
      <c r="BA74" s="8" t="s">
        <v>86</v>
      </c>
      <c r="BB74" s="8" t="s">
        <v>86</v>
      </c>
      <c r="BC74" s="8">
        <v>0.0</v>
      </c>
    </row>
    <row r="75">
      <c r="A75" s="3" t="s">
        <v>722</v>
      </c>
      <c r="B75" s="3" t="s">
        <v>723</v>
      </c>
      <c r="C75" s="3" t="s">
        <v>724</v>
      </c>
      <c r="D75" s="3" t="s">
        <v>723</v>
      </c>
      <c r="E75" s="3">
        <v>100000.0</v>
      </c>
      <c r="F75" s="3" t="s">
        <v>58</v>
      </c>
      <c r="G75" s="3" t="s">
        <v>725</v>
      </c>
      <c r="H75" s="5" t="s">
        <v>726</v>
      </c>
      <c r="I75" s="5" t="s">
        <v>727</v>
      </c>
      <c r="J75" s="3" t="s">
        <v>728</v>
      </c>
      <c r="K75" s="3">
        <v>7.409777535E9</v>
      </c>
      <c r="L75" s="16">
        <v>43962.56458333333</v>
      </c>
      <c r="M75" s="3"/>
      <c r="N75" s="3" t="str">
        <f t="shared" ref="N75:N80" si="19">B75</f>
        <v>HLB Motors TVS - Meerut</v>
      </c>
      <c r="O75" s="3" t="str">
        <f t="shared" ref="O75:O80" si="20">(A75)</f>
        <v>1D1RDdqE2mkZVvfOLgpQ-u1EshCLZ1JGUYX0wKpQg268</v>
      </c>
      <c r="P75" s="3" t="s">
        <v>64</v>
      </c>
      <c r="Q75" s="8" t="s">
        <v>285</v>
      </c>
      <c r="R75" s="3" t="s">
        <v>66</v>
      </c>
      <c r="S75" s="8" t="s">
        <v>530</v>
      </c>
      <c r="T75" s="8" t="s">
        <v>83</v>
      </c>
      <c r="U75" s="8"/>
      <c r="V75" s="8"/>
      <c r="W75" s="8"/>
      <c r="X75" s="8"/>
      <c r="Y75" s="8"/>
      <c r="Z75" s="8"/>
      <c r="AA75" s="8"/>
      <c r="AB75" s="8"/>
      <c r="AC75" s="8"/>
      <c r="AD75" s="8"/>
      <c r="AE75" s="8"/>
      <c r="AF75" s="8"/>
      <c r="AG75" s="7"/>
      <c r="AH75" s="8"/>
      <c r="AI75" s="8"/>
      <c r="AJ75" s="8"/>
      <c r="AK75" s="8"/>
      <c r="AL75" s="8"/>
      <c r="AM75" s="8"/>
      <c r="AN75" s="8"/>
      <c r="AO75" s="8"/>
      <c r="AP75" s="8"/>
      <c r="AQ75" s="8"/>
      <c r="AR75" s="8"/>
      <c r="AS75" s="8"/>
      <c r="AT75" s="9" t="s">
        <v>729</v>
      </c>
      <c r="AU75" s="8" t="s">
        <v>730</v>
      </c>
      <c r="AV75" s="8"/>
      <c r="AW75" s="8"/>
      <c r="AX75" s="8"/>
      <c r="AY75" s="8"/>
      <c r="AZ75" s="8" t="s">
        <v>86</v>
      </c>
      <c r="BA75" s="8" t="s">
        <v>86</v>
      </c>
      <c r="BB75" s="8" t="s">
        <v>86</v>
      </c>
      <c r="BC75" s="8">
        <v>0.0</v>
      </c>
    </row>
    <row r="76">
      <c r="A76" s="3" t="s">
        <v>731</v>
      </c>
      <c r="B76" s="3" t="s">
        <v>732</v>
      </c>
      <c r="C76" s="3" t="s">
        <v>733</v>
      </c>
      <c r="D76" s="3" t="s">
        <v>734</v>
      </c>
      <c r="E76" s="3">
        <v>100000.0</v>
      </c>
      <c r="F76" s="3" t="s">
        <v>76</v>
      </c>
      <c r="G76" s="3" t="s">
        <v>735</v>
      </c>
      <c r="H76" s="5" t="s">
        <v>736</v>
      </c>
      <c r="I76" s="5" t="s">
        <v>737</v>
      </c>
      <c r="J76" s="3" t="s">
        <v>738</v>
      </c>
      <c r="K76" s="3">
        <v>9.812107551E9</v>
      </c>
      <c r="L76" s="16">
        <v>43993.498611111114</v>
      </c>
      <c r="M76" s="3"/>
      <c r="N76" s="3" t="str">
        <f t="shared" si="19"/>
        <v>SUNIL MOTORS</v>
      </c>
      <c r="O76" s="3" t="str">
        <f t="shared" si="20"/>
        <v>1ILnccgV7ri-O_RSwKJB1lo_gnaD6qL7mq_rwEC50RFA</v>
      </c>
      <c r="P76" s="3" t="s">
        <v>64</v>
      </c>
      <c r="Q76" s="8" t="s">
        <v>65</v>
      </c>
      <c r="R76" s="3" t="s">
        <v>66</v>
      </c>
      <c r="S76" s="8" t="s">
        <v>739</v>
      </c>
      <c r="T76" s="8" t="s">
        <v>68</v>
      </c>
      <c r="U76" s="8"/>
      <c r="V76" s="8"/>
      <c r="W76" s="8"/>
      <c r="X76" s="8"/>
      <c r="Y76" s="8"/>
      <c r="Z76" s="8"/>
      <c r="AA76" s="8"/>
      <c r="AB76" s="8"/>
      <c r="AC76" s="8"/>
      <c r="AD76" s="8"/>
      <c r="AE76" s="8"/>
      <c r="AF76" s="8"/>
      <c r="AG76" s="7"/>
      <c r="AH76" s="8"/>
      <c r="AI76" s="8"/>
      <c r="AJ76" s="8"/>
      <c r="AK76" s="8"/>
      <c r="AL76" s="8"/>
      <c r="AM76" s="8"/>
      <c r="AN76" s="8"/>
      <c r="AO76" s="8"/>
      <c r="AP76" s="8"/>
      <c r="AQ76" s="8"/>
      <c r="AR76" s="8"/>
      <c r="AS76" s="8"/>
      <c r="AT76" s="9" t="s">
        <v>740</v>
      </c>
      <c r="AU76" s="8" t="s">
        <v>85</v>
      </c>
      <c r="AV76" s="8"/>
      <c r="AW76" s="8"/>
      <c r="AX76" s="8"/>
      <c r="AY76" s="8"/>
      <c r="AZ76" s="8" t="s">
        <v>86</v>
      </c>
      <c r="BA76" s="8" t="s">
        <v>86</v>
      </c>
      <c r="BB76" s="8" t="s">
        <v>86</v>
      </c>
      <c r="BC76" s="8">
        <v>0.0</v>
      </c>
    </row>
    <row r="77">
      <c r="A77" s="3" t="s">
        <v>741</v>
      </c>
      <c r="B77" s="3" t="s">
        <v>742</v>
      </c>
      <c r="C77" s="3" t="s">
        <v>743</v>
      </c>
      <c r="D77" s="3" t="s">
        <v>742</v>
      </c>
      <c r="E77" s="3">
        <v>100000.0</v>
      </c>
      <c r="F77" s="3" t="s">
        <v>76</v>
      </c>
      <c r="G77" s="3" t="s">
        <v>744</v>
      </c>
      <c r="H77" s="5" t="s">
        <v>745</v>
      </c>
      <c r="I77" s="5" t="s">
        <v>746</v>
      </c>
      <c r="J77" s="3" t="s">
        <v>747</v>
      </c>
      <c r="K77" s="3">
        <v>9.812129365E9</v>
      </c>
      <c r="L77" s="16">
        <v>43993.51111111111</v>
      </c>
      <c r="M77" s="3"/>
      <c r="N77" s="3" t="str">
        <f t="shared" si="19"/>
        <v>Jaya Automobiles - Bhiwani</v>
      </c>
      <c r="O77" s="3" t="str">
        <f t="shared" si="20"/>
        <v>1fjdj_DWneQ6p5FeCIXPzszsySoRSx2_LgStCjca5XsY</v>
      </c>
      <c r="P77" s="3" t="s">
        <v>64</v>
      </c>
      <c r="Q77" s="8" t="s">
        <v>65</v>
      </c>
      <c r="R77" s="3" t="s">
        <v>66</v>
      </c>
      <c r="S77" s="8" t="s">
        <v>748</v>
      </c>
      <c r="T77" s="8" t="s">
        <v>68</v>
      </c>
      <c r="U77" s="8"/>
      <c r="V77" s="8"/>
      <c r="W77" s="8"/>
      <c r="X77" s="8"/>
      <c r="Y77" s="8"/>
      <c r="Z77" s="8"/>
      <c r="AA77" s="8"/>
      <c r="AB77" s="8"/>
      <c r="AC77" s="8"/>
      <c r="AD77" s="8"/>
      <c r="AE77" s="8"/>
      <c r="AF77" s="8"/>
      <c r="AG77" s="7"/>
      <c r="AH77" s="8"/>
      <c r="AI77" s="8"/>
      <c r="AJ77" s="8"/>
      <c r="AK77" s="8"/>
      <c r="AL77" s="8"/>
      <c r="AM77" s="8"/>
      <c r="AN77" s="8"/>
      <c r="AO77" s="8"/>
      <c r="AP77" s="8"/>
      <c r="AQ77" s="8"/>
      <c r="AR77" s="8"/>
      <c r="AS77" s="8"/>
      <c r="AT77" s="9" t="s">
        <v>749</v>
      </c>
      <c r="AU77" s="8" t="s">
        <v>85</v>
      </c>
      <c r="AV77" s="8"/>
      <c r="AW77" s="8"/>
      <c r="AX77" s="8"/>
      <c r="AY77" s="8"/>
      <c r="AZ77" s="8" t="s">
        <v>86</v>
      </c>
      <c r="BA77" s="8" t="s">
        <v>86</v>
      </c>
      <c r="BB77" s="8" t="s">
        <v>86</v>
      </c>
      <c r="BC77" s="8">
        <v>0.0</v>
      </c>
    </row>
    <row r="78">
      <c r="A78" s="3" t="s">
        <v>750</v>
      </c>
      <c r="B78" s="3" t="s">
        <v>751</v>
      </c>
      <c r="C78" s="3" t="s">
        <v>752</v>
      </c>
      <c r="D78" s="3" t="s">
        <v>751</v>
      </c>
      <c r="E78" s="3">
        <v>100000.0</v>
      </c>
      <c r="F78" s="3" t="s">
        <v>58</v>
      </c>
      <c r="G78" s="3" t="s">
        <v>753</v>
      </c>
      <c r="H78" s="5" t="s">
        <v>754</v>
      </c>
      <c r="I78" s="5" t="s">
        <v>755</v>
      </c>
      <c r="J78" s="3" t="s">
        <v>756</v>
      </c>
      <c r="K78" s="3">
        <v>9.8965918E9</v>
      </c>
      <c r="L78" s="16">
        <v>43993.626388888886</v>
      </c>
      <c r="M78" s="3"/>
      <c r="N78" s="3" t="str">
        <f t="shared" si="19"/>
        <v>Shree Shyam Bajaj - Bhiwani</v>
      </c>
      <c r="O78" s="3" t="str">
        <f t="shared" si="20"/>
        <v>17IQU0-K8aHZCBdscVJssP97WqFoWmGSZpvE9qk-0w_g</v>
      </c>
      <c r="P78" s="3" t="s">
        <v>64</v>
      </c>
      <c r="Q78" s="8" t="s">
        <v>757</v>
      </c>
      <c r="R78" s="3" t="s">
        <v>66</v>
      </c>
      <c r="S78" s="8" t="s">
        <v>748</v>
      </c>
      <c r="T78" s="8" t="s">
        <v>68</v>
      </c>
      <c r="U78" s="8"/>
      <c r="V78" s="8"/>
      <c r="W78" s="8"/>
      <c r="X78" s="8"/>
      <c r="Y78" s="8"/>
      <c r="Z78" s="8"/>
      <c r="AA78" s="8"/>
      <c r="AB78" s="8"/>
      <c r="AC78" s="8"/>
      <c r="AD78" s="8"/>
      <c r="AE78" s="8"/>
      <c r="AF78" s="8"/>
      <c r="AG78" s="7"/>
      <c r="AH78" s="8"/>
      <c r="AI78" s="8"/>
      <c r="AJ78" s="8"/>
      <c r="AK78" s="8"/>
      <c r="AL78" s="8"/>
      <c r="AM78" s="8"/>
      <c r="AN78" s="8"/>
      <c r="AO78" s="8"/>
      <c r="AP78" s="8"/>
      <c r="AQ78" s="8"/>
      <c r="AR78" s="8"/>
      <c r="AS78" s="8"/>
      <c r="AT78" s="9" t="s">
        <v>758</v>
      </c>
      <c r="AU78" s="8" t="s">
        <v>85</v>
      </c>
      <c r="AV78" s="8"/>
      <c r="AW78" s="8"/>
      <c r="AX78" s="8"/>
      <c r="AY78" s="8"/>
      <c r="AZ78" s="8" t="s">
        <v>86</v>
      </c>
      <c r="BA78" s="8" t="s">
        <v>86</v>
      </c>
      <c r="BB78" s="8" t="s">
        <v>86</v>
      </c>
      <c r="BC78" s="8">
        <v>0.0</v>
      </c>
    </row>
    <row r="79">
      <c r="A79" s="3" t="s">
        <v>759</v>
      </c>
      <c r="B79" s="3" t="s">
        <v>760</v>
      </c>
      <c r="C79" s="3" t="s">
        <v>761</v>
      </c>
      <c r="D79" s="3" t="s">
        <v>760</v>
      </c>
      <c r="E79" s="3">
        <v>100000.0</v>
      </c>
      <c r="F79" s="3" t="s">
        <v>76</v>
      </c>
      <c r="G79" s="3" t="s">
        <v>762</v>
      </c>
      <c r="H79" s="5" t="s">
        <v>763</v>
      </c>
      <c r="I79" s="5" t="s">
        <v>764</v>
      </c>
      <c r="J79" s="3" t="s">
        <v>765</v>
      </c>
      <c r="K79" s="3">
        <v>9.813875156E9</v>
      </c>
      <c r="L79" s="16">
        <v>44023.70625</v>
      </c>
      <c r="M79" s="3"/>
      <c r="N79" s="3" t="str">
        <f t="shared" si="19"/>
        <v>Chaudhary Automobiles - Hisar</v>
      </c>
      <c r="O79" s="3" t="str">
        <f t="shared" si="20"/>
        <v>1pI_tDns4A7jbcl0nEvEO_u0FclM2PyV1AT-2Q2Dx2Jo</v>
      </c>
      <c r="P79" s="3" t="s">
        <v>64</v>
      </c>
      <c r="Q79" s="8" t="s">
        <v>65</v>
      </c>
      <c r="R79" s="3" t="s">
        <v>66</v>
      </c>
      <c r="S79" s="8" t="s">
        <v>766</v>
      </c>
      <c r="T79" s="8" t="s">
        <v>68</v>
      </c>
      <c r="U79" s="8"/>
      <c r="V79" s="8"/>
      <c r="W79" s="8"/>
      <c r="X79" s="8"/>
      <c r="Y79" s="8"/>
      <c r="Z79" s="8"/>
      <c r="AA79" s="8"/>
      <c r="AB79" s="8"/>
      <c r="AC79" s="8"/>
      <c r="AD79" s="8"/>
      <c r="AE79" s="8"/>
      <c r="AF79" s="8"/>
      <c r="AG79" s="7"/>
      <c r="AH79" s="8"/>
      <c r="AI79" s="8"/>
      <c r="AJ79" s="8"/>
      <c r="AK79" s="8"/>
      <c r="AL79" s="8"/>
      <c r="AM79" s="8"/>
      <c r="AN79" s="8"/>
      <c r="AO79" s="8"/>
      <c r="AP79" s="8"/>
      <c r="AQ79" s="8"/>
      <c r="AR79" s="8"/>
      <c r="AS79" s="8"/>
      <c r="AT79" s="9" t="s">
        <v>767</v>
      </c>
      <c r="AU79" s="8" t="s">
        <v>85</v>
      </c>
      <c r="AV79" s="8"/>
      <c r="AW79" s="8"/>
      <c r="AX79" s="8"/>
      <c r="AY79" s="8"/>
      <c r="AZ79" s="8" t="s">
        <v>86</v>
      </c>
      <c r="BA79" s="8" t="s">
        <v>86</v>
      </c>
      <c r="BB79" s="8" t="s">
        <v>86</v>
      </c>
      <c r="BC79" s="8">
        <v>0.0</v>
      </c>
    </row>
    <row r="80">
      <c r="A80" s="3" t="s">
        <v>768</v>
      </c>
      <c r="B80" s="3" t="s">
        <v>769</v>
      </c>
      <c r="C80" s="3" t="s">
        <v>770</v>
      </c>
      <c r="D80" s="3" t="s">
        <v>769</v>
      </c>
      <c r="E80" s="3">
        <v>100000.0</v>
      </c>
      <c r="F80" s="3" t="s">
        <v>76</v>
      </c>
      <c r="G80" s="3" t="s">
        <v>771</v>
      </c>
      <c r="H80" s="5" t="s">
        <v>772</v>
      </c>
      <c r="I80" s="5" t="s">
        <v>773</v>
      </c>
      <c r="J80" s="3" t="s">
        <v>774</v>
      </c>
      <c r="K80" s="3">
        <v>9.416012092E9</v>
      </c>
      <c r="L80" s="16">
        <v>44054.631944444445</v>
      </c>
      <c r="M80" s="3"/>
      <c r="N80" s="3" t="str">
        <f t="shared" si="19"/>
        <v>Krishna Enterprise - Gohana</v>
      </c>
      <c r="O80" s="3" t="str">
        <f t="shared" si="20"/>
        <v>1hR0JpXiceB7xWAHLNEwMyaE9wlUgF4ljP0RD80dtSd0</v>
      </c>
      <c r="P80" s="3" t="s">
        <v>64</v>
      </c>
      <c r="Q80" s="8" t="s">
        <v>65</v>
      </c>
      <c r="R80" s="3" t="s">
        <v>66</v>
      </c>
      <c r="S80" s="8" t="s">
        <v>775</v>
      </c>
      <c r="T80" s="8" t="s">
        <v>68</v>
      </c>
      <c r="U80" s="8"/>
      <c r="V80" s="8"/>
      <c r="W80" s="8"/>
      <c r="X80" s="8"/>
      <c r="Y80" s="8"/>
      <c r="Z80" s="8"/>
      <c r="AA80" s="8"/>
      <c r="AB80" s="8"/>
      <c r="AC80" s="8"/>
      <c r="AD80" s="8"/>
      <c r="AE80" s="8"/>
      <c r="AF80" s="8"/>
      <c r="AG80" s="7"/>
      <c r="AH80" s="8"/>
      <c r="AI80" s="8"/>
      <c r="AJ80" s="8"/>
      <c r="AK80" s="8"/>
      <c r="AL80" s="8"/>
      <c r="AM80" s="8"/>
      <c r="AN80" s="8"/>
      <c r="AO80" s="8"/>
      <c r="AP80" s="8"/>
      <c r="AQ80" s="8"/>
      <c r="AR80" s="8"/>
      <c r="AS80" s="8"/>
      <c r="AT80" s="9" t="s">
        <v>776</v>
      </c>
      <c r="AU80" s="8" t="s">
        <v>85</v>
      </c>
      <c r="AV80" s="8"/>
      <c r="AW80" s="8"/>
      <c r="AX80" s="8"/>
      <c r="AY80" s="8"/>
      <c r="AZ80" s="8" t="s">
        <v>86</v>
      </c>
      <c r="BA80" s="8" t="s">
        <v>86</v>
      </c>
      <c r="BB80" s="8" t="s">
        <v>86</v>
      </c>
      <c r="BC80" s="8">
        <v>0.0</v>
      </c>
    </row>
    <row r="81">
      <c r="A81" s="3" t="s">
        <v>777</v>
      </c>
      <c r="B81" s="3" t="s">
        <v>778</v>
      </c>
      <c r="C81" s="3" t="s">
        <v>779</v>
      </c>
      <c r="D81" s="3" t="s">
        <v>778</v>
      </c>
      <c r="E81" s="3">
        <v>100000.0</v>
      </c>
      <c r="F81" s="3" t="s">
        <v>76</v>
      </c>
      <c r="G81" s="3" t="s">
        <v>780</v>
      </c>
      <c r="H81" s="5" t="s">
        <v>781</v>
      </c>
      <c r="I81" s="5" t="s">
        <v>782</v>
      </c>
      <c r="J81" s="3" t="s">
        <v>783</v>
      </c>
      <c r="K81" s="3">
        <v>9.813875156E9</v>
      </c>
      <c r="L81" s="16">
        <v>44054.71111111111</v>
      </c>
      <c r="M81" s="3"/>
      <c r="N81" s="3" t="str">
        <f>(B79)</f>
        <v>Chaudhary Automobiles - Hisar</v>
      </c>
      <c r="O81" s="3" t="str">
        <f>(A79)</f>
        <v>1pI_tDns4A7jbcl0nEvEO_u0FclM2PyV1AT-2Q2Dx2Jo</v>
      </c>
      <c r="P81" s="3" t="s">
        <v>142</v>
      </c>
      <c r="Q81" s="8" t="s">
        <v>65</v>
      </c>
      <c r="R81" s="3" t="s">
        <v>66</v>
      </c>
      <c r="S81" s="8" t="s">
        <v>766</v>
      </c>
      <c r="T81" s="8" t="s">
        <v>68</v>
      </c>
      <c r="U81" s="8"/>
      <c r="V81" s="8"/>
      <c r="W81" s="8"/>
      <c r="X81" s="8"/>
      <c r="Y81" s="8"/>
      <c r="Z81" s="8"/>
      <c r="AA81" s="8"/>
      <c r="AB81" s="8"/>
      <c r="AC81" s="8"/>
      <c r="AD81" s="8"/>
      <c r="AE81" s="8"/>
      <c r="AF81" s="8"/>
      <c r="AG81" s="7"/>
      <c r="AH81" s="8"/>
      <c r="AI81" s="8"/>
      <c r="AJ81" s="8"/>
      <c r="AK81" s="8"/>
      <c r="AL81" s="8"/>
      <c r="AM81" s="8"/>
      <c r="AN81" s="8"/>
      <c r="AO81" s="8"/>
      <c r="AP81" s="8"/>
      <c r="AQ81" s="8"/>
      <c r="AR81" s="8"/>
      <c r="AS81" s="8"/>
      <c r="AT81" s="8"/>
      <c r="AU81" s="8" t="s">
        <v>85</v>
      </c>
      <c r="AV81" s="8"/>
      <c r="AW81" s="8"/>
      <c r="AX81" s="8"/>
      <c r="AY81" s="8"/>
      <c r="AZ81" s="8" t="s">
        <v>86</v>
      </c>
      <c r="BA81" s="8" t="s">
        <v>86</v>
      </c>
      <c r="BB81" s="8" t="s">
        <v>86</v>
      </c>
      <c r="BC81" s="8">
        <v>0.0</v>
      </c>
    </row>
    <row r="82">
      <c r="A82" s="3" t="s">
        <v>784</v>
      </c>
      <c r="B82" s="3" t="s">
        <v>785</v>
      </c>
      <c r="C82" s="3" t="s">
        <v>786</v>
      </c>
      <c r="D82" s="3" t="s">
        <v>785</v>
      </c>
      <c r="E82" s="3">
        <v>100000.0</v>
      </c>
      <c r="F82" s="3" t="s">
        <v>76</v>
      </c>
      <c r="G82" s="3" t="s">
        <v>787</v>
      </c>
      <c r="H82" s="5" t="s">
        <v>788</v>
      </c>
      <c r="I82" s="5" t="s">
        <v>789</v>
      </c>
      <c r="J82" s="3" t="s">
        <v>790</v>
      </c>
      <c r="K82" s="3">
        <v>9.416012092E9</v>
      </c>
      <c r="L82" s="16">
        <v>44054.71666666667</v>
      </c>
      <c r="M82" s="3"/>
      <c r="N82" s="3" t="str">
        <f>(B82)</f>
        <v>Himanshu Automobile (KHG)</v>
      </c>
      <c r="O82" s="3" t="str">
        <f>(A82)</f>
        <v>1te-rw28wyEruXSSOAJhw4UGEPXdsOYHDVLF_IaZTrdY</v>
      </c>
      <c r="P82" s="3" t="s">
        <v>64</v>
      </c>
      <c r="Q82" s="8" t="s">
        <v>65</v>
      </c>
      <c r="R82" s="3" t="s">
        <v>66</v>
      </c>
      <c r="S82" s="8" t="s">
        <v>791</v>
      </c>
      <c r="T82" s="8" t="s">
        <v>68</v>
      </c>
      <c r="U82" s="8"/>
      <c r="V82" s="8"/>
      <c r="W82" s="8"/>
      <c r="X82" s="8"/>
      <c r="Y82" s="8"/>
      <c r="Z82" s="8"/>
      <c r="AA82" s="8"/>
      <c r="AB82" s="8"/>
      <c r="AC82" s="8"/>
      <c r="AD82" s="8"/>
      <c r="AE82" s="8"/>
      <c r="AF82" s="8"/>
      <c r="AG82" s="7"/>
      <c r="AH82" s="8"/>
      <c r="AI82" s="8"/>
      <c r="AJ82" s="8"/>
      <c r="AK82" s="8"/>
      <c r="AL82" s="8"/>
      <c r="AM82" s="8"/>
      <c r="AN82" s="8"/>
      <c r="AO82" s="8"/>
      <c r="AP82" s="8"/>
      <c r="AQ82" s="8"/>
      <c r="AR82" s="8"/>
      <c r="AS82" s="8"/>
      <c r="AT82" s="9" t="s">
        <v>792</v>
      </c>
      <c r="AU82" s="8" t="s">
        <v>85</v>
      </c>
      <c r="AV82" s="8"/>
      <c r="AW82" s="8"/>
      <c r="AX82" s="8"/>
      <c r="AY82" s="8"/>
      <c r="AZ82" s="8" t="s">
        <v>86</v>
      </c>
      <c r="BA82" s="8" t="s">
        <v>86</v>
      </c>
      <c r="BB82" s="8" t="s">
        <v>86</v>
      </c>
      <c r="BC82" s="8">
        <v>0.0</v>
      </c>
    </row>
    <row r="83">
      <c r="A83" s="3" t="s">
        <v>793</v>
      </c>
      <c r="B83" s="3" t="s">
        <v>794</v>
      </c>
      <c r="C83" s="3" t="s">
        <v>795</v>
      </c>
      <c r="D83" s="3" t="s">
        <v>794</v>
      </c>
      <c r="E83" s="3">
        <v>100000.0</v>
      </c>
      <c r="F83" s="3" t="s">
        <v>76</v>
      </c>
      <c r="G83" s="3" t="s">
        <v>796</v>
      </c>
      <c r="H83" s="5" t="s">
        <v>797</v>
      </c>
      <c r="I83" s="5" t="s">
        <v>798</v>
      </c>
      <c r="J83" s="3" t="s">
        <v>799</v>
      </c>
      <c r="K83" s="3">
        <v>9.416012092E9</v>
      </c>
      <c r="L83" s="16">
        <v>44054.725</v>
      </c>
      <c r="M83" s="3"/>
      <c r="N83" s="3" t="str">
        <f>(B80)</f>
        <v>Krishna Enterprise - Gohana</v>
      </c>
      <c r="O83" s="3" t="str">
        <f>(A80)</f>
        <v>1hR0JpXiceB7xWAHLNEwMyaE9wlUgF4ljP0RD80dtSd0</v>
      </c>
      <c r="P83" s="3" t="s">
        <v>142</v>
      </c>
      <c r="Q83" s="8" t="s">
        <v>65</v>
      </c>
      <c r="R83" s="3" t="s">
        <v>66</v>
      </c>
      <c r="S83" s="8" t="s">
        <v>775</v>
      </c>
      <c r="T83" s="8" t="s">
        <v>68</v>
      </c>
      <c r="U83" s="8"/>
      <c r="V83" s="8"/>
      <c r="W83" s="8"/>
      <c r="X83" s="8"/>
      <c r="Y83" s="8"/>
      <c r="Z83" s="8"/>
      <c r="AA83" s="8"/>
      <c r="AB83" s="8"/>
      <c r="AC83" s="8"/>
      <c r="AD83" s="8"/>
      <c r="AE83" s="8"/>
      <c r="AF83" s="8"/>
      <c r="AG83" s="7"/>
      <c r="AH83" s="8"/>
      <c r="AI83" s="8"/>
      <c r="AJ83" s="8"/>
      <c r="AK83" s="8"/>
      <c r="AL83" s="8"/>
      <c r="AM83" s="8"/>
      <c r="AN83" s="8"/>
      <c r="AO83" s="8"/>
      <c r="AP83" s="8"/>
      <c r="AQ83" s="8"/>
      <c r="AR83" s="8"/>
      <c r="AS83" s="8"/>
      <c r="AT83" s="8"/>
      <c r="AU83" s="8" t="s">
        <v>85</v>
      </c>
      <c r="AV83" s="8"/>
      <c r="AW83" s="8"/>
      <c r="AX83" s="8"/>
      <c r="AY83" s="8"/>
      <c r="AZ83" s="8" t="s">
        <v>86</v>
      </c>
      <c r="BA83" s="8" t="s">
        <v>86</v>
      </c>
      <c r="BB83" s="8" t="s">
        <v>86</v>
      </c>
      <c r="BC83" s="8">
        <v>0.0</v>
      </c>
    </row>
    <row r="84">
      <c r="A84" s="3" t="s">
        <v>800</v>
      </c>
      <c r="B84" s="3" t="s">
        <v>801</v>
      </c>
      <c r="C84" s="3" t="s">
        <v>802</v>
      </c>
      <c r="D84" s="3" t="s">
        <v>803</v>
      </c>
      <c r="E84" s="3">
        <v>100000.0</v>
      </c>
      <c r="F84" s="3" t="s">
        <v>76</v>
      </c>
      <c r="G84" s="3" t="s">
        <v>804</v>
      </c>
      <c r="H84" s="5" t="s">
        <v>805</v>
      </c>
      <c r="I84" s="5" t="s">
        <v>806</v>
      </c>
      <c r="J84" s="3" t="s">
        <v>807</v>
      </c>
      <c r="K84" s="3">
        <v>9.813875156E9</v>
      </c>
      <c r="L84" s="16">
        <v>44085.479166666664</v>
      </c>
      <c r="M84" s="3"/>
      <c r="N84" s="3" t="str">
        <f>(B79)</f>
        <v>Chaudhary Automobiles - Hisar</v>
      </c>
      <c r="O84" s="3" t="str">
        <f>(A79)</f>
        <v>1pI_tDns4A7jbcl0nEvEO_u0FclM2PyV1AT-2Q2Dx2Jo</v>
      </c>
      <c r="P84" s="3" t="s">
        <v>142</v>
      </c>
      <c r="Q84" s="8" t="s">
        <v>65</v>
      </c>
      <c r="R84" s="3" t="s">
        <v>66</v>
      </c>
      <c r="S84" s="8" t="s">
        <v>766</v>
      </c>
      <c r="T84" s="8" t="s">
        <v>68</v>
      </c>
      <c r="U84" s="8"/>
      <c r="V84" s="8"/>
      <c r="W84" s="8"/>
      <c r="X84" s="8"/>
      <c r="Y84" s="8"/>
      <c r="Z84" s="8"/>
      <c r="AA84" s="8"/>
      <c r="AB84" s="8"/>
      <c r="AC84" s="8"/>
      <c r="AD84" s="8"/>
      <c r="AE84" s="8"/>
      <c r="AF84" s="8"/>
      <c r="AG84" s="7"/>
      <c r="AH84" s="8"/>
      <c r="AI84" s="8"/>
      <c r="AJ84" s="8"/>
      <c r="AK84" s="8"/>
      <c r="AL84" s="8"/>
      <c r="AM84" s="8"/>
      <c r="AN84" s="8"/>
      <c r="AO84" s="8"/>
      <c r="AP84" s="8"/>
      <c r="AQ84" s="8"/>
      <c r="AR84" s="8"/>
      <c r="AS84" s="8"/>
      <c r="AT84" s="8"/>
      <c r="AU84" s="8" t="s">
        <v>85</v>
      </c>
      <c r="AV84" s="8"/>
      <c r="AW84" s="8"/>
      <c r="AX84" s="8"/>
      <c r="AY84" s="8"/>
      <c r="AZ84" s="8" t="s">
        <v>86</v>
      </c>
      <c r="BA84" s="8" t="s">
        <v>86</v>
      </c>
      <c r="BB84" s="8" t="s">
        <v>86</v>
      </c>
      <c r="BC84" s="8">
        <v>0.0</v>
      </c>
    </row>
    <row r="85">
      <c r="A85" s="3" t="s">
        <v>808</v>
      </c>
      <c r="B85" s="3" t="s">
        <v>809</v>
      </c>
      <c r="C85" s="3" t="s">
        <v>810</v>
      </c>
      <c r="D85" s="3" t="s">
        <v>809</v>
      </c>
      <c r="E85" s="3">
        <v>100000.0</v>
      </c>
      <c r="F85" s="3" t="s">
        <v>76</v>
      </c>
      <c r="G85" s="3" t="s">
        <v>811</v>
      </c>
      <c r="H85" s="5" t="s">
        <v>812</v>
      </c>
      <c r="I85" s="5" t="s">
        <v>813</v>
      </c>
      <c r="J85" s="3" t="s">
        <v>814</v>
      </c>
      <c r="K85" s="3">
        <v>9.812160731E9</v>
      </c>
      <c r="L85" s="16">
        <v>44085.50833333333</v>
      </c>
      <c r="M85" s="3"/>
      <c r="N85" s="3" t="str">
        <f>B85</f>
        <v>Narwana Automobiles - Narwana</v>
      </c>
      <c r="O85" s="3" t="str">
        <f>(A85)</f>
        <v>1M25XSc1w8NZMexWP6izPWIwiJI8ces6yFAUV3fB4-pA</v>
      </c>
      <c r="P85" s="3" t="s">
        <v>64</v>
      </c>
      <c r="Q85" s="8" t="s">
        <v>65</v>
      </c>
      <c r="R85" s="3" t="s">
        <v>66</v>
      </c>
      <c r="S85" s="8" t="s">
        <v>815</v>
      </c>
      <c r="T85" s="8" t="s">
        <v>68</v>
      </c>
      <c r="U85" s="8"/>
      <c r="V85" s="8"/>
      <c r="W85" s="8"/>
      <c r="X85" s="8"/>
      <c r="Y85" s="8"/>
      <c r="Z85" s="8"/>
      <c r="AA85" s="8"/>
      <c r="AB85" s="8"/>
      <c r="AC85" s="8"/>
      <c r="AD85" s="8"/>
      <c r="AE85" s="8"/>
      <c r="AF85" s="8"/>
      <c r="AG85" s="7"/>
      <c r="AH85" s="8"/>
      <c r="AI85" s="8"/>
      <c r="AJ85" s="8"/>
      <c r="AK85" s="8"/>
      <c r="AL85" s="8"/>
      <c r="AM85" s="8"/>
      <c r="AN85" s="8"/>
      <c r="AO85" s="8"/>
      <c r="AP85" s="8"/>
      <c r="AQ85" s="8"/>
      <c r="AR85" s="8"/>
      <c r="AS85" s="8"/>
      <c r="AT85" s="9" t="s">
        <v>816</v>
      </c>
      <c r="AU85" s="8" t="s">
        <v>85</v>
      </c>
      <c r="AV85" s="8"/>
      <c r="AW85" s="8"/>
      <c r="AX85" s="8"/>
      <c r="AY85" s="8"/>
      <c r="AZ85" s="8" t="s">
        <v>86</v>
      </c>
      <c r="BA85" s="8" t="s">
        <v>86</v>
      </c>
      <c r="BB85" s="8" t="s">
        <v>86</v>
      </c>
      <c r="BC85" s="8">
        <v>0.0</v>
      </c>
    </row>
    <row r="86">
      <c r="A86" s="3" t="s">
        <v>817</v>
      </c>
      <c r="B86" s="3" t="s">
        <v>818</v>
      </c>
      <c r="C86" s="3" t="s">
        <v>819</v>
      </c>
      <c r="D86" s="3" t="s">
        <v>818</v>
      </c>
      <c r="E86" s="3">
        <v>100000.0</v>
      </c>
      <c r="F86" s="3" t="s">
        <v>76</v>
      </c>
      <c r="G86" s="3" t="s">
        <v>820</v>
      </c>
      <c r="H86" s="5" t="s">
        <v>821</v>
      </c>
      <c r="I86" s="5" t="s">
        <v>822</v>
      </c>
      <c r="J86" s="3" t="s">
        <v>823</v>
      </c>
      <c r="K86" s="3">
        <v>9.813875156E9</v>
      </c>
      <c r="L86" s="16">
        <v>44085.53680555556</v>
      </c>
      <c r="M86" s="3"/>
      <c r="N86" s="3" t="str">
        <f>(B79)</f>
        <v>Chaudhary Automobiles - Hisar</v>
      </c>
      <c r="O86" s="3" t="str">
        <f>(A79)</f>
        <v>1pI_tDns4A7jbcl0nEvEO_u0FclM2PyV1AT-2Q2Dx2Jo</v>
      </c>
      <c r="P86" s="3" t="s">
        <v>142</v>
      </c>
      <c r="Q86" s="8" t="s">
        <v>65</v>
      </c>
      <c r="R86" s="3" t="s">
        <v>66</v>
      </c>
      <c r="S86" s="8" t="s">
        <v>766</v>
      </c>
      <c r="T86" s="8" t="s">
        <v>68</v>
      </c>
      <c r="U86" s="8"/>
      <c r="V86" s="8"/>
      <c r="W86" s="8"/>
      <c r="X86" s="8"/>
      <c r="Y86" s="8"/>
      <c r="Z86" s="8"/>
      <c r="AA86" s="8"/>
      <c r="AB86" s="8"/>
      <c r="AC86" s="8"/>
      <c r="AD86" s="8"/>
      <c r="AE86" s="8"/>
      <c r="AF86" s="8"/>
      <c r="AG86" s="7"/>
      <c r="AH86" s="8"/>
      <c r="AI86" s="8"/>
      <c r="AJ86" s="8"/>
      <c r="AK86" s="8"/>
      <c r="AL86" s="8"/>
      <c r="AM86" s="8"/>
      <c r="AN86" s="8"/>
      <c r="AO86" s="8"/>
      <c r="AP86" s="8"/>
      <c r="AQ86" s="8"/>
      <c r="AR86" s="8"/>
      <c r="AS86" s="8"/>
      <c r="AT86" s="8"/>
      <c r="AU86" s="8" t="s">
        <v>85</v>
      </c>
      <c r="AV86" s="8"/>
      <c r="AW86" s="8"/>
      <c r="AX86" s="8"/>
      <c r="AY86" s="8"/>
      <c r="AZ86" s="8" t="s">
        <v>86</v>
      </c>
      <c r="BA86" s="8" t="s">
        <v>86</v>
      </c>
      <c r="BB86" s="8" t="s">
        <v>86</v>
      </c>
      <c r="BC86" s="8">
        <v>0.0</v>
      </c>
    </row>
    <row r="87">
      <c r="A87" s="3" t="s">
        <v>824</v>
      </c>
      <c r="B87" s="3" t="s">
        <v>825</v>
      </c>
      <c r="C87" s="3" t="s">
        <v>826</v>
      </c>
      <c r="D87" s="3" t="s">
        <v>825</v>
      </c>
      <c r="E87" s="3">
        <v>100000.0</v>
      </c>
      <c r="F87" s="3" t="s">
        <v>76</v>
      </c>
      <c r="G87" s="3" t="s">
        <v>827</v>
      </c>
      <c r="H87" s="5" t="s">
        <v>828</v>
      </c>
      <c r="I87" s="5" t="s">
        <v>829</v>
      </c>
      <c r="J87" s="3" t="s">
        <v>830</v>
      </c>
      <c r="K87" s="3">
        <v>9.813875156E9</v>
      </c>
      <c r="L87" s="16">
        <v>44085.57013888889</v>
      </c>
      <c r="M87" s="3"/>
      <c r="N87" s="3" t="str">
        <f>(B79)</f>
        <v>Chaudhary Automobiles - Hisar</v>
      </c>
      <c r="O87" s="3" t="str">
        <f>(A79)</f>
        <v>1pI_tDns4A7jbcl0nEvEO_u0FclM2PyV1AT-2Q2Dx2Jo</v>
      </c>
      <c r="P87" s="3" t="s">
        <v>142</v>
      </c>
      <c r="Q87" s="8" t="s">
        <v>65</v>
      </c>
      <c r="R87" s="3" t="s">
        <v>66</v>
      </c>
      <c r="S87" s="8" t="s">
        <v>766</v>
      </c>
      <c r="T87" s="8" t="s">
        <v>68</v>
      </c>
      <c r="U87" s="8"/>
      <c r="V87" s="8"/>
      <c r="W87" s="8"/>
      <c r="X87" s="8"/>
      <c r="Y87" s="8"/>
      <c r="Z87" s="8"/>
      <c r="AA87" s="8"/>
      <c r="AB87" s="8"/>
      <c r="AC87" s="8"/>
      <c r="AD87" s="8"/>
      <c r="AE87" s="8"/>
      <c r="AF87" s="8"/>
      <c r="AG87" s="7"/>
      <c r="AH87" s="8"/>
      <c r="AI87" s="8"/>
      <c r="AJ87" s="8"/>
      <c r="AK87" s="8"/>
      <c r="AL87" s="8"/>
      <c r="AM87" s="8"/>
      <c r="AN87" s="8"/>
      <c r="AO87" s="8"/>
      <c r="AP87" s="8"/>
      <c r="AQ87" s="8"/>
      <c r="AR87" s="8"/>
      <c r="AS87" s="8"/>
      <c r="AT87" s="8"/>
      <c r="AU87" s="8" t="s">
        <v>85</v>
      </c>
      <c r="AV87" s="8"/>
      <c r="AW87" s="8"/>
      <c r="AX87" s="8"/>
      <c r="AY87" s="8"/>
      <c r="AZ87" s="8" t="s">
        <v>86</v>
      </c>
      <c r="BA87" s="8" t="s">
        <v>86</v>
      </c>
      <c r="BB87" s="8" t="s">
        <v>86</v>
      </c>
      <c r="BC87" s="8">
        <v>0.0</v>
      </c>
    </row>
    <row r="88">
      <c r="A88" s="3" t="s">
        <v>831</v>
      </c>
      <c r="B88" s="3" t="s">
        <v>832</v>
      </c>
      <c r="C88" s="3" t="s">
        <v>833</v>
      </c>
      <c r="D88" s="3" t="s">
        <v>832</v>
      </c>
      <c r="E88" s="3">
        <v>100000.0</v>
      </c>
      <c r="F88" s="3" t="s">
        <v>76</v>
      </c>
      <c r="G88" s="3" t="s">
        <v>834</v>
      </c>
      <c r="H88" s="5" t="s">
        <v>835</v>
      </c>
      <c r="I88" s="5" t="s">
        <v>836</v>
      </c>
      <c r="J88" s="3" t="s">
        <v>837</v>
      </c>
      <c r="K88" s="3">
        <v>9.813875156E9</v>
      </c>
      <c r="L88" s="16">
        <v>44085.59027777778</v>
      </c>
      <c r="M88" s="3"/>
      <c r="N88" s="3" t="str">
        <f>(B79)</f>
        <v>Chaudhary Automobiles - Hisar</v>
      </c>
      <c r="O88" s="3" t="str">
        <f>(A79)</f>
        <v>1pI_tDns4A7jbcl0nEvEO_u0FclM2PyV1AT-2Q2Dx2Jo</v>
      </c>
      <c r="P88" s="3" t="s">
        <v>142</v>
      </c>
      <c r="Q88" s="8" t="s">
        <v>65</v>
      </c>
      <c r="R88" s="3" t="s">
        <v>66</v>
      </c>
      <c r="S88" s="8" t="s">
        <v>766</v>
      </c>
      <c r="T88" s="8" t="s">
        <v>68</v>
      </c>
      <c r="U88" s="8"/>
      <c r="V88" s="8"/>
      <c r="W88" s="8"/>
      <c r="X88" s="8"/>
      <c r="Y88" s="8"/>
      <c r="Z88" s="8"/>
      <c r="AA88" s="8"/>
      <c r="AB88" s="8"/>
      <c r="AC88" s="8"/>
      <c r="AD88" s="8"/>
      <c r="AE88" s="8"/>
      <c r="AF88" s="8"/>
      <c r="AG88" s="7"/>
      <c r="AH88" s="8"/>
      <c r="AI88" s="8"/>
      <c r="AJ88" s="8"/>
      <c r="AK88" s="8"/>
      <c r="AL88" s="8"/>
      <c r="AM88" s="8"/>
      <c r="AN88" s="8"/>
      <c r="AO88" s="8"/>
      <c r="AP88" s="8"/>
      <c r="AQ88" s="8"/>
      <c r="AR88" s="8"/>
      <c r="AS88" s="8"/>
      <c r="AT88" s="8"/>
      <c r="AU88" s="8" t="s">
        <v>85</v>
      </c>
      <c r="AV88" s="8"/>
      <c r="AW88" s="8"/>
      <c r="AX88" s="8"/>
      <c r="AY88" s="8"/>
      <c r="AZ88" s="8" t="s">
        <v>86</v>
      </c>
      <c r="BA88" s="8" t="s">
        <v>86</v>
      </c>
      <c r="BB88" s="8" t="s">
        <v>86</v>
      </c>
      <c r="BC88" s="8">
        <v>0.0</v>
      </c>
    </row>
    <row r="89">
      <c r="A89" s="3" t="s">
        <v>838</v>
      </c>
      <c r="B89" s="3" t="s">
        <v>839</v>
      </c>
      <c r="C89" s="3" t="s">
        <v>840</v>
      </c>
      <c r="D89" s="3" t="s">
        <v>839</v>
      </c>
      <c r="E89" s="3">
        <v>100000.0</v>
      </c>
      <c r="F89" s="3" t="s">
        <v>76</v>
      </c>
      <c r="G89" s="3" t="s">
        <v>841</v>
      </c>
      <c r="H89" s="5" t="s">
        <v>842</v>
      </c>
      <c r="I89" s="5" t="s">
        <v>843</v>
      </c>
      <c r="J89" s="3" t="s">
        <v>844</v>
      </c>
      <c r="K89" s="3">
        <v>9.416281328E9</v>
      </c>
      <c r="L89" s="16">
        <v>44085.597916666666</v>
      </c>
      <c r="M89" s="3"/>
      <c r="N89" s="3" t="str">
        <f t="shared" ref="N89:N99" si="21">B89</f>
        <v>Chaudhary Auto Agency - Kaithal</v>
      </c>
      <c r="O89" s="3" t="str">
        <f t="shared" ref="O89:O99" si="22">(A89)</f>
        <v>15e1MPdmX1KahSQrgQP1EiQhxwoiZU-49rilJy51h_W8</v>
      </c>
      <c r="P89" s="3" t="s">
        <v>64</v>
      </c>
      <c r="Q89" s="8" t="s">
        <v>65</v>
      </c>
      <c r="R89" s="3" t="s">
        <v>66</v>
      </c>
      <c r="S89" s="8" t="s">
        <v>845</v>
      </c>
      <c r="T89" s="8" t="s">
        <v>68</v>
      </c>
      <c r="U89" s="8"/>
      <c r="V89" s="8"/>
      <c r="W89" s="8"/>
      <c r="X89" s="8"/>
      <c r="Y89" s="8"/>
      <c r="Z89" s="8"/>
      <c r="AA89" s="8"/>
      <c r="AB89" s="8"/>
      <c r="AC89" s="8"/>
      <c r="AD89" s="8"/>
      <c r="AE89" s="8"/>
      <c r="AF89" s="8"/>
      <c r="AG89" s="7"/>
      <c r="AH89" s="8"/>
      <c r="AI89" s="8"/>
      <c r="AJ89" s="8"/>
      <c r="AK89" s="8"/>
      <c r="AL89" s="8"/>
      <c r="AM89" s="8"/>
      <c r="AN89" s="8"/>
      <c r="AO89" s="8"/>
      <c r="AP89" s="8"/>
      <c r="AQ89" s="8"/>
      <c r="AR89" s="8"/>
      <c r="AS89" s="8"/>
      <c r="AT89" s="9" t="s">
        <v>846</v>
      </c>
      <c r="AU89" s="8" t="s">
        <v>85</v>
      </c>
      <c r="AV89" s="8"/>
      <c r="AW89" s="8"/>
      <c r="AX89" s="8"/>
      <c r="AY89" s="8"/>
      <c r="AZ89" s="8" t="s">
        <v>86</v>
      </c>
      <c r="BA89" s="8" t="s">
        <v>86</v>
      </c>
      <c r="BB89" s="8" t="s">
        <v>86</v>
      </c>
      <c r="BC89" s="8">
        <v>0.0</v>
      </c>
    </row>
    <row r="90">
      <c r="A90" s="3" t="s">
        <v>847</v>
      </c>
      <c r="B90" s="3" t="s">
        <v>848</v>
      </c>
      <c r="C90" s="3" t="s">
        <v>849</v>
      </c>
      <c r="D90" s="3" t="s">
        <v>848</v>
      </c>
      <c r="E90" s="3">
        <v>100000.0</v>
      </c>
      <c r="F90" s="3" t="s">
        <v>58</v>
      </c>
      <c r="G90" s="3" t="s">
        <v>850</v>
      </c>
      <c r="H90" s="5" t="s">
        <v>851</v>
      </c>
      <c r="I90" s="5" t="s">
        <v>852</v>
      </c>
      <c r="J90" s="3" t="s">
        <v>853</v>
      </c>
      <c r="K90" s="3">
        <v>9.050002775E9</v>
      </c>
      <c r="L90" s="16">
        <v>44085.65902777778</v>
      </c>
      <c r="M90" s="3"/>
      <c r="N90" s="3" t="str">
        <f t="shared" si="21"/>
        <v>Saraswati Enterprises - Pehowa</v>
      </c>
      <c r="O90" s="3" t="str">
        <f t="shared" si="22"/>
        <v>1DHuoK3CPfNh_Joggi61wQdiSIly5OZEhbKVvkkW9X5U</v>
      </c>
      <c r="P90" s="3" t="s">
        <v>64</v>
      </c>
      <c r="Q90" s="8" t="s">
        <v>65</v>
      </c>
      <c r="R90" s="3" t="s">
        <v>66</v>
      </c>
      <c r="S90" s="8" t="s">
        <v>854</v>
      </c>
      <c r="T90" s="8" t="s">
        <v>68</v>
      </c>
      <c r="U90" s="8"/>
      <c r="V90" s="8"/>
      <c r="W90" s="8"/>
      <c r="X90" s="8"/>
      <c r="Y90" s="8"/>
      <c r="Z90" s="8"/>
      <c r="AA90" s="8"/>
      <c r="AB90" s="8"/>
      <c r="AC90" s="8"/>
      <c r="AD90" s="8"/>
      <c r="AE90" s="8"/>
      <c r="AF90" s="8"/>
      <c r="AG90" s="7"/>
      <c r="AH90" s="8"/>
      <c r="AI90" s="8"/>
      <c r="AJ90" s="8"/>
      <c r="AK90" s="8"/>
      <c r="AL90" s="8"/>
      <c r="AM90" s="8"/>
      <c r="AN90" s="8"/>
      <c r="AO90" s="8"/>
      <c r="AP90" s="8"/>
      <c r="AQ90" s="8"/>
      <c r="AR90" s="8"/>
      <c r="AS90" s="8"/>
      <c r="AT90" s="9" t="s">
        <v>855</v>
      </c>
      <c r="AU90" s="8" t="s">
        <v>85</v>
      </c>
      <c r="AV90" s="8"/>
      <c r="AW90" s="8"/>
      <c r="AX90" s="8"/>
      <c r="AY90" s="8"/>
      <c r="AZ90" s="8" t="s">
        <v>86</v>
      </c>
      <c r="BA90" s="8" t="s">
        <v>86</v>
      </c>
      <c r="BB90" s="8" t="s">
        <v>86</v>
      </c>
      <c r="BC90" s="8">
        <v>0.0</v>
      </c>
    </row>
    <row r="91">
      <c r="A91" s="3" t="s">
        <v>856</v>
      </c>
      <c r="B91" s="3" t="s">
        <v>857</v>
      </c>
      <c r="C91" s="3" t="s">
        <v>858</v>
      </c>
      <c r="D91" s="3" t="s">
        <v>857</v>
      </c>
      <c r="E91" s="3">
        <v>100000.0</v>
      </c>
      <c r="F91" s="3" t="s">
        <v>76</v>
      </c>
      <c r="G91" s="3" t="s">
        <v>859</v>
      </c>
      <c r="H91" s="5" t="s">
        <v>860</v>
      </c>
      <c r="I91" s="5" t="s">
        <v>861</v>
      </c>
      <c r="J91" s="3" t="s">
        <v>862</v>
      </c>
      <c r="K91" s="3">
        <v>9.992222488E9</v>
      </c>
      <c r="L91" s="16">
        <v>44085.73888888889</v>
      </c>
      <c r="M91" s="3"/>
      <c r="N91" s="3" t="str">
        <f t="shared" si="21"/>
        <v>VPS HERO - KURUKSHETRA</v>
      </c>
      <c r="O91" s="3" t="str">
        <f t="shared" si="22"/>
        <v>1TuBCieryI5B9C4qUUscd4DG93Cj0YeOolwC7hs56SEg</v>
      </c>
      <c r="P91" s="3" t="s">
        <v>64</v>
      </c>
      <c r="Q91" s="8" t="s">
        <v>65</v>
      </c>
      <c r="R91" s="3" t="s">
        <v>66</v>
      </c>
      <c r="S91" s="8" t="s">
        <v>863</v>
      </c>
      <c r="T91" s="8" t="s">
        <v>68</v>
      </c>
      <c r="U91" s="8"/>
      <c r="V91" s="8"/>
      <c r="W91" s="8"/>
      <c r="X91" s="8"/>
      <c r="Y91" s="8"/>
      <c r="Z91" s="8"/>
      <c r="AA91" s="8"/>
      <c r="AB91" s="8"/>
      <c r="AC91" s="8"/>
      <c r="AD91" s="8"/>
      <c r="AE91" s="8"/>
      <c r="AF91" s="8"/>
      <c r="AG91" s="7"/>
      <c r="AH91" s="8"/>
      <c r="AI91" s="8"/>
      <c r="AJ91" s="8"/>
      <c r="AK91" s="8"/>
      <c r="AL91" s="8"/>
      <c r="AM91" s="8"/>
      <c r="AN91" s="8"/>
      <c r="AO91" s="8"/>
      <c r="AP91" s="8"/>
      <c r="AQ91" s="8"/>
      <c r="AR91" s="8"/>
      <c r="AS91" s="8"/>
      <c r="AT91" s="9" t="s">
        <v>864</v>
      </c>
      <c r="AU91" s="8" t="s">
        <v>85</v>
      </c>
      <c r="AV91" s="8"/>
      <c r="AW91" s="8"/>
      <c r="AX91" s="8"/>
      <c r="AY91" s="8"/>
      <c r="AZ91" s="8" t="s">
        <v>86</v>
      </c>
      <c r="BA91" s="8" t="s">
        <v>86</v>
      </c>
      <c r="BB91" s="8" t="s">
        <v>86</v>
      </c>
      <c r="BC91" s="8">
        <v>0.0</v>
      </c>
    </row>
    <row r="92">
      <c r="A92" s="3" t="s">
        <v>865</v>
      </c>
      <c r="B92" s="3" t="s">
        <v>866</v>
      </c>
      <c r="C92" s="3" t="s">
        <v>867</v>
      </c>
      <c r="D92" s="3" t="s">
        <v>866</v>
      </c>
      <c r="E92" s="3">
        <v>100000.0</v>
      </c>
      <c r="F92" s="3" t="s">
        <v>76</v>
      </c>
      <c r="G92" s="3" t="s">
        <v>868</v>
      </c>
      <c r="H92" s="5" t="s">
        <v>869</v>
      </c>
      <c r="I92" s="5" t="s">
        <v>870</v>
      </c>
      <c r="J92" s="3" t="s">
        <v>871</v>
      </c>
      <c r="K92" s="3">
        <v>9.996000088E9</v>
      </c>
      <c r="L92" s="18">
        <v>44146.540972222225</v>
      </c>
      <c r="M92" s="3"/>
      <c r="N92" s="3" t="str">
        <f t="shared" si="21"/>
        <v>Rohit Automobiles - Yamuna Nagar</v>
      </c>
      <c r="O92" s="3" t="str">
        <f t="shared" si="22"/>
        <v>1eiTogQPi-sHfdl6mZbOd9WL047mVrKOSLuFH6hsfT4U</v>
      </c>
      <c r="P92" s="3" t="s">
        <v>64</v>
      </c>
      <c r="Q92" s="8" t="s">
        <v>65</v>
      </c>
      <c r="R92" s="3" t="s">
        <v>66</v>
      </c>
      <c r="S92" s="8" t="s">
        <v>863</v>
      </c>
      <c r="T92" s="8" t="s">
        <v>68</v>
      </c>
      <c r="U92" s="8"/>
      <c r="V92" s="8"/>
      <c r="W92" s="8"/>
      <c r="X92" s="8"/>
      <c r="Y92" s="8"/>
      <c r="Z92" s="8"/>
      <c r="AA92" s="8"/>
      <c r="AB92" s="8"/>
      <c r="AC92" s="8"/>
      <c r="AD92" s="8"/>
      <c r="AE92" s="8"/>
      <c r="AF92" s="8"/>
      <c r="AG92" s="7"/>
      <c r="AH92" s="8"/>
      <c r="AI92" s="8"/>
      <c r="AJ92" s="8"/>
      <c r="AK92" s="8"/>
      <c r="AL92" s="8"/>
      <c r="AM92" s="8"/>
      <c r="AN92" s="8"/>
      <c r="AO92" s="8"/>
      <c r="AP92" s="8"/>
      <c r="AQ92" s="8"/>
      <c r="AR92" s="8"/>
      <c r="AS92" s="8"/>
      <c r="AT92" s="9" t="s">
        <v>872</v>
      </c>
      <c r="AU92" s="8" t="s">
        <v>85</v>
      </c>
      <c r="AV92" s="8"/>
      <c r="AW92" s="8"/>
      <c r="AX92" s="8"/>
      <c r="AY92" s="8"/>
      <c r="AZ92" s="8" t="s">
        <v>86</v>
      </c>
      <c r="BA92" s="8" t="s">
        <v>86</v>
      </c>
      <c r="BB92" s="8" t="s">
        <v>86</v>
      </c>
      <c r="BC92" s="8">
        <v>0.0</v>
      </c>
    </row>
    <row r="93">
      <c r="A93" s="3" t="s">
        <v>873</v>
      </c>
      <c r="B93" s="3" t="s">
        <v>874</v>
      </c>
      <c r="C93" s="3" t="s">
        <v>875</v>
      </c>
      <c r="D93" s="3" t="s">
        <v>874</v>
      </c>
      <c r="E93" s="3">
        <v>100000.0</v>
      </c>
      <c r="F93" s="3" t="s">
        <v>76</v>
      </c>
      <c r="G93" s="3" t="s">
        <v>876</v>
      </c>
      <c r="H93" s="5" t="s">
        <v>877</v>
      </c>
      <c r="I93" s="5" t="s">
        <v>878</v>
      </c>
      <c r="J93" s="3" t="s">
        <v>879</v>
      </c>
      <c r="K93" s="3">
        <v>9.416405388E9</v>
      </c>
      <c r="L93" s="18">
        <v>44146.63263888889</v>
      </c>
      <c r="M93" s="3"/>
      <c r="N93" s="3" t="str">
        <f t="shared" si="21"/>
        <v>Sahib Motors - Panipat</v>
      </c>
      <c r="O93" s="3" t="str">
        <f t="shared" si="22"/>
        <v>1K6oaFfzdWrW0ygNwDwWBmlm6lWJxWCUD9ydsyisVA7A</v>
      </c>
      <c r="P93" s="3" t="s">
        <v>64</v>
      </c>
      <c r="Q93" s="8" t="s">
        <v>65</v>
      </c>
      <c r="R93" s="3" t="s">
        <v>66</v>
      </c>
      <c r="S93" s="8" t="s">
        <v>880</v>
      </c>
      <c r="T93" s="8" t="s">
        <v>68</v>
      </c>
      <c r="U93" s="8"/>
      <c r="V93" s="8"/>
      <c r="W93" s="8"/>
      <c r="X93" s="8"/>
      <c r="Y93" s="8"/>
      <c r="Z93" s="8"/>
      <c r="AA93" s="8"/>
      <c r="AB93" s="8"/>
      <c r="AC93" s="8"/>
      <c r="AD93" s="8"/>
      <c r="AE93" s="8"/>
      <c r="AF93" s="8"/>
      <c r="AG93" s="7"/>
      <c r="AH93" s="8"/>
      <c r="AI93" s="8"/>
      <c r="AJ93" s="8"/>
      <c r="AK93" s="8"/>
      <c r="AL93" s="8"/>
      <c r="AM93" s="8"/>
      <c r="AN93" s="8"/>
      <c r="AO93" s="8"/>
      <c r="AP93" s="8"/>
      <c r="AQ93" s="8"/>
      <c r="AR93" s="8"/>
      <c r="AS93" s="8"/>
      <c r="AT93" s="9" t="s">
        <v>881</v>
      </c>
      <c r="AU93" s="8" t="s">
        <v>85</v>
      </c>
      <c r="AV93" s="8"/>
      <c r="AW93" s="8"/>
      <c r="AX93" s="8"/>
      <c r="AY93" s="8"/>
      <c r="AZ93" s="8" t="s">
        <v>86</v>
      </c>
      <c r="BA93" s="8" t="s">
        <v>86</v>
      </c>
      <c r="BB93" s="8" t="s">
        <v>86</v>
      </c>
      <c r="BC93" s="8">
        <v>0.0</v>
      </c>
    </row>
    <row r="94">
      <c r="A94" s="3" t="s">
        <v>882</v>
      </c>
      <c r="B94" s="3" t="s">
        <v>883</v>
      </c>
      <c r="C94" s="3" t="s">
        <v>884</v>
      </c>
      <c r="D94" s="3" t="s">
        <v>883</v>
      </c>
      <c r="E94" s="3">
        <v>100000.0</v>
      </c>
      <c r="F94" s="3" t="s">
        <v>76</v>
      </c>
      <c r="G94" s="3" t="s">
        <v>885</v>
      </c>
      <c r="H94" s="5" t="s">
        <v>886</v>
      </c>
      <c r="I94" s="5" t="s">
        <v>887</v>
      </c>
      <c r="J94" s="3" t="s">
        <v>888</v>
      </c>
      <c r="K94" s="3">
        <v>9.466693525E9</v>
      </c>
      <c r="L94" s="18">
        <v>44146.70972222222</v>
      </c>
      <c r="M94" s="3"/>
      <c r="N94" s="3" t="str">
        <f t="shared" si="21"/>
        <v>LAKSHMI AUTOMOBILES - GHARAUNDA</v>
      </c>
      <c r="O94" s="3" t="str">
        <f t="shared" si="22"/>
        <v>1-Ht1VJM8lu7HceWxxtL7iafzmbHFLLgtLF3OJk7V8IQ</v>
      </c>
      <c r="P94" s="3" t="s">
        <v>64</v>
      </c>
      <c r="Q94" s="8" t="s">
        <v>65</v>
      </c>
      <c r="R94" s="3" t="s">
        <v>66</v>
      </c>
      <c r="S94" s="8" t="s">
        <v>889</v>
      </c>
      <c r="T94" s="8" t="s">
        <v>68</v>
      </c>
      <c r="U94" s="8"/>
      <c r="V94" s="8"/>
      <c r="W94" s="8"/>
      <c r="X94" s="8"/>
      <c r="Y94" s="8"/>
      <c r="Z94" s="8"/>
      <c r="AA94" s="8"/>
      <c r="AB94" s="8"/>
      <c r="AC94" s="8"/>
      <c r="AD94" s="8"/>
      <c r="AE94" s="8"/>
      <c r="AF94" s="8"/>
      <c r="AG94" s="7"/>
      <c r="AH94" s="8"/>
      <c r="AI94" s="8"/>
      <c r="AJ94" s="8"/>
      <c r="AK94" s="8"/>
      <c r="AL94" s="8"/>
      <c r="AM94" s="8"/>
      <c r="AN94" s="8"/>
      <c r="AO94" s="8"/>
      <c r="AP94" s="8"/>
      <c r="AQ94" s="8"/>
      <c r="AR94" s="8"/>
      <c r="AS94" s="8"/>
      <c r="AT94" s="9" t="s">
        <v>890</v>
      </c>
      <c r="AU94" s="8" t="s">
        <v>85</v>
      </c>
      <c r="AV94" s="8"/>
      <c r="AW94" s="8"/>
      <c r="AX94" s="8"/>
      <c r="AY94" s="8"/>
      <c r="AZ94" s="8" t="s">
        <v>86</v>
      </c>
      <c r="BA94" s="8" t="s">
        <v>86</v>
      </c>
      <c r="BB94" s="8" t="s">
        <v>86</v>
      </c>
      <c r="BC94" s="8">
        <v>0.0</v>
      </c>
    </row>
    <row r="95">
      <c r="A95" s="3" t="s">
        <v>891</v>
      </c>
      <c r="B95" s="3" t="s">
        <v>892</v>
      </c>
      <c r="C95" s="3" t="s">
        <v>893</v>
      </c>
      <c r="D95" s="3" t="s">
        <v>894</v>
      </c>
      <c r="E95" s="3">
        <v>100000.0</v>
      </c>
      <c r="F95" s="3" t="s">
        <v>76</v>
      </c>
      <c r="G95" s="3" t="s">
        <v>895</v>
      </c>
      <c r="H95" s="5" t="s">
        <v>896</v>
      </c>
      <c r="I95" s="5" t="s">
        <v>897</v>
      </c>
      <c r="J95" s="3" t="s">
        <v>898</v>
      </c>
      <c r="K95" s="3">
        <v>9.999999999E9</v>
      </c>
      <c r="L95" s="6" t="s">
        <v>899</v>
      </c>
      <c r="M95" s="3"/>
      <c r="N95" s="3" t="str">
        <f t="shared" si="21"/>
        <v>Testing Ravi</v>
      </c>
      <c r="O95" s="3" t="str">
        <f t="shared" si="22"/>
        <v>1Wxkr9M9brzH_Qd8RBgAFdg3jgvfV-5e6mlbAaitWxss</v>
      </c>
      <c r="P95" s="3" t="s">
        <v>64</v>
      </c>
      <c r="Q95" s="8" t="s">
        <v>65</v>
      </c>
      <c r="R95" s="3" t="s">
        <v>66</v>
      </c>
      <c r="S95" s="8" t="s">
        <v>67</v>
      </c>
      <c r="T95" s="8" t="s">
        <v>68</v>
      </c>
      <c r="U95" s="8"/>
      <c r="V95" s="8"/>
      <c r="W95" s="8"/>
      <c r="X95" s="8"/>
      <c r="Y95" s="8"/>
      <c r="Z95" s="8"/>
      <c r="AA95" s="8"/>
      <c r="AB95" s="8"/>
      <c r="AC95" s="8"/>
      <c r="AD95" s="8"/>
      <c r="AE95" s="8"/>
      <c r="AF95" s="8"/>
      <c r="AG95" s="7"/>
      <c r="AH95" s="8"/>
      <c r="AI95" s="8"/>
      <c r="AJ95" s="8"/>
      <c r="AK95" s="8"/>
      <c r="AL95" s="8"/>
      <c r="AM95" s="8"/>
      <c r="AN95" s="8"/>
      <c r="AO95" s="8"/>
      <c r="AP95" s="8"/>
      <c r="AQ95" s="8"/>
      <c r="AR95" s="8"/>
      <c r="AS95" s="8"/>
      <c r="AT95" s="9" t="s">
        <v>900</v>
      </c>
      <c r="AU95" s="8" t="s">
        <v>85</v>
      </c>
      <c r="AV95" s="8"/>
      <c r="AW95" s="8"/>
      <c r="AX95" s="8"/>
      <c r="AY95" s="8"/>
      <c r="AZ95" s="8" t="s">
        <v>86</v>
      </c>
      <c r="BA95" s="8" t="s">
        <v>86</v>
      </c>
      <c r="BB95" s="8" t="s">
        <v>86</v>
      </c>
      <c r="BC95" s="8">
        <v>0.0</v>
      </c>
    </row>
    <row r="96">
      <c r="A96" s="3" t="s">
        <v>901</v>
      </c>
      <c r="B96" s="3" t="s">
        <v>902</v>
      </c>
      <c r="C96" s="3" t="s">
        <v>903</v>
      </c>
      <c r="D96" s="3" t="s">
        <v>902</v>
      </c>
      <c r="E96" s="3">
        <v>100000.0</v>
      </c>
      <c r="F96" s="3" t="s">
        <v>76</v>
      </c>
      <c r="G96" s="3" t="s">
        <v>904</v>
      </c>
      <c r="H96" s="5" t="s">
        <v>905</v>
      </c>
      <c r="I96" s="5" t="s">
        <v>906</v>
      </c>
      <c r="J96" s="3" t="s">
        <v>907</v>
      </c>
      <c r="K96" s="3">
        <v>9.315522796E9</v>
      </c>
      <c r="L96" s="6" t="s">
        <v>908</v>
      </c>
      <c r="M96" s="3"/>
      <c r="N96" s="3" t="str">
        <f t="shared" si="21"/>
        <v>National Automobile - Jind</v>
      </c>
      <c r="O96" s="3" t="str">
        <f t="shared" si="22"/>
        <v>1KaEmNIMK0XXiIsA6XQ7GNELp4AsXjf8BnThrJvzVk2Q</v>
      </c>
      <c r="P96" s="3" t="s">
        <v>64</v>
      </c>
      <c r="Q96" s="8" t="s">
        <v>65</v>
      </c>
      <c r="R96" s="3" t="s">
        <v>66</v>
      </c>
      <c r="S96" s="8" t="s">
        <v>909</v>
      </c>
      <c r="T96" s="8" t="s">
        <v>68</v>
      </c>
      <c r="U96" s="8"/>
      <c r="V96" s="8"/>
      <c r="W96" s="8"/>
      <c r="X96" s="8"/>
      <c r="Y96" s="8"/>
      <c r="Z96" s="8"/>
      <c r="AA96" s="8"/>
      <c r="AB96" s="8"/>
      <c r="AC96" s="8"/>
      <c r="AD96" s="8"/>
      <c r="AE96" s="8"/>
      <c r="AF96" s="8"/>
      <c r="AG96" s="7"/>
      <c r="AH96" s="8"/>
      <c r="AI96" s="8"/>
      <c r="AJ96" s="8"/>
      <c r="AK96" s="8"/>
      <c r="AL96" s="8"/>
      <c r="AM96" s="8"/>
      <c r="AN96" s="8"/>
      <c r="AO96" s="8"/>
      <c r="AP96" s="8"/>
      <c r="AQ96" s="8"/>
      <c r="AR96" s="8"/>
      <c r="AS96" s="8"/>
      <c r="AT96" s="9" t="s">
        <v>910</v>
      </c>
      <c r="AU96" s="8" t="s">
        <v>85</v>
      </c>
      <c r="AV96" s="8"/>
      <c r="AW96" s="8"/>
      <c r="AX96" s="8"/>
      <c r="AY96" s="8"/>
      <c r="AZ96" s="8" t="s">
        <v>86</v>
      </c>
      <c r="BA96" s="8" t="s">
        <v>86</v>
      </c>
      <c r="BB96" s="8" t="s">
        <v>86</v>
      </c>
      <c r="BC96" s="8">
        <v>0.0</v>
      </c>
    </row>
    <row r="97">
      <c r="A97" s="3" t="s">
        <v>911</v>
      </c>
      <c r="B97" s="3" t="s">
        <v>912</v>
      </c>
      <c r="C97" s="3" t="s">
        <v>913</v>
      </c>
      <c r="D97" s="3" t="s">
        <v>912</v>
      </c>
      <c r="E97" s="3">
        <v>100000.0</v>
      </c>
      <c r="F97" s="3" t="s">
        <v>76</v>
      </c>
      <c r="G97" s="3" t="s">
        <v>914</v>
      </c>
      <c r="H97" s="5" t="s">
        <v>915</v>
      </c>
      <c r="I97" s="5" t="s">
        <v>916</v>
      </c>
      <c r="J97" s="3" t="s">
        <v>917</v>
      </c>
      <c r="K97" s="3">
        <v>9.812028246E9</v>
      </c>
      <c r="L97" s="6" t="s">
        <v>918</v>
      </c>
      <c r="M97" s="3"/>
      <c r="N97" s="3" t="str">
        <f t="shared" si="21"/>
        <v>Karan Automobiles - Dabwali</v>
      </c>
      <c r="O97" s="3" t="str">
        <f t="shared" si="22"/>
        <v>1kk6retEj7a8ElwHKY3kD7Cti9VMfyX-Nt8jZobYqikg</v>
      </c>
      <c r="P97" s="3" t="s">
        <v>64</v>
      </c>
      <c r="Q97" s="8" t="s">
        <v>65</v>
      </c>
      <c r="R97" s="3" t="s">
        <v>66</v>
      </c>
      <c r="S97" s="8" t="s">
        <v>919</v>
      </c>
      <c r="T97" s="8" t="s">
        <v>68</v>
      </c>
      <c r="U97" s="8"/>
      <c r="V97" s="8"/>
      <c r="W97" s="8"/>
      <c r="X97" s="8"/>
      <c r="Y97" s="8"/>
      <c r="Z97" s="8"/>
      <c r="AA97" s="8"/>
      <c r="AB97" s="8"/>
      <c r="AC97" s="8"/>
      <c r="AD97" s="8"/>
      <c r="AE97" s="8"/>
      <c r="AF97" s="8"/>
      <c r="AG97" s="7"/>
      <c r="AH97" s="8"/>
      <c r="AI97" s="8"/>
      <c r="AJ97" s="8"/>
      <c r="AK97" s="8"/>
      <c r="AL97" s="8"/>
      <c r="AM97" s="8"/>
      <c r="AN97" s="8"/>
      <c r="AO97" s="8"/>
      <c r="AP97" s="8"/>
      <c r="AQ97" s="8"/>
      <c r="AR97" s="8"/>
      <c r="AS97" s="8"/>
      <c r="AT97" s="9" t="s">
        <v>920</v>
      </c>
      <c r="AU97" s="8" t="s">
        <v>85</v>
      </c>
      <c r="AV97" s="8"/>
      <c r="AW97" s="8"/>
      <c r="AX97" s="8"/>
      <c r="AY97" s="8"/>
      <c r="AZ97" s="8" t="s">
        <v>86</v>
      </c>
      <c r="BA97" s="8" t="s">
        <v>86</v>
      </c>
      <c r="BB97" s="8" t="s">
        <v>86</v>
      </c>
      <c r="BC97" s="8">
        <v>0.0</v>
      </c>
    </row>
    <row r="98">
      <c r="A98" s="3" t="s">
        <v>921</v>
      </c>
      <c r="B98" s="3" t="s">
        <v>922</v>
      </c>
      <c r="C98" s="3" t="s">
        <v>923</v>
      </c>
      <c r="D98" s="3" t="s">
        <v>922</v>
      </c>
      <c r="E98" s="3">
        <v>100000.0</v>
      </c>
      <c r="F98" s="3" t="s">
        <v>76</v>
      </c>
      <c r="G98" s="3" t="s">
        <v>924</v>
      </c>
      <c r="H98" s="5" t="s">
        <v>925</v>
      </c>
      <c r="I98" s="5" t="s">
        <v>926</v>
      </c>
      <c r="J98" s="3" t="s">
        <v>927</v>
      </c>
      <c r="K98" s="3">
        <v>9.416014223E9</v>
      </c>
      <c r="L98" s="6" t="s">
        <v>928</v>
      </c>
      <c r="M98" s="3"/>
      <c r="N98" s="3" t="str">
        <f t="shared" si="21"/>
        <v>Ajit Automobiles - Ellenabad</v>
      </c>
      <c r="O98" s="3" t="str">
        <f t="shared" si="22"/>
        <v>13RsJ1T_W8o2VNE9w100mgEYjOaU-1jlpABRILPpMAjs</v>
      </c>
      <c r="P98" s="3" t="s">
        <v>64</v>
      </c>
      <c r="Q98" s="8" t="s">
        <v>65</v>
      </c>
      <c r="R98" s="3" t="s">
        <v>66</v>
      </c>
      <c r="S98" s="8" t="s">
        <v>929</v>
      </c>
      <c r="T98" s="8" t="s">
        <v>83</v>
      </c>
      <c r="U98" s="8"/>
      <c r="V98" s="8"/>
      <c r="W98" s="8"/>
      <c r="X98" s="8"/>
      <c r="Y98" s="8"/>
      <c r="Z98" s="8"/>
      <c r="AA98" s="8"/>
      <c r="AB98" s="8"/>
      <c r="AC98" s="8"/>
      <c r="AD98" s="8"/>
      <c r="AE98" s="8"/>
      <c r="AF98" s="8"/>
      <c r="AG98" s="7"/>
      <c r="AH98" s="8"/>
      <c r="AI98" s="8"/>
      <c r="AJ98" s="8"/>
      <c r="AK98" s="8"/>
      <c r="AL98" s="8"/>
      <c r="AM98" s="8"/>
      <c r="AN98" s="8"/>
      <c r="AO98" s="8"/>
      <c r="AP98" s="8"/>
      <c r="AQ98" s="8"/>
      <c r="AR98" s="8"/>
      <c r="AS98" s="8"/>
      <c r="AT98" s="9" t="s">
        <v>930</v>
      </c>
      <c r="AU98" s="8" t="s">
        <v>85</v>
      </c>
      <c r="AV98" s="8"/>
      <c r="AW98" s="8"/>
      <c r="AX98" s="8"/>
      <c r="AY98" s="8"/>
      <c r="AZ98" s="8" t="s">
        <v>86</v>
      </c>
      <c r="BA98" s="8" t="s">
        <v>86</v>
      </c>
      <c r="BB98" s="8" t="s">
        <v>86</v>
      </c>
      <c r="BC98" s="8">
        <v>0.0</v>
      </c>
    </row>
    <row r="99">
      <c r="A99" s="3" t="s">
        <v>931</v>
      </c>
      <c r="B99" s="3" t="s">
        <v>932</v>
      </c>
      <c r="C99" s="3" t="s">
        <v>933</v>
      </c>
      <c r="D99" s="3" t="s">
        <v>932</v>
      </c>
      <c r="E99" s="3">
        <v>100000.0</v>
      </c>
      <c r="F99" s="3" t="s">
        <v>58</v>
      </c>
      <c r="G99" s="3" t="s">
        <v>934</v>
      </c>
      <c r="H99" s="5" t="s">
        <v>935</v>
      </c>
      <c r="I99" s="5" t="s">
        <v>936</v>
      </c>
      <c r="J99" s="3" t="s">
        <v>937</v>
      </c>
      <c r="K99" s="3">
        <v>9.81235E9</v>
      </c>
      <c r="L99" s="6" t="s">
        <v>938</v>
      </c>
      <c r="M99" s="3"/>
      <c r="N99" s="3" t="str">
        <f t="shared" si="21"/>
        <v>Shivam Auto - Rohtak</v>
      </c>
      <c r="O99" s="3" t="str">
        <f t="shared" si="22"/>
        <v>1nEWA1qF6Gna7lK-YjdC89uY5m1GPuTi_8hhe6AxW12M</v>
      </c>
      <c r="P99" s="3" t="s">
        <v>64</v>
      </c>
      <c r="Q99" s="8" t="s">
        <v>65</v>
      </c>
      <c r="R99" s="3" t="s">
        <v>66</v>
      </c>
      <c r="S99" s="8" t="s">
        <v>939</v>
      </c>
      <c r="T99" s="8" t="s">
        <v>68</v>
      </c>
      <c r="U99" s="8"/>
      <c r="V99" s="8"/>
      <c r="W99" s="8"/>
      <c r="X99" s="8"/>
      <c r="Y99" s="8"/>
      <c r="Z99" s="8"/>
      <c r="AA99" s="8"/>
      <c r="AB99" s="8"/>
      <c r="AC99" s="8"/>
      <c r="AD99" s="8"/>
      <c r="AE99" s="8"/>
      <c r="AF99" s="8"/>
      <c r="AG99" s="7"/>
      <c r="AH99" s="8"/>
      <c r="AI99" s="8"/>
      <c r="AJ99" s="8"/>
      <c r="AK99" s="8"/>
      <c r="AL99" s="8"/>
      <c r="AM99" s="8"/>
      <c r="AN99" s="8"/>
      <c r="AO99" s="8"/>
      <c r="AP99" s="8"/>
      <c r="AQ99" s="8"/>
      <c r="AR99" s="8"/>
      <c r="AS99" s="8"/>
      <c r="AT99" s="9" t="s">
        <v>940</v>
      </c>
      <c r="AU99" s="8" t="s">
        <v>85</v>
      </c>
      <c r="AV99" s="8"/>
      <c r="AW99" s="8"/>
      <c r="AX99" s="8"/>
      <c r="AY99" s="8"/>
      <c r="AZ99" s="8" t="s">
        <v>86</v>
      </c>
      <c r="BA99" s="8" t="s">
        <v>86</v>
      </c>
      <c r="BB99" s="8" t="s">
        <v>86</v>
      </c>
      <c r="BC99" s="8">
        <v>0.0</v>
      </c>
    </row>
    <row r="100">
      <c r="A100" s="3" t="s">
        <v>941</v>
      </c>
      <c r="B100" s="3" t="s">
        <v>942</v>
      </c>
      <c r="C100" s="3" t="s">
        <v>943</v>
      </c>
      <c r="D100" s="3" t="s">
        <v>944</v>
      </c>
      <c r="E100" s="3">
        <v>100000.0</v>
      </c>
      <c r="F100" s="3" t="s">
        <v>58</v>
      </c>
      <c r="G100" s="3" t="s">
        <v>945</v>
      </c>
      <c r="H100" s="5" t="s">
        <v>946</v>
      </c>
      <c r="I100" s="5" t="s">
        <v>947</v>
      </c>
      <c r="J100" s="3" t="s">
        <v>948</v>
      </c>
      <c r="K100" s="3">
        <v>9.675232868E9</v>
      </c>
      <c r="L100" s="6" t="s">
        <v>949</v>
      </c>
      <c r="M100" s="3"/>
      <c r="N100" s="3" t="str">
        <f>(B20)</f>
        <v>Singla Auto Agencies (Noida)</v>
      </c>
      <c r="O100" s="3" t="str">
        <f>(A20)</f>
        <v>1aig_7rzTvnQej6pxtLbGhfZNPUH2VLzHk2NHcxmPOhg</v>
      </c>
      <c r="P100" s="3" t="s">
        <v>142</v>
      </c>
      <c r="Q100" s="8" t="s">
        <v>65</v>
      </c>
      <c r="R100" s="3" t="s">
        <v>66</v>
      </c>
      <c r="S100" s="8" t="s">
        <v>188</v>
      </c>
      <c r="T100" s="8" t="s">
        <v>83</v>
      </c>
      <c r="U100" s="8"/>
      <c r="V100" s="8"/>
      <c r="W100" s="8"/>
      <c r="X100" s="8"/>
      <c r="Y100" s="8"/>
      <c r="Z100" s="8"/>
      <c r="AA100" s="8"/>
      <c r="AB100" s="8"/>
      <c r="AC100" s="8"/>
      <c r="AD100" s="8"/>
      <c r="AE100" s="8"/>
      <c r="AF100" s="8"/>
      <c r="AG100" s="7"/>
      <c r="AH100" s="8"/>
      <c r="AI100" s="8"/>
      <c r="AJ100" s="8"/>
      <c r="AK100" s="8"/>
      <c r="AL100" s="8"/>
      <c r="AM100" s="8"/>
      <c r="AN100" s="8"/>
      <c r="AO100" s="8"/>
      <c r="AP100" s="8"/>
      <c r="AQ100" s="8"/>
      <c r="AR100" s="8"/>
      <c r="AS100" s="8"/>
      <c r="AT100" s="8"/>
      <c r="AU100" s="8" t="s">
        <v>85</v>
      </c>
      <c r="AV100" s="8"/>
      <c r="AW100" s="8"/>
      <c r="AX100" s="8"/>
      <c r="AY100" s="8"/>
      <c r="AZ100" s="8" t="s">
        <v>86</v>
      </c>
      <c r="BA100" s="8" t="s">
        <v>86</v>
      </c>
      <c r="BB100" s="8" t="s">
        <v>86</v>
      </c>
      <c r="BC100" s="8">
        <v>0.0</v>
      </c>
    </row>
    <row r="101">
      <c r="A101" s="3" t="s">
        <v>950</v>
      </c>
      <c r="B101" s="3" t="s">
        <v>951</v>
      </c>
      <c r="C101" s="3" t="s">
        <v>952</v>
      </c>
      <c r="D101" s="3" t="s">
        <v>951</v>
      </c>
      <c r="E101" s="3">
        <v>100000.0</v>
      </c>
      <c r="F101" s="3" t="s">
        <v>76</v>
      </c>
      <c r="G101" s="3" t="s">
        <v>953</v>
      </c>
      <c r="H101" s="5" t="s">
        <v>954</v>
      </c>
      <c r="I101" s="5" t="s">
        <v>955</v>
      </c>
      <c r="J101" s="3" t="s">
        <v>956</v>
      </c>
      <c r="K101" s="3">
        <v>9.034581886E9</v>
      </c>
      <c r="L101" s="6" t="s">
        <v>957</v>
      </c>
      <c r="M101" s="3"/>
      <c r="N101" s="3" t="str">
        <f>(B96)</f>
        <v>National Automobile - Jind</v>
      </c>
      <c r="O101" s="3" t="str">
        <f>(A96)</f>
        <v>1KaEmNIMK0XXiIsA6XQ7GNELp4AsXjf8BnThrJvzVk2Q</v>
      </c>
      <c r="P101" s="3" t="s">
        <v>142</v>
      </c>
      <c r="Q101" s="8" t="s">
        <v>65</v>
      </c>
      <c r="R101" s="3" t="s">
        <v>66</v>
      </c>
      <c r="S101" s="8" t="s">
        <v>958</v>
      </c>
      <c r="T101" s="8" t="s">
        <v>83</v>
      </c>
      <c r="U101" s="8"/>
      <c r="V101" s="8"/>
      <c r="W101" s="8"/>
      <c r="X101" s="8"/>
      <c r="Y101" s="8"/>
      <c r="Z101" s="8"/>
      <c r="AA101" s="8"/>
      <c r="AB101" s="8"/>
      <c r="AC101" s="8"/>
      <c r="AD101" s="8"/>
      <c r="AE101" s="8"/>
      <c r="AF101" s="8"/>
      <c r="AG101" s="7"/>
      <c r="AH101" s="8"/>
      <c r="AI101" s="8"/>
      <c r="AJ101" s="8"/>
      <c r="AK101" s="8"/>
      <c r="AL101" s="8"/>
      <c r="AM101" s="8"/>
      <c r="AN101" s="8"/>
      <c r="AO101" s="8"/>
      <c r="AP101" s="8"/>
      <c r="AQ101" s="8"/>
      <c r="AR101" s="8"/>
      <c r="AS101" s="8"/>
      <c r="AT101" s="8"/>
      <c r="AU101" s="8" t="s">
        <v>85</v>
      </c>
      <c r="AV101" s="8"/>
      <c r="AW101" s="8"/>
      <c r="AX101" s="8"/>
      <c r="AY101" s="8"/>
      <c r="AZ101" s="8" t="s">
        <v>86</v>
      </c>
      <c r="BA101" s="8" t="s">
        <v>86</v>
      </c>
      <c r="BB101" s="8" t="s">
        <v>86</v>
      </c>
      <c r="BC101" s="8">
        <v>0.0</v>
      </c>
    </row>
    <row r="102">
      <c r="A102" s="3" t="s">
        <v>959</v>
      </c>
      <c r="B102" s="3" t="s">
        <v>960</v>
      </c>
      <c r="C102" s="3" t="s">
        <v>961</v>
      </c>
      <c r="D102" s="3" t="s">
        <v>960</v>
      </c>
      <c r="E102" s="3">
        <v>100000.0</v>
      </c>
      <c r="F102" s="3" t="s">
        <v>58</v>
      </c>
      <c r="G102" s="3" t="s">
        <v>962</v>
      </c>
      <c r="H102" s="5" t="s">
        <v>963</v>
      </c>
      <c r="I102" s="5" t="s">
        <v>964</v>
      </c>
      <c r="J102" s="3" t="s">
        <v>965</v>
      </c>
      <c r="K102" s="3">
        <v>9.540256333E9</v>
      </c>
      <c r="L102" s="16">
        <v>43842.53055555555</v>
      </c>
      <c r="M102" s="3"/>
      <c r="N102" s="3" t="str">
        <f>(B26)</f>
        <v>Shri Durga Motors</v>
      </c>
      <c r="O102" s="3" t="str">
        <f>(A26)</f>
        <v>1LnxzSZR-Hn1GFJEM91CqSDi8yQ1-11OqyVT04QUkFAM</v>
      </c>
      <c r="P102" s="3" t="s">
        <v>142</v>
      </c>
      <c r="Q102" s="8" t="s">
        <v>65</v>
      </c>
      <c r="R102" s="3" t="s">
        <v>66</v>
      </c>
      <c r="S102" s="8" t="s">
        <v>295</v>
      </c>
      <c r="T102" s="8" t="s">
        <v>83</v>
      </c>
      <c r="U102" s="8"/>
      <c r="V102" s="8"/>
      <c r="W102" s="8"/>
      <c r="X102" s="8"/>
      <c r="Y102" s="8"/>
      <c r="Z102" s="8"/>
      <c r="AA102" s="8"/>
      <c r="AB102" s="8"/>
      <c r="AC102" s="8"/>
      <c r="AD102" s="8"/>
      <c r="AE102" s="8"/>
      <c r="AF102" s="8"/>
      <c r="AG102" s="7"/>
      <c r="AH102" s="8"/>
      <c r="AI102" s="8"/>
      <c r="AJ102" s="8"/>
      <c r="AK102" s="8"/>
      <c r="AL102" s="8"/>
      <c r="AM102" s="8"/>
      <c r="AN102" s="8"/>
      <c r="AO102" s="8"/>
      <c r="AP102" s="8"/>
      <c r="AQ102" s="8"/>
      <c r="AR102" s="8"/>
      <c r="AS102" s="8"/>
      <c r="AT102" s="8"/>
      <c r="AU102" s="8" t="s">
        <v>85</v>
      </c>
      <c r="AV102" s="8"/>
      <c r="AW102" s="8"/>
      <c r="AX102" s="8"/>
      <c r="AY102" s="8"/>
      <c r="AZ102" s="8" t="s">
        <v>86</v>
      </c>
      <c r="BA102" s="8" t="s">
        <v>86</v>
      </c>
      <c r="BB102" s="8" t="s">
        <v>86</v>
      </c>
      <c r="BC102" s="8">
        <v>0.0</v>
      </c>
    </row>
    <row r="103">
      <c r="A103" s="3" t="s">
        <v>966</v>
      </c>
      <c r="B103" s="3" t="s">
        <v>967</v>
      </c>
      <c r="C103" s="3" t="s">
        <v>968</v>
      </c>
      <c r="D103" s="3" t="s">
        <v>967</v>
      </c>
      <c r="E103" s="3">
        <v>100000.0</v>
      </c>
      <c r="F103" s="3" t="s">
        <v>58</v>
      </c>
      <c r="G103" s="3" t="s">
        <v>969</v>
      </c>
      <c r="H103" s="5" t="s">
        <v>970</v>
      </c>
      <c r="I103" s="5" t="s">
        <v>971</v>
      </c>
      <c r="J103" s="3" t="s">
        <v>972</v>
      </c>
      <c r="K103" s="3">
        <v>9.540256333E9</v>
      </c>
      <c r="L103" s="16">
        <v>43842.53194444445</v>
      </c>
      <c r="M103" s="3"/>
      <c r="N103" s="3" t="str">
        <f>(B26)</f>
        <v>Shri Durga Motors</v>
      </c>
      <c r="O103" s="3" t="str">
        <f>(A26)</f>
        <v>1LnxzSZR-Hn1GFJEM91CqSDi8yQ1-11OqyVT04QUkFAM</v>
      </c>
      <c r="P103" s="3" t="s">
        <v>142</v>
      </c>
      <c r="Q103" s="8" t="s">
        <v>65</v>
      </c>
      <c r="R103" s="3" t="s">
        <v>66</v>
      </c>
      <c r="S103" s="8" t="s">
        <v>295</v>
      </c>
      <c r="T103" s="8" t="s">
        <v>83</v>
      </c>
      <c r="U103" s="8"/>
      <c r="V103" s="8"/>
      <c r="W103" s="8"/>
      <c r="X103" s="8"/>
      <c r="Y103" s="8"/>
      <c r="Z103" s="8"/>
      <c r="AA103" s="8"/>
      <c r="AB103" s="8"/>
      <c r="AC103" s="8"/>
      <c r="AD103" s="8"/>
      <c r="AE103" s="8"/>
      <c r="AF103" s="8"/>
      <c r="AG103" s="7"/>
      <c r="AH103" s="8"/>
      <c r="AI103" s="8"/>
      <c r="AJ103" s="8"/>
      <c r="AK103" s="8"/>
      <c r="AL103" s="8"/>
      <c r="AM103" s="8"/>
      <c r="AN103" s="8"/>
      <c r="AO103" s="8"/>
      <c r="AP103" s="8"/>
      <c r="AQ103" s="8"/>
      <c r="AR103" s="8"/>
      <c r="AS103" s="8"/>
      <c r="AT103" s="8"/>
      <c r="AU103" s="8" t="s">
        <v>85</v>
      </c>
      <c r="AV103" s="8"/>
      <c r="AW103" s="8"/>
      <c r="AX103" s="8"/>
      <c r="AY103" s="8"/>
      <c r="AZ103" s="8" t="s">
        <v>86</v>
      </c>
      <c r="BA103" s="8" t="s">
        <v>86</v>
      </c>
      <c r="BB103" s="8" t="s">
        <v>86</v>
      </c>
      <c r="BC103" s="8">
        <v>0.0</v>
      </c>
    </row>
    <row r="104">
      <c r="A104" s="3" t="s">
        <v>973</v>
      </c>
      <c r="B104" s="3" t="s">
        <v>974</v>
      </c>
      <c r="C104" s="3" t="s">
        <v>975</v>
      </c>
      <c r="D104" s="3" t="s">
        <v>974</v>
      </c>
      <c r="E104" s="3">
        <v>100000.0</v>
      </c>
      <c r="F104" s="3" t="s">
        <v>58</v>
      </c>
      <c r="G104" s="3" t="s">
        <v>976</v>
      </c>
      <c r="H104" s="5" t="s">
        <v>977</v>
      </c>
      <c r="I104" s="5" t="s">
        <v>978</v>
      </c>
      <c r="J104" s="3" t="s">
        <v>979</v>
      </c>
      <c r="K104" s="3">
        <v>9.540256333E9</v>
      </c>
      <c r="L104" s="16">
        <v>43842.53333333333</v>
      </c>
      <c r="M104" s="3"/>
      <c r="N104" s="3" t="str">
        <f>(B26)</f>
        <v>Shri Durga Motors</v>
      </c>
      <c r="O104" s="3" t="str">
        <f>(A26)</f>
        <v>1LnxzSZR-Hn1GFJEM91CqSDi8yQ1-11OqyVT04QUkFAM</v>
      </c>
      <c r="P104" s="3" t="s">
        <v>142</v>
      </c>
      <c r="Q104" s="8" t="s">
        <v>65</v>
      </c>
      <c r="R104" s="3" t="s">
        <v>66</v>
      </c>
      <c r="S104" s="8" t="s">
        <v>295</v>
      </c>
      <c r="T104" s="8" t="s">
        <v>83</v>
      </c>
      <c r="U104" s="8"/>
      <c r="V104" s="8"/>
      <c r="W104" s="8"/>
      <c r="X104" s="8"/>
      <c r="Y104" s="8"/>
      <c r="Z104" s="8"/>
      <c r="AA104" s="8"/>
      <c r="AB104" s="8"/>
      <c r="AC104" s="8"/>
      <c r="AD104" s="8"/>
      <c r="AE104" s="8"/>
      <c r="AF104" s="8"/>
      <c r="AG104" s="7"/>
      <c r="AH104" s="8"/>
      <c r="AI104" s="8"/>
      <c r="AJ104" s="8"/>
      <c r="AK104" s="8"/>
      <c r="AL104" s="8"/>
      <c r="AM104" s="8"/>
      <c r="AN104" s="8"/>
      <c r="AO104" s="8"/>
      <c r="AP104" s="8"/>
      <c r="AQ104" s="8"/>
      <c r="AR104" s="8"/>
      <c r="AS104" s="8"/>
      <c r="AT104" s="8"/>
      <c r="AU104" s="8" t="s">
        <v>85</v>
      </c>
      <c r="AV104" s="8"/>
      <c r="AW104" s="8"/>
      <c r="AX104" s="8"/>
      <c r="AY104" s="8"/>
      <c r="AZ104" s="8" t="s">
        <v>86</v>
      </c>
      <c r="BA104" s="8" t="s">
        <v>86</v>
      </c>
      <c r="BB104" s="8" t="s">
        <v>86</v>
      </c>
      <c r="BC104" s="8">
        <v>0.0</v>
      </c>
    </row>
    <row r="105">
      <c r="A105" s="3" t="s">
        <v>980</v>
      </c>
      <c r="B105" s="3" t="s">
        <v>974</v>
      </c>
      <c r="C105" s="3" t="s">
        <v>981</v>
      </c>
      <c r="D105" s="3" t="s">
        <v>982</v>
      </c>
      <c r="E105" s="3">
        <v>100000.0</v>
      </c>
      <c r="F105" s="3" t="s">
        <v>58</v>
      </c>
      <c r="G105" s="3" t="s">
        <v>983</v>
      </c>
      <c r="H105" s="5" t="s">
        <v>984</v>
      </c>
      <c r="I105" s="5" t="s">
        <v>985</v>
      </c>
      <c r="J105" s="3" t="s">
        <v>986</v>
      </c>
      <c r="K105" s="3">
        <v>9.540256333E9</v>
      </c>
      <c r="L105" s="16">
        <v>43842.53402777778</v>
      </c>
      <c r="M105" s="3"/>
      <c r="N105" s="3" t="str">
        <f>(B26)</f>
        <v>Shri Durga Motors</v>
      </c>
      <c r="O105" s="3" t="str">
        <f>(A26)</f>
        <v>1LnxzSZR-Hn1GFJEM91CqSDi8yQ1-11OqyVT04QUkFAM</v>
      </c>
      <c r="P105" s="3" t="s">
        <v>142</v>
      </c>
      <c r="Q105" s="8" t="s">
        <v>65</v>
      </c>
      <c r="R105" s="3" t="s">
        <v>66</v>
      </c>
      <c r="S105" s="8" t="s">
        <v>295</v>
      </c>
      <c r="T105" s="8" t="s">
        <v>83</v>
      </c>
      <c r="U105" s="8"/>
      <c r="V105" s="8"/>
      <c r="W105" s="8"/>
      <c r="X105" s="8"/>
      <c r="Y105" s="8"/>
      <c r="Z105" s="8"/>
      <c r="AA105" s="8"/>
      <c r="AB105" s="8"/>
      <c r="AC105" s="8"/>
      <c r="AD105" s="8"/>
      <c r="AE105" s="8"/>
      <c r="AF105" s="8"/>
      <c r="AG105" s="7"/>
      <c r="AH105" s="8"/>
      <c r="AI105" s="8"/>
      <c r="AJ105" s="8"/>
      <c r="AK105" s="8"/>
      <c r="AL105" s="8"/>
      <c r="AM105" s="8"/>
      <c r="AN105" s="8"/>
      <c r="AO105" s="8"/>
      <c r="AP105" s="8"/>
      <c r="AQ105" s="8"/>
      <c r="AR105" s="8"/>
      <c r="AS105" s="8"/>
      <c r="AT105" s="8"/>
      <c r="AU105" s="8" t="s">
        <v>85</v>
      </c>
      <c r="AV105" s="8"/>
      <c r="AW105" s="8"/>
      <c r="AX105" s="8"/>
      <c r="AY105" s="8"/>
      <c r="AZ105" s="8" t="s">
        <v>86</v>
      </c>
      <c r="BA105" s="8" t="s">
        <v>86</v>
      </c>
      <c r="BB105" s="8" t="s">
        <v>86</v>
      </c>
      <c r="BC105" s="8">
        <v>0.0</v>
      </c>
    </row>
    <row r="106">
      <c r="A106" s="3" t="s">
        <v>987</v>
      </c>
      <c r="B106" s="3" t="s">
        <v>988</v>
      </c>
      <c r="C106" s="3" t="s">
        <v>989</v>
      </c>
      <c r="D106" s="3" t="s">
        <v>988</v>
      </c>
      <c r="E106" s="3">
        <v>100000.0</v>
      </c>
      <c r="F106" s="3" t="s">
        <v>58</v>
      </c>
      <c r="G106" s="3" t="s">
        <v>990</v>
      </c>
      <c r="H106" s="5" t="s">
        <v>991</v>
      </c>
      <c r="I106" s="5" t="s">
        <v>992</v>
      </c>
      <c r="J106" s="3" t="s">
        <v>993</v>
      </c>
      <c r="K106" s="3">
        <v>9.540256333E9</v>
      </c>
      <c r="L106" s="16">
        <v>43842.535416666666</v>
      </c>
      <c r="M106" s="3"/>
      <c r="N106" s="3" t="str">
        <f>(B26)</f>
        <v>Shri Durga Motors</v>
      </c>
      <c r="O106" s="3" t="str">
        <f>(A26)</f>
        <v>1LnxzSZR-Hn1GFJEM91CqSDi8yQ1-11OqyVT04QUkFAM</v>
      </c>
      <c r="P106" s="3" t="s">
        <v>142</v>
      </c>
      <c r="Q106" s="8" t="s">
        <v>65</v>
      </c>
      <c r="R106" s="3" t="s">
        <v>66</v>
      </c>
      <c r="S106" s="8" t="s">
        <v>295</v>
      </c>
      <c r="T106" s="8" t="s">
        <v>83</v>
      </c>
      <c r="U106" s="8"/>
      <c r="V106" s="8"/>
      <c r="W106" s="8"/>
      <c r="X106" s="8"/>
      <c r="Y106" s="8"/>
      <c r="Z106" s="8"/>
      <c r="AA106" s="8"/>
      <c r="AB106" s="8"/>
      <c r="AC106" s="8"/>
      <c r="AD106" s="8"/>
      <c r="AE106" s="8"/>
      <c r="AF106" s="8"/>
      <c r="AG106" s="7"/>
      <c r="AH106" s="8"/>
      <c r="AI106" s="8"/>
      <c r="AJ106" s="8"/>
      <c r="AK106" s="8"/>
      <c r="AL106" s="8"/>
      <c r="AM106" s="8"/>
      <c r="AN106" s="8"/>
      <c r="AO106" s="8"/>
      <c r="AP106" s="8"/>
      <c r="AQ106" s="8"/>
      <c r="AR106" s="8"/>
      <c r="AS106" s="8"/>
      <c r="AT106" s="8"/>
      <c r="AU106" s="8" t="s">
        <v>85</v>
      </c>
      <c r="AV106" s="8"/>
      <c r="AW106" s="8"/>
      <c r="AX106" s="8"/>
      <c r="AY106" s="8"/>
      <c r="AZ106" s="8" t="s">
        <v>86</v>
      </c>
      <c r="BA106" s="8" t="s">
        <v>86</v>
      </c>
      <c r="BB106" s="8" t="s">
        <v>86</v>
      </c>
      <c r="BC106" s="8">
        <v>0.0</v>
      </c>
    </row>
    <row r="107">
      <c r="A107" s="3" t="s">
        <v>994</v>
      </c>
      <c r="B107" s="3" t="s">
        <v>995</v>
      </c>
      <c r="C107" s="3" t="s">
        <v>996</v>
      </c>
      <c r="D107" s="3" t="s">
        <v>995</v>
      </c>
      <c r="E107" s="3">
        <v>100000.0</v>
      </c>
      <c r="F107" s="3" t="s">
        <v>58</v>
      </c>
      <c r="G107" s="3" t="s">
        <v>997</v>
      </c>
      <c r="H107" s="5" t="s">
        <v>998</v>
      </c>
      <c r="I107" s="5" t="s">
        <v>999</v>
      </c>
      <c r="J107" s="3" t="s">
        <v>1000</v>
      </c>
      <c r="K107" s="3">
        <v>9.540256333E9</v>
      </c>
      <c r="L107" s="16">
        <v>43842.53680555556</v>
      </c>
      <c r="M107" s="3"/>
      <c r="N107" s="3" t="str">
        <f>(B26)</f>
        <v>Shri Durga Motors</v>
      </c>
      <c r="O107" s="3" t="str">
        <f>(A26)</f>
        <v>1LnxzSZR-Hn1GFJEM91CqSDi8yQ1-11OqyVT04QUkFAM</v>
      </c>
      <c r="P107" s="3" t="s">
        <v>142</v>
      </c>
      <c r="Q107" s="8" t="s">
        <v>65</v>
      </c>
      <c r="R107" s="3" t="s">
        <v>66</v>
      </c>
      <c r="S107" s="8" t="s">
        <v>295</v>
      </c>
      <c r="T107" s="8" t="s">
        <v>83</v>
      </c>
      <c r="U107" s="8"/>
      <c r="V107" s="8"/>
      <c r="W107" s="8"/>
      <c r="X107" s="8"/>
      <c r="Y107" s="8"/>
      <c r="Z107" s="8"/>
      <c r="AA107" s="8"/>
      <c r="AB107" s="8"/>
      <c r="AC107" s="8"/>
      <c r="AD107" s="8"/>
      <c r="AE107" s="8"/>
      <c r="AF107" s="8"/>
      <c r="AG107" s="7"/>
      <c r="AH107" s="8"/>
      <c r="AI107" s="8"/>
      <c r="AJ107" s="8"/>
      <c r="AK107" s="8"/>
      <c r="AL107" s="8"/>
      <c r="AM107" s="8"/>
      <c r="AN107" s="8"/>
      <c r="AO107" s="8"/>
      <c r="AP107" s="8"/>
      <c r="AQ107" s="8"/>
      <c r="AR107" s="8"/>
      <c r="AS107" s="8"/>
      <c r="AT107" s="8"/>
      <c r="AU107" s="8" t="s">
        <v>85</v>
      </c>
      <c r="AV107" s="8"/>
      <c r="AW107" s="8"/>
      <c r="AX107" s="8"/>
      <c r="AY107" s="8"/>
      <c r="AZ107" s="8" t="s">
        <v>86</v>
      </c>
      <c r="BA107" s="8" t="s">
        <v>86</v>
      </c>
      <c r="BB107" s="8" t="s">
        <v>86</v>
      </c>
      <c r="BC107" s="8">
        <v>0.0</v>
      </c>
    </row>
    <row r="108">
      <c r="A108" s="3" t="s">
        <v>1001</v>
      </c>
      <c r="B108" s="3" t="s">
        <v>1002</v>
      </c>
      <c r="C108" s="3" t="s">
        <v>1003</v>
      </c>
      <c r="D108" s="3" t="s">
        <v>1002</v>
      </c>
      <c r="E108" s="3">
        <v>100000.0</v>
      </c>
      <c r="F108" s="3" t="s">
        <v>76</v>
      </c>
      <c r="G108" s="3" t="s">
        <v>1004</v>
      </c>
      <c r="H108" s="5" t="s">
        <v>1005</v>
      </c>
      <c r="I108" s="5" t="s">
        <v>1006</v>
      </c>
      <c r="J108" s="3" t="s">
        <v>1007</v>
      </c>
      <c r="K108" s="3">
        <v>9.416405388E9</v>
      </c>
      <c r="L108" s="18">
        <v>44116.45972222222</v>
      </c>
      <c r="M108" s="3"/>
      <c r="N108" s="3" t="str">
        <f>(B93)</f>
        <v>Sahib Motors - Panipat</v>
      </c>
      <c r="O108" s="3" t="str">
        <f>(A93)</f>
        <v>1K6oaFfzdWrW0ygNwDwWBmlm6lWJxWCUD9ydsyisVA7A</v>
      </c>
      <c r="P108" s="3" t="s">
        <v>142</v>
      </c>
      <c r="Q108" s="8" t="s">
        <v>65</v>
      </c>
      <c r="R108" s="3" t="s">
        <v>66</v>
      </c>
      <c r="S108" s="8" t="s">
        <v>880</v>
      </c>
      <c r="T108" s="8" t="s">
        <v>68</v>
      </c>
      <c r="U108" s="8"/>
      <c r="V108" s="8"/>
      <c r="W108" s="8"/>
      <c r="X108" s="8"/>
      <c r="Y108" s="8"/>
      <c r="Z108" s="8"/>
      <c r="AA108" s="8"/>
      <c r="AB108" s="8"/>
      <c r="AC108" s="8"/>
      <c r="AD108" s="8"/>
      <c r="AE108" s="8"/>
      <c r="AF108" s="8"/>
      <c r="AG108" s="7"/>
      <c r="AH108" s="8"/>
      <c r="AI108" s="8"/>
      <c r="AJ108" s="8"/>
      <c r="AK108" s="8"/>
      <c r="AL108" s="8"/>
      <c r="AM108" s="8"/>
      <c r="AN108" s="8"/>
      <c r="AO108" s="8"/>
      <c r="AP108" s="8"/>
      <c r="AQ108" s="8"/>
      <c r="AR108" s="8"/>
      <c r="AS108" s="8"/>
      <c r="AT108" s="8"/>
      <c r="AU108" s="8" t="s">
        <v>85</v>
      </c>
      <c r="AV108" s="8"/>
      <c r="AW108" s="8"/>
      <c r="AX108" s="8"/>
      <c r="AY108" s="8"/>
      <c r="AZ108" s="8" t="s">
        <v>86</v>
      </c>
      <c r="BA108" s="8" t="s">
        <v>86</v>
      </c>
      <c r="BB108" s="8" t="s">
        <v>86</v>
      </c>
      <c r="BC108" s="8">
        <v>0.0</v>
      </c>
    </row>
    <row r="109">
      <c r="A109" s="3" t="s">
        <v>1008</v>
      </c>
      <c r="B109" s="3" t="s">
        <v>1009</v>
      </c>
      <c r="C109" s="3" t="s">
        <v>1010</v>
      </c>
      <c r="D109" s="3" t="s">
        <v>1011</v>
      </c>
      <c r="E109" s="3">
        <v>100000.0</v>
      </c>
      <c r="F109" s="3" t="s">
        <v>76</v>
      </c>
      <c r="G109" s="3" t="s">
        <v>1012</v>
      </c>
      <c r="H109" s="5" t="s">
        <v>1013</v>
      </c>
      <c r="I109" s="5" t="s">
        <v>1014</v>
      </c>
      <c r="J109" s="3" t="s">
        <v>1015</v>
      </c>
      <c r="K109" s="3">
        <v>9.034677818E9</v>
      </c>
      <c r="L109" s="18">
        <v>44147.495833333334</v>
      </c>
      <c r="M109" s="3"/>
      <c r="N109" s="3" t="str">
        <f t="shared" ref="N109:N111" si="23">B109</f>
        <v>Dev Vaahan- Hero Palwal</v>
      </c>
      <c r="O109" s="3" t="str">
        <f t="shared" ref="O109:O111" si="24">(A109)</f>
        <v>1t3gopzk1OTS3KoTW1PbFTMhVF5pTGTgKOkW5Lr73qQs</v>
      </c>
      <c r="P109" s="3" t="s">
        <v>64</v>
      </c>
      <c r="Q109" s="8" t="s">
        <v>65</v>
      </c>
      <c r="R109" s="3" t="s">
        <v>66</v>
      </c>
      <c r="S109" s="8" t="s">
        <v>1016</v>
      </c>
      <c r="T109" s="8" t="s">
        <v>68</v>
      </c>
      <c r="U109" s="8"/>
      <c r="V109" s="8"/>
      <c r="W109" s="8"/>
      <c r="X109" s="8"/>
      <c r="Y109" s="8"/>
      <c r="Z109" s="8"/>
      <c r="AA109" s="8"/>
      <c r="AB109" s="8"/>
      <c r="AC109" s="8"/>
      <c r="AD109" s="8"/>
      <c r="AE109" s="8"/>
      <c r="AF109" s="8"/>
      <c r="AG109" s="7"/>
      <c r="AH109" s="8"/>
      <c r="AI109" s="8"/>
      <c r="AJ109" s="8"/>
      <c r="AK109" s="8"/>
      <c r="AL109" s="8"/>
      <c r="AM109" s="8"/>
      <c r="AN109" s="8"/>
      <c r="AO109" s="8"/>
      <c r="AP109" s="8"/>
      <c r="AQ109" s="8"/>
      <c r="AR109" s="8"/>
      <c r="AS109" s="8"/>
      <c r="AT109" s="9" t="s">
        <v>1017</v>
      </c>
      <c r="AU109" s="8" t="s">
        <v>85</v>
      </c>
      <c r="AV109" s="8"/>
      <c r="AW109" s="8"/>
      <c r="AX109" s="8"/>
      <c r="AY109" s="8"/>
      <c r="AZ109" s="8" t="s">
        <v>86</v>
      </c>
      <c r="BA109" s="8" t="s">
        <v>86</v>
      </c>
      <c r="BB109" s="8" t="s">
        <v>86</v>
      </c>
      <c r="BC109" s="8">
        <v>0.0</v>
      </c>
    </row>
    <row r="110">
      <c r="A110" s="3" t="s">
        <v>1018</v>
      </c>
      <c r="B110" s="3" t="s">
        <v>1019</v>
      </c>
      <c r="C110" s="3" t="s">
        <v>1020</v>
      </c>
      <c r="D110" s="3" t="s">
        <v>1019</v>
      </c>
      <c r="E110" s="3">
        <v>100000.0</v>
      </c>
      <c r="F110" s="3" t="s">
        <v>76</v>
      </c>
      <c r="G110" s="3" t="s">
        <v>1021</v>
      </c>
      <c r="H110" s="5" t="s">
        <v>1022</v>
      </c>
      <c r="I110" s="5" t="s">
        <v>1023</v>
      </c>
      <c r="J110" s="3" t="s">
        <v>1024</v>
      </c>
      <c r="K110" s="3">
        <v>9.466024034E9</v>
      </c>
      <c r="L110" s="6" t="s">
        <v>1025</v>
      </c>
      <c r="M110" s="3"/>
      <c r="N110" s="3" t="str">
        <f t="shared" si="23"/>
        <v>BD MOTORS TVS - GURGAON</v>
      </c>
      <c r="O110" s="3" t="str">
        <f t="shared" si="24"/>
        <v>1MantqYN_L9u1phKAd2tRf1JbAshYFDLMdeUkvTdUQ8E</v>
      </c>
      <c r="P110" s="3" t="s">
        <v>64</v>
      </c>
      <c r="Q110" s="8" t="s">
        <v>285</v>
      </c>
      <c r="R110" s="3" t="s">
        <v>66</v>
      </c>
      <c r="S110" s="8" t="s">
        <v>67</v>
      </c>
      <c r="T110" s="8" t="s">
        <v>68</v>
      </c>
      <c r="U110" s="8"/>
      <c r="V110" s="8"/>
      <c r="W110" s="8"/>
      <c r="X110" s="8"/>
      <c r="Y110" s="8"/>
      <c r="Z110" s="8"/>
      <c r="AA110" s="8"/>
      <c r="AB110" s="8"/>
      <c r="AC110" s="8"/>
      <c r="AD110" s="8"/>
      <c r="AE110" s="8"/>
      <c r="AF110" s="8"/>
      <c r="AG110" s="7"/>
      <c r="AH110" s="8"/>
      <c r="AI110" s="8"/>
      <c r="AJ110" s="8"/>
      <c r="AK110" s="8"/>
      <c r="AL110" s="8"/>
      <c r="AM110" s="8"/>
      <c r="AN110" s="8"/>
      <c r="AO110" s="8"/>
      <c r="AP110" s="8"/>
      <c r="AQ110" s="8"/>
      <c r="AR110" s="8"/>
      <c r="AS110" s="8"/>
      <c r="AT110" s="9" t="s">
        <v>1026</v>
      </c>
      <c r="AU110" s="8" t="s">
        <v>85</v>
      </c>
      <c r="AV110" s="8"/>
      <c r="AW110" s="8"/>
      <c r="AX110" s="8"/>
      <c r="AY110" s="8"/>
      <c r="AZ110" s="8" t="s">
        <v>86</v>
      </c>
      <c r="BA110" s="8" t="s">
        <v>86</v>
      </c>
      <c r="BB110" s="8" t="s">
        <v>86</v>
      </c>
      <c r="BC110" s="8">
        <v>0.0</v>
      </c>
    </row>
    <row r="111">
      <c r="A111" s="3" t="s">
        <v>1027</v>
      </c>
      <c r="B111" s="3" t="s">
        <v>1028</v>
      </c>
      <c r="C111" s="3" t="s">
        <v>1029</v>
      </c>
      <c r="D111" s="3" t="s">
        <v>1028</v>
      </c>
      <c r="E111" s="3">
        <v>100000.0</v>
      </c>
      <c r="F111" s="3" t="s">
        <v>58</v>
      </c>
      <c r="G111" s="3" t="s">
        <v>1030</v>
      </c>
      <c r="H111" s="5" t="s">
        <v>1031</v>
      </c>
      <c r="I111" s="5" t="s">
        <v>1032</v>
      </c>
      <c r="J111" s="3" t="s">
        <v>1033</v>
      </c>
      <c r="K111" s="3">
        <v>7.990712561E9</v>
      </c>
      <c r="L111" s="6" t="s">
        <v>1034</v>
      </c>
      <c r="M111" s="3"/>
      <c r="N111" s="3" t="str">
        <f t="shared" si="23"/>
        <v>Sai Auto</v>
      </c>
      <c r="O111" s="3" t="str">
        <f t="shared" si="24"/>
        <v>176zvh_D144kr5dn49FjVWXAIKjjIO1Wqb6zAj_kGTr4</v>
      </c>
      <c r="P111" s="3" t="s">
        <v>64</v>
      </c>
      <c r="Q111" s="8" t="s">
        <v>65</v>
      </c>
      <c r="R111" s="3" t="s">
        <v>66</v>
      </c>
      <c r="S111" s="8" t="s">
        <v>637</v>
      </c>
      <c r="T111" s="8" t="s">
        <v>638</v>
      </c>
      <c r="U111" s="8"/>
      <c r="V111" s="8"/>
      <c r="W111" s="8"/>
      <c r="X111" s="8"/>
      <c r="Y111" s="8"/>
      <c r="Z111" s="8"/>
      <c r="AA111" s="8"/>
      <c r="AB111" s="8"/>
      <c r="AC111" s="8"/>
      <c r="AD111" s="8"/>
      <c r="AE111" s="8"/>
      <c r="AF111" s="8"/>
      <c r="AG111" s="7"/>
      <c r="AH111" s="8"/>
      <c r="AI111" s="8"/>
      <c r="AJ111" s="8"/>
      <c r="AK111" s="8"/>
      <c r="AL111" s="8"/>
      <c r="AM111" s="8"/>
      <c r="AN111" s="8"/>
      <c r="AO111" s="8"/>
      <c r="AP111" s="8"/>
      <c r="AQ111" s="8"/>
      <c r="AR111" s="8"/>
      <c r="AS111" s="8"/>
      <c r="AT111" s="9" t="s">
        <v>1035</v>
      </c>
      <c r="AU111" s="8" t="s">
        <v>85</v>
      </c>
      <c r="AV111" s="8"/>
      <c r="AW111" s="8"/>
      <c r="AX111" s="8"/>
      <c r="AY111" s="8"/>
      <c r="AZ111" s="8" t="s">
        <v>86</v>
      </c>
      <c r="BA111" s="8" t="s">
        <v>86</v>
      </c>
      <c r="BB111" s="8" t="s">
        <v>86</v>
      </c>
      <c r="BC111" s="8">
        <v>0.0</v>
      </c>
    </row>
    <row r="112">
      <c r="A112" s="3" t="s">
        <v>1036</v>
      </c>
      <c r="B112" s="3" t="s">
        <v>1037</v>
      </c>
      <c r="C112" s="3" t="s">
        <v>1038</v>
      </c>
      <c r="D112" s="3" t="s">
        <v>1037</v>
      </c>
      <c r="E112" s="3">
        <v>100000.0</v>
      </c>
      <c r="F112" s="3" t="s">
        <v>58</v>
      </c>
      <c r="G112" s="3" t="s">
        <v>1039</v>
      </c>
      <c r="H112" s="5" t="s">
        <v>1040</v>
      </c>
      <c r="I112" s="5" t="s">
        <v>1041</v>
      </c>
      <c r="J112" s="3" t="s">
        <v>1042</v>
      </c>
      <c r="K112" s="3">
        <v>8.057791E9</v>
      </c>
      <c r="L112" s="6" t="s">
        <v>1043</v>
      </c>
      <c r="M112" s="3"/>
      <c r="N112" s="3" t="str">
        <f>(B7)</f>
        <v>Vikas Autowheels</v>
      </c>
      <c r="O112" s="3" t="str">
        <f>(A7)</f>
        <v>1944RLX7T1M23YXRXYoMnJ6nD_bKLldQXRpFRA0rDLvg</v>
      </c>
      <c r="P112" s="3" t="s">
        <v>142</v>
      </c>
      <c r="Q112" s="8" t="s">
        <v>65</v>
      </c>
      <c r="R112" s="3" t="s">
        <v>66</v>
      </c>
      <c r="S112" s="8" t="s">
        <v>123</v>
      </c>
      <c r="T112" s="8" t="s">
        <v>83</v>
      </c>
      <c r="U112" s="8"/>
      <c r="V112" s="8"/>
      <c r="W112" s="8"/>
      <c r="X112" s="8"/>
      <c r="Y112" s="8"/>
      <c r="Z112" s="8"/>
      <c r="AA112" s="8"/>
      <c r="AB112" s="8"/>
      <c r="AC112" s="8"/>
      <c r="AD112" s="8"/>
      <c r="AE112" s="8"/>
      <c r="AF112" s="8"/>
      <c r="AG112" s="7"/>
      <c r="AH112" s="8"/>
      <c r="AI112" s="8"/>
      <c r="AJ112" s="8"/>
      <c r="AK112" s="8"/>
      <c r="AL112" s="8"/>
      <c r="AM112" s="8"/>
      <c r="AN112" s="8"/>
      <c r="AO112" s="8"/>
      <c r="AP112" s="8"/>
      <c r="AQ112" s="8"/>
      <c r="AR112" s="8"/>
      <c r="AS112" s="8"/>
      <c r="AT112" s="8"/>
      <c r="AU112" s="8" t="s">
        <v>85</v>
      </c>
      <c r="AV112" s="8"/>
      <c r="AW112" s="8"/>
      <c r="AX112" s="8"/>
      <c r="AY112" s="8"/>
      <c r="AZ112" s="8" t="s">
        <v>72</v>
      </c>
      <c r="BA112" s="8" t="s">
        <v>86</v>
      </c>
      <c r="BB112" s="8" t="s">
        <v>86</v>
      </c>
      <c r="BC112" s="8">
        <v>0.0</v>
      </c>
    </row>
    <row r="113">
      <c r="A113" s="3" t="s">
        <v>1044</v>
      </c>
      <c r="B113" s="3" t="s">
        <v>1045</v>
      </c>
      <c r="C113" s="3" t="s">
        <v>1046</v>
      </c>
      <c r="D113" s="3" t="s">
        <v>1045</v>
      </c>
      <c r="E113" s="3">
        <v>100000.0</v>
      </c>
      <c r="F113" s="3" t="s">
        <v>58</v>
      </c>
      <c r="G113" s="3" t="s">
        <v>1047</v>
      </c>
      <c r="H113" s="5" t="s">
        <v>1048</v>
      </c>
      <c r="I113" s="5" t="s">
        <v>1049</v>
      </c>
      <c r="J113" s="3" t="s">
        <v>1050</v>
      </c>
      <c r="K113" s="3">
        <v>9.711448003E9</v>
      </c>
      <c r="L113" s="6" t="s">
        <v>1051</v>
      </c>
      <c r="M113" s="3"/>
      <c r="N113" s="3" t="str">
        <f>B2</f>
        <v>MPS</v>
      </c>
      <c r="O113" s="3" t="str">
        <f>(A2)</f>
        <v>1ClXh28BQwwGN7Q42xt0Dc8b_R_3jweBItLcbwVq3Rj0</v>
      </c>
      <c r="P113" s="3" t="s">
        <v>142</v>
      </c>
      <c r="Q113" s="8" t="s">
        <v>65</v>
      </c>
      <c r="R113" s="3" t="s">
        <v>66</v>
      </c>
      <c r="S113" s="8" t="s">
        <v>67</v>
      </c>
      <c r="T113" s="8" t="s">
        <v>68</v>
      </c>
      <c r="U113" s="8"/>
      <c r="V113" s="8"/>
      <c r="W113" s="8"/>
      <c r="X113" s="8"/>
      <c r="Y113" s="8"/>
      <c r="Z113" s="8"/>
      <c r="AA113" s="8"/>
      <c r="AB113" s="8"/>
      <c r="AC113" s="8"/>
      <c r="AD113" s="8"/>
      <c r="AE113" s="8"/>
      <c r="AF113" s="8"/>
      <c r="AG113" s="7"/>
      <c r="AH113" s="8"/>
      <c r="AI113" s="8"/>
      <c r="AJ113" s="8"/>
      <c r="AK113" s="8"/>
      <c r="AL113" s="8"/>
      <c r="AM113" s="8"/>
      <c r="AN113" s="8"/>
      <c r="AO113" s="8"/>
      <c r="AP113" s="8"/>
      <c r="AQ113" s="8"/>
      <c r="AR113" s="8"/>
      <c r="AS113" s="8"/>
      <c r="AT113" s="8"/>
      <c r="AU113" s="8" t="s">
        <v>85</v>
      </c>
      <c r="AV113" s="8"/>
      <c r="AW113" s="8"/>
      <c r="AX113" s="8"/>
      <c r="AY113" s="8"/>
      <c r="AZ113" s="8" t="s">
        <v>72</v>
      </c>
      <c r="BA113" s="8" t="s">
        <v>86</v>
      </c>
      <c r="BB113" s="8" t="s">
        <v>86</v>
      </c>
      <c r="BC113" s="8">
        <v>0.0</v>
      </c>
    </row>
    <row r="114">
      <c r="A114" s="3" t="s">
        <v>1052</v>
      </c>
      <c r="B114" s="3" t="s">
        <v>1053</v>
      </c>
      <c r="C114" s="3" t="s">
        <v>1054</v>
      </c>
      <c r="D114" s="3" t="s">
        <v>1055</v>
      </c>
      <c r="E114" s="3">
        <v>100000.0</v>
      </c>
      <c r="F114" s="3" t="s">
        <v>76</v>
      </c>
      <c r="G114" s="3" t="s">
        <v>1056</v>
      </c>
      <c r="H114" s="5" t="s">
        <v>1057</v>
      </c>
      <c r="I114" s="5" t="s">
        <v>1058</v>
      </c>
      <c r="J114" s="3" t="s">
        <v>1059</v>
      </c>
      <c r="K114" s="3">
        <v>9.813156539E9</v>
      </c>
      <c r="L114" s="6" t="s">
        <v>1060</v>
      </c>
      <c r="M114" s="3"/>
      <c r="N114" s="3" t="str">
        <f t="shared" ref="N114:N117" si="25">B114</f>
        <v>Sohna Honda</v>
      </c>
      <c r="O114" s="3" t="str">
        <f t="shared" ref="O114:O117" si="26">(A114)</f>
        <v>10my9j6PucXwYa7gh_WvsXD6uPvI-yhWp3q1FQznHVc8</v>
      </c>
      <c r="P114" s="3" t="s">
        <v>142</v>
      </c>
      <c r="Q114" s="8" t="s">
        <v>65</v>
      </c>
      <c r="R114" s="3" t="s">
        <v>66</v>
      </c>
      <c r="S114" s="8" t="s">
        <v>67</v>
      </c>
      <c r="T114" s="8" t="s">
        <v>68</v>
      </c>
      <c r="U114" s="8"/>
      <c r="V114" s="8"/>
      <c r="W114" s="8"/>
      <c r="X114" s="8"/>
      <c r="Y114" s="8"/>
      <c r="Z114" s="8"/>
      <c r="AA114" s="8"/>
      <c r="AB114" s="8"/>
      <c r="AC114" s="8"/>
      <c r="AD114" s="8"/>
      <c r="AE114" s="8"/>
      <c r="AF114" s="8"/>
      <c r="AG114" s="7"/>
      <c r="AH114" s="8"/>
      <c r="AI114" s="8"/>
      <c r="AJ114" s="8"/>
      <c r="AK114" s="8"/>
      <c r="AL114" s="8"/>
      <c r="AM114" s="8"/>
      <c r="AN114" s="8"/>
      <c r="AO114" s="8"/>
      <c r="AP114" s="8"/>
      <c r="AQ114" s="8"/>
      <c r="AR114" s="8"/>
      <c r="AS114" s="8"/>
      <c r="AT114" s="8"/>
      <c r="AU114" s="8" t="s">
        <v>85</v>
      </c>
      <c r="AV114" s="8"/>
      <c r="AW114" s="8"/>
      <c r="AX114" s="8"/>
      <c r="AY114" s="8"/>
      <c r="AZ114" s="8" t="s">
        <v>86</v>
      </c>
      <c r="BA114" s="8" t="s">
        <v>86</v>
      </c>
      <c r="BB114" s="8" t="s">
        <v>86</v>
      </c>
      <c r="BC114" s="8">
        <v>0.0</v>
      </c>
    </row>
    <row r="115">
      <c r="A115" s="3" t="s">
        <v>1061</v>
      </c>
      <c r="B115" s="3" t="s">
        <v>1062</v>
      </c>
      <c r="C115" s="3" t="s">
        <v>1063</v>
      </c>
      <c r="D115" s="3" t="s">
        <v>1062</v>
      </c>
      <c r="E115" s="3">
        <v>100000.0</v>
      </c>
      <c r="F115" s="3" t="s">
        <v>58</v>
      </c>
      <c r="G115" s="3" t="s">
        <v>1064</v>
      </c>
      <c r="H115" s="5" t="s">
        <v>1065</v>
      </c>
      <c r="I115" s="5" t="s">
        <v>1066</v>
      </c>
      <c r="J115" s="3" t="s">
        <v>1067</v>
      </c>
      <c r="K115" s="3">
        <v>9.996419006E9</v>
      </c>
      <c r="L115" s="6" t="s">
        <v>1068</v>
      </c>
      <c r="M115" s="3"/>
      <c r="N115" s="3" t="str">
        <f t="shared" si="25"/>
        <v>Shree Balaji Automobiles - Fatehabad</v>
      </c>
      <c r="O115" s="3" t="str">
        <f t="shared" si="26"/>
        <v>1hwxal2Fqa0hEplduGUGitsJlZ0mEGEOEYh3fdHugU9o</v>
      </c>
      <c r="P115" s="3" t="s">
        <v>64</v>
      </c>
      <c r="Q115" s="8" t="s">
        <v>65</v>
      </c>
      <c r="R115" s="3" t="s">
        <v>66</v>
      </c>
      <c r="S115" s="8" t="s">
        <v>106</v>
      </c>
      <c r="T115" s="8" t="s">
        <v>106</v>
      </c>
      <c r="U115" s="8"/>
      <c r="V115" s="8"/>
      <c r="W115" s="8"/>
      <c r="X115" s="8"/>
      <c r="Y115" s="8"/>
      <c r="Z115" s="8"/>
      <c r="AA115" s="8"/>
      <c r="AB115" s="8"/>
      <c r="AC115" s="8"/>
      <c r="AD115" s="8"/>
      <c r="AE115" s="8"/>
      <c r="AF115" s="8"/>
      <c r="AG115" s="7"/>
      <c r="AH115" s="8"/>
      <c r="AI115" s="8"/>
      <c r="AJ115" s="8"/>
      <c r="AK115" s="8"/>
      <c r="AL115" s="8"/>
      <c r="AM115" s="8"/>
      <c r="AN115" s="8"/>
      <c r="AO115" s="8"/>
      <c r="AP115" s="8"/>
      <c r="AQ115" s="8"/>
      <c r="AR115" s="8"/>
      <c r="AS115" s="8"/>
      <c r="AT115" s="9" t="s">
        <v>1069</v>
      </c>
      <c r="AU115" s="8" t="s">
        <v>85</v>
      </c>
      <c r="AV115" s="8"/>
      <c r="AW115" s="8"/>
      <c r="AX115" s="8"/>
      <c r="AY115" s="8"/>
      <c r="AZ115" s="8" t="s">
        <v>86</v>
      </c>
      <c r="BA115" s="8" t="s">
        <v>86</v>
      </c>
      <c r="BB115" s="8" t="s">
        <v>86</v>
      </c>
      <c r="BC115" s="8">
        <v>0.0</v>
      </c>
    </row>
    <row r="116">
      <c r="A116" s="3" t="s">
        <v>1070</v>
      </c>
      <c r="B116" s="3" t="s">
        <v>1071</v>
      </c>
      <c r="C116" s="3" t="s">
        <v>1072</v>
      </c>
      <c r="D116" s="3" t="s">
        <v>1071</v>
      </c>
      <c r="E116" s="3">
        <v>100000.0</v>
      </c>
      <c r="F116" s="3" t="s">
        <v>76</v>
      </c>
      <c r="G116" s="3" t="s">
        <v>1073</v>
      </c>
      <c r="H116" s="5" t="s">
        <v>1074</v>
      </c>
      <c r="I116" s="5" t="s">
        <v>1075</v>
      </c>
      <c r="J116" s="3" t="s">
        <v>1076</v>
      </c>
      <c r="K116" s="3">
        <v>9.896140111E9</v>
      </c>
      <c r="L116" s="6" t="s">
        <v>1077</v>
      </c>
      <c r="M116" s="3"/>
      <c r="N116" s="3" t="str">
        <f t="shared" si="25"/>
        <v>Shri Krishna Auto - Rohtak</v>
      </c>
      <c r="O116" s="3" t="str">
        <f t="shared" si="26"/>
        <v>1AyozEGLZqJCcdssyT5lh9p367qkQ4ixlLx7VhIkGjas</v>
      </c>
      <c r="P116" s="3" t="s">
        <v>64</v>
      </c>
      <c r="Q116" s="8" t="s">
        <v>540</v>
      </c>
      <c r="R116" s="3" t="s">
        <v>66</v>
      </c>
      <c r="S116" s="8" t="s">
        <v>939</v>
      </c>
      <c r="T116" s="8" t="s">
        <v>68</v>
      </c>
      <c r="U116" s="8"/>
      <c r="V116" s="8"/>
      <c r="W116" s="8"/>
      <c r="X116" s="8"/>
      <c r="Y116" s="8"/>
      <c r="Z116" s="8"/>
      <c r="AA116" s="8"/>
      <c r="AB116" s="8"/>
      <c r="AC116" s="8"/>
      <c r="AD116" s="8"/>
      <c r="AE116" s="8"/>
      <c r="AF116" s="8"/>
      <c r="AG116" s="7"/>
      <c r="AH116" s="8"/>
      <c r="AI116" s="8"/>
      <c r="AJ116" s="8"/>
      <c r="AK116" s="8"/>
      <c r="AL116" s="8"/>
      <c r="AM116" s="8"/>
      <c r="AN116" s="8"/>
      <c r="AO116" s="8"/>
      <c r="AP116" s="8"/>
      <c r="AQ116" s="8"/>
      <c r="AR116" s="8"/>
      <c r="AS116" s="8"/>
      <c r="AT116" s="9" t="s">
        <v>1078</v>
      </c>
      <c r="AU116" s="8" t="s">
        <v>85</v>
      </c>
      <c r="AV116" s="8"/>
      <c r="AW116" s="8"/>
      <c r="AX116" s="8"/>
      <c r="AY116" s="8"/>
      <c r="AZ116" s="8" t="s">
        <v>86</v>
      </c>
      <c r="BA116" s="8" t="s">
        <v>86</v>
      </c>
      <c r="BB116" s="8" t="s">
        <v>86</v>
      </c>
      <c r="BC116" s="8">
        <v>0.0</v>
      </c>
    </row>
    <row r="117">
      <c r="A117" s="3" t="s">
        <v>1079</v>
      </c>
      <c r="B117" s="3" t="s">
        <v>1080</v>
      </c>
      <c r="C117" s="3" t="s">
        <v>1081</v>
      </c>
      <c r="D117" s="3" t="s">
        <v>1080</v>
      </c>
      <c r="E117" s="3">
        <v>100000.0</v>
      </c>
      <c r="F117" s="3" t="s">
        <v>76</v>
      </c>
      <c r="G117" s="3" t="s">
        <v>1082</v>
      </c>
      <c r="H117" s="5" t="s">
        <v>1083</v>
      </c>
      <c r="I117" s="5" t="s">
        <v>1084</v>
      </c>
      <c r="J117" s="3" t="s">
        <v>1085</v>
      </c>
      <c r="K117" s="3">
        <v>9.935532666E9</v>
      </c>
      <c r="L117" s="6" t="s">
        <v>1086</v>
      </c>
      <c r="M117" s="3"/>
      <c r="N117" s="3" t="str">
        <f t="shared" si="25"/>
        <v>Ratandeep Motors - Sultanpur</v>
      </c>
      <c r="O117" s="3" t="str">
        <f t="shared" si="26"/>
        <v>1vT3QczjVeQXI3BUHWLVlmriSeWuoyjUZOrXtNn1poas</v>
      </c>
      <c r="P117" s="3" t="s">
        <v>64</v>
      </c>
      <c r="Q117" s="8" t="s">
        <v>65</v>
      </c>
      <c r="R117" s="3" t="s">
        <v>66</v>
      </c>
      <c r="S117" s="8" t="s">
        <v>1087</v>
      </c>
      <c r="T117" s="8" t="s">
        <v>83</v>
      </c>
      <c r="U117" s="8"/>
      <c r="V117" s="8"/>
      <c r="W117" s="8"/>
      <c r="X117" s="8"/>
      <c r="Y117" s="8"/>
      <c r="Z117" s="8"/>
      <c r="AA117" s="8"/>
      <c r="AB117" s="8"/>
      <c r="AC117" s="8"/>
      <c r="AD117" s="8"/>
      <c r="AE117" s="8"/>
      <c r="AF117" s="8"/>
      <c r="AG117" s="7"/>
      <c r="AH117" s="8"/>
      <c r="AI117" s="8"/>
      <c r="AJ117" s="8"/>
      <c r="AK117" s="8"/>
      <c r="AL117" s="8"/>
      <c r="AM117" s="8"/>
      <c r="AN117" s="8"/>
      <c r="AO117" s="8"/>
      <c r="AP117" s="8"/>
      <c r="AQ117" s="8"/>
      <c r="AR117" s="8"/>
      <c r="AS117" s="8"/>
      <c r="AT117" s="9" t="s">
        <v>1088</v>
      </c>
      <c r="AU117" s="8" t="s">
        <v>85</v>
      </c>
      <c r="AV117" s="8"/>
      <c r="AW117" s="8"/>
      <c r="AX117" s="8"/>
      <c r="AY117" s="8"/>
      <c r="AZ117" s="8" t="s">
        <v>86</v>
      </c>
      <c r="BA117" s="8" t="s">
        <v>86</v>
      </c>
      <c r="BB117" s="8" t="s">
        <v>86</v>
      </c>
      <c r="BC117" s="8">
        <v>0.0</v>
      </c>
    </row>
    <row r="118">
      <c r="A118" s="3" t="s">
        <v>1089</v>
      </c>
      <c r="B118" s="3" t="s">
        <v>1090</v>
      </c>
      <c r="C118" s="3" t="s">
        <v>1091</v>
      </c>
      <c r="D118" s="3" t="s">
        <v>1090</v>
      </c>
      <c r="E118" s="3">
        <v>100000.0</v>
      </c>
      <c r="F118" s="3" t="s">
        <v>58</v>
      </c>
      <c r="G118" s="3" t="s">
        <v>1092</v>
      </c>
      <c r="H118" s="5" t="s">
        <v>1093</v>
      </c>
      <c r="I118" s="5" t="s">
        <v>1094</v>
      </c>
      <c r="J118" s="3" t="s">
        <v>1095</v>
      </c>
      <c r="K118" s="3">
        <v>9.871300958E9</v>
      </c>
      <c r="L118" s="6" t="s">
        <v>1096</v>
      </c>
      <c r="M118" s="3"/>
      <c r="N118" s="3" t="str">
        <f>(B36)</f>
        <v>AAA</v>
      </c>
      <c r="O118" s="3" t="str">
        <f>(A36)</f>
        <v>1AjVyIHPgPw3jscNmkTH1qzR2RokK5FZaJLjeNfOiYAA</v>
      </c>
      <c r="P118" s="3" t="s">
        <v>142</v>
      </c>
      <c r="Q118" s="8" t="s">
        <v>65</v>
      </c>
      <c r="R118" s="3" t="s">
        <v>66</v>
      </c>
      <c r="S118" s="8" t="s">
        <v>123</v>
      </c>
      <c r="T118" s="8" t="s">
        <v>83</v>
      </c>
      <c r="U118" s="8"/>
      <c r="V118" s="8"/>
      <c r="W118" s="8"/>
      <c r="X118" s="8"/>
      <c r="Y118" s="8"/>
      <c r="Z118" s="8"/>
      <c r="AA118" s="8"/>
      <c r="AB118" s="8"/>
      <c r="AC118" s="8"/>
      <c r="AD118" s="8"/>
      <c r="AE118" s="8"/>
      <c r="AF118" s="8"/>
      <c r="AG118" s="7"/>
      <c r="AH118" s="8"/>
      <c r="AI118" s="8"/>
      <c r="AJ118" s="8"/>
      <c r="AK118" s="8"/>
      <c r="AL118" s="8"/>
      <c r="AM118" s="8"/>
      <c r="AN118" s="8"/>
      <c r="AO118" s="8"/>
      <c r="AP118" s="8"/>
      <c r="AQ118" s="8"/>
      <c r="AR118" s="8"/>
      <c r="AS118" s="8"/>
      <c r="AT118" s="8"/>
      <c r="AU118" s="8" t="s">
        <v>85</v>
      </c>
      <c r="AV118" s="8"/>
      <c r="AW118" s="8"/>
      <c r="AX118" s="8"/>
      <c r="AY118" s="8"/>
      <c r="AZ118" s="8" t="s">
        <v>86</v>
      </c>
      <c r="BA118" s="8" t="s">
        <v>86</v>
      </c>
      <c r="BB118" s="8" t="s">
        <v>86</v>
      </c>
      <c r="BC118" s="8">
        <v>0.0</v>
      </c>
    </row>
    <row r="119">
      <c r="A119" s="3" t="s">
        <v>1097</v>
      </c>
      <c r="B119" s="3" t="s">
        <v>1098</v>
      </c>
      <c r="C119" s="3" t="s">
        <v>1099</v>
      </c>
      <c r="D119" s="3" t="s">
        <v>1098</v>
      </c>
      <c r="E119" s="3">
        <v>100000.0</v>
      </c>
      <c r="F119" s="3" t="s">
        <v>58</v>
      </c>
      <c r="G119" s="3" t="s">
        <v>1100</v>
      </c>
      <c r="H119" s="5" t="s">
        <v>1101</v>
      </c>
      <c r="I119" s="5" t="s">
        <v>1102</v>
      </c>
      <c r="J119" s="3" t="s">
        <v>1103</v>
      </c>
      <c r="K119" s="3">
        <v>9.919220044E9</v>
      </c>
      <c r="L119" s="6" t="s">
        <v>1104</v>
      </c>
      <c r="M119" s="3"/>
      <c r="N119" s="3" t="str">
        <f t="shared" ref="N119:N121" si="27">B119</f>
        <v>Sumitra Sons - Shahajahanpur</v>
      </c>
      <c r="O119" s="3" t="str">
        <f t="shared" ref="O119:O121" si="28">(A119)</f>
        <v>11FZlKtFUzBvNAVUVwf1C2KpyoxHhbZTiI7E_EdPr-mg</v>
      </c>
      <c r="P119" s="3" t="s">
        <v>64</v>
      </c>
      <c r="Q119" s="8" t="s">
        <v>65</v>
      </c>
      <c r="R119" s="3" t="s">
        <v>66</v>
      </c>
      <c r="S119" s="8" t="s">
        <v>1105</v>
      </c>
      <c r="T119" s="8" t="s">
        <v>83</v>
      </c>
      <c r="U119" s="8"/>
      <c r="V119" s="8"/>
      <c r="W119" s="8"/>
      <c r="X119" s="8"/>
      <c r="Y119" s="8"/>
      <c r="Z119" s="8"/>
      <c r="AA119" s="8"/>
      <c r="AB119" s="8"/>
      <c r="AC119" s="8"/>
      <c r="AD119" s="8"/>
      <c r="AE119" s="8"/>
      <c r="AF119" s="8"/>
      <c r="AG119" s="7"/>
      <c r="AH119" s="8"/>
      <c r="AI119" s="8"/>
      <c r="AJ119" s="8"/>
      <c r="AK119" s="8"/>
      <c r="AL119" s="8"/>
      <c r="AM119" s="8"/>
      <c r="AN119" s="8"/>
      <c r="AO119" s="8"/>
      <c r="AP119" s="8"/>
      <c r="AQ119" s="8"/>
      <c r="AR119" s="8"/>
      <c r="AS119" s="8"/>
      <c r="AT119" s="9" t="s">
        <v>1106</v>
      </c>
      <c r="AU119" s="8" t="s">
        <v>85</v>
      </c>
      <c r="AV119" s="8"/>
      <c r="AW119" s="8"/>
      <c r="AX119" s="8"/>
      <c r="AY119" s="8"/>
      <c r="AZ119" s="8" t="s">
        <v>86</v>
      </c>
      <c r="BA119" s="8" t="s">
        <v>86</v>
      </c>
      <c r="BB119" s="8" t="s">
        <v>86</v>
      </c>
      <c r="BC119" s="8">
        <v>0.0</v>
      </c>
    </row>
    <row r="120">
      <c r="A120" s="3" t="s">
        <v>1107</v>
      </c>
      <c r="B120" s="3" t="s">
        <v>1108</v>
      </c>
      <c r="C120" s="3" t="s">
        <v>1109</v>
      </c>
      <c r="D120" s="3" t="s">
        <v>1108</v>
      </c>
      <c r="E120" s="3">
        <v>100000.0</v>
      </c>
      <c r="F120" s="3" t="s">
        <v>76</v>
      </c>
      <c r="G120" s="3" t="s">
        <v>1110</v>
      </c>
      <c r="H120" s="5" t="s">
        <v>1111</v>
      </c>
      <c r="I120" s="5" t="s">
        <v>1112</v>
      </c>
      <c r="J120" s="3" t="s">
        <v>1113</v>
      </c>
      <c r="K120" s="3">
        <v>9.837032507E9</v>
      </c>
      <c r="L120" s="6" t="s">
        <v>1114</v>
      </c>
      <c r="M120" s="3"/>
      <c r="N120" s="3" t="str">
        <f t="shared" si="27"/>
        <v>R N Motors - Rampur</v>
      </c>
      <c r="O120" s="3" t="str">
        <f t="shared" si="28"/>
        <v>1Ls4odXuMLfeohk9ZIC00W0M7HKTZolVgkr-fVY8YwrQ</v>
      </c>
      <c r="P120" s="3" t="s">
        <v>64</v>
      </c>
      <c r="Q120" s="8" t="s">
        <v>65</v>
      </c>
      <c r="R120" s="3" t="s">
        <v>66</v>
      </c>
      <c r="S120" s="8" t="s">
        <v>1115</v>
      </c>
      <c r="T120" s="8" t="s">
        <v>83</v>
      </c>
      <c r="U120" s="8"/>
      <c r="V120" s="8"/>
      <c r="W120" s="8"/>
      <c r="X120" s="8"/>
      <c r="Y120" s="8"/>
      <c r="Z120" s="8"/>
      <c r="AA120" s="8"/>
      <c r="AB120" s="8"/>
      <c r="AC120" s="8"/>
      <c r="AD120" s="8"/>
      <c r="AE120" s="8"/>
      <c r="AF120" s="8"/>
      <c r="AG120" s="7"/>
      <c r="AH120" s="8"/>
      <c r="AI120" s="8"/>
      <c r="AJ120" s="8"/>
      <c r="AK120" s="8"/>
      <c r="AL120" s="8"/>
      <c r="AM120" s="8"/>
      <c r="AN120" s="8"/>
      <c r="AO120" s="8"/>
      <c r="AP120" s="8"/>
      <c r="AQ120" s="8"/>
      <c r="AR120" s="8"/>
      <c r="AS120" s="8"/>
      <c r="AT120" s="9" t="s">
        <v>1116</v>
      </c>
      <c r="AU120" s="8" t="s">
        <v>85</v>
      </c>
      <c r="AV120" s="8"/>
      <c r="AW120" s="8"/>
      <c r="AX120" s="8"/>
      <c r="AY120" s="8"/>
      <c r="AZ120" s="8" t="s">
        <v>86</v>
      </c>
      <c r="BA120" s="8" t="s">
        <v>86</v>
      </c>
      <c r="BB120" s="8" t="s">
        <v>86</v>
      </c>
      <c r="BC120" s="8">
        <v>0.0</v>
      </c>
    </row>
    <row r="121">
      <c r="A121" s="3" t="s">
        <v>1117</v>
      </c>
      <c r="B121" s="3" t="s">
        <v>1118</v>
      </c>
      <c r="C121" s="3" t="s">
        <v>1119</v>
      </c>
      <c r="D121" s="3" t="s">
        <v>1118</v>
      </c>
      <c r="E121" s="3">
        <v>100000.0</v>
      </c>
      <c r="F121" s="3" t="s">
        <v>58</v>
      </c>
      <c r="G121" s="3" t="s">
        <v>1120</v>
      </c>
      <c r="H121" s="5" t="s">
        <v>1121</v>
      </c>
      <c r="I121" s="5" t="s">
        <v>1122</v>
      </c>
      <c r="J121" s="3" t="s">
        <v>1123</v>
      </c>
      <c r="K121" s="3">
        <v>9.8370008E9</v>
      </c>
      <c r="L121" s="6" t="s">
        <v>1124</v>
      </c>
      <c r="M121" s="3"/>
      <c r="N121" s="3" t="str">
        <f t="shared" si="27"/>
        <v>Venus Hero Venture - Firozabad</v>
      </c>
      <c r="O121" s="3" t="str">
        <f t="shared" si="28"/>
        <v>1egrFzds1dA_qcyd-YeJKBrt74ORJ0Jzk4cfbN-wYoKI</v>
      </c>
      <c r="P121" s="3" t="s">
        <v>64</v>
      </c>
      <c r="Q121" s="8" t="s">
        <v>65</v>
      </c>
      <c r="R121" s="3" t="s">
        <v>66</v>
      </c>
      <c r="S121" s="8" t="s">
        <v>1125</v>
      </c>
      <c r="T121" s="8" t="s">
        <v>83</v>
      </c>
      <c r="U121" s="8"/>
      <c r="V121" s="8"/>
      <c r="W121" s="8"/>
      <c r="X121" s="8"/>
      <c r="Y121" s="8"/>
      <c r="Z121" s="8"/>
      <c r="AA121" s="8"/>
      <c r="AB121" s="8"/>
      <c r="AC121" s="8"/>
      <c r="AD121" s="8"/>
      <c r="AE121" s="8"/>
      <c r="AF121" s="8"/>
      <c r="AG121" s="7"/>
      <c r="AH121" s="8"/>
      <c r="AI121" s="8"/>
      <c r="AJ121" s="8"/>
      <c r="AK121" s="8"/>
      <c r="AL121" s="8"/>
      <c r="AM121" s="8"/>
      <c r="AN121" s="8"/>
      <c r="AO121" s="8"/>
      <c r="AP121" s="8"/>
      <c r="AQ121" s="8"/>
      <c r="AR121" s="8"/>
      <c r="AS121" s="8"/>
      <c r="AT121" s="9" t="s">
        <v>1126</v>
      </c>
      <c r="AU121" s="8" t="s">
        <v>85</v>
      </c>
      <c r="AV121" s="8"/>
      <c r="AW121" s="8"/>
      <c r="AX121" s="8"/>
      <c r="AY121" s="8"/>
      <c r="AZ121" s="8" t="s">
        <v>86</v>
      </c>
      <c r="BA121" s="8" t="s">
        <v>86</v>
      </c>
      <c r="BB121" s="8" t="s">
        <v>86</v>
      </c>
      <c r="BC121" s="8">
        <v>0.0</v>
      </c>
    </row>
    <row r="122">
      <c r="A122" s="3" t="s">
        <v>1127</v>
      </c>
      <c r="B122" s="3" t="s">
        <v>1128</v>
      </c>
      <c r="C122" s="3" t="s">
        <v>1129</v>
      </c>
      <c r="D122" s="3" t="s">
        <v>1128</v>
      </c>
      <c r="E122" s="3">
        <v>100000.0</v>
      </c>
      <c r="F122" s="3" t="s">
        <v>58</v>
      </c>
      <c r="G122" s="3" t="s">
        <v>1130</v>
      </c>
      <c r="H122" s="5" t="s">
        <v>1131</v>
      </c>
      <c r="I122" s="5" t="s">
        <v>1132</v>
      </c>
      <c r="J122" s="3" t="s">
        <v>1133</v>
      </c>
      <c r="K122" s="3">
        <v>9.997071471E9</v>
      </c>
      <c r="L122" s="16">
        <v>44197.80972222222</v>
      </c>
      <c r="M122" s="3"/>
      <c r="N122" s="3" t="str">
        <f>(B7)</f>
        <v>Vikas Autowheels</v>
      </c>
      <c r="O122" s="3" t="str">
        <f>(A7)</f>
        <v>1944RLX7T1M23YXRXYoMnJ6nD_bKLldQXRpFRA0rDLvg</v>
      </c>
      <c r="P122" s="3" t="s">
        <v>142</v>
      </c>
      <c r="Q122" s="8" t="s">
        <v>65</v>
      </c>
      <c r="R122" s="3" t="s">
        <v>66</v>
      </c>
      <c r="S122" s="8" t="s">
        <v>123</v>
      </c>
      <c r="T122" s="8" t="s">
        <v>83</v>
      </c>
      <c r="U122" s="8"/>
      <c r="V122" s="8"/>
      <c r="W122" s="8"/>
      <c r="X122" s="8"/>
      <c r="Y122" s="8"/>
      <c r="Z122" s="8"/>
      <c r="AA122" s="8"/>
      <c r="AB122" s="8"/>
      <c r="AC122" s="8"/>
      <c r="AD122" s="8"/>
      <c r="AE122" s="8"/>
      <c r="AF122" s="8"/>
      <c r="AG122" s="7"/>
      <c r="AH122" s="8"/>
      <c r="AI122" s="8"/>
      <c r="AJ122" s="8"/>
      <c r="AK122" s="8"/>
      <c r="AL122" s="8"/>
      <c r="AM122" s="8"/>
      <c r="AN122" s="8"/>
      <c r="AO122" s="8"/>
      <c r="AP122" s="8"/>
      <c r="AQ122" s="8"/>
      <c r="AR122" s="8"/>
      <c r="AS122" s="8"/>
      <c r="AT122" s="8"/>
      <c r="AU122" s="8" t="s">
        <v>85</v>
      </c>
      <c r="AV122" s="8"/>
      <c r="AW122" s="8"/>
      <c r="AX122" s="8"/>
      <c r="AY122" s="8"/>
      <c r="AZ122" s="8" t="s">
        <v>72</v>
      </c>
      <c r="BA122" s="8" t="s">
        <v>86</v>
      </c>
      <c r="BB122" s="8" t="s">
        <v>86</v>
      </c>
      <c r="BC122" s="8">
        <v>0.0</v>
      </c>
    </row>
    <row r="123">
      <c r="A123" s="3" t="s">
        <v>1134</v>
      </c>
      <c r="B123" s="3" t="s">
        <v>1135</v>
      </c>
      <c r="C123" s="3" t="s">
        <v>1136</v>
      </c>
      <c r="D123" s="3" t="s">
        <v>1135</v>
      </c>
      <c r="E123" s="3">
        <v>100000.0</v>
      </c>
      <c r="F123" s="3" t="s">
        <v>58</v>
      </c>
      <c r="G123" s="3" t="s">
        <v>1137</v>
      </c>
      <c r="H123" s="5" t="s">
        <v>1138</v>
      </c>
      <c r="I123" s="5" t="s">
        <v>1139</v>
      </c>
      <c r="J123" s="3" t="s">
        <v>1140</v>
      </c>
      <c r="K123" s="3">
        <v>9.997071471E9</v>
      </c>
      <c r="L123" s="16">
        <v>44197.811111111114</v>
      </c>
      <c r="M123" s="3"/>
      <c r="N123" s="3" t="str">
        <f>(B7)</f>
        <v>Vikas Autowheels</v>
      </c>
      <c r="O123" s="3" t="str">
        <f>(A7)</f>
        <v>1944RLX7T1M23YXRXYoMnJ6nD_bKLldQXRpFRA0rDLvg</v>
      </c>
      <c r="P123" s="3" t="s">
        <v>142</v>
      </c>
      <c r="Q123" s="8" t="s">
        <v>65</v>
      </c>
      <c r="R123" s="3" t="s">
        <v>66</v>
      </c>
      <c r="S123" s="8" t="s">
        <v>123</v>
      </c>
      <c r="T123" s="8" t="s">
        <v>83</v>
      </c>
      <c r="U123" s="8"/>
      <c r="V123" s="8"/>
      <c r="W123" s="8"/>
      <c r="X123" s="8"/>
      <c r="Y123" s="8"/>
      <c r="Z123" s="8"/>
      <c r="AA123" s="8"/>
      <c r="AB123" s="8"/>
      <c r="AC123" s="8"/>
      <c r="AD123" s="8"/>
      <c r="AE123" s="8"/>
      <c r="AF123" s="8"/>
      <c r="AG123" s="7"/>
      <c r="AH123" s="8"/>
      <c r="AI123" s="8"/>
      <c r="AJ123" s="8"/>
      <c r="AK123" s="8"/>
      <c r="AL123" s="8"/>
      <c r="AM123" s="8"/>
      <c r="AN123" s="8"/>
      <c r="AO123" s="8"/>
      <c r="AP123" s="8"/>
      <c r="AQ123" s="8"/>
      <c r="AR123" s="8"/>
      <c r="AS123" s="8"/>
      <c r="AT123" s="8"/>
      <c r="AU123" s="8" t="s">
        <v>85</v>
      </c>
      <c r="AV123" s="8"/>
      <c r="AW123" s="8"/>
      <c r="AX123" s="8"/>
      <c r="AY123" s="8"/>
      <c r="AZ123" s="8" t="s">
        <v>72</v>
      </c>
      <c r="BA123" s="8" t="s">
        <v>86</v>
      </c>
      <c r="BB123" s="8" t="s">
        <v>86</v>
      </c>
      <c r="BC123" s="8">
        <v>0.0</v>
      </c>
    </row>
    <row r="124">
      <c r="A124" s="3" t="s">
        <v>1141</v>
      </c>
      <c r="B124" s="3" t="s">
        <v>1142</v>
      </c>
      <c r="C124" s="3" t="s">
        <v>1143</v>
      </c>
      <c r="D124" s="3" t="s">
        <v>1142</v>
      </c>
      <c r="E124" s="3">
        <v>100000.0</v>
      </c>
      <c r="F124" s="3" t="s">
        <v>58</v>
      </c>
      <c r="G124" s="3" t="s">
        <v>1144</v>
      </c>
      <c r="H124" s="5" t="s">
        <v>1145</v>
      </c>
      <c r="I124" s="5" t="s">
        <v>1146</v>
      </c>
      <c r="J124" s="3" t="s">
        <v>1147</v>
      </c>
      <c r="K124" s="3">
        <v>9.997071471E9</v>
      </c>
      <c r="L124" s="16">
        <v>44197.8125</v>
      </c>
      <c r="M124" s="3"/>
      <c r="N124" s="3" t="str">
        <f>(B7)</f>
        <v>Vikas Autowheels</v>
      </c>
      <c r="O124" s="3" t="str">
        <f>(A7)</f>
        <v>1944RLX7T1M23YXRXYoMnJ6nD_bKLldQXRpFRA0rDLvg</v>
      </c>
      <c r="P124" s="3" t="s">
        <v>142</v>
      </c>
      <c r="Q124" s="8" t="s">
        <v>65</v>
      </c>
      <c r="R124" s="3" t="s">
        <v>66</v>
      </c>
      <c r="S124" s="8" t="s">
        <v>123</v>
      </c>
      <c r="T124" s="8" t="s">
        <v>83</v>
      </c>
      <c r="U124" s="8"/>
      <c r="V124" s="8"/>
      <c r="W124" s="8"/>
      <c r="X124" s="8"/>
      <c r="Y124" s="8"/>
      <c r="Z124" s="8"/>
      <c r="AA124" s="8"/>
      <c r="AB124" s="8"/>
      <c r="AC124" s="8"/>
      <c r="AD124" s="8"/>
      <c r="AE124" s="8"/>
      <c r="AF124" s="8"/>
      <c r="AG124" s="7"/>
      <c r="AH124" s="8"/>
      <c r="AI124" s="8"/>
      <c r="AJ124" s="8"/>
      <c r="AK124" s="8"/>
      <c r="AL124" s="8"/>
      <c r="AM124" s="8"/>
      <c r="AN124" s="8"/>
      <c r="AO124" s="8"/>
      <c r="AP124" s="8"/>
      <c r="AQ124" s="8"/>
      <c r="AR124" s="8"/>
      <c r="AS124" s="8"/>
      <c r="AT124" s="8"/>
      <c r="AU124" s="8" t="s">
        <v>85</v>
      </c>
      <c r="AV124" s="8"/>
      <c r="AW124" s="8"/>
      <c r="AX124" s="8"/>
      <c r="AY124" s="8"/>
      <c r="AZ124" s="8" t="s">
        <v>72</v>
      </c>
      <c r="BA124" s="8" t="s">
        <v>86</v>
      </c>
      <c r="BB124" s="8" t="s">
        <v>86</v>
      </c>
      <c r="BC124" s="8">
        <v>0.0</v>
      </c>
    </row>
    <row r="125">
      <c r="A125" s="3" t="s">
        <v>1148</v>
      </c>
      <c r="B125" s="3" t="s">
        <v>1149</v>
      </c>
      <c r="C125" s="3" t="s">
        <v>1150</v>
      </c>
      <c r="D125" s="3" t="s">
        <v>1149</v>
      </c>
      <c r="E125" s="3">
        <v>100000.0</v>
      </c>
      <c r="F125" s="3" t="s">
        <v>58</v>
      </c>
      <c r="G125" s="3" t="s">
        <v>1151</v>
      </c>
      <c r="H125" s="5" t="s">
        <v>1152</v>
      </c>
      <c r="I125" s="5" t="s">
        <v>1153</v>
      </c>
      <c r="J125" s="3" t="s">
        <v>1154</v>
      </c>
      <c r="K125" s="3">
        <v>9.997071471E9</v>
      </c>
      <c r="L125" s="16">
        <v>44197.813888888886</v>
      </c>
      <c r="M125" s="3"/>
      <c r="N125" s="3" t="str">
        <f>(B7)</f>
        <v>Vikas Autowheels</v>
      </c>
      <c r="O125" s="3" t="str">
        <f>(A7)</f>
        <v>1944RLX7T1M23YXRXYoMnJ6nD_bKLldQXRpFRA0rDLvg</v>
      </c>
      <c r="P125" s="3" t="s">
        <v>142</v>
      </c>
      <c r="Q125" s="8" t="s">
        <v>65</v>
      </c>
      <c r="R125" s="3" t="s">
        <v>66</v>
      </c>
      <c r="S125" s="8" t="s">
        <v>123</v>
      </c>
      <c r="T125" s="8" t="s">
        <v>83</v>
      </c>
      <c r="U125" s="8"/>
      <c r="V125" s="8"/>
      <c r="W125" s="8"/>
      <c r="X125" s="8"/>
      <c r="Y125" s="8"/>
      <c r="Z125" s="8"/>
      <c r="AA125" s="8"/>
      <c r="AB125" s="8"/>
      <c r="AC125" s="8"/>
      <c r="AD125" s="8"/>
      <c r="AE125" s="8"/>
      <c r="AF125" s="8"/>
      <c r="AG125" s="7"/>
      <c r="AH125" s="8"/>
      <c r="AI125" s="8"/>
      <c r="AJ125" s="8"/>
      <c r="AK125" s="8"/>
      <c r="AL125" s="8"/>
      <c r="AM125" s="8"/>
      <c r="AN125" s="8"/>
      <c r="AO125" s="8"/>
      <c r="AP125" s="8"/>
      <c r="AQ125" s="8"/>
      <c r="AR125" s="8"/>
      <c r="AS125" s="8"/>
      <c r="AT125" s="8"/>
      <c r="AU125" s="8" t="s">
        <v>85</v>
      </c>
      <c r="AV125" s="8"/>
      <c r="AW125" s="8"/>
      <c r="AX125" s="8"/>
      <c r="AY125" s="8"/>
      <c r="AZ125" s="8" t="s">
        <v>72</v>
      </c>
      <c r="BA125" s="8" t="s">
        <v>86</v>
      </c>
      <c r="BB125" s="8" t="s">
        <v>86</v>
      </c>
      <c r="BC125" s="8">
        <v>0.0</v>
      </c>
    </row>
    <row r="126">
      <c r="A126" s="3" t="s">
        <v>1155</v>
      </c>
      <c r="B126" s="3" t="s">
        <v>1156</v>
      </c>
      <c r="C126" s="3" t="s">
        <v>1157</v>
      </c>
      <c r="D126" s="3" t="s">
        <v>1156</v>
      </c>
      <c r="E126" s="3">
        <v>100000.0</v>
      </c>
      <c r="F126" s="3" t="s">
        <v>76</v>
      </c>
      <c r="G126" s="3" t="s">
        <v>1158</v>
      </c>
      <c r="H126" s="5" t="s">
        <v>1159</v>
      </c>
      <c r="I126" s="5" t="s">
        <v>1160</v>
      </c>
      <c r="J126" s="3" t="s">
        <v>1161</v>
      </c>
      <c r="K126" s="3">
        <v>9.256214939E9</v>
      </c>
      <c r="L126" s="6" t="s">
        <v>1162</v>
      </c>
      <c r="M126" s="3"/>
      <c r="N126" s="3" t="str">
        <f>(B126)</f>
        <v>OM TVS</v>
      </c>
      <c r="O126" s="3" t="str">
        <f>(A126)</f>
        <v>1xZLFmrgIQQCVIpiqSQdZXo8Z3s5icym4MeFUuARl1dw</v>
      </c>
      <c r="P126" s="3" t="s">
        <v>64</v>
      </c>
      <c r="Q126" s="8" t="s">
        <v>285</v>
      </c>
      <c r="R126" s="3" t="s">
        <v>66</v>
      </c>
      <c r="S126" s="8" t="s">
        <v>530</v>
      </c>
      <c r="T126" s="8" t="s">
        <v>83</v>
      </c>
      <c r="U126" s="8"/>
      <c r="V126" s="8"/>
      <c r="W126" s="8"/>
      <c r="X126" s="8"/>
      <c r="Y126" s="8"/>
      <c r="Z126" s="8"/>
      <c r="AA126" s="8"/>
      <c r="AB126" s="8"/>
      <c r="AC126" s="8"/>
      <c r="AD126" s="8"/>
      <c r="AE126" s="8"/>
      <c r="AF126" s="8"/>
      <c r="AG126" s="7"/>
      <c r="AH126" s="8"/>
      <c r="AI126" s="8"/>
      <c r="AJ126" s="8"/>
      <c r="AK126" s="8"/>
      <c r="AL126" s="8"/>
      <c r="AM126" s="8"/>
      <c r="AN126" s="8"/>
      <c r="AO126" s="8"/>
      <c r="AP126" s="8"/>
      <c r="AQ126" s="8"/>
      <c r="AR126" s="8"/>
      <c r="AS126" s="8"/>
      <c r="AT126" s="9" t="s">
        <v>1163</v>
      </c>
      <c r="AU126" s="8" t="s">
        <v>85</v>
      </c>
      <c r="AV126" s="8"/>
      <c r="AW126" s="8"/>
      <c r="AX126" s="8"/>
      <c r="AY126" s="8"/>
      <c r="AZ126" s="8" t="s">
        <v>86</v>
      </c>
      <c r="BA126" s="8" t="s">
        <v>86</v>
      </c>
      <c r="BB126" s="8" t="s">
        <v>86</v>
      </c>
      <c r="BC126" s="8">
        <v>0.0</v>
      </c>
    </row>
    <row r="127">
      <c r="A127" s="3" t="s">
        <v>1164</v>
      </c>
      <c r="B127" s="3" t="s">
        <v>1165</v>
      </c>
      <c r="C127" s="3" t="s">
        <v>1166</v>
      </c>
      <c r="D127" s="3" t="s">
        <v>1165</v>
      </c>
      <c r="E127" s="3">
        <v>100000.0</v>
      </c>
      <c r="F127" s="3" t="s">
        <v>76</v>
      </c>
      <c r="G127" s="3" t="s">
        <v>1167</v>
      </c>
      <c r="H127" s="5" t="s">
        <v>1168</v>
      </c>
      <c r="I127" s="5" t="s">
        <v>1169</v>
      </c>
      <c r="J127" s="3" t="s">
        <v>1170</v>
      </c>
      <c r="K127" s="3">
        <v>9.984299595E9</v>
      </c>
      <c r="L127" s="6" t="s">
        <v>1171</v>
      </c>
      <c r="M127" s="3"/>
      <c r="N127" s="3" t="str">
        <f>(B119)</f>
        <v>Sumitra Sons - Shahajahanpur</v>
      </c>
      <c r="O127" s="3" t="str">
        <f>(A119)</f>
        <v>11FZlKtFUzBvNAVUVwf1C2KpyoxHhbZTiI7E_EdPr-mg</v>
      </c>
      <c r="P127" s="3" t="s">
        <v>142</v>
      </c>
      <c r="Q127" s="8" t="s">
        <v>65</v>
      </c>
      <c r="R127" s="3" t="s">
        <v>66</v>
      </c>
      <c r="S127" s="3" t="s">
        <v>1105</v>
      </c>
      <c r="T127" s="8" t="s">
        <v>83</v>
      </c>
      <c r="U127" s="8"/>
      <c r="V127" s="8"/>
      <c r="W127" s="8"/>
      <c r="X127" s="8"/>
      <c r="Y127" s="8"/>
      <c r="Z127" s="8"/>
      <c r="AA127" s="8"/>
      <c r="AB127" s="8"/>
      <c r="AC127" s="8"/>
      <c r="AD127" s="8"/>
      <c r="AE127" s="8"/>
      <c r="AF127" s="8"/>
      <c r="AG127" s="7"/>
      <c r="AH127" s="8"/>
      <c r="AI127" s="8"/>
      <c r="AJ127" s="8"/>
      <c r="AK127" s="8"/>
      <c r="AL127" s="8"/>
      <c r="AM127" s="8"/>
      <c r="AN127" s="8"/>
      <c r="AO127" s="8"/>
      <c r="AP127" s="8"/>
      <c r="AQ127" s="8"/>
      <c r="AR127" s="8"/>
      <c r="AS127" s="8"/>
      <c r="AT127" s="8"/>
      <c r="AU127" s="8" t="s">
        <v>85</v>
      </c>
      <c r="AV127" s="8"/>
      <c r="AW127" s="8"/>
      <c r="AX127" s="8"/>
      <c r="AY127" s="8"/>
      <c r="AZ127" s="8" t="s">
        <v>86</v>
      </c>
      <c r="BA127" s="8" t="s">
        <v>86</v>
      </c>
      <c r="BB127" s="8" t="s">
        <v>86</v>
      </c>
      <c r="BC127" s="8">
        <v>0.0</v>
      </c>
    </row>
    <row r="128">
      <c r="A128" s="3" t="s">
        <v>1172</v>
      </c>
      <c r="B128" s="3" t="s">
        <v>1173</v>
      </c>
      <c r="C128" s="3" t="s">
        <v>1174</v>
      </c>
      <c r="D128" s="3" t="s">
        <v>1173</v>
      </c>
      <c r="E128" s="3">
        <v>100000.0</v>
      </c>
      <c r="F128" s="3" t="s">
        <v>58</v>
      </c>
      <c r="G128" s="3" t="s">
        <v>1175</v>
      </c>
      <c r="H128" s="5" t="s">
        <v>1176</v>
      </c>
      <c r="I128" s="5" t="s">
        <v>1177</v>
      </c>
      <c r="J128" s="3" t="s">
        <v>1178</v>
      </c>
      <c r="K128" s="3">
        <v>9.758020716E9</v>
      </c>
      <c r="L128" s="6" t="s">
        <v>1179</v>
      </c>
      <c r="M128" s="3"/>
      <c r="N128" s="3" t="str">
        <f>(B128)</f>
        <v>Tarawati Maurya</v>
      </c>
      <c r="O128" s="3" t="str">
        <f>(A128)</f>
        <v>1vMWNNh-aM1nrCnH4Ps5ul1sg36h7ZiVgWbYyiSJDYW8</v>
      </c>
      <c r="P128" s="3" t="s">
        <v>64</v>
      </c>
      <c r="Q128" s="8" t="s">
        <v>540</v>
      </c>
      <c r="R128" s="3" t="s">
        <v>1180</v>
      </c>
      <c r="S128" s="3" t="s">
        <v>1181</v>
      </c>
      <c r="T128" s="8" t="s">
        <v>83</v>
      </c>
      <c r="U128" s="8"/>
      <c r="V128" s="8"/>
      <c r="W128" s="8"/>
      <c r="X128" s="8"/>
      <c r="Y128" s="8"/>
      <c r="Z128" s="8"/>
      <c r="AA128" s="8"/>
      <c r="AB128" s="8"/>
      <c r="AC128" s="8"/>
      <c r="AD128" s="8"/>
      <c r="AE128" s="8"/>
      <c r="AF128" s="8"/>
      <c r="AG128" s="7"/>
      <c r="AH128" s="8"/>
      <c r="AI128" s="8"/>
      <c r="AJ128" s="8"/>
      <c r="AK128" s="8"/>
      <c r="AL128" s="8"/>
      <c r="AM128" s="8"/>
      <c r="AN128" s="8"/>
      <c r="AO128" s="8"/>
      <c r="AP128" s="8"/>
      <c r="AQ128" s="8"/>
      <c r="AR128" s="8"/>
      <c r="AS128" s="8"/>
      <c r="AT128" s="9" t="s">
        <v>1182</v>
      </c>
      <c r="AU128" s="8" t="s">
        <v>85</v>
      </c>
      <c r="AV128" s="8"/>
      <c r="AW128" s="8"/>
      <c r="AX128" s="8"/>
      <c r="AY128" s="8"/>
      <c r="AZ128" s="8" t="s">
        <v>86</v>
      </c>
      <c r="BA128" s="8" t="s">
        <v>86</v>
      </c>
      <c r="BB128" s="8" t="s">
        <v>86</v>
      </c>
      <c r="BC128" s="8">
        <v>0.0</v>
      </c>
    </row>
    <row r="129">
      <c r="A129" s="3" t="s">
        <v>1183</v>
      </c>
      <c r="B129" s="3" t="s">
        <v>1184</v>
      </c>
      <c r="C129" s="3" t="s">
        <v>1185</v>
      </c>
      <c r="D129" s="3" t="s">
        <v>1184</v>
      </c>
      <c r="E129" s="3">
        <v>100000.0</v>
      </c>
      <c r="F129" s="3" t="s">
        <v>58</v>
      </c>
      <c r="G129" s="3" t="s">
        <v>1186</v>
      </c>
      <c r="H129" s="5" t="s">
        <v>1187</v>
      </c>
      <c r="I129" s="5" t="s">
        <v>1188</v>
      </c>
      <c r="J129" s="3" t="s">
        <v>1189</v>
      </c>
      <c r="K129" s="3">
        <v>9.411060421E9</v>
      </c>
      <c r="L129" s="6" t="s">
        <v>1190</v>
      </c>
      <c r="M129" s="3"/>
      <c r="N129" s="3" t="str">
        <f t="shared" ref="N129:N134" si="29">B129</f>
        <v>Jassi Motors - Mainpuri</v>
      </c>
      <c r="O129" s="3" t="str">
        <f t="shared" ref="O129:O134" si="30">A129</f>
        <v>18j4yqkTLlff3QgAQzxbikTB9QfvCJyXh60_rLTsgkUA</v>
      </c>
      <c r="P129" s="3" t="s">
        <v>64</v>
      </c>
      <c r="Q129" s="8" t="s">
        <v>65</v>
      </c>
      <c r="R129" s="3" t="s">
        <v>1191</v>
      </c>
      <c r="S129" s="3" t="s">
        <v>1191</v>
      </c>
      <c r="T129" s="8" t="s">
        <v>83</v>
      </c>
      <c r="U129" s="8"/>
      <c r="V129" s="8"/>
      <c r="W129" s="8"/>
      <c r="X129" s="8"/>
      <c r="Y129" s="8"/>
      <c r="Z129" s="8"/>
      <c r="AA129" s="8"/>
      <c r="AB129" s="8"/>
      <c r="AC129" s="8"/>
      <c r="AD129" s="8"/>
      <c r="AE129" s="8"/>
      <c r="AF129" s="8"/>
      <c r="AG129" s="7"/>
      <c r="AH129" s="8"/>
      <c r="AI129" s="8"/>
      <c r="AJ129" s="8"/>
      <c r="AK129" s="8"/>
      <c r="AL129" s="8"/>
      <c r="AM129" s="8"/>
      <c r="AN129" s="8"/>
      <c r="AO129" s="8"/>
      <c r="AP129" s="8"/>
      <c r="AQ129" s="8"/>
      <c r="AR129" s="8"/>
      <c r="AS129" s="8"/>
      <c r="AT129" s="9" t="s">
        <v>1192</v>
      </c>
      <c r="AU129" s="8" t="s">
        <v>85</v>
      </c>
      <c r="AV129" s="8"/>
      <c r="AW129" s="8"/>
      <c r="AX129" s="8"/>
      <c r="AY129" s="8"/>
      <c r="AZ129" s="8" t="s">
        <v>86</v>
      </c>
      <c r="BA129" s="8" t="s">
        <v>86</v>
      </c>
      <c r="BB129" s="8" t="s">
        <v>86</v>
      </c>
      <c r="BC129" s="8">
        <v>0.0</v>
      </c>
    </row>
    <row r="130">
      <c r="A130" s="3" t="s">
        <v>1193</v>
      </c>
      <c r="B130" s="3" t="s">
        <v>1194</v>
      </c>
      <c r="C130" s="3" t="s">
        <v>1195</v>
      </c>
      <c r="D130" s="3" t="s">
        <v>1194</v>
      </c>
      <c r="E130" s="3">
        <v>100000.0</v>
      </c>
      <c r="F130" s="3" t="s">
        <v>58</v>
      </c>
      <c r="G130" s="3" t="s">
        <v>1196</v>
      </c>
      <c r="H130" s="5" t="s">
        <v>1197</v>
      </c>
      <c r="I130" s="5" t="s">
        <v>1198</v>
      </c>
      <c r="J130" s="3" t="s">
        <v>1199</v>
      </c>
      <c r="K130" s="3">
        <v>9.810707217E9</v>
      </c>
      <c r="L130" s="6" t="s">
        <v>1200</v>
      </c>
      <c r="M130" s="3"/>
      <c r="N130" s="3" t="str">
        <f t="shared" si="29"/>
        <v>Dhansri Motors - Noida</v>
      </c>
      <c r="O130" s="3" t="str">
        <f t="shared" si="30"/>
        <v>1dV47fJN9zfoEbGvv71kLmpN6o-gQtGRvXq4lwNICvVc</v>
      </c>
      <c r="P130" s="3" t="s">
        <v>64</v>
      </c>
      <c r="Q130" s="8" t="s">
        <v>65</v>
      </c>
      <c r="R130" s="3" t="s">
        <v>378</v>
      </c>
      <c r="S130" s="3" t="s">
        <v>378</v>
      </c>
      <c r="T130" s="8" t="s">
        <v>83</v>
      </c>
      <c r="U130" s="8"/>
      <c r="V130" s="8"/>
      <c r="W130" s="8"/>
      <c r="X130" s="8"/>
      <c r="Y130" s="8"/>
      <c r="Z130" s="8"/>
      <c r="AA130" s="8"/>
      <c r="AB130" s="8"/>
      <c r="AC130" s="8"/>
      <c r="AD130" s="8"/>
      <c r="AE130" s="8"/>
      <c r="AF130" s="8"/>
      <c r="AG130" s="7"/>
      <c r="AH130" s="8"/>
      <c r="AI130" s="8"/>
      <c r="AJ130" s="8"/>
      <c r="AK130" s="8"/>
      <c r="AL130" s="8"/>
      <c r="AM130" s="8"/>
      <c r="AN130" s="8"/>
      <c r="AO130" s="8"/>
      <c r="AP130" s="8"/>
      <c r="AQ130" s="8"/>
      <c r="AR130" s="8"/>
      <c r="AS130" s="8"/>
      <c r="AT130" s="9" t="s">
        <v>1201</v>
      </c>
      <c r="AU130" s="8" t="s">
        <v>85</v>
      </c>
      <c r="AV130" s="8"/>
      <c r="AW130" s="8"/>
      <c r="AX130" s="8"/>
      <c r="AY130" s="8"/>
      <c r="AZ130" s="8" t="s">
        <v>86</v>
      </c>
      <c r="BA130" s="8" t="s">
        <v>86</v>
      </c>
      <c r="BB130" s="8" t="s">
        <v>86</v>
      </c>
      <c r="BC130" s="8">
        <v>0.0</v>
      </c>
    </row>
    <row r="131">
      <c r="A131" s="3" t="s">
        <v>1202</v>
      </c>
      <c r="B131" s="3" t="s">
        <v>1203</v>
      </c>
      <c r="C131" s="3" t="s">
        <v>1204</v>
      </c>
      <c r="D131" s="3" t="s">
        <v>1203</v>
      </c>
      <c r="E131" s="3">
        <v>100000.0</v>
      </c>
      <c r="F131" s="3" t="s">
        <v>76</v>
      </c>
      <c r="G131" s="3" t="s">
        <v>1205</v>
      </c>
      <c r="H131" s="5" t="s">
        <v>1206</v>
      </c>
      <c r="I131" s="5" t="s">
        <v>1207</v>
      </c>
      <c r="J131" s="3" t="s">
        <v>1208</v>
      </c>
      <c r="K131" s="3">
        <v>9.997774428E9</v>
      </c>
      <c r="L131" s="6" t="s">
        <v>1209</v>
      </c>
      <c r="M131" s="3"/>
      <c r="N131" s="3" t="str">
        <f t="shared" si="29"/>
        <v>Lalit Mohan sharma</v>
      </c>
      <c r="O131" s="3" t="str">
        <f t="shared" si="30"/>
        <v>1QtE2j1s3tO4so4-6brIBcxG25GkuhYSP382fzi5rqdw</v>
      </c>
      <c r="P131" s="3" t="s">
        <v>64</v>
      </c>
      <c r="Q131" s="8" t="s">
        <v>65</v>
      </c>
      <c r="R131" s="3" t="s">
        <v>1210</v>
      </c>
      <c r="S131" s="3" t="s">
        <v>95</v>
      </c>
      <c r="T131" s="8" t="s">
        <v>83</v>
      </c>
      <c r="U131" s="8"/>
      <c r="V131" s="8"/>
      <c r="W131" s="8"/>
      <c r="X131" s="8"/>
      <c r="Y131" s="8"/>
      <c r="Z131" s="8"/>
      <c r="AA131" s="8"/>
      <c r="AB131" s="8"/>
      <c r="AC131" s="8"/>
      <c r="AD131" s="8"/>
      <c r="AE131" s="8"/>
      <c r="AF131" s="8"/>
      <c r="AG131" s="7"/>
      <c r="AH131" s="8"/>
      <c r="AI131" s="8"/>
      <c r="AJ131" s="8"/>
      <c r="AK131" s="8"/>
      <c r="AL131" s="8"/>
      <c r="AM131" s="8"/>
      <c r="AN131" s="8"/>
      <c r="AO131" s="8"/>
      <c r="AP131" s="8"/>
      <c r="AQ131" s="8"/>
      <c r="AR131" s="8"/>
      <c r="AS131" s="8"/>
      <c r="AT131" s="9" t="s">
        <v>1211</v>
      </c>
      <c r="AU131" s="8" t="s">
        <v>69</v>
      </c>
      <c r="AV131" s="8"/>
      <c r="AW131" s="8"/>
      <c r="AX131" s="8"/>
      <c r="AY131" s="8"/>
      <c r="AZ131" s="8" t="s">
        <v>86</v>
      </c>
      <c r="BA131" s="8" t="s">
        <v>86</v>
      </c>
      <c r="BB131" s="8" t="s">
        <v>86</v>
      </c>
      <c r="BC131" s="8">
        <v>0.0</v>
      </c>
    </row>
    <row r="132">
      <c r="A132" s="3" t="s">
        <v>1212</v>
      </c>
      <c r="B132" s="3" t="s">
        <v>1213</v>
      </c>
      <c r="C132" s="3" t="s">
        <v>1214</v>
      </c>
      <c r="D132" s="3" t="s">
        <v>1213</v>
      </c>
      <c r="E132" s="3">
        <v>100000.0</v>
      </c>
      <c r="F132" s="3" t="s">
        <v>58</v>
      </c>
      <c r="G132" s="3" t="s">
        <v>1215</v>
      </c>
      <c r="H132" s="5" t="s">
        <v>1216</v>
      </c>
      <c r="I132" s="5" t="s">
        <v>1217</v>
      </c>
      <c r="J132" s="3" t="s">
        <v>1218</v>
      </c>
      <c r="K132" s="3">
        <v>9.997774428E9</v>
      </c>
      <c r="L132" s="16">
        <v>44410.52013888889</v>
      </c>
      <c r="M132" s="3"/>
      <c r="N132" s="3" t="str">
        <f t="shared" si="29"/>
        <v>Lalit Mohan Sharma</v>
      </c>
      <c r="O132" s="3" t="str">
        <f t="shared" si="30"/>
        <v>1d-fClpNuQDkiOpgBIcTAkZx1QbsS35V0oPcKli3TAOc</v>
      </c>
      <c r="P132" s="3" t="s">
        <v>64</v>
      </c>
      <c r="Q132" s="8" t="s">
        <v>65</v>
      </c>
      <c r="R132" s="3" t="s">
        <v>95</v>
      </c>
      <c r="S132" s="3" t="s">
        <v>95</v>
      </c>
      <c r="T132" s="8" t="s">
        <v>83</v>
      </c>
      <c r="U132" s="8"/>
      <c r="V132" s="8"/>
      <c r="W132" s="8"/>
      <c r="X132" s="8"/>
      <c r="Y132" s="8"/>
      <c r="Z132" s="8"/>
      <c r="AA132" s="8"/>
      <c r="AB132" s="8"/>
      <c r="AC132" s="8"/>
      <c r="AD132" s="8"/>
      <c r="AE132" s="8"/>
      <c r="AF132" s="8"/>
      <c r="AG132" s="7"/>
      <c r="AH132" s="8"/>
      <c r="AI132" s="8"/>
      <c r="AJ132" s="8"/>
      <c r="AK132" s="8"/>
      <c r="AL132" s="8"/>
      <c r="AM132" s="8"/>
      <c r="AN132" s="8"/>
      <c r="AO132" s="8"/>
      <c r="AP132" s="8"/>
      <c r="AQ132" s="8"/>
      <c r="AR132" s="8"/>
      <c r="AS132" s="8"/>
      <c r="AT132" s="9" t="s">
        <v>1219</v>
      </c>
      <c r="AU132" s="8" t="s">
        <v>69</v>
      </c>
      <c r="AV132" s="8"/>
      <c r="AW132" s="8"/>
      <c r="AX132" s="8"/>
      <c r="AY132" s="8"/>
      <c r="AZ132" s="8" t="s">
        <v>86</v>
      </c>
      <c r="BA132" s="8" t="s">
        <v>86</v>
      </c>
      <c r="BB132" s="8" t="s">
        <v>86</v>
      </c>
      <c r="BC132" s="8">
        <v>0.0</v>
      </c>
    </row>
    <row r="133">
      <c r="A133" s="3" t="s">
        <v>1220</v>
      </c>
      <c r="B133" s="3" t="s">
        <v>1221</v>
      </c>
      <c r="C133" s="3" t="s">
        <v>1222</v>
      </c>
      <c r="D133" s="3" t="s">
        <v>1221</v>
      </c>
      <c r="E133" s="3">
        <v>100000.0</v>
      </c>
      <c r="F133" s="3" t="s">
        <v>58</v>
      </c>
      <c r="G133" s="3" t="s">
        <v>1223</v>
      </c>
      <c r="H133" s="5" t="s">
        <v>1224</v>
      </c>
      <c r="I133" s="5" t="s">
        <v>1225</v>
      </c>
      <c r="J133" s="3" t="s">
        <v>1226</v>
      </c>
      <c r="K133" s="3">
        <v>9.753373609E9</v>
      </c>
      <c r="L133" s="16">
        <v>44410.52222222222</v>
      </c>
      <c r="M133" s="3"/>
      <c r="N133" s="3" t="str">
        <f t="shared" si="29"/>
        <v>Titan Automobiles - Chhattisgarh</v>
      </c>
      <c r="O133" s="3" t="str">
        <f t="shared" si="30"/>
        <v>1whkrB_X-9Od4l-1CkkLvnSLfIwfTyRMI1A3rhlUbkHU</v>
      </c>
      <c r="P133" s="3" t="s">
        <v>64</v>
      </c>
      <c r="Q133" s="8" t="s">
        <v>285</v>
      </c>
      <c r="R133" s="3" t="s">
        <v>1227</v>
      </c>
      <c r="S133" s="3" t="s">
        <v>1227</v>
      </c>
      <c r="T133" s="8" t="s">
        <v>1228</v>
      </c>
      <c r="U133" s="8"/>
      <c r="V133" s="8"/>
      <c r="W133" s="8"/>
      <c r="X133" s="8"/>
      <c r="Y133" s="8"/>
      <c r="Z133" s="8"/>
      <c r="AA133" s="8"/>
      <c r="AB133" s="8"/>
      <c r="AC133" s="8"/>
      <c r="AD133" s="8"/>
      <c r="AE133" s="8"/>
      <c r="AF133" s="8"/>
      <c r="AG133" s="7"/>
      <c r="AH133" s="8"/>
      <c r="AI133" s="8"/>
      <c r="AJ133" s="8"/>
      <c r="AK133" s="8"/>
      <c r="AL133" s="8"/>
      <c r="AM133" s="8"/>
      <c r="AN133" s="8"/>
      <c r="AO133" s="8"/>
      <c r="AP133" s="8"/>
      <c r="AQ133" s="8"/>
      <c r="AR133" s="8"/>
      <c r="AS133" s="8"/>
      <c r="AT133" s="9" t="s">
        <v>1229</v>
      </c>
      <c r="AU133" s="8" t="s">
        <v>730</v>
      </c>
      <c r="AV133" s="8"/>
      <c r="AW133" s="8"/>
      <c r="AX133" s="8"/>
      <c r="AY133" s="8"/>
      <c r="AZ133" s="8" t="s">
        <v>86</v>
      </c>
      <c r="BA133" s="8" t="s">
        <v>86</v>
      </c>
      <c r="BB133" s="8" t="s">
        <v>86</v>
      </c>
      <c r="BC133" s="8">
        <v>0.0</v>
      </c>
    </row>
    <row r="134">
      <c r="A134" s="3" t="s">
        <v>1230</v>
      </c>
      <c r="B134" s="3" t="s">
        <v>1231</v>
      </c>
      <c r="C134" s="3" t="s">
        <v>1232</v>
      </c>
      <c r="D134" s="3" t="s">
        <v>1231</v>
      </c>
      <c r="E134" s="3">
        <v>100000.0</v>
      </c>
      <c r="F134" s="3" t="s">
        <v>58</v>
      </c>
      <c r="G134" s="3" t="s">
        <v>1233</v>
      </c>
      <c r="H134" s="5" t="s">
        <v>1234</v>
      </c>
      <c r="I134" s="5" t="s">
        <v>1235</v>
      </c>
      <c r="J134" s="3" t="s">
        <v>1236</v>
      </c>
      <c r="K134" s="3">
        <v>9.999254394E9</v>
      </c>
      <c r="L134" s="16">
        <v>44532.50902777778</v>
      </c>
      <c r="M134" s="3"/>
      <c r="N134" s="3" t="str">
        <f t="shared" si="29"/>
        <v>Infinity Auto - Delhi</v>
      </c>
      <c r="O134" s="3" t="str">
        <f t="shared" si="30"/>
        <v>1R-KBg0YkrorE8DStygYpBSvRKir_GExYWSoR962MR28</v>
      </c>
      <c r="P134" s="3" t="s">
        <v>64</v>
      </c>
      <c r="Q134" s="8" t="s">
        <v>65</v>
      </c>
      <c r="R134" s="3" t="s">
        <v>106</v>
      </c>
      <c r="S134" s="3" t="s">
        <v>106</v>
      </c>
      <c r="T134" s="8" t="s">
        <v>106</v>
      </c>
      <c r="U134" s="8"/>
      <c r="V134" s="8"/>
      <c r="W134" s="8"/>
      <c r="X134" s="8"/>
      <c r="Y134" s="8"/>
      <c r="Z134" s="8"/>
      <c r="AA134" s="8"/>
      <c r="AB134" s="8"/>
      <c r="AC134" s="8"/>
      <c r="AD134" s="8"/>
      <c r="AE134" s="8"/>
      <c r="AF134" s="8"/>
      <c r="AG134" s="7"/>
      <c r="AH134" s="8"/>
      <c r="AI134" s="8"/>
      <c r="AJ134" s="8"/>
      <c r="AK134" s="8"/>
      <c r="AL134" s="8"/>
      <c r="AM134" s="8"/>
      <c r="AN134" s="8"/>
      <c r="AO134" s="8"/>
      <c r="AP134" s="8"/>
      <c r="AQ134" s="8"/>
      <c r="AR134" s="8"/>
      <c r="AS134" s="8"/>
      <c r="AT134" s="9" t="s">
        <v>1237</v>
      </c>
      <c r="AU134" s="8" t="s">
        <v>85</v>
      </c>
      <c r="AV134" s="8"/>
      <c r="AW134" s="8"/>
      <c r="AX134" s="8"/>
      <c r="AY134" s="8"/>
      <c r="AZ134" s="8" t="s">
        <v>86</v>
      </c>
      <c r="BA134" s="8" t="s">
        <v>86</v>
      </c>
      <c r="BB134" s="8" t="s">
        <v>86</v>
      </c>
      <c r="BC134" s="8">
        <v>0.0</v>
      </c>
    </row>
    <row r="135">
      <c r="A135" s="3" t="s">
        <v>1238</v>
      </c>
      <c r="B135" s="3" t="s">
        <v>1239</v>
      </c>
      <c r="C135" s="3" t="s">
        <v>1240</v>
      </c>
      <c r="D135" s="3" t="s">
        <v>1239</v>
      </c>
      <c r="E135" s="3">
        <v>100000.0</v>
      </c>
      <c r="F135" s="3" t="s">
        <v>58</v>
      </c>
      <c r="G135" s="3" t="s">
        <v>1241</v>
      </c>
      <c r="H135" s="5" t="s">
        <v>1242</v>
      </c>
      <c r="I135" s="5" t="s">
        <v>1243</v>
      </c>
      <c r="J135" s="3" t="s">
        <v>1244</v>
      </c>
      <c r="K135" s="3">
        <v>9.8976603E9</v>
      </c>
      <c r="L135" s="6" t="s">
        <v>1245</v>
      </c>
      <c r="M135" s="3"/>
      <c r="N135" s="3" t="str">
        <f>(B55)</f>
        <v>Krishna Hero - Bulandshahr</v>
      </c>
      <c r="O135" s="3" t="str">
        <f>(A55)</f>
        <v>1mX_ZCiMgVCd3AONQ2zBbbc9wQ6Mlj2RvmkSWdpWht-8</v>
      </c>
      <c r="P135" s="3" t="s">
        <v>142</v>
      </c>
      <c r="Q135" s="8" t="s">
        <v>65</v>
      </c>
      <c r="R135" s="3" t="s">
        <v>295</v>
      </c>
      <c r="S135" s="3" t="s">
        <v>295</v>
      </c>
      <c r="T135" s="8" t="s">
        <v>83</v>
      </c>
      <c r="U135" s="8"/>
      <c r="V135" s="8"/>
      <c r="W135" s="8"/>
      <c r="X135" s="8"/>
      <c r="Y135" s="8"/>
      <c r="Z135" s="8"/>
      <c r="AA135" s="8"/>
      <c r="AB135" s="8"/>
      <c r="AC135" s="8"/>
      <c r="AD135" s="8"/>
      <c r="AE135" s="8"/>
      <c r="AF135" s="8"/>
      <c r="AG135" s="7"/>
      <c r="AH135" s="8"/>
      <c r="AI135" s="8"/>
      <c r="AJ135" s="8"/>
      <c r="AK135" s="8"/>
      <c r="AL135" s="8"/>
      <c r="AM135" s="8"/>
      <c r="AN135" s="8"/>
      <c r="AO135" s="8"/>
      <c r="AP135" s="8"/>
      <c r="AQ135" s="8"/>
      <c r="AR135" s="8"/>
      <c r="AS135" s="8"/>
      <c r="AT135" s="8"/>
      <c r="AU135" s="8" t="s">
        <v>85</v>
      </c>
      <c r="AV135" s="8"/>
      <c r="AW135" s="8"/>
      <c r="AX135" s="8"/>
      <c r="AY135" s="8"/>
      <c r="AZ135" s="8" t="s">
        <v>72</v>
      </c>
      <c r="BA135" s="8" t="s">
        <v>86</v>
      </c>
      <c r="BB135" s="8" t="s">
        <v>86</v>
      </c>
      <c r="BC135" s="8">
        <v>0.0</v>
      </c>
    </row>
    <row r="136">
      <c r="A136" s="3" t="s">
        <v>1246</v>
      </c>
      <c r="B136" s="3" t="s">
        <v>1247</v>
      </c>
      <c r="C136" s="3" t="s">
        <v>1248</v>
      </c>
      <c r="D136" s="3" t="s">
        <v>1247</v>
      </c>
      <c r="E136" s="3">
        <v>100000.0</v>
      </c>
      <c r="F136" s="3" t="s">
        <v>58</v>
      </c>
      <c r="G136" s="3" t="s">
        <v>1249</v>
      </c>
      <c r="H136" s="5" t="s">
        <v>1250</v>
      </c>
      <c r="I136" s="5" t="s">
        <v>1251</v>
      </c>
      <c r="J136" s="3" t="s">
        <v>1252</v>
      </c>
      <c r="K136" s="3">
        <v>9.8976603E9</v>
      </c>
      <c r="L136" s="6" t="s">
        <v>1253</v>
      </c>
      <c r="M136" s="3"/>
      <c r="N136" s="3" t="str">
        <f>(B55)</f>
        <v>Krishna Hero - Bulandshahr</v>
      </c>
      <c r="O136" s="3" t="str">
        <f>(A55)</f>
        <v>1mX_ZCiMgVCd3AONQ2zBbbc9wQ6Mlj2RvmkSWdpWht-8</v>
      </c>
      <c r="P136" s="3" t="s">
        <v>142</v>
      </c>
      <c r="Q136" s="8" t="s">
        <v>65</v>
      </c>
      <c r="R136" s="3" t="s">
        <v>295</v>
      </c>
      <c r="S136" s="3" t="s">
        <v>295</v>
      </c>
      <c r="T136" s="8" t="s">
        <v>83</v>
      </c>
      <c r="U136" s="8"/>
      <c r="V136" s="8"/>
      <c r="W136" s="8"/>
      <c r="X136" s="8"/>
      <c r="Y136" s="8"/>
      <c r="Z136" s="8"/>
      <c r="AA136" s="8"/>
      <c r="AB136" s="8"/>
      <c r="AC136" s="8"/>
      <c r="AD136" s="8"/>
      <c r="AE136" s="8"/>
      <c r="AF136" s="8"/>
      <c r="AG136" s="7"/>
      <c r="AH136" s="8"/>
      <c r="AI136" s="8"/>
      <c r="AJ136" s="8"/>
      <c r="AK136" s="8"/>
      <c r="AL136" s="8"/>
      <c r="AM136" s="8"/>
      <c r="AN136" s="8"/>
      <c r="AO136" s="8"/>
      <c r="AP136" s="8"/>
      <c r="AQ136" s="8"/>
      <c r="AR136" s="8"/>
      <c r="AS136" s="8"/>
      <c r="AT136" s="8"/>
      <c r="AU136" s="8" t="s">
        <v>85</v>
      </c>
      <c r="AV136" s="8"/>
      <c r="AW136" s="8"/>
      <c r="AX136" s="8"/>
      <c r="AY136" s="8"/>
      <c r="AZ136" s="8" t="s">
        <v>72</v>
      </c>
      <c r="BA136" s="8" t="s">
        <v>86</v>
      </c>
      <c r="BB136" s="8" t="s">
        <v>86</v>
      </c>
      <c r="BC136" s="8">
        <v>0.0</v>
      </c>
    </row>
    <row r="137">
      <c r="A137" s="3" t="s">
        <v>1254</v>
      </c>
      <c r="B137" s="3" t="s">
        <v>1255</v>
      </c>
      <c r="C137" s="3" t="s">
        <v>1256</v>
      </c>
      <c r="D137" s="3" t="s">
        <v>1255</v>
      </c>
      <c r="E137" s="3">
        <v>100000.0</v>
      </c>
      <c r="F137" s="3" t="s">
        <v>58</v>
      </c>
      <c r="G137" s="3" t="s">
        <v>1257</v>
      </c>
      <c r="H137" s="5" t="s">
        <v>1258</v>
      </c>
      <c r="I137" s="5" t="s">
        <v>1259</v>
      </c>
      <c r="J137" s="3" t="s">
        <v>1260</v>
      </c>
      <c r="K137" s="3">
        <v>9.8976603E9</v>
      </c>
      <c r="L137" s="6" t="s">
        <v>1261</v>
      </c>
      <c r="M137" s="3"/>
      <c r="N137" s="3" t="str">
        <f>(B55)</f>
        <v>Krishna Hero - Bulandshahr</v>
      </c>
      <c r="O137" s="3" t="str">
        <f>(A55)</f>
        <v>1mX_ZCiMgVCd3AONQ2zBbbc9wQ6Mlj2RvmkSWdpWht-8</v>
      </c>
      <c r="P137" s="3" t="s">
        <v>142</v>
      </c>
      <c r="Q137" s="8" t="s">
        <v>65</v>
      </c>
      <c r="R137" s="3" t="s">
        <v>1262</v>
      </c>
      <c r="S137" s="3" t="s">
        <v>1262</v>
      </c>
      <c r="T137" s="8" t="s">
        <v>83</v>
      </c>
      <c r="U137" s="8"/>
      <c r="V137" s="8"/>
      <c r="W137" s="8"/>
      <c r="X137" s="8"/>
      <c r="Y137" s="8"/>
      <c r="Z137" s="8"/>
      <c r="AA137" s="8"/>
      <c r="AB137" s="8"/>
      <c r="AC137" s="8"/>
      <c r="AD137" s="8"/>
      <c r="AE137" s="8"/>
      <c r="AF137" s="8"/>
      <c r="AG137" s="7"/>
      <c r="AH137" s="8"/>
      <c r="AI137" s="8"/>
      <c r="AJ137" s="8"/>
      <c r="AK137" s="8"/>
      <c r="AL137" s="8"/>
      <c r="AM137" s="8"/>
      <c r="AN137" s="8"/>
      <c r="AO137" s="8"/>
      <c r="AP137" s="8"/>
      <c r="AQ137" s="8"/>
      <c r="AR137" s="8"/>
      <c r="AS137" s="8"/>
      <c r="AT137" s="8"/>
      <c r="AU137" s="8" t="s">
        <v>85</v>
      </c>
      <c r="AV137" s="8"/>
      <c r="AW137" s="8"/>
      <c r="AX137" s="8"/>
      <c r="AY137" s="8"/>
      <c r="AZ137" s="8" t="s">
        <v>72</v>
      </c>
      <c r="BA137" s="8" t="s">
        <v>86</v>
      </c>
      <c r="BB137" s="8" t="s">
        <v>86</v>
      </c>
      <c r="BC137" s="8">
        <v>0.0</v>
      </c>
    </row>
    <row r="138">
      <c r="A138" s="3" t="s">
        <v>1263</v>
      </c>
      <c r="B138" s="3" t="s">
        <v>1264</v>
      </c>
      <c r="C138" s="3" t="s">
        <v>1265</v>
      </c>
      <c r="D138" s="3" t="s">
        <v>1264</v>
      </c>
      <c r="E138" s="3">
        <v>100000.0</v>
      </c>
      <c r="F138" s="3" t="s">
        <v>58</v>
      </c>
      <c r="G138" s="3" t="s">
        <v>1266</v>
      </c>
      <c r="H138" s="5" t="s">
        <v>1267</v>
      </c>
      <c r="I138" s="5" t="s">
        <v>1268</v>
      </c>
      <c r="J138" s="3" t="s">
        <v>1269</v>
      </c>
      <c r="K138" s="3">
        <v>9.8976603E9</v>
      </c>
      <c r="L138" s="6" t="s">
        <v>1270</v>
      </c>
      <c r="M138" s="3"/>
      <c r="N138" s="3" t="str">
        <f>(B55)</f>
        <v>Krishna Hero - Bulandshahr</v>
      </c>
      <c r="O138" s="3" t="str">
        <f>(A55)</f>
        <v>1mX_ZCiMgVCd3AONQ2zBbbc9wQ6Mlj2RvmkSWdpWht-8</v>
      </c>
      <c r="P138" s="3" t="s">
        <v>142</v>
      </c>
      <c r="Q138" s="8" t="s">
        <v>65</v>
      </c>
      <c r="R138" s="3" t="s">
        <v>1271</v>
      </c>
      <c r="S138" s="3" t="s">
        <v>1271</v>
      </c>
      <c r="T138" s="8" t="s">
        <v>83</v>
      </c>
      <c r="U138" s="8"/>
      <c r="V138" s="8"/>
      <c r="W138" s="8"/>
      <c r="X138" s="8"/>
      <c r="Y138" s="8"/>
      <c r="Z138" s="8"/>
      <c r="AA138" s="8"/>
      <c r="AB138" s="8"/>
      <c r="AC138" s="8"/>
      <c r="AD138" s="8"/>
      <c r="AE138" s="8"/>
      <c r="AF138" s="8"/>
      <c r="AG138" s="7"/>
      <c r="AH138" s="8"/>
      <c r="AI138" s="8"/>
      <c r="AJ138" s="8"/>
      <c r="AK138" s="8"/>
      <c r="AL138" s="8"/>
      <c r="AM138" s="8"/>
      <c r="AN138" s="8"/>
      <c r="AO138" s="8"/>
      <c r="AP138" s="8"/>
      <c r="AQ138" s="8"/>
      <c r="AR138" s="8"/>
      <c r="AS138" s="8"/>
      <c r="AT138" s="8"/>
      <c r="AU138" s="8" t="s">
        <v>85</v>
      </c>
      <c r="AV138" s="8"/>
      <c r="AW138" s="8"/>
      <c r="AX138" s="8"/>
      <c r="AY138" s="8"/>
      <c r="AZ138" s="8" t="s">
        <v>72</v>
      </c>
      <c r="BA138" s="8" t="s">
        <v>86</v>
      </c>
      <c r="BB138" s="8" t="s">
        <v>86</v>
      </c>
      <c r="BC138" s="8">
        <v>0.0</v>
      </c>
    </row>
    <row r="139">
      <c r="A139" s="3" t="s">
        <v>1272</v>
      </c>
      <c r="B139" s="3" t="s">
        <v>1273</v>
      </c>
      <c r="C139" s="3" t="s">
        <v>1274</v>
      </c>
      <c r="D139" s="3" t="s">
        <v>1273</v>
      </c>
      <c r="E139" s="3">
        <v>100000.0</v>
      </c>
      <c r="F139" s="3" t="s">
        <v>58</v>
      </c>
      <c r="G139" s="3" t="s">
        <v>1275</v>
      </c>
      <c r="H139" s="5" t="s">
        <v>1276</v>
      </c>
      <c r="I139" s="5" t="s">
        <v>1277</v>
      </c>
      <c r="J139" s="3" t="s">
        <v>1278</v>
      </c>
      <c r="K139" s="3">
        <v>9.8976603E9</v>
      </c>
      <c r="L139" s="6" t="s">
        <v>1279</v>
      </c>
      <c r="M139" s="3"/>
      <c r="N139" s="3" t="str">
        <f>(B55)</f>
        <v>Krishna Hero - Bulandshahr</v>
      </c>
      <c r="O139" s="3" t="str">
        <f>(A55)</f>
        <v>1mX_ZCiMgVCd3AONQ2zBbbc9wQ6Mlj2RvmkSWdpWht-8</v>
      </c>
      <c r="P139" s="3" t="s">
        <v>142</v>
      </c>
      <c r="Q139" s="8" t="s">
        <v>65</v>
      </c>
      <c r="R139" s="3" t="s">
        <v>1280</v>
      </c>
      <c r="S139" s="3" t="s">
        <v>1280</v>
      </c>
      <c r="T139" s="8" t="s">
        <v>83</v>
      </c>
      <c r="U139" s="8"/>
      <c r="V139" s="8"/>
      <c r="W139" s="8"/>
      <c r="X139" s="8"/>
      <c r="Y139" s="8"/>
      <c r="Z139" s="8"/>
      <c r="AA139" s="8"/>
      <c r="AB139" s="8"/>
      <c r="AC139" s="8"/>
      <c r="AD139" s="8"/>
      <c r="AE139" s="8"/>
      <c r="AF139" s="8"/>
      <c r="AG139" s="7"/>
      <c r="AH139" s="8"/>
      <c r="AI139" s="8"/>
      <c r="AJ139" s="8"/>
      <c r="AK139" s="8"/>
      <c r="AL139" s="8"/>
      <c r="AM139" s="8"/>
      <c r="AN139" s="8"/>
      <c r="AO139" s="8"/>
      <c r="AP139" s="8"/>
      <c r="AQ139" s="8"/>
      <c r="AR139" s="8"/>
      <c r="AS139" s="8"/>
      <c r="AT139" s="8"/>
      <c r="AU139" s="8" t="s">
        <v>85</v>
      </c>
      <c r="AV139" s="8"/>
      <c r="AW139" s="8"/>
      <c r="AX139" s="8"/>
      <c r="AY139" s="8"/>
      <c r="AZ139" s="8" t="s">
        <v>72</v>
      </c>
      <c r="BA139" s="8" t="s">
        <v>86</v>
      </c>
      <c r="BB139" s="8" t="s">
        <v>86</v>
      </c>
      <c r="BC139" s="8">
        <v>0.0</v>
      </c>
    </row>
    <row r="140">
      <c r="A140" s="3" t="s">
        <v>1281</v>
      </c>
      <c r="B140" s="3" t="s">
        <v>1282</v>
      </c>
      <c r="C140" s="3" t="s">
        <v>1283</v>
      </c>
      <c r="D140" s="3" t="s">
        <v>1282</v>
      </c>
      <c r="E140" s="3">
        <v>100000.0</v>
      </c>
      <c r="F140" s="3" t="s">
        <v>58</v>
      </c>
      <c r="G140" s="3" t="s">
        <v>1284</v>
      </c>
      <c r="H140" s="5" t="s">
        <v>1285</v>
      </c>
      <c r="I140" s="5" t="s">
        <v>1286</v>
      </c>
      <c r="J140" s="3" t="s">
        <v>1287</v>
      </c>
      <c r="K140" s="3">
        <v>9.8976603E9</v>
      </c>
      <c r="L140" s="6" t="s">
        <v>1288</v>
      </c>
      <c r="M140" s="3"/>
      <c r="N140" s="3" t="str">
        <f>(B55)</f>
        <v>Krishna Hero - Bulandshahr</v>
      </c>
      <c r="O140" s="3" t="str">
        <f>(A55)</f>
        <v>1mX_ZCiMgVCd3AONQ2zBbbc9wQ6Mlj2RvmkSWdpWht-8</v>
      </c>
      <c r="P140" s="3" t="s">
        <v>142</v>
      </c>
      <c r="Q140" s="8" t="s">
        <v>65</v>
      </c>
      <c r="R140" s="3" t="s">
        <v>1289</v>
      </c>
      <c r="S140" s="3" t="s">
        <v>1289</v>
      </c>
      <c r="T140" s="8" t="s">
        <v>83</v>
      </c>
      <c r="U140" s="8"/>
      <c r="V140" s="8"/>
      <c r="W140" s="8"/>
      <c r="X140" s="8"/>
      <c r="Y140" s="8"/>
      <c r="Z140" s="8"/>
      <c r="AA140" s="8"/>
      <c r="AB140" s="8"/>
      <c r="AC140" s="8"/>
      <c r="AD140" s="8"/>
      <c r="AE140" s="8"/>
      <c r="AF140" s="8"/>
      <c r="AG140" s="7"/>
      <c r="AH140" s="8"/>
      <c r="AI140" s="8"/>
      <c r="AJ140" s="8"/>
      <c r="AK140" s="8"/>
      <c r="AL140" s="8"/>
      <c r="AM140" s="8"/>
      <c r="AN140" s="8"/>
      <c r="AO140" s="8"/>
      <c r="AP140" s="8"/>
      <c r="AQ140" s="8"/>
      <c r="AR140" s="8"/>
      <c r="AS140" s="8"/>
      <c r="AT140" s="8"/>
      <c r="AU140" s="8" t="s">
        <v>85</v>
      </c>
      <c r="AV140" s="8"/>
      <c r="AW140" s="8"/>
      <c r="AX140" s="8"/>
      <c r="AY140" s="8"/>
      <c r="AZ140" s="8" t="s">
        <v>72</v>
      </c>
      <c r="BA140" s="8" t="s">
        <v>86</v>
      </c>
      <c r="BB140" s="8" t="s">
        <v>86</v>
      </c>
      <c r="BC140" s="8">
        <v>0.0</v>
      </c>
    </row>
    <row r="141">
      <c r="A141" s="3" t="s">
        <v>1290</v>
      </c>
      <c r="B141" s="3" t="s">
        <v>1291</v>
      </c>
      <c r="C141" s="3" t="s">
        <v>1292</v>
      </c>
      <c r="D141" s="3" t="s">
        <v>1291</v>
      </c>
      <c r="E141" s="3">
        <v>100000.0</v>
      </c>
      <c r="F141" s="3" t="s">
        <v>58</v>
      </c>
      <c r="G141" s="3" t="s">
        <v>1293</v>
      </c>
      <c r="H141" s="5" t="s">
        <v>1294</v>
      </c>
      <c r="I141" s="5" t="s">
        <v>1295</v>
      </c>
      <c r="J141" s="3" t="s">
        <v>1296</v>
      </c>
      <c r="K141" s="3">
        <v>9.711130729E9</v>
      </c>
      <c r="L141" s="16">
        <v>44199.64097222222</v>
      </c>
      <c r="M141" s="3"/>
      <c r="N141" s="3" t="str">
        <f t="shared" ref="N141:N163" si="31">B141</f>
        <v>AMAN HERO - GHAZIABAD</v>
      </c>
      <c r="O141" s="3" t="str">
        <f t="shared" ref="O141:O163" si="32">A141</f>
        <v>1eadD90u_QHYWVVLEumQCr0hMVIKVxHEKRn2KsZZbuqc</v>
      </c>
      <c r="P141" s="3" t="s">
        <v>64</v>
      </c>
      <c r="Q141" s="8" t="s">
        <v>65</v>
      </c>
      <c r="R141" s="3" t="s">
        <v>1297</v>
      </c>
      <c r="S141" s="3" t="s">
        <v>82</v>
      </c>
      <c r="T141" s="8" t="s">
        <v>83</v>
      </c>
      <c r="U141" s="8"/>
      <c r="V141" s="8"/>
      <c r="W141" s="8"/>
      <c r="X141" s="8"/>
      <c r="Y141" s="8"/>
      <c r="Z141" s="8"/>
      <c r="AA141" s="8"/>
      <c r="AB141" s="8"/>
      <c r="AC141" s="8"/>
      <c r="AD141" s="8"/>
      <c r="AE141" s="8"/>
      <c r="AF141" s="8"/>
      <c r="AG141" s="7"/>
      <c r="AH141" s="8"/>
      <c r="AI141" s="8"/>
      <c r="AJ141" s="8"/>
      <c r="AK141" s="8"/>
      <c r="AL141" s="8"/>
      <c r="AM141" s="8"/>
      <c r="AN141" s="8"/>
      <c r="AO141" s="8"/>
      <c r="AP141" s="8"/>
      <c r="AQ141" s="8"/>
      <c r="AR141" s="8"/>
      <c r="AS141" s="8"/>
      <c r="AT141" s="9" t="s">
        <v>1298</v>
      </c>
      <c r="AU141" s="8" t="s">
        <v>85</v>
      </c>
      <c r="AV141" s="8"/>
      <c r="AW141" s="8"/>
      <c r="AX141" s="8"/>
      <c r="AY141" s="8"/>
      <c r="AZ141" s="8" t="s">
        <v>86</v>
      </c>
      <c r="BA141" s="8" t="s">
        <v>86</v>
      </c>
      <c r="BB141" s="8" t="s">
        <v>86</v>
      </c>
      <c r="BC141" s="8">
        <v>0.0</v>
      </c>
    </row>
    <row r="142">
      <c r="A142" s="3" t="s">
        <v>1299</v>
      </c>
      <c r="B142" s="3" t="s">
        <v>1300</v>
      </c>
      <c r="C142" s="3" t="s">
        <v>1301</v>
      </c>
      <c r="D142" s="3" t="s">
        <v>1302</v>
      </c>
      <c r="E142" s="3">
        <v>100000.0</v>
      </c>
      <c r="F142" s="3" t="s">
        <v>58</v>
      </c>
      <c r="G142" s="3" t="s">
        <v>1303</v>
      </c>
      <c r="H142" s="5" t="s">
        <v>1304</v>
      </c>
      <c r="I142" s="5" t="s">
        <v>1305</v>
      </c>
      <c r="J142" s="3" t="s">
        <v>1306</v>
      </c>
      <c r="K142" s="3">
        <v>8.102919322E9</v>
      </c>
      <c r="L142" s="16">
        <v>44199.77777777778</v>
      </c>
      <c r="M142" s="3"/>
      <c r="N142" s="3" t="str">
        <f t="shared" si="31"/>
        <v>PREMA HONDA- BIHAR(SN)</v>
      </c>
      <c r="O142" s="3" t="str">
        <f t="shared" si="32"/>
        <v>1eWL9qs4gF2hDOrao950bttsqaQjvqYNOwOArak2wAWY</v>
      </c>
      <c r="P142" s="3" t="s">
        <v>64</v>
      </c>
      <c r="Q142" s="8" t="s">
        <v>540</v>
      </c>
      <c r="R142" s="3" t="s">
        <v>1307</v>
      </c>
      <c r="S142" s="3" t="s">
        <v>1307</v>
      </c>
      <c r="T142" s="8" t="s">
        <v>1308</v>
      </c>
      <c r="U142" s="8"/>
      <c r="V142" s="8"/>
      <c r="W142" s="8"/>
      <c r="X142" s="8"/>
      <c r="Y142" s="8"/>
      <c r="Z142" s="8"/>
      <c r="AA142" s="8"/>
      <c r="AB142" s="8"/>
      <c r="AC142" s="8"/>
      <c r="AD142" s="8"/>
      <c r="AE142" s="8"/>
      <c r="AF142" s="8"/>
      <c r="AG142" s="7"/>
      <c r="AH142" s="8"/>
      <c r="AI142" s="8"/>
      <c r="AJ142" s="8"/>
      <c r="AK142" s="8"/>
      <c r="AL142" s="8"/>
      <c r="AM142" s="8"/>
      <c r="AN142" s="8"/>
      <c r="AO142" s="8"/>
      <c r="AP142" s="8"/>
      <c r="AQ142" s="8"/>
      <c r="AR142" s="8"/>
      <c r="AS142" s="8"/>
      <c r="AT142" s="9" t="s">
        <v>1309</v>
      </c>
      <c r="AU142" s="8" t="s">
        <v>730</v>
      </c>
      <c r="AV142" s="8"/>
      <c r="AW142" s="8"/>
      <c r="AX142" s="8"/>
      <c r="AY142" s="8"/>
      <c r="AZ142" s="8" t="s">
        <v>86</v>
      </c>
      <c r="BA142" s="8" t="s">
        <v>86</v>
      </c>
      <c r="BB142" s="8" t="s">
        <v>86</v>
      </c>
      <c r="BC142" s="8">
        <v>0.0</v>
      </c>
    </row>
    <row r="143">
      <c r="A143" s="3" t="s">
        <v>1310</v>
      </c>
      <c r="B143" s="3" t="s">
        <v>1311</v>
      </c>
      <c r="C143" s="3" t="s">
        <v>1312</v>
      </c>
      <c r="D143" s="3" t="s">
        <v>1311</v>
      </c>
      <c r="E143" s="3">
        <v>100000.0</v>
      </c>
      <c r="F143" s="3" t="s">
        <v>58</v>
      </c>
      <c r="G143" s="3" t="s">
        <v>1313</v>
      </c>
      <c r="H143" s="5" t="s">
        <v>1314</v>
      </c>
      <c r="I143" s="5" t="s">
        <v>1315</v>
      </c>
      <c r="J143" s="3" t="s">
        <v>1316</v>
      </c>
      <c r="K143" s="3">
        <v>8.102919322E9</v>
      </c>
      <c r="L143" s="16">
        <v>44199.77916666667</v>
      </c>
      <c r="M143" s="3"/>
      <c r="N143" s="3" t="str">
        <f t="shared" si="31"/>
        <v>Prema Honda-2-BIHAR</v>
      </c>
      <c r="O143" s="3" t="str">
        <f t="shared" si="32"/>
        <v>1rJGxnVgNYw4R0sSIyn3TAqm2-oK_NlkxU2BLo1Qupus</v>
      </c>
      <c r="P143" s="3" t="s">
        <v>64</v>
      </c>
      <c r="Q143" s="8" t="s">
        <v>540</v>
      </c>
      <c r="R143" s="3" t="s">
        <v>1307</v>
      </c>
      <c r="S143" s="3" t="s">
        <v>1307</v>
      </c>
      <c r="T143" s="8" t="s">
        <v>1308</v>
      </c>
      <c r="U143" s="8"/>
      <c r="V143" s="8"/>
      <c r="W143" s="8"/>
      <c r="X143" s="8"/>
      <c r="Y143" s="8"/>
      <c r="Z143" s="8"/>
      <c r="AA143" s="8"/>
      <c r="AB143" s="8"/>
      <c r="AC143" s="8"/>
      <c r="AD143" s="8"/>
      <c r="AE143" s="8"/>
      <c r="AF143" s="8"/>
      <c r="AG143" s="7"/>
      <c r="AH143" s="8"/>
      <c r="AI143" s="8"/>
      <c r="AJ143" s="8"/>
      <c r="AK143" s="8"/>
      <c r="AL143" s="8"/>
      <c r="AM143" s="8"/>
      <c r="AN143" s="8"/>
      <c r="AO143" s="8"/>
      <c r="AP143" s="8"/>
      <c r="AQ143" s="8"/>
      <c r="AR143" s="8"/>
      <c r="AS143" s="8"/>
      <c r="AT143" s="9" t="s">
        <v>1317</v>
      </c>
      <c r="AU143" s="8" t="s">
        <v>730</v>
      </c>
      <c r="AV143" s="8"/>
      <c r="AW143" s="8"/>
      <c r="AX143" s="8"/>
      <c r="AY143" s="8"/>
      <c r="AZ143" s="8" t="s">
        <v>86</v>
      </c>
      <c r="BA143" s="8" t="s">
        <v>86</v>
      </c>
      <c r="BB143" s="8" t="s">
        <v>86</v>
      </c>
      <c r="BC143" s="8">
        <v>0.0</v>
      </c>
    </row>
    <row r="144">
      <c r="A144" s="3" t="s">
        <v>1318</v>
      </c>
      <c r="B144" s="3" t="s">
        <v>1319</v>
      </c>
      <c r="C144" s="3" t="s">
        <v>1320</v>
      </c>
      <c r="D144" s="3" t="s">
        <v>1321</v>
      </c>
      <c r="E144" s="3">
        <v>100000.0</v>
      </c>
      <c r="F144" s="3" t="s">
        <v>58</v>
      </c>
      <c r="G144" s="3" t="s">
        <v>1322</v>
      </c>
      <c r="H144" s="5" t="s">
        <v>1323</v>
      </c>
      <c r="I144" s="5" t="s">
        <v>1324</v>
      </c>
      <c r="J144" s="3" t="s">
        <v>1325</v>
      </c>
      <c r="K144" s="3">
        <v>8.102919322E9</v>
      </c>
      <c r="L144" s="16">
        <v>44258.59722222222</v>
      </c>
      <c r="M144" s="3"/>
      <c r="N144" s="3" t="str">
        <f t="shared" si="31"/>
        <v>PREMA HONDA - RING ROAD</v>
      </c>
      <c r="O144" s="3" t="str">
        <f t="shared" si="32"/>
        <v>1Y6CS_YCls02UZ2FEArdhqIm2nzY7mjD6osbZ1wBxDHc</v>
      </c>
      <c r="P144" s="3" t="s">
        <v>64</v>
      </c>
      <c r="Q144" s="8" t="s">
        <v>540</v>
      </c>
      <c r="R144" s="3" t="s">
        <v>1326</v>
      </c>
      <c r="S144" s="3" t="s">
        <v>1326</v>
      </c>
      <c r="T144" s="8" t="s">
        <v>1308</v>
      </c>
      <c r="U144" s="8"/>
      <c r="V144" s="8"/>
      <c r="W144" s="8"/>
      <c r="X144" s="8"/>
      <c r="Y144" s="8"/>
      <c r="Z144" s="8"/>
      <c r="AA144" s="8"/>
      <c r="AB144" s="8"/>
      <c r="AC144" s="8"/>
      <c r="AD144" s="8"/>
      <c r="AE144" s="8"/>
      <c r="AF144" s="8"/>
      <c r="AG144" s="7"/>
      <c r="AH144" s="8"/>
      <c r="AI144" s="8"/>
      <c r="AJ144" s="8"/>
      <c r="AK144" s="8"/>
      <c r="AL144" s="8"/>
      <c r="AM144" s="8"/>
      <c r="AN144" s="8"/>
      <c r="AO144" s="8"/>
      <c r="AP144" s="8"/>
      <c r="AQ144" s="8"/>
      <c r="AR144" s="8"/>
      <c r="AS144" s="8"/>
      <c r="AT144" s="9" t="s">
        <v>1327</v>
      </c>
      <c r="AU144" s="8" t="s">
        <v>730</v>
      </c>
      <c r="AV144" s="8"/>
      <c r="AW144" s="8"/>
      <c r="AX144" s="8"/>
      <c r="AY144" s="8"/>
      <c r="AZ144" s="8" t="s">
        <v>86</v>
      </c>
      <c r="BA144" s="8" t="s">
        <v>86</v>
      </c>
      <c r="BB144" s="8" t="s">
        <v>86</v>
      </c>
      <c r="BC144" s="8">
        <v>0.0</v>
      </c>
    </row>
    <row r="145">
      <c r="A145" s="3" t="s">
        <v>1328</v>
      </c>
      <c r="B145" s="3" t="s">
        <v>1329</v>
      </c>
      <c r="C145" s="3" t="s">
        <v>1330</v>
      </c>
      <c r="D145" s="3" t="s">
        <v>1329</v>
      </c>
      <c r="E145" s="3">
        <v>100000.0</v>
      </c>
      <c r="F145" s="3" t="s">
        <v>58</v>
      </c>
      <c r="G145" s="3" t="s">
        <v>1331</v>
      </c>
      <c r="H145" s="5" t="s">
        <v>1332</v>
      </c>
      <c r="I145" s="5" t="s">
        <v>1333</v>
      </c>
      <c r="J145" s="3" t="s">
        <v>1334</v>
      </c>
      <c r="K145" s="3">
        <v>9.837026422E9</v>
      </c>
      <c r="L145" s="16">
        <v>44319.552083333336</v>
      </c>
      <c r="M145" s="3"/>
      <c r="N145" s="3" t="str">
        <f t="shared" si="31"/>
        <v>Jawahar Motors - Moradabad</v>
      </c>
      <c r="O145" s="3" t="str">
        <f t="shared" si="32"/>
        <v>192zKbFKanpgygP9G48DLmPDTTKNW3gODllZMh9lO2n4</v>
      </c>
      <c r="P145" s="3" t="s">
        <v>64</v>
      </c>
      <c r="Q145" s="8" t="s">
        <v>65</v>
      </c>
      <c r="R145" s="3" t="s">
        <v>1335</v>
      </c>
      <c r="S145" s="3" t="s">
        <v>1335</v>
      </c>
      <c r="T145" s="8" t="s">
        <v>83</v>
      </c>
      <c r="U145" s="8"/>
      <c r="V145" s="8"/>
      <c r="W145" s="8"/>
      <c r="X145" s="8"/>
      <c r="Y145" s="8"/>
      <c r="Z145" s="8"/>
      <c r="AA145" s="8"/>
      <c r="AB145" s="8"/>
      <c r="AC145" s="8"/>
      <c r="AD145" s="8"/>
      <c r="AE145" s="8"/>
      <c r="AF145" s="8"/>
      <c r="AG145" s="7"/>
      <c r="AH145" s="8"/>
      <c r="AI145" s="8"/>
      <c r="AJ145" s="8"/>
      <c r="AK145" s="8"/>
      <c r="AL145" s="8"/>
      <c r="AM145" s="8"/>
      <c r="AN145" s="8"/>
      <c r="AO145" s="8"/>
      <c r="AP145" s="8"/>
      <c r="AQ145" s="8"/>
      <c r="AR145" s="8"/>
      <c r="AS145" s="8"/>
      <c r="AT145" s="9" t="s">
        <v>1336</v>
      </c>
      <c r="AU145" s="8" t="s">
        <v>85</v>
      </c>
      <c r="AV145" s="8"/>
      <c r="AW145" s="8"/>
      <c r="AX145" s="8"/>
      <c r="AY145" s="8"/>
      <c r="AZ145" s="8" t="s">
        <v>86</v>
      </c>
      <c r="BA145" s="8" t="s">
        <v>86</v>
      </c>
      <c r="BB145" s="8" t="s">
        <v>86</v>
      </c>
      <c r="BC145" s="8">
        <v>0.0</v>
      </c>
    </row>
    <row r="146">
      <c r="A146" s="3" t="s">
        <v>1337</v>
      </c>
      <c r="B146" s="3" t="s">
        <v>1338</v>
      </c>
      <c r="C146" s="3" t="s">
        <v>1339</v>
      </c>
      <c r="D146" s="3" t="s">
        <v>1338</v>
      </c>
      <c r="E146" s="3">
        <v>100000.0</v>
      </c>
      <c r="F146" s="3" t="s">
        <v>58</v>
      </c>
      <c r="G146" s="3" t="s">
        <v>1340</v>
      </c>
      <c r="H146" s="5" t="s">
        <v>1341</v>
      </c>
      <c r="I146" s="5" t="s">
        <v>1342</v>
      </c>
      <c r="J146" s="3" t="s">
        <v>1343</v>
      </c>
      <c r="K146" s="3">
        <v>9.415149175E9</v>
      </c>
      <c r="L146" s="16">
        <v>44411.69861111111</v>
      </c>
      <c r="M146" s="3"/>
      <c r="N146" s="3" t="str">
        <f t="shared" si="31"/>
        <v>Balaji Motors - Hardoi</v>
      </c>
      <c r="O146" s="3" t="str">
        <f t="shared" si="32"/>
        <v>1qQZx2rIu3czgGT-jqqGQhriwwhiT40cPvlLtgeF1YSg</v>
      </c>
      <c r="P146" s="3" t="s">
        <v>64</v>
      </c>
      <c r="Q146" s="8" t="s">
        <v>65</v>
      </c>
      <c r="R146" s="3" t="s">
        <v>1344</v>
      </c>
      <c r="S146" s="3" t="s">
        <v>1344</v>
      </c>
      <c r="T146" s="8" t="s">
        <v>83</v>
      </c>
      <c r="U146" s="8"/>
      <c r="V146" s="8"/>
      <c r="W146" s="8"/>
      <c r="X146" s="8"/>
      <c r="Y146" s="8"/>
      <c r="Z146" s="8"/>
      <c r="AA146" s="8"/>
      <c r="AB146" s="8"/>
      <c r="AC146" s="8"/>
      <c r="AD146" s="8"/>
      <c r="AE146" s="8"/>
      <c r="AF146" s="8"/>
      <c r="AG146" s="7"/>
      <c r="AH146" s="8"/>
      <c r="AI146" s="8"/>
      <c r="AJ146" s="8"/>
      <c r="AK146" s="8"/>
      <c r="AL146" s="8"/>
      <c r="AM146" s="8"/>
      <c r="AN146" s="8"/>
      <c r="AO146" s="8"/>
      <c r="AP146" s="8"/>
      <c r="AQ146" s="8"/>
      <c r="AR146" s="8"/>
      <c r="AS146" s="8"/>
      <c r="AT146" s="9" t="s">
        <v>1345</v>
      </c>
      <c r="AU146" s="8" t="s">
        <v>85</v>
      </c>
      <c r="AV146" s="8"/>
      <c r="AW146" s="8"/>
      <c r="AX146" s="8"/>
      <c r="AY146" s="8"/>
      <c r="AZ146" s="8" t="s">
        <v>86</v>
      </c>
      <c r="BA146" s="8" t="s">
        <v>86</v>
      </c>
      <c r="BB146" s="8" t="s">
        <v>86</v>
      </c>
      <c r="BC146" s="8">
        <v>0.0</v>
      </c>
    </row>
    <row r="147">
      <c r="A147" s="3" t="s">
        <v>1346</v>
      </c>
      <c r="B147" s="3" t="s">
        <v>1347</v>
      </c>
      <c r="C147" s="3" t="s">
        <v>1348</v>
      </c>
      <c r="D147" s="3" t="s">
        <v>1347</v>
      </c>
      <c r="E147" s="3">
        <v>100000.0</v>
      </c>
      <c r="F147" s="3" t="s">
        <v>58</v>
      </c>
      <c r="G147" s="3" t="s">
        <v>1349</v>
      </c>
      <c r="H147" s="5" t="s">
        <v>1350</v>
      </c>
      <c r="I147" s="5" t="s">
        <v>1351</v>
      </c>
      <c r="J147" s="3" t="s">
        <v>1352</v>
      </c>
      <c r="K147" s="3">
        <v>9.648286999E9</v>
      </c>
      <c r="L147" s="16">
        <v>44472.70486111111</v>
      </c>
      <c r="M147" s="3"/>
      <c r="N147" s="3" t="str">
        <f t="shared" si="31"/>
        <v>Vanshadi Motors - Faizabad</v>
      </c>
      <c r="O147" s="3" t="str">
        <f t="shared" si="32"/>
        <v>1S2YNz2hsIyDIwT68EF1VR8O-D7oanl9HQJpcApwJPG4</v>
      </c>
      <c r="P147" s="3" t="s">
        <v>64</v>
      </c>
      <c r="Q147" s="8" t="s">
        <v>65</v>
      </c>
      <c r="R147" s="3" t="s">
        <v>1353</v>
      </c>
      <c r="S147" s="3" t="s">
        <v>1353</v>
      </c>
      <c r="T147" s="8" t="s">
        <v>83</v>
      </c>
      <c r="U147" s="8"/>
      <c r="V147" s="8"/>
      <c r="W147" s="8"/>
      <c r="X147" s="8"/>
      <c r="Y147" s="8"/>
      <c r="Z147" s="8"/>
      <c r="AA147" s="8"/>
      <c r="AB147" s="8"/>
      <c r="AC147" s="8"/>
      <c r="AD147" s="8"/>
      <c r="AE147" s="8"/>
      <c r="AF147" s="8"/>
      <c r="AG147" s="7"/>
      <c r="AH147" s="8"/>
      <c r="AI147" s="8"/>
      <c r="AJ147" s="8"/>
      <c r="AK147" s="8"/>
      <c r="AL147" s="8"/>
      <c r="AM147" s="8"/>
      <c r="AN147" s="8"/>
      <c r="AO147" s="8"/>
      <c r="AP147" s="8"/>
      <c r="AQ147" s="8"/>
      <c r="AR147" s="8"/>
      <c r="AS147" s="8"/>
      <c r="AT147" s="9" t="s">
        <v>1354</v>
      </c>
      <c r="AU147" s="8" t="s">
        <v>85</v>
      </c>
      <c r="AV147" s="8"/>
      <c r="AW147" s="8"/>
      <c r="AX147" s="8"/>
      <c r="AY147" s="8"/>
      <c r="AZ147" s="8" t="s">
        <v>72</v>
      </c>
      <c r="BA147" s="8" t="s">
        <v>86</v>
      </c>
      <c r="BB147" s="8" t="s">
        <v>86</v>
      </c>
      <c r="BC147" s="8">
        <v>0.0</v>
      </c>
    </row>
    <row r="148">
      <c r="A148" s="3" t="s">
        <v>1355</v>
      </c>
      <c r="B148" s="3" t="s">
        <v>1356</v>
      </c>
      <c r="C148" s="3" t="s">
        <v>1357</v>
      </c>
      <c r="D148" s="3" t="s">
        <v>1356</v>
      </c>
      <c r="E148" s="3">
        <v>100000.0</v>
      </c>
      <c r="F148" s="3" t="s">
        <v>58</v>
      </c>
      <c r="G148" s="3" t="s">
        <v>1358</v>
      </c>
      <c r="H148" s="5" t="s">
        <v>1359</v>
      </c>
      <c r="I148" s="5" t="s">
        <v>1360</v>
      </c>
      <c r="J148" s="3" t="s">
        <v>1361</v>
      </c>
      <c r="K148" s="3">
        <v>9.760000066E9</v>
      </c>
      <c r="L148" s="16">
        <v>44533.50625</v>
      </c>
      <c r="M148" s="3"/>
      <c r="N148" s="3" t="str">
        <f t="shared" si="31"/>
        <v>Shree Shyam ji Hero- Meerut</v>
      </c>
      <c r="O148" s="3" t="str">
        <f t="shared" si="32"/>
        <v>1BwcIzZvh2T5Ujlh5jkvkSeatvF-YbuitkQwoRkKGAHU</v>
      </c>
      <c r="P148" s="3" t="s">
        <v>64</v>
      </c>
      <c r="Q148" s="8" t="s">
        <v>65</v>
      </c>
      <c r="R148" s="3" t="s">
        <v>530</v>
      </c>
      <c r="S148" s="3" t="s">
        <v>530</v>
      </c>
      <c r="T148" s="8" t="s">
        <v>83</v>
      </c>
      <c r="U148" s="8"/>
      <c r="V148" s="8"/>
      <c r="W148" s="8"/>
      <c r="X148" s="8"/>
      <c r="Y148" s="8"/>
      <c r="Z148" s="8"/>
      <c r="AA148" s="8"/>
      <c r="AB148" s="8"/>
      <c r="AC148" s="8"/>
      <c r="AD148" s="8"/>
      <c r="AE148" s="8"/>
      <c r="AF148" s="8"/>
      <c r="AG148" s="7"/>
      <c r="AH148" s="8"/>
      <c r="AI148" s="8"/>
      <c r="AJ148" s="8"/>
      <c r="AK148" s="8"/>
      <c r="AL148" s="8"/>
      <c r="AM148" s="8"/>
      <c r="AN148" s="8"/>
      <c r="AO148" s="8"/>
      <c r="AP148" s="8"/>
      <c r="AQ148" s="8"/>
      <c r="AR148" s="8"/>
      <c r="AS148" s="8"/>
      <c r="AT148" s="9" t="s">
        <v>1362</v>
      </c>
      <c r="AU148" s="8" t="s">
        <v>85</v>
      </c>
      <c r="AV148" s="8"/>
      <c r="AW148" s="8"/>
      <c r="AX148" s="8"/>
      <c r="AY148" s="8"/>
      <c r="AZ148" s="8" t="s">
        <v>86</v>
      </c>
      <c r="BA148" s="8" t="s">
        <v>86</v>
      </c>
      <c r="BB148" s="8" t="s">
        <v>86</v>
      </c>
      <c r="BC148" s="8">
        <v>0.0</v>
      </c>
    </row>
    <row r="149">
      <c r="A149" s="3" t="s">
        <v>1363</v>
      </c>
      <c r="B149" s="3" t="s">
        <v>1364</v>
      </c>
      <c r="C149" s="3" t="s">
        <v>1365</v>
      </c>
      <c r="D149" s="3" t="s">
        <v>1364</v>
      </c>
      <c r="E149" s="3">
        <v>100000.0</v>
      </c>
      <c r="F149" s="3" t="s">
        <v>58</v>
      </c>
      <c r="G149" s="3" t="s">
        <v>1366</v>
      </c>
      <c r="H149" s="5" t="s">
        <v>1367</v>
      </c>
      <c r="I149" s="5" t="s">
        <v>1368</v>
      </c>
      <c r="J149" s="3" t="s">
        <v>1369</v>
      </c>
      <c r="K149" s="3">
        <v>8.303316498E9</v>
      </c>
      <c r="L149" s="16">
        <v>44533.525</v>
      </c>
      <c r="M149" s="3"/>
      <c r="N149" s="3" t="str">
        <f t="shared" si="31"/>
        <v>HANSAUTOMOBILE- SHAHJHANPUR(SP)</v>
      </c>
      <c r="O149" s="3" t="str">
        <f t="shared" si="32"/>
        <v>1-RGBeKDN73oqOmm6wKvrYGgPoHhF6AoBWbXbAsegR_M</v>
      </c>
      <c r="P149" s="3" t="s">
        <v>64</v>
      </c>
      <c r="Q149" s="8" t="s">
        <v>540</v>
      </c>
      <c r="R149" s="3" t="s">
        <v>1370</v>
      </c>
      <c r="S149" s="3" t="s">
        <v>1371</v>
      </c>
      <c r="T149" s="8" t="s">
        <v>83</v>
      </c>
      <c r="U149" s="8"/>
      <c r="V149" s="8"/>
      <c r="W149" s="8"/>
      <c r="X149" s="8"/>
      <c r="Y149" s="8"/>
      <c r="Z149" s="8"/>
      <c r="AA149" s="8"/>
      <c r="AB149" s="8"/>
      <c r="AC149" s="8"/>
      <c r="AD149" s="8"/>
      <c r="AE149" s="8"/>
      <c r="AF149" s="8"/>
      <c r="AG149" s="7"/>
      <c r="AH149" s="8"/>
      <c r="AI149" s="8"/>
      <c r="AJ149" s="8"/>
      <c r="AK149" s="8"/>
      <c r="AL149" s="8"/>
      <c r="AM149" s="8"/>
      <c r="AN149" s="8"/>
      <c r="AO149" s="8"/>
      <c r="AP149" s="8"/>
      <c r="AQ149" s="8"/>
      <c r="AR149" s="8"/>
      <c r="AS149" s="8"/>
      <c r="AT149" s="9" t="s">
        <v>1372</v>
      </c>
      <c r="AU149" s="8" t="s">
        <v>85</v>
      </c>
      <c r="AV149" s="8"/>
      <c r="AW149" s="8"/>
      <c r="AX149" s="8"/>
      <c r="AY149" s="8"/>
      <c r="AZ149" s="8" t="s">
        <v>86</v>
      </c>
      <c r="BA149" s="8" t="s">
        <v>86</v>
      </c>
      <c r="BB149" s="8" t="s">
        <v>86</v>
      </c>
      <c r="BC149" s="8">
        <v>0.0</v>
      </c>
    </row>
    <row r="150">
      <c r="A150" s="3" t="s">
        <v>1373</v>
      </c>
      <c r="B150" s="3" t="s">
        <v>1374</v>
      </c>
      <c r="C150" s="3" t="s">
        <v>1375</v>
      </c>
      <c r="D150" s="3" t="s">
        <v>1374</v>
      </c>
      <c r="E150" s="3">
        <v>100000.0</v>
      </c>
      <c r="F150" s="3" t="s">
        <v>58</v>
      </c>
      <c r="G150" s="3" t="s">
        <v>1376</v>
      </c>
      <c r="H150" s="5" t="s">
        <v>1377</v>
      </c>
      <c r="I150" s="5" t="s">
        <v>1378</v>
      </c>
      <c r="J150" s="3" t="s">
        <v>1379</v>
      </c>
      <c r="K150" s="3">
        <v>9.821567717E9</v>
      </c>
      <c r="L150" s="16">
        <v>44533.529861111114</v>
      </c>
      <c r="M150" s="3"/>
      <c r="N150" s="3" t="str">
        <f t="shared" si="31"/>
        <v>GSM BAJAJ- KHANDSA GURGAON-(SP)</v>
      </c>
      <c r="O150" s="3" t="str">
        <f t="shared" si="32"/>
        <v>1nNUUalGOlMWDdYbk6V0hbfrM7YklXBY-gP0UjcjGIBo</v>
      </c>
      <c r="P150" s="3" t="s">
        <v>64</v>
      </c>
      <c r="Q150" s="8" t="s">
        <v>757</v>
      </c>
      <c r="R150" s="3" t="s">
        <v>1380</v>
      </c>
      <c r="S150" s="3" t="s">
        <v>67</v>
      </c>
      <c r="T150" s="8" t="s">
        <v>68</v>
      </c>
      <c r="U150" s="8"/>
      <c r="V150" s="8"/>
      <c r="W150" s="8"/>
      <c r="X150" s="8"/>
      <c r="Y150" s="8"/>
      <c r="Z150" s="8"/>
      <c r="AA150" s="8"/>
      <c r="AB150" s="8"/>
      <c r="AC150" s="8"/>
      <c r="AD150" s="8"/>
      <c r="AE150" s="8"/>
      <c r="AF150" s="8"/>
      <c r="AG150" s="7"/>
      <c r="AH150" s="8"/>
      <c r="AI150" s="8"/>
      <c r="AJ150" s="8"/>
      <c r="AK150" s="8"/>
      <c r="AL150" s="8"/>
      <c r="AM150" s="8"/>
      <c r="AN150" s="8"/>
      <c r="AO150" s="8"/>
      <c r="AP150" s="8"/>
      <c r="AQ150" s="8"/>
      <c r="AR150" s="8"/>
      <c r="AS150" s="8"/>
      <c r="AT150" s="9" t="s">
        <v>1381</v>
      </c>
      <c r="AU150" s="8" t="s">
        <v>85</v>
      </c>
      <c r="AV150" s="8"/>
      <c r="AW150" s="8"/>
      <c r="AX150" s="8"/>
      <c r="AY150" s="8"/>
      <c r="AZ150" s="8" t="s">
        <v>86</v>
      </c>
      <c r="BA150" s="8" t="s">
        <v>86</v>
      </c>
      <c r="BB150" s="8" t="s">
        <v>86</v>
      </c>
      <c r="BC150" s="8">
        <v>0.0</v>
      </c>
    </row>
    <row r="151">
      <c r="A151" s="3" t="s">
        <v>1382</v>
      </c>
      <c r="B151" s="3" t="s">
        <v>1383</v>
      </c>
      <c r="C151" s="3" t="s">
        <v>1384</v>
      </c>
      <c r="D151" s="3" t="s">
        <v>1383</v>
      </c>
      <c r="E151" s="3">
        <v>100000.0</v>
      </c>
      <c r="F151" s="3" t="s">
        <v>58</v>
      </c>
      <c r="G151" s="3" t="s">
        <v>1385</v>
      </c>
      <c r="H151" s="5" t="s">
        <v>1386</v>
      </c>
      <c r="I151" s="5" t="s">
        <v>1387</v>
      </c>
      <c r="J151" s="3" t="s">
        <v>1388</v>
      </c>
      <c r="K151" s="3">
        <v>9.837056707E9</v>
      </c>
      <c r="L151" s="16">
        <v>44533.597916666666</v>
      </c>
      <c r="M151" s="3"/>
      <c r="N151" s="3" t="str">
        <f t="shared" si="31"/>
        <v>Jay Kumar Arun Kumar Hero - Meerut</v>
      </c>
      <c r="O151" s="3" t="str">
        <f t="shared" si="32"/>
        <v>1Gr4Dqm3VC_aFirTVGJtSHZmd3Y6Hkd8pWAN1HsALU_o</v>
      </c>
      <c r="P151" s="3" t="s">
        <v>64</v>
      </c>
      <c r="Q151" s="8" t="s">
        <v>65</v>
      </c>
      <c r="R151" s="3" t="s">
        <v>530</v>
      </c>
      <c r="S151" s="3" t="s">
        <v>530</v>
      </c>
      <c r="T151" s="8" t="s">
        <v>83</v>
      </c>
      <c r="U151" s="8"/>
      <c r="V151" s="8"/>
      <c r="W151" s="8"/>
      <c r="X151" s="8"/>
      <c r="Y151" s="8"/>
      <c r="Z151" s="8"/>
      <c r="AA151" s="8"/>
      <c r="AB151" s="8"/>
      <c r="AC151" s="8"/>
      <c r="AD151" s="8"/>
      <c r="AE151" s="8"/>
      <c r="AF151" s="8"/>
      <c r="AG151" s="7"/>
      <c r="AH151" s="8"/>
      <c r="AI151" s="8"/>
      <c r="AJ151" s="8"/>
      <c r="AK151" s="8"/>
      <c r="AL151" s="8"/>
      <c r="AM151" s="8"/>
      <c r="AN151" s="8"/>
      <c r="AO151" s="8"/>
      <c r="AP151" s="8"/>
      <c r="AQ151" s="8"/>
      <c r="AR151" s="8"/>
      <c r="AS151" s="8"/>
      <c r="AT151" s="9" t="s">
        <v>1389</v>
      </c>
      <c r="AU151" s="8" t="s">
        <v>85</v>
      </c>
      <c r="AV151" s="8"/>
      <c r="AW151" s="8"/>
      <c r="AX151" s="8"/>
      <c r="AY151" s="8"/>
      <c r="AZ151" s="8" t="s">
        <v>72</v>
      </c>
      <c r="BA151" s="8" t="s">
        <v>86</v>
      </c>
      <c r="BB151" s="8" t="s">
        <v>86</v>
      </c>
      <c r="BC151" s="8">
        <v>0.0</v>
      </c>
    </row>
    <row r="152">
      <c r="A152" s="3" t="s">
        <v>1390</v>
      </c>
      <c r="B152" s="3" t="s">
        <v>1391</v>
      </c>
      <c r="C152" s="3" t="s">
        <v>1392</v>
      </c>
      <c r="D152" s="3" t="s">
        <v>1391</v>
      </c>
      <c r="E152" s="3">
        <v>100000.0</v>
      </c>
      <c r="F152" s="3" t="s">
        <v>58</v>
      </c>
      <c r="G152" s="3" t="s">
        <v>1393</v>
      </c>
      <c r="H152" s="5" t="s">
        <v>1394</v>
      </c>
      <c r="I152" s="5" t="s">
        <v>1395</v>
      </c>
      <c r="J152" s="3" t="s">
        <v>1396</v>
      </c>
      <c r="K152" s="3">
        <v>9.412744221E9</v>
      </c>
      <c r="L152" s="16">
        <v>44533.60833333333</v>
      </c>
      <c r="M152" s="3"/>
      <c r="N152" s="3" t="str">
        <f t="shared" si="31"/>
        <v>CHAUDHARY MOTORS- KHURJA</v>
      </c>
      <c r="O152" s="3" t="str">
        <f t="shared" si="32"/>
        <v>1lgZm4ATdvS3q8SH9cQmTsfbYjc0IuVfsbWILI4aQOtw</v>
      </c>
      <c r="P152" s="3" t="s">
        <v>64</v>
      </c>
      <c r="Q152" s="8" t="s">
        <v>65</v>
      </c>
      <c r="R152" s="3" t="s">
        <v>1397</v>
      </c>
      <c r="S152" s="3" t="s">
        <v>1398</v>
      </c>
      <c r="T152" s="8" t="s">
        <v>83</v>
      </c>
      <c r="U152" s="8"/>
      <c r="V152" s="8"/>
      <c r="W152" s="8"/>
      <c r="X152" s="8"/>
      <c r="Y152" s="8"/>
      <c r="Z152" s="8"/>
      <c r="AA152" s="8"/>
      <c r="AB152" s="8"/>
      <c r="AC152" s="8"/>
      <c r="AD152" s="8"/>
      <c r="AE152" s="8"/>
      <c r="AF152" s="8"/>
      <c r="AG152" s="7"/>
      <c r="AH152" s="8"/>
      <c r="AI152" s="8"/>
      <c r="AJ152" s="8"/>
      <c r="AK152" s="8"/>
      <c r="AL152" s="8"/>
      <c r="AM152" s="8"/>
      <c r="AN152" s="8"/>
      <c r="AO152" s="8"/>
      <c r="AP152" s="8"/>
      <c r="AQ152" s="8"/>
      <c r="AR152" s="8"/>
      <c r="AS152" s="8"/>
      <c r="AT152" s="9" t="s">
        <v>1399</v>
      </c>
      <c r="AU152" s="8" t="s">
        <v>85</v>
      </c>
      <c r="AV152" s="8"/>
      <c r="AW152" s="8"/>
      <c r="AX152" s="8"/>
      <c r="AY152" s="8"/>
      <c r="AZ152" s="8" t="s">
        <v>86</v>
      </c>
      <c r="BA152" s="8" t="s">
        <v>86</v>
      </c>
      <c r="BB152" s="8" t="s">
        <v>86</v>
      </c>
      <c r="BC152" s="8">
        <v>0.0</v>
      </c>
    </row>
    <row r="153">
      <c r="A153" s="3" t="s">
        <v>1400</v>
      </c>
      <c r="B153" s="3" t="s">
        <v>1401</v>
      </c>
      <c r="C153" s="3" t="s">
        <v>1402</v>
      </c>
      <c r="D153" s="3" t="s">
        <v>1401</v>
      </c>
      <c r="E153" s="3">
        <v>100000.0</v>
      </c>
      <c r="F153" s="3" t="s">
        <v>58</v>
      </c>
      <c r="G153" s="3" t="s">
        <v>1403</v>
      </c>
      <c r="H153" s="5" t="s">
        <v>1404</v>
      </c>
      <c r="I153" s="5" t="s">
        <v>1405</v>
      </c>
      <c r="J153" s="3" t="s">
        <v>1406</v>
      </c>
      <c r="K153" s="3">
        <v>9.158905822E9</v>
      </c>
      <c r="L153" s="16">
        <v>44533.677083333336</v>
      </c>
      <c r="M153" s="3"/>
      <c r="N153" s="3" t="str">
        <f t="shared" si="31"/>
        <v>KUNDAN HERO- PUNE</v>
      </c>
      <c r="O153" s="3" t="str">
        <f t="shared" si="32"/>
        <v>1pWj6JXfCN2O_M_9nR2upI3ud3_mfmIWPPdWUgAgAe9Y</v>
      </c>
      <c r="P153" s="3" t="s">
        <v>64</v>
      </c>
      <c r="Q153" s="8" t="s">
        <v>65</v>
      </c>
      <c r="R153" s="3" t="s">
        <v>1407</v>
      </c>
      <c r="S153" s="3" t="s">
        <v>1408</v>
      </c>
      <c r="T153" s="8" t="s">
        <v>1409</v>
      </c>
      <c r="U153" s="8"/>
      <c r="V153" s="8"/>
      <c r="W153" s="8"/>
      <c r="X153" s="8"/>
      <c r="Y153" s="8"/>
      <c r="Z153" s="8"/>
      <c r="AA153" s="8"/>
      <c r="AB153" s="8"/>
      <c r="AC153" s="8"/>
      <c r="AD153" s="8"/>
      <c r="AE153" s="8"/>
      <c r="AF153" s="8"/>
      <c r="AG153" s="7"/>
      <c r="AH153" s="8"/>
      <c r="AI153" s="8"/>
      <c r="AJ153" s="8"/>
      <c r="AK153" s="8"/>
      <c r="AL153" s="8"/>
      <c r="AM153" s="8"/>
      <c r="AN153" s="8"/>
      <c r="AO153" s="8"/>
      <c r="AP153" s="8"/>
      <c r="AQ153" s="8"/>
      <c r="AR153" s="8"/>
      <c r="AS153" s="8"/>
      <c r="AT153" s="9" t="s">
        <v>1410</v>
      </c>
      <c r="AU153" s="8" t="s">
        <v>730</v>
      </c>
      <c r="AV153" s="8"/>
      <c r="AW153" s="8"/>
      <c r="AX153" s="8"/>
      <c r="AY153" s="8"/>
      <c r="AZ153" s="8" t="s">
        <v>86</v>
      </c>
      <c r="BA153" s="8" t="s">
        <v>86</v>
      </c>
      <c r="BB153" s="8" t="s">
        <v>86</v>
      </c>
      <c r="BC153" s="8">
        <v>0.0</v>
      </c>
    </row>
    <row r="154">
      <c r="A154" s="3" t="s">
        <v>1411</v>
      </c>
      <c r="B154" s="3" t="s">
        <v>1412</v>
      </c>
      <c r="C154" s="3" t="s">
        <v>1413</v>
      </c>
      <c r="D154" s="3" t="s">
        <v>1412</v>
      </c>
      <c r="E154" s="3">
        <v>100000.0</v>
      </c>
      <c r="F154" s="3" t="s">
        <v>58</v>
      </c>
      <c r="G154" s="3" t="s">
        <v>1414</v>
      </c>
      <c r="H154" s="5" t="s">
        <v>1415</v>
      </c>
      <c r="I154" s="5" t="s">
        <v>1416</v>
      </c>
      <c r="J154" s="3" t="s">
        <v>1417</v>
      </c>
      <c r="K154" s="3">
        <v>8.533060333E9</v>
      </c>
      <c r="L154" s="6" t="s">
        <v>1418</v>
      </c>
      <c r="M154" s="3"/>
      <c r="N154" s="3" t="str">
        <f t="shared" si="31"/>
        <v>Badar Motors - Sambhal</v>
      </c>
      <c r="O154" s="3" t="str">
        <f t="shared" si="32"/>
        <v>12HJShHGOf09kSf0pLTPVE9xJIZSZJH5W8y2DhvGtYRU</v>
      </c>
      <c r="P154" s="3" t="s">
        <v>64</v>
      </c>
      <c r="Q154" s="8" t="s">
        <v>65</v>
      </c>
      <c r="R154" s="3" t="s">
        <v>1419</v>
      </c>
      <c r="S154" s="3" t="s">
        <v>1419</v>
      </c>
      <c r="T154" s="8" t="s">
        <v>83</v>
      </c>
      <c r="U154" s="8"/>
      <c r="V154" s="8"/>
      <c r="W154" s="8"/>
      <c r="X154" s="8"/>
      <c r="Y154" s="8"/>
      <c r="Z154" s="8"/>
      <c r="AA154" s="8"/>
      <c r="AB154" s="8"/>
      <c r="AC154" s="8"/>
      <c r="AD154" s="8"/>
      <c r="AE154" s="8"/>
      <c r="AF154" s="8"/>
      <c r="AG154" s="7"/>
      <c r="AH154" s="8"/>
      <c r="AI154" s="8"/>
      <c r="AJ154" s="8"/>
      <c r="AK154" s="8"/>
      <c r="AL154" s="8"/>
      <c r="AM154" s="8"/>
      <c r="AN154" s="8"/>
      <c r="AO154" s="8"/>
      <c r="AP154" s="8"/>
      <c r="AQ154" s="8"/>
      <c r="AR154" s="8"/>
      <c r="AS154" s="8"/>
      <c r="AT154" s="9" t="s">
        <v>1420</v>
      </c>
      <c r="AU154" s="8" t="s">
        <v>85</v>
      </c>
      <c r="AV154" s="8"/>
      <c r="AW154" s="8"/>
      <c r="AX154" s="8"/>
      <c r="AY154" s="8"/>
      <c r="AZ154" s="8" t="s">
        <v>72</v>
      </c>
      <c r="BA154" s="8" t="s">
        <v>86</v>
      </c>
      <c r="BB154" s="8" t="s">
        <v>86</v>
      </c>
      <c r="BC154" s="8">
        <v>0.0</v>
      </c>
    </row>
    <row r="155">
      <c r="A155" s="3" t="s">
        <v>1421</v>
      </c>
      <c r="B155" s="3" t="s">
        <v>1422</v>
      </c>
      <c r="C155" s="3" t="s">
        <v>1423</v>
      </c>
      <c r="D155" s="3" t="s">
        <v>1422</v>
      </c>
      <c r="E155" s="3">
        <v>100000.0</v>
      </c>
      <c r="F155" s="3" t="s">
        <v>58</v>
      </c>
      <c r="G155" s="3" t="s">
        <v>1424</v>
      </c>
      <c r="H155" s="5" t="s">
        <v>1425</v>
      </c>
      <c r="I155" s="5" t="s">
        <v>1426</v>
      </c>
      <c r="J155" s="3" t="s">
        <v>1427</v>
      </c>
      <c r="K155" s="3">
        <v>9.648289E9</v>
      </c>
      <c r="L155" s="6" t="s">
        <v>1428</v>
      </c>
      <c r="M155" s="3"/>
      <c r="N155" s="3" t="str">
        <f t="shared" si="31"/>
        <v>Chandra Automobiles - Faizabad</v>
      </c>
      <c r="O155" s="3" t="str">
        <f t="shared" si="32"/>
        <v>1TMTMDBTSLXzi0POas5HDprui-sp3TCVvRYWE8buap-0</v>
      </c>
      <c r="P155" s="3" t="s">
        <v>64</v>
      </c>
      <c r="Q155" s="8" t="s">
        <v>65</v>
      </c>
      <c r="R155" s="3" t="s">
        <v>1353</v>
      </c>
      <c r="S155" s="3" t="s">
        <v>1353</v>
      </c>
      <c r="T155" s="8" t="s">
        <v>83</v>
      </c>
      <c r="U155" s="8"/>
      <c r="V155" s="8"/>
      <c r="W155" s="8"/>
      <c r="X155" s="8"/>
      <c r="Y155" s="8"/>
      <c r="Z155" s="8"/>
      <c r="AA155" s="8"/>
      <c r="AB155" s="8"/>
      <c r="AC155" s="8"/>
      <c r="AD155" s="8"/>
      <c r="AE155" s="8"/>
      <c r="AF155" s="8"/>
      <c r="AG155" s="7"/>
      <c r="AH155" s="8"/>
      <c r="AI155" s="8"/>
      <c r="AJ155" s="8"/>
      <c r="AK155" s="8"/>
      <c r="AL155" s="8"/>
      <c r="AM155" s="8"/>
      <c r="AN155" s="8"/>
      <c r="AO155" s="8"/>
      <c r="AP155" s="8"/>
      <c r="AQ155" s="8"/>
      <c r="AR155" s="8"/>
      <c r="AS155" s="8"/>
      <c r="AT155" s="9" t="s">
        <v>1429</v>
      </c>
      <c r="AU155" s="8" t="s">
        <v>85</v>
      </c>
      <c r="AV155" s="8"/>
      <c r="AW155" s="8"/>
      <c r="AX155" s="8"/>
      <c r="AY155" s="8"/>
      <c r="AZ155" s="8" t="s">
        <v>72</v>
      </c>
      <c r="BA155" s="8" t="s">
        <v>86</v>
      </c>
      <c r="BB155" s="8" t="s">
        <v>86</v>
      </c>
      <c r="BC155" s="8">
        <v>0.0</v>
      </c>
    </row>
    <row r="156">
      <c r="A156" s="3" t="s">
        <v>1430</v>
      </c>
      <c r="B156" s="3" t="s">
        <v>1431</v>
      </c>
      <c r="C156" s="3" t="s">
        <v>1432</v>
      </c>
      <c r="D156" s="3" t="s">
        <v>1431</v>
      </c>
      <c r="E156" s="3">
        <v>100000.0</v>
      </c>
      <c r="F156" s="3" t="s">
        <v>58</v>
      </c>
      <c r="G156" s="3" t="s">
        <v>1433</v>
      </c>
      <c r="H156" s="5" t="s">
        <v>1434</v>
      </c>
      <c r="I156" s="5" t="s">
        <v>1435</v>
      </c>
      <c r="J156" s="3" t="s">
        <v>1436</v>
      </c>
      <c r="K156" s="3">
        <v>9.41521362E9</v>
      </c>
      <c r="L156" s="6" t="s">
        <v>1437</v>
      </c>
      <c r="M156" s="3"/>
      <c r="N156" s="3" t="str">
        <f t="shared" si="31"/>
        <v>GANPATI AUTOMOBILE-DEORIA</v>
      </c>
      <c r="O156" s="3" t="str">
        <f t="shared" si="32"/>
        <v>1yeu1sNSbb2j8YGtFyG1D4WLawBmqXJv51bLIGiQ9gJs</v>
      </c>
      <c r="P156" s="3" t="s">
        <v>64</v>
      </c>
      <c r="Q156" s="8" t="s">
        <v>65</v>
      </c>
      <c r="R156" s="3" t="s">
        <v>1438</v>
      </c>
      <c r="S156" s="3" t="s">
        <v>1438</v>
      </c>
      <c r="T156" s="8" t="s">
        <v>83</v>
      </c>
      <c r="U156" s="8"/>
      <c r="V156" s="8"/>
      <c r="W156" s="8"/>
      <c r="X156" s="8"/>
      <c r="Y156" s="8"/>
      <c r="Z156" s="8"/>
      <c r="AA156" s="8"/>
      <c r="AB156" s="8"/>
      <c r="AC156" s="8"/>
      <c r="AD156" s="8"/>
      <c r="AE156" s="8"/>
      <c r="AF156" s="8"/>
      <c r="AG156" s="7"/>
      <c r="AH156" s="8"/>
      <c r="AI156" s="8"/>
      <c r="AJ156" s="8"/>
      <c r="AK156" s="8"/>
      <c r="AL156" s="8"/>
      <c r="AM156" s="8"/>
      <c r="AN156" s="8"/>
      <c r="AO156" s="8"/>
      <c r="AP156" s="8"/>
      <c r="AQ156" s="8"/>
      <c r="AR156" s="8"/>
      <c r="AS156" s="8"/>
      <c r="AT156" s="9" t="s">
        <v>1439</v>
      </c>
      <c r="AU156" s="8" t="s">
        <v>85</v>
      </c>
      <c r="AV156" s="8"/>
      <c r="AW156" s="8"/>
      <c r="AX156" s="8"/>
      <c r="AY156" s="8"/>
      <c r="AZ156" s="8" t="s">
        <v>72</v>
      </c>
      <c r="BA156" s="8" t="s">
        <v>86</v>
      </c>
      <c r="BB156" s="8" t="s">
        <v>86</v>
      </c>
      <c r="BC156" s="8">
        <v>0.0</v>
      </c>
    </row>
    <row r="157">
      <c r="A157" s="3" t="s">
        <v>1440</v>
      </c>
      <c r="B157" s="3" t="s">
        <v>1441</v>
      </c>
      <c r="C157" s="3" t="s">
        <v>1442</v>
      </c>
      <c r="D157" s="3" t="s">
        <v>1441</v>
      </c>
      <c r="E157" s="3">
        <v>100000.0</v>
      </c>
      <c r="F157" s="3" t="s">
        <v>58</v>
      </c>
      <c r="G157" s="3" t="s">
        <v>1443</v>
      </c>
      <c r="H157" s="5" t="s">
        <v>1444</v>
      </c>
      <c r="I157" s="5" t="s">
        <v>1445</v>
      </c>
      <c r="J157" s="3" t="s">
        <v>1446</v>
      </c>
      <c r="K157" s="3">
        <v>8.95889E9</v>
      </c>
      <c r="L157" s="6" t="s">
        <v>1447</v>
      </c>
      <c r="M157" s="3"/>
      <c r="N157" s="3" t="str">
        <f t="shared" si="31"/>
        <v>Golden Enterprises - Shikohabad</v>
      </c>
      <c r="O157" s="3" t="str">
        <f t="shared" si="32"/>
        <v>1ujz4e03ajQcNujiybbh9kWwlqBz9h70rMo6I6wAh-WI</v>
      </c>
      <c r="P157" s="3" t="s">
        <v>64</v>
      </c>
      <c r="Q157" s="8" t="s">
        <v>65</v>
      </c>
      <c r="R157" s="3" t="s">
        <v>1448</v>
      </c>
      <c r="S157" s="3" t="s">
        <v>1448</v>
      </c>
      <c r="T157" s="8" t="s">
        <v>83</v>
      </c>
      <c r="U157" s="8"/>
      <c r="V157" s="8"/>
      <c r="W157" s="8"/>
      <c r="X157" s="8"/>
      <c r="Y157" s="8"/>
      <c r="Z157" s="8"/>
      <c r="AA157" s="8"/>
      <c r="AB157" s="8"/>
      <c r="AC157" s="8"/>
      <c r="AD157" s="8"/>
      <c r="AE157" s="8"/>
      <c r="AF157" s="8"/>
      <c r="AG157" s="7"/>
      <c r="AH157" s="8"/>
      <c r="AI157" s="8"/>
      <c r="AJ157" s="8"/>
      <c r="AK157" s="8"/>
      <c r="AL157" s="8"/>
      <c r="AM157" s="8"/>
      <c r="AN157" s="8"/>
      <c r="AO157" s="8"/>
      <c r="AP157" s="8"/>
      <c r="AQ157" s="8"/>
      <c r="AR157" s="8"/>
      <c r="AS157" s="8"/>
      <c r="AT157" s="9" t="s">
        <v>1449</v>
      </c>
      <c r="AU157" s="8" t="s">
        <v>85</v>
      </c>
      <c r="AV157" s="8"/>
      <c r="AW157" s="8"/>
      <c r="AX157" s="8"/>
      <c r="AY157" s="8"/>
      <c r="AZ157" s="8" t="s">
        <v>86</v>
      </c>
      <c r="BA157" s="8" t="s">
        <v>86</v>
      </c>
      <c r="BB157" s="8" t="s">
        <v>86</v>
      </c>
      <c r="BC157" s="8">
        <v>0.0</v>
      </c>
    </row>
    <row r="158">
      <c r="A158" s="3" t="s">
        <v>1450</v>
      </c>
      <c r="B158" s="3" t="s">
        <v>1451</v>
      </c>
      <c r="C158" s="3" t="s">
        <v>1452</v>
      </c>
      <c r="D158" s="3" t="s">
        <v>1453</v>
      </c>
      <c r="E158" s="3">
        <v>100000.0</v>
      </c>
      <c r="F158" s="3" t="s">
        <v>58</v>
      </c>
      <c r="G158" s="3" t="s">
        <v>1454</v>
      </c>
      <c r="H158" s="5" t="s">
        <v>1455</v>
      </c>
      <c r="I158" s="5" t="s">
        <v>1456</v>
      </c>
      <c r="J158" s="3" t="s">
        <v>1457</v>
      </c>
      <c r="K158" s="3">
        <v>9.838642211E9</v>
      </c>
      <c r="L158" s="6" t="s">
        <v>1458</v>
      </c>
      <c r="M158" s="3"/>
      <c r="N158" s="3" t="str">
        <f t="shared" si="31"/>
        <v>Sushil automobiles - Basti</v>
      </c>
      <c r="O158" s="3" t="str">
        <f t="shared" si="32"/>
        <v>1L9RtM1bzB4DA93tD_IGwUFHY3tNGdFYoNpultJI5GgQ</v>
      </c>
      <c r="P158" s="3" t="s">
        <v>64</v>
      </c>
      <c r="Q158" s="8" t="s">
        <v>65</v>
      </c>
      <c r="R158" s="3" t="s">
        <v>1459</v>
      </c>
      <c r="S158" s="3" t="s">
        <v>1459</v>
      </c>
      <c r="T158" s="8" t="s">
        <v>83</v>
      </c>
      <c r="U158" s="8"/>
      <c r="V158" s="8"/>
      <c r="W158" s="8"/>
      <c r="X158" s="8"/>
      <c r="Y158" s="8"/>
      <c r="Z158" s="8"/>
      <c r="AA158" s="8"/>
      <c r="AB158" s="8"/>
      <c r="AC158" s="8"/>
      <c r="AD158" s="8"/>
      <c r="AE158" s="8"/>
      <c r="AF158" s="8"/>
      <c r="AG158" s="7"/>
      <c r="AH158" s="8"/>
      <c r="AI158" s="8"/>
      <c r="AJ158" s="8"/>
      <c r="AK158" s="8"/>
      <c r="AL158" s="8"/>
      <c r="AM158" s="8"/>
      <c r="AN158" s="8"/>
      <c r="AO158" s="8"/>
      <c r="AP158" s="8"/>
      <c r="AQ158" s="8"/>
      <c r="AR158" s="8"/>
      <c r="AS158" s="8"/>
      <c r="AT158" s="9" t="s">
        <v>1460</v>
      </c>
      <c r="AU158" s="8" t="s">
        <v>69</v>
      </c>
      <c r="AV158" s="8"/>
      <c r="AW158" s="8"/>
      <c r="AX158" s="8"/>
      <c r="AY158" s="8"/>
      <c r="AZ158" s="8" t="s">
        <v>72</v>
      </c>
      <c r="BA158" s="8" t="s">
        <v>86</v>
      </c>
      <c r="BB158" s="8" t="s">
        <v>86</v>
      </c>
      <c r="BC158" s="8">
        <v>0.0</v>
      </c>
    </row>
    <row r="159">
      <c r="A159" s="3" t="s">
        <v>1461</v>
      </c>
      <c r="B159" s="3" t="s">
        <v>1462</v>
      </c>
      <c r="C159" s="3" t="s">
        <v>1463</v>
      </c>
      <c r="D159" s="3" t="s">
        <v>1462</v>
      </c>
      <c r="E159" s="3">
        <v>100000.0</v>
      </c>
      <c r="F159" s="3" t="s">
        <v>58</v>
      </c>
      <c r="G159" s="3" t="s">
        <v>1464</v>
      </c>
      <c r="H159" s="5" t="s">
        <v>1465</v>
      </c>
      <c r="I159" s="5" t="s">
        <v>1466</v>
      </c>
      <c r="J159" s="3" t="s">
        <v>1467</v>
      </c>
      <c r="K159" s="3">
        <v>8.756E9</v>
      </c>
      <c r="L159" s="6" t="s">
        <v>1468</v>
      </c>
      <c r="M159" s="3"/>
      <c r="N159" s="3" t="str">
        <f t="shared" si="31"/>
        <v>Concept Automobile - Hardoi</v>
      </c>
      <c r="O159" s="3" t="str">
        <f t="shared" si="32"/>
        <v>1BqR_Ok1XKiMbwmdK26aLR_BYoeEJpv9mAZfv_Tb9vx4</v>
      </c>
      <c r="P159" s="3" t="s">
        <v>64</v>
      </c>
      <c r="Q159" s="8" t="s">
        <v>65</v>
      </c>
      <c r="R159" s="3" t="s">
        <v>1344</v>
      </c>
      <c r="S159" s="3" t="s">
        <v>1344</v>
      </c>
      <c r="T159" s="8" t="s">
        <v>83</v>
      </c>
      <c r="U159" s="8"/>
      <c r="V159" s="8"/>
      <c r="W159" s="8"/>
      <c r="X159" s="8"/>
      <c r="Y159" s="8"/>
      <c r="Z159" s="8"/>
      <c r="AA159" s="8"/>
      <c r="AB159" s="8"/>
      <c r="AC159" s="8"/>
      <c r="AD159" s="8"/>
      <c r="AE159" s="8"/>
      <c r="AF159" s="8"/>
      <c r="AG159" s="7"/>
      <c r="AH159" s="8"/>
      <c r="AI159" s="8"/>
      <c r="AJ159" s="8"/>
      <c r="AK159" s="8"/>
      <c r="AL159" s="8"/>
      <c r="AM159" s="8"/>
      <c r="AN159" s="8"/>
      <c r="AO159" s="8"/>
      <c r="AP159" s="8"/>
      <c r="AQ159" s="8"/>
      <c r="AR159" s="8"/>
      <c r="AS159" s="8"/>
      <c r="AT159" s="9" t="s">
        <v>1469</v>
      </c>
      <c r="AU159" s="8" t="s">
        <v>69</v>
      </c>
      <c r="AV159" s="8"/>
      <c r="AW159" s="8"/>
      <c r="AX159" s="8"/>
      <c r="AY159" s="8"/>
      <c r="AZ159" s="8" t="s">
        <v>86</v>
      </c>
      <c r="BA159" s="8" t="s">
        <v>86</v>
      </c>
      <c r="BB159" s="8" t="s">
        <v>86</v>
      </c>
      <c r="BC159" s="8">
        <v>0.0</v>
      </c>
    </row>
    <row r="160">
      <c r="A160" s="3" t="s">
        <v>1470</v>
      </c>
      <c r="B160" s="3" t="s">
        <v>1471</v>
      </c>
      <c r="C160" s="3" t="s">
        <v>1472</v>
      </c>
      <c r="D160" s="3" t="s">
        <v>1471</v>
      </c>
      <c r="E160" s="3">
        <v>100000.0</v>
      </c>
      <c r="F160" s="3" t="s">
        <v>58</v>
      </c>
      <c r="G160" s="3" t="s">
        <v>1473</v>
      </c>
      <c r="H160" s="5" t="s">
        <v>1474</v>
      </c>
      <c r="I160" s="5" t="s">
        <v>1475</v>
      </c>
      <c r="J160" s="3" t="s">
        <v>1476</v>
      </c>
      <c r="K160" s="3">
        <v>9.714504735E9</v>
      </c>
      <c r="L160" s="6" t="s">
        <v>1477</v>
      </c>
      <c r="M160" s="3"/>
      <c r="N160" s="3" t="str">
        <f t="shared" si="31"/>
        <v>OCEANIC TVS - Ahmedabad</v>
      </c>
      <c r="O160" s="3" t="str">
        <f t="shared" si="32"/>
        <v>1Pe7FzdsQsobTnfMtw8AFR97wsuAbRapZxNXhDErhL0Q</v>
      </c>
      <c r="P160" s="3" t="s">
        <v>64</v>
      </c>
      <c r="Q160" s="8" t="s">
        <v>285</v>
      </c>
      <c r="R160" s="3" t="s">
        <v>1478</v>
      </c>
      <c r="S160" s="3" t="s">
        <v>1478</v>
      </c>
      <c r="T160" s="8" t="s">
        <v>638</v>
      </c>
      <c r="U160" s="8"/>
      <c r="V160" s="8"/>
      <c r="W160" s="8"/>
      <c r="X160" s="8"/>
      <c r="Y160" s="8"/>
      <c r="Z160" s="8"/>
      <c r="AA160" s="8"/>
      <c r="AB160" s="8"/>
      <c r="AC160" s="8"/>
      <c r="AD160" s="8"/>
      <c r="AE160" s="8"/>
      <c r="AF160" s="8"/>
      <c r="AG160" s="7"/>
      <c r="AH160" s="8"/>
      <c r="AI160" s="8"/>
      <c r="AJ160" s="8"/>
      <c r="AK160" s="8"/>
      <c r="AL160" s="8"/>
      <c r="AM160" s="8"/>
      <c r="AN160" s="8"/>
      <c r="AO160" s="8"/>
      <c r="AP160" s="8"/>
      <c r="AQ160" s="8"/>
      <c r="AR160" s="8"/>
      <c r="AS160" s="8"/>
      <c r="AT160" s="9" t="s">
        <v>1479</v>
      </c>
      <c r="AU160" s="8" t="s">
        <v>730</v>
      </c>
      <c r="AV160" s="8"/>
      <c r="AW160" s="8"/>
      <c r="AX160" s="8"/>
      <c r="AY160" s="8"/>
      <c r="AZ160" s="8" t="s">
        <v>86</v>
      </c>
      <c r="BA160" s="8" t="s">
        <v>86</v>
      </c>
      <c r="BB160" s="8" t="s">
        <v>86</v>
      </c>
      <c r="BC160" s="8">
        <v>0.0</v>
      </c>
    </row>
    <row r="161">
      <c r="A161" s="3" t="s">
        <v>1480</v>
      </c>
      <c r="B161" s="3" t="s">
        <v>1481</v>
      </c>
      <c r="C161" s="3" t="s">
        <v>1482</v>
      </c>
      <c r="D161" s="3" t="s">
        <v>1481</v>
      </c>
      <c r="E161" s="3">
        <v>100000.0</v>
      </c>
      <c r="F161" s="3" t="s">
        <v>58</v>
      </c>
      <c r="G161" s="3" t="s">
        <v>1483</v>
      </c>
      <c r="H161" s="5" t="s">
        <v>1484</v>
      </c>
      <c r="I161" s="5" t="s">
        <v>1485</v>
      </c>
      <c r="J161" s="3" t="s">
        <v>1486</v>
      </c>
      <c r="K161" s="3">
        <v>8.401690323E9</v>
      </c>
      <c r="L161" s="6" t="s">
        <v>1487</v>
      </c>
      <c r="M161" s="3"/>
      <c r="N161" s="3" t="str">
        <f t="shared" si="31"/>
        <v>GOKULAUTOWORLD - AHMEDABAD</v>
      </c>
      <c r="O161" s="3" t="str">
        <f t="shared" si="32"/>
        <v>1424BF0G1OZasQ2pfFa99AWqhw7W1Y3ykkj8Wf5aSWWc</v>
      </c>
      <c r="P161" s="3" t="s">
        <v>64</v>
      </c>
      <c r="Q161" s="8" t="s">
        <v>285</v>
      </c>
      <c r="R161" s="3" t="s">
        <v>1478</v>
      </c>
      <c r="S161" s="3" t="s">
        <v>1478</v>
      </c>
      <c r="T161" s="8" t="s">
        <v>638</v>
      </c>
      <c r="U161" s="8"/>
      <c r="V161" s="8"/>
      <c r="W161" s="8"/>
      <c r="X161" s="8"/>
      <c r="Y161" s="8"/>
      <c r="Z161" s="8"/>
      <c r="AA161" s="8"/>
      <c r="AB161" s="8"/>
      <c r="AC161" s="8"/>
      <c r="AD161" s="8"/>
      <c r="AE161" s="8"/>
      <c r="AF161" s="8"/>
      <c r="AG161" s="7"/>
      <c r="AH161" s="8"/>
      <c r="AI161" s="8"/>
      <c r="AJ161" s="8"/>
      <c r="AK161" s="8"/>
      <c r="AL161" s="8"/>
      <c r="AM161" s="8"/>
      <c r="AN161" s="8"/>
      <c r="AO161" s="8"/>
      <c r="AP161" s="8"/>
      <c r="AQ161" s="8"/>
      <c r="AR161" s="8"/>
      <c r="AS161" s="8"/>
      <c r="AT161" s="9" t="s">
        <v>1488</v>
      </c>
      <c r="AU161" s="8" t="s">
        <v>730</v>
      </c>
      <c r="AV161" s="8"/>
      <c r="AW161" s="8"/>
      <c r="AX161" s="8"/>
      <c r="AY161" s="8"/>
      <c r="AZ161" s="8" t="s">
        <v>86</v>
      </c>
      <c r="BA161" s="8" t="s">
        <v>86</v>
      </c>
      <c r="BB161" s="8" t="s">
        <v>86</v>
      </c>
      <c r="BC161" s="8">
        <v>0.0</v>
      </c>
    </row>
    <row r="162">
      <c r="A162" s="3" t="s">
        <v>1489</v>
      </c>
      <c r="B162" s="3" t="s">
        <v>1490</v>
      </c>
      <c r="C162" s="3" t="s">
        <v>1491</v>
      </c>
      <c r="D162" s="3" t="s">
        <v>1490</v>
      </c>
      <c r="E162" s="3">
        <v>100000.0</v>
      </c>
      <c r="F162" s="3" t="s">
        <v>58</v>
      </c>
      <c r="G162" s="3" t="s">
        <v>1492</v>
      </c>
      <c r="H162" s="5" t="s">
        <v>1493</v>
      </c>
      <c r="I162" s="5" t="s">
        <v>1494</v>
      </c>
      <c r="J162" s="3" t="s">
        <v>1495</v>
      </c>
      <c r="K162" s="3">
        <v>9.370238924E9</v>
      </c>
      <c r="L162" s="16">
        <v>44200.50555555556</v>
      </c>
      <c r="M162" s="3"/>
      <c r="N162" s="3" t="str">
        <f t="shared" si="31"/>
        <v>YASH AUTOMOBILES-PUNE</v>
      </c>
      <c r="O162" s="3" t="str">
        <f t="shared" si="32"/>
        <v>1TMacegY-Sk7pr6CF_YiZtnxppf8kQ29DX8ZSzN8Nba0</v>
      </c>
      <c r="P162" s="3" t="s">
        <v>64</v>
      </c>
      <c r="Q162" s="8" t="s">
        <v>540</v>
      </c>
      <c r="R162" s="3" t="s">
        <v>1496</v>
      </c>
      <c r="S162" s="3" t="s">
        <v>1496</v>
      </c>
      <c r="T162" s="8" t="s">
        <v>1409</v>
      </c>
      <c r="U162" s="8"/>
      <c r="V162" s="8"/>
      <c r="W162" s="8"/>
      <c r="X162" s="8"/>
      <c r="Y162" s="8"/>
      <c r="Z162" s="8"/>
      <c r="AA162" s="8"/>
      <c r="AB162" s="8"/>
      <c r="AC162" s="8"/>
      <c r="AD162" s="8"/>
      <c r="AE162" s="8"/>
      <c r="AF162" s="8"/>
      <c r="AG162" s="3" t="s">
        <v>1497</v>
      </c>
      <c r="AH162" s="8"/>
      <c r="AI162" s="8"/>
      <c r="AJ162" s="8"/>
      <c r="AK162" s="8"/>
      <c r="AL162" s="8"/>
      <c r="AM162" s="8"/>
      <c r="AN162" s="8"/>
      <c r="AO162" s="8"/>
      <c r="AP162" s="8"/>
      <c r="AQ162" s="8"/>
      <c r="AR162" s="8"/>
      <c r="AS162" s="8"/>
      <c r="AT162" s="9" t="s">
        <v>1498</v>
      </c>
      <c r="AU162" s="8" t="s">
        <v>730</v>
      </c>
      <c r="AV162" s="8"/>
      <c r="AW162" s="8"/>
      <c r="AX162" s="8"/>
      <c r="AY162" s="8"/>
      <c r="AZ162" s="8" t="s">
        <v>72</v>
      </c>
      <c r="BA162" s="8" t="s">
        <v>86</v>
      </c>
      <c r="BB162" s="8" t="s">
        <v>86</v>
      </c>
      <c r="BC162" s="8">
        <v>0.0</v>
      </c>
    </row>
    <row r="163">
      <c r="A163" s="3" t="s">
        <v>1499</v>
      </c>
      <c r="B163" s="3" t="s">
        <v>1500</v>
      </c>
      <c r="C163" s="3" t="s">
        <v>1501</v>
      </c>
      <c r="D163" s="3" t="s">
        <v>1500</v>
      </c>
      <c r="E163" s="3">
        <v>100000.0</v>
      </c>
      <c r="F163" s="3" t="s">
        <v>58</v>
      </c>
      <c r="G163" s="3" t="s">
        <v>1502</v>
      </c>
      <c r="H163" s="5" t="s">
        <v>1503</v>
      </c>
      <c r="I163" s="5" t="s">
        <v>1504</v>
      </c>
      <c r="J163" s="3" t="s">
        <v>1505</v>
      </c>
      <c r="K163" s="3">
        <v>9.075754838E9</v>
      </c>
      <c r="L163" s="16">
        <v>44231.47708333333</v>
      </c>
      <c r="M163" s="3"/>
      <c r="N163" s="3" t="str">
        <f t="shared" si="31"/>
        <v>KOTHARI WHEEL- PUNE</v>
      </c>
      <c r="O163" s="3" t="str">
        <f t="shared" si="32"/>
        <v>1kMvgnwSkK4p35wcMsguAxORW1vQe7W1vnlmFj46sMCo</v>
      </c>
      <c r="P163" s="3" t="s">
        <v>64</v>
      </c>
      <c r="Q163" s="8" t="s">
        <v>540</v>
      </c>
      <c r="R163" s="3" t="s">
        <v>1496</v>
      </c>
      <c r="S163" s="3" t="s">
        <v>1408</v>
      </c>
      <c r="T163" s="8" t="s">
        <v>1409</v>
      </c>
      <c r="U163" s="8"/>
      <c r="V163" s="8"/>
      <c r="W163" s="8"/>
      <c r="X163" s="8"/>
      <c r="Y163" s="8"/>
      <c r="Z163" s="8"/>
      <c r="AA163" s="8"/>
      <c r="AB163" s="8"/>
      <c r="AC163" s="8"/>
      <c r="AD163" s="8"/>
      <c r="AE163" s="8"/>
      <c r="AF163" s="8"/>
      <c r="AG163" s="3"/>
      <c r="AH163" s="8"/>
      <c r="AI163" s="8"/>
      <c r="AJ163" s="8"/>
      <c r="AK163" s="8"/>
      <c r="AL163" s="8"/>
      <c r="AM163" s="8"/>
      <c r="AN163" s="8"/>
      <c r="AO163" s="8"/>
      <c r="AP163" s="8"/>
      <c r="AQ163" s="8"/>
      <c r="AR163" s="8"/>
      <c r="AS163" s="8"/>
      <c r="AT163" s="9" t="s">
        <v>1506</v>
      </c>
      <c r="AU163" s="8" t="s">
        <v>85</v>
      </c>
      <c r="AV163" s="8"/>
      <c r="AW163" s="8"/>
      <c r="AX163" s="8"/>
      <c r="AY163" s="8"/>
      <c r="AZ163" s="8" t="s">
        <v>86</v>
      </c>
      <c r="BA163" s="8" t="s">
        <v>86</v>
      </c>
      <c r="BB163" s="8" t="s">
        <v>86</v>
      </c>
      <c r="BC163" s="8">
        <v>0.0</v>
      </c>
    </row>
    <row r="164">
      <c r="A164" s="3" t="s">
        <v>1507</v>
      </c>
      <c r="B164" s="3" t="s">
        <v>1508</v>
      </c>
      <c r="C164" s="3" t="s">
        <v>1509</v>
      </c>
      <c r="D164" s="3" t="s">
        <v>1508</v>
      </c>
      <c r="E164" s="3">
        <v>100000.0</v>
      </c>
      <c r="F164" s="3" t="s">
        <v>58</v>
      </c>
      <c r="G164" s="3" t="s">
        <v>1510</v>
      </c>
      <c r="H164" s="5" t="s">
        <v>1511</v>
      </c>
      <c r="I164" s="5" t="s">
        <v>1512</v>
      </c>
      <c r="J164" s="3" t="s">
        <v>1513</v>
      </c>
      <c r="K164" s="3">
        <v>9.540256333E9</v>
      </c>
      <c r="L164" s="16">
        <v>44351.62152777778</v>
      </c>
      <c r="M164" s="3"/>
      <c r="N164" s="3" t="str">
        <f>(B26)</f>
        <v>Shri Durga Motors</v>
      </c>
      <c r="O164" s="3" t="str">
        <f>(A26)</f>
        <v>1LnxzSZR-Hn1GFJEM91CqSDi8yQ1-11OqyVT04QUkFAM</v>
      </c>
      <c r="P164" s="3" t="s">
        <v>142</v>
      </c>
      <c r="Q164" s="8" t="s">
        <v>65</v>
      </c>
      <c r="R164" s="3" t="s">
        <v>1514</v>
      </c>
      <c r="S164" s="3" t="s">
        <v>1514</v>
      </c>
      <c r="T164" s="8" t="s">
        <v>83</v>
      </c>
      <c r="U164" s="8"/>
      <c r="V164" s="8"/>
      <c r="W164" s="8"/>
      <c r="X164" s="8"/>
      <c r="Y164" s="8"/>
      <c r="Z164" s="8"/>
      <c r="AA164" s="8"/>
      <c r="AB164" s="8"/>
      <c r="AC164" s="8"/>
      <c r="AD164" s="8"/>
      <c r="AE164" s="8"/>
      <c r="AF164" s="8"/>
      <c r="AG164" s="3"/>
      <c r="AH164" s="8"/>
      <c r="AI164" s="8"/>
      <c r="AJ164" s="8"/>
      <c r="AK164" s="8"/>
      <c r="AL164" s="8"/>
      <c r="AM164" s="8"/>
      <c r="AN164" s="8"/>
      <c r="AO164" s="8"/>
      <c r="AP164" s="8"/>
      <c r="AQ164" s="8"/>
      <c r="AR164" s="8"/>
      <c r="AS164" s="8"/>
      <c r="AT164" s="8"/>
      <c r="AU164" s="8" t="s">
        <v>85</v>
      </c>
      <c r="AV164" s="8"/>
      <c r="AW164" s="8"/>
      <c r="AX164" s="8"/>
      <c r="AY164" s="8"/>
      <c r="AZ164" s="8" t="s">
        <v>86</v>
      </c>
      <c r="BA164" s="8" t="s">
        <v>86</v>
      </c>
      <c r="BB164" s="8" t="s">
        <v>86</v>
      </c>
      <c r="BC164" s="8">
        <v>0.0</v>
      </c>
    </row>
    <row r="165">
      <c r="A165" s="3" t="s">
        <v>1515</v>
      </c>
      <c r="B165" s="3" t="s">
        <v>1516</v>
      </c>
      <c r="C165" s="3" t="s">
        <v>1517</v>
      </c>
      <c r="D165" s="3" t="s">
        <v>1516</v>
      </c>
      <c r="E165" s="3">
        <v>100000.0</v>
      </c>
      <c r="F165" s="3" t="s">
        <v>58</v>
      </c>
      <c r="G165" s="3" t="s">
        <v>1518</v>
      </c>
      <c r="H165" s="5" t="s">
        <v>1519</v>
      </c>
      <c r="I165" s="5" t="s">
        <v>1520</v>
      </c>
      <c r="J165" s="3" t="s">
        <v>1521</v>
      </c>
      <c r="K165" s="3">
        <v>9.540256333E9</v>
      </c>
      <c r="L165" s="16">
        <v>44351.62430555555</v>
      </c>
      <c r="M165" s="3"/>
      <c r="N165" s="3" t="str">
        <f>(B26)</f>
        <v>Shri Durga Motors</v>
      </c>
      <c r="O165" s="3" t="str">
        <f>(A26)</f>
        <v>1LnxzSZR-Hn1GFJEM91CqSDi8yQ1-11OqyVT04QUkFAM</v>
      </c>
      <c r="P165" s="3" t="s">
        <v>142</v>
      </c>
      <c r="Q165" s="8" t="s">
        <v>65</v>
      </c>
      <c r="R165" s="3" t="s">
        <v>1522</v>
      </c>
      <c r="S165" s="3" t="s">
        <v>1522</v>
      </c>
      <c r="T165" s="8" t="s">
        <v>83</v>
      </c>
      <c r="U165" s="8"/>
      <c r="V165" s="8"/>
      <c r="W165" s="8"/>
      <c r="X165" s="8"/>
      <c r="Y165" s="8"/>
      <c r="Z165" s="8"/>
      <c r="AA165" s="8"/>
      <c r="AB165" s="8"/>
      <c r="AC165" s="8"/>
      <c r="AD165" s="8"/>
      <c r="AE165" s="8"/>
      <c r="AF165" s="8"/>
      <c r="AG165" s="3"/>
      <c r="AH165" s="8"/>
      <c r="AI165" s="8"/>
      <c r="AJ165" s="8"/>
      <c r="AK165" s="8"/>
      <c r="AL165" s="8"/>
      <c r="AM165" s="8"/>
      <c r="AN165" s="8"/>
      <c r="AO165" s="8"/>
      <c r="AP165" s="8"/>
      <c r="AQ165" s="8"/>
      <c r="AR165" s="8"/>
      <c r="AS165" s="8"/>
      <c r="AT165" s="8"/>
      <c r="AU165" s="8" t="s">
        <v>85</v>
      </c>
      <c r="AV165" s="8"/>
      <c r="AW165" s="8"/>
      <c r="AX165" s="8"/>
      <c r="AY165" s="8"/>
      <c r="AZ165" s="8" t="s">
        <v>86</v>
      </c>
      <c r="BA165" s="8" t="s">
        <v>86</v>
      </c>
      <c r="BB165" s="8" t="s">
        <v>86</v>
      </c>
      <c r="BC165" s="8">
        <v>0.0</v>
      </c>
    </row>
    <row r="166">
      <c r="A166" s="3" t="s">
        <v>1523</v>
      </c>
      <c r="B166" s="3" t="s">
        <v>1524</v>
      </c>
      <c r="C166" s="3" t="s">
        <v>1525</v>
      </c>
      <c r="D166" s="3" t="s">
        <v>1524</v>
      </c>
      <c r="E166" s="3">
        <v>100000.0</v>
      </c>
      <c r="F166" s="3" t="s">
        <v>58</v>
      </c>
      <c r="G166" s="3" t="s">
        <v>1526</v>
      </c>
      <c r="H166" s="5" t="s">
        <v>1527</v>
      </c>
      <c r="I166" s="5" t="s">
        <v>1528</v>
      </c>
      <c r="J166" s="3" t="s">
        <v>1529</v>
      </c>
      <c r="K166" s="3">
        <v>9.540256333E9</v>
      </c>
      <c r="L166" s="16">
        <v>44381.475694444445</v>
      </c>
      <c r="M166" s="3"/>
      <c r="N166" s="3" t="str">
        <f>(B26)</f>
        <v>Shri Durga Motors</v>
      </c>
      <c r="O166" s="3" t="str">
        <f>(A26)</f>
        <v>1LnxzSZR-Hn1GFJEM91CqSDi8yQ1-11OqyVT04QUkFAM</v>
      </c>
      <c r="P166" s="3" t="s">
        <v>142</v>
      </c>
      <c r="Q166" s="8" t="s">
        <v>65</v>
      </c>
      <c r="R166" s="3" t="s">
        <v>1530</v>
      </c>
      <c r="S166" s="3" t="s">
        <v>1530</v>
      </c>
      <c r="T166" s="8" t="s">
        <v>83</v>
      </c>
      <c r="U166" s="8"/>
      <c r="V166" s="8"/>
      <c r="W166" s="8"/>
      <c r="X166" s="8"/>
      <c r="Y166" s="8"/>
      <c r="Z166" s="8"/>
      <c r="AA166" s="8"/>
      <c r="AB166" s="8"/>
      <c r="AC166" s="8"/>
      <c r="AD166" s="8"/>
      <c r="AE166" s="8"/>
      <c r="AF166" s="8"/>
      <c r="AG166" s="3"/>
      <c r="AH166" s="8"/>
      <c r="AI166" s="8"/>
      <c r="AJ166" s="8"/>
      <c r="AK166" s="8"/>
      <c r="AL166" s="8"/>
      <c r="AM166" s="8"/>
      <c r="AN166" s="8"/>
      <c r="AO166" s="8"/>
      <c r="AP166" s="8"/>
      <c r="AQ166" s="8"/>
      <c r="AR166" s="8"/>
      <c r="AS166" s="8"/>
      <c r="AT166" s="8"/>
      <c r="AU166" s="8" t="s">
        <v>85</v>
      </c>
      <c r="AV166" s="8"/>
      <c r="AW166" s="8"/>
      <c r="AX166" s="8"/>
      <c r="AY166" s="8"/>
      <c r="AZ166" s="8" t="s">
        <v>86</v>
      </c>
      <c r="BA166" s="8" t="s">
        <v>86</v>
      </c>
      <c r="BB166" s="8" t="s">
        <v>86</v>
      </c>
      <c r="BC166" s="8">
        <v>0.0</v>
      </c>
    </row>
    <row r="167">
      <c r="A167" s="3" t="s">
        <v>1531</v>
      </c>
      <c r="B167" s="3" t="s">
        <v>1532</v>
      </c>
      <c r="C167" s="3" t="s">
        <v>1533</v>
      </c>
      <c r="D167" s="3" t="s">
        <v>1532</v>
      </c>
      <c r="E167" s="3">
        <v>100000.0</v>
      </c>
      <c r="F167" s="3" t="s">
        <v>58</v>
      </c>
      <c r="G167" s="3" t="s">
        <v>1534</v>
      </c>
      <c r="H167" s="5" t="s">
        <v>1535</v>
      </c>
      <c r="I167" s="5" t="s">
        <v>1536</v>
      </c>
      <c r="J167" s="3" t="s">
        <v>1537</v>
      </c>
      <c r="K167" s="3">
        <v>8.17125105E9</v>
      </c>
      <c r="L167" s="16">
        <v>44381.57777777778</v>
      </c>
      <c r="M167" s="3"/>
      <c r="N167" s="3" t="str">
        <f t="shared" ref="N167:N169" si="33">B167</f>
        <v>SHREE SAI AUTOMOBILE</v>
      </c>
      <c r="O167" s="3" t="str">
        <f t="shared" ref="O167:O169" si="34">A167</f>
        <v>1EqLBGhhw88ePbxTSdniMo_of3cuMUNJduNtdzPonF7w</v>
      </c>
      <c r="P167" s="3" t="s">
        <v>64</v>
      </c>
      <c r="Q167" s="8" t="s">
        <v>65</v>
      </c>
      <c r="R167" s="3" t="s">
        <v>1538</v>
      </c>
      <c r="S167" s="3" t="s">
        <v>1539</v>
      </c>
      <c r="T167" s="8" t="s">
        <v>1540</v>
      </c>
      <c r="U167" s="8"/>
      <c r="V167" s="8"/>
      <c r="W167" s="8"/>
      <c r="X167" s="8"/>
      <c r="Y167" s="8"/>
      <c r="Z167" s="8"/>
      <c r="AA167" s="8"/>
      <c r="AB167" s="8"/>
      <c r="AC167" s="8"/>
      <c r="AD167" s="8"/>
      <c r="AE167" s="8"/>
      <c r="AF167" s="8"/>
      <c r="AG167" s="3"/>
      <c r="AH167" s="8"/>
      <c r="AI167" s="8"/>
      <c r="AJ167" s="8"/>
      <c r="AK167" s="8"/>
      <c r="AL167" s="8"/>
      <c r="AM167" s="8"/>
      <c r="AN167" s="8"/>
      <c r="AO167" s="8"/>
      <c r="AP167" s="8"/>
      <c r="AQ167" s="8"/>
      <c r="AR167" s="8"/>
      <c r="AS167" s="8"/>
      <c r="AT167" s="9" t="s">
        <v>1541</v>
      </c>
      <c r="AU167" s="8" t="s">
        <v>85</v>
      </c>
      <c r="AV167" s="8"/>
      <c r="AW167" s="8"/>
      <c r="AX167" s="8"/>
      <c r="AY167" s="8"/>
      <c r="AZ167" s="8" t="s">
        <v>86</v>
      </c>
      <c r="BA167" s="8" t="s">
        <v>86</v>
      </c>
      <c r="BB167" s="8" t="s">
        <v>86</v>
      </c>
      <c r="BC167" s="8">
        <v>0.0</v>
      </c>
    </row>
    <row r="168">
      <c r="A168" s="3" t="s">
        <v>1542</v>
      </c>
      <c r="B168" s="3" t="s">
        <v>1543</v>
      </c>
      <c r="C168" s="3" t="s">
        <v>1544</v>
      </c>
      <c r="D168" s="3" t="s">
        <v>1545</v>
      </c>
      <c r="E168" s="3">
        <v>100000.0</v>
      </c>
      <c r="F168" s="3" t="s">
        <v>76</v>
      </c>
      <c r="G168" s="3" t="s">
        <v>1546</v>
      </c>
      <c r="H168" s="5" t="s">
        <v>1547</v>
      </c>
      <c r="I168" s="5" t="s">
        <v>1548</v>
      </c>
      <c r="J168" s="3" t="s">
        <v>1549</v>
      </c>
      <c r="K168" s="3">
        <v>8.527045654E9</v>
      </c>
      <c r="L168" s="16">
        <v>44381.683333333334</v>
      </c>
      <c r="M168" s="3"/>
      <c r="N168" s="3" t="str">
        <f t="shared" si="33"/>
        <v>Aditya Kapil</v>
      </c>
      <c r="O168" s="3" t="str">
        <f t="shared" si="34"/>
        <v>1O_YH7HeoRy08ymR5SENYSag175TzKlknDTuYKpt1BUk</v>
      </c>
      <c r="P168" s="3" t="s">
        <v>64</v>
      </c>
      <c r="Q168" s="8" t="s">
        <v>540</v>
      </c>
      <c r="R168" s="3" t="s">
        <v>106</v>
      </c>
      <c r="S168" s="3" t="s">
        <v>1550</v>
      </c>
      <c r="T168" s="8" t="s">
        <v>106</v>
      </c>
      <c r="U168" s="8"/>
      <c r="V168" s="8"/>
      <c r="W168" s="8"/>
      <c r="X168" s="8"/>
      <c r="Y168" s="8"/>
      <c r="Z168" s="8"/>
      <c r="AA168" s="8"/>
      <c r="AB168" s="8"/>
      <c r="AC168" s="8"/>
      <c r="AD168" s="8"/>
      <c r="AE168" s="8"/>
      <c r="AF168" s="8"/>
      <c r="AG168" s="3"/>
      <c r="AH168" s="8"/>
      <c r="AI168" s="8"/>
      <c r="AJ168" s="8"/>
      <c r="AK168" s="8"/>
      <c r="AL168" s="8"/>
      <c r="AM168" s="8"/>
      <c r="AN168" s="8"/>
      <c r="AO168" s="8"/>
      <c r="AP168" s="8"/>
      <c r="AQ168" s="8"/>
      <c r="AR168" s="8"/>
      <c r="AS168" s="8"/>
      <c r="AT168" s="9" t="s">
        <v>1551</v>
      </c>
      <c r="AU168" s="8" t="s">
        <v>69</v>
      </c>
      <c r="AV168" s="8"/>
      <c r="AW168" s="8"/>
      <c r="AX168" s="8"/>
      <c r="AY168" s="8"/>
      <c r="AZ168" s="8" t="s">
        <v>86</v>
      </c>
      <c r="BA168" s="8" t="s">
        <v>86</v>
      </c>
      <c r="BB168" s="8" t="s">
        <v>86</v>
      </c>
      <c r="BC168" s="8">
        <v>0.0</v>
      </c>
    </row>
    <row r="169">
      <c r="A169" s="3" t="s">
        <v>1552</v>
      </c>
      <c r="B169" s="3" t="s">
        <v>1553</v>
      </c>
      <c r="C169" s="3" t="s">
        <v>1554</v>
      </c>
      <c r="D169" s="3" t="s">
        <v>1553</v>
      </c>
      <c r="E169" s="3">
        <v>100000.0</v>
      </c>
      <c r="F169" s="3" t="s">
        <v>58</v>
      </c>
      <c r="G169" s="3" t="s">
        <v>1555</v>
      </c>
      <c r="H169" s="5" t="s">
        <v>1556</v>
      </c>
      <c r="I169" s="5" t="s">
        <v>1557</v>
      </c>
      <c r="J169" s="3" t="s">
        <v>1558</v>
      </c>
      <c r="K169" s="3">
        <v>6.306879154E9</v>
      </c>
      <c r="L169" s="6" t="s">
        <v>1559</v>
      </c>
      <c r="M169" s="3"/>
      <c r="N169" s="3" t="str">
        <f t="shared" si="33"/>
        <v>LAXMI MOTORS- DEORIA(GAD)</v>
      </c>
      <c r="O169" s="3" t="str">
        <f t="shared" si="34"/>
        <v>1B-m4X6iF3jRLf0ddVMd8f7C-8pwyVJ8yhSFcm_mYOvk</v>
      </c>
      <c r="P169" s="3" t="s">
        <v>64</v>
      </c>
      <c r="Q169" s="8" t="s">
        <v>65</v>
      </c>
      <c r="R169" s="3" t="s">
        <v>1438</v>
      </c>
      <c r="S169" s="3" t="s">
        <v>1438</v>
      </c>
      <c r="T169" s="8" t="s">
        <v>83</v>
      </c>
      <c r="U169" s="8"/>
      <c r="V169" s="8"/>
      <c r="W169" s="8"/>
      <c r="X169" s="8"/>
      <c r="Y169" s="8"/>
      <c r="Z169" s="8"/>
      <c r="AA169" s="8"/>
      <c r="AB169" s="8"/>
      <c r="AC169" s="8"/>
      <c r="AD169" s="8"/>
      <c r="AE169" s="8"/>
      <c r="AF169" s="8"/>
      <c r="AG169" s="3"/>
      <c r="AH169" s="8"/>
      <c r="AI169" s="8"/>
      <c r="AJ169" s="8"/>
      <c r="AK169" s="8"/>
      <c r="AL169" s="8"/>
      <c r="AM169" s="8"/>
      <c r="AN169" s="8"/>
      <c r="AO169" s="8"/>
      <c r="AP169" s="8"/>
      <c r="AQ169" s="8"/>
      <c r="AR169" s="8"/>
      <c r="AS169" s="8"/>
      <c r="AT169" s="9" t="s">
        <v>1560</v>
      </c>
      <c r="AU169" s="8" t="s">
        <v>85</v>
      </c>
      <c r="AV169" s="8"/>
      <c r="AW169" s="8"/>
      <c r="AX169" s="8"/>
      <c r="AY169" s="8"/>
      <c r="AZ169" s="8" t="s">
        <v>72</v>
      </c>
      <c r="BA169" s="8" t="s">
        <v>86</v>
      </c>
      <c r="BB169" s="8" t="s">
        <v>86</v>
      </c>
      <c r="BC169" s="8">
        <v>0.0</v>
      </c>
    </row>
    <row r="170">
      <c r="A170" s="3" t="s">
        <v>1561</v>
      </c>
      <c r="B170" s="3" t="s">
        <v>1562</v>
      </c>
      <c r="C170" s="3" t="s">
        <v>1563</v>
      </c>
      <c r="D170" s="3" t="s">
        <v>1562</v>
      </c>
      <c r="E170" s="3">
        <v>100000.0</v>
      </c>
      <c r="F170" s="3" t="s">
        <v>58</v>
      </c>
      <c r="G170" s="3" t="s">
        <v>1564</v>
      </c>
      <c r="H170" s="5" t="s">
        <v>1565</v>
      </c>
      <c r="I170" s="5" t="s">
        <v>1566</v>
      </c>
      <c r="J170" s="3" t="s">
        <v>1567</v>
      </c>
      <c r="K170" s="3">
        <v>8.102919332E9</v>
      </c>
      <c r="L170" s="6" t="s">
        <v>1568</v>
      </c>
      <c r="M170" s="3"/>
      <c r="N170" s="3" t="str">
        <f>(B142)</f>
        <v>PREMA HONDA- BIHAR(SN)</v>
      </c>
      <c r="O170" s="3" t="str">
        <f>(A142)</f>
        <v>1eWL9qs4gF2hDOrao950bttsqaQjvqYNOwOArak2wAWY</v>
      </c>
      <c r="P170" s="3" t="s">
        <v>142</v>
      </c>
      <c r="Q170" s="8" t="s">
        <v>540</v>
      </c>
      <c r="R170" s="3" t="s">
        <v>1569</v>
      </c>
      <c r="S170" s="3" t="s">
        <v>1307</v>
      </c>
      <c r="T170" s="8" t="s">
        <v>1308</v>
      </c>
      <c r="U170" s="8"/>
      <c r="V170" s="8"/>
      <c r="W170" s="8"/>
      <c r="X170" s="8"/>
      <c r="Y170" s="8"/>
      <c r="Z170" s="8"/>
      <c r="AA170" s="8"/>
      <c r="AB170" s="8"/>
      <c r="AC170" s="8"/>
      <c r="AD170" s="8"/>
      <c r="AE170" s="8"/>
      <c r="AF170" s="8"/>
      <c r="AG170" s="3"/>
      <c r="AH170" s="8"/>
      <c r="AI170" s="8"/>
      <c r="AJ170" s="8"/>
      <c r="AK170" s="8"/>
      <c r="AL170" s="8"/>
      <c r="AM170" s="8"/>
      <c r="AN170" s="8"/>
      <c r="AO170" s="8"/>
      <c r="AP170" s="8"/>
      <c r="AQ170" s="8"/>
      <c r="AR170" s="8"/>
      <c r="AS170" s="8"/>
      <c r="AT170" s="8"/>
      <c r="AU170" s="8" t="s">
        <v>730</v>
      </c>
      <c r="AV170" s="8"/>
      <c r="AW170" s="8"/>
      <c r="AX170" s="8"/>
      <c r="AY170" s="8"/>
      <c r="AZ170" s="8" t="s">
        <v>86</v>
      </c>
      <c r="BA170" s="8" t="s">
        <v>86</v>
      </c>
      <c r="BB170" s="8" t="s">
        <v>86</v>
      </c>
      <c r="BC170" s="8">
        <v>0.0</v>
      </c>
    </row>
    <row r="171">
      <c r="A171" s="3" t="s">
        <v>1570</v>
      </c>
      <c r="B171" s="3" t="s">
        <v>1571</v>
      </c>
      <c r="C171" s="3" t="s">
        <v>1572</v>
      </c>
      <c r="D171" s="3" t="s">
        <v>1571</v>
      </c>
      <c r="E171" s="3">
        <v>100000.0</v>
      </c>
      <c r="F171" s="3" t="s">
        <v>58</v>
      </c>
      <c r="G171" s="3" t="s">
        <v>1573</v>
      </c>
      <c r="H171" s="5" t="s">
        <v>1574</v>
      </c>
      <c r="I171" s="5" t="s">
        <v>1575</v>
      </c>
      <c r="J171" s="3" t="s">
        <v>1576</v>
      </c>
      <c r="K171" s="3">
        <v>9.628771465E9</v>
      </c>
      <c r="L171" s="6" t="s">
        <v>1577</v>
      </c>
      <c r="M171" s="3"/>
      <c r="N171" s="3" t="str">
        <f t="shared" ref="N171:N184" si="35">B171</f>
        <v>Navya Motors - Gorakhpur</v>
      </c>
      <c r="O171" s="3" t="str">
        <f t="shared" ref="O171:O184" si="36">A171</f>
        <v>1kKJQREB-gMUjjfvkNJBZGf8b6FppISEs2byO4uZriFc</v>
      </c>
      <c r="P171" s="3" t="s">
        <v>64</v>
      </c>
      <c r="Q171" s="8" t="s">
        <v>65</v>
      </c>
      <c r="R171" s="3" t="s">
        <v>1578</v>
      </c>
      <c r="S171" s="3" t="s">
        <v>1578</v>
      </c>
      <c r="T171" s="8" t="s">
        <v>83</v>
      </c>
      <c r="U171" s="8"/>
      <c r="V171" s="8"/>
      <c r="W171" s="8"/>
      <c r="X171" s="8"/>
      <c r="Y171" s="8"/>
      <c r="Z171" s="8"/>
      <c r="AA171" s="8"/>
      <c r="AB171" s="8"/>
      <c r="AC171" s="8"/>
      <c r="AD171" s="8"/>
      <c r="AE171" s="8"/>
      <c r="AF171" s="8"/>
      <c r="AG171" s="3"/>
      <c r="AH171" s="8"/>
      <c r="AI171" s="8"/>
      <c r="AJ171" s="8"/>
      <c r="AK171" s="8"/>
      <c r="AL171" s="8"/>
      <c r="AM171" s="8"/>
      <c r="AN171" s="8"/>
      <c r="AO171" s="8"/>
      <c r="AP171" s="8"/>
      <c r="AQ171" s="8"/>
      <c r="AR171" s="8"/>
      <c r="AS171" s="8"/>
      <c r="AT171" s="9" t="s">
        <v>1579</v>
      </c>
      <c r="AU171" s="8" t="s">
        <v>85</v>
      </c>
      <c r="AV171" s="8"/>
      <c r="AW171" s="8"/>
      <c r="AX171" s="8"/>
      <c r="AY171" s="8"/>
      <c r="AZ171" s="8" t="s">
        <v>86</v>
      </c>
      <c r="BA171" s="8" t="s">
        <v>86</v>
      </c>
      <c r="BB171" s="8" t="s">
        <v>86</v>
      </c>
      <c r="BC171" s="8">
        <v>0.0</v>
      </c>
    </row>
    <row r="172">
      <c r="A172" s="3" t="s">
        <v>1580</v>
      </c>
      <c r="B172" s="3" t="s">
        <v>1581</v>
      </c>
      <c r="C172" s="3" t="s">
        <v>1582</v>
      </c>
      <c r="D172" s="3" t="s">
        <v>1581</v>
      </c>
      <c r="E172" s="3">
        <v>100000.0</v>
      </c>
      <c r="F172" s="3" t="s">
        <v>58</v>
      </c>
      <c r="G172" s="3" t="s">
        <v>1583</v>
      </c>
      <c r="H172" s="5" t="s">
        <v>1584</v>
      </c>
      <c r="I172" s="5" t="s">
        <v>1585</v>
      </c>
      <c r="J172" s="3" t="s">
        <v>1586</v>
      </c>
      <c r="K172" s="3">
        <v>9.066000369E9</v>
      </c>
      <c r="L172" s="16">
        <v>44292.80486111111</v>
      </c>
      <c r="M172" s="3"/>
      <c r="N172" s="3" t="str">
        <f t="shared" si="35"/>
        <v>Srivastava Automobiles - Lalitpur</v>
      </c>
      <c r="O172" s="3" t="str">
        <f t="shared" si="36"/>
        <v>1unvzt24PL_Fl_Wbl-5lHzYEhCzCxGGtlN9oHLIhnpPw</v>
      </c>
      <c r="P172" s="3" t="s">
        <v>64</v>
      </c>
      <c r="Q172" s="8" t="s">
        <v>65</v>
      </c>
      <c r="R172" s="3" t="s">
        <v>1587</v>
      </c>
      <c r="S172" s="3" t="s">
        <v>1587</v>
      </c>
      <c r="T172" s="8" t="s">
        <v>83</v>
      </c>
      <c r="U172" s="8"/>
      <c r="V172" s="8"/>
      <c r="W172" s="8"/>
      <c r="X172" s="8"/>
      <c r="Y172" s="8"/>
      <c r="Z172" s="8"/>
      <c r="AA172" s="8"/>
      <c r="AB172" s="8"/>
      <c r="AC172" s="8"/>
      <c r="AD172" s="8"/>
      <c r="AE172" s="8"/>
      <c r="AF172" s="8"/>
      <c r="AG172" s="3"/>
      <c r="AH172" s="8"/>
      <c r="AI172" s="8"/>
      <c r="AJ172" s="8"/>
      <c r="AK172" s="8"/>
      <c r="AL172" s="8"/>
      <c r="AM172" s="8"/>
      <c r="AN172" s="8"/>
      <c r="AO172" s="8"/>
      <c r="AP172" s="8"/>
      <c r="AQ172" s="8"/>
      <c r="AR172" s="8"/>
      <c r="AS172" s="8"/>
      <c r="AT172" s="9" t="s">
        <v>1588</v>
      </c>
      <c r="AU172" s="8" t="s">
        <v>85</v>
      </c>
      <c r="AV172" s="8"/>
      <c r="AW172" s="8"/>
      <c r="AX172" s="8"/>
      <c r="AY172" s="8"/>
      <c r="AZ172" s="8" t="s">
        <v>86</v>
      </c>
      <c r="BA172" s="8" t="s">
        <v>86</v>
      </c>
      <c r="BB172" s="8" t="s">
        <v>86</v>
      </c>
      <c r="BC172" s="8">
        <v>0.0</v>
      </c>
    </row>
    <row r="173">
      <c r="A173" s="3" t="s">
        <v>1589</v>
      </c>
      <c r="B173" s="3" t="s">
        <v>1590</v>
      </c>
      <c r="C173" s="3" t="s">
        <v>1591</v>
      </c>
      <c r="D173" s="3" t="s">
        <v>1590</v>
      </c>
      <c r="E173" s="3">
        <v>100000.0</v>
      </c>
      <c r="F173" s="3" t="s">
        <v>58</v>
      </c>
      <c r="G173" s="3" t="s">
        <v>1592</v>
      </c>
      <c r="H173" s="5" t="s">
        <v>1593</v>
      </c>
      <c r="I173" s="5" t="s">
        <v>1594</v>
      </c>
      <c r="J173" s="3" t="s">
        <v>1595</v>
      </c>
      <c r="K173" s="3">
        <v>9.304676911E9</v>
      </c>
      <c r="L173" s="16">
        <v>44383.74513888889</v>
      </c>
      <c r="M173" s="3"/>
      <c r="N173" s="3" t="str">
        <f t="shared" si="35"/>
        <v>Modern Auto Agency - Bettiah</v>
      </c>
      <c r="O173" s="3" t="str">
        <f t="shared" si="36"/>
        <v>1_UtGSoyOsljQXvmry7gfXGYwjwEjQbghQQGZebnq45M</v>
      </c>
      <c r="P173" s="3" t="s">
        <v>64</v>
      </c>
      <c r="Q173" s="8" t="s">
        <v>65</v>
      </c>
      <c r="R173" s="3" t="s">
        <v>1596</v>
      </c>
      <c r="S173" s="3" t="s">
        <v>1596</v>
      </c>
      <c r="T173" s="8" t="s">
        <v>1308</v>
      </c>
      <c r="U173" s="8"/>
      <c r="V173" s="8"/>
      <c r="W173" s="8"/>
      <c r="X173" s="8"/>
      <c r="Y173" s="8"/>
      <c r="Z173" s="8"/>
      <c r="AA173" s="8"/>
      <c r="AB173" s="8"/>
      <c r="AC173" s="8"/>
      <c r="AD173" s="8"/>
      <c r="AE173" s="8"/>
      <c r="AF173" s="8"/>
      <c r="AG173" s="3"/>
      <c r="AH173" s="8"/>
      <c r="AI173" s="8"/>
      <c r="AJ173" s="8"/>
      <c r="AK173" s="8"/>
      <c r="AL173" s="8"/>
      <c r="AM173" s="8"/>
      <c r="AN173" s="8"/>
      <c r="AO173" s="8"/>
      <c r="AP173" s="8"/>
      <c r="AQ173" s="8"/>
      <c r="AR173" s="8"/>
      <c r="AS173" s="8"/>
      <c r="AT173" s="9" t="s">
        <v>1597</v>
      </c>
      <c r="AU173" s="8" t="s">
        <v>85</v>
      </c>
      <c r="AV173" s="8"/>
      <c r="AW173" s="8"/>
      <c r="AX173" s="8"/>
      <c r="AY173" s="8"/>
      <c r="AZ173" s="8" t="s">
        <v>72</v>
      </c>
      <c r="BA173" s="8" t="s">
        <v>86</v>
      </c>
      <c r="BB173" s="8" t="s">
        <v>86</v>
      </c>
      <c r="BC173" s="8">
        <v>0.0</v>
      </c>
    </row>
    <row r="174">
      <c r="A174" s="3" t="s">
        <v>1598</v>
      </c>
      <c r="B174" s="3" t="s">
        <v>1599</v>
      </c>
      <c r="C174" s="3" t="s">
        <v>1600</v>
      </c>
      <c r="D174" s="3" t="s">
        <v>1599</v>
      </c>
      <c r="E174" s="3">
        <v>100000.0</v>
      </c>
      <c r="F174" s="3" t="s">
        <v>58</v>
      </c>
      <c r="G174" s="3" t="s">
        <v>1601</v>
      </c>
      <c r="H174" s="5" t="s">
        <v>1602</v>
      </c>
      <c r="I174" s="5" t="s">
        <v>1603</v>
      </c>
      <c r="J174" s="3" t="s">
        <v>1604</v>
      </c>
      <c r="K174" s="3">
        <v>9.458596504E9</v>
      </c>
      <c r="L174" s="16">
        <v>44475.614583333336</v>
      </c>
      <c r="M174" s="3"/>
      <c r="N174" s="3" t="str">
        <f t="shared" si="35"/>
        <v>Bal Mukund Hero - Etah</v>
      </c>
      <c r="O174" s="3" t="str">
        <f t="shared" si="36"/>
        <v>1NEcDRVp7-BhxvyRG6JkeAHZpznEr-vKt291CED4WZPk</v>
      </c>
      <c r="P174" s="3" t="s">
        <v>64</v>
      </c>
      <c r="Q174" s="8" t="s">
        <v>65</v>
      </c>
      <c r="R174" s="3" t="s">
        <v>1605</v>
      </c>
      <c r="S174" s="3" t="s">
        <v>1605</v>
      </c>
      <c r="T174" s="8" t="s">
        <v>83</v>
      </c>
      <c r="U174" s="8"/>
      <c r="V174" s="8"/>
      <c r="W174" s="8"/>
      <c r="X174" s="8"/>
      <c r="Y174" s="8"/>
      <c r="Z174" s="8"/>
      <c r="AA174" s="8"/>
      <c r="AB174" s="8"/>
      <c r="AC174" s="8"/>
      <c r="AD174" s="8"/>
      <c r="AE174" s="8"/>
      <c r="AF174" s="8"/>
      <c r="AG174" s="3"/>
      <c r="AH174" s="8"/>
      <c r="AI174" s="8"/>
      <c r="AJ174" s="8"/>
      <c r="AK174" s="8"/>
      <c r="AL174" s="8"/>
      <c r="AM174" s="8"/>
      <c r="AN174" s="8"/>
      <c r="AO174" s="8"/>
      <c r="AP174" s="8"/>
      <c r="AQ174" s="8"/>
      <c r="AR174" s="8"/>
      <c r="AS174" s="8"/>
      <c r="AT174" s="9" t="s">
        <v>1606</v>
      </c>
      <c r="AU174" s="8" t="s">
        <v>69</v>
      </c>
      <c r="AV174" s="8"/>
      <c r="AW174" s="8"/>
      <c r="AX174" s="8"/>
      <c r="AY174" s="8"/>
      <c r="AZ174" s="8" t="s">
        <v>72</v>
      </c>
      <c r="BA174" s="8" t="s">
        <v>86</v>
      </c>
      <c r="BB174" s="8" t="s">
        <v>86</v>
      </c>
      <c r="BC174" s="8">
        <v>0.0</v>
      </c>
    </row>
    <row r="175">
      <c r="A175" s="3" t="s">
        <v>1607</v>
      </c>
      <c r="B175" s="3" t="s">
        <v>1608</v>
      </c>
      <c r="C175" s="3" t="s">
        <v>1609</v>
      </c>
      <c r="D175" s="3" t="s">
        <v>1608</v>
      </c>
      <c r="E175" s="3">
        <v>100000.0</v>
      </c>
      <c r="F175" s="3" t="s">
        <v>58</v>
      </c>
      <c r="G175" s="3" t="s">
        <v>1610</v>
      </c>
      <c r="H175" s="5" t="s">
        <v>1611</v>
      </c>
      <c r="I175" s="5" t="s">
        <v>1612</v>
      </c>
      <c r="J175" s="3" t="s">
        <v>1613</v>
      </c>
      <c r="K175" s="3">
        <v>9.735011769E9</v>
      </c>
      <c r="L175" s="6" t="s">
        <v>1614</v>
      </c>
      <c r="M175" s="3"/>
      <c r="N175" s="3" t="str">
        <f t="shared" si="35"/>
        <v>MAHESH MOTORS - DINAJPUR</v>
      </c>
      <c r="O175" s="3" t="str">
        <f t="shared" si="36"/>
        <v>1DVpSm5a7kKqZxFgDUdJBRIcgAuTZosRKDnkmPEIdEG4</v>
      </c>
      <c r="P175" s="3" t="s">
        <v>64</v>
      </c>
      <c r="Q175" s="8" t="s">
        <v>65</v>
      </c>
      <c r="R175" s="3" t="s">
        <v>1615</v>
      </c>
      <c r="S175" s="3" t="s">
        <v>1615</v>
      </c>
      <c r="T175" s="8" t="s">
        <v>1616</v>
      </c>
      <c r="U175" s="8"/>
      <c r="V175" s="8"/>
      <c r="W175" s="8"/>
      <c r="X175" s="8"/>
      <c r="Y175" s="8"/>
      <c r="Z175" s="8"/>
      <c r="AA175" s="8"/>
      <c r="AB175" s="8"/>
      <c r="AC175" s="8"/>
      <c r="AD175" s="8"/>
      <c r="AE175" s="8"/>
      <c r="AF175" s="8"/>
      <c r="AG175" s="3"/>
      <c r="AH175" s="8"/>
      <c r="AI175" s="8"/>
      <c r="AJ175" s="8"/>
      <c r="AK175" s="8"/>
      <c r="AL175" s="8"/>
      <c r="AM175" s="8"/>
      <c r="AN175" s="8"/>
      <c r="AO175" s="8"/>
      <c r="AP175" s="8"/>
      <c r="AQ175" s="8"/>
      <c r="AR175" s="8"/>
      <c r="AS175" s="8"/>
      <c r="AT175" s="9" t="s">
        <v>1617</v>
      </c>
      <c r="AU175" s="8" t="s">
        <v>85</v>
      </c>
      <c r="AV175" s="8"/>
      <c r="AW175" s="8"/>
      <c r="AX175" s="8"/>
      <c r="AY175" s="8"/>
      <c r="AZ175" s="8" t="s">
        <v>86</v>
      </c>
      <c r="BA175" s="8" t="s">
        <v>86</v>
      </c>
      <c r="BB175" s="8" t="s">
        <v>86</v>
      </c>
      <c r="BC175" s="8">
        <v>0.0</v>
      </c>
    </row>
    <row r="176">
      <c r="A176" s="3" t="s">
        <v>1618</v>
      </c>
      <c r="B176" s="3" t="s">
        <v>1619</v>
      </c>
      <c r="C176" s="3" t="s">
        <v>1620</v>
      </c>
      <c r="D176" s="3" t="s">
        <v>1619</v>
      </c>
      <c r="E176" s="3">
        <v>100000.0</v>
      </c>
      <c r="F176" s="3" t="s">
        <v>58</v>
      </c>
      <c r="G176" s="3" t="s">
        <v>1621</v>
      </c>
      <c r="H176" s="5" t="s">
        <v>1622</v>
      </c>
      <c r="I176" s="5" t="s">
        <v>1623</v>
      </c>
      <c r="J176" s="3" t="s">
        <v>1624</v>
      </c>
      <c r="K176" s="3">
        <v>9.41503695E9</v>
      </c>
      <c r="L176" s="6" t="s">
        <v>1625</v>
      </c>
      <c r="M176" s="3"/>
      <c r="N176" s="3" t="str">
        <f t="shared" si="35"/>
        <v>Standard Auto Agency - Bahraich</v>
      </c>
      <c r="O176" s="3" t="str">
        <f t="shared" si="36"/>
        <v>1oQVPfd8k9NkVTkQGOHRAq_y-oNhBZ1Ssb0pUJIc1AnM</v>
      </c>
      <c r="P176" s="3" t="s">
        <v>64</v>
      </c>
      <c r="Q176" s="8" t="s">
        <v>65</v>
      </c>
      <c r="R176" s="3" t="s">
        <v>1626</v>
      </c>
      <c r="S176" s="3" t="s">
        <v>1626</v>
      </c>
      <c r="T176" s="8" t="s">
        <v>83</v>
      </c>
      <c r="U176" s="8"/>
      <c r="V176" s="8"/>
      <c r="W176" s="8"/>
      <c r="X176" s="8"/>
      <c r="Y176" s="8"/>
      <c r="Z176" s="8"/>
      <c r="AA176" s="8"/>
      <c r="AB176" s="8"/>
      <c r="AC176" s="8"/>
      <c r="AD176" s="8"/>
      <c r="AE176" s="8"/>
      <c r="AF176" s="8"/>
      <c r="AG176" s="3"/>
      <c r="AH176" s="8"/>
      <c r="AI176" s="8"/>
      <c r="AJ176" s="8"/>
      <c r="AK176" s="8"/>
      <c r="AL176" s="8"/>
      <c r="AM176" s="8"/>
      <c r="AN176" s="8"/>
      <c r="AO176" s="8"/>
      <c r="AP176" s="8"/>
      <c r="AQ176" s="8"/>
      <c r="AR176" s="8"/>
      <c r="AS176" s="8"/>
      <c r="AT176" s="9" t="s">
        <v>1627</v>
      </c>
      <c r="AU176" s="8" t="s">
        <v>69</v>
      </c>
      <c r="AV176" s="8"/>
      <c r="AW176" s="8"/>
      <c r="AX176" s="8"/>
      <c r="AY176" s="8"/>
      <c r="AZ176" s="8" t="s">
        <v>86</v>
      </c>
      <c r="BA176" s="8" t="s">
        <v>86</v>
      </c>
      <c r="BB176" s="8" t="s">
        <v>86</v>
      </c>
      <c r="BC176" s="8">
        <v>0.0</v>
      </c>
    </row>
    <row r="177">
      <c r="A177" s="3" t="s">
        <v>1628</v>
      </c>
      <c r="B177" s="3" t="s">
        <v>1629</v>
      </c>
      <c r="C177" s="3" t="s">
        <v>1630</v>
      </c>
      <c r="D177" s="3" t="s">
        <v>1629</v>
      </c>
      <c r="E177" s="3">
        <v>100000.0</v>
      </c>
      <c r="F177" s="3" t="s">
        <v>58</v>
      </c>
      <c r="G177" s="3" t="s">
        <v>1631</v>
      </c>
      <c r="H177" s="5" t="s">
        <v>1632</v>
      </c>
      <c r="I177" s="5" t="s">
        <v>1633</v>
      </c>
      <c r="J177" s="3" t="s">
        <v>1634</v>
      </c>
      <c r="K177" s="3">
        <v>9.838114888E9</v>
      </c>
      <c r="L177" s="6" t="s">
        <v>1635</v>
      </c>
      <c r="M177" s="3"/>
      <c r="N177" s="3" t="str">
        <f t="shared" si="35"/>
        <v>Krishna &amp; Company - Bahraich</v>
      </c>
      <c r="O177" s="3" t="str">
        <f t="shared" si="36"/>
        <v>1MZSuDBhj6MvXnyvchodYUa5X-Tmx0AyJTkxlHAAvtro</v>
      </c>
      <c r="P177" s="3" t="s">
        <v>64</v>
      </c>
      <c r="Q177" s="8" t="s">
        <v>65</v>
      </c>
      <c r="R177" s="3" t="s">
        <v>1626</v>
      </c>
      <c r="S177" s="3" t="s">
        <v>1626</v>
      </c>
      <c r="T177" s="8" t="s">
        <v>83</v>
      </c>
      <c r="U177" s="8"/>
      <c r="V177" s="8"/>
      <c r="W177" s="8"/>
      <c r="X177" s="8"/>
      <c r="Y177" s="8"/>
      <c r="Z177" s="8"/>
      <c r="AA177" s="8"/>
      <c r="AB177" s="8"/>
      <c r="AC177" s="8"/>
      <c r="AD177" s="8"/>
      <c r="AE177" s="8"/>
      <c r="AF177" s="8"/>
      <c r="AG177" s="3"/>
      <c r="AH177" s="8"/>
      <c r="AI177" s="8"/>
      <c r="AJ177" s="8"/>
      <c r="AK177" s="8"/>
      <c r="AL177" s="8"/>
      <c r="AM177" s="8"/>
      <c r="AN177" s="8"/>
      <c r="AO177" s="8"/>
      <c r="AP177" s="8"/>
      <c r="AQ177" s="8"/>
      <c r="AR177" s="8"/>
      <c r="AS177" s="8"/>
      <c r="AT177" s="9" t="s">
        <v>1636</v>
      </c>
      <c r="AU177" s="8" t="s">
        <v>69</v>
      </c>
      <c r="AV177" s="8"/>
      <c r="AW177" s="8"/>
      <c r="AX177" s="8"/>
      <c r="AY177" s="8"/>
      <c r="AZ177" s="8" t="s">
        <v>86</v>
      </c>
      <c r="BA177" s="8" t="s">
        <v>86</v>
      </c>
      <c r="BB177" s="8" t="s">
        <v>86</v>
      </c>
      <c r="BC177" s="8">
        <v>0.0</v>
      </c>
    </row>
    <row r="178">
      <c r="A178" s="3" t="s">
        <v>1637</v>
      </c>
      <c r="B178" s="3" t="s">
        <v>1638</v>
      </c>
      <c r="C178" s="3" t="s">
        <v>1639</v>
      </c>
      <c r="D178" s="3" t="s">
        <v>1638</v>
      </c>
      <c r="E178" s="3">
        <v>100000.0</v>
      </c>
      <c r="F178" s="3" t="s">
        <v>58</v>
      </c>
      <c r="G178" s="3" t="s">
        <v>1640</v>
      </c>
      <c r="H178" s="5" t="s">
        <v>1641</v>
      </c>
      <c r="I178" s="5" t="s">
        <v>1642</v>
      </c>
      <c r="J178" s="3" t="s">
        <v>1643</v>
      </c>
      <c r="K178" s="3">
        <v>9.451469411E9</v>
      </c>
      <c r="L178" s="6" t="s">
        <v>1644</v>
      </c>
      <c r="M178" s="3"/>
      <c r="N178" s="3" t="str">
        <f t="shared" si="35"/>
        <v>Shri Narain auto</v>
      </c>
      <c r="O178" s="3" t="str">
        <f t="shared" si="36"/>
        <v>1F-qgo65nyduysDsu4OiPqLBtjm1sTnysGmg4Ke93FbU</v>
      </c>
      <c r="P178" s="3" t="s">
        <v>64</v>
      </c>
      <c r="Q178" s="8" t="s">
        <v>65</v>
      </c>
      <c r="R178" s="3" t="s">
        <v>1645</v>
      </c>
      <c r="S178" s="3" t="s">
        <v>1645</v>
      </c>
      <c r="T178" s="8" t="s">
        <v>83</v>
      </c>
      <c r="U178" s="8"/>
      <c r="V178" s="8"/>
      <c r="W178" s="8"/>
      <c r="X178" s="8"/>
      <c r="Y178" s="8"/>
      <c r="Z178" s="8"/>
      <c r="AA178" s="8"/>
      <c r="AB178" s="8"/>
      <c r="AC178" s="8"/>
      <c r="AD178" s="8"/>
      <c r="AE178" s="8"/>
      <c r="AF178" s="8"/>
      <c r="AG178" s="3"/>
      <c r="AH178" s="8"/>
      <c r="AI178" s="8"/>
      <c r="AJ178" s="8"/>
      <c r="AK178" s="8"/>
      <c r="AL178" s="8"/>
      <c r="AM178" s="8"/>
      <c r="AN178" s="8"/>
      <c r="AO178" s="8"/>
      <c r="AP178" s="8"/>
      <c r="AQ178" s="8"/>
      <c r="AS178" s="8"/>
      <c r="AT178" s="9" t="s">
        <v>1646</v>
      </c>
      <c r="AU178" s="8" t="s">
        <v>730</v>
      </c>
      <c r="AV178" s="8"/>
      <c r="AW178" s="8"/>
      <c r="AX178" s="8"/>
      <c r="AY178" s="8"/>
      <c r="AZ178" s="8" t="s">
        <v>86</v>
      </c>
      <c r="BA178" s="8" t="s">
        <v>86</v>
      </c>
      <c r="BB178" s="8" t="s">
        <v>86</v>
      </c>
      <c r="BC178" s="8">
        <v>0.0</v>
      </c>
    </row>
    <row r="179">
      <c r="A179" s="3" t="s">
        <v>1647</v>
      </c>
      <c r="B179" s="3" t="s">
        <v>1648</v>
      </c>
      <c r="C179" s="3" t="s">
        <v>1649</v>
      </c>
      <c r="D179" s="3" t="s">
        <v>1648</v>
      </c>
      <c r="E179" s="3">
        <v>100000.0</v>
      </c>
      <c r="F179" s="3" t="s">
        <v>58</v>
      </c>
      <c r="G179" s="3" t="s">
        <v>1650</v>
      </c>
      <c r="H179" s="5" t="s">
        <v>1651</v>
      </c>
      <c r="I179" s="5" t="s">
        <v>1652</v>
      </c>
      <c r="J179" s="3" t="s">
        <v>1653</v>
      </c>
      <c r="K179" s="3">
        <v>9.415056576E9</v>
      </c>
      <c r="L179" s="6" t="s">
        <v>1654</v>
      </c>
      <c r="M179" s="3"/>
      <c r="N179" s="3" t="str">
        <f t="shared" si="35"/>
        <v>AGARWAL HERO SITAPUR</v>
      </c>
      <c r="O179" s="3" t="str">
        <f t="shared" si="36"/>
        <v>1rHOrl-RR_wmvN1hR6qvRLwO5p4_e081st6veS3SDnKk</v>
      </c>
      <c r="P179" s="3" t="s">
        <v>64</v>
      </c>
      <c r="Q179" s="8" t="s">
        <v>65</v>
      </c>
      <c r="R179" s="3" t="s">
        <v>1655</v>
      </c>
      <c r="S179" s="3" t="s">
        <v>1656</v>
      </c>
      <c r="T179" s="8" t="s">
        <v>83</v>
      </c>
      <c r="U179" s="8"/>
      <c r="V179" s="8"/>
      <c r="W179" s="8"/>
      <c r="X179" s="8"/>
      <c r="Y179" s="8"/>
      <c r="Z179" s="8"/>
      <c r="AA179" s="8"/>
      <c r="AB179" s="8"/>
      <c r="AC179" s="8"/>
      <c r="AD179" s="8"/>
      <c r="AE179" s="8"/>
      <c r="AF179" s="8"/>
      <c r="AG179" s="3"/>
      <c r="AH179" s="8"/>
      <c r="AI179" s="8"/>
      <c r="AJ179" s="8"/>
      <c r="AK179" s="8"/>
      <c r="AL179" s="8"/>
      <c r="AM179" s="8"/>
      <c r="AN179" s="8"/>
      <c r="AO179" s="8"/>
      <c r="AP179" s="8"/>
      <c r="AQ179" s="8"/>
      <c r="AR179" s="8"/>
      <c r="AS179" s="8"/>
      <c r="AT179" s="9" t="s">
        <v>1657</v>
      </c>
      <c r="AU179" s="8" t="s">
        <v>730</v>
      </c>
      <c r="AV179" s="8"/>
      <c r="AW179" s="8"/>
      <c r="AX179" s="8"/>
      <c r="AY179" s="8"/>
      <c r="AZ179" s="8" t="s">
        <v>86</v>
      </c>
      <c r="BA179" s="8" t="s">
        <v>86</v>
      </c>
      <c r="BB179" s="8" t="s">
        <v>86</v>
      </c>
      <c r="BC179" s="8">
        <v>0.0</v>
      </c>
    </row>
    <row r="180">
      <c r="A180" s="3" t="s">
        <v>1658</v>
      </c>
      <c r="B180" s="3" t="s">
        <v>1659</v>
      </c>
      <c r="C180" s="3" t="s">
        <v>1660</v>
      </c>
      <c r="D180" s="3" t="s">
        <v>1659</v>
      </c>
      <c r="E180" s="3">
        <v>100000.0</v>
      </c>
      <c r="F180" s="3" t="s">
        <v>58</v>
      </c>
      <c r="G180" s="3" t="s">
        <v>1661</v>
      </c>
      <c r="H180" s="5" t="s">
        <v>1662</v>
      </c>
      <c r="I180" s="5" t="s">
        <v>1663</v>
      </c>
      <c r="J180" s="3" t="s">
        <v>1664</v>
      </c>
      <c r="K180" s="3">
        <v>9.837047506E9</v>
      </c>
      <c r="L180" s="6" t="s">
        <v>1665</v>
      </c>
      <c r="M180" s="3"/>
      <c r="N180" s="3" t="str">
        <f t="shared" si="35"/>
        <v>SATKAR HONDA - RUDRAPUR</v>
      </c>
      <c r="O180" s="3" t="str">
        <f t="shared" si="36"/>
        <v>15if03Q4YLoDcHi2HznX5QBpY6yQHJPDyifJKxRYKV-8</v>
      </c>
      <c r="P180" s="3" t="s">
        <v>64</v>
      </c>
      <c r="Q180" s="8" t="s">
        <v>540</v>
      </c>
      <c r="R180" s="3" t="s">
        <v>1666</v>
      </c>
      <c r="S180" s="3" t="s">
        <v>1667</v>
      </c>
      <c r="T180" s="8" t="s">
        <v>1540</v>
      </c>
      <c r="U180" s="8"/>
      <c r="V180" s="8"/>
      <c r="W180" s="8"/>
      <c r="X180" s="8"/>
      <c r="Y180" s="8"/>
      <c r="Z180" s="8"/>
      <c r="AA180" s="8"/>
      <c r="AB180" s="8"/>
      <c r="AC180" s="8"/>
      <c r="AD180" s="8"/>
      <c r="AE180" s="8"/>
      <c r="AF180" s="8"/>
      <c r="AG180" s="3" t="s">
        <v>1668</v>
      </c>
      <c r="AH180" s="8"/>
      <c r="AI180" s="8"/>
      <c r="AJ180" s="8"/>
      <c r="AK180" s="8"/>
      <c r="AL180" s="8"/>
      <c r="AM180" s="8"/>
      <c r="AN180" s="8"/>
      <c r="AO180" s="8"/>
      <c r="AP180" s="8"/>
      <c r="AQ180" s="8"/>
      <c r="AR180" s="8"/>
      <c r="AS180" s="8"/>
      <c r="AT180" s="9" t="s">
        <v>1669</v>
      </c>
      <c r="AU180" s="8" t="s">
        <v>85</v>
      </c>
      <c r="AV180" s="8"/>
      <c r="AW180" s="8"/>
      <c r="AX180" s="8"/>
      <c r="AY180" s="8"/>
      <c r="AZ180" s="8" t="s">
        <v>72</v>
      </c>
      <c r="BA180" s="8" t="s">
        <v>86</v>
      </c>
      <c r="BB180" s="8" t="s">
        <v>86</v>
      </c>
      <c r="BC180" s="8">
        <v>0.0</v>
      </c>
    </row>
    <row r="181">
      <c r="A181" s="3" t="s">
        <v>1670</v>
      </c>
      <c r="B181" s="3" t="s">
        <v>1671</v>
      </c>
      <c r="C181" s="3" t="s">
        <v>1672</v>
      </c>
      <c r="D181" s="3" t="s">
        <v>1671</v>
      </c>
      <c r="E181" s="3">
        <v>100000.0</v>
      </c>
      <c r="F181" s="3" t="s">
        <v>58</v>
      </c>
      <c r="G181" s="3" t="s">
        <v>1673</v>
      </c>
      <c r="H181" s="5" t="s">
        <v>1674</v>
      </c>
      <c r="I181" s="5" t="s">
        <v>1675</v>
      </c>
      <c r="J181" s="3" t="s">
        <v>1676</v>
      </c>
      <c r="K181" s="3">
        <v>9.415046677E9</v>
      </c>
      <c r="L181" s="6" t="s">
        <v>1677</v>
      </c>
      <c r="M181" s="3"/>
      <c r="N181" s="3" t="str">
        <f t="shared" si="35"/>
        <v>Jai Automobiles - Akbarpur</v>
      </c>
      <c r="O181" s="3" t="str">
        <f t="shared" si="36"/>
        <v>1Bn0dgc_QYbF664LnJPJT-IEcqhx5gMA1AtzkRyd3ZGA</v>
      </c>
      <c r="P181" s="3" t="s">
        <v>64</v>
      </c>
      <c r="Q181" s="8" t="s">
        <v>65</v>
      </c>
      <c r="R181" s="3" t="s">
        <v>1678</v>
      </c>
      <c r="S181" s="3" t="s">
        <v>1678</v>
      </c>
      <c r="T181" s="8" t="s">
        <v>83</v>
      </c>
      <c r="U181" s="8"/>
      <c r="V181" s="8"/>
      <c r="W181" s="8"/>
      <c r="X181" s="8"/>
      <c r="Y181" s="8"/>
      <c r="Z181" s="8"/>
      <c r="AA181" s="8"/>
      <c r="AB181" s="8"/>
      <c r="AC181" s="8"/>
      <c r="AD181" s="8"/>
      <c r="AE181" s="8"/>
      <c r="AF181" s="8"/>
      <c r="AG181" s="3"/>
      <c r="AH181" s="8"/>
      <c r="AI181" s="8"/>
      <c r="AJ181" s="8"/>
      <c r="AK181" s="8"/>
      <c r="AL181" s="8"/>
      <c r="AM181" s="8"/>
      <c r="AN181" s="8"/>
      <c r="AO181" s="8"/>
      <c r="AP181" s="8"/>
      <c r="AQ181" s="8"/>
      <c r="AR181" s="8"/>
      <c r="AS181" s="8"/>
      <c r="AT181" s="9" t="s">
        <v>1679</v>
      </c>
      <c r="AU181" s="8" t="s">
        <v>69</v>
      </c>
      <c r="AV181" s="8"/>
      <c r="AW181" s="8"/>
      <c r="AX181" s="8"/>
      <c r="AY181" s="8"/>
      <c r="AZ181" s="8" t="s">
        <v>72</v>
      </c>
      <c r="BA181" s="8" t="s">
        <v>86</v>
      </c>
      <c r="BB181" s="8" t="s">
        <v>86</v>
      </c>
      <c r="BC181" s="8">
        <v>0.0</v>
      </c>
    </row>
    <row r="182">
      <c r="A182" s="3" t="s">
        <v>1680</v>
      </c>
      <c r="B182" s="3" t="s">
        <v>1681</v>
      </c>
      <c r="C182" s="3" t="s">
        <v>1682</v>
      </c>
      <c r="D182" s="3" t="s">
        <v>1681</v>
      </c>
      <c r="E182" s="3">
        <v>100000.0</v>
      </c>
      <c r="F182" s="3" t="s">
        <v>58</v>
      </c>
      <c r="G182" s="3" t="s">
        <v>1683</v>
      </c>
      <c r="H182" s="5" t="s">
        <v>1684</v>
      </c>
      <c r="I182" s="5" t="s">
        <v>1685</v>
      </c>
      <c r="J182" s="3" t="s">
        <v>1686</v>
      </c>
      <c r="K182" s="3">
        <v>9.839090351E9</v>
      </c>
      <c r="L182" s="6" t="s">
        <v>1687</v>
      </c>
      <c r="M182" s="3"/>
      <c r="N182" s="3" t="str">
        <f t="shared" si="35"/>
        <v>Kamal Hero - Gonda</v>
      </c>
      <c r="O182" s="3" t="str">
        <f t="shared" si="36"/>
        <v>1VIUqOp_UXFVjhTtvQswmqJ7NEi8nkGyfHAoJPy-wvSA</v>
      </c>
      <c r="P182" s="3" t="s">
        <v>64</v>
      </c>
      <c r="Q182" s="8" t="s">
        <v>65</v>
      </c>
      <c r="R182" s="3" t="s">
        <v>1688</v>
      </c>
      <c r="S182" s="3" t="s">
        <v>1688</v>
      </c>
      <c r="T182" s="8" t="s">
        <v>83</v>
      </c>
      <c r="U182" s="8"/>
      <c r="V182" s="8"/>
      <c r="W182" s="8"/>
      <c r="X182" s="8"/>
      <c r="Y182" s="8"/>
      <c r="Z182" s="8"/>
      <c r="AA182" s="8"/>
      <c r="AB182" s="8"/>
      <c r="AC182" s="8"/>
      <c r="AD182" s="8"/>
      <c r="AE182" s="8"/>
      <c r="AF182" s="8"/>
      <c r="AG182" s="3"/>
      <c r="AH182" s="8"/>
      <c r="AI182" s="8"/>
      <c r="AJ182" s="8"/>
      <c r="AK182" s="8"/>
      <c r="AL182" s="8"/>
      <c r="AM182" s="8"/>
      <c r="AN182" s="8"/>
      <c r="AO182" s="8"/>
      <c r="AP182" s="8"/>
      <c r="AQ182" s="8"/>
      <c r="AR182" s="8"/>
      <c r="AS182" s="8"/>
      <c r="AT182" s="9" t="s">
        <v>1689</v>
      </c>
      <c r="AU182" s="8" t="s">
        <v>69</v>
      </c>
      <c r="AV182" s="8"/>
      <c r="AW182" s="8"/>
      <c r="AX182" s="8"/>
      <c r="AY182" s="8"/>
      <c r="AZ182" s="8" t="s">
        <v>86</v>
      </c>
      <c r="BA182" s="8" t="s">
        <v>86</v>
      </c>
      <c r="BB182" s="8" t="s">
        <v>86</v>
      </c>
      <c r="BC182" s="8">
        <v>0.0</v>
      </c>
    </row>
    <row r="183">
      <c r="A183" s="3" t="s">
        <v>1690</v>
      </c>
      <c r="B183" s="3" t="s">
        <v>1691</v>
      </c>
      <c r="C183" s="3" t="s">
        <v>1692</v>
      </c>
      <c r="D183" s="3" t="s">
        <v>1691</v>
      </c>
      <c r="E183" s="3">
        <v>100000.0</v>
      </c>
      <c r="F183" s="3" t="s">
        <v>58</v>
      </c>
      <c r="G183" s="3" t="s">
        <v>1693</v>
      </c>
      <c r="H183" s="5" t="s">
        <v>1694</v>
      </c>
      <c r="I183" s="5" t="s">
        <v>1695</v>
      </c>
      <c r="J183" s="3" t="s">
        <v>1696</v>
      </c>
      <c r="K183" s="3">
        <v>9.839090351E9</v>
      </c>
      <c r="L183" s="6" t="s">
        <v>1697</v>
      </c>
      <c r="M183" s="3"/>
      <c r="N183" s="3" t="str">
        <f t="shared" si="35"/>
        <v>D D S Motors - Gonda</v>
      </c>
      <c r="O183" s="3" t="str">
        <f t="shared" si="36"/>
        <v>1n7-iUzN79cdRZqVwntVYXRPOJ2BUYBkTQu6jF4vKAdE</v>
      </c>
      <c r="P183" s="3" t="s">
        <v>64</v>
      </c>
      <c r="Q183" s="8" t="s">
        <v>65</v>
      </c>
      <c r="R183" s="3" t="s">
        <v>1688</v>
      </c>
      <c r="S183" s="3" t="s">
        <v>1688</v>
      </c>
      <c r="T183" s="8" t="s">
        <v>83</v>
      </c>
      <c r="U183" s="8"/>
      <c r="V183" s="8"/>
      <c r="W183" s="8"/>
      <c r="X183" s="8"/>
      <c r="Y183" s="8"/>
      <c r="Z183" s="8"/>
      <c r="AA183" s="8"/>
      <c r="AB183" s="8"/>
      <c r="AC183" s="8"/>
      <c r="AD183" s="8"/>
      <c r="AE183" s="8"/>
      <c r="AF183" s="8"/>
      <c r="AG183" s="3"/>
      <c r="AH183" s="8"/>
      <c r="AI183" s="8"/>
      <c r="AJ183" s="8"/>
      <c r="AK183" s="8"/>
      <c r="AL183" s="8"/>
      <c r="AM183" s="8"/>
      <c r="AN183" s="8"/>
      <c r="AO183" s="8"/>
      <c r="AP183" s="8"/>
      <c r="AQ183" s="8"/>
      <c r="AR183" s="8"/>
      <c r="AS183" s="8"/>
      <c r="AT183" s="9" t="s">
        <v>1698</v>
      </c>
      <c r="AU183" s="8" t="s">
        <v>69</v>
      </c>
      <c r="AV183" s="8"/>
      <c r="AW183" s="8"/>
      <c r="AX183" s="8"/>
      <c r="AY183" s="8"/>
      <c r="AZ183" s="8" t="s">
        <v>86</v>
      </c>
      <c r="BA183" s="8" t="s">
        <v>86</v>
      </c>
      <c r="BB183" s="8" t="s">
        <v>86</v>
      </c>
      <c r="BC183" s="8">
        <v>0.0</v>
      </c>
    </row>
    <row r="184">
      <c r="A184" s="3" t="s">
        <v>1699</v>
      </c>
      <c r="B184" s="3" t="s">
        <v>1700</v>
      </c>
      <c r="C184" s="3" t="s">
        <v>1701</v>
      </c>
      <c r="D184" s="3" t="s">
        <v>1700</v>
      </c>
      <c r="E184" s="3">
        <v>100000.0</v>
      </c>
      <c r="F184" s="3" t="s">
        <v>58</v>
      </c>
      <c r="G184" s="3" t="s">
        <v>1702</v>
      </c>
      <c r="H184" s="5" t="s">
        <v>1703</v>
      </c>
      <c r="I184" s="5" t="s">
        <v>1704</v>
      </c>
      <c r="J184" s="3" t="s">
        <v>1705</v>
      </c>
      <c r="K184" s="3">
        <v>9.415146956E9</v>
      </c>
      <c r="L184" s="6" t="s">
        <v>1706</v>
      </c>
      <c r="M184" s="3"/>
      <c r="N184" s="3" t="str">
        <f t="shared" si="35"/>
        <v>Asha Motor - Kannauj</v>
      </c>
      <c r="O184" s="3" t="str">
        <f t="shared" si="36"/>
        <v>1hlnCiW64Y7uZNVOj2ewyfTULbWj1dUaXX2rUREx8W8o</v>
      </c>
      <c r="P184" s="3" t="s">
        <v>64</v>
      </c>
      <c r="Q184" s="8" t="s">
        <v>65</v>
      </c>
      <c r="R184" s="3" t="s">
        <v>1707</v>
      </c>
      <c r="S184" s="3" t="s">
        <v>1707</v>
      </c>
      <c r="T184" s="8" t="s">
        <v>83</v>
      </c>
      <c r="U184" s="8"/>
      <c r="V184" s="8"/>
      <c r="W184" s="8"/>
      <c r="X184" s="8"/>
      <c r="Y184" s="8"/>
      <c r="Z184" s="8"/>
      <c r="AA184" s="8"/>
      <c r="AB184" s="8"/>
      <c r="AC184" s="8"/>
      <c r="AD184" s="8"/>
      <c r="AE184" s="8"/>
      <c r="AF184" s="8"/>
      <c r="AG184" s="3"/>
      <c r="AH184" s="8"/>
      <c r="AI184" s="8"/>
      <c r="AJ184" s="8"/>
      <c r="AK184" s="8"/>
      <c r="AL184" s="8"/>
      <c r="AM184" s="8"/>
      <c r="AN184" s="8"/>
      <c r="AO184" s="8"/>
      <c r="AP184" s="8"/>
      <c r="AQ184" s="8"/>
      <c r="AR184" s="8"/>
      <c r="AS184" s="8"/>
      <c r="AT184" s="9" t="s">
        <v>1708</v>
      </c>
      <c r="AU184" s="8" t="s">
        <v>69</v>
      </c>
      <c r="AV184" s="8"/>
      <c r="AW184" s="8"/>
      <c r="AX184" s="8"/>
      <c r="AY184" s="8"/>
      <c r="AZ184" s="8" t="s">
        <v>72</v>
      </c>
      <c r="BA184" s="8" t="s">
        <v>86</v>
      </c>
      <c r="BB184" s="8" t="s">
        <v>86</v>
      </c>
      <c r="BC184" s="8">
        <v>0.0</v>
      </c>
    </row>
    <row r="185">
      <c r="A185" s="3" t="s">
        <v>1709</v>
      </c>
      <c r="B185" s="3" t="s">
        <v>1710</v>
      </c>
      <c r="C185" s="3" t="s">
        <v>1711</v>
      </c>
      <c r="D185" s="3" t="s">
        <v>1710</v>
      </c>
      <c r="E185" s="3">
        <v>100000.0</v>
      </c>
      <c r="F185" s="3" t="s">
        <v>58</v>
      </c>
      <c r="G185" s="3" t="s">
        <v>1712</v>
      </c>
      <c r="H185" s="5" t="s">
        <v>1713</v>
      </c>
      <c r="I185" s="5" t="s">
        <v>1714</v>
      </c>
      <c r="J185" s="3" t="s">
        <v>1715</v>
      </c>
      <c r="K185" s="3">
        <v>9.473432666E9</v>
      </c>
      <c r="L185" s="16">
        <v>44293.42986111111</v>
      </c>
      <c r="M185" s="3"/>
      <c r="N185" s="3" t="str">
        <f>(B173)</f>
        <v>Modern Auto Agency - Bettiah</v>
      </c>
      <c r="O185" s="3" t="str">
        <f>(A173)</f>
        <v>1_UtGSoyOsljQXvmry7gfXGYwjwEjQbghQQGZebnq45M</v>
      </c>
      <c r="P185" s="3" t="s">
        <v>142</v>
      </c>
      <c r="Q185" s="8" t="s">
        <v>65</v>
      </c>
      <c r="R185" s="3" t="s">
        <v>1716</v>
      </c>
      <c r="S185" s="3" t="s">
        <v>1716</v>
      </c>
      <c r="T185" s="8" t="s">
        <v>1308</v>
      </c>
      <c r="U185" s="8"/>
      <c r="V185" s="8"/>
      <c r="W185" s="8"/>
      <c r="X185" s="8"/>
      <c r="Y185" s="8"/>
      <c r="Z185" s="8"/>
      <c r="AA185" s="8"/>
      <c r="AB185" s="8"/>
      <c r="AC185" s="8"/>
      <c r="AD185" s="8"/>
      <c r="AE185" s="8"/>
      <c r="AF185" s="8"/>
      <c r="AG185" s="3"/>
      <c r="AH185" s="8"/>
      <c r="AI185" s="8"/>
      <c r="AJ185" s="8"/>
      <c r="AK185" s="8"/>
      <c r="AL185" s="8"/>
      <c r="AM185" s="8"/>
      <c r="AN185" s="8"/>
      <c r="AO185" s="8"/>
      <c r="AP185" s="8"/>
      <c r="AQ185" s="8"/>
      <c r="AR185" s="8"/>
      <c r="AS185" s="8"/>
      <c r="AT185" s="8"/>
      <c r="AU185" s="8" t="s">
        <v>85</v>
      </c>
      <c r="AV185" s="8"/>
      <c r="AW185" s="8"/>
      <c r="AX185" s="8"/>
      <c r="AY185" s="8"/>
      <c r="AZ185" s="8" t="s">
        <v>72</v>
      </c>
      <c r="BA185" s="8" t="s">
        <v>86</v>
      </c>
      <c r="BB185" s="8" t="s">
        <v>86</v>
      </c>
      <c r="BC185" s="8">
        <v>0.0</v>
      </c>
    </row>
    <row r="186">
      <c r="A186" s="3" t="s">
        <v>1717</v>
      </c>
      <c r="B186" s="3" t="s">
        <v>1718</v>
      </c>
      <c r="C186" s="3" t="s">
        <v>1719</v>
      </c>
      <c r="D186" s="3" t="s">
        <v>1718</v>
      </c>
      <c r="E186" s="3">
        <v>100000.0</v>
      </c>
      <c r="F186" s="3" t="s">
        <v>58</v>
      </c>
      <c r="G186" s="3" t="s">
        <v>1720</v>
      </c>
      <c r="H186" s="5" t="s">
        <v>1721</v>
      </c>
      <c r="I186" s="5" t="s">
        <v>1722</v>
      </c>
      <c r="J186" s="3" t="s">
        <v>1723</v>
      </c>
      <c r="K186" s="3">
        <v>9.934871111E9</v>
      </c>
      <c r="L186" s="16">
        <v>44293.54375</v>
      </c>
      <c r="M186" s="3"/>
      <c r="N186" s="3" t="str">
        <f>(B173)</f>
        <v>Modern Auto Agency - Bettiah</v>
      </c>
      <c r="O186" s="3" t="str">
        <f>(A173)</f>
        <v>1_UtGSoyOsljQXvmry7gfXGYwjwEjQbghQQGZebnq45M</v>
      </c>
      <c r="P186" s="3" t="s">
        <v>142</v>
      </c>
      <c r="Q186" s="8" t="s">
        <v>65</v>
      </c>
      <c r="R186" s="3" t="s">
        <v>1724</v>
      </c>
      <c r="S186" s="3" t="s">
        <v>1724</v>
      </c>
      <c r="T186" s="8" t="s">
        <v>1308</v>
      </c>
      <c r="U186" s="8"/>
      <c r="V186" s="8"/>
      <c r="W186" s="8"/>
      <c r="X186" s="8"/>
      <c r="Y186" s="8"/>
      <c r="Z186" s="8"/>
      <c r="AA186" s="8"/>
      <c r="AB186" s="8"/>
      <c r="AC186" s="8"/>
      <c r="AD186" s="8"/>
      <c r="AE186" s="8"/>
      <c r="AF186" s="8"/>
      <c r="AG186" s="3"/>
      <c r="AH186" s="8"/>
      <c r="AI186" s="8"/>
      <c r="AJ186" s="8"/>
      <c r="AK186" s="8"/>
      <c r="AL186" s="8"/>
      <c r="AM186" s="8"/>
      <c r="AN186" s="8"/>
      <c r="AO186" s="8"/>
      <c r="AP186" s="8"/>
      <c r="AQ186" s="8"/>
      <c r="AR186" s="8"/>
      <c r="AS186" s="8"/>
      <c r="AT186" s="8"/>
      <c r="AU186" s="8" t="s">
        <v>85</v>
      </c>
      <c r="AV186" s="8"/>
      <c r="AW186" s="8"/>
      <c r="AX186" s="8"/>
      <c r="AY186" s="8"/>
      <c r="AZ186" s="8" t="s">
        <v>72</v>
      </c>
      <c r="BA186" s="8" t="s">
        <v>86</v>
      </c>
      <c r="BB186" s="8" t="s">
        <v>86</v>
      </c>
      <c r="BC186" s="8">
        <v>0.0</v>
      </c>
    </row>
    <row r="187">
      <c r="A187" s="3" t="s">
        <v>1725</v>
      </c>
      <c r="B187" s="3" t="s">
        <v>1726</v>
      </c>
      <c r="C187" s="3" t="s">
        <v>1727</v>
      </c>
      <c r="D187" s="3" t="s">
        <v>1726</v>
      </c>
      <c r="E187" s="3">
        <v>100000.0</v>
      </c>
      <c r="F187" s="3" t="s">
        <v>58</v>
      </c>
      <c r="G187" s="3" t="s">
        <v>1728</v>
      </c>
      <c r="H187" s="5" t="s">
        <v>1729</v>
      </c>
      <c r="I187" s="5" t="s">
        <v>1730</v>
      </c>
      <c r="J187" s="3" t="s">
        <v>1731</v>
      </c>
      <c r="K187" s="3">
        <v>9.631533345E9</v>
      </c>
      <c r="L187" s="16">
        <v>44293.54583333333</v>
      </c>
      <c r="M187" s="3"/>
      <c r="N187" s="3" t="str">
        <f>(B173)</f>
        <v>Modern Auto Agency - Bettiah</v>
      </c>
      <c r="O187" s="3" t="str">
        <f>(A173)</f>
        <v>1_UtGSoyOsljQXvmry7gfXGYwjwEjQbghQQGZebnq45M</v>
      </c>
      <c r="P187" s="3" t="s">
        <v>142</v>
      </c>
      <c r="Q187" s="8" t="s">
        <v>65</v>
      </c>
      <c r="R187" s="3" t="s">
        <v>1732</v>
      </c>
      <c r="S187" s="3" t="s">
        <v>1732</v>
      </c>
      <c r="T187" s="8" t="s">
        <v>1308</v>
      </c>
      <c r="U187" s="8"/>
      <c r="V187" s="8"/>
      <c r="W187" s="8"/>
      <c r="X187" s="8"/>
      <c r="Y187" s="8"/>
      <c r="Z187" s="8"/>
      <c r="AA187" s="8"/>
      <c r="AB187" s="8"/>
      <c r="AC187" s="8"/>
      <c r="AD187" s="8"/>
      <c r="AE187" s="8"/>
      <c r="AF187" s="8"/>
      <c r="AG187" s="3"/>
      <c r="AH187" s="8"/>
      <c r="AI187" s="8"/>
      <c r="AJ187" s="8"/>
      <c r="AK187" s="8"/>
      <c r="AL187" s="8"/>
      <c r="AM187" s="8"/>
      <c r="AN187" s="8"/>
      <c r="AO187" s="8"/>
      <c r="AP187" s="8"/>
      <c r="AQ187" s="8"/>
      <c r="AR187" s="8"/>
      <c r="AS187" s="8"/>
      <c r="AT187" s="8"/>
      <c r="AU187" s="8" t="s">
        <v>85</v>
      </c>
      <c r="AV187" s="8"/>
      <c r="AW187" s="8"/>
      <c r="AX187" s="8"/>
      <c r="AY187" s="8"/>
      <c r="AZ187" s="8" t="s">
        <v>72</v>
      </c>
      <c r="BA187" s="8" t="s">
        <v>86</v>
      </c>
      <c r="BB187" s="8" t="s">
        <v>86</v>
      </c>
      <c r="BC187" s="8">
        <v>0.0</v>
      </c>
    </row>
    <row r="188">
      <c r="A188" s="3" t="s">
        <v>1733</v>
      </c>
      <c r="B188" s="3" t="s">
        <v>1734</v>
      </c>
      <c r="C188" s="3" t="s">
        <v>1735</v>
      </c>
      <c r="D188" s="3" t="s">
        <v>1734</v>
      </c>
      <c r="E188" s="3">
        <v>100000.0</v>
      </c>
      <c r="F188" s="3" t="s">
        <v>58</v>
      </c>
      <c r="G188" s="3" t="s">
        <v>1736</v>
      </c>
      <c r="H188" s="5" t="s">
        <v>1737</v>
      </c>
      <c r="I188" s="5" t="s">
        <v>1738</v>
      </c>
      <c r="J188" s="3" t="s">
        <v>1739</v>
      </c>
      <c r="K188" s="3">
        <v>8.210920121E9</v>
      </c>
      <c r="L188" s="16">
        <v>44293.54722222222</v>
      </c>
      <c r="M188" s="3"/>
      <c r="N188" s="3" t="str">
        <f>(B173)</f>
        <v>Modern Auto Agency - Bettiah</v>
      </c>
      <c r="O188" s="3" t="str">
        <f>(A173)</f>
        <v>1_UtGSoyOsljQXvmry7gfXGYwjwEjQbghQQGZebnq45M</v>
      </c>
      <c r="P188" s="3" t="s">
        <v>142</v>
      </c>
      <c r="Q188" s="8" t="s">
        <v>65</v>
      </c>
      <c r="R188" s="3" t="s">
        <v>1740</v>
      </c>
      <c r="S188" s="3" t="s">
        <v>1740</v>
      </c>
      <c r="T188" s="8" t="s">
        <v>1308</v>
      </c>
      <c r="U188" s="8"/>
      <c r="V188" s="8"/>
      <c r="W188" s="8"/>
      <c r="X188" s="8"/>
      <c r="Y188" s="8"/>
      <c r="Z188" s="8"/>
      <c r="AA188" s="8"/>
      <c r="AB188" s="8"/>
      <c r="AC188" s="8"/>
      <c r="AD188" s="8"/>
      <c r="AE188" s="8"/>
      <c r="AF188" s="8"/>
      <c r="AG188" s="3"/>
      <c r="AH188" s="8"/>
      <c r="AI188" s="8"/>
      <c r="AJ188" s="8"/>
      <c r="AK188" s="8"/>
      <c r="AL188" s="8"/>
      <c r="AM188" s="8"/>
      <c r="AN188" s="8"/>
      <c r="AO188" s="8"/>
      <c r="AP188" s="8"/>
      <c r="AQ188" s="8"/>
      <c r="AR188" s="8"/>
      <c r="AS188" s="8"/>
      <c r="AT188" s="8"/>
      <c r="AU188" s="8" t="s">
        <v>85</v>
      </c>
      <c r="AV188" s="8"/>
      <c r="AW188" s="8"/>
      <c r="AX188" s="8"/>
      <c r="AY188" s="8"/>
      <c r="AZ188" s="8" t="s">
        <v>72</v>
      </c>
      <c r="BA188" s="8" t="s">
        <v>86</v>
      </c>
      <c r="BB188" s="8" t="s">
        <v>86</v>
      </c>
      <c r="BC188" s="8">
        <v>0.0</v>
      </c>
    </row>
    <row r="189">
      <c r="A189" s="3" t="s">
        <v>1741</v>
      </c>
      <c r="B189" s="3" t="s">
        <v>1742</v>
      </c>
      <c r="C189" s="3" t="s">
        <v>1743</v>
      </c>
      <c r="D189" s="3" t="s">
        <v>1742</v>
      </c>
      <c r="E189" s="3">
        <v>100000.0</v>
      </c>
      <c r="F189" s="3" t="s">
        <v>58</v>
      </c>
      <c r="G189" s="3" t="s">
        <v>1744</v>
      </c>
      <c r="H189" s="5" t="s">
        <v>1745</v>
      </c>
      <c r="I189" s="5" t="s">
        <v>1746</v>
      </c>
      <c r="J189" s="3" t="s">
        <v>1747</v>
      </c>
      <c r="K189" s="3">
        <v>9.939688936E9</v>
      </c>
      <c r="L189" s="16">
        <v>44293.54791666667</v>
      </c>
      <c r="M189" s="3"/>
      <c r="N189" s="3" t="str">
        <f>(B173)</f>
        <v>Modern Auto Agency - Bettiah</v>
      </c>
      <c r="O189" s="3" t="str">
        <f>(A173)</f>
        <v>1_UtGSoyOsljQXvmry7gfXGYwjwEjQbghQQGZebnq45M</v>
      </c>
      <c r="P189" s="3" t="s">
        <v>142</v>
      </c>
      <c r="Q189" s="8" t="s">
        <v>65</v>
      </c>
      <c r="R189" s="3" t="s">
        <v>1748</v>
      </c>
      <c r="S189" s="3" t="s">
        <v>1748</v>
      </c>
      <c r="T189" s="8" t="s">
        <v>1308</v>
      </c>
      <c r="U189" s="8"/>
      <c r="V189" s="8"/>
      <c r="W189" s="8"/>
      <c r="X189" s="8"/>
      <c r="Y189" s="8"/>
      <c r="Z189" s="8"/>
      <c r="AA189" s="8"/>
      <c r="AB189" s="8"/>
      <c r="AC189" s="8"/>
      <c r="AD189" s="8"/>
      <c r="AE189" s="8"/>
      <c r="AF189" s="8"/>
      <c r="AG189" s="3"/>
      <c r="AH189" s="8"/>
      <c r="AI189" s="8"/>
      <c r="AJ189" s="8"/>
      <c r="AK189" s="8"/>
      <c r="AL189" s="8"/>
      <c r="AM189" s="8"/>
      <c r="AN189" s="8"/>
      <c r="AO189" s="8"/>
      <c r="AP189" s="8"/>
      <c r="AQ189" s="8"/>
      <c r="AR189" s="8"/>
      <c r="AS189" s="8"/>
      <c r="AT189" s="8"/>
      <c r="AU189" s="8" t="s">
        <v>85</v>
      </c>
      <c r="AV189" s="8"/>
      <c r="AW189" s="8"/>
      <c r="AX189" s="8"/>
      <c r="AY189" s="8"/>
      <c r="AZ189" s="8" t="s">
        <v>72</v>
      </c>
      <c r="BA189" s="8" t="s">
        <v>86</v>
      </c>
      <c r="BB189" s="8" t="s">
        <v>86</v>
      </c>
      <c r="BC189" s="8">
        <v>0.0</v>
      </c>
    </row>
    <row r="190">
      <c r="A190" s="3" t="s">
        <v>1749</v>
      </c>
      <c r="B190" s="3" t="s">
        <v>1750</v>
      </c>
      <c r="C190" s="3" t="s">
        <v>1751</v>
      </c>
      <c r="D190" s="3" t="s">
        <v>1750</v>
      </c>
      <c r="E190" s="3">
        <v>100000.0</v>
      </c>
      <c r="F190" s="3" t="s">
        <v>58</v>
      </c>
      <c r="G190" s="3" t="s">
        <v>1752</v>
      </c>
      <c r="H190" s="5" t="s">
        <v>1753</v>
      </c>
      <c r="I190" s="5" t="s">
        <v>1754</v>
      </c>
      <c r="J190" s="3" t="s">
        <v>1755</v>
      </c>
      <c r="K190" s="3">
        <v>9.304637077E9</v>
      </c>
      <c r="L190" s="16">
        <v>44293.555555555555</v>
      </c>
      <c r="M190" s="3"/>
      <c r="N190" s="3" t="str">
        <f>(B173)</f>
        <v>Modern Auto Agency - Bettiah</v>
      </c>
      <c r="O190" s="3" t="str">
        <f>(A173)</f>
        <v>1_UtGSoyOsljQXvmry7gfXGYwjwEjQbghQQGZebnq45M</v>
      </c>
      <c r="P190" s="3" t="s">
        <v>142</v>
      </c>
      <c r="Q190" s="8" t="s">
        <v>65</v>
      </c>
      <c r="R190" s="3" t="s">
        <v>1756</v>
      </c>
      <c r="S190" s="3" t="s">
        <v>1756</v>
      </c>
      <c r="T190" s="8" t="s">
        <v>1308</v>
      </c>
      <c r="U190" s="8"/>
      <c r="V190" s="8"/>
      <c r="W190" s="8"/>
      <c r="X190" s="8"/>
      <c r="Y190" s="8"/>
      <c r="Z190" s="8"/>
      <c r="AA190" s="8"/>
      <c r="AB190" s="8"/>
      <c r="AC190" s="8"/>
      <c r="AD190" s="8"/>
      <c r="AE190" s="8"/>
      <c r="AF190" s="8"/>
      <c r="AG190" s="3"/>
      <c r="AH190" s="8"/>
      <c r="AI190" s="8"/>
      <c r="AJ190" s="8"/>
      <c r="AK190" s="8"/>
      <c r="AL190" s="8"/>
      <c r="AM190" s="8"/>
      <c r="AN190" s="8"/>
      <c r="AO190" s="8"/>
      <c r="AP190" s="8"/>
      <c r="AQ190" s="8"/>
      <c r="AR190" s="8"/>
      <c r="AS190" s="8"/>
      <c r="AT190" s="8"/>
      <c r="AU190" s="8" t="s">
        <v>85</v>
      </c>
      <c r="AV190" s="8"/>
      <c r="AW190" s="8"/>
      <c r="AX190" s="8"/>
      <c r="AY190" s="8"/>
      <c r="AZ190" s="8" t="s">
        <v>72</v>
      </c>
      <c r="BA190" s="8" t="s">
        <v>86</v>
      </c>
      <c r="BB190" s="8" t="s">
        <v>86</v>
      </c>
      <c r="BC190" s="8">
        <v>0.0</v>
      </c>
    </row>
    <row r="191">
      <c r="A191" s="3" t="s">
        <v>1757</v>
      </c>
      <c r="B191" s="3" t="s">
        <v>1758</v>
      </c>
      <c r="C191" s="3" t="s">
        <v>1759</v>
      </c>
      <c r="D191" s="3" t="s">
        <v>1758</v>
      </c>
      <c r="E191" s="3">
        <v>100000.0</v>
      </c>
      <c r="F191" s="3" t="s">
        <v>58</v>
      </c>
      <c r="G191" s="3" t="s">
        <v>1760</v>
      </c>
      <c r="H191" s="5" t="s">
        <v>1761</v>
      </c>
      <c r="I191" s="5" t="s">
        <v>1762</v>
      </c>
      <c r="J191" s="3" t="s">
        <v>1763</v>
      </c>
      <c r="K191" s="3">
        <v>8.340775583E9</v>
      </c>
      <c r="L191" s="16">
        <v>44293.55625</v>
      </c>
      <c r="M191" s="3"/>
      <c r="N191" s="3" t="str">
        <f>(B173)</f>
        <v>Modern Auto Agency - Bettiah</v>
      </c>
      <c r="O191" s="3" t="str">
        <f>(A173)</f>
        <v>1_UtGSoyOsljQXvmry7gfXGYwjwEjQbghQQGZebnq45M</v>
      </c>
      <c r="P191" s="3" t="s">
        <v>142</v>
      </c>
      <c r="Q191" s="8" t="s">
        <v>65</v>
      </c>
      <c r="R191" s="3" t="s">
        <v>1764</v>
      </c>
      <c r="S191" s="3" t="s">
        <v>1764</v>
      </c>
      <c r="T191" s="8" t="s">
        <v>1308</v>
      </c>
      <c r="U191" s="8"/>
      <c r="V191" s="8"/>
      <c r="W191" s="8"/>
      <c r="X191" s="8"/>
      <c r="Y191" s="8"/>
      <c r="Z191" s="8"/>
      <c r="AA191" s="8"/>
      <c r="AB191" s="8"/>
      <c r="AC191" s="8"/>
      <c r="AD191" s="8"/>
      <c r="AE191" s="8"/>
      <c r="AF191" s="8"/>
      <c r="AG191" s="3"/>
      <c r="AH191" s="8"/>
      <c r="AI191" s="8"/>
      <c r="AJ191" s="8"/>
      <c r="AK191" s="8"/>
      <c r="AL191" s="8"/>
      <c r="AM191" s="8"/>
      <c r="AN191" s="8"/>
      <c r="AO191" s="8"/>
      <c r="AP191" s="8"/>
      <c r="AQ191" s="8"/>
      <c r="AR191" s="8"/>
      <c r="AS191" s="8"/>
      <c r="AT191" s="8"/>
      <c r="AU191" s="8" t="s">
        <v>85</v>
      </c>
      <c r="AV191" s="8"/>
      <c r="AW191" s="8"/>
      <c r="AX191" s="8"/>
      <c r="AY191" s="8"/>
      <c r="AZ191" s="8" t="s">
        <v>72</v>
      </c>
      <c r="BA191" s="8" t="s">
        <v>86</v>
      </c>
      <c r="BB191" s="8" t="s">
        <v>86</v>
      </c>
      <c r="BC191" s="8">
        <v>0.0</v>
      </c>
    </row>
    <row r="192">
      <c r="A192" s="3" t="s">
        <v>1765</v>
      </c>
      <c r="B192" s="3" t="s">
        <v>1766</v>
      </c>
      <c r="C192" s="3" t="s">
        <v>1767</v>
      </c>
      <c r="D192" s="3" t="s">
        <v>1766</v>
      </c>
      <c r="E192" s="3">
        <v>100000.0</v>
      </c>
      <c r="F192" s="3" t="s">
        <v>58</v>
      </c>
      <c r="G192" s="3" t="s">
        <v>1768</v>
      </c>
      <c r="H192" s="5" t="s">
        <v>1769</v>
      </c>
      <c r="I192" s="5" t="s">
        <v>1770</v>
      </c>
      <c r="J192" s="3" t="s">
        <v>1771</v>
      </c>
      <c r="K192" s="3">
        <v>7.488149673E9</v>
      </c>
      <c r="L192" s="16">
        <v>44293.55763888889</v>
      </c>
      <c r="M192" s="3"/>
      <c r="N192" s="3" t="str">
        <f>(B173)</f>
        <v>Modern Auto Agency - Bettiah</v>
      </c>
      <c r="O192" s="3" t="str">
        <f>(A173)</f>
        <v>1_UtGSoyOsljQXvmry7gfXGYwjwEjQbghQQGZebnq45M</v>
      </c>
      <c r="P192" s="3" t="s">
        <v>142</v>
      </c>
      <c r="Q192" s="8" t="s">
        <v>65</v>
      </c>
      <c r="R192" s="3" t="s">
        <v>1772</v>
      </c>
      <c r="S192" s="3" t="s">
        <v>1772</v>
      </c>
      <c r="T192" s="8" t="s">
        <v>1308</v>
      </c>
      <c r="U192" s="8"/>
      <c r="V192" s="8"/>
      <c r="W192" s="8"/>
      <c r="X192" s="8"/>
      <c r="Y192" s="8"/>
      <c r="Z192" s="8"/>
      <c r="AA192" s="8"/>
      <c r="AB192" s="8"/>
      <c r="AC192" s="8"/>
      <c r="AD192" s="8"/>
      <c r="AE192" s="8"/>
      <c r="AF192" s="8"/>
      <c r="AG192" s="3"/>
      <c r="AH192" s="8"/>
      <c r="AI192" s="8"/>
      <c r="AJ192" s="8"/>
      <c r="AK192" s="8"/>
      <c r="AL192" s="8"/>
      <c r="AM192" s="8"/>
      <c r="AN192" s="8"/>
      <c r="AO192" s="8"/>
      <c r="AP192" s="8"/>
      <c r="AQ192" s="8"/>
      <c r="AR192" s="8"/>
      <c r="AS192" s="8"/>
      <c r="AT192" s="8"/>
      <c r="AU192" s="8" t="s">
        <v>85</v>
      </c>
      <c r="AV192" s="8"/>
      <c r="AW192" s="8"/>
      <c r="AX192" s="8"/>
      <c r="AY192" s="8"/>
      <c r="AZ192" s="8" t="s">
        <v>72</v>
      </c>
      <c r="BA192" s="8" t="s">
        <v>86</v>
      </c>
      <c r="BB192" s="8" t="s">
        <v>86</v>
      </c>
      <c r="BC192" s="8">
        <v>0.0</v>
      </c>
    </row>
    <row r="193">
      <c r="A193" s="3" t="s">
        <v>1773</v>
      </c>
      <c r="B193" s="3" t="s">
        <v>1774</v>
      </c>
      <c r="C193" s="3" t="s">
        <v>1775</v>
      </c>
      <c r="D193" s="3" t="s">
        <v>1774</v>
      </c>
      <c r="E193" s="3">
        <v>100000.0</v>
      </c>
      <c r="F193" s="3" t="s">
        <v>58</v>
      </c>
      <c r="G193" s="3" t="s">
        <v>1776</v>
      </c>
      <c r="H193" s="5" t="s">
        <v>1777</v>
      </c>
      <c r="I193" s="5" t="s">
        <v>1778</v>
      </c>
      <c r="J193" s="3" t="s">
        <v>1779</v>
      </c>
      <c r="K193" s="3">
        <v>9.097901011E9</v>
      </c>
      <c r="L193" s="16">
        <v>44293.561111111114</v>
      </c>
      <c r="M193" s="3"/>
      <c r="N193" s="3" t="str">
        <f>(B173)</f>
        <v>Modern Auto Agency - Bettiah</v>
      </c>
      <c r="O193" s="3" t="str">
        <f>(A173)</f>
        <v>1_UtGSoyOsljQXvmry7gfXGYwjwEjQbghQQGZebnq45M</v>
      </c>
      <c r="P193" s="3" t="s">
        <v>142</v>
      </c>
      <c r="Q193" s="8" t="s">
        <v>65</v>
      </c>
      <c r="R193" s="3" t="s">
        <v>1780</v>
      </c>
      <c r="S193" s="3" t="s">
        <v>1780</v>
      </c>
      <c r="T193" s="8" t="s">
        <v>1308</v>
      </c>
      <c r="U193" s="8"/>
      <c r="V193" s="8"/>
      <c r="W193" s="8"/>
      <c r="X193" s="8"/>
      <c r="Y193" s="8"/>
      <c r="Z193" s="8"/>
      <c r="AA193" s="8"/>
      <c r="AB193" s="8"/>
      <c r="AC193" s="8"/>
      <c r="AD193" s="8"/>
      <c r="AE193" s="8"/>
      <c r="AF193" s="8"/>
      <c r="AG193" s="3"/>
      <c r="AH193" s="8"/>
      <c r="AI193" s="8"/>
      <c r="AJ193" s="8"/>
      <c r="AK193" s="8"/>
      <c r="AL193" s="8"/>
      <c r="AM193" s="8"/>
      <c r="AN193" s="8"/>
      <c r="AO193" s="8"/>
      <c r="AP193" s="8"/>
      <c r="AQ193" s="8"/>
      <c r="AR193" s="8"/>
      <c r="AS193" s="8"/>
      <c r="AT193" s="8"/>
      <c r="AU193" s="8" t="s">
        <v>85</v>
      </c>
      <c r="AV193" s="8"/>
      <c r="AW193" s="8"/>
      <c r="AX193" s="8"/>
      <c r="AY193" s="8"/>
      <c r="AZ193" s="8" t="s">
        <v>72</v>
      </c>
      <c r="BA193" s="8" t="s">
        <v>86</v>
      </c>
      <c r="BB193" s="8" t="s">
        <v>86</v>
      </c>
      <c r="BC193" s="8">
        <v>0.0</v>
      </c>
    </row>
    <row r="194">
      <c r="A194" s="3" t="s">
        <v>1781</v>
      </c>
      <c r="B194" s="3" t="s">
        <v>1782</v>
      </c>
      <c r="C194" s="3" t="s">
        <v>1783</v>
      </c>
      <c r="D194" s="3" t="s">
        <v>1782</v>
      </c>
      <c r="E194" s="3">
        <v>100000.0</v>
      </c>
      <c r="F194" s="3" t="s">
        <v>58</v>
      </c>
      <c r="G194" s="3" t="s">
        <v>1784</v>
      </c>
      <c r="H194" s="5" t="s">
        <v>1785</v>
      </c>
      <c r="I194" s="5" t="s">
        <v>1786</v>
      </c>
      <c r="J194" s="3" t="s">
        <v>1787</v>
      </c>
      <c r="K194" s="3">
        <v>8.789845189E9</v>
      </c>
      <c r="L194" s="16">
        <v>44293.56180555555</v>
      </c>
      <c r="M194" s="3"/>
      <c r="N194" s="3" t="str">
        <f>(B173)</f>
        <v>Modern Auto Agency - Bettiah</v>
      </c>
      <c r="O194" s="3" t="str">
        <f>(A173)</f>
        <v>1_UtGSoyOsljQXvmry7gfXGYwjwEjQbghQQGZebnq45M</v>
      </c>
      <c r="P194" s="3" t="s">
        <v>142</v>
      </c>
      <c r="Q194" s="8" t="s">
        <v>65</v>
      </c>
      <c r="R194" s="3" t="s">
        <v>1788</v>
      </c>
      <c r="S194" s="3" t="s">
        <v>1788</v>
      </c>
      <c r="T194" s="8" t="s">
        <v>1308</v>
      </c>
      <c r="U194" s="8"/>
      <c r="V194" s="8"/>
      <c r="W194" s="8"/>
      <c r="X194" s="8"/>
      <c r="Y194" s="8"/>
      <c r="Z194" s="8"/>
      <c r="AA194" s="8"/>
      <c r="AB194" s="8"/>
      <c r="AC194" s="8"/>
      <c r="AD194" s="8"/>
      <c r="AE194" s="8"/>
      <c r="AF194" s="8"/>
      <c r="AG194" s="3"/>
      <c r="AH194" s="8"/>
      <c r="AI194" s="8"/>
      <c r="AJ194" s="8"/>
      <c r="AK194" s="8"/>
      <c r="AL194" s="8"/>
      <c r="AM194" s="8"/>
      <c r="AN194" s="8"/>
      <c r="AO194" s="8"/>
      <c r="AP194" s="8"/>
      <c r="AQ194" s="8"/>
      <c r="AR194" s="8"/>
      <c r="AS194" s="8"/>
      <c r="AT194" s="8"/>
      <c r="AU194" s="8" t="s">
        <v>85</v>
      </c>
      <c r="AV194" s="8"/>
      <c r="AW194" s="8"/>
      <c r="AX194" s="8"/>
      <c r="AY194" s="8"/>
      <c r="AZ194" s="8" t="s">
        <v>72</v>
      </c>
      <c r="BA194" s="8" t="s">
        <v>86</v>
      </c>
      <c r="BB194" s="8" t="s">
        <v>86</v>
      </c>
      <c r="BC194" s="8">
        <v>0.0</v>
      </c>
    </row>
    <row r="195">
      <c r="A195" s="3" t="s">
        <v>1789</v>
      </c>
      <c r="B195" s="3" t="s">
        <v>1790</v>
      </c>
      <c r="C195" s="3" t="s">
        <v>1791</v>
      </c>
      <c r="D195" s="3" t="s">
        <v>1790</v>
      </c>
      <c r="E195" s="3">
        <v>100000.0</v>
      </c>
      <c r="F195" s="3" t="s">
        <v>58</v>
      </c>
      <c r="G195" s="3" t="s">
        <v>1792</v>
      </c>
      <c r="H195" s="5" t="s">
        <v>1793</v>
      </c>
      <c r="I195" s="5" t="s">
        <v>1794</v>
      </c>
      <c r="J195" s="3" t="s">
        <v>1795</v>
      </c>
      <c r="K195" s="3">
        <v>6.201237013E9</v>
      </c>
      <c r="L195" s="16">
        <v>44293.56319444445</v>
      </c>
      <c r="M195" s="3"/>
      <c r="N195" s="3" t="str">
        <f>(B173)</f>
        <v>Modern Auto Agency - Bettiah</v>
      </c>
      <c r="O195" s="3" t="str">
        <f>(A173)</f>
        <v>1_UtGSoyOsljQXvmry7gfXGYwjwEjQbghQQGZebnq45M</v>
      </c>
      <c r="P195" s="3" t="s">
        <v>142</v>
      </c>
      <c r="Q195" s="8" t="s">
        <v>65</v>
      </c>
      <c r="R195" s="3" t="s">
        <v>1796</v>
      </c>
      <c r="S195" s="3" t="s">
        <v>1796</v>
      </c>
      <c r="T195" s="8" t="s">
        <v>1308</v>
      </c>
      <c r="U195" s="8"/>
      <c r="V195" s="8"/>
      <c r="W195" s="8"/>
      <c r="X195" s="8"/>
      <c r="Y195" s="8"/>
      <c r="Z195" s="8"/>
      <c r="AA195" s="8"/>
      <c r="AB195" s="8"/>
      <c r="AC195" s="8"/>
      <c r="AD195" s="8"/>
      <c r="AE195" s="8"/>
      <c r="AF195" s="8"/>
      <c r="AG195" s="3"/>
      <c r="AH195" s="8"/>
      <c r="AI195" s="8"/>
      <c r="AJ195" s="8"/>
      <c r="AK195" s="8"/>
      <c r="AL195" s="8"/>
      <c r="AM195" s="8"/>
      <c r="AN195" s="8"/>
      <c r="AO195" s="8"/>
      <c r="AP195" s="8"/>
      <c r="AQ195" s="8"/>
      <c r="AR195" s="8"/>
      <c r="AS195" s="8"/>
      <c r="AT195" s="8"/>
      <c r="AU195" s="8" t="s">
        <v>85</v>
      </c>
      <c r="AV195" s="8"/>
      <c r="AW195" s="8"/>
      <c r="AX195" s="8"/>
      <c r="AY195" s="8"/>
      <c r="AZ195" s="8" t="s">
        <v>72</v>
      </c>
      <c r="BA195" s="8" t="s">
        <v>86</v>
      </c>
      <c r="BB195" s="8" t="s">
        <v>86</v>
      </c>
      <c r="BC195" s="8">
        <v>0.0</v>
      </c>
    </row>
    <row r="196">
      <c r="A196" s="3" t="s">
        <v>1797</v>
      </c>
      <c r="B196" s="3" t="s">
        <v>1798</v>
      </c>
      <c r="C196" s="3" t="s">
        <v>1799</v>
      </c>
      <c r="D196" s="3" t="s">
        <v>1798</v>
      </c>
      <c r="E196" s="3">
        <v>100000.0</v>
      </c>
      <c r="F196" s="3" t="s">
        <v>58</v>
      </c>
      <c r="G196" s="3" t="s">
        <v>1800</v>
      </c>
      <c r="H196" s="5" t="s">
        <v>1801</v>
      </c>
      <c r="I196" s="5" t="s">
        <v>1802</v>
      </c>
      <c r="J196" s="3" t="s">
        <v>1803</v>
      </c>
      <c r="K196" s="3">
        <v>8.294512296E9</v>
      </c>
      <c r="L196" s="16">
        <v>44293.563888888886</v>
      </c>
      <c r="M196" s="3"/>
      <c r="N196" s="3" t="str">
        <f>(B173)</f>
        <v>Modern Auto Agency - Bettiah</v>
      </c>
      <c r="O196" s="3" t="str">
        <f>(A173)</f>
        <v>1_UtGSoyOsljQXvmry7gfXGYwjwEjQbghQQGZebnq45M</v>
      </c>
      <c r="P196" s="3" t="s">
        <v>142</v>
      </c>
      <c r="Q196" s="8" t="s">
        <v>65</v>
      </c>
      <c r="R196" s="3" t="s">
        <v>1804</v>
      </c>
      <c r="S196" s="3" t="s">
        <v>1804</v>
      </c>
      <c r="T196" s="8" t="s">
        <v>1308</v>
      </c>
      <c r="U196" s="8"/>
      <c r="V196" s="8"/>
      <c r="W196" s="8"/>
      <c r="X196" s="8"/>
      <c r="Y196" s="8"/>
      <c r="Z196" s="8"/>
      <c r="AA196" s="8"/>
      <c r="AB196" s="8"/>
      <c r="AC196" s="8"/>
      <c r="AD196" s="8"/>
      <c r="AE196" s="8"/>
      <c r="AF196" s="8"/>
      <c r="AG196" s="3"/>
      <c r="AH196" s="8"/>
      <c r="AI196" s="8"/>
      <c r="AJ196" s="8"/>
      <c r="AK196" s="8"/>
      <c r="AL196" s="8"/>
      <c r="AM196" s="8"/>
      <c r="AN196" s="8"/>
      <c r="AO196" s="8"/>
      <c r="AP196" s="8"/>
      <c r="AQ196" s="8"/>
      <c r="AR196" s="8"/>
      <c r="AS196" s="8"/>
      <c r="AT196" s="8"/>
      <c r="AU196" s="8" t="s">
        <v>85</v>
      </c>
      <c r="AV196" s="8"/>
      <c r="AW196" s="8"/>
      <c r="AX196" s="8"/>
      <c r="AY196" s="8"/>
      <c r="AZ196" s="8" t="s">
        <v>72</v>
      </c>
      <c r="BA196" s="8" t="s">
        <v>86</v>
      </c>
      <c r="BB196" s="8" t="s">
        <v>86</v>
      </c>
      <c r="BC196" s="8">
        <v>0.0</v>
      </c>
    </row>
    <row r="197">
      <c r="A197" s="3" t="s">
        <v>1805</v>
      </c>
      <c r="B197" s="3" t="s">
        <v>1806</v>
      </c>
      <c r="C197" s="3" t="s">
        <v>1807</v>
      </c>
      <c r="D197" s="3" t="s">
        <v>1806</v>
      </c>
      <c r="E197" s="3">
        <v>100000.0</v>
      </c>
      <c r="F197" s="3" t="s">
        <v>58</v>
      </c>
      <c r="G197" s="3" t="s">
        <v>1808</v>
      </c>
      <c r="H197" s="5" t="s">
        <v>1809</v>
      </c>
      <c r="I197" s="5" t="s">
        <v>1810</v>
      </c>
      <c r="J197" s="3" t="s">
        <v>1811</v>
      </c>
      <c r="K197" s="3">
        <v>9.709001111E9</v>
      </c>
      <c r="L197" s="16">
        <v>44323.77569444444</v>
      </c>
      <c r="M197" s="3"/>
      <c r="N197" s="3" t="str">
        <f t="shared" ref="N197:N198" si="37">B197</f>
        <v>Mayank Automobiles - Muzaffarpur</v>
      </c>
      <c r="O197" s="3" t="str">
        <f t="shared" ref="O197:O198" si="38">A197</f>
        <v>10TnasMBGApJv5zXBkEcyf7wGKAliCEb2pmIfKVexScs</v>
      </c>
      <c r="P197" s="3" t="s">
        <v>64</v>
      </c>
      <c r="Q197" s="8" t="s">
        <v>285</v>
      </c>
      <c r="R197" s="3" t="s">
        <v>1812</v>
      </c>
      <c r="S197" s="3" t="s">
        <v>1812</v>
      </c>
      <c r="T197" s="8" t="s">
        <v>1308</v>
      </c>
      <c r="U197" s="8"/>
      <c r="V197" s="8"/>
      <c r="W197" s="8"/>
      <c r="X197" s="8"/>
      <c r="Y197" s="8"/>
      <c r="Z197" s="8"/>
      <c r="AA197" s="8"/>
      <c r="AB197" s="8"/>
      <c r="AC197" s="8"/>
      <c r="AD197" s="8"/>
      <c r="AE197" s="8"/>
      <c r="AF197" s="8"/>
      <c r="AG197" s="3" t="s">
        <v>1813</v>
      </c>
      <c r="AH197" s="8"/>
      <c r="AI197" s="8"/>
      <c r="AJ197" s="8"/>
      <c r="AK197" s="8"/>
      <c r="AL197" s="8"/>
      <c r="AM197" s="8"/>
      <c r="AN197" s="8"/>
      <c r="AO197" s="8"/>
      <c r="AP197" s="8"/>
      <c r="AQ197" s="8"/>
      <c r="AR197" s="8"/>
      <c r="AS197" s="8"/>
      <c r="AT197" s="9" t="s">
        <v>1814</v>
      </c>
      <c r="AU197" s="8" t="s">
        <v>730</v>
      </c>
      <c r="AV197" s="8"/>
      <c r="AW197" s="8"/>
      <c r="AX197" s="8"/>
      <c r="AY197" s="8"/>
      <c r="AZ197" s="8" t="s">
        <v>86</v>
      </c>
      <c r="BA197" s="8" t="s">
        <v>86</v>
      </c>
      <c r="BB197" s="8" t="s">
        <v>86</v>
      </c>
      <c r="BC197" s="8">
        <v>0.0</v>
      </c>
    </row>
    <row r="198">
      <c r="A198" s="3" t="s">
        <v>1815</v>
      </c>
      <c r="B198" s="3" t="s">
        <v>1816</v>
      </c>
      <c r="C198" s="3" t="s">
        <v>1817</v>
      </c>
      <c r="D198" s="3" t="s">
        <v>1816</v>
      </c>
      <c r="E198" s="3">
        <v>100000.0</v>
      </c>
      <c r="F198" s="3" t="s">
        <v>58</v>
      </c>
      <c r="G198" s="3" t="s">
        <v>1818</v>
      </c>
      <c r="H198" s="5" t="s">
        <v>1819</v>
      </c>
      <c r="I198" s="5" t="s">
        <v>1820</v>
      </c>
      <c r="J198" s="3" t="s">
        <v>1821</v>
      </c>
      <c r="K198" s="3">
        <v>8.406002311E9</v>
      </c>
      <c r="L198" s="16">
        <v>44415.489583333336</v>
      </c>
      <c r="M198" s="3"/>
      <c r="N198" s="3" t="str">
        <f t="shared" si="37"/>
        <v>Vishwakarma Automobiles - Muzaffarpur</v>
      </c>
      <c r="O198" s="3" t="str">
        <f t="shared" si="38"/>
        <v>1xdioECnPW5B9Jx1lGE6BzQBP3X2De1AEBtF29NVixH0</v>
      </c>
      <c r="P198" s="3" t="s">
        <v>64</v>
      </c>
      <c r="Q198" s="8" t="s">
        <v>65</v>
      </c>
      <c r="R198" s="3" t="s">
        <v>1822</v>
      </c>
      <c r="S198" s="3" t="s">
        <v>1822</v>
      </c>
      <c r="T198" s="8" t="s">
        <v>1308</v>
      </c>
      <c r="U198" s="8"/>
      <c r="V198" s="8"/>
      <c r="W198" s="8"/>
      <c r="X198" s="8"/>
      <c r="Y198" s="8"/>
      <c r="Z198" s="8"/>
      <c r="AA198" s="8"/>
      <c r="AB198" s="8"/>
      <c r="AC198" s="8"/>
      <c r="AD198" s="8"/>
      <c r="AE198" s="8"/>
      <c r="AF198" s="8"/>
      <c r="AG198" s="3" t="s">
        <v>1823</v>
      </c>
      <c r="AH198" s="8"/>
      <c r="AI198" s="8"/>
      <c r="AJ198" s="8"/>
      <c r="AK198" s="8"/>
      <c r="AL198" s="8"/>
      <c r="AM198" s="8"/>
      <c r="AN198" s="8"/>
      <c r="AO198" s="8"/>
      <c r="AP198" s="8"/>
      <c r="AQ198" s="8"/>
      <c r="AR198" s="8"/>
      <c r="AS198" s="8"/>
      <c r="AT198" s="9" t="s">
        <v>1824</v>
      </c>
      <c r="AU198" s="8" t="s">
        <v>730</v>
      </c>
      <c r="AV198" s="8"/>
      <c r="AW198" s="8"/>
      <c r="AX198" s="8"/>
      <c r="AY198" s="8"/>
      <c r="AZ198" s="8" t="s">
        <v>86</v>
      </c>
      <c r="BA198" s="8" t="s">
        <v>86</v>
      </c>
      <c r="BB198" s="8" t="s">
        <v>86</v>
      </c>
      <c r="BC198" s="8">
        <v>0.0</v>
      </c>
    </row>
    <row r="199">
      <c r="A199" s="3" t="s">
        <v>1825</v>
      </c>
      <c r="B199" s="3" t="s">
        <v>1826</v>
      </c>
      <c r="C199" s="3" t="s">
        <v>1827</v>
      </c>
      <c r="D199" s="3" t="s">
        <v>1826</v>
      </c>
      <c r="E199" s="3">
        <v>100000.0</v>
      </c>
      <c r="F199" s="3" t="s">
        <v>58</v>
      </c>
      <c r="G199" s="3" t="s">
        <v>1828</v>
      </c>
      <c r="H199" s="5" t="s">
        <v>1829</v>
      </c>
      <c r="I199" s="5" t="s">
        <v>1830</v>
      </c>
      <c r="J199" s="3" t="s">
        <v>1831</v>
      </c>
      <c r="K199" s="3">
        <v>9.148053059E9</v>
      </c>
      <c r="L199" s="16">
        <v>44476.67222222222</v>
      </c>
      <c r="M199" s="3"/>
      <c r="N199" s="3" t="str">
        <f>B16</f>
        <v>Vidhi Trading</v>
      </c>
      <c r="O199" s="3" t="str">
        <f>A16</f>
        <v>1RYX1vfvY0jbK-8SlRPLYU11dr-HUe2ntxj5PumL7c0I</v>
      </c>
      <c r="P199" s="3" t="s">
        <v>142</v>
      </c>
      <c r="Q199" s="8" t="s">
        <v>1832</v>
      </c>
      <c r="R199" s="3" t="s">
        <v>1833</v>
      </c>
      <c r="S199" s="3" t="s">
        <v>1833</v>
      </c>
      <c r="T199" s="8" t="s">
        <v>198</v>
      </c>
      <c r="U199" s="8"/>
      <c r="V199" s="8"/>
      <c r="W199" s="8"/>
      <c r="X199" s="8"/>
      <c r="Y199" s="8"/>
      <c r="Z199" s="8"/>
      <c r="AA199" s="8"/>
      <c r="AB199" s="8"/>
      <c r="AC199" s="8"/>
      <c r="AD199" s="8"/>
      <c r="AE199" s="8"/>
      <c r="AF199" s="8"/>
      <c r="AG199" s="3"/>
      <c r="AH199" s="8"/>
      <c r="AI199" s="8"/>
      <c r="AJ199" s="8"/>
      <c r="AK199" s="8"/>
      <c r="AL199" s="8"/>
      <c r="AM199" s="8"/>
      <c r="AN199" s="8"/>
      <c r="AO199" s="8"/>
      <c r="AP199" s="8"/>
      <c r="AQ199" s="8"/>
      <c r="AR199" s="8"/>
      <c r="AS199" s="8"/>
      <c r="AT199" s="8"/>
      <c r="AU199" s="8" t="s">
        <v>85</v>
      </c>
      <c r="AV199" s="8"/>
      <c r="AW199" s="8"/>
      <c r="AX199" s="8"/>
      <c r="AY199" s="8"/>
      <c r="AZ199" s="8" t="s">
        <v>86</v>
      </c>
      <c r="BA199" s="8" t="s">
        <v>86</v>
      </c>
      <c r="BB199" s="8" t="s">
        <v>86</v>
      </c>
      <c r="BC199" s="8">
        <v>0.0</v>
      </c>
    </row>
    <row r="200">
      <c r="A200" s="3" t="s">
        <v>1834</v>
      </c>
      <c r="B200" s="3" t="s">
        <v>1835</v>
      </c>
      <c r="C200" s="3" t="s">
        <v>1836</v>
      </c>
      <c r="D200" s="3" t="s">
        <v>1835</v>
      </c>
      <c r="E200" s="3">
        <v>100000.0</v>
      </c>
      <c r="F200" s="3" t="s">
        <v>58</v>
      </c>
      <c r="G200" s="3" t="s">
        <v>1837</v>
      </c>
      <c r="H200" s="5" t="s">
        <v>1838</v>
      </c>
      <c r="I200" s="5" t="s">
        <v>1839</v>
      </c>
      <c r="J200" s="3" t="s">
        <v>1840</v>
      </c>
      <c r="K200" s="3">
        <v>9.735011769E9</v>
      </c>
      <c r="L200" s="16">
        <v>44507.427083333336</v>
      </c>
      <c r="M200" s="3"/>
      <c r="N200" s="3" t="str">
        <f>(B175)</f>
        <v>MAHESH MOTORS - DINAJPUR</v>
      </c>
      <c r="O200" s="3" t="str">
        <f>(A175)</f>
        <v>1DVpSm5a7kKqZxFgDUdJBRIcgAuTZosRKDnkmPEIdEG4</v>
      </c>
      <c r="P200" s="3" t="s">
        <v>142</v>
      </c>
      <c r="Q200" s="8" t="s">
        <v>65</v>
      </c>
      <c r="R200" s="3" t="s">
        <v>1841</v>
      </c>
      <c r="S200" s="3" t="s">
        <v>1841</v>
      </c>
      <c r="T200" s="8" t="s">
        <v>1616</v>
      </c>
      <c r="U200" s="8"/>
      <c r="V200" s="8"/>
      <c r="W200" s="8"/>
      <c r="X200" s="8"/>
      <c r="Y200" s="8"/>
      <c r="Z200" s="8"/>
      <c r="AA200" s="8"/>
      <c r="AB200" s="8"/>
      <c r="AC200" s="8"/>
      <c r="AD200" s="8"/>
      <c r="AE200" s="8"/>
      <c r="AF200" s="8"/>
      <c r="AG200" s="3"/>
      <c r="AH200" s="8"/>
      <c r="AI200" s="8"/>
      <c r="AJ200" s="8"/>
      <c r="AK200" s="8"/>
      <c r="AL200" s="8"/>
      <c r="AM200" s="8"/>
      <c r="AN200" s="8"/>
      <c r="AO200" s="8"/>
      <c r="AP200" s="8"/>
      <c r="AQ200" s="8"/>
      <c r="AR200" s="8"/>
      <c r="AS200" s="8"/>
      <c r="AT200" s="8"/>
      <c r="AU200" s="8" t="s">
        <v>85</v>
      </c>
      <c r="AV200" s="8"/>
      <c r="AW200" s="8"/>
      <c r="AX200" s="8"/>
      <c r="AY200" s="8"/>
      <c r="AZ200" s="8" t="s">
        <v>86</v>
      </c>
      <c r="BA200" s="8" t="s">
        <v>86</v>
      </c>
      <c r="BB200" s="8" t="s">
        <v>86</v>
      </c>
      <c r="BC200" s="8">
        <v>0.0</v>
      </c>
    </row>
    <row r="201">
      <c r="A201" s="3" t="s">
        <v>1842</v>
      </c>
      <c r="B201" s="3" t="s">
        <v>1843</v>
      </c>
      <c r="C201" s="3" t="s">
        <v>1844</v>
      </c>
      <c r="D201" s="3" t="s">
        <v>1843</v>
      </c>
      <c r="E201" s="3">
        <v>100000.0</v>
      </c>
      <c r="F201" s="3" t="s">
        <v>58</v>
      </c>
      <c r="G201" s="3" t="s">
        <v>1845</v>
      </c>
      <c r="H201" s="5" t="s">
        <v>1846</v>
      </c>
      <c r="I201" s="5" t="s">
        <v>1847</v>
      </c>
      <c r="J201" s="3" t="s">
        <v>1848</v>
      </c>
      <c r="K201" s="3">
        <v>9.735011769E9</v>
      </c>
      <c r="L201" s="16">
        <v>44507.427083333336</v>
      </c>
      <c r="M201" s="3"/>
      <c r="N201" s="3" t="str">
        <f>(B175)</f>
        <v>MAHESH MOTORS - DINAJPUR</v>
      </c>
      <c r="O201" s="3" t="str">
        <f>(A175)</f>
        <v>1DVpSm5a7kKqZxFgDUdJBRIcgAuTZosRKDnkmPEIdEG4</v>
      </c>
      <c r="P201" s="3" t="s">
        <v>142</v>
      </c>
      <c r="Q201" s="8" t="s">
        <v>65</v>
      </c>
      <c r="R201" s="3" t="s">
        <v>1841</v>
      </c>
      <c r="S201" s="3" t="s">
        <v>1841</v>
      </c>
      <c r="T201" s="8" t="s">
        <v>1616</v>
      </c>
      <c r="U201" s="8"/>
      <c r="V201" s="8"/>
      <c r="W201" s="8"/>
      <c r="X201" s="8"/>
      <c r="Y201" s="8"/>
      <c r="Z201" s="8"/>
      <c r="AA201" s="8"/>
      <c r="AB201" s="8"/>
      <c r="AC201" s="8"/>
      <c r="AD201" s="8"/>
      <c r="AE201" s="8"/>
      <c r="AF201" s="8"/>
      <c r="AG201" s="3"/>
      <c r="AH201" s="8"/>
      <c r="AI201" s="8"/>
      <c r="AJ201" s="8"/>
      <c r="AK201" s="8"/>
      <c r="AL201" s="8"/>
      <c r="AM201" s="8"/>
      <c r="AN201" s="8"/>
      <c r="AO201" s="8"/>
      <c r="AP201" s="8"/>
      <c r="AQ201" s="8"/>
      <c r="AR201" s="8"/>
      <c r="AS201" s="8"/>
      <c r="AT201" s="8"/>
      <c r="AU201" s="8" t="s">
        <v>85</v>
      </c>
      <c r="AV201" s="8"/>
      <c r="AW201" s="8"/>
      <c r="AX201" s="8"/>
      <c r="AY201" s="8"/>
      <c r="AZ201" s="8" t="s">
        <v>86</v>
      </c>
      <c r="BA201" s="8" t="s">
        <v>86</v>
      </c>
      <c r="BB201" s="8" t="s">
        <v>86</v>
      </c>
      <c r="BC201" s="8">
        <v>0.0</v>
      </c>
    </row>
    <row r="202">
      <c r="A202" s="3" t="s">
        <v>1849</v>
      </c>
      <c r="B202" s="3" t="s">
        <v>1850</v>
      </c>
      <c r="C202" s="3" t="s">
        <v>1851</v>
      </c>
      <c r="D202" s="3" t="s">
        <v>1850</v>
      </c>
      <c r="E202" s="3">
        <v>100000.0</v>
      </c>
      <c r="F202" s="3" t="s">
        <v>58</v>
      </c>
      <c r="G202" s="3" t="s">
        <v>1852</v>
      </c>
      <c r="H202" s="5" t="s">
        <v>1853</v>
      </c>
      <c r="I202" s="5" t="s">
        <v>1854</v>
      </c>
      <c r="J202" s="3" t="s">
        <v>1855</v>
      </c>
      <c r="K202" s="3">
        <v>9.735011769E9</v>
      </c>
      <c r="L202" s="16">
        <v>44507.427083333336</v>
      </c>
      <c r="M202" s="3"/>
      <c r="N202" s="3" t="str">
        <f>(B175)</f>
        <v>MAHESH MOTORS - DINAJPUR</v>
      </c>
      <c r="O202" s="3" t="str">
        <f>(A175)</f>
        <v>1DVpSm5a7kKqZxFgDUdJBRIcgAuTZosRKDnkmPEIdEG4</v>
      </c>
      <c r="P202" s="3" t="s">
        <v>142</v>
      </c>
      <c r="Q202" s="8" t="s">
        <v>65</v>
      </c>
      <c r="R202" s="3" t="s">
        <v>1841</v>
      </c>
      <c r="S202" s="3" t="s">
        <v>1841</v>
      </c>
      <c r="T202" s="8" t="s">
        <v>1616</v>
      </c>
      <c r="U202" s="8"/>
      <c r="V202" s="8"/>
      <c r="W202" s="8"/>
      <c r="X202" s="8"/>
      <c r="Y202" s="8"/>
      <c r="Z202" s="8"/>
      <c r="AA202" s="8"/>
      <c r="AB202" s="8"/>
      <c r="AC202" s="8"/>
      <c r="AD202" s="8"/>
      <c r="AE202" s="8"/>
      <c r="AF202" s="8"/>
      <c r="AG202" s="3"/>
      <c r="AH202" s="8"/>
      <c r="AI202" s="8"/>
      <c r="AJ202" s="8"/>
      <c r="AK202" s="8"/>
      <c r="AL202" s="8"/>
      <c r="AM202" s="8"/>
      <c r="AN202" s="8"/>
      <c r="AO202" s="8"/>
      <c r="AP202" s="8"/>
      <c r="AQ202" s="8"/>
      <c r="AR202" s="8"/>
      <c r="AS202" s="8"/>
      <c r="AT202" s="8"/>
      <c r="AU202" s="8" t="s">
        <v>85</v>
      </c>
      <c r="AV202" s="8"/>
      <c r="AW202" s="8"/>
      <c r="AX202" s="8"/>
      <c r="AY202" s="8"/>
      <c r="AZ202" s="8" t="s">
        <v>86</v>
      </c>
      <c r="BA202" s="8" t="s">
        <v>86</v>
      </c>
      <c r="BB202" s="8" t="s">
        <v>86</v>
      </c>
      <c r="BC202" s="8">
        <v>0.0</v>
      </c>
    </row>
    <row r="203">
      <c r="A203" s="3" t="s">
        <v>1856</v>
      </c>
      <c r="B203" s="3" t="s">
        <v>1857</v>
      </c>
      <c r="C203" s="3" t="s">
        <v>1858</v>
      </c>
      <c r="D203" s="3" t="s">
        <v>1857</v>
      </c>
      <c r="E203" s="3">
        <v>100000.0</v>
      </c>
      <c r="F203" s="3" t="s">
        <v>58</v>
      </c>
      <c r="G203" s="3" t="s">
        <v>1859</v>
      </c>
      <c r="H203" s="5" t="s">
        <v>1860</v>
      </c>
      <c r="I203" s="5" t="s">
        <v>1861</v>
      </c>
      <c r="J203" s="3" t="s">
        <v>1862</v>
      </c>
      <c r="K203" s="3">
        <v>9.415146956E9</v>
      </c>
      <c r="L203" s="6" t="s">
        <v>1863</v>
      </c>
      <c r="M203" s="3"/>
      <c r="N203" s="3" t="str">
        <f>(B184)</f>
        <v>Asha Motor - Kannauj</v>
      </c>
      <c r="O203" s="3" t="str">
        <f>(A184)</f>
        <v>1hlnCiW64Y7uZNVOj2ewyfTULbWj1dUaXX2rUREx8W8o</v>
      </c>
      <c r="P203" s="3" t="s">
        <v>142</v>
      </c>
      <c r="Q203" s="8" t="s">
        <v>65</v>
      </c>
      <c r="R203" s="3" t="s">
        <v>1864</v>
      </c>
      <c r="S203" s="3" t="s">
        <v>1864</v>
      </c>
      <c r="T203" s="8" t="s">
        <v>83</v>
      </c>
      <c r="U203" s="8"/>
      <c r="V203" s="8"/>
      <c r="W203" s="8"/>
      <c r="X203" s="8"/>
      <c r="Y203" s="8"/>
      <c r="Z203" s="8"/>
      <c r="AA203" s="8"/>
      <c r="AB203" s="8"/>
      <c r="AC203" s="8"/>
      <c r="AD203" s="8"/>
      <c r="AE203" s="8"/>
      <c r="AF203" s="8"/>
      <c r="AG203" s="3"/>
      <c r="AH203" s="8"/>
      <c r="AI203" s="8"/>
      <c r="AJ203" s="8"/>
      <c r="AK203" s="8"/>
      <c r="AL203" s="8"/>
      <c r="AM203" s="8"/>
      <c r="AN203" s="8"/>
      <c r="AO203" s="8"/>
      <c r="AP203" s="8"/>
      <c r="AQ203" s="8"/>
      <c r="AR203" s="8"/>
      <c r="AS203" s="8"/>
      <c r="AT203" s="8"/>
      <c r="AU203" s="8" t="s">
        <v>69</v>
      </c>
      <c r="AV203" s="8"/>
      <c r="AW203" s="8"/>
      <c r="AX203" s="8"/>
      <c r="AY203" s="8"/>
      <c r="AZ203" s="8" t="s">
        <v>72</v>
      </c>
      <c r="BA203" s="8" t="s">
        <v>86</v>
      </c>
      <c r="BB203" s="8" t="s">
        <v>86</v>
      </c>
      <c r="BC203" s="8">
        <v>0.0</v>
      </c>
    </row>
    <row r="204">
      <c r="A204" s="3" t="s">
        <v>1865</v>
      </c>
      <c r="B204" s="3" t="s">
        <v>1866</v>
      </c>
      <c r="C204" s="3" t="s">
        <v>1867</v>
      </c>
      <c r="D204" s="3" t="s">
        <v>1866</v>
      </c>
      <c r="E204" s="3">
        <v>100000.0</v>
      </c>
      <c r="F204" s="3" t="s">
        <v>58</v>
      </c>
      <c r="G204" s="3" t="s">
        <v>1868</v>
      </c>
      <c r="H204" s="5" t="s">
        <v>1869</v>
      </c>
      <c r="I204" s="5" t="s">
        <v>1870</v>
      </c>
      <c r="J204" s="3" t="s">
        <v>1871</v>
      </c>
      <c r="K204" s="3">
        <v>9.415146956E9</v>
      </c>
      <c r="L204" s="6" t="s">
        <v>1872</v>
      </c>
      <c r="M204" s="3"/>
      <c r="N204" s="3" t="str">
        <f>(B184)</f>
        <v>Asha Motor - Kannauj</v>
      </c>
      <c r="O204" s="3" t="str">
        <f>(A184)</f>
        <v>1hlnCiW64Y7uZNVOj2ewyfTULbWj1dUaXX2rUREx8W8o</v>
      </c>
      <c r="P204" s="3" t="s">
        <v>142</v>
      </c>
      <c r="Q204" s="8" t="s">
        <v>65</v>
      </c>
      <c r="R204" s="3" t="s">
        <v>1873</v>
      </c>
      <c r="S204" s="3" t="s">
        <v>1873</v>
      </c>
      <c r="T204" s="8" t="s">
        <v>83</v>
      </c>
      <c r="U204" s="8"/>
      <c r="V204" s="8"/>
      <c r="W204" s="8"/>
      <c r="X204" s="8"/>
      <c r="Y204" s="8"/>
      <c r="Z204" s="8"/>
      <c r="AA204" s="8"/>
      <c r="AB204" s="8"/>
      <c r="AC204" s="8"/>
      <c r="AD204" s="8"/>
      <c r="AE204" s="8"/>
      <c r="AF204" s="8"/>
      <c r="AG204" s="3"/>
      <c r="AH204" s="8"/>
      <c r="AI204" s="8"/>
      <c r="AJ204" s="8"/>
      <c r="AK204" s="8"/>
      <c r="AL204" s="8"/>
      <c r="AM204" s="8"/>
      <c r="AN204" s="8"/>
      <c r="AO204" s="8"/>
      <c r="AP204" s="8"/>
      <c r="AQ204" s="8"/>
      <c r="AR204" s="8"/>
      <c r="AS204" s="8"/>
      <c r="AT204" s="8"/>
      <c r="AU204" s="8" t="s">
        <v>69</v>
      </c>
      <c r="AV204" s="8"/>
      <c r="AW204" s="8"/>
      <c r="AX204" s="8"/>
      <c r="AY204" s="8"/>
      <c r="AZ204" s="8" t="s">
        <v>72</v>
      </c>
      <c r="BA204" s="8" t="s">
        <v>86</v>
      </c>
      <c r="BB204" s="8" t="s">
        <v>86</v>
      </c>
      <c r="BC204" s="8">
        <v>0.0</v>
      </c>
    </row>
    <row r="205">
      <c r="A205" s="3" t="s">
        <v>1874</v>
      </c>
      <c r="B205" s="3" t="s">
        <v>1875</v>
      </c>
      <c r="C205" s="3" t="s">
        <v>1876</v>
      </c>
      <c r="D205" s="3" t="s">
        <v>1875</v>
      </c>
      <c r="E205" s="3">
        <v>100000.0</v>
      </c>
      <c r="F205" s="3" t="s">
        <v>58</v>
      </c>
      <c r="G205" s="3" t="s">
        <v>1877</v>
      </c>
      <c r="H205" s="5" t="s">
        <v>1878</v>
      </c>
      <c r="I205" s="5" t="s">
        <v>1879</v>
      </c>
      <c r="J205" s="3" t="s">
        <v>1880</v>
      </c>
      <c r="K205" s="3">
        <v>9.415146956E9</v>
      </c>
      <c r="L205" s="6" t="s">
        <v>1881</v>
      </c>
      <c r="M205" s="3"/>
      <c r="N205" s="3" t="str">
        <f>(B184)</f>
        <v>Asha Motor - Kannauj</v>
      </c>
      <c r="O205" s="3" t="str">
        <f>(A184)</f>
        <v>1hlnCiW64Y7uZNVOj2ewyfTULbWj1dUaXX2rUREx8W8o</v>
      </c>
      <c r="P205" s="3" t="s">
        <v>142</v>
      </c>
      <c r="Q205" s="8" t="s">
        <v>65</v>
      </c>
      <c r="R205" s="3" t="s">
        <v>1882</v>
      </c>
      <c r="S205" s="3" t="s">
        <v>1882</v>
      </c>
      <c r="T205" s="8" t="s">
        <v>83</v>
      </c>
      <c r="U205" s="8"/>
      <c r="V205" s="8"/>
      <c r="W205" s="8"/>
      <c r="X205" s="8"/>
      <c r="Y205" s="8"/>
      <c r="Z205" s="8"/>
      <c r="AA205" s="8"/>
      <c r="AB205" s="8"/>
      <c r="AC205" s="8"/>
      <c r="AD205" s="8"/>
      <c r="AE205" s="8"/>
      <c r="AF205" s="8"/>
      <c r="AG205" s="3"/>
      <c r="AH205" s="8"/>
      <c r="AI205" s="8"/>
      <c r="AJ205" s="8"/>
      <c r="AK205" s="8"/>
      <c r="AL205" s="8"/>
      <c r="AM205" s="8"/>
      <c r="AN205" s="8"/>
      <c r="AO205" s="8"/>
      <c r="AP205" s="8"/>
      <c r="AQ205" s="8"/>
      <c r="AR205" s="8"/>
      <c r="AS205" s="8"/>
      <c r="AT205" s="8"/>
      <c r="AU205" s="8" t="s">
        <v>69</v>
      </c>
      <c r="AV205" s="8"/>
      <c r="AW205" s="8"/>
      <c r="AX205" s="8"/>
      <c r="AY205" s="8"/>
      <c r="AZ205" s="8" t="s">
        <v>72</v>
      </c>
      <c r="BA205" s="8" t="s">
        <v>86</v>
      </c>
      <c r="BB205" s="8" t="s">
        <v>86</v>
      </c>
      <c r="BC205" s="8">
        <v>0.0</v>
      </c>
    </row>
    <row r="206">
      <c r="A206" s="3" t="s">
        <v>1883</v>
      </c>
      <c r="B206" s="3" t="s">
        <v>1884</v>
      </c>
      <c r="C206" s="3" t="s">
        <v>1885</v>
      </c>
      <c r="D206" s="3" t="s">
        <v>1884</v>
      </c>
      <c r="E206" s="3">
        <v>100000.0</v>
      </c>
      <c r="F206" s="3" t="s">
        <v>58</v>
      </c>
      <c r="G206" s="3" t="s">
        <v>1886</v>
      </c>
      <c r="H206" s="5" t="s">
        <v>1887</v>
      </c>
      <c r="I206" s="5" t="s">
        <v>1888</v>
      </c>
      <c r="J206" s="3" t="s">
        <v>1889</v>
      </c>
      <c r="K206" s="3">
        <v>9.415146956E9</v>
      </c>
      <c r="L206" s="6" t="s">
        <v>1890</v>
      </c>
      <c r="M206" s="3"/>
      <c r="N206" s="3" t="str">
        <f>(B184)</f>
        <v>Asha Motor - Kannauj</v>
      </c>
      <c r="O206" s="3" t="str">
        <f>(A184)</f>
        <v>1hlnCiW64Y7uZNVOj2ewyfTULbWj1dUaXX2rUREx8W8o</v>
      </c>
      <c r="P206" s="3" t="s">
        <v>142</v>
      </c>
      <c r="Q206" s="8" t="s">
        <v>65</v>
      </c>
      <c r="R206" s="3" t="s">
        <v>1891</v>
      </c>
      <c r="S206" s="3" t="s">
        <v>1891</v>
      </c>
      <c r="T206" s="8" t="s">
        <v>83</v>
      </c>
      <c r="U206" s="8"/>
      <c r="V206" s="8"/>
      <c r="W206" s="8"/>
      <c r="X206" s="8"/>
      <c r="Y206" s="8"/>
      <c r="Z206" s="8"/>
      <c r="AA206" s="8"/>
      <c r="AB206" s="8"/>
      <c r="AC206" s="8"/>
      <c r="AD206" s="8"/>
      <c r="AE206" s="8"/>
      <c r="AF206" s="8"/>
      <c r="AG206" s="3"/>
      <c r="AH206" s="8"/>
      <c r="AI206" s="8"/>
      <c r="AJ206" s="8"/>
      <c r="AK206" s="8"/>
      <c r="AL206" s="8"/>
      <c r="AM206" s="8"/>
      <c r="AN206" s="8"/>
      <c r="AO206" s="8"/>
      <c r="AP206" s="8"/>
      <c r="AQ206" s="8"/>
      <c r="AR206" s="8"/>
      <c r="AS206" s="8"/>
      <c r="AT206" s="8"/>
      <c r="AU206" s="8" t="s">
        <v>69</v>
      </c>
      <c r="AV206" s="8"/>
      <c r="AW206" s="8"/>
      <c r="AX206" s="8"/>
      <c r="AY206" s="8"/>
      <c r="AZ206" s="8" t="s">
        <v>72</v>
      </c>
      <c r="BA206" s="8" t="s">
        <v>86</v>
      </c>
      <c r="BB206" s="8" t="s">
        <v>86</v>
      </c>
      <c r="BC206" s="8">
        <v>0.0</v>
      </c>
    </row>
    <row r="207">
      <c r="A207" s="3" t="s">
        <v>1892</v>
      </c>
      <c r="B207" s="3" t="s">
        <v>1893</v>
      </c>
      <c r="C207" s="3" t="s">
        <v>1894</v>
      </c>
      <c r="D207" s="3" t="s">
        <v>1893</v>
      </c>
      <c r="E207" s="3">
        <v>100000.0</v>
      </c>
      <c r="F207" s="3" t="s">
        <v>58</v>
      </c>
      <c r="G207" s="3" t="s">
        <v>1895</v>
      </c>
      <c r="H207" s="5" t="s">
        <v>1896</v>
      </c>
      <c r="I207" s="5" t="s">
        <v>1897</v>
      </c>
      <c r="J207" s="3" t="s">
        <v>1898</v>
      </c>
      <c r="K207" s="3">
        <v>9.415146956E9</v>
      </c>
      <c r="L207" s="6" t="s">
        <v>1899</v>
      </c>
      <c r="M207" s="3"/>
      <c r="N207" s="3" t="str">
        <f>(B184)</f>
        <v>Asha Motor - Kannauj</v>
      </c>
      <c r="O207" s="3" t="str">
        <f>(A184)</f>
        <v>1hlnCiW64Y7uZNVOj2ewyfTULbWj1dUaXX2rUREx8W8o</v>
      </c>
      <c r="P207" s="3" t="s">
        <v>142</v>
      </c>
      <c r="Q207" s="8" t="s">
        <v>65</v>
      </c>
      <c r="R207" s="3" t="s">
        <v>1900</v>
      </c>
      <c r="S207" s="3" t="s">
        <v>1900</v>
      </c>
      <c r="T207" s="8" t="s">
        <v>83</v>
      </c>
      <c r="U207" s="8"/>
      <c r="V207" s="8"/>
      <c r="W207" s="8"/>
      <c r="X207" s="8"/>
      <c r="Y207" s="8"/>
      <c r="Z207" s="8"/>
      <c r="AA207" s="8"/>
      <c r="AB207" s="8"/>
      <c r="AC207" s="8"/>
      <c r="AD207" s="8"/>
      <c r="AE207" s="8"/>
      <c r="AF207" s="8"/>
      <c r="AG207" s="3"/>
      <c r="AH207" s="8"/>
      <c r="AI207" s="8"/>
      <c r="AJ207" s="8"/>
      <c r="AK207" s="8"/>
      <c r="AL207" s="8"/>
      <c r="AM207" s="8"/>
      <c r="AN207" s="8"/>
      <c r="AO207" s="8"/>
      <c r="AP207" s="8"/>
      <c r="AQ207" s="8"/>
      <c r="AR207" s="8"/>
      <c r="AS207" s="8"/>
      <c r="AT207" s="8"/>
      <c r="AU207" s="8" t="s">
        <v>69</v>
      </c>
      <c r="AV207" s="8"/>
      <c r="AW207" s="8"/>
      <c r="AX207" s="8"/>
      <c r="AY207" s="8"/>
      <c r="AZ207" s="8" t="s">
        <v>72</v>
      </c>
      <c r="BA207" s="8" t="s">
        <v>86</v>
      </c>
      <c r="BB207" s="8" t="s">
        <v>86</v>
      </c>
      <c r="BC207" s="8">
        <v>0.0</v>
      </c>
    </row>
    <row r="208">
      <c r="A208" s="3" t="s">
        <v>1901</v>
      </c>
      <c r="B208" s="3" t="s">
        <v>1902</v>
      </c>
      <c r="C208" s="3" t="s">
        <v>1903</v>
      </c>
      <c r="D208" s="3" t="s">
        <v>1902</v>
      </c>
      <c r="E208" s="3">
        <v>100000.0</v>
      </c>
      <c r="F208" s="3" t="s">
        <v>58</v>
      </c>
      <c r="G208" s="3" t="s">
        <v>1904</v>
      </c>
      <c r="H208" s="5" t="s">
        <v>1905</v>
      </c>
      <c r="I208" s="5" t="s">
        <v>1906</v>
      </c>
      <c r="J208" s="3" t="s">
        <v>1907</v>
      </c>
      <c r="K208" s="3">
        <v>9.415146956E9</v>
      </c>
      <c r="L208" s="6" t="s">
        <v>1908</v>
      </c>
      <c r="M208" s="3"/>
      <c r="N208" s="3" t="str">
        <f>(B184)</f>
        <v>Asha Motor - Kannauj</v>
      </c>
      <c r="O208" s="3" t="str">
        <f>(A184)</f>
        <v>1hlnCiW64Y7uZNVOj2ewyfTULbWj1dUaXX2rUREx8W8o</v>
      </c>
      <c r="P208" s="3" t="s">
        <v>142</v>
      </c>
      <c r="Q208" s="8" t="s">
        <v>65</v>
      </c>
      <c r="R208" s="3" t="s">
        <v>1909</v>
      </c>
      <c r="S208" s="3" t="s">
        <v>1909</v>
      </c>
      <c r="T208" s="8" t="s">
        <v>83</v>
      </c>
      <c r="U208" s="8"/>
      <c r="V208" s="8"/>
      <c r="W208" s="8"/>
      <c r="X208" s="8"/>
      <c r="Y208" s="8"/>
      <c r="Z208" s="8"/>
      <c r="AA208" s="8"/>
      <c r="AB208" s="8"/>
      <c r="AC208" s="8"/>
      <c r="AD208" s="8"/>
      <c r="AE208" s="8"/>
      <c r="AF208" s="8"/>
      <c r="AG208" s="3"/>
      <c r="AH208" s="8"/>
      <c r="AI208" s="8"/>
      <c r="AJ208" s="8"/>
      <c r="AK208" s="8"/>
      <c r="AL208" s="8"/>
      <c r="AM208" s="8"/>
      <c r="AN208" s="8"/>
      <c r="AO208" s="8"/>
      <c r="AP208" s="8"/>
      <c r="AQ208" s="8"/>
      <c r="AR208" s="8"/>
      <c r="AS208" s="8"/>
      <c r="AT208" s="8"/>
      <c r="AU208" s="8" t="s">
        <v>69</v>
      </c>
      <c r="AV208" s="8"/>
      <c r="AW208" s="8"/>
      <c r="AX208" s="8"/>
      <c r="AY208" s="8"/>
      <c r="AZ208" s="8" t="s">
        <v>72</v>
      </c>
      <c r="BA208" s="8" t="s">
        <v>86</v>
      </c>
      <c r="BB208" s="8" t="s">
        <v>86</v>
      </c>
      <c r="BC208" s="8">
        <v>0.0</v>
      </c>
    </row>
    <row r="209">
      <c r="A209" s="3" t="s">
        <v>1910</v>
      </c>
      <c r="B209" s="3" t="s">
        <v>1911</v>
      </c>
      <c r="C209" s="3" t="s">
        <v>1912</v>
      </c>
      <c r="D209" s="3" t="s">
        <v>1911</v>
      </c>
      <c r="E209" s="3">
        <v>100000.0</v>
      </c>
      <c r="F209" s="3" t="s">
        <v>58</v>
      </c>
      <c r="G209" s="3" t="s">
        <v>1913</v>
      </c>
      <c r="H209" s="5" t="s">
        <v>1914</v>
      </c>
      <c r="I209" s="5" t="s">
        <v>1915</v>
      </c>
      <c r="J209" s="3" t="s">
        <v>1916</v>
      </c>
      <c r="K209" s="3">
        <v>9.415146956E9</v>
      </c>
      <c r="L209" s="6" t="s">
        <v>1917</v>
      </c>
      <c r="M209" s="3"/>
      <c r="N209" s="3" t="str">
        <f>(B184)</f>
        <v>Asha Motor - Kannauj</v>
      </c>
      <c r="O209" s="3" t="str">
        <f>(A184)</f>
        <v>1hlnCiW64Y7uZNVOj2ewyfTULbWj1dUaXX2rUREx8W8o</v>
      </c>
      <c r="P209" s="3" t="s">
        <v>142</v>
      </c>
      <c r="Q209" s="8" t="s">
        <v>65</v>
      </c>
      <c r="R209" s="3" t="s">
        <v>1918</v>
      </c>
      <c r="S209" s="3" t="s">
        <v>1918</v>
      </c>
      <c r="T209" s="8" t="s">
        <v>83</v>
      </c>
      <c r="U209" s="8"/>
      <c r="V209" s="8"/>
      <c r="W209" s="8"/>
      <c r="X209" s="8"/>
      <c r="Y209" s="8"/>
      <c r="Z209" s="8"/>
      <c r="AA209" s="8"/>
      <c r="AB209" s="8"/>
      <c r="AC209" s="8"/>
      <c r="AD209" s="8"/>
      <c r="AE209" s="8"/>
      <c r="AF209" s="8"/>
      <c r="AG209" s="3"/>
      <c r="AH209" s="8"/>
      <c r="AI209" s="8"/>
      <c r="AJ209" s="8"/>
      <c r="AK209" s="8"/>
      <c r="AL209" s="8"/>
      <c r="AM209" s="8"/>
      <c r="AN209" s="8"/>
      <c r="AO209" s="8"/>
      <c r="AP209" s="8"/>
      <c r="AQ209" s="8"/>
      <c r="AR209" s="8"/>
      <c r="AS209" s="8"/>
      <c r="AT209" s="8"/>
      <c r="AU209" s="8" t="s">
        <v>69</v>
      </c>
      <c r="AV209" s="8"/>
      <c r="AW209" s="8"/>
      <c r="AX209" s="8"/>
      <c r="AY209" s="8"/>
      <c r="AZ209" s="8" t="s">
        <v>72</v>
      </c>
      <c r="BA209" s="8" t="s">
        <v>86</v>
      </c>
      <c r="BB209" s="8" t="s">
        <v>86</v>
      </c>
      <c r="BC209" s="8">
        <v>0.0</v>
      </c>
    </row>
    <row r="210">
      <c r="A210" s="3" t="s">
        <v>1919</v>
      </c>
      <c r="B210" s="3" t="s">
        <v>1920</v>
      </c>
      <c r="C210" s="3" t="s">
        <v>1921</v>
      </c>
      <c r="D210" s="3" t="s">
        <v>1920</v>
      </c>
      <c r="E210" s="3">
        <v>100000.0</v>
      </c>
      <c r="F210" s="3" t="s">
        <v>58</v>
      </c>
      <c r="G210" s="3" t="s">
        <v>1922</v>
      </c>
      <c r="H210" s="5" t="s">
        <v>1923</v>
      </c>
      <c r="I210" s="5" t="s">
        <v>1924</v>
      </c>
      <c r="J210" s="3" t="s">
        <v>1925</v>
      </c>
      <c r="K210" s="3">
        <v>9.148053059E9</v>
      </c>
      <c r="L210" s="6" t="s">
        <v>1926</v>
      </c>
      <c r="M210" s="3"/>
      <c r="N210" s="3" t="str">
        <f>(B16)</f>
        <v>Vidhi Trading</v>
      </c>
      <c r="O210" s="3" t="str">
        <f>(A16)</f>
        <v>1RYX1vfvY0jbK-8SlRPLYU11dr-HUe2ntxj5PumL7c0I</v>
      </c>
      <c r="P210" s="3" t="s">
        <v>142</v>
      </c>
      <c r="Q210" s="8" t="s">
        <v>65</v>
      </c>
      <c r="R210" s="3" t="s">
        <v>197</v>
      </c>
      <c r="S210" s="3" t="s">
        <v>197</v>
      </c>
      <c r="T210" s="8" t="s">
        <v>198</v>
      </c>
      <c r="U210" s="8"/>
      <c r="V210" s="8"/>
      <c r="W210" s="8"/>
      <c r="X210" s="8"/>
      <c r="Y210" s="8"/>
      <c r="Z210" s="8"/>
      <c r="AA210" s="8"/>
      <c r="AB210" s="8"/>
      <c r="AC210" s="8"/>
      <c r="AD210" s="8"/>
      <c r="AE210" s="8"/>
      <c r="AF210" s="8"/>
      <c r="AG210" s="3"/>
      <c r="AH210" s="8"/>
      <c r="AI210" s="8"/>
      <c r="AJ210" s="8"/>
      <c r="AK210" s="8"/>
      <c r="AL210" s="8"/>
      <c r="AM210" s="8"/>
      <c r="AN210" s="8"/>
      <c r="AO210" s="8"/>
      <c r="AP210" s="8"/>
      <c r="AQ210" s="8"/>
      <c r="AR210" s="8"/>
      <c r="AS210" s="8"/>
      <c r="AT210" s="8"/>
      <c r="AU210" s="8" t="s">
        <v>85</v>
      </c>
      <c r="AV210" s="8"/>
      <c r="AW210" s="8"/>
      <c r="AX210" s="8"/>
      <c r="AY210" s="8"/>
      <c r="AZ210" s="8" t="s">
        <v>86</v>
      </c>
      <c r="BA210" s="8" t="s">
        <v>86</v>
      </c>
      <c r="BB210" s="8" t="s">
        <v>86</v>
      </c>
      <c r="BC210" s="8">
        <v>0.0</v>
      </c>
    </row>
    <row r="211">
      <c r="A211" s="3" t="s">
        <v>1927</v>
      </c>
      <c r="B211" s="3" t="s">
        <v>1928</v>
      </c>
      <c r="C211" s="3" t="s">
        <v>1929</v>
      </c>
      <c r="D211" s="3" t="s">
        <v>1928</v>
      </c>
      <c r="E211" s="3">
        <v>100000.0</v>
      </c>
      <c r="F211" s="3" t="s">
        <v>58</v>
      </c>
      <c r="G211" s="3" t="s">
        <v>1930</v>
      </c>
      <c r="H211" s="5" t="s">
        <v>1931</v>
      </c>
      <c r="I211" s="5" t="s">
        <v>1932</v>
      </c>
      <c r="J211" s="3" t="s">
        <v>1933</v>
      </c>
      <c r="K211" s="3">
        <v>9.148053059E9</v>
      </c>
      <c r="L211" s="6" t="s">
        <v>1934</v>
      </c>
      <c r="M211" s="3"/>
      <c r="N211" s="3" t="str">
        <f>(B16)</f>
        <v>Vidhi Trading</v>
      </c>
      <c r="O211" s="3" t="str">
        <f>(A16)</f>
        <v>1RYX1vfvY0jbK-8SlRPLYU11dr-HUe2ntxj5PumL7c0I</v>
      </c>
      <c r="P211" s="3" t="s">
        <v>142</v>
      </c>
      <c r="Q211" s="8" t="s">
        <v>65</v>
      </c>
      <c r="R211" s="3" t="s">
        <v>197</v>
      </c>
      <c r="S211" s="3" t="s">
        <v>197</v>
      </c>
      <c r="T211" s="8" t="s">
        <v>198</v>
      </c>
      <c r="U211" s="8"/>
      <c r="V211" s="8"/>
      <c r="W211" s="8"/>
      <c r="X211" s="8"/>
      <c r="Y211" s="8"/>
      <c r="Z211" s="8"/>
      <c r="AA211" s="8"/>
      <c r="AB211" s="8"/>
      <c r="AC211" s="8"/>
      <c r="AD211" s="8"/>
      <c r="AE211" s="8"/>
      <c r="AF211" s="8"/>
      <c r="AG211" s="3"/>
      <c r="AH211" s="8"/>
      <c r="AI211" s="8"/>
      <c r="AJ211" s="8"/>
      <c r="AK211" s="8"/>
      <c r="AL211" s="8"/>
      <c r="AM211" s="8"/>
      <c r="AN211" s="8"/>
      <c r="AO211" s="8"/>
      <c r="AP211" s="8"/>
      <c r="AQ211" s="8"/>
      <c r="AR211" s="8"/>
      <c r="AS211" s="8"/>
      <c r="AT211" s="8"/>
      <c r="AU211" s="8" t="s">
        <v>85</v>
      </c>
      <c r="AV211" s="8"/>
      <c r="AW211" s="8"/>
      <c r="AX211" s="8"/>
      <c r="AY211" s="8"/>
      <c r="AZ211" s="8" t="s">
        <v>86</v>
      </c>
      <c r="BA211" s="8" t="s">
        <v>86</v>
      </c>
      <c r="BB211" s="8" t="s">
        <v>86</v>
      </c>
      <c r="BC211" s="8">
        <v>0.0</v>
      </c>
    </row>
    <row r="212">
      <c r="A212" s="3" t="s">
        <v>1935</v>
      </c>
      <c r="B212" s="3" t="s">
        <v>1936</v>
      </c>
      <c r="C212" s="3" t="s">
        <v>1937</v>
      </c>
      <c r="D212" s="3" t="s">
        <v>1936</v>
      </c>
      <c r="E212" s="3">
        <v>100000.0</v>
      </c>
      <c r="F212" s="3" t="s">
        <v>58</v>
      </c>
      <c r="G212" s="3" t="s">
        <v>1938</v>
      </c>
      <c r="H212" s="5" t="s">
        <v>1939</v>
      </c>
      <c r="I212" s="5" t="s">
        <v>1940</v>
      </c>
      <c r="J212" s="3" t="s">
        <v>1941</v>
      </c>
      <c r="K212" s="3">
        <v>9.897008843E9</v>
      </c>
      <c r="L212" s="6" t="s">
        <v>1942</v>
      </c>
      <c r="M212" s="3"/>
      <c r="N212" s="3" t="str">
        <f>(B2)</f>
        <v>MPS</v>
      </c>
      <c r="O212" s="3" t="str">
        <f>(A2)</f>
        <v>1ClXh28BQwwGN7Q42xt0Dc8b_R_3jweBItLcbwVq3Rj0</v>
      </c>
      <c r="P212" s="3" t="s">
        <v>142</v>
      </c>
      <c r="Q212" s="8" t="s">
        <v>65</v>
      </c>
      <c r="R212" s="3" t="s">
        <v>67</v>
      </c>
      <c r="S212" s="3" t="s">
        <v>67</v>
      </c>
      <c r="T212" s="8" t="s">
        <v>68</v>
      </c>
      <c r="U212" s="8"/>
      <c r="V212" s="8"/>
      <c r="W212" s="8"/>
      <c r="X212" s="8"/>
      <c r="Y212" s="8"/>
      <c r="Z212" s="8"/>
      <c r="AA212" s="8"/>
      <c r="AB212" s="8"/>
      <c r="AC212" s="8"/>
      <c r="AD212" s="8"/>
      <c r="AE212" s="8"/>
      <c r="AF212" s="8"/>
      <c r="AG212" s="3"/>
      <c r="AH212" s="8"/>
      <c r="AI212" s="8"/>
      <c r="AJ212" s="8"/>
      <c r="AK212" s="8"/>
      <c r="AL212" s="8"/>
      <c r="AM212" s="8"/>
      <c r="AN212" s="8"/>
      <c r="AO212" s="8"/>
      <c r="AP212" s="8"/>
      <c r="AQ212" s="8"/>
      <c r="AR212" s="8"/>
      <c r="AS212" s="8"/>
      <c r="AT212" s="8"/>
      <c r="AU212" s="8" t="s">
        <v>69</v>
      </c>
      <c r="AV212" s="8"/>
      <c r="AW212" s="8"/>
      <c r="AX212" s="8" t="s">
        <v>1943</v>
      </c>
      <c r="AY212" s="8" t="s">
        <v>1944</v>
      </c>
      <c r="AZ212" s="8" t="s">
        <v>72</v>
      </c>
      <c r="BA212" s="8" t="s">
        <v>72</v>
      </c>
      <c r="BB212" s="8" t="s">
        <v>86</v>
      </c>
      <c r="BC212" s="8">
        <v>0.0</v>
      </c>
    </row>
    <row r="213">
      <c r="A213" s="3" t="s">
        <v>1945</v>
      </c>
      <c r="B213" s="3" t="s">
        <v>1946</v>
      </c>
      <c r="C213" s="3" t="s">
        <v>1947</v>
      </c>
      <c r="D213" s="3" t="s">
        <v>1946</v>
      </c>
      <c r="E213" s="3">
        <v>100000.0</v>
      </c>
      <c r="F213" s="3" t="s">
        <v>58</v>
      </c>
      <c r="G213" s="3" t="s">
        <v>1948</v>
      </c>
      <c r="H213" s="5" t="s">
        <v>1949</v>
      </c>
      <c r="I213" s="5" t="s">
        <v>1950</v>
      </c>
      <c r="J213" s="3" t="s">
        <v>1951</v>
      </c>
      <c r="K213" s="3">
        <v>9.431029011E9</v>
      </c>
      <c r="L213" s="6" t="s">
        <v>1952</v>
      </c>
      <c r="M213" s="3"/>
      <c r="N213" s="3" t="str">
        <f t="shared" ref="N213:N215" si="39">B213</f>
        <v>Begusarai Auto Agencies - Begusarai</v>
      </c>
      <c r="O213" s="3" t="str">
        <f t="shared" ref="O213:O215" si="40">A213</f>
        <v>1GSsoBjWtxEEY9Oe4QB_zfBq2Y31JMCHYWDUPZcHZ4Is</v>
      </c>
      <c r="P213" s="3" t="s">
        <v>64</v>
      </c>
      <c r="Q213" s="8" t="s">
        <v>65</v>
      </c>
      <c r="R213" s="3" t="s">
        <v>1953</v>
      </c>
      <c r="S213" s="3" t="s">
        <v>1953</v>
      </c>
      <c r="T213" s="8" t="s">
        <v>1308</v>
      </c>
      <c r="U213" s="8"/>
      <c r="V213" s="8"/>
      <c r="W213" s="8"/>
      <c r="X213" s="8"/>
      <c r="Y213" s="8"/>
      <c r="Z213" s="8"/>
      <c r="AA213" s="8"/>
      <c r="AB213" s="8"/>
      <c r="AC213" s="8"/>
      <c r="AD213" s="8"/>
      <c r="AE213" s="8"/>
      <c r="AF213" s="8"/>
      <c r="AG213" s="3" t="s">
        <v>1954</v>
      </c>
      <c r="AH213" s="8"/>
      <c r="AI213" s="8"/>
      <c r="AJ213" s="8"/>
      <c r="AK213" s="8"/>
      <c r="AL213" s="8"/>
      <c r="AM213" s="8"/>
      <c r="AN213" s="8"/>
      <c r="AO213" s="8"/>
      <c r="AP213" s="8"/>
      <c r="AQ213" s="8"/>
      <c r="AR213" s="8"/>
      <c r="AS213" s="8"/>
      <c r="AT213" s="9" t="s">
        <v>1955</v>
      </c>
      <c r="AU213" s="8" t="s">
        <v>730</v>
      </c>
      <c r="AV213" s="8"/>
      <c r="AW213" s="8"/>
      <c r="AX213" s="8"/>
      <c r="AY213" s="8"/>
      <c r="AZ213" s="8" t="s">
        <v>86</v>
      </c>
      <c r="BA213" s="8" t="s">
        <v>86</v>
      </c>
      <c r="BB213" s="8" t="s">
        <v>86</v>
      </c>
      <c r="BC213" s="8">
        <v>0.0</v>
      </c>
    </row>
    <row r="214">
      <c r="A214" s="3" t="s">
        <v>1956</v>
      </c>
      <c r="B214" s="3" t="s">
        <v>1957</v>
      </c>
      <c r="C214" s="3" t="s">
        <v>1958</v>
      </c>
      <c r="D214" s="3" t="s">
        <v>1957</v>
      </c>
      <c r="E214" s="3">
        <v>100000.0</v>
      </c>
      <c r="F214" s="3" t="s">
        <v>58</v>
      </c>
      <c r="G214" s="3" t="s">
        <v>1959</v>
      </c>
      <c r="H214" s="5" t="s">
        <v>1960</v>
      </c>
      <c r="I214" s="5" t="s">
        <v>1961</v>
      </c>
      <c r="J214" s="3" t="s">
        <v>1962</v>
      </c>
      <c r="K214" s="3">
        <v>9.554956106E9</v>
      </c>
      <c r="L214" s="6" t="s">
        <v>1963</v>
      </c>
      <c r="M214" s="3"/>
      <c r="N214" s="3" t="str">
        <f t="shared" si="39"/>
        <v>BARABANKI MOTORS</v>
      </c>
      <c r="O214" s="3" t="str">
        <f t="shared" si="40"/>
        <v>1cVGXbO2lp52NndvygvM_F7Cqcy0EMGxzT1ZUlpTQeiI</v>
      </c>
      <c r="P214" s="3" t="s">
        <v>64</v>
      </c>
      <c r="Q214" s="8" t="s">
        <v>65</v>
      </c>
      <c r="R214" s="3" t="s">
        <v>1964</v>
      </c>
      <c r="S214" s="3" t="s">
        <v>1965</v>
      </c>
      <c r="T214" s="8" t="s">
        <v>83</v>
      </c>
      <c r="U214" s="8"/>
      <c r="V214" s="8"/>
      <c r="W214" s="8"/>
      <c r="X214" s="8"/>
      <c r="Y214" s="8"/>
      <c r="Z214" s="8"/>
      <c r="AA214" s="8"/>
      <c r="AB214" s="8"/>
      <c r="AC214" s="8"/>
      <c r="AD214" s="8"/>
      <c r="AE214" s="8"/>
      <c r="AF214" s="8"/>
      <c r="AG214" s="3"/>
      <c r="AH214" s="8"/>
      <c r="AI214" s="8"/>
      <c r="AJ214" s="8"/>
      <c r="AK214" s="8"/>
      <c r="AL214" s="8"/>
      <c r="AM214" s="8"/>
      <c r="AN214" s="8"/>
      <c r="AO214" s="8"/>
      <c r="AP214" s="8"/>
      <c r="AQ214" s="8"/>
      <c r="AR214" s="8"/>
      <c r="AS214" s="8"/>
      <c r="AT214" s="9" t="s">
        <v>1966</v>
      </c>
      <c r="AU214" s="8" t="s">
        <v>730</v>
      </c>
      <c r="AV214" s="8"/>
      <c r="AW214" s="8"/>
      <c r="AX214" s="8"/>
      <c r="AY214" s="8"/>
      <c r="AZ214" s="8" t="s">
        <v>86</v>
      </c>
      <c r="BA214" s="8" t="s">
        <v>86</v>
      </c>
      <c r="BB214" s="8" t="s">
        <v>86</v>
      </c>
      <c r="BC214" s="8">
        <v>0.0</v>
      </c>
    </row>
    <row r="215">
      <c r="A215" s="3" t="s">
        <v>1967</v>
      </c>
      <c r="B215" s="3" t="s">
        <v>1968</v>
      </c>
      <c r="C215" s="3" t="s">
        <v>1969</v>
      </c>
      <c r="D215" s="3" t="s">
        <v>1968</v>
      </c>
      <c r="E215" s="3">
        <v>100000.0</v>
      </c>
      <c r="F215" s="3" t="s">
        <v>58</v>
      </c>
      <c r="G215" s="3" t="s">
        <v>1970</v>
      </c>
      <c r="H215" s="5" t="s">
        <v>1971</v>
      </c>
      <c r="I215" s="5" t="s">
        <v>1972</v>
      </c>
      <c r="J215" s="3" t="s">
        <v>1973</v>
      </c>
      <c r="K215" s="3">
        <v>7.839306435E9</v>
      </c>
      <c r="L215" s="6" t="s">
        <v>1974</v>
      </c>
      <c r="M215" s="3"/>
      <c r="N215" s="3" t="str">
        <f t="shared" si="39"/>
        <v>Bombay Automobiles- RAEBARELI</v>
      </c>
      <c r="O215" s="3" t="str">
        <f t="shared" si="40"/>
        <v>189IwjZKbhxdfpCM3_XZAiWsKnV1TiiKuwuI8GFe4AH0</v>
      </c>
      <c r="P215" s="3" t="s">
        <v>64</v>
      </c>
      <c r="Q215" s="8" t="s">
        <v>65</v>
      </c>
      <c r="R215" s="3" t="s">
        <v>1975</v>
      </c>
      <c r="S215" s="3" t="s">
        <v>1976</v>
      </c>
      <c r="T215" s="8" t="s">
        <v>83</v>
      </c>
      <c r="U215" s="8"/>
      <c r="V215" s="8"/>
      <c r="W215" s="8"/>
      <c r="X215" s="8"/>
      <c r="Y215" s="8"/>
      <c r="Z215" s="8"/>
      <c r="AA215" s="8"/>
      <c r="AB215" s="8"/>
      <c r="AC215" s="8"/>
      <c r="AD215" s="8"/>
      <c r="AE215" s="8"/>
      <c r="AF215" s="8"/>
      <c r="AG215" s="3"/>
      <c r="AH215" s="8"/>
      <c r="AI215" s="8"/>
      <c r="AJ215" s="8"/>
      <c r="AK215" s="8"/>
      <c r="AL215" s="8"/>
      <c r="AM215" s="8"/>
      <c r="AN215" s="8"/>
      <c r="AO215" s="8"/>
      <c r="AP215" s="8"/>
      <c r="AQ215" s="8"/>
      <c r="AR215" s="8"/>
      <c r="AS215" s="8"/>
      <c r="AT215" s="9" t="s">
        <v>1977</v>
      </c>
      <c r="AU215" s="8" t="s">
        <v>730</v>
      </c>
      <c r="AV215" s="8"/>
      <c r="AW215" s="8"/>
      <c r="AX215" s="8"/>
      <c r="AY215" s="8"/>
      <c r="AZ215" s="8" t="s">
        <v>86</v>
      </c>
      <c r="BA215" s="8" t="s">
        <v>86</v>
      </c>
      <c r="BB215" s="8" t="s">
        <v>86</v>
      </c>
      <c r="BC215" s="8">
        <v>0.0</v>
      </c>
    </row>
    <row r="216">
      <c r="A216" s="3" t="s">
        <v>1978</v>
      </c>
      <c r="B216" s="3" t="s">
        <v>1979</v>
      </c>
      <c r="C216" s="3" t="s">
        <v>1980</v>
      </c>
      <c r="D216" s="3" t="s">
        <v>1979</v>
      </c>
      <c r="E216" s="3">
        <v>100000.0</v>
      </c>
      <c r="F216" s="3" t="s">
        <v>58</v>
      </c>
      <c r="G216" s="3" t="s">
        <v>1981</v>
      </c>
      <c r="H216" s="5" t="s">
        <v>1982</v>
      </c>
      <c r="I216" s="5" t="s">
        <v>1983</v>
      </c>
      <c r="J216" s="3" t="s">
        <v>1984</v>
      </c>
      <c r="K216" s="3">
        <v>9.415146956E9</v>
      </c>
      <c r="L216" s="6" t="s">
        <v>1985</v>
      </c>
      <c r="M216" s="3"/>
      <c r="N216" s="3" t="str">
        <f>(B184)</f>
        <v>Asha Motor - Kannauj</v>
      </c>
      <c r="O216" s="3" t="str">
        <f>(A184)</f>
        <v>1hlnCiW64Y7uZNVOj2ewyfTULbWj1dUaXX2rUREx8W8o</v>
      </c>
      <c r="P216" s="3" t="s">
        <v>142</v>
      </c>
      <c r="Q216" s="8" t="s">
        <v>65</v>
      </c>
      <c r="R216" s="3" t="s">
        <v>1986</v>
      </c>
      <c r="S216" s="3" t="s">
        <v>1986</v>
      </c>
      <c r="T216" s="8" t="s">
        <v>83</v>
      </c>
      <c r="U216" s="8"/>
      <c r="V216" s="8"/>
      <c r="W216" s="8"/>
      <c r="X216" s="8"/>
      <c r="Y216" s="8"/>
      <c r="Z216" s="8"/>
      <c r="AA216" s="8"/>
      <c r="AB216" s="8"/>
      <c r="AC216" s="8"/>
      <c r="AD216" s="8"/>
      <c r="AE216" s="8"/>
      <c r="AF216" s="8"/>
      <c r="AG216" s="3"/>
      <c r="AH216" s="8"/>
      <c r="AI216" s="8"/>
      <c r="AJ216" s="8"/>
      <c r="AK216" s="8"/>
      <c r="AL216" s="8"/>
      <c r="AM216" s="8"/>
      <c r="AN216" s="8"/>
      <c r="AO216" s="8"/>
      <c r="AP216" s="8"/>
      <c r="AQ216" s="8"/>
      <c r="AR216" s="8"/>
      <c r="AS216" s="8"/>
      <c r="AT216" s="8"/>
      <c r="AU216" s="8" t="s">
        <v>69</v>
      </c>
      <c r="AV216" s="8"/>
      <c r="AW216" s="8"/>
      <c r="AX216" s="8"/>
      <c r="AY216" s="8"/>
      <c r="AZ216" s="8" t="s">
        <v>72</v>
      </c>
      <c r="BA216" s="8" t="s">
        <v>86</v>
      </c>
      <c r="BB216" s="8" t="s">
        <v>86</v>
      </c>
      <c r="BC216" s="8">
        <v>0.0</v>
      </c>
    </row>
    <row r="217">
      <c r="A217" s="3" t="s">
        <v>1987</v>
      </c>
      <c r="B217" s="3" t="s">
        <v>1988</v>
      </c>
      <c r="C217" s="3" t="s">
        <v>1989</v>
      </c>
      <c r="D217" s="3" t="s">
        <v>1988</v>
      </c>
      <c r="E217" s="3">
        <v>100000.0</v>
      </c>
      <c r="F217" s="3" t="s">
        <v>58</v>
      </c>
      <c r="G217" s="3" t="s">
        <v>1990</v>
      </c>
      <c r="H217" s="5" t="s">
        <v>1991</v>
      </c>
      <c r="I217" s="5" t="s">
        <v>1992</v>
      </c>
      <c r="J217" s="3" t="s">
        <v>1993</v>
      </c>
      <c r="K217" s="3">
        <v>9.794055551E9</v>
      </c>
      <c r="L217" s="6" t="s">
        <v>1994</v>
      </c>
      <c r="M217" s="3"/>
      <c r="N217" s="3" t="str">
        <f t="shared" ref="N217:N222" si="41">B217</f>
        <v>Kshitij Auto Wheelers - Mirzapur</v>
      </c>
      <c r="O217" s="3" t="str">
        <f t="shared" ref="O217:O222" si="42">A217</f>
        <v>19J_y8BUN9RSe9TTg9cxKYBBv29Tfi7RwvKo8Va7MJRQ</v>
      </c>
      <c r="P217" s="3" t="s">
        <v>64</v>
      </c>
      <c r="Q217" s="8" t="s">
        <v>65</v>
      </c>
      <c r="R217" s="3" t="s">
        <v>1995</v>
      </c>
      <c r="S217" s="3" t="s">
        <v>1995</v>
      </c>
      <c r="T217" s="8" t="s">
        <v>83</v>
      </c>
      <c r="U217" s="8"/>
      <c r="V217" s="8"/>
      <c r="W217" s="8"/>
      <c r="X217" s="8"/>
      <c r="Y217" s="8"/>
      <c r="Z217" s="8"/>
      <c r="AA217" s="8"/>
      <c r="AB217" s="8"/>
      <c r="AC217" s="8"/>
      <c r="AD217" s="8"/>
      <c r="AE217" s="8"/>
      <c r="AF217" s="8"/>
      <c r="AG217" s="3"/>
      <c r="AH217" s="8"/>
      <c r="AI217" s="8"/>
      <c r="AJ217" s="8"/>
      <c r="AK217" s="8"/>
      <c r="AL217" s="8"/>
      <c r="AM217" s="8"/>
      <c r="AN217" s="8"/>
      <c r="AO217" s="8"/>
      <c r="AP217" s="8"/>
      <c r="AQ217" s="8"/>
      <c r="AR217" s="8"/>
      <c r="AS217" s="8"/>
      <c r="AT217" s="9" t="s">
        <v>1996</v>
      </c>
      <c r="AU217" s="8" t="s">
        <v>69</v>
      </c>
      <c r="AV217" s="8"/>
      <c r="AW217" s="8"/>
      <c r="AX217" s="8"/>
      <c r="AY217" s="8"/>
      <c r="AZ217" s="8" t="s">
        <v>72</v>
      </c>
      <c r="BA217" s="8" t="s">
        <v>86</v>
      </c>
      <c r="BB217" s="8" t="s">
        <v>86</v>
      </c>
      <c r="BC217" s="8">
        <v>0.0</v>
      </c>
    </row>
    <row r="218">
      <c r="A218" s="3" t="s">
        <v>1997</v>
      </c>
      <c r="B218" s="3" t="s">
        <v>1998</v>
      </c>
      <c r="C218" s="3" t="s">
        <v>1999</v>
      </c>
      <c r="D218" s="3" t="s">
        <v>2000</v>
      </c>
      <c r="E218" s="3">
        <v>100000.0</v>
      </c>
      <c r="F218" s="3" t="s">
        <v>58</v>
      </c>
      <c r="G218" s="3" t="s">
        <v>2001</v>
      </c>
      <c r="H218" s="5" t="s">
        <v>2002</v>
      </c>
      <c r="I218" s="5" t="s">
        <v>2003</v>
      </c>
      <c r="J218" s="3" t="s">
        <v>2004</v>
      </c>
      <c r="K218" s="3">
        <v>9.415211851E9</v>
      </c>
      <c r="L218" s="6" t="s">
        <v>2005</v>
      </c>
      <c r="M218" s="3"/>
      <c r="N218" s="3" t="str">
        <f t="shared" si="41"/>
        <v>NITIN MATANHELIA - GORAKHPUR</v>
      </c>
      <c r="O218" s="3" t="str">
        <f t="shared" si="42"/>
        <v>1pIkLTEq99ZID0V0k8H0hOFXZDJQMaAoy2fsIol-e81k</v>
      </c>
      <c r="P218" s="3" t="s">
        <v>64</v>
      </c>
      <c r="Q218" s="8" t="s">
        <v>65</v>
      </c>
      <c r="R218" s="3" t="s">
        <v>2006</v>
      </c>
      <c r="S218" s="3" t="s">
        <v>2006</v>
      </c>
      <c r="T218" s="8" t="s">
        <v>83</v>
      </c>
      <c r="U218" s="8"/>
      <c r="V218" s="8"/>
      <c r="W218" s="8"/>
      <c r="X218" s="8"/>
      <c r="Y218" s="8"/>
      <c r="Z218" s="8"/>
      <c r="AA218" s="8"/>
      <c r="AB218" s="8"/>
      <c r="AC218" s="8"/>
      <c r="AD218" s="8"/>
      <c r="AE218" s="8"/>
      <c r="AF218" s="8"/>
      <c r="AG218" s="3"/>
      <c r="AH218" s="8"/>
      <c r="AI218" s="8"/>
      <c r="AJ218" s="8"/>
      <c r="AK218" s="8"/>
      <c r="AL218" s="8"/>
      <c r="AM218" s="8"/>
      <c r="AN218" s="8"/>
      <c r="AO218" s="8"/>
      <c r="AP218" s="8"/>
      <c r="AQ218" s="8"/>
      <c r="AR218" s="8"/>
      <c r="AS218" s="8"/>
      <c r="AT218" s="9" t="s">
        <v>2007</v>
      </c>
      <c r="AU218" s="8" t="s">
        <v>69</v>
      </c>
      <c r="AV218" s="8"/>
      <c r="AW218" s="8"/>
      <c r="AX218" s="8"/>
      <c r="AY218" s="8"/>
      <c r="AZ218" s="8" t="s">
        <v>72</v>
      </c>
      <c r="BA218" s="8" t="s">
        <v>86</v>
      </c>
      <c r="BB218" s="8" t="s">
        <v>86</v>
      </c>
      <c r="BC218" s="8">
        <v>0.0</v>
      </c>
    </row>
    <row r="219">
      <c r="A219" s="3" t="s">
        <v>2008</v>
      </c>
      <c r="B219" s="3" t="s">
        <v>2009</v>
      </c>
      <c r="C219" s="3" t="s">
        <v>2010</v>
      </c>
      <c r="D219" s="3" t="s">
        <v>2009</v>
      </c>
      <c r="E219" s="3">
        <v>100000.0</v>
      </c>
      <c r="F219" s="3" t="s">
        <v>58</v>
      </c>
      <c r="G219" s="3" t="s">
        <v>2011</v>
      </c>
      <c r="H219" s="5" t="s">
        <v>2012</v>
      </c>
      <c r="I219" s="5" t="s">
        <v>2013</v>
      </c>
      <c r="J219" s="3" t="s">
        <v>2014</v>
      </c>
      <c r="K219" s="3">
        <v>7.557744531E9</v>
      </c>
      <c r="L219" s="6" t="s">
        <v>2015</v>
      </c>
      <c r="M219" s="3"/>
      <c r="N219" s="3" t="str">
        <f t="shared" si="41"/>
        <v>Shivam Automobile - Chakia</v>
      </c>
      <c r="O219" s="3" t="str">
        <f t="shared" si="42"/>
        <v>15TCKogSV6eLWZg1o0BLy9c__at_HGv_nwylQpiLk1k0</v>
      </c>
      <c r="P219" s="3" t="s">
        <v>64</v>
      </c>
      <c r="Q219" s="8" t="s">
        <v>285</v>
      </c>
      <c r="R219" s="3" t="s">
        <v>2016</v>
      </c>
      <c r="S219" s="3" t="s">
        <v>2016</v>
      </c>
      <c r="T219" s="8" t="s">
        <v>1308</v>
      </c>
      <c r="U219" s="8"/>
      <c r="V219" s="8"/>
      <c r="W219" s="8"/>
      <c r="X219" s="8"/>
      <c r="Y219" s="8"/>
      <c r="Z219" s="8"/>
      <c r="AA219" s="8"/>
      <c r="AB219" s="8"/>
      <c r="AC219" s="8"/>
      <c r="AD219" s="8"/>
      <c r="AE219" s="8"/>
      <c r="AF219" s="8"/>
      <c r="AG219" s="3" t="s">
        <v>2017</v>
      </c>
      <c r="AH219" s="8"/>
      <c r="AI219" s="8"/>
      <c r="AJ219" s="8"/>
      <c r="AK219" s="8"/>
      <c r="AL219" s="8"/>
      <c r="AM219" s="8"/>
      <c r="AN219" s="8"/>
      <c r="AO219" s="8"/>
      <c r="AP219" s="8"/>
      <c r="AQ219" s="8"/>
      <c r="AR219" s="8"/>
      <c r="AS219" s="8"/>
      <c r="AT219" s="9" t="s">
        <v>2018</v>
      </c>
      <c r="AU219" s="8" t="s">
        <v>730</v>
      </c>
      <c r="AV219" s="8"/>
      <c r="AW219" s="8"/>
      <c r="AX219" s="8"/>
      <c r="AY219" s="8"/>
      <c r="AZ219" s="8" t="s">
        <v>86</v>
      </c>
      <c r="BA219" s="8" t="s">
        <v>86</v>
      </c>
      <c r="BB219" s="8" t="s">
        <v>86</v>
      </c>
      <c r="BC219" s="8">
        <v>0.0</v>
      </c>
    </row>
    <row r="220">
      <c r="A220" s="3" t="s">
        <v>2019</v>
      </c>
      <c r="B220" s="3" t="s">
        <v>2020</v>
      </c>
      <c r="C220" s="3" t="s">
        <v>2021</v>
      </c>
      <c r="D220" s="3" t="s">
        <v>2020</v>
      </c>
      <c r="E220" s="3">
        <v>100000.0</v>
      </c>
      <c r="F220" s="3" t="s">
        <v>58</v>
      </c>
      <c r="G220" s="3" t="s">
        <v>2022</v>
      </c>
      <c r="H220" s="5" t="s">
        <v>2023</v>
      </c>
      <c r="I220" s="5" t="s">
        <v>2024</v>
      </c>
      <c r="J220" s="3" t="s">
        <v>2025</v>
      </c>
      <c r="K220" s="3">
        <v>9.956297575E9</v>
      </c>
      <c r="L220" s="6" t="s">
        <v>2026</v>
      </c>
      <c r="M220" s="3"/>
      <c r="N220" s="3" t="str">
        <f t="shared" si="41"/>
        <v>SHYAM MOTORS - FATEHPUR</v>
      </c>
      <c r="O220" s="3" t="str">
        <f t="shared" si="42"/>
        <v>1IW00YIJovrtt6A8q0p0zoi4iwBPaPgOVnZqjzOz5yP0</v>
      </c>
      <c r="P220" s="3" t="s">
        <v>64</v>
      </c>
      <c r="Q220" s="8" t="s">
        <v>65</v>
      </c>
      <c r="R220" s="3" t="s">
        <v>2027</v>
      </c>
      <c r="S220" s="3" t="s">
        <v>2027</v>
      </c>
      <c r="T220" s="8" t="s">
        <v>83</v>
      </c>
      <c r="U220" s="8"/>
      <c r="V220" s="8"/>
      <c r="W220" s="8"/>
      <c r="X220" s="8"/>
      <c r="Y220" s="8"/>
      <c r="Z220" s="8"/>
      <c r="AA220" s="8"/>
      <c r="AB220" s="8"/>
      <c r="AC220" s="8"/>
      <c r="AD220" s="8"/>
      <c r="AE220" s="8"/>
      <c r="AF220" s="8"/>
      <c r="AG220" s="3"/>
      <c r="AH220" s="8"/>
      <c r="AI220" s="8"/>
      <c r="AJ220" s="8"/>
      <c r="AK220" s="8"/>
      <c r="AL220" s="8"/>
      <c r="AM220" s="8"/>
      <c r="AN220" s="8"/>
      <c r="AO220" s="8"/>
      <c r="AP220" s="8"/>
      <c r="AQ220" s="8"/>
      <c r="AR220" s="8"/>
      <c r="AS220" s="8"/>
      <c r="AT220" s="9" t="s">
        <v>2028</v>
      </c>
      <c r="AU220" s="8" t="s">
        <v>69</v>
      </c>
      <c r="AV220" s="8"/>
      <c r="AW220" s="8"/>
      <c r="AX220" s="8"/>
      <c r="AY220" s="8"/>
      <c r="AZ220" s="8" t="s">
        <v>86</v>
      </c>
      <c r="BA220" s="8" t="s">
        <v>86</v>
      </c>
      <c r="BB220" s="8" t="s">
        <v>86</v>
      </c>
      <c r="BC220" s="8">
        <v>0.0</v>
      </c>
    </row>
    <row r="221">
      <c r="A221" s="3" t="s">
        <v>2029</v>
      </c>
      <c r="B221" s="3" t="s">
        <v>2030</v>
      </c>
      <c r="C221" s="3" t="s">
        <v>2031</v>
      </c>
      <c r="D221" s="3" t="s">
        <v>2030</v>
      </c>
      <c r="E221" s="3">
        <v>100000.0</v>
      </c>
      <c r="F221" s="3" t="s">
        <v>58</v>
      </c>
      <c r="G221" s="3" t="s">
        <v>2032</v>
      </c>
      <c r="H221" s="5" t="s">
        <v>2033</v>
      </c>
      <c r="I221" s="5" t="s">
        <v>2034</v>
      </c>
      <c r="J221" s="3" t="s">
        <v>2035</v>
      </c>
      <c r="K221" s="3">
        <v>9.838546709E9</v>
      </c>
      <c r="L221" s="16">
        <v>44263.82013888889</v>
      </c>
      <c r="M221" s="3"/>
      <c r="N221" s="3" t="str">
        <f t="shared" si="41"/>
        <v>Goel Motors - Lucknow</v>
      </c>
      <c r="O221" s="3" t="str">
        <f t="shared" si="42"/>
        <v>1WXvYHRsq58CQOMiTQW5jz_Rk7VXZzJwGsE9DYysdKio</v>
      </c>
      <c r="P221" s="3" t="s">
        <v>64</v>
      </c>
      <c r="Q221" s="8" t="s">
        <v>65</v>
      </c>
      <c r="R221" s="3" t="s">
        <v>2036</v>
      </c>
      <c r="S221" s="3" t="s">
        <v>2036</v>
      </c>
      <c r="T221" s="8" t="s">
        <v>83</v>
      </c>
      <c r="U221" s="8"/>
      <c r="V221" s="8"/>
      <c r="W221" s="8"/>
      <c r="X221" s="8"/>
      <c r="Y221" s="8"/>
      <c r="Z221" s="8"/>
      <c r="AA221" s="8"/>
      <c r="AB221" s="8"/>
      <c r="AC221" s="8"/>
      <c r="AD221" s="8"/>
      <c r="AE221" s="8"/>
      <c r="AF221" s="8"/>
      <c r="AG221" s="3"/>
      <c r="AH221" s="8"/>
      <c r="AI221" s="8"/>
      <c r="AJ221" s="8"/>
      <c r="AK221" s="8"/>
      <c r="AL221" s="8"/>
      <c r="AM221" s="8"/>
      <c r="AN221" s="8"/>
      <c r="AO221" s="8"/>
      <c r="AP221" s="8"/>
      <c r="AQ221" s="8"/>
      <c r="AR221" s="8"/>
      <c r="AS221" s="8"/>
      <c r="AT221" s="9" t="s">
        <v>2037</v>
      </c>
      <c r="AU221" s="8" t="s">
        <v>69</v>
      </c>
      <c r="AV221" s="8"/>
      <c r="AW221" s="8"/>
      <c r="AX221" s="8"/>
      <c r="AY221" s="8"/>
      <c r="AZ221" s="8" t="s">
        <v>72</v>
      </c>
      <c r="BA221" s="8" t="s">
        <v>86</v>
      </c>
      <c r="BB221" s="8" t="s">
        <v>86</v>
      </c>
      <c r="BC221" s="8">
        <v>0.0</v>
      </c>
    </row>
    <row r="222">
      <c r="A222" s="3" t="s">
        <v>2038</v>
      </c>
      <c r="B222" s="3" t="s">
        <v>2039</v>
      </c>
      <c r="C222" s="3" t="s">
        <v>2040</v>
      </c>
      <c r="D222" s="3" t="s">
        <v>2039</v>
      </c>
      <c r="E222" s="3">
        <v>100000.0</v>
      </c>
      <c r="F222" s="3" t="s">
        <v>58</v>
      </c>
      <c r="G222" s="3" t="s">
        <v>2041</v>
      </c>
      <c r="H222" s="5" t="s">
        <v>2042</v>
      </c>
      <c r="I222" s="5" t="s">
        <v>2043</v>
      </c>
      <c r="J222" s="3" t="s">
        <v>2044</v>
      </c>
      <c r="K222" s="3">
        <v>8.866094333E9</v>
      </c>
      <c r="L222" s="16">
        <v>44324.549305555556</v>
      </c>
      <c r="M222" s="3"/>
      <c r="N222" s="3" t="str">
        <f t="shared" si="41"/>
        <v>Mahalaxmi TVS- AHEMDABAD</v>
      </c>
      <c r="O222" s="3" t="str">
        <f t="shared" si="42"/>
        <v>1Y48WevU4dZlpN_oRadqFSD4ED20x97CYUdeAzWdn3go</v>
      </c>
      <c r="P222" s="3" t="s">
        <v>64</v>
      </c>
      <c r="Q222" s="8" t="s">
        <v>285</v>
      </c>
      <c r="R222" s="3" t="s">
        <v>1478</v>
      </c>
      <c r="S222" s="3" t="s">
        <v>637</v>
      </c>
      <c r="T222" s="8" t="s">
        <v>638</v>
      </c>
      <c r="U222" s="8"/>
      <c r="V222" s="8"/>
      <c r="W222" s="8"/>
      <c r="X222" s="8"/>
      <c r="Y222" s="8"/>
      <c r="Z222" s="8"/>
      <c r="AA222" s="8"/>
      <c r="AB222" s="8"/>
      <c r="AC222" s="8"/>
      <c r="AD222" s="8"/>
      <c r="AE222" s="8"/>
      <c r="AF222" s="8"/>
      <c r="AG222" s="3" t="s">
        <v>2045</v>
      </c>
      <c r="AH222" s="8"/>
      <c r="AI222" s="8"/>
      <c r="AJ222" s="8"/>
      <c r="AK222" s="8"/>
      <c r="AL222" s="8"/>
      <c r="AM222" s="8"/>
      <c r="AN222" s="8"/>
      <c r="AO222" s="8"/>
      <c r="AP222" s="8"/>
      <c r="AQ222" s="8"/>
      <c r="AR222" s="8"/>
      <c r="AS222" s="8"/>
      <c r="AT222" s="9" t="s">
        <v>2046</v>
      </c>
      <c r="AU222" s="8" t="s">
        <v>730</v>
      </c>
      <c r="AV222" s="8"/>
      <c r="AW222" s="8"/>
      <c r="AX222" s="8"/>
      <c r="AY222" s="8"/>
      <c r="AZ222" s="8" t="s">
        <v>86</v>
      </c>
      <c r="BA222" s="8" t="s">
        <v>86</v>
      </c>
      <c r="BB222" s="8" t="s">
        <v>86</v>
      </c>
      <c r="BC222" s="8">
        <v>0.0</v>
      </c>
    </row>
    <row r="223">
      <c r="A223" s="3" t="s">
        <v>2047</v>
      </c>
      <c r="B223" s="3" t="s">
        <v>2048</v>
      </c>
      <c r="C223" s="3" t="s">
        <v>2049</v>
      </c>
      <c r="D223" s="3" t="s">
        <v>2048</v>
      </c>
      <c r="E223" s="3">
        <v>100000.0</v>
      </c>
      <c r="F223" s="3" t="s">
        <v>58</v>
      </c>
      <c r="G223" s="3" t="s">
        <v>2050</v>
      </c>
      <c r="H223" s="5" t="s">
        <v>2051</v>
      </c>
      <c r="I223" s="5" t="s">
        <v>2052</v>
      </c>
      <c r="J223" s="3" t="s">
        <v>2053</v>
      </c>
      <c r="K223" s="3">
        <v>9.50862037E9</v>
      </c>
      <c r="L223" s="16">
        <v>44447.49097222222</v>
      </c>
      <c r="M223" s="3"/>
      <c r="N223" s="3" t="str">
        <f>(B173)</f>
        <v>Modern Auto Agency - Bettiah</v>
      </c>
      <c r="O223" s="3" t="str">
        <f>(A173)</f>
        <v>1_UtGSoyOsljQXvmry7gfXGYwjwEjQbghQQGZebnq45M</v>
      </c>
      <c r="P223" s="3" t="s">
        <v>142</v>
      </c>
      <c r="Q223" s="8" t="s">
        <v>65</v>
      </c>
      <c r="R223" s="3" t="s">
        <v>2054</v>
      </c>
      <c r="S223" s="3" t="s">
        <v>2054</v>
      </c>
      <c r="T223" s="8" t="s">
        <v>1308</v>
      </c>
      <c r="U223" s="8"/>
      <c r="V223" s="8"/>
      <c r="W223" s="8"/>
      <c r="X223" s="8"/>
      <c r="Y223" s="8"/>
      <c r="Z223" s="8"/>
      <c r="AA223" s="8"/>
      <c r="AB223" s="8"/>
      <c r="AC223" s="8"/>
      <c r="AD223" s="8"/>
      <c r="AE223" s="8"/>
      <c r="AF223" s="8"/>
      <c r="AG223" s="3"/>
      <c r="AH223" s="8"/>
      <c r="AI223" s="8"/>
      <c r="AJ223" s="8"/>
      <c r="AK223" s="8"/>
      <c r="AL223" s="8"/>
      <c r="AM223" s="8"/>
      <c r="AN223" s="8"/>
      <c r="AO223" s="8"/>
      <c r="AP223" s="8"/>
      <c r="AQ223" s="8"/>
      <c r="AR223" s="8"/>
      <c r="AS223" s="8"/>
      <c r="AT223" s="8"/>
      <c r="AU223" s="8" t="s">
        <v>85</v>
      </c>
      <c r="AV223" s="8"/>
      <c r="AW223" s="8"/>
      <c r="AX223" s="8"/>
      <c r="AY223" s="8"/>
      <c r="AZ223" s="8" t="s">
        <v>72</v>
      </c>
      <c r="BA223" s="8" t="s">
        <v>86</v>
      </c>
      <c r="BB223" s="8" t="s">
        <v>86</v>
      </c>
      <c r="BC223" s="8">
        <v>0.0</v>
      </c>
    </row>
    <row r="224">
      <c r="A224" s="3" t="s">
        <v>2055</v>
      </c>
      <c r="B224" s="3" t="s">
        <v>2056</v>
      </c>
      <c r="C224" s="3" t="s">
        <v>2057</v>
      </c>
      <c r="D224" s="3" t="s">
        <v>2056</v>
      </c>
      <c r="E224" s="3">
        <v>100000.0</v>
      </c>
      <c r="F224" s="3" t="s">
        <v>58</v>
      </c>
      <c r="G224" s="3" t="s">
        <v>2058</v>
      </c>
      <c r="H224" s="5" t="s">
        <v>2059</v>
      </c>
      <c r="I224" s="5" t="s">
        <v>2060</v>
      </c>
      <c r="J224" s="3" t="s">
        <v>2061</v>
      </c>
      <c r="K224" s="3">
        <v>9.825034696E9</v>
      </c>
      <c r="L224" s="16">
        <v>44538.69652777778</v>
      </c>
      <c r="M224" s="3"/>
      <c r="N224" s="3" t="str">
        <f t="shared" ref="N224:N225" si="43">B224</f>
        <v>STALLIONZ TVS - AHMEDABAD</v>
      </c>
      <c r="O224" s="3" t="str">
        <f t="shared" ref="O224:O225" si="44">A224</f>
        <v>1JAbS28NFmfJxZrsQ7twsfzmqCme35J_wqOELlcNcX1c</v>
      </c>
      <c r="P224" s="3" t="s">
        <v>64</v>
      </c>
      <c r="Q224" s="8" t="s">
        <v>285</v>
      </c>
      <c r="R224" s="3" t="s">
        <v>1478</v>
      </c>
      <c r="S224" s="3" t="s">
        <v>1478</v>
      </c>
      <c r="T224" s="8" t="s">
        <v>638</v>
      </c>
      <c r="U224" s="8"/>
      <c r="V224" s="8"/>
      <c r="W224" s="8"/>
      <c r="X224" s="8"/>
      <c r="Y224" s="8"/>
      <c r="Z224" s="8"/>
      <c r="AA224" s="8"/>
      <c r="AB224" s="8"/>
      <c r="AC224" s="8"/>
      <c r="AD224" s="8"/>
      <c r="AE224" s="8"/>
      <c r="AF224" s="8"/>
      <c r="AG224" s="3"/>
      <c r="AH224" s="8"/>
      <c r="AI224" s="8"/>
      <c r="AJ224" s="8"/>
      <c r="AK224" s="8"/>
      <c r="AL224" s="8"/>
      <c r="AM224" s="8"/>
      <c r="AN224" s="8"/>
      <c r="AO224" s="8"/>
      <c r="AP224" s="8"/>
      <c r="AQ224" s="8"/>
      <c r="AR224" s="8"/>
      <c r="AS224" s="8"/>
      <c r="AT224" s="9" t="s">
        <v>2062</v>
      </c>
      <c r="AU224" s="8" t="s">
        <v>730</v>
      </c>
      <c r="AV224" s="8"/>
      <c r="AW224" s="8"/>
      <c r="AX224" s="8"/>
      <c r="AY224" s="8"/>
      <c r="AZ224" s="8" t="s">
        <v>86</v>
      </c>
      <c r="BA224" s="8" t="s">
        <v>86</v>
      </c>
      <c r="BB224" s="8" t="s">
        <v>86</v>
      </c>
      <c r="BC224" s="8">
        <v>0.0</v>
      </c>
    </row>
    <row r="225">
      <c r="A225" s="3" t="s">
        <v>2063</v>
      </c>
      <c r="B225" s="3" t="s">
        <v>2064</v>
      </c>
      <c r="C225" s="3" t="s">
        <v>2065</v>
      </c>
      <c r="D225" s="3" t="s">
        <v>2064</v>
      </c>
      <c r="E225" s="3">
        <v>100000.0</v>
      </c>
      <c r="F225" s="3" t="s">
        <v>58</v>
      </c>
      <c r="G225" s="3" t="s">
        <v>2066</v>
      </c>
      <c r="H225" s="5" t="s">
        <v>2067</v>
      </c>
      <c r="I225" s="5" t="s">
        <v>2068</v>
      </c>
      <c r="J225" s="3" t="s">
        <v>2069</v>
      </c>
      <c r="K225" s="3">
        <v>9.423076289E9</v>
      </c>
      <c r="L225" s="6" t="s">
        <v>2070</v>
      </c>
      <c r="M225" s="3"/>
      <c r="N225" s="3" t="str">
        <f t="shared" si="43"/>
        <v>SAI HERO-UDGIR</v>
      </c>
      <c r="O225" s="3" t="str">
        <f t="shared" si="44"/>
        <v>1KROhijYRp4JJHg6qMghouwiu3FhY0i9nzQ4icP6smio</v>
      </c>
      <c r="P225" s="3" t="s">
        <v>64</v>
      </c>
      <c r="Q225" s="8" t="s">
        <v>65</v>
      </c>
      <c r="R225" s="3" t="s">
        <v>2071</v>
      </c>
      <c r="S225" s="3" t="s">
        <v>2071</v>
      </c>
      <c r="T225" s="8" t="s">
        <v>1409</v>
      </c>
      <c r="U225" s="8"/>
      <c r="V225" s="8"/>
      <c r="W225" s="8"/>
      <c r="X225" s="8"/>
      <c r="Y225" s="8"/>
      <c r="Z225" s="8"/>
      <c r="AA225" s="8"/>
      <c r="AB225" s="8"/>
      <c r="AC225" s="8"/>
      <c r="AD225" s="8"/>
      <c r="AE225" s="8"/>
      <c r="AF225" s="8"/>
      <c r="AG225" s="3"/>
      <c r="AH225" s="8"/>
      <c r="AI225" s="8"/>
      <c r="AJ225" s="8"/>
      <c r="AK225" s="8"/>
      <c r="AL225" s="8"/>
      <c r="AM225" s="8"/>
      <c r="AN225" s="8"/>
      <c r="AO225" s="8"/>
      <c r="AP225" s="8"/>
      <c r="AQ225" s="8"/>
      <c r="AR225" s="8"/>
      <c r="AS225" s="8"/>
      <c r="AT225" s="9" t="s">
        <v>2072</v>
      </c>
      <c r="AU225" s="8" t="s">
        <v>730</v>
      </c>
      <c r="AV225" s="8"/>
      <c r="AW225" s="8"/>
      <c r="AX225" s="8"/>
      <c r="AY225" s="8"/>
      <c r="AZ225" s="8" t="s">
        <v>86</v>
      </c>
      <c r="BA225" s="8" t="s">
        <v>86</v>
      </c>
      <c r="BB225" s="8" t="s">
        <v>86</v>
      </c>
      <c r="BC225" s="8">
        <v>0.0</v>
      </c>
    </row>
    <row r="226">
      <c r="A226" s="3" t="s">
        <v>2073</v>
      </c>
      <c r="B226" s="3" t="s">
        <v>2074</v>
      </c>
      <c r="C226" s="3" t="s">
        <v>2075</v>
      </c>
      <c r="D226" s="3" t="s">
        <v>2074</v>
      </c>
      <c r="E226" s="3">
        <v>100000.0</v>
      </c>
      <c r="F226" s="3" t="s">
        <v>58</v>
      </c>
      <c r="G226" s="3" t="s">
        <v>2076</v>
      </c>
      <c r="H226" s="5" t="s">
        <v>2077</v>
      </c>
      <c r="I226" s="5" t="s">
        <v>2078</v>
      </c>
      <c r="J226" s="3" t="s">
        <v>2079</v>
      </c>
      <c r="K226" s="3">
        <v>9.377447407E9</v>
      </c>
      <c r="L226" s="6" t="s">
        <v>2080</v>
      </c>
      <c r="M226" s="3"/>
      <c r="N226" s="3" t="str">
        <f>(B222)</f>
        <v>Mahalaxmi TVS- AHEMDABAD</v>
      </c>
      <c r="O226" s="3" t="str">
        <f>(A222)</f>
        <v>1Y48WevU4dZlpN_oRadqFSD4ED20x97CYUdeAzWdn3go</v>
      </c>
      <c r="P226" s="3" t="s">
        <v>142</v>
      </c>
      <c r="Q226" s="8" t="s">
        <v>285</v>
      </c>
      <c r="R226" s="3" t="s">
        <v>637</v>
      </c>
      <c r="S226" s="3" t="s">
        <v>637</v>
      </c>
      <c r="T226" s="8" t="s">
        <v>638</v>
      </c>
      <c r="U226" s="8"/>
      <c r="V226" s="8"/>
      <c r="W226" s="8"/>
      <c r="X226" s="8"/>
      <c r="Y226" s="8"/>
      <c r="Z226" s="8"/>
      <c r="AA226" s="8"/>
      <c r="AB226" s="8"/>
      <c r="AC226" s="8"/>
      <c r="AD226" s="8"/>
      <c r="AE226" s="8"/>
      <c r="AF226" s="8"/>
      <c r="AG226" s="3"/>
      <c r="AH226" s="8"/>
      <c r="AI226" s="8"/>
      <c r="AJ226" s="8"/>
      <c r="AK226" s="8"/>
      <c r="AL226" s="8"/>
      <c r="AM226" s="8"/>
      <c r="AN226" s="8"/>
      <c r="AO226" s="8"/>
      <c r="AP226" s="8"/>
      <c r="AQ226" s="8"/>
      <c r="AR226" s="8"/>
      <c r="AS226" s="8"/>
      <c r="AT226" s="8"/>
      <c r="AU226" s="8" t="s">
        <v>730</v>
      </c>
      <c r="AV226" s="8"/>
      <c r="AW226" s="8"/>
      <c r="AX226" s="8"/>
      <c r="AY226" s="8"/>
      <c r="AZ226" s="8" t="s">
        <v>86</v>
      </c>
      <c r="BA226" s="8" t="s">
        <v>86</v>
      </c>
      <c r="BB226" s="8" t="s">
        <v>86</v>
      </c>
      <c r="BC226" s="8">
        <v>0.0</v>
      </c>
    </row>
    <row r="227">
      <c r="A227" s="3" t="s">
        <v>2081</v>
      </c>
      <c r="B227" s="3" t="s">
        <v>2082</v>
      </c>
      <c r="C227" s="3" t="s">
        <v>2083</v>
      </c>
      <c r="D227" s="3" t="s">
        <v>2082</v>
      </c>
      <c r="E227" s="3">
        <v>100000.0</v>
      </c>
      <c r="F227" s="3" t="s">
        <v>58</v>
      </c>
      <c r="G227" s="3" t="s">
        <v>2084</v>
      </c>
      <c r="H227" s="5" t="s">
        <v>2085</v>
      </c>
      <c r="I227" s="5" t="s">
        <v>2086</v>
      </c>
      <c r="J227" s="3" t="s">
        <v>2087</v>
      </c>
      <c r="K227" s="3">
        <v>8.866457333E9</v>
      </c>
      <c r="L227" s="6" t="s">
        <v>2088</v>
      </c>
      <c r="M227" s="3"/>
      <c r="N227" s="3" t="str">
        <f>(B222)</f>
        <v>Mahalaxmi TVS- AHEMDABAD</v>
      </c>
      <c r="O227" s="3" t="str">
        <f>(A222)</f>
        <v>1Y48WevU4dZlpN_oRadqFSD4ED20x97CYUdeAzWdn3go</v>
      </c>
      <c r="P227" s="3" t="s">
        <v>142</v>
      </c>
      <c r="Q227" s="8" t="s">
        <v>285</v>
      </c>
      <c r="R227" s="3" t="s">
        <v>637</v>
      </c>
      <c r="S227" s="3" t="s">
        <v>1478</v>
      </c>
      <c r="T227" s="8" t="s">
        <v>638</v>
      </c>
      <c r="U227" s="8"/>
      <c r="V227" s="8"/>
      <c r="W227" s="8"/>
      <c r="X227" s="8"/>
      <c r="Y227" s="8"/>
      <c r="Z227" s="8"/>
      <c r="AA227" s="8"/>
      <c r="AB227" s="8"/>
      <c r="AC227" s="8"/>
      <c r="AD227" s="8"/>
      <c r="AE227" s="8"/>
      <c r="AF227" s="8"/>
      <c r="AG227" s="3"/>
      <c r="AH227" s="8"/>
      <c r="AI227" s="8"/>
      <c r="AJ227" s="8"/>
      <c r="AK227" s="8"/>
      <c r="AL227" s="8"/>
      <c r="AM227" s="8"/>
      <c r="AN227" s="8"/>
      <c r="AO227" s="8"/>
      <c r="AP227" s="8"/>
      <c r="AQ227" s="8"/>
      <c r="AR227" s="8"/>
      <c r="AS227" s="8"/>
      <c r="AT227" s="8"/>
      <c r="AU227" s="8" t="s">
        <v>730</v>
      </c>
      <c r="AV227" s="8"/>
      <c r="AW227" s="8"/>
      <c r="AX227" s="8"/>
      <c r="AY227" s="8"/>
      <c r="AZ227" s="8" t="s">
        <v>86</v>
      </c>
      <c r="BA227" s="8" t="s">
        <v>86</v>
      </c>
      <c r="BB227" s="8" t="s">
        <v>86</v>
      </c>
      <c r="BC227" s="8">
        <v>0.0</v>
      </c>
    </row>
    <row r="228">
      <c r="A228" s="3" t="s">
        <v>2089</v>
      </c>
      <c r="B228" s="3" t="s">
        <v>2090</v>
      </c>
      <c r="C228" s="3" t="s">
        <v>2091</v>
      </c>
      <c r="D228" s="3" t="s">
        <v>2090</v>
      </c>
      <c r="E228" s="3">
        <v>100000.0</v>
      </c>
      <c r="F228" s="3" t="s">
        <v>58</v>
      </c>
      <c r="G228" s="3" t="s">
        <v>2092</v>
      </c>
      <c r="H228" s="5" t="s">
        <v>2093</v>
      </c>
      <c r="I228" s="5" t="s">
        <v>2094</v>
      </c>
      <c r="J228" s="3" t="s">
        <v>2095</v>
      </c>
      <c r="K228" s="3">
        <v>9.852815871E9</v>
      </c>
      <c r="L228" s="6" t="s">
        <v>2096</v>
      </c>
      <c r="M228" s="3"/>
      <c r="N228" s="3" t="str">
        <f>(B173)</f>
        <v>Modern Auto Agency - Bettiah</v>
      </c>
      <c r="O228" s="3" t="str">
        <f>(A173)</f>
        <v>1_UtGSoyOsljQXvmry7gfXGYwjwEjQbghQQGZebnq45M</v>
      </c>
      <c r="P228" s="3" t="s">
        <v>142</v>
      </c>
      <c r="Q228" s="8" t="s">
        <v>65</v>
      </c>
      <c r="R228" s="3" t="s">
        <v>2097</v>
      </c>
      <c r="S228" s="3" t="s">
        <v>2097</v>
      </c>
      <c r="T228" s="8" t="s">
        <v>1308</v>
      </c>
      <c r="U228" s="8"/>
      <c r="V228" s="8"/>
      <c r="W228" s="8"/>
      <c r="X228" s="8"/>
      <c r="Y228" s="8"/>
      <c r="Z228" s="8"/>
      <c r="AA228" s="8"/>
      <c r="AB228" s="8"/>
      <c r="AC228" s="8"/>
      <c r="AD228" s="8"/>
      <c r="AE228" s="8"/>
      <c r="AF228" s="8"/>
      <c r="AG228" s="3"/>
      <c r="AH228" s="8"/>
      <c r="AI228" s="8"/>
      <c r="AJ228" s="8"/>
      <c r="AK228" s="8"/>
      <c r="AL228" s="8"/>
      <c r="AM228" s="8"/>
      <c r="AN228" s="8"/>
      <c r="AO228" s="8"/>
      <c r="AP228" s="8"/>
      <c r="AQ228" s="8"/>
      <c r="AR228" s="8"/>
      <c r="AS228" s="8"/>
      <c r="AT228" s="9" t="s">
        <v>2098</v>
      </c>
      <c r="AU228" s="8" t="s">
        <v>85</v>
      </c>
      <c r="AV228" s="8"/>
      <c r="AW228" s="8"/>
      <c r="AX228" s="8"/>
      <c r="AY228" s="8"/>
      <c r="AZ228" s="8" t="s">
        <v>72</v>
      </c>
      <c r="BA228" s="8" t="s">
        <v>86</v>
      </c>
      <c r="BB228" s="8" t="s">
        <v>86</v>
      </c>
      <c r="BC228" s="8">
        <v>0.0</v>
      </c>
    </row>
    <row r="229">
      <c r="A229" s="3" t="s">
        <v>2099</v>
      </c>
      <c r="B229" s="3" t="s">
        <v>2100</v>
      </c>
      <c r="C229" s="3" t="s">
        <v>2101</v>
      </c>
      <c r="D229" s="3"/>
      <c r="E229" s="3">
        <v>100000.0</v>
      </c>
      <c r="F229" s="3" t="s">
        <v>58</v>
      </c>
      <c r="G229" s="3" t="s">
        <v>2102</v>
      </c>
      <c r="H229" s="5" t="s">
        <v>2103</v>
      </c>
      <c r="I229" s="5" t="s">
        <v>2104</v>
      </c>
      <c r="J229" s="3" t="s">
        <v>2105</v>
      </c>
      <c r="K229" s="3">
        <v>9.997399171E9</v>
      </c>
      <c r="L229" s="6" t="s">
        <v>2106</v>
      </c>
      <c r="M229" s="3"/>
      <c r="N229" s="3" t="str">
        <f>(B7)</f>
        <v>Vikas Autowheels</v>
      </c>
      <c r="O229" s="3" t="str">
        <f>(A7)</f>
        <v>1944RLX7T1M23YXRXYoMnJ6nD_bKLldQXRpFRA0rDLvg</v>
      </c>
      <c r="P229" s="3" t="s">
        <v>142</v>
      </c>
      <c r="Q229" s="8"/>
      <c r="R229" s="3" t="s">
        <v>2107</v>
      </c>
      <c r="S229" s="3" t="s">
        <v>2107</v>
      </c>
      <c r="T229" s="8" t="s">
        <v>83</v>
      </c>
      <c r="U229" s="8" t="s">
        <v>2108</v>
      </c>
      <c r="V229" s="8" t="s">
        <v>2105</v>
      </c>
      <c r="W229" s="8">
        <v>9.997399171E9</v>
      </c>
      <c r="X229" s="8" t="s">
        <v>2109</v>
      </c>
      <c r="Y229" s="8" t="s">
        <v>2110</v>
      </c>
      <c r="Z229" s="8">
        <v>9.997071471E9</v>
      </c>
      <c r="AA229" s="8" t="s">
        <v>2111</v>
      </c>
      <c r="AB229" s="8" t="s">
        <v>122</v>
      </c>
      <c r="AC229" s="8">
        <v>7.906279052E9</v>
      </c>
      <c r="AD229" s="8" t="s">
        <v>2112</v>
      </c>
      <c r="AE229" s="8" t="s">
        <v>122</v>
      </c>
      <c r="AF229" s="8">
        <v>9.26781852E9</v>
      </c>
      <c r="AG229" s="3"/>
      <c r="AH229" s="8"/>
      <c r="AI229" s="8"/>
      <c r="AJ229" s="8"/>
      <c r="AK229" s="8"/>
      <c r="AL229" s="8"/>
      <c r="AM229" s="8"/>
      <c r="AN229" s="8"/>
      <c r="AO229" s="8"/>
      <c r="AP229" s="8"/>
      <c r="AQ229" s="8"/>
      <c r="AR229" s="8"/>
      <c r="AS229" s="8"/>
      <c r="AT229" s="9"/>
      <c r="AU229" s="8" t="s">
        <v>85</v>
      </c>
      <c r="AV229" s="8"/>
      <c r="AW229" s="8"/>
      <c r="AX229" s="8"/>
      <c r="AY229" s="8"/>
      <c r="AZ229" s="8" t="s">
        <v>72</v>
      </c>
      <c r="BA229" s="8" t="s">
        <v>86</v>
      </c>
      <c r="BB229" s="8" t="s">
        <v>86</v>
      </c>
      <c r="BC229" s="8">
        <v>0.0</v>
      </c>
    </row>
    <row r="230">
      <c r="A230" s="3" t="s">
        <v>2113</v>
      </c>
      <c r="B230" s="3" t="s">
        <v>2114</v>
      </c>
      <c r="C230" s="3" t="s">
        <v>2115</v>
      </c>
      <c r="D230" s="3"/>
      <c r="E230" s="3">
        <v>100000.0</v>
      </c>
      <c r="F230" s="3" t="s">
        <v>58</v>
      </c>
      <c r="G230" s="3" t="s">
        <v>2116</v>
      </c>
      <c r="H230" s="5" t="s">
        <v>2117</v>
      </c>
      <c r="I230" s="5" t="s">
        <v>2118</v>
      </c>
      <c r="J230" s="3" t="s">
        <v>2119</v>
      </c>
      <c r="K230" s="3">
        <v>9.997091006E9</v>
      </c>
      <c r="L230" s="6" t="s">
        <v>2120</v>
      </c>
      <c r="M230" s="3"/>
      <c r="N230" s="3" t="str">
        <f>(B7)</f>
        <v>Vikas Autowheels</v>
      </c>
      <c r="O230" s="3" t="str">
        <f>(A7)</f>
        <v>1944RLX7T1M23YXRXYoMnJ6nD_bKLldQXRpFRA0rDLvg</v>
      </c>
      <c r="P230" s="3" t="s">
        <v>142</v>
      </c>
      <c r="Q230" s="8"/>
      <c r="R230" s="3" t="s">
        <v>2121</v>
      </c>
      <c r="S230" s="3" t="s">
        <v>2121</v>
      </c>
      <c r="T230" s="8" t="s">
        <v>83</v>
      </c>
      <c r="U230" s="8" t="s">
        <v>2122</v>
      </c>
      <c r="V230" s="8" t="s">
        <v>2119</v>
      </c>
      <c r="W230" s="8">
        <v>9.997091006E9</v>
      </c>
      <c r="X230" s="8" t="s">
        <v>2109</v>
      </c>
      <c r="Y230" s="8" t="s">
        <v>2110</v>
      </c>
      <c r="Z230" s="8">
        <v>9.997071471E9</v>
      </c>
      <c r="AA230" s="8" t="s">
        <v>2111</v>
      </c>
      <c r="AB230" s="8" t="s">
        <v>122</v>
      </c>
      <c r="AC230" s="8">
        <v>7.906279052E9</v>
      </c>
      <c r="AD230" s="8" t="s">
        <v>2112</v>
      </c>
      <c r="AE230" s="8" t="s">
        <v>122</v>
      </c>
      <c r="AF230" s="8">
        <v>9.26781852E9</v>
      </c>
      <c r="AG230" s="3"/>
      <c r="AH230" s="8"/>
      <c r="AI230" s="8"/>
      <c r="AJ230" s="8"/>
      <c r="AK230" s="8"/>
      <c r="AL230" s="8"/>
      <c r="AM230" s="8"/>
      <c r="AN230" s="8"/>
      <c r="AO230" s="8"/>
      <c r="AP230" s="8"/>
      <c r="AQ230" s="8"/>
      <c r="AR230" s="8"/>
      <c r="AS230" s="8"/>
      <c r="AT230" s="9"/>
      <c r="AU230" s="8" t="s">
        <v>85</v>
      </c>
      <c r="AV230" s="8"/>
      <c r="AW230" s="8"/>
      <c r="AX230" s="8"/>
      <c r="AY230" s="8"/>
      <c r="AZ230" s="8" t="s">
        <v>72</v>
      </c>
      <c r="BA230" s="8" t="s">
        <v>86</v>
      </c>
      <c r="BB230" s="8" t="s">
        <v>86</v>
      </c>
      <c r="BC230" s="8">
        <v>0.0</v>
      </c>
    </row>
    <row r="231">
      <c r="A231" s="3" t="s">
        <v>2123</v>
      </c>
      <c r="B231" s="3" t="s">
        <v>2124</v>
      </c>
      <c r="C231" s="3" t="s">
        <v>2125</v>
      </c>
      <c r="D231" s="3"/>
      <c r="E231" s="3">
        <v>100000.0</v>
      </c>
      <c r="F231" s="3" t="s">
        <v>58</v>
      </c>
      <c r="G231" s="3" t="s">
        <v>2126</v>
      </c>
      <c r="H231" s="5" t="s">
        <v>2127</v>
      </c>
      <c r="I231" s="5" t="s">
        <v>2128</v>
      </c>
      <c r="J231" s="3" t="s">
        <v>2129</v>
      </c>
      <c r="K231" s="3">
        <v>9.871300958E9</v>
      </c>
      <c r="L231" s="6" t="s">
        <v>2130</v>
      </c>
      <c r="M231" s="3"/>
      <c r="N231" s="3" t="str">
        <f>(B36)</f>
        <v>AAA</v>
      </c>
      <c r="O231" s="3" t="str">
        <f>(A36)</f>
        <v>1AjVyIHPgPw3jscNmkTH1qzR2RokK5FZaJLjeNfOiYAA</v>
      </c>
      <c r="P231" s="3" t="s">
        <v>142</v>
      </c>
      <c r="Q231" s="8"/>
      <c r="R231" s="3" t="s">
        <v>123</v>
      </c>
      <c r="S231" s="3" t="s">
        <v>123</v>
      </c>
      <c r="T231" s="8" t="s">
        <v>83</v>
      </c>
      <c r="U231" s="8" t="s">
        <v>2131</v>
      </c>
      <c r="V231" s="8" t="s">
        <v>387</v>
      </c>
      <c r="W231" s="8">
        <v>9.871300958E9</v>
      </c>
      <c r="X231" s="8" t="s">
        <v>2132</v>
      </c>
      <c r="Y231" s="8" t="s">
        <v>387</v>
      </c>
      <c r="Z231" s="8">
        <v>9.04518462E9</v>
      </c>
      <c r="AA231" s="8" t="s">
        <v>2133</v>
      </c>
      <c r="AB231" s="8" t="s">
        <v>387</v>
      </c>
      <c r="AC231" s="8">
        <v>9.997224488E9</v>
      </c>
      <c r="AD231" s="8" t="s">
        <v>2132</v>
      </c>
      <c r="AE231" s="8" t="s">
        <v>387</v>
      </c>
      <c r="AF231" s="8">
        <v>9.04518462E9</v>
      </c>
      <c r="AG231" s="3"/>
      <c r="AH231" s="8"/>
      <c r="AI231" s="8"/>
      <c r="AJ231" s="8"/>
      <c r="AK231" s="8"/>
      <c r="AL231" s="8"/>
      <c r="AM231" s="8"/>
      <c r="AN231" s="8"/>
      <c r="AO231" s="8"/>
      <c r="AP231" s="8"/>
      <c r="AQ231" s="8"/>
      <c r="AR231" s="8"/>
      <c r="AS231" s="8"/>
      <c r="AT231" s="9"/>
      <c r="AU231" s="8" t="s">
        <v>85</v>
      </c>
      <c r="AV231" s="8"/>
      <c r="AW231" s="8"/>
      <c r="AX231" s="8"/>
      <c r="AY231" s="8"/>
      <c r="AZ231" s="8" t="s">
        <v>86</v>
      </c>
      <c r="BA231" s="8" t="s">
        <v>86</v>
      </c>
      <c r="BB231" s="8" t="s">
        <v>86</v>
      </c>
      <c r="BC231" s="8">
        <v>0.0</v>
      </c>
    </row>
    <row r="232">
      <c r="A232" s="3" t="s">
        <v>2134</v>
      </c>
      <c r="B232" s="3" t="s">
        <v>2135</v>
      </c>
      <c r="C232" s="3" t="s">
        <v>2136</v>
      </c>
      <c r="D232" s="3"/>
      <c r="E232" s="3">
        <v>100000.0</v>
      </c>
      <c r="F232" s="3" t="s">
        <v>58</v>
      </c>
      <c r="G232" s="3" t="s">
        <v>2137</v>
      </c>
      <c r="H232" s="5" t="s">
        <v>2138</v>
      </c>
      <c r="I232" s="5" t="s">
        <v>2139</v>
      </c>
      <c r="J232" s="3" t="s">
        <v>2140</v>
      </c>
      <c r="K232" s="3">
        <v>7.906552532E9</v>
      </c>
      <c r="L232" s="6" t="s">
        <v>2141</v>
      </c>
      <c r="M232" s="3"/>
      <c r="N232" s="3" t="str">
        <f>(B36)</f>
        <v>AAA</v>
      </c>
      <c r="O232" s="3" t="str">
        <f>(A36)</f>
        <v>1AjVyIHPgPw3jscNmkTH1qzR2RokK5FZaJLjeNfOiYAA</v>
      </c>
      <c r="P232" s="3" t="s">
        <v>142</v>
      </c>
      <c r="Q232" s="8"/>
      <c r="R232" s="3" t="s">
        <v>2142</v>
      </c>
      <c r="S232" s="3" t="s">
        <v>2142</v>
      </c>
      <c r="T232" s="8" t="s">
        <v>83</v>
      </c>
      <c r="U232" s="8" t="s">
        <v>2131</v>
      </c>
      <c r="V232" s="8" t="s">
        <v>387</v>
      </c>
      <c r="W232" s="8">
        <v>9.871300958E9</v>
      </c>
      <c r="X232" s="8" t="s">
        <v>2132</v>
      </c>
      <c r="Y232" s="8" t="s">
        <v>387</v>
      </c>
      <c r="Z232" s="8">
        <v>9.04518462E9</v>
      </c>
      <c r="AA232" s="8" t="s">
        <v>2133</v>
      </c>
      <c r="AB232" s="8" t="s">
        <v>387</v>
      </c>
      <c r="AC232" s="8">
        <v>9.997224488E9</v>
      </c>
      <c r="AD232" s="8" t="s">
        <v>2132</v>
      </c>
      <c r="AE232" s="8" t="s">
        <v>387</v>
      </c>
      <c r="AF232" s="8">
        <v>9.04518462E9</v>
      </c>
      <c r="AG232" s="3"/>
      <c r="AH232" s="8"/>
      <c r="AI232" s="8"/>
      <c r="AJ232" s="8"/>
      <c r="AK232" s="8"/>
      <c r="AL232" s="8"/>
      <c r="AM232" s="8"/>
      <c r="AN232" s="8"/>
      <c r="AO232" s="8"/>
      <c r="AP232" s="8"/>
      <c r="AQ232" s="8"/>
      <c r="AR232" s="8"/>
      <c r="AS232" s="8"/>
      <c r="AT232" s="9"/>
      <c r="AU232" s="8" t="s">
        <v>85</v>
      </c>
      <c r="AV232" s="8"/>
      <c r="AW232" s="8"/>
      <c r="AX232" s="8"/>
      <c r="AY232" s="8"/>
      <c r="AZ232" s="8" t="s">
        <v>86</v>
      </c>
      <c r="BA232" s="8" t="s">
        <v>86</v>
      </c>
      <c r="BB232" s="8" t="s">
        <v>86</v>
      </c>
      <c r="BC232" s="8">
        <v>0.0</v>
      </c>
    </row>
    <row r="233">
      <c r="A233" s="3" t="s">
        <v>2143</v>
      </c>
      <c r="B233" s="3" t="s">
        <v>2144</v>
      </c>
      <c r="C233" s="3" t="s">
        <v>2145</v>
      </c>
      <c r="D233" s="3"/>
      <c r="E233" s="3">
        <v>100000.0</v>
      </c>
      <c r="F233" s="3" t="s">
        <v>58</v>
      </c>
      <c r="G233" s="3" t="s">
        <v>2146</v>
      </c>
      <c r="H233" s="5" t="s">
        <v>2147</v>
      </c>
      <c r="I233" s="5" t="s">
        <v>2148</v>
      </c>
      <c r="J233" s="3" t="s">
        <v>2149</v>
      </c>
      <c r="K233" s="3">
        <v>9.158006201E9</v>
      </c>
      <c r="L233" s="6" t="s">
        <v>2150</v>
      </c>
      <c r="M233" s="3"/>
      <c r="N233" s="3" t="str">
        <f t="shared" ref="N233:N234" si="45">B233</f>
        <v>PASHANKAR AUTO- PUNE</v>
      </c>
      <c r="O233" s="3" t="str">
        <f t="shared" ref="O233:O234" si="46">A233</f>
        <v>1kRyPQWS9rBO-hWXuMRpK-o-u45enSa2VVTYNekPb4kk</v>
      </c>
      <c r="P233" s="3" t="s">
        <v>64</v>
      </c>
      <c r="Q233" s="8"/>
      <c r="R233" s="3" t="s">
        <v>1496</v>
      </c>
      <c r="S233" s="3" t="s">
        <v>1496</v>
      </c>
      <c r="T233" s="8" t="s">
        <v>1409</v>
      </c>
      <c r="U233" s="8" t="s">
        <v>2151</v>
      </c>
      <c r="V233" s="8" t="s">
        <v>2152</v>
      </c>
      <c r="W233" s="8">
        <v>9.326067604E9</v>
      </c>
      <c r="X233" s="8" t="s">
        <v>2153</v>
      </c>
      <c r="Y233" s="8" t="s">
        <v>2152</v>
      </c>
      <c r="Z233" s="8">
        <v>9.158006201E9</v>
      </c>
      <c r="AA233" s="8" t="s">
        <v>2153</v>
      </c>
      <c r="AB233" s="8" t="s">
        <v>2152</v>
      </c>
      <c r="AC233" s="8">
        <v>9.158006201E9</v>
      </c>
      <c r="AD233" s="8" t="s">
        <v>2154</v>
      </c>
      <c r="AE233" s="8" t="s">
        <v>2152</v>
      </c>
      <c r="AF233" s="8">
        <v>7.709097702E9</v>
      </c>
      <c r="AG233" s="3" t="s">
        <v>2155</v>
      </c>
      <c r="AH233" s="8" t="s">
        <v>2156</v>
      </c>
      <c r="AI233" s="8" t="s">
        <v>2157</v>
      </c>
      <c r="AJ233" s="8">
        <v>3.905001157E9</v>
      </c>
      <c r="AK233" s="8" t="s">
        <v>2158</v>
      </c>
      <c r="AL233" s="8" t="s">
        <v>2159</v>
      </c>
      <c r="AM233" s="8"/>
      <c r="AN233" s="8"/>
      <c r="AO233" s="8"/>
      <c r="AP233" s="8"/>
      <c r="AQ233" s="8"/>
      <c r="AR233" s="8"/>
      <c r="AS233" s="8"/>
      <c r="AT233" s="9" t="s">
        <v>2160</v>
      </c>
      <c r="AU233" s="8" t="s">
        <v>730</v>
      </c>
      <c r="AV233" s="8"/>
      <c r="AW233" s="8"/>
      <c r="AX233" s="8"/>
      <c r="AY233" s="8"/>
      <c r="AZ233" s="8" t="s">
        <v>72</v>
      </c>
      <c r="BA233" s="8" t="s">
        <v>86</v>
      </c>
      <c r="BB233" s="8" t="s">
        <v>86</v>
      </c>
      <c r="BC233" s="8">
        <v>0.0</v>
      </c>
    </row>
    <row r="234">
      <c r="A234" s="3" t="s">
        <v>2161</v>
      </c>
      <c r="B234" s="3" t="s">
        <v>2162</v>
      </c>
      <c r="C234" s="3" t="s">
        <v>2163</v>
      </c>
      <c r="D234" s="3"/>
      <c r="E234" s="3">
        <v>100000.0</v>
      </c>
      <c r="F234" s="3" t="s">
        <v>58</v>
      </c>
      <c r="G234" s="3" t="s">
        <v>2164</v>
      </c>
      <c r="H234" s="5" t="s">
        <v>2165</v>
      </c>
      <c r="I234" s="5" t="s">
        <v>2166</v>
      </c>
      <c r="J234" s="3" t="s">
        <v>2167</v>
      </c>
      <c r="K234" s="3">
        <v>9.8249922E9</v>
      </c>
      <c r="L234" s="16">
        <v>44205.7375</v>
      </c>
      <c r="M234" s="3"/>
      <c r="N234" s="3" t="str">
        <f t="shared" si="45"/>
        <v>VTECH TVS- AHMEDABAD</v>
      </c>
      <c r="O234" s="3" t="str">
        <f t="shared" si="46"/>
        <v>1R0uwjETF80Vss8P2a0gSsIF2iqphq4WIGrUlHbCVjKw</v>
      </c>
      <c r="P234" s="3" t="s">
        <v>64</v>
      </c>
      <c r="Q234" s="8"/>
      <c r="R234" s="3" t="s">
        <v>2168</v>
      </c>
      <c r="S234" s="3" t="s">
        <v>2168</v>
      </c>
      <c r="T234" s="8" t="s">
        <v>638</v>
      </c>
      <c r="U234" s="8" t="s">
        <v>2169</v>
      </c>
      <c r="V234" s="8" t="s">
        <v>2167</v>
      </c>
      <c r="W234" s="8">
        <v>9.8249922E9</v>
      </c>
      <c r="X234" s="8" t="s">
        <v>2170</v>
      </c>
      <c r="Y234" s="8" t="s">
        <v>2167</v>
      </c>
      <c r="Z234" s="8">
        <v>9.016422936E9</v>
      </c>
      <c r="AA234" s="8">
        <v>9.016422936E9</v>
      </c>
      <c r="AB234" s="8" t="s">
        <v>2167</v>
      </c>
      <c r="AC234" s="8">
        <v>9.016422936E9</v>
      </c>
      <c r="AD234" s="8" t="s">
        <v>2170</v>
      </c>
      <c r="AE234" s="8" t="s">
        <v>2167</v>
      </c>
      <c r="AF234" s="8">
        <v>9.016422936E9</v>
      </c>
      <c r="AG234" s="3" t="s">
        <v>2171</v>
      </c>
      <c r="AH234" s="8" t="s">
        <v>2172</v>
      </c>
      <c r="AI234" s="8" t="s">
        <v>2173</v>
      </c>
      <c r="AJ234" s="8">
        <v>7.84000002274E11</v>
      </c>
      <c r="AK234" s="8" t="s">
        <v>2174</v>
      </c>
      <c r="AL234" s="8" t="s">
        <v>2175</v>
      </c>
      <c r="AM234" s="8"/>
      <c r="AN234" s="8"/>
      <c r="AO234" s="8"/>
      <c r="AP234" s="8"/>
      <c r="AQ234" s="8"/>
      <c r="AR234" s="8"/>
      <c r="AS234" s="8"/>
      <c r="AT234" s="9" t="s">
        <v>2176</v>
      </c>
      <c r="AU234" s="8" t="s">
        <v>730</v>
      </c>
      <c r="AV234" s="8"/>
      <c r="AW234" s="8"/>
      <c r="AX234" s="8"/>
      <c r="AY234" s="8"/>
      <c r="AZ234" s="8" t="s">
        <v>86</v>
      </c>
      <c r="BA234" s="8" t="s">
        <v>86</v>
      </c>
      <c r="BB234" s="8" t="s">
        <v>86</v>
      </c>
      <c r="BC234" s="8">
        <v>0.0</v>
      </c>
    </row>
    <row r="235">
      <c r="A235" s="3" t="s">
        <v>2177</v>
      </c>
      <c r="B235" s="3" t="s">
        <v>2178</v>
      </c>
      <c r="C235" s="3" t="s">
        <v>2179</v>
      </c>
      <c r="D235" s="3"/>
      <c r="E235" s="3">
        <v>100000.0</v>
      </c>
      <c r="F235" s="3" t="s">
        <v>58</v>
      </c>
      <c r="G235" s="3" t="s">
        <v>2180</v>
      </c>
      <c r="H235" s="5" t="s">
        <v>2181</v>
      </c>
      <c r="I235" s="5" t="s">
        <v>2182</v>
      </c>
      <c r="J235" s="3" t="s">
        <v>2183</v>
      </c>
      <c r="K235" s="3">
        <v>9.027571115E9</v>
      </c>
      <c r="L235" s="16">
        <v>44236.50555555556</v>
      </c>
      <c r="M235" s="3"/>
      <c r="N235" s="3" t="str">
        <f>(B36)</f>
        <v>AAA</v>
      </c>
      <c r="O235" s="3" t="str">
        <f>(A36)</f>
        <v>1AjVyIHPgPw3jscNmkTH1qzR2RokK5FZaJLjeNfOiYAA</v>
      </c>
      <c r="P235" s="3" t="s">
        <v>142</v>
      </c>
      <c r="Q235" s="8"/>
      <c r="R235" s="3" t="s">
        <v>2184</v>
      </c>
      <c r="S235" s="3" t="s">
        <v>2184</v>
      </c>
      <c r="T235" s="8" t="s">
        <v>83</v>
      </c>
      <c r="U235" s="8" t="s">
        <v>2131</v>
      </c>
      <c r="V235" s="8" t="s">
        <v>387</v>
      </c>
      <c r="W235" s="8">
        <v>9.871300958E9</v>
      </c>
      <c r="X235" s="8" t="s">
        <v>2132</v>
      </c>
      <c r="Y235" s="8" t="s">
        <v>387</v>
      </c>
      <c r="Z235" s="8">
        <v>9.04518462E9</v>
      </c>
      <c r="AA235" s="8" t="s">
        <v>2133</v>
      </c>
      <c r="AB235" s="8" t="s">
        <v>387</v>
      </c>
      <c r="AC235" s="8">
        <v>9.997224488E9</v>
      </c>
      <c r="AD235" s="8" t="s">
        <v>2132</v>
      </c>
      <c r="AE235" s="8" t="s">
        <v>387</v>
      </c>
      <c r="AF235" s="8">
        <v>9.04518462E9</v>
      </c>
      <c r="AG235" s="3"/>
      <c r="AH235" s="8"/>
      <c r="AI235" s="8"/>
      <c r="AJ235" s="8"/>
      <c r="AK235" s="8"/>
      <c r="AL235" s="8"/>
      <c r="AM235" s="8"/>
      <c r="AN235" s="8"/>
      <c r="AO235" s="8"/>
      <c r="AP235" s="8"/>
      <c r="AQ235" s="8"/>
      <c r="AR235" s="8"/>
      <c r="AS235" s="8"/>
      <c r="AT235" s="9"/>
      <c r="AU235" s="8" t="s">
        <v>85</v>
      </c>
      <c r="AV235" s="8"/>
      <c r="AW235" s="8"/>
      <c r="AX235" s="8"/>
      <c r="AY235" s="8"/>
      <c r="AZ235" s="8" t="s">
        <v>86</v>
      </c>
      <c r="BA235" s="8" t="s">
        <v>86</v>
      </c>
      <c r="BB235" s="8" t="s">
        <v>86</v>
      </c>
      <c r="BC235" s="8">
        <v>0.0</v>
      </c>
    </row>
    <row r="236">
      <c r="A236" s="3" t="s">
        <v>2185</v>
      </c>
      <c r="B236" s="3" t="s">
        <v>2186</v>
      </c>
      <c r="C236" s="3" t="s">
        <v>2187</v>
      </c>
      <c r="D236" s="3"/>
      <c r="E236" s="3">
        <v>100000.0</v>
      </c>
      <c r="F236" s="3" t="s">
        <v>58</v>
      </c>
      <c r="G236" s="3" t="s">
        <v>2188</v>
      </c>
      <c r="H236" s="5" t="s">
        <v>2189</v>
      </c>
      <c r="I236" s="5" t="s">
        <v>2190</v>
      </c>
      <c r="J236" s="3" t="s">
        <v>2191</v>
      </c>
      <c r="K236" s="3">
        <v>9.536364403E9</v>
      </c>
      <c r="L236" s="16">
        <v>44236.513194444444</v>
      </c>
      <c r="M236" s="3"/>
      <c r="N236" s="3" t="str">
        <f>(B36)</f>
        <v>AAA</v>
      </c>
      <c r="O236" s="3" t="str">
        <f>(A36)</f>
        <v>1AjVyIHPgPw3jscNmkTH1qzR2RokK5FZaJLjeNfOiYAA</v>
      </c>
      <c r="P236" s="3" t="s">
        <v>142</v>
      </c>
      <c r="Q236" s="8"/>
      <c r="R236" s="3" t="s">
        <v>2192</v>
      </c>
      <c r="S236" s="3" t="s">
        <v>2192</v>
      </c>
      <c r="T236" s="8" t="s">
        <v>83</v>
      </c>
      <c r="U236" s="8" t="s">
        <v>2131</v>
      </c>
      <c r="V236" s="8" t="s">
        <v>387</v>
      </c>
      <c r="W236" s="8">
        <v>9.871300958E9</v>
      </c>
      <c r="X236" s="8" t="s">
        <v>2132</v>
      </c>
      <c r="Y236" s="8" t="s">
        <v>387</v>
      </c>
      <c r="Z236" s="8">
        <v>9.04518462E9</v>
      </c>
      <c r="AA236" s="8" t="s">
        <v>2133</v>
      </c>
      <c r="AB236" s="8" t="s">
        <v>387</v>
      </c>
      <c r="AC236" s="8">
        <v>9.997224488E9</v>
      </c>
      <c r="AD236" s="8" t="s">
        <v>2132</v>
      </c>
      <c r="AE236" s="8" t="s">
        <v>387</v>
      </c>
      <c r="AF236" s="8">
        <v>9.04518462E9</v>
      </c>
      <c r="AG236" s="3"/>
      <c r="AH236" s="8"/>
      <c r="AI236" s="8"/>
      <c r="AJ236" s="8"/>
      <c r="AK236" s="8"/>
      <c r="AL236" s="8"/>
      <c r="AM236" s="8"/>
      <c r="AN236" s="8"/>
      <c r="AO236" s="8"/>
      <c r="AP236" s="8"/>
      <c r="AQ236" s="8"/>
      <c r="AR236" s="8"/>
      <c r="AS236" s="8"/>
      <c r="AT236" s="9"/>
      <c r="AU236" s="8" t="s">
        <v>85</v>
      </c>
      <c r="AV236" s="8"/>
      <c r="AW236" s="8"/>
      <c r="AX236" s="8"/>
      <c r="AY236" s="8"/>
      <c r="AZ236" s="8" t="s">
        <v>86</v>
      </c>
      <c r="BA236" s="8" t="s">
        <v>86</v>
      </c>
      <c r="BB236" s="8" t="s">
        <v>86</v>
      </c>
      <c r="BC236" s="8">
        <v>0.0</v>
      </c>
    </row>
    <row r="237">
      <c r="A237" s="3" t="s">
        <v>2193</v>
      </c>
      <c r="B237" s="3" t="s">
        <v>2194</v>
      </c>
      <c r="C237" s="3" t="s">
        <v>2195</v>
      </c>
      <c r="D237" s="3"/>
      <c r="E237" s="3">
        <v>100000.0</v>
      </c>
      <c r="F237" s="3" t="s">
        <v>58</v>
      </c>
      <c r="G237" s="3" t="s">
        <v>2196</v>
      </c>
      <c r="H237" s="5" t="s">
        <v>2197</v>
      </c>
      <c r="I237" s="5" t="s">
        <v>2198</v>
      </c>
      <c r="J237" s="3" t="s">
        <v>2199</v>
      </c>
      <c r="K237" s="3">
        <v>8.273732075E9</v>
      </c>
      <c r="L237" s="16">
        <v>44236.51666666667</v>
      </c>
      <c r="M237" s="3"/>
      <c r="N237" s="3" t="str">
        <f>(B36)</f>
        <v>AAA</v>
      </c>
      <c r="O237" s="3" t="str">
        <f>(A36)</f>
        <v>1AjVyIHPgPw3jscNmkTH1qzR2RokK5FZaJLjeNfOiYAA</v>
      </c>
      <c r="P237" s="3" t="s">
        <v>142</v>
      </c>
      <c r="Q237" s="8"/>
      <c r="R237" s="3" t="s">
        <v>2200</v>
      </c>
      <c r="S237" s="3" t="s">
        <v>2200</v>
      </c>
      <c r="T237" s="8" t="s">
        <v>83</v>
      </c>
      <c r="U237" s="8" t="s">
        <v>2131</v>
      </c>
      <c r="V237" s="8" t="s">
        <v>387</v>
      </c>
      <c r="W237" s="8">
        <v>9.871300958E9</v>
      </c>
      <c r="X237" s="8" t="s">
        <v>2132</v>
      </c>
      <c r="Y237" s="8" t="s">
        <v>387</v>
      </c>
      <c r="Z237" s="8">
        <v>9.04518462E9</v>
      </c>
      <c r="AA237" s="8" t="s">
        <v>2133</v>
      </c>
      <c r="AB237" s="8" t="s">
        <v>387</v>
      </c>
      <c r="AC237" s="8">
        <v>9.997224488E9</v>
      </c>
      <c r="AD237" s="8" t="s">
        <v>2132</v>
      </c>
      <c r="AE237" s="8" t="s">
        <v>387</v>
      </c>
      <c r="AF237" s="8">
        <v>9.04518462E9</v>
      </c>
      <c r="AG237" s="3"/>
      <c r="AH237" s="8"/>
      <c r="AI237" s="8"/>
      <c r="AJ237" s="8"/>
      <c r="AK237" s="8"/>
      <c r="AL237" s="8"/>
      <c r="AM237" s="8"/>
      <c r="AN237" s="8"/>
      <c r="AO237" s="8"/>
      <c r="AP237" s="8"/>
      <c r="AQ237" s="8"/>
      <c r="AR237" s="8"/>
      <c r="AS237" s="8"/>
      <c r="AT237" s="9"/>
      <c r="AU237" s="8" t="s">
        <v>85</v>
      </c>
      <c r="AV237" s="8"/>
      <c r="AW237" s="8"/>
      <c r="AX237" s="8"/>
      <c r="AY237" s="8"/>
      <c r="AZ237" s="8" t="s">
        <v>86</v>
      </c>
      <c r="BA237" s="8" t="s">
        <v>86</v>
      </c>
      <c r="BB237" s="8" t="s">
        <v>86</v>
      </c>
      <c r="BC237" s="8">
        <v>0.0</v>
      </c>
    </row>
    <row r="238">
      <c r="A238" s="3" t="s">
        <v>2201</v>
      </c>
      <c r="B238" s="3" t="s">
        <v>2202</v>
      </c>
      <c r="C238" s="3" t="s">
        <v>2203</v>
      </c>
      <c r="D238" s="3"/>
      <c r="E238" s="3">
        <v>100000.0</v>
      </c>
      <c r="F238" s="3" t="s">
        <v>58</v>
      </c>
      <c r="G238" s="3" t="s">
        <v>2204</v>
      </c>
      <c r="H238" s="5" t="s">
        <v>2205</v>
      </c>
      <c r="I238" s="5" t="s">
        <v>2206</v>
      </c>
      <c r="J238" s="3" t="s">
        <v>2207</v>
      </c>
      <c r="K238" s="3">
        <v>7.500800884E9</v>
      </c>
      <c r="L238" s="16">
        <v>44236.51944444444</v>
      </c>
      <c r="M238" s="3"/>
      <c r="N238" s="3" t="str">
        <f>(B36)</f>
        <v>AAA</v>
      </c>
      <c r="O238" s="3" t="str">
        <f>(A36)</f>
        <v>1AjVyIHPgPw3jscNmkTH1qzR2RokK5FZaJLjeNfOiYAA</v>
      </c>
      <c r="P238" s="3" t="s">
        <v>142</v>
      </c>
      <c r="Q238" s="8"/>
      <c r="R238" s="3" t="s">
        <v>2208</v>
      </c>
      <c r="S238" s="3" t="s">
        <v>2208</v>
      </c>
      <c r="T238" s="8" t="s">
        <v>83</v>
      </c>
      <c r="U238" s="8" t="s">
        <v>2131</v>
      </c>
      <c r="V238" s="8" t="s">
        <v>387</v>
      </c>
      <c r="W238" s="8">
        <v>9.871300958E9</v>
      </c>
      <c r="X238" s="8" t="s">
        <v>2132</v>
      </c>
      <c r="Y238" s="8" t="s">
        <v>387</v>
      </c>
      <c r="Z238" s="8">
        <v>9.04518462E9</v>
      </c>
      <c r="AA238" s="8" t="s">
        <v>2133</v>
      </c>
      <c r="AB238" s="8" t="s">
        <v>387</v>
      </c>
      <c r="AC238" s="8">
        <v>9.997224488E9</v>
      </c>
      <c r="AD238" s="8" t="s">
        <v>2132</v>
      </c>
      <c r="AE238" s="8" t="s">
        <v>387</v>
      </c>
      <c r="AF238" s="8">
        <v>9.04518462E9</v>
      </c>
      <c r="AG238" s="3"/>
      <c r="AH238" s="8"/>
      <c r="AI238" s="8"/>
      <c r="AJ238" s="8"/>
      <c r="AK238" s="8"/>
      <c r="AL238" s="8"/>
      <c r="AM238" s="8"/>
      <c r="AN238" s="8"/>
      <c r="AO238" s="8"/>
      <c r="AP238" s="8"/>
      <c r="AQ238" s="8"/>
      <c r="AR238" s="8"/>
      <c r="AS238" s="8"/>
      <c r="AT238" s="9"/>
      <c r="AU238" s="8" t="s">
        <v>85</v>
      </c>
      <c r="AV238" s="8"/>
      <c r="AW238" s="8"/>
      <c r="AX238" s="8"/>
      <c r="AY238" s="8"/>
      <c r="AZ238" s="8" t="s">
        <v>86</v>
      </c>
      <c r="BA238" s="8" t="s">
        <v>86</v>
      </c>
      <c r="BB238" s="8" t="s">
        <v>86</v>
      </c>
      <c r="BC238" s="8">
        <v>0.0</v>
      </c>
    </row>
    <row r="239">
      <c r="A239" s="3" t="s">
        <v>2209</v>
      </c>
      <c r="B239" s="3" t="s">
        <v>2210</v>
      </c>
      <c r="C239" s="3" t="s">
        <v>2211</v>
      </c>
      <c r="D239" s="3"/>
      <c r="E239" s="3">
        <v>100000.0</v>
      </c>
      <c r="F239" s="3" t="s">
        <v>58</v>
      </c>
      <c r="G239" s="3" t="s">
        <v>2212</v>
      </c>
      <c r="H239" s="5" t="s">
        <v>2213</v>
      </c>
      <c r="I239" s="5" t="s">
        <v>2214</v>
      </c>
      <c r="J239" s="3" t="s">
        <v>2215</v>
      </c>
      <c r="K239" s="3">
        <v>9.158006201E9</v>
      </c>
      <c r="L239" s="16">
        <v>44264.569444444445</v>
      </c>
      <c r="M239" s="3"/>
      <c r="N239" s="3" t="str">
        <f>(B233)</f>
        <v>PASHANKAR AUTO- PUNE</v>
      </c>
      <c r="O239" s="3" t="str">
        <f>(A233)</f>
        <v>1kRyPQWS9rBO-hWXuMRpK-o-u45enSa2VVTYNekPb4kk</v>
      </c>
      <c r="P239" s="3" t="s">
        <v>142</v>
      </c>
      <c r="Q239" s="8"/>
      <c r="R239" s="3" t="s">
        <v>1496</v>
      </c>
      <c r="S239" s="3" t="s">
        <v>1496</v>
      </c>
      <c r="T239" s="8" t="s">
        <v>1409</v>
      </c>
      <c r="U239" s="8" t="s">
        <v>2151</v>
      </c>
      <c r="V239" s="8" t="s">
        <v>2152</v>
      </c>
      <c r="W239" s="8">
        <v>9.158006201E9</v>
      </c>
      <c r="X239" s="8" t="s">
        <v>2153</v>
      </c>
      <c r="Y239" s="8" t="s">
        <v>2152</v>
      </c>
      <c r="Z239" s="8">
        <v>9.158006201E9</v>
      </c>
      <c r="AA239" s="8" t="s">
        <v>2153</v>
      </c>
      <c r="AB239" s="8" t="s">
        <v>2152</v>
      </c>
      <c r="AC239" s="8">
        <v>9.158006201E9</v>
      </c>
      <c r="AD239" s="8" t="s">
        <v>2154</v>
      </c>
      <c r="AE239" s="8" t="s">
        <v>2152</v>
      </c>
      <c r="AF239" s="8">
        <v>9.158006201E9</v>
      </c>
      <c r="AG239" s="3"/>
      <c r="AH239" s="8"/>
      <c r="AI239" s="8"/>
      <c r="AJ239" s="8"/>
      <c r="AK239" s="8"/>
      <c r="AL239" s="8"/>
      <c r="AM239" s="8"/>
      <c r="AN239" s="8"/>
      <c r="AO239" s="8"/>
      <c r="AP239" s="8"/>
      <c r="AQ239" s="8"/>
      <c r="AR239" s="8"/>
      <c r="AS239" s="8"/>
      <c r="AT239" s="9"/>
      <c r="AU239" s="8" t="s">
        <v>730</v>
      </c>
      <c r="AV239" s="8"/>
      <c r="AW239" s="8"/>
      <c r="AX239" s="8"/>
      <c r="AY239" s="8"/>
      <c r="AZ239" s="8" t="s">
        <v>72</v>
      </c>
      <c r="BA239" s="8" t="s">
        <v>86</v>
      </c>
      <c r="BB239" s="8" t="s">
        <v>86</v>
      </c>
      <c r="BC239" s="8">
        <v>0.0</v>
      </c>
    </row>
    <row r="240">
      <c r="A240" s="3" t="s">
        <v>2216</v>
      </c>
      <c r="B240" s="3" t="s">
        <v>2217</v>
      </c>
      <c r="C240" s="3" t="s">
        <v>2218</v>
      </c>
      <c r="D240" s="3"/>
      <c r="E240" s="3">
        <v>100000.0</v>
      </c>
      <c r="F240" s="3" t="s">
        <v>58</v>
      </c>
      <c r="G240" s="3" t="s">
        <v>2219</v>
      </c>
      <c r="H240" s="5" t="s">
        <v>2220</v>
      </c>
      <c r="I240" s="5" t="s">
        <v>2221</v>
      </c>
      <c r="J240" s="3" t="s">
        <v>2222</v>
      </c>
      <c r="K240" s="3">
        <v>9.839090355E9</v>
      </c>
      <c r="L240" s="16">
        <v>44264.73402777778</v>
      </c>
      <c r="M240" s="3"/>
      <c r="N240" s="3" t="str">
        <f>(B182)</f>
        <v>Kamal Hero - Gonda</v>
      </c>
      <c r="O240" s="3" t="str">
        <f>(A182)</f>
        <v>1VIUqOp_UXFVjhTtvQswmqJ7NEi8nkGyfHAoJPy-wvSA</v>
      </c>
      <c r="P240" s="3" t="s">
        <v>142</v>
      </c>
      <c r="Q240" s="8"/>
      <c r="R240" s="3" t="s">
        <v>1688</v>
      </c>
      <c r="S240" s="3" t="s">
        <v>1688</v>
      </c>
      <c r="T240" s="8" t="s">
        <v>83</v>
      </c>
      <c r="U240" s="8" t="s">
        <v>2223</v>
      </c>
      <c r="V240" s="8" t="s">
        <v>1686</v>
      </c>
      <c r="W240" s="8">
        <v>9.839090351E9</v>
      </c>
      <c r="X240" s="8" t="s">
        <v>2224</v>
      </c>
      <c r="Y240" s="8" t="s">
        <v>1686</v>
      </c>
      <c r="Z240" s="8">
        <v>9.839090354E9</v>
      </c>
      <c r="AA240" s="8" t="s">
        <v>2224</v>
      </c>
      <c r="AB240" s="8" t="s">
        <v>1686</v>
      </c>
      <c r="AC240" s="8">
        <v>9.839090354E9</v>
      </c>
      <c r="AD240" s="8" t="s">
        <v>2224</v>
      </c>
      <c r="AE240" s="8" t="s">
        <v>1686</v>
      </c>
      <c r="AF240" s="8">
        <v>9.839090354E9</v>
      </c>
      <c r="AG240" s="3"/>
      <c r="AH240" s="8"/>
      <c r="AI240" s="8"/>
      <c r="AJ240" s="8"/>
      <c r="AK240" s="8"/>
      <c r="AL240" s="8"/>
      <c r="AM240" s="8"/>
      <c r="AN240" s="8"/>
      <c r="AO240" s="8"/>
      <c r="AP240" s="8"/>
      <c r="AQ240" s="8"/>
      <c r="AR240" s="8"/>
      <c r="AS240" s="8"/>
      <c r="AT240" s="9"/>
      <c r="AU240" s="8" t="s">
        <v>69</v>
      </c>
      <c r="AV240" s="8"/>
      <c r="AW240" s="8"/>
      <c r="AX240" s="8"/>
      <c r="AY240" s="8"/>
      <c r="AZ240" s="8" t="s">
        <v>86</v>
      </c>
      <c r="BA240" s="8" t="s">
        <v>86</v>
      </c>
      <c r="BB240" s="8" t="s">
        <v>86</v>
      </c>
      <c r="BC240" s="8">
        <v>0.0</v>
      </c>
    </row>
    <row r="241">
      <c r="A241" s="3" t="s">
        <v>2225</v>
      </c>
      <c r="B241" s="3" t="s">
        <v>2226</v>
      </c>
      <c r="C241" s="3" t="s">
        <v>2227</v>
      </c>
      <c r="D241" s="3"/>
      <c r="E241" s="3">
        <v>100000.0</v>
      </c>
      <c r="F241" s="3" t="s">
        <v>76</v>
      </c>
      <c r="G241" s="3" t="s">
        <v>2228</v>
      </c>
      <c r="H241" s="5" t="s">
        <v>2229</v>
      </c>
      <c r="I241" s="5" t="s">
        <v>2230</v>
      </c>
      <c r="J241" s="3" t="s">
        <v>2231</v>
      </c>
      <c r="K241" s="3">
        <v>9.89709885E9</v>
      </c>
      <c r="L241" s="16">
        <v>44478.597916666666</v>
      </c>
      <c r="M241" s="3"/>
      <c r="N241" s="3" t="str">
        <f>(B27)</f>
        <v>Brij Biwheelers</v>
      </c>
      <c r="O241" s="3" t="str">
        <f>(A27)</f>
        <v>1ytBGcO8tIze81xKkAa9lWDcflthsPL6SuADAXbhmuwA</v>
      </c>
      <c r="P241" s="3" t="s">
        <v>142</v>
      </c>
      <c r="Q241" s="8"/>
      <c r="R241" s="3" t="s">
        <v>2232</v>
      </c>
      <c r="S241" s="3" t="s">
        <v>2232</v>
      </c>
      <c r="T241" s="8" t="s">
        <v>83</v>
      </c>
      <c r="U241" s="8" t="s">
        <v>2233</v>
      </c>
      <c r="V241" s="8" t="s">
        <v>303</v>
      </c>
      <c r="W241" s="8">
        <v>9.89709885E9</v>
      </c>
      <c r="X241" s="8" t="s">
        <v>2234</v>
      </c>
      <c r="Y241" s="8" t="s">
        <v>303</v>
      </c>
      <c r="Z241" s="8">
        <v>8.650016E9</v>
      </c>
      <c r="AA241" s="8" t="s">
        <v>2234</v>
      </c>
      <c r="AB241" s="8" t="s">
        <v>303</v>
      </c>
      <c r="AC241" s="8">
        <v>8.650016E9</v>
      </c>
      <c r="AD241" s="8" t="s">
        <v>2235</v>
      </c>
      <c r="AE241" s="8" t="s">
        <v>303</v>
      </c>
      <c r="AF241" s="8">
        <v>7.465011256E9</v>
      </c>
      <c r="AG241" s="3"/>
      <c r="AH241" s="8"/>
      <c r="AI241" s="8"/>
      <c r="AJ241" s="8"/>
      <c r="AK241" s="8"/>
      <c r="AL241" s="8"/>
      <c r="AM241" s="8"/>
      <c r="AN241" s="8"/>
      <c r="AO241" s="8"/>
      <c r="AP241" s="8"/>
      <c r="AQ241" s="8"/>
      <c r="AR241" s="8"/>
      <c r="AS241" s="8"/>
      <c r="AT241" s="9"/>
      <c r="AU241" s="8" t="s">
        <v>85</v>
      </c>
      <c r="AV241" s="8"/>
      <c r="AW241" s="8"/>
      <c r="AX241" s="8"/>
      <c r="AY241" s="8"/>
      <c r="AZ241" s="8" t="s">
        <v>86</v>
      </c>
      <c r="BA241" s="8" t="s">
        <v>86</v>
      </c>
      <c r="BB241" s="8" t="s">
        <v>86</v>
      </c>
      <c r="BC241" s="8">
        <v>0.0</v>
      </c>
    </row>
    <row r="242">
      <c r="A242" s="3" t="s">
        <v>2236</v>
      </c>
      <c r="B242" s="3" t="s">
        <v>2237</v>
      </c>
      <c r="C242" s="3" t="s">
        <v>2238</v>
      </c>
      <c r="D242" s="3"/>
      <c r="E242" s="3">
        <v>100000.0</v>
      </c>
      <c r="F242" s="3" t="s">
        <v>76</v>
      </c>
      <c r="G242" s="3" t="s">
        <v>2239</v>
      </c>
      <c r="H242" s="5" t="s">
        <v>2240</v>
      </c>
      <c r="I242" s="5" t="s">
        <v>2241</v>
      </c>
      <c r="J242" s="3" t="s">
        <v>2242</v>
      </c>
      <c r="K242" s="3">
        <v>9.89709885E9</v>
      </c>
      <c r="L242" s="16">
        <v>44478.60208333333</v>
      </c>
      <c r="M242" s="3"/>
      <c r="N242" s="3" t="str">
        <f>(B27)</f>
        <v>Brij Biwheelers</v>
      </c>
      <c r="O242" s="3" t="str">
        <f>(A27)</f>
        <v>1ytBGcO8tIze81xKkAa9lWDcflthsPL6SuADAXbhmuwA</v>
      </c>
      <c r="P242" s="3" t="s">
        <v>142</v>
      </c>
      <c r="Q242" s="8"/>
      <c r="R242" s="3" t="s">
        <v>2243</v>
      </c>
      <c r="S242" s="3" t="s">
        <v>2243</v>
      </c>
      <c r="T242" s="8" t="s">
        <v>83</v>
      </c>
      <c r="U242" s="8" t="s">
        <v>2233</v>
      </c>
      <c r="V242" s="8" t="s">
        <v>303</v>
      </c>
      <c r="W242" s="8">
        <v>9.89709885E9</v>
      </c>
      <c r="X242" s="8" t="s">
        <v>2234</v>
      </c>
      <c r="Y242" s="8" t="s">
        <v>303</v>
      </c>
      <c r="Z242" s="8">
        <v>8.650016E9</v>
      </c>
      <c r="AA242" s="8" t="s">
        <v>2234</v>
      </c>
      <c r="AB242" s="8" t="s">
        <v>303</v>
      </c>
      <c r="AC242" s="8">
        <v>8.650016E9</v>
      </c>
      <c r="AD242" s="8" t="s">
        <v>2235</v>
      </c>
      <c r="AE242" s="8" t="s">
        <v>303</v>
      </c>
      <c r="AF242" s="8">
        <v>7.465011256E9</v>
      </c>
      <c r="AG242" s="3"/>
      <c r="AH242" s="8"/>
      <c r="AI242" s="8"/>
      <c r="AJ242" s="8"/>
      <c r="AK242" s="8"/>
      <c r="AL242" s="8"/>
      <c r="AM242" s="8"/>
      <c r="AN242" s="8"/>
      <c r="AO242" s="8"/>
      <c r="AP242" s="8"/>
      <c r="AQ242" s="8"/>
      <c r="AR242" s="8"/>
      <c r="AS242" s="8"/>
      <c r="AT242" s="9"/>
      <c r="AU242" s="8" t="s">
        <v>85</v>
      </c>
      <c r="AV242" s="8"/>
      <c r="AW242" s="8"/>
      <c r="AX242" s="8"/>
      <c r="AY242" s="8"/>
      <c r="AZ242" s="8" t="s">
        <v>86</v>
      </c>
      <c r="BA242" s="8" t="s">
        <v>86</v>
      </c>
      <c r="BB242" s="8" t="s">
        <v>86</v>
      </c>
      <c r="BC242" s="8">
        <v>0.0</v>
      </c>
    </row>
    <row r="243">
      <c r="A243" s="3" t="s">
        <v>2244</v>
      </c>
      <c r="B243" s="3" t="s">
        <v>2245</v>
      </c>
      <c r="C243" s="3" t="s">
        <v>2246</v>
      </c>
      <c r="D243" s="3"/>
      <c r="E243" s="3">
        <v>100000.0</v>
      </c>
      <c r="F243" s="3" t="s">
        <v>58</v>
      </c>
      <c r="G243" s="3" t="s">
        <v>2247</v>
      </c>
      <c r="H243" s="5" t="s">
        <v>2248</v>
      </c>
      <c r="I243" s="5" t="s">
        <v>2249</v>
      </c>
      <c r="J243" s="3" t="s">
        <v>2250</v>
      </c>
      <c r="K243" s="3">
        <v>9.648289E9</v>
      </c>
      <c r="L243" s="6" t="s">
        <v>2251</v>
      </c>
      <c r="M243" s="3"/>
      <c r="N243" s="3" t="str">
        <f>(B147)</f>
        <v>Vanshadi Motors - Faizabad</v>
      </c>
      <c r="O243" s="3" t="str">
        <f>(A147)</f>
        <v>1S2YNz2hsIyDIwT68EF1VR8O-D7oanl9HQJpcApwJPG4</v>
      </c>
      <c r="P243" s="3" t="s">
        <v>142</v>
      </c>
      <c r="Q243" s="8"/>
      <c r="R243" s="3" t="s">
        <v>2252</v>
      </c>
      <c r="S243" s="3" t="s">
        <v>2252</v>
      </c>
      <c r="T243" s="8" t="s">
        <v>83</v>
      </c>
      <c r="U243" s="8" t="s">
        <v>2253</v>
      </c>
      <c r="V243" s="8" t="s">
        <v>1352</v>
      </c>
      <c r="W243" s="8">
        <v>9.648289E9</v>
      </c>
      <c r="X243" s="8" t="s">
        <v>2254</v>
      </c>
      <c r="Y243" s="8" t="s">
        <v>1352</v>
      </c>
      <c r="Z243" s="8">
        <v>9.648422005E9</v>
      </c>
      <c r="AA243" s="8" t="s">
        <v>2254</v>
      </c>
      <c r="AB243" s="8" t="s">
        <v>1352</v>
      </c>
      <c r="AC243" s="8">
        <v>9.648422005E9</v>
      </c>
      <c r="AD243" s="8" t="s">
        <v>2254</v>
      </c>
      <c r="AE243" s="8" t="s">
        <v>1352</v>
      </c>
      <c r="AF243" s="8">
        <v>9.648422005E9</v>
      </c>
      <c r="AG243" s="3"/>
      <c r="AH243" s="8"/>
      <c r="AI243" s="8"/>
      <c r="AJ243" s="8"/>
      <c r="AK243" s="8"/>
      <c r="AL243" s="8"/>
      <c r="AM243" s="8"/>
      <c r="AN243" s="8"/>
      <c r="AO243" s="8"/>
      <c r="AP243" s="8"/>
      <c r="AQ243" s="8"/>
      <c r="AR243" s="8"/>
      <c r="AS243" s="8"/>
      <c r="AT243" s="9"/>
      <c r="AU243" s="8" t="s">
        <v>85</v>
      </c>
      <c r="AV243" s="8"/>
      <c r="AW243" s="8"/>
      <c r="AX243" s="8"/>
      <c r="AY243" s="8"/>
      <c r="AZ243" s="8" t="s">
        <v>72</v>
      </c>
      <c r="BA243" s="8" t="s">
        <v>86</v>
      </c>
      <c r="BB243" s="8" t="s">
        <v>86</v>
      </c>
      <c r="BC243" s="8">
        <v>0.0</v>
      </c>
    </row>
    <row r="244">
      <c r="A244" s="3" t="s">
        <v>2255</v>
      </c>
      <c r="B244" s="3" t="s">
        <v>2256</v>
      </c>
      <c r="C244" s="3" t="s">
        <v>2257</v>
      </c>
      <c r="D244" s="3"/>
      <c r="E244" s="3">
        <v>100000.0</v>
      </c>
      <c r="F244" s="3" t="s">
        <v>58</v>
      </c>
      <c r="G244" s="3" t="s">
        <v>2258</v>
      </c>
      <c r="H244" s="5" t="s">
        <v>2259</v>
      </c>
      <c r="I244" s="5" t="s">
        <v>2260</v>
      </c>
      <c r="J244" s="3" t="s">
        <v>2261</v>
      </c>
      <c r="K244" s="3">
        <v>9.648289E9</v>
      </c>
      <c r="L244" s="6" t="s">
        <v>2262</v>
      </c>
      <c r="M244" s="3"/>
      <c r="N244" s="3" t="str">
        <f>(B147)</f>
        <v>Vanshadi Motors - Faizabad</v>
      </c>
      <c r="O244" s="3" t="str">
        <f>(A147)</f>
        <v>1S2YNz2hsIyDIwT68EF1VR8O-D7oanl9HQJpcApwJPG4</v>
      </c>
      <c r="P244" s="3" t="s">
        <v>142</v>
      </c>
      <c r="Q244" s="8"/>
      <c r="R244" s="3" t="s">
        <v>2263</v>
      </c>
      <c r="S244" s="3" t="s">
        <v>2263</v>
      </c>
      <c r="T244" s="8" t="s">
        <v>83</v>
      </c>
      <c r="U244" s="8" t="s">
        <v>2253</v>
      </c>
      <c r="V244" s="8" t="s">
        <v>1352</v>
      </c>
      <c r="W244" s="8">
        <v>9.648289E9</v>
      </c>
      <c r="X244" s="8" t="s">
        <v>2254</v>
      </c>
      <c r="Y244" s="8" t="s">
        <v>1352</v>
      </c>
      <c r="Z244" s="8">
        <v>9.648422005E9</v>
      </c>
      <c r="AA244" s="8" t="s">
        <v>2254</v>
      </c>
      <c r="AB244" s="8" t="s">
        <v>1352</v>
      </c>
      <c r="AC244" s="8">
        <v>9.648422005E9</v>
      </c>
      <c r="AD244" s="8" t="s">
        <v>2254</v>
      </c>
      <c r="AE244" s="8" t="s">
        <v>1352</v>
      </c>
      <c r="AF244" s="8">
        <v>9.648422005E9</v>
      </c>
      <c r="AG244" s="3"/>
      <c r="AH244" s="8"/>
      <c r="AI244" s="8"/>
      <c r="AJ244" s="8"/>
      <c r="AK244" s="8"/>
      <c r="AL244" s="8"/>
      <c r="AM244" s="8"/>
      <c r="AN244" s="8"/>
      <c r="AO244" s="8"/>
      <c r="AP244" s="8"/>
      <c r="AQ244" s="8"/>
      <c r="AR244" s="8"/>
      <c r="AS244" s="8"/>
      <c r="AT244" s="9"/>
      <c r="AU244" s="8" t="s">
        <v>85</v>
      </c>
      <c r="AV244" s="8"/>
      <c r="AW244" s="8"/>
      <c r="AX244" s="8"/>
      <c r="AY244" s="8"/>
      <c r="AZ244" s="8" t="s">
        <v>72</v>
      </c>
      <c r="BA244" s="8" t="s">
        <v>86</v>
      </c>
      <c r="BB244" s="8" t="s">
        <v>86</v>
      </c>
      <c r="BC244" s="8">
        <v>0.0</v>
      </c>
    </row>
    <row r="245">
      <c r="A245" s="3" t="s">
        <v>2264</v>
      </c>
      <c r="B245" s="3" t="s">
        <v>2265</v>
      </c>
      <c r="C245" s="3" t="s">
        <v>2266</v>
      </c>
      <c r="D245" s="3"/>
      <c r="E245" s="3">
        <v>100000.0</v>
      </c>
      <c r="F245" s="3" t="s">
        <v>58</v>
      </c>
      <c r="G245" s="3" t="s">
        <v>2267</v>
      </c>
      <c r="H245" s="5" t="s">
        <v>2268</v>
      </c>
      <c r="I245" s="5" t="s">
        <v>2269</v>
      </c>
      <c r="J245" s="3" t="s">
        <v>2270</v>
      </c>
      <c r="K245" s="3">
        <v>9.648289E9</v>
      </c>
      <c r="L245" s="6" t="s">
        <v>2271</v>
      </c>
      <c r="M245" s="3"/>
      <c r="N245" s="3" t="str">
        <f>(B155)</f>
        <v>Chandra Automobiles - Faizabad</v>
      </c>
      <c r="O245" s="3" t="str">
        <f>(A155)</f>
        <v>1TMTMDBTSLXzi0POas5HDprui-sp3TCVvRYWE8buap-0</v>
      </c>
      <c r="P245" s="3" t="s">
        <v>142</v>
      </c>
      <c r="Q245" s="8"/>
      <c r="R245" s="3" t="s">
        <v>2272</v>
      </c>
      <c r="S245" s="3" t="s">
        <v>2272</v>
      </c>
      <c r="T245" s="8" t="s">
        <v>83</v>
      </c>
      <c r="U245" s="8" t="s">
        <v>2253</v>
      </c>
      <c r="V245" s="8" t="s">
        <v>1427</v>
      </c>
      <c r="W245" s="8">
        <v>9.648289E9</v>
      </c>
      <c r="X245" s="8" t="s">
        <v>2254</v>
      </c>
      <c r="Y245" s="8" t="s">
        <v>1427</v>
      </c>
      <c r="Z245" s="8">
        <v>9.648422005E9</v>
      </c>
      <c r="AA245" s="8" t="s">
        <v>2254</v>
      </c>
      <c r="AB245" s="8" t="s">
        <v>1427</v>
      </c>
      <c r="AC245" s="8">
        <v>9.648422005E9</v>
      </c>
      <c r="AD245" s="8" t="s">
        <v>2254</v>
      </c>
      <c r="AE245" s="8" t="s">
        <v>1427</v>
      </c>
      <c r="AF245" s="8">
        <v>9.648422005E9</v>
      </c>
      <c r="AG245" s="3"/>
      <c r="AH245" s="8"/>
      <c r="AI245" s="8"/>
      <c r="AJ245" s="8"/>
      <c r="AK245" s="8"/>
      <c r="AL245" s="8"/>
      <c r="AM245" s="8"/>
      <c r="AN245" s="8"/>
      <c r="AO245" s="8"/>
      <c r="AP245" s="8"/>
      <c r="AQ245" s="8"/>
      <c r="AR245" s="8"/>
      <c r="AS245" s="8"/>
      <c r="AT245" s="9"/>
      <c r="AU245" s="8" t="s">
        <v>85</v>
      </c>
      <c r="AV245" s="8"/>
      <c r="AW245" s="8"/>
      <c r="AX245" s="8"/>
      <c r="AY245" s="8"/>
      <c r="AZ245" s="8" t="s">
        <v>72</v>
      </c>
      <c r="BA245" s="8" t="s">
        <v>86</v>
      </c>
      <c r="BB245" s="8" t="s">
        <v>86</v>
      </c>
      <c r="BC245" s="8">
        <v>0.0</v>
      </c>
    </row>
    <row r="246">
      <c r="A246" s="3" t="s">
        <v>2273</v>
      </c>
      <c r="B246" s="3" t="s">
        <v>2274</v>
      </c>
      <c r="C246" s="3" t="s">
        <v>2275</v>
      </c>
      <c r="D246" s="3"/>
      <c r="E246" s="3">
        <v>100000.0</v>
      </c>
      <c r="F246" s="3" t="s">
        <v>58</v>
      </c>
      <c r="G246" s="3" t="s">
        <v>2276</v>
      </c>
      <c r="H246" s="5" t="s">
        <v>2277</v>
      </c>
      <c r="I246" s="5" t="s">
        <v>2278</v>
      </c>
      <c r="J246" s="3" t="s">
        <v>2279</v>
      </c>
      <c r="K246" s="3">
        <v>9.648289E9</v>
      </c>
      <c r="L246" s="6" t="s">
        <v>2280</v>
      </c>
      <c r="M246" s="3"/>
      <c r="N246" s="3" t="str">
        <f>(B155)</f>
        <v>Chandra Automobiles - Faizabad</v>
      </c>
      <c r="O246" s="3" t="str">
        <f>(A155)</f>
        <v>1TMTMDBTSLXzi0POas5HDprui-sp3TCVvRYWE8buap-0</v>
      </c>
      <c r="P246" s="3" t="s">
        <v>142</v>
      </c>
      <c r="Q246" s="8"/>
      <c r="R246" s="3" t="s">
        <v>2281</v>
      </c>
      <c r="S246" s="3" t="s">
        <v>2281</v>
      </c>
      <c r="T246" s="8" t="s">
        <v>83</v>
      </c>
      <c r="U246" s="8" t="s">
        <v>2253</v>
      </c>
      <c r="V246" s="8" t="s">
        <v>1427</v>
      </c>
      <c r="W246" s="8">
        <v>9.648289E9</v>
      </c>
      <c r="X246" s="8" t="s">
        <v>2254</v>
      </c>
      <c r="Y246" s="8" t="s">
        <v>1427</v>
      </c>
      <c r="Z246" s="8">
        <v>9.648422005E9</v>
      </c>
      <c r="AA246" s="8" t="s">
        <v>2254</v>
      </c>
      <c r="AB246" s="8" t="s">
        <v>1427</v>
      </c>
      <c r="AC246" s="8">
        <v>9.648422005E9</v>
      </c>
      <c r="AD246" s="8" t="s">
        <v>2254</v>
      </c>
      <c r="AE246" s="8" t="s">
        <v>1427</v>
      </c>
      <c r="AF246" s="8">
        <v>9.648422005E9</v>
      </c>
      <c r="AG246" s="3"/>
      <c r="AH246" s="8"/>
      <c r="AI246" s="8"/>
      <c r="AJ246" s="8"/>
      <c r="AK246" s="8"/>
      <c r="AL246" s="8"/>
      <c r="AM246" s="8"/>
      <c r="AN246" s="8"/>
      <c r="AO246" s="8"/>
      <c r="AP246" s="8"/>
      <c r="AQ246" s="8"/>
      <c r="AR246" s="8"/>
      <c r="AS246" s="8"/>
      <c r="AT246" s="9"/>
      <c r="AU246" s="8" t="s">
        <v>85</v>
      </c>
      <c r="AV246" s="8"/>
      <c r="AW246" s="8"/>
      <c r="AX246" s="8"/>
      <c r="AY246" s="8"/>
      <c r="AZ246" s="8" t="s">
        <v>72</v>
      </c>
      <c r="BA246" s="8" t="s">
        <v>86</v>
      </c>
      <c r="BB246" s="8" t="s">
        <v>86</v>
      </c>
      <c r="BC246" s="8">
        <v>0.0</v>
      </c>
    </row>
    <row r="247">
      <c r="A247" s="3" t="s">
        <v>2282</v>
      </c>
      <c r="B247" s="3" t="s">
        <v>2283</v>
      </c>
      <c r="C247" s="3" t="s">
        <v>2284</v>
      </c>
      <c r="D247" s="3"/>
      <c r="E247" s="3">
        <v>100000.0</v>
      </c>
      <c r="F247" s="3" t="s">
        <v>58</v>
      </c>
      <c r="G247" s="3" t="s">
        <v>2285</v>
      </c>
      <c r="H247" s="5" t="s">
        <v>2286</v>
      </c>
      <c r="I247" s="5" t="s">
        <v>2287</v>
      </c>
      <c r="J247" s="3" t="s">
        <v>2288</v>
      </c>
      <c r="K247" s="3">
        <v>9.648289E9</v>
      </c>
      <c r="L247" s="6" t="s">
        <v>2289</v>
      </c>
      <c r="M247" s="3"/>
      <c r="N247" s="3" t="str">
        <f>(B155)</f>
        <v>Chandra Automobiles - Faizabad</v>
      </c>
      <c r="O247" s="3" t="str">
        <f>(A155)</f>
        <v>1TMTMDBTSLXzi0POas5HDprui-sp3TCVvRYWE8buap-0</v>
      </c>
      <c r="P247" s="3" t="s">
        <v>142</v>
      </c>
      <c r="Q247" s="8"/>
      <c r="R247" s="3" t="s">
        <v>2290</v>
      </c>
      <c r="S247" s="3" t="s">
        <v>2290</v>
      </c>
      <c r="T247" s="8" t="s">
        <v>83</v>
      </c>
      <c r="U247" s="8" t="s">
        <v>2253</v>
      </c>
      <c r="V247" s="8" t="s">
        <v>1427</v>
      </c>
      <c r="W247" s="8">
        <v>9.648289E9</v>
      </c>
      <c r="X247" s="8" t="s">
        <v>2254</v>
      </c>
      <c r="Y247" s="8" t="s">
        <v>1427</v>
      </c>
      <c r="Z247" s="8">
        <v>9.648422005E9</v>
      </c>
      <c r="AA247" s="8" t="s">
        <v>2254</v>
      </c>
      <c r="AB247" s="8" t="s">
        <v>1427</v>
      </c>
      <c r="AC247" s="8">
        <v>9.648422005E9</v>
      </c>
      <c r="AD247" s="8" t="s">
        <v>2254</v>
      </c>
      <c r="AE247" s="8" t="s">
        <v>1427</v>
      </c>
      <c r="AF247" s="8">
        <v>9.648422005E9</v>
      </c>
      <c r="AG247" s="3"/>
      <c r="AH247" s="8"/>
      <c r="AI247" s="8"/>
      <c r="AJ247" s="8"/>
      <c r="AK247" s="8"/>
      <c r="AL247" s="8"/>
      <c r="AM247" s="8"/>
      <c r="AN247" s="8"/>
      <c r="AO247" s="8"/>
      <c r="AP247" s="8"/>
      <c r="AQ247" s="8"/>
      <c r="AR247" s="8"/>
      <c r="AS247" s="8"/>
      <c r="AT247" s="9"/>
      <c r="AU247" s="8" t="s">
        <v>85</v>
      </c>
      <c r="AV247" s="8"/>
      <c r="AW247" s="8"/>
      <c r="AX247" s="8"/>
      <c r="AY247" s="8"/>
      <c r="AZ247" s="8" t="s">
        <v>72</v>
      </c>
      <c r="BA247" s="8" t="s">
        <v>86</v>
      </c>
      <c r="BB247" s="8" t="s">
        <v>86</v>
      </c>
      <c r="BC247" s="8">
        <v>0.0</v>
      </c>
    </row>
    <row r="248">
      <c r="A248" s="3" t="s">
        <v>2291</v>
      </c>
      <c r="B248" s="3" t="s">
        <v>2292</v>
      </c>
      <c r="C248" s="3" t="s">
        <v>2293</v>
      </c>
      <c r="D248" s="3"/>
      <c r="E248" s="3">
        <v>100000.0</v>
      </c>
      <c r="F248" s="3" t="s">
        <v>58</v>
      </c>
      <c r="G248" s="3" t="s">
        <v>2294</v>
      </c>
      <c r="H248" s="5" t="s">
        <v>2295</v>
      </c>
      <c r="I248" s="5" t="s">
        <v>2296</v>
      </c>
      <c r="J248" s="3" t="s">
        <v>2297</v>
      </c>
      <c r="K248" s="3">
        <v>9.648289E9</v>
      </c>
      <c r="L248" s="6" t="s">
        <v>2298</v>
      </c>
      <c r="M248" s="3"/>
      <c r="N248" s="3" t="str">
        <f>(B155)</f>
        <v>Chandra Automobiles - Faizabad</v>
      </c>
      <c r="O248" s="3" t="str">
        <f>(A155)</f>
        <v>1TMTMDBTSLXzi0POas5HDprui-sp3TCVvRYWE8buap-0</v>
      </c>
      <c r="P248" s="3" t="s">
        <v>142</v>
      </c>
      <c r="Q248" s="8"/>
      <c r="R248" s="3" t="s">
        <v>2299</v>
      </c>
      <c r="S248" s="3" t="s">
        <v>2299</v>
      </c>
      <c r="T248" s="8" t="s">
        <v>83</v>
      </c>
      <c r="U248" s="8" t="s">
        <v>2253</v>
      </c>
      <c r="V248" s="8" t="s">
        <v>1427</v>
      </c>
      <c r="W248" s="8">
        <v>9.648289E9</v>
      </c>
      <c r="X248" s="8" t="s">
        <v>2254</v>
      </c>
      <c r="Y248" s="8" t="s">
        <v>1427</v>
      </c>
      <c r="Z248" s="8">
        <v>9.648422005E9</v>
      </c>
      <c r="AA248" s="8" t="s">
        <v>2254</v>
      </c>
      <c r="AB248" s="8" t="s">
        <v>1427</v>
      </c>
      <c r="AC248" s="8">
        <v>9.648422005E9</v>
      </c>
      <c r="AD248" s="8" t="s">
        <v>2254</v>
      </c>
      <c r="AE248" s="8" t="s">
        <v>1427</v>
      </c>
      <c r="AF248" s="8">
        <v>9.648422005E9</v>
      </c>
      <c r="AG248" s="3"/>
      <c r="AH248" s="8"/>
      <c r="AI248" s="8"/>
      <c r="AJ248" s="8"/>
      <c r="AK248" s="8"/>
      <c r="AL248" s="8"/>
      <c r="AM248" s="8"/>
      <c r="AN248" s="8"/>
      <c r="AO248" s="8"/>
      <c r="AP248" s="8"/>
      <c r="AQ248" s="8"/>
      <c r="AR248" s="8"/>
      <c r="AS248" s="8"/>
      <c r="AT248" s="9"/>
      <c r="AU248" s="8" t="s">
        <v>85</v>
      </c>
      <c r="AV248" s="8"/>
      <c r="AW248" s="8"/>
      <c r="AX248" s="8"/>
      <c r="AY248" s="8"/>
      <c r="AZ248" s="8" t="s">
        <v>72</v>
      </c>
      <c r="BA248" s="8" t="s">
        <v>86</v>
      </c>
      <c r="BB248" s="8" t="s">
        <v>86</v>
      </c>
      <c r="BC248" s="8">
        <v>0.0</v>
      </c>
    </row>
    <row r="249">
      <c r="A249" s="3" t="s">
        <v>2300</v>
      </c>
      <c r="B249" s="3" t="s">
        <v>2301</v>
      </c>
      <c r="C249" s="3" t="s">
        <v>2302</v>
      </c>
      <c r="D249" s="3"/>
      <c r="E249" s="3">
        <v>100000.0</v>
      </c>
      <c r="F249" s="3" t="s">
        <v>58</v>
      </c>
      <c r="G249" s="3" t="s">
        <v>2303</v>
      </c>
      <c r="H249" s="5" t="s">
        <v>2304</v>
      </c>
      <c r="I249" s="5" t="s">
        <v>2305</v>
      </c>
      <c r="J249" s="3" t="s">
        <v>2306</v>
      </c>
      <c r="K249" s="3">
        <v>9.648289E9</v>
      </c>
      <c r="L249" s="6" t="s">
        <v>2307</v>
      </c>
      <c r="M249" s="3"/>
      <c r="N249" s="3" t="str">
        <f>(B155)</f>
        <v>Chandra Automobiles - Faizabad</v>
      </c>
      <c r="O249" s="3" t="str">
        <f>(A155)</f>
        <v>1TMTMDBTSLXzi0POas5HDprui-sp3TCVvRYWE8buap-0</v>
      </c>
      <c r="P249" s="3" t="s">
        <v>142</v>
      </c>
      <c r="Q249" s="8"/>
      <c r="R249" s="3" t="s">
        <v>2308</v>
      </c>
      <c r="S249" s="3" t="s">
        <v>2308</v>
      </c>
      <c r="T249" s="8" t="s">
        <v>83</v>
      </c>
      <c r="U249" s="8" t="s">
        <v>2253</v>
      </c>
      <c r="V249" s="8" t="s">
        <v>1427</v>
      </c>
      <c r="W249" s="8">
        <v>9.648289E9</v>
      </c>
      <c r="X249" s="8" t="s">
        <v>2254</v>
      </c>
      <c r="Y249" s="8" t="s">
        <v>1427</v>
      </c>
      <c r="Z249" s="8">
        <v>9.648422005E9</v>
      </c>
      <c r="AA249" s="8" t="s">
        <v>2254</v>
      </c>
      <c r="AB249" s="8" t="s">
        <v>1427</v>
      </c>
      <c r="AC249" s="8">
        <v>9.648422005E9</v>
      </c>
      <c r="AD249" s="8" t="s">
        <v>2254</v>
      </c>
      <c r="AE249" s="8" t="s">
        <v>1427</v>
      </c>
      <c r="AF249" s="8">
        <v>9.648422005E9</v>
      </c>
      <c r="AG249" s="3"/>
      <c r="AH249" s="8"/>
      <c r="AI249" s="8"/>
      <c r="AJ249" s="8"/>
      <c r="AK249" s="8"/>
      <c r="AL249" s="8"/>
      <c r="AM249" s="8"/>
      <c r="AN249" s="8"/>
      <c r="AO249" s="8"/>
      <c r="AP249" s="8"/>
      <c r="AQ249" s="8"/>
      <c r="AR249" s="8"/>
      <c r="AS249" s="8"/>
      <c r="AT249" s="9"/>
      <c r="AU249" s="8" t="s">
        <v>85</v>
      </c>
      <c r="AV249" s="8"/>
      <c r="AW249" s="8"/>
      <c r="AX249" s="8"/>
      <c r="AY249" s="8"/>
      <c r="AZ249" s="8" t="s">
        <v>72</v>
      </c>
      <c r="BA249" s="8" t="s">
        <v>86</v>
      </c>
      <c r="BB249" s="8" t="s">
        <v>86</v>
      </c>
      <c r="BC249" s="8">
        <v>0.0</v>
      </c>
    </row>
    <row r="250">
      <c r="A250" s="3" t="s">
        <v>2309</v>
      </c>
      <c r="B250" s="3" t="s">
        <v>2310</v>
      </c>
      <c r="C250" s="3" t="s">
        <v>2311</v>
      </c>
      <c r="D250" s="3"/>
      <c r="E250" s="3">
        <v>100000.0</v>
      </c>
      <c r="F250" s="3" t="s">
        <v>58</v>
      </c>
      <c r="G250" s="3" t="s">
        <v>2312</v>
      </c>
      <c r="H250" s="5" t="s">
        <v>2313</v>
      </c>
      <c r="I250" s="5" t="s">
        <v>2314</v>
      </c>
      <c r="J250" s="3" t="s">
        <v>2315</v>
      </c>
      <c r="K250" s="3">
        <v>9.648289E9</v>
      </c>
      <c r="L250" s="6" t="s">
        <v>2316</v>
      </c>
      <c r="M250" s="3"/>
      <c r="N250" s="3" t="str">
        <f>(B155)</f>
        <v>Chandra Automobiles - Faizabad</v>
      </c>
      <c r="O250" s="3" t="str">
        <f>(A155)</f>
        <v>1TMTMDBTSLXzi0POas5HDprui-sp3TCVvRYWE8buap-0</v>
      </c>
      <c r="P250" s="3" t="s">
        <v>142</v>
      </c>
      <c r="Q250" s="8"/>
      <c r="R250" s="3" t="s">
        <v>2317</v>
      </c>
      <c r="S250" s="3" t="s">
        <v>2317</v>
      </c>
      <c r="T250" s="8" t="s">
        <v>83</v>
      </c>
      <c r="U250" s="8" t="s">
        <v>2253</v>
      </c>
      <c r="V250" s="8" t="s">
        <v>1427</v>
      </c>
      <c r="W250" s="8">
        <v>9.648289E9</v>
      </c>
      <c r="X250" s="8" t="s">
        <v>2254</v>
      </c>
      <c r="Y250" s="8" t="s">
        <v>1427</v>
      </c>
      <c r="Z250" s="8">
        <v>9.648422005E9</v>
      </c>
      <c r="AA250" s="8" t="s">
        <v>2254</v>
      </c>
      <c r="AB250" s="8" t="s">
        <v>1427</v>
      </c>
      <c r="AC250" s="8">
        <v>9.648422005E9</v>
      </c>
      <c r="AD250" s="8" t="s">
        <v>2254</v>
      </c>
      <c r="AE250" s="8" t="s">
        <v>1427</v>
      </c>
      <c r="AF250" s="8">
        <v>9.648422005E9</v>
      </c>
      <c r="AG250" s="3"/>
      <c r="AH250" s="8"/>
      <c r="AI250" s="8"/>
      <c r="AJ250" s="8"/>
      <c r="AK250" s="8"/>
      <c r="AL250" s="8"/>
      <c r="AM250" s="8"/>
      <c r="AN250" s="8"/>
      <c r="AO250" s="8"/>
      <c r="AP250" s="8"/>
      <c r="AQ250" s="8"/>
      <c r="AR250" s="8"/>
      <c r="AS250" s="8"/>
      <c r="AT250" s="9"/>
      <c r="AU250" s="8" t="s">
        <v>85</v>
      </c>
      <c r="AV250" s="8"/>
      <c r="AW250" s="8"/>
      <c r="AX250" s="8"/>
      <c r="AY250" s="8"/>
      <c r="AZ250" s="8" t="s">
        <v>72</v>
      </c>
      <c r="BA250" s="8" t="s">
        <v>86</v>
      </c>
      <c r="BB250" s="8" t="s">
        <v>86</v>
      </c>
      <c r="BC250" s="8">
        <v>0.0</v>
      </c>
    </row>
    <row r="251">
      <c r="A251" s="3" t="s">
        <v>2318</v>
      </c>
      <c r="B251" s="3" t="s">
        <v>2319</v>
      </c>
      <c r="C251" s="3" t="s">
        <v>2320</v>
      </c>
      <c r="D251" s="3"/>
      <c r="E251" s="3">
        <v>100000.0</v>
      </c>
      <c r="F251" s="3" t="s">
        <v>58</v>
      </c>
      <c r="G251" s="3" t="s">
        <v>2321</v>
      </c>
      <c r="H251" s="5" t="s">
        <v>2322</v>
      </c>
      <c r="I251" s="5" t="s">
        <v>2323</v>
      </c>
      <c r="J251" s="3" t="s">
        <v>2324</v>
      </c>
      <c r="K251" s="3">
        <v>9.648289E9</v>
      </c>
      <c r="L251" s="6" t="s">
        <v>2325</v>
      </c>
      <c r="M251" s="3"/>
      <c r="N251" s="3" t="str">
        <f>(B155)</f>
        <v>Chandra Automobiles - Faizabad</v>
      </c>
      <c r="O251" s="3" t="str">
        <f>(A155)</f>
        <v>1TMTMDBTSLXzi0POas5HDprui-sp3TCVvRYWE8buap-0</v>
      </c>
      <c r="P251" s="3" t="s">
        <v>142</v>
      </c>
      <c r="Q251" s="8"/>
      <c r="R251" s="3" t="s">
        <v>2326</v>
      </c>
      <c r="S251" s="3" t="s">
        <v>2326</v>
      </c>
      <c r="T251" s="8" t="s">
        <v>83</v>
      </c>
      <c r="U251" s="8" t="s">
        <v>2253</v>
      </c>
      <c r="V251" s="8" t="s">
        <v>1427</v>
      </c>
      <c r="W251" s="8">
        <v>9.648289E9</v>
      </c>
      <c r="X251" s="8" t="s">
        <v>2254</v>
      </c>
      <c r="Y251" s="8" t="s">
        <v>1427</v>
      </c>
      <c r="Z251" s="8">
        <v>9.648422005E9</v>
      </c>
      <c r="AA251" s="8" t="s">
        <v>2254</v>
      </c>
      <c r="AB251" s="8" t="s">
        <v>1427</v>
      </c>
      <c r="AC251" s="8">
        <v>9.648422005E9</v>
      </c>
      <c r="AD251" s="8" t="s">
        <v>2254</v>
      </c>
      <c r="AE251" s="8" t="s">
        <v>1427</v>
      </c>
      <c r="AF251" s="8">
        <v>9.648422005E9</v>
      </c>
      <c r="AG251" s="3"/>
      <c r="AH251" s="8"/>
      <c r="AI251" s="8"/>
      <c r="AJ251" s="8"/>
      <c r="AK251" s="8"/>
      <c r="AL251" s="8"/>
      <c r="AM251" s="8"/>
      <c r="AN251" s="8"/>
      <c r="AO251" s="8"/>
      <c r="AP251" s="8"/>
      <c r="AQ251" s="8"/>
      <c r="AR251" s="8"/>
      <c r="AS251" s="8"/>
      <c r="AT251" s="9"/>
      <c r="AU251" s="8" t="s">
        <v>85</v>
      </c>
      <c r="AV251" s="8"/>
      <c r="AW251" s="8"/>
      <c r="AX251" s="8"/>
      <c r="AY251" s="8"/>
      <c r="AZ251" s="8" t="s">
        <v>72</v>
      </c>
      <c r="BA251" s="8" t="s">
        <v>86</v>
      </c>
      <c r="BB251" s="8" t="s">
        <v>86</v>
      </c>
      <c r="BC251" s="8">
        <v>0.0</v>
      </c>
    </row>
    <row r="252">
      <c r="A252" s="3" t="s">
        <v>2327</v>
      </c>
      <c r="B252" s="3" t="s">
        <v>2328</v>
      </c>
      <c r="C252" s="3" t="s">
        <v>2329</v>
      </c>
      <c r="D252" s="3"/>
      <c r="E252" s="3">
        <v>100000.0</v>
      </c>
      <c r="F252" s="3" t="s">
        <v>58</v>
      </c>
      <c r="G252" s="3" t="s">
        <v>2330</v>
      </c>
      <c r="H252" s="5" t="s">
        <v>2331</v>
      </c>
      <c r="I252" s="5" t="s">
        <v>2332</v>
      </c>
      <c r="J252" s="3" t="s">
        <v>2333</v>
      </c>
      <c r="K252" s="3">
        <v>9.648289E9</v>
      </c>
      <c r="L252" s="6" t="s">
        <v>2334</v>
      </c>
      <c r="M252" s="3"/>
      <c r="N252" s="3" t="str">
        <f>(B155)</f>
        <v>Chandra Automobiles - Faizabad</v>
      </c>
      <c r="O252" s="3" t="str">
        <f>(A155)</f>
        <v>1TMTMDBTSLXzi0POas5HDprui-sp3TCVvRYWE8buap-0</v>
      </c>
      <c r="P252" s="3" t="s">
        <v>142</v>
      </c>
      <c r="Q252" s="8"/>
      <c r="R252" s="3" t="s">
        <v>2335</v>
      </c>
      <c r="S252" s="3" t="s">
        <v>2335</v>
      </c>
      <c r="T252" s="8" t="s">
        <v>83</v>
      </c>
      <c r="U252" s="8" t="s">
        <v>2253</v>
      </c>
      <c r="V252" s="8" t="s">
        <v>1427</v>
      </c>
      <c r="W252" s="8">
        <v>9.648289E9</v>
      </c>
      <c r="X252" s="8" t="s">
        <v>2254</v>
      </c>
      <c r="Y252" s="8" t="s">
        <v>1427</v>
      </c>
      <c r="Z252" s="8">
        <v>9.648422005E9</v>
      </c>
      <c r="AA252" s="8" t="s">
        <v>2254</v>
      </c>
      <c r="AB252" s="8" t="s">
        <v>1427</v>
      </c>
      <c r="AC252" s="8">
        <v>9.648422005E9</v>
      </c>
      <c r="AD252" s="8" t="s">
        <v>2254</v>
      </c>
      <c r="AE252" s="8" t="s">
        <v>1427</v>
      </c>
      <c r="AF252" s="8">
        <v>9.648422005E9</v>
      </c>
      <c r="AG252" s="3"/>
      <c r="AH252" s="8"/>
      <c r="AI252" s="8"/>
      <c r="AJ252" s="8"/>
      <c r="AK252" s="8"/>
      <c r="AL252" s="8"/>
      <c r="AM252" s="8"/>
      <c r="AN252" s="8"/>
      <c r="AO252" s="8"/>
      <c r="AP252" s="8"/>
      <c r="AQ252" s="8"/>
      <c r="AR252" s="8"/>
      <c r="AS252" s="8"/>
      <c r="AT252" s="9"/>
      <c r="AU252" s="8" t="s">
        <v>85</v>
      </c>
      <c r="AV252" s="8"/>
      <c r="AW252" s="8"/>
      <c r="AX252" s="8"/>
      <c r="AY252" s="8"/>
      <c r="AZ252" s="8" t="s">
        <v>72</v>
      </c>
      <c r="BA252" s="8" t="s">
        <v>86</v>
      </c>
      <c r="BB252" s="8" t="s">
        <v>86</v>
      </c>
      <c r="BC252" s="8">
        <v>0.0</v>
      </c>
    </row>
    <row r="253">
      <c r="A253" s="3" t="s">
        <v>2336</v>
      </c>
      <c r="B253" s="3" t="s">
        <v>2337</v>
      </c>
      <c r="C253" s="3" t="s">
        <v>2338</v>
      </c>
      <c r="D253" s="3"/>
      <c r="E253" s="3">
        <v>100000.0</v>
      </c>
      <c r="F253" s="3" t="s">
        <v>58</v>
      </c>
      <c r="G253" s="3" t="s">
        <v>2339</v>
      </c>
      <c r="H253" s="5" t="s">
        <v>2340</v>
      </c>
      <c r="I253" s="5" t="s">
        <v>2341</v>
      </c>
      <c r="J253" s="3" t="s">
        <v>2342</v>
      </c>
      <c r="K253" s="3">
        <v>9.997099981E9</v>
      </c>
      <c r="L253" s="6" t="s">
        <v>2343</v>
      </c>
      <c r="M253" s="3"/>
      <c r="N253" s="3" t="str">
        <f>(B24)</f>
        <v>Maharaja Autoworld</v>
      </c>
      <c r="O253" s="3" t="str">
        <f>(A24)</f>
        <v>1mkGLSaVL5-IAXKq9KqXFgJH64Li9oMA9V0u_seCn1jg</v>
      </c>
      <c r="P253" s="3" t="s">
        <v>142</v>
      </c>
      <c r="Q253" s="8"/>
      <c r="R253" s="3" t="s">
        <v>2344</v>
      </c>
      <c r="S253" s="3" t="s">
        <v>2344</v>
      </c>
      <c r="T253" s="8" t="s">
        <v>83</v>
      </c>
      <c r="U253" s="8" t="s">
        <v>730</v>
      </c>
      <c r="V253" s="8" t="s">
        <v>273</v>
      </c>
      <c r="W253" s="8">
        <v>9.897236E9</v>
      </c>
      <c r="X253" s="8" t="s">
        <v>2345</v>
      </c>
      <c r="Y253" s="8" t="s">
        <v>273</v>
      </c>
      <c r="Z253" s="8">
        <v>9.997099981E9</v>
      </c>
      <c r="AA253" s="8" t="s">
        <v>2346</v>
      </c>
      <c r="AB253" s="8" t="s">
        <v>273</v>
      </c>
      <c r="AC253" s="8">
        <v>9.045088696E9</v>
      </c>
      <c r="AD253" s="8" t="s">
        <v>2345</v>
      </c>
      <c r="AE253" s="8" t="s">
        <v>273</v>
      </c>
      <c r="AF253" s="8">
        <v>9.997099981E9</v>
      </c>
      <c r="AG253" s="3"/>
      <c r="AH253" s="8"/>
      <c r="AI253" s="8"/>
      <c r="AJ253" s="8"/>
      <c r="AK253" s="8"/>
      <c r="AL253" s="8"/>
      <c r="AM253" s="8"/>
      <c r="AN253" s="8"/>
      <c r="AO253" s="8"/>
      <c r="AP253" s="8"/>
      <c r="AQ253" s="8"/>
      <c r="AR253" s="8"/>
      <c r="AS253" s="8"/>
      <c r="AT253" s="9"/>
      <c r="AU253" s="8" t="s">
        <v>85</v>
      </c>
      <c r="AV253" s="8"/>
      <c r="AW253" s="8"/>
      <c r="AX253" s="8"/>
      <c r="AY253" s="8"/>
      <c r="AZ253" s="8" t="s">
        <v>86</v>
      </c>
      <c r="BA253" s="8" t="s">
        <v>86</v>
      </c>
      <c r="BB253" s="8" t="s">
        <v>86</v>
      </c>
      <c r="BC253" s="8">
        <v>0.0</v>
      </c>
    </row>
    <row r="254">
      <c r="A254" s="3" t="s">
        <v>2347</v>
      </c>
      <c r="B254" s="3" t="s">
        <v>2348</v>
      </c>
      <c r="C254" s="3" t="s">
        <v>2349</v>
      </c>
      <c r="D254" s="3"/>
      <c r="E254" s="3">
        <v>100000.0</v>
      </c>
      <c r="F254" s="3" t="s">
        <v>58</v>
      </c>
      <c r="G254" s="3" t="s">
        <v>2350</v>
      </c>
      <c r="H254" s="5" t="s">
        <v>2351</v>
      </c>
      <c r="I254" s="5" t="s">
        <v>2352</v>
      </c>
      <c r="J254" s="3" t="s">
        <v>2353</v>
      </c>
      <c r="K254" s="3">
        <v>9.997099981E9</v>
      </c>
      <c r="L254" s="6" t="s">
        <v>2354</v>
      </c>
      <c r="M254" s="3"/>
      <c r="N254" s="3" t="str">
        <f>(B24)</f>
        <v>Maharaja Autoworld</v>
      </c>
      <c r="O254" s="3" t="str">
        <f>(A24)</f>
        <v>1mkGLSaVL5-IAXKq9KqXFgJH64Li9oMA9V0u_seCn1jg</v>
      </c>
      <c r="P254" s="3" t="s">
        <v>142</v>
      </c>
      <c r="Q254" s="8"/>
      <c r="R254" s="3" t="s">
        <v>2355</v>
      </c>
      <c r="S254" s="3" t="s">
        <v>2355</v>
      </c>
      <c r="T254" s="8" t="s">
        <v>83</v>
      </c>
      <c r="U254" s="8" t="s">
        <v>730</v>
      </c>
      <c r="V254" s="8" t="s">
        <v>273</v>
      </c>
      <c r="W254" s="8">
        <v>9.897236E9</v>
      </c>
      <c r="X254" s="8" t="s">
        <v>2345</v>
      </c>
      <c r="Y254" s="8" t="s">
        <v>273</v>
      </c>
      <c r="Z254" s="8">
        <v>9.997099981E9</v>
      </c>
      <c r="AA254" s="8" t="s">
        <v>2346</v>
      </c>
      <c r="AB254" s="8" t="s">
        <v>273</v>
      </c>
      <c r="AC254" s="8">
        <v>9.045088696E9</v>
      </c>
      <c r="AD254" s="8" t="s">
        <v>2345</v>
      </c>
      <c r="AE254" s="8" t="s">
        <v>273</v>
      </c>
      <c r="AF254" s="8">
        <v>9.997099981E9</v>
      </c>
      <c r="AG254" s="3"/>
      <c r="AH254" s="8"/>
      <c r="AI254" s="8"/>
      <c r="AJ254" s="8"/>
      <c r="AK254" s="8"/>
      <c r="AL254" s="8"/>
      <c r="AM254" s="8"/>
      <c r="AN254" s="8"/>
      <c r="AO254" s="8"/>
      <c r="AP254" s="8"/>
      <c r="AQ254" s="8"/>
      <c r="AR254" s="8"/>
      <c r="AS254" s="8"/>
      <c r="AT254" s="9"/>
      <c r="AU254" s="8" t="s">
        <v>85</v>
      </c>
      <c r="AV254" s="8"/>
      <c r="AW254" s="8"/>
      <c r="AX254" s="8"/>
      <c r="AY254" s="8"/>
      <c r="AZ254" s="8" t="s">
        <v>86</v>
      </c>
      <c r="BA254" s="8" t="s">
        <v>86</v>
      </c>
      <c r="BB254" s="8" t="s">
        <v>86</v>
      </c>
      <c r="BC254" s="8">
        <v>0.0</v>
      </c>
    </row>
    <row r="255">
      <c r="A255" s="3" t="s">
        <v>2356</v>
      </c>
      <c r="B255" s="3" t="s">
        <v>2357</v>
      </c>
      <c r="C255" s="3" t="s">
        <v>2358</v>
      </c>
      <c r="D255" s="3"/>
      <c r="E255" s="3">
        <v>100000.0</v>
      </c>
      <c r="F255" s="3" t="s">
        <v>58</v>
      </c>
      <c r="G255" s="3" t="s">
        <v>2359</v>
      </c>
      <c r="H255" s="5" t="s">
        <v>2360</v>
      </c>
      <c r="I255" s="5" t="s">
        <v>2361</v>
      </c>
      <c r="J255" s="3" t="s">
        <v>2362</v>
      </c>
      <c r="K255" s="3">
        <v>9.997099981E9</v>
      </c>
      <c r="L255" s="6" t="s">
        <v>2363</v>
      </c>
      <c r="M255" s="3"/>
      <c r="N255" s="3" t="str">
        <f>(B24)</f>
        <v>Maharaja Autoworld</v>
      </c>
      <c r="O255" s="3" t="str">
        <f>(A24)</f>
        <v>1mkGLSaVL5-IAXKq9KqXFgJH64Li9oMA9V0u_seCn1jg</v>
      </c>
      <c r="P255" s="3" t="s">
        <v>142</v>
      </c>
      <c r="Q255" s="8"/>
      <c r="R255" s="3" t="s">
        <v>2364</v>
      </c>
      <c r="S255" s="3" t="s">
        <v>2364</v>
      </c>
      <c r="T255" s="8" t="s">
        <v>83</v>
      </c>
      <c r="U255" s="8" t="s">
        <v>730</v>
      </c>
      <c r="V255" s="8" t="s">
        <v>273</v>
      </c>
      <c r="W255" s="8">
        <v>9.897236E9</v>
      </c>
      <c r="X255" s="8" t="s">
        <v>2345</v>
      </c>
      <c r="Y255" s="8" t="s">
        <v>273</v>
      </c>
      <c r="Z255" s="8">
        <v>9.997099981E9</v>
      </c>
      <c r="AA255" s="8" t="s">
        <v>2346</v>
      </c>
      <c r="AB255" s="8" t="s">
        <v>273</v>
      </c>
      <c r="AC255" s="8">
        <v>9.045088696E9</v>
      </c>
      <c r="AD255" s="8" t="s">
        <v>2345</v>
      </c>
      <c r="AE255" s="8" t="s">
        <v>273</v>
      </c>
      <c r="AF255" s="8">
        <v>9.997099981E9</v>
      </c>
      <c r="AG255" s="3"/>
      <c r="AH255" s="8"/>
      <c r="AI255" s="8"/>
      <c r="AJ255" s="8"/>
      <c r="AK255" s="8"/>
      <c r="AL255" s="8"/>
      <c r="AM255" s="8"/>
      <c r="AN255" s="8"/>
      <c r="AO255" s="8"/>
      <c r="AP255" s="8"/>
      <c r="AQ255" s="8"/>
      <c r="AR255" s="8"/>
      <c r="AS255" s="8"/>
      <c r="AT255" s="9"/>
      <c r="AU255" s="8" t="s">
        <v>85</v>
      </c>
      <c r="AV255" s="8"/>
      <c r="AW255" s="8"/>
      <c r="AX255" s="8"/>
      <c r="AY255" s="8"/>
      <c r="AZ255" s="8" t="s">
        <v>86</v>
      </c>
      <c r="BA255" s="8" t="s">
        <v>86</v>
      </c>
      <c r="BB255" s="8" t="s">
        <v>86</v>
      </c>
      <c r="BC255" s="8">
        <v>0.0</v>
      </c>
    </row>
    <row r="256">
      <c r="A256" s="3" t="s">
        <v>2365</v>
      </c>
      <c r="B256" s="3" t="s">
        <v>2366</v>
      </c>
      <c r="C256" s="3" t="s">
        <v>2367</v>
      </c>
      <c r="D256" s="3"/>
      <c r="E256" s="3">
        <v>100000.0</v>
      </c>
      <c r="F256" s="3" t="s">
        <v>58</v>
      </c>
      <c r="G256" s="3" t="s">
        <v>2368</v>
      </c>
      <c r="H256" s="5" t="s">
        <v>2369</v>
      </c>
      <c r="I256" s="5" t="s">
        <v>2370</v>
      </c>
      <c r="J256" s="3" t="s">
        <v>2371</v>
      </c>
      <c r="K256" s="3">
        <v>9.648289E9</v>
      </c>
      <c r="L256" s="6" t="s">
        <v>2372</v>
      </c>
      <c r="M256" s="3"/>
      <c r="N256" s="3" t="str">
        <f>(B155)</f>
        <v>Chandra Automobiles - Faizabad</v>
      </c>
      <c r="O256" s="3" t="str">
        <f>(A155)</f>
        <v>1TMTMDBTSLXzi0POas5HDprui-sp3TCVvRYWE8buap-0</v>
      </c>
      <c r="P256" s="3" t="s">
        <v>142</v>
      </c>
      <c r="Q256" s="8"/>
      <c r="R256" s="3" t="s">
        <v>2373</v>
      </c>
      <c r="S256" s="3" t="s">
        <v>2373</v>
      </c>
      <c r="T256" s="8" t="s">
        <v>83</v>
      </c>
      <c r="U256" s="8" t="s">
        <v>2253</v>
      </c>
      <c r="V256" s="8" t="s">
        <v>1427</v>
      </c>
      <c r="W256" s="8">
        <v>9.648289E9</v>
      </c>
      <c r="X256" s="8">
        <v>9.648289E9</v>
      </c>
      <c r="Y256" s="8" t="s">
        <v>1427</v>
      </c>
      <c r="Z256" s="8">
        <v>9.648422005E9</v>
      </c>
      <c r="AA256" s="8" t="s">
        <v>2254</v>
      </c>
      <c r="AB256" s="8" t="s">
        <v>1427</v>
      </c>
      <c r="AC256" s="8">
        <v>9.648422005E9</v>
      </c>
      <c r="AD256" s="8" t="s">
        <v>2254</v>
      </c>
      <c r="AE256" s="8" t="s">
        <v>1427</v>
      </c>
      <c r="AF256" s="8">
        <v>9.648422005E9</v>
      </c>
      <c r="AG256" s="3"/>
      <c r="AH256" s="8"/>
      <c r="AI256" s="8"/>
      <c r="AJ256" s="8"/>
      <c r="AK256" s="8"/>
      <c r="AL256" s="8"/>
      <c r="AM256" s="8"/>
      <c r="AN256" s="8"/>
      <c r="AO256" s="8"/>
      <c r="AP256" s="8"/>
      <c r="AQ256" s="8"/>
      <c r="AR256" s="8"/>
      <c r="AS256" s="8"/>
      <c r="AT256" s="9"/>
      <c r="AU256" s="8" t="s">
        <v>85</v>
      </c>
      <c r="AV256" s="8"/>
      <c r="AW256" s="8"/>
      <c r="AX256" s="8"/>
      <c r="AY256" s="8"/>
      <c r="AZ256" s="8" t="s">
        <v>72</v>
      </c>
      <c r="BA256" s="8" t="s">
        <v>86</v>
      </c>
      <c r="BB256" s="8" t="s">
        <v>86</v>
      </c>
      <c r="BC256" s="8">
        <v>0.0</v>
      </c>
    </row>
    <row r="257">
      <c r="A257" s="3" t="s">
        <v>2374</v>
      </c>
      <c r="B257" s="3" t="s">
        <v>2375</v>
      </c>
      <c r="C257" s="3" t="s">
        <v>2376</v>
      </c>
      <c r="D257" s="3"/>
      <c r="E257" s="3">
        <v>100000.0</v>
      </c>
      <c r="F257" s="3" t="s">
        <v>58</v>
      </c>
      <c r="G257" s="3" t="s">
        <v>2377</v>
      </c>
      <c r="H257" s="5" t="s">
        <v>2378</v>
      </c>
      <c r="I257" s="5" t="s">
        <v>2379</v>
      </c>
      <c r="J257" s="3" t="s">
        <v>2380</v>
      </c>
      <c r="K257" s="3">
        <v>9.648289E9</v>
      </c>
      <c r="L257" s="6" t="s">
        <v>2381</v>
      </c>
      <c r="M257" s="3"/>
      <c r="N257" s="3" t="str">
        <f>(B147)</f>
        <v>Vanshadi Motors - Faizabad</v>
      </c>
      <c r="O257" s="3" t="str">
        <f>(A147)</f>
        <v>1S2YNz2hsIyDIwT68EF1VR8O-D7oanl9HQJpcApwJPG4</v>
      </c>
      <c r="P257" s="3" t="s">
        <v>142</v>
      </c>
      <c r="Q257" s="8"/>
      <c r="R257" s="3" t="s">
        <v>2382</v>
      </c>
      <c r="S257" s="3" t="s">
        <v>2382</v>
      </c>
      <c r="T257" s="8" t="s">
        <v>83</v>
      </c>
      <c r="U257" s="8" t="s">
        <v>2253</v>
      </c>
      <c r="V257" s="8" t="s">
        <v>1352</v>
      </c>
      <c r="W257" s="8">
        <v>9.648289E9</v>
      </c>
      <c r="X257" s="8" t="s">
        <v>2254</v>
      </c>
      <c r="Y257" s="8" t="s">
        <v>1352</v>
      </c>
      <c r="Z257" s="8">
        <v>9.648422005E9</v>
      </c>
      <c r="AA257" s="8" t="s">
        <v>2254</v>
      </c>
      <c r="AB257" s="8" t="s">
        <v>1352</v>
      </c>
      <c r="AC257" s="8">
        <v>9.648422005E9</v>
      </c>
      <c r="AD257" s="8" t="s">
        <v>2254</v>
      </c>
      <c r="AE257" s="8" t="s">
        <v>1352</v>
      </c>
      <c r="AF257" s="8">
        <v>9.648422005E9</v>
      </c>
      <c r="AG257" s="3"/>
      <c r="AH257" s="8"/>
      <c r="AI257" s="8"/>
      <c r="AJ257" s="8"/>
      <c r="AK257" s="8"/>
      <c r="AL257" s="8"/>
      <c r="AM257" s="8"/>
      <c r="AN257" s="8"/>
      <c r="AO257" s="8"/>
      <c r="AP257" s="8"/>
      <c r="AQ257" s="8"/>
      <c r="AR257" s="8"/>
      <c r="AS257" s="8"/>
      <c r="AT257" s="9"/>
      <c r="AU257" s="8" t="s">
        <v>85</v>
      </c>
      <c r="AV257" s="8"/>
      <c r="AW257" s="8"/>
      <c r="AX257" s="8"/>
      <c r="AY257" s="8"/>
      <c r="AZ257" s="8" t="s">
        <v>72</v>
      </c>
      <c r="BA257" s="8" t="s">
        <v>86</v>
      </c>
      <c r="BB257" s="8" t="s">
        <v>86</v>
      </c>
      <c r="BC257" s="8">
        <v>0.0</v>
      </c>
    </row>
    <row r="258">
      <c r="A258" s="3" t="s">
        <v>2383</v>
      </c>
      <c r="B258" s="3" t="s">
        <v>2384</v>
      </c>
      <c r="C258" s="3" t="s">
        <v>2385</v>
      </c>
      <c r="D258" s="3"/>
      <c r="E258" s="3">
        <v>100000.0</v>
      </c>
      <c r="F258" s="3" t="s">
        <v>58</v>
      </c>
      <c r="G258" s="3" t="s">
        <v>2386</v>
      </c>
      <c r="H258" s="5" t="s">
        <v>2387</v>
      </c>
      <c r="I258" s="5" t="s">
        <v>2388</v>
      </c>
      <c r="J258" s="3" t="s">
        <v>2389</v>
      </c>
      <c r="K258" s="3">
        <v>9.648289E9</v>
      </c>
      <c r="L258" s="6" t="s">
        <v>2390</v>
      </c>
      <c r="M258" s="3"/>
      <c r="N258" s="3" t="str">
        <f>(B147)</f>
        <v>Vanshadi Motors - Faizabad</v>
      </c>
      <c r="O258" s="3" t="str">
        <f>(A147)</f>
        <v>1S2YNz2hsIyDIwT68EF1VR8O-D7oanl9HQJpcApwJPG4</v>
      </c>
      <c r="P258" s="3" t="s">
        <v>142</v>
      </c>
      <c r="Q258" s="8"/>
      <c r="R258" s="3" t="s">
        <v>2391</v>
      </c>
      <c r="S258" s="3" t="s">
        <v>2391</v>
      </c>
      <c r="T258" s="8" t="s">
        <v>83</v>
      </c>
      <c r="U258" s="8" t="s">
        <v>2253</v>
      </c>
      <c r="V258" s="8" t="s">
        <v>1352</v>
      </c>
      <c r="W258" s="8">
        <v>9.648289E9</v>
      </c>
      <c r="X258" s="8" t="s">
        <v>2254</v>
      </c>
      <c r="Y258" s="8" t="s">
        <v>1352</v>
      </c>
      <c r="Z258" s="8">
        <v>9.648422005E9</v>
      </c>
      <c r="AA258" s="8" t="s">
        <v>2254</v>
      </c>
      <c r="AB258" s="8" t="s">
        <v>1352</v>
      </c>
      <c r="AC258" s="8">
        <v>9.648422005E9</v>
      </c>
      <c r="AD258" s="8" t="s">
        <v>2254</v>
      </c>
      <c r="AE258" s="8" t="s">
        <v>1352</v>
      </c>
      <c r="AF258" s="8">
        <v>9.648422005E9</v>
      </c>
      <c r="AG258" s="3"/>
      <c r="AH258" s="8"/>
      <c r="AI258" s="8"/>
      <c r="AJ258" s="8"/>
      <c r="AK258" s="8"/>
      <c r="AL258" s="8"/>
      <c r="AM258" s="8"/>
      <c r="AN258" s="8"/>
      <c r="AO258" s="8"/>
      <c r="AP258" s="8"/>
      <c r="AQ258" s="8"/>
      <c r="AR258" s="8"/>
      <c r="AS258" s="8"/>
      <c r="AT258" s="9"/>
      <c r="AU258" s="8" t="s">
        <v>85</v>
      </c>
      <c r="AV258" s="8"/>
      <c r="AW258" s="8"/>
      <c r="AX258" s="8"/>
      <c r="AY258" s="8"/>
      <c r="AZ258" s="8" t="s">
        <v>72</v>
      </c>
      <c r="BA258" s="8" t="s">
        <v>86</v>
      </c>
      <c r="BB258" s="8" t="s">
        <v>86</v>
      </c>
      <c r="BC258" s="8">
        <v>0.0</v>
      </c>
    </row>
    <row r="259">
      <c r="A259" s="3" t="s">
        <v>2392</v>
      </c>
      <c r="B259" s="3" t="s">
        <v>2393</v>
      </c>
      <c r="C259" s="3" t="s">
        <v>2394</v>
      </c>
      <c r="D259" s="3"/>
      <c r="E259" s="3">
        <v>100000.0</v>
      </c>
      <c r="F259" s="3" t="s">
        <v>58</v>
      </c>
      <c r="G259" s="3" t="s">
        <v>2395</v>
      </c>
      <c r="H259" s="5" t="s">
        <v>2396</v>
      </c>
      <c r="I259" s="5" t="s">
        <v>2397</v>
      </c>
      <c r="J259" s="3" t="s">
        <v>2398</v>
      </c>
      <c r="K259" s="3">
        <v>9.83903035E9</v>
      </c>
      <c r="L259" s="16">
        <v>44296.652083333334</v>
      </c>
      <c r="M259" s="3"/>
      <c r="N259" s="3" t="str">
        <f t="shared" ref="N259:N260" si="47">B259</f>
        <v>SILVER WHEELS - KANPUR</v>
      </c>
      <c r="O259" s="3" t="str">
        <f t="shared" ref="O259:O260" si="48">A259</f>
        <v>18YeFXhbwOry3OVJYZRIqhn6Omyqh0U-ahQsWUD0TmFQ</v>
      </c>
      <c r="P259" s="3" t="s">
        <v>64</v>
      </c>
      <c r="Q259" s="8"/>
      <c r="R259" s="3" t="s">
        <v>2399</v>
      </c>
      <c r="S259" s="3" t="s">
        <v>2399</v>
      </c>
      <c r="T259" s="8" t="s">
        <v>83</v>
      </c>
      <c r="U259" s="8" t="s">
        <v>2400</v>
      </c>
      <c r="V259" s="8" t="s">
        <v>2398</v>
      </c>
      <c r="W259" s="8">
        <v>9.83903035E9</v>
      </c>
      <c r="X259" s="8" t="s">
        <v>66</v>
      </c>
      <c r="Y259" s="8" t="s">
        <v>2398</v>
      </c>
      <c r="Z259" s="8">
        <v>9.83903035E9</v>
      </c>
      <c r="AA259" s="8" t="s">
        <v>66</v>
      </c>
      <c r="AB259" s="8" t="s">
        <v>2398</v>
      </c>
      <c r="AC259" s="8">
        <v>9.83903035E9</v>
      </c>
      <c r="AD259" s="8" t="s">
        <v>66</v>
      </c>
      <c r="AE259" s="8" t="s">
        <v>2398</v>
      </c>
      <c r="AF259" s="8">
        <v>9.83903035E9</v>
      </c>
      <c r="AG259" s="3"/>
      <c r="AH259" s="8"/>
      <c r="AI259" s="8"/>
      <c r="AJ259" s="8"/>
      <c r="AK259" s="8"/>
      <c r="AL259" s="8"/>
      <c r="AM259" s="8"/>
      <c r="AN259" s="8"/>
      <c r="AO259" s="8"/>
      <c r="AP259" s="8"/>
      <c r="AQ259" s="8"/>
      <c r="AR259" s="8"/>
      <c r="AS259" s="8"/>
      <c r="AT259" s="9" t="s">
        <v>2401</v>
      </c>
      <c r="AU259" s="8" t="s">
        <v>69</v>
      </c>
      <c r="AV259" s="8"/>
      <c r="AW259" s="8"/>
      <c r="AX259" s="8"/>
      <c r="AY259" s="8"/>
      <c r="AZ259" s="8" t="s">
        <v>72</v>
      </c>
      <c r="BA259" s="8" t="s">
        <v>86</v>
      </c>
      <c r="BB259" s="8" t="s">
        <v>86</v>
      </c>
      <c r="BC259" s="8">
        <v>0.0</v>
      </c>
    </row>
    <row r="260">
      <c r="A260" s="3" t="s">
        <v>2402</v>
      </c>
      <c r="B260" s="3" t="s">
        <v>2403</v>
      </c>
      <c r="C260" s="3" t="s">
        <v>2404</v>
      </c>
      <c r="D260" s="3"/>
      <c r="E260" s="3">
        <v>100000.0</v>
      </c>
      <c r="F260" s="3" t="s">
        <v>58</v>
      </c>
      <c r="G260" s="3" t="s">
        <v>2405</v>
      </c>
      <c r="H260" s="5" t="s">
        <v>2406</v>
      </c>
      <c r="I260" s="5" t="s">
        <v>2407</v>
      </c>
      <c r="J260" s="3" t="s">
        <v>2408</v>
      </c>
      <c r="K260" s="3">
        <v>9.415324201E9</v>
      </c>
      <c r="L260" s="16">
        <v>44357.85902777778</v>
      </c>
      <c r="M260" s="3"/>
      <c r="N260" s="3" t="str">
        <f t="shared" si="47"/>
        <v>SARASWATI MOTORS - PRAYAGRAJ</v>
      </c>
      <c r="O260" s="3" t="str">
        <f t="shared" si="48"/>
        <v>1i7nD8aYC6tcitvs73AUebjtv4kfapAZjbotnlncyi9w</v>
      </c>
      <c r="P260" s="3" t="s">
        <v>64</v>
      </c>
      <c r="Q260" s="8"/>
      <c r="R260" s="3" t="s">
        <v>2409</v>
      </c>
      <c r="S260" s="3" t="s">
        <v>2409</v>
      </c>
      <c r="T260" s="8" t="s">
        <v>83</v>
      </c>
      <c r="U260" s="8" t="s">
        <v>2410</v>
      </c>
      <c r="V260" s="8" t="s">
        <v>2411</v>
      </c>
      <c r="W260" s="8">
        <v>9.415324201E9</v>
      </c>
      <c r="X260" s="8" t="s">
        <v>2412</v>
      </c>
      <c r="Y260" s="8" t="s">
        <v>2411</v>
      </c>
      <c r="Z260" s="8">
        <v>9.415218691E9</v>
      </c>
      <c r="AA260" s="8" t="s">
        <v>2122</v>
      </c>
      <c r="AB260" s="8" t="s">
        <v>2411</v>
      </c>
      <c r="AC260" s="8">
        <v>8.9350068E9</v>
      </c>
      <c r="AD260" s="8" t="s">
        <v>2122</v>
      </c>
      <c r="AE260" s="8" t="s">
        <v>2411</v>
      </c>
      <c r="AF260" s="8">
        <v>8.9350068E9</v>
      </c>
      <c r="AG260" s="3"/>
      <c r="AH260" s="8"/>
      <c r="AI260" s="8"/>
      <c r="AJ260" s="8"/>
      <c r="AK260" s="8"/>
      <c r="AL260" s="8"/>
      <c r="AM260" s="8"/>
      <c r="AN260" s="8"/>
      <c r="AO260" s="8"/>
      <c r="AP260" s="8"/>
      <c r="AQ260" s="8"/>
      <c r="AR260" s="8"/>
      <c r="AS260" s="8"/>
      <c r="AT260" s="9" t="s">
        <v>2413</v>
      </c>
      <c r="AU260" s="8" t="s">
        <v>69</v>
      </c>
      <c r="AV260" s="8"/>
      <c r="AW260" s="8"/>
      <c r="AX260" s="8"/>
      <c r="AY260" s="8"/>
      <c r="AZ260" s="8" t="s">
        <v>86</v>
      </c>
      <c r="BA260" s="8" t="s">
        <v>86</v>
      </c>
      <c r="BB260" s="8" t="s">
        <v>86</v>
      </c>
      <c r="BC260" s="8">
        <v>0.0</v>
      </c>
    </row>
    <row r="261">
      <c r="A261" s="3" t="s">
        <v>2414</v>
      </c>
      <c r="B261" s="3" t="s">
        <v>2415</v>
      </c>
      <c r="C261" s="3" t="s">
        <v>2416</v>
      </c>
      <c r="D261" s="3"/>
      <c r="E261" s="3">
        <v>100000.0</v>
      </c>
      <c r="F261" s="3" t="s">
        <v>58</v>
      </c>
      <c r="G261" s="3" t="s">
        <v>2417</v>
      </c>
      <c r="H261" s="5" t="s">
        <v>2418</v>
      </c>
      <c r="I261" s="5" t="s">
        <v>2419</v>
      </c>
      <c r="J261" s="3" t="s">
        <v>2420</v>
      </c>
      <c r="K261" s="3">
        <v>8.94101041E9</v>
      </c>
      <c r="L261" s="16">
        <v>44449.825694444444</v>
      </c>
      <c r="M261" s="3"/>
      <c r="N261" s="3" t="str">
        <f>(B7)</f>
        <v>Vikas Autowheels</v>
      </c>
      <c r="O261" s="3" t="str">
        <f>(A7)</f>
        <v>1944RLX7T1M23YXRXYoMnJ6nD_bKLldQXRpFRA0rDLvg</v>
      </c>
      <c r="P261" s="3" t="s">
        <v>142</v>
      </c>
      <c r="Q261" s="8"/>
      <c r="R261" s="3" t="s">
        <v>218</v>
      </c>
      <c r="S261" s="3" t="s">
        <v>218</v>
      </c>
      <c r="T261" s="8" t="s">
        <v>83</v>
      </c>
      <c r="U261" s="8" t="s">
        <v>2421</v>
      </c>
      <c r="V261" s="8" t="s">
        <v>2420</v>
      </c>
      <c r="W261" s="8">
        <v>9.53607236E9</v>
      </c>
      <c r="X261" s="8" t="s">
        <v>2422</v>
      </c>
      <c r="Y261" s="8" t="s">
        <v>2420</v>
      </c>
      <c r="Z261" s="8">
        <v>9.53607236E9</v>
      </c>
      <c r="AA261" s="8" t="s">
        <v>2422</v>
      </c>
      <c r="AB261" s="8" t="s">
        <v>2420</v>
      </c>
      <c r="AC261" s="8">
        <v>9.53607236E9</v>
      </c>
      <c r="AD261" s="8" t="s">
        <v>2422</v>
      </c>
      <c r="AE261" s="8" t="s">
        <v>2420</v>
      </c>
      <c r="AF261" s="8">
        <v>9.53607236E9</v>
      </c>
      <c r="AG261" s="3"/>
      <c r="AH261" s="8"/>
      <c r="AI261" s="8"/>
      <c r="AJ261" s="8"/>
      <c r="AK261" s="8"/>
      <c r="AL261" s="8"/>
      <c r="AM261" s="8"/>
      <c r="AN261" s="8"/>
      <c r="AO261" s="8"/>
      <c r="AP261" s="8"/>
      <c r="AQ261" s="8"/>
      <c r="AR261" s="8"/>
      <c r="AS261" s="8"/>
      <c r="AT261" s="9"/>
      <c r="AU261" s="8" t="s">
        <v>85</v>
      </c>
      <c r="AV261" s="8"/>
      <c r="AW261" s="8"/>
      <c r="AX261" s="8"/>
      <c r="AY261" s="8"/>
      <c r="AZ261" s="8" t="s">
        <v>72</v>
      </c>
      <c r="BA261" s="8" t="s">
        <v>86</v>
      </c>
      <c r="BB261" s="8" t="s">
        <v>86</v>
      </c>
      <c r="BC261" s="8">
        <v>0.0</v>
      </c>
    </row>
    <row r="262">
      <c r="A262" s="3" t="s">
        <v>2423</v>
      </c>
      <c r="B262" s="3" t="s">
        <v>2424</v>
      </c>
      <c r="C262" s="3" t="s">
        <v>2425</v>
      </c>
      <c r="D262" s="3"/>
      <c r="E262" s="3">
        <v>100000.0</v>
      </c>
      <c r="F262" s="3" t="s">
        <v>58</v>
      </c>
      <c r="G262" s="3" t="s">
        <v>2426</v>
      </c>
      <c r="H262" s="5" t="s">
        <v>2427</v>
      </c>
      <c r="I262" s="5" t="s">
        <v>2428</v>
      </c>
      <c r="J262" s="3" t="s">
        <v>2429</v>
      </c>
      <c r="K262" s="3">
        <v>9.811606363E9</v>
      </c>
      <c r="L262" s="6" t="s">
        <v>2430</v>
      </c>
      <c r="M262" s="3"/>
      <c r="N262" s="3" t="str">
        <f>B262</f>
        <v>SHIV GANGA AUTOMOBILES  - DELHI</v>
      </c>
      <c r="O262" s="3" t="str">
        <f>A262</f>
        <v>14mB4gV5ERRUfHqgfkG9Y3k4vrKZM_vGy769D96a1XRs</v>
      </c>
      <c r="P262" s="3" t="s">
        <v>64</v>
      </c>
      <c r="Q262" s="8"/>
      <c r="R262" s="3" t="s">
        <v>2431</v>
      </c>
      <c r="S262" s="3" t="s">
        <v>2431</v>
      </c>
      <c r="T262" s="8" t="s">
        <v>106</v>
      </c>
      <c r="U262" s="8" t="s">
        <v>2432</v>
      </c>
      <c r="V262" s="8" t="s">
        <v>2429</v>
      </c>
      <c r="W262" s="8">
        <v>9.811606363E9</v>
      </c>
      <c r="X262" s="8" t="s">
        <v>2433</v>
      </c>
      <c r="Y262" s="8" t="s">
        <v>2429</v>
      </c>
      <c r="Z262" s="8">
        <v>9.643606363E9</v>
      </c>
      <c r="AA262" s="8" t="s">
        <v>2434</v>
      </c>
      <c r="AB262" s="8" t="s">
        <v>2429</v>
      </c>
      <c r="AC262" s="8">
        <v>9.999328627E9</v>
      </c>
      <c r="AD262" s="8" t="s">
        <v>2433</v>
      </c>
      <c r="AE262" s="8" t="s">
        <v>2429</v>
      </c>
      <c r="AF262" s="8">
        <v>9.643606363E9</v>
      </c>
      <c r="AG262" s="3"/>
      <c r="AH262" s="8"/>
      <c r="AI262" s="8"/>
      <c r="AJ262" s="8"/>
      <c r="AK262" s="8"/>
      <c r="AL262" s="8"/>
      <c r="AM262" s="8"/>
      <c r="AN262" s="8"/>
      <c r="AO262" s="8"/>
      <c r="AP262" s="8"/>
      <c r="AQ262" s="8"/>
      <c r="AR262" s="8"/>
      <c r="AS262" s="8"/>
      <c r="AT262" s="9" t="s">
        <v>2435</v>
      </c>
      <c r="AU262" s="8" t="s">
        <v>85</v>
      </c>
      <c r="AV262" s="8"/>
      <c r="AW262" s="8"/>
      <c r="AX262" s="8" t="s">
        <v>2436</v>
      </c>
      <c r="AY262" s="8" t="s">
        <v>2437</v>
      </c>
      <c r="AZ262" s="8" t="s">
        <v>86</v>
      </c>
      <c r="BA262" s="8" t="s">
        <v>72</v>
      </c>
      <c r="BB262" s="8" t="s">
        <v>72</v>
      </c>
      <c r="BC262" s="8">
        <v>0.0</v>
      </c>
    </row>
    <row r="263">
      <c r="A263" s="3" t="s">
        <v>2438</v>
      </c>
      <c r="B263" s="3" t="s">
        <v>2439</v>
      </c>
      <c r="C263" s="3" t="s">
        <v>2440</v>
      </c>
      <c r="D263" s="3"/>
      <c r="E263" s="3">
        <v>100000.0</v>
      </c>
      <c r="F263" s="3" t="s">
        <v>58</v>
      </c>
      <c r="G263" s="3" t="s">
        <v>2441</v>
      </c>
      <c r="H263" s="5" t="s">
        <v>2442</v>
      </c>
      <c r="I263" s="5" t="s">
        <v>2443</v>
      </c>
      <c r="J263" s="3" t="s">
        <v>2444</v>
      </c>
      <c r="K263" s="3">
        <v>8.789946589E9</v>
      </c>
      <c r="L263" s="6" t="s">
        <v>2445</v>
      </c>
      <c r="M263" s="3"/>
      <c r="N263" s="3" t="str">
        <f>(B173)</f>
        <v>Modern Auto Agency - Bettiah</v>
      </c>
      <c r="O263" s="3" t="str">
        <f>(A173)</f>
        <v>1_UtGSoyOsljQXvmry7gfXGYwjwEjQbghQQGZebnq45M</v>
      </c>
      <c r="P263" s="3" t="s">
        <v>142</v>
      </c>
      <c r="Q263" s="8"/>
      <c r="R263" s="3" t="s">
        <v>2446</v>
      </c>
      <c r="S263" s="3" t="s">
        <v>2446</v>
      </c>
      <c r="T263" s="8" t="s">
        <v>1308</v>
      </c>
      <c r="U263" s="8" t="s">
        <v>2447</v>
      </c>
      <c r="V263" s="8" t="s">
        <v>2444</v>
      </c>
      <c r="W263" s="8">
        <v>8.789946589E9</v>
      </c>
      <c r="X263" s="8" t="s">
        <v>2448</v>
      </c>
      <c r="Y263" s="8" t="s">
        <v>2444</v>
      </c>
      <c r="Z263" s="8">
        <v>8.789946589E9</v>
      </c>
      <c r="AA263" s="8" t="s">
        <v>2448</v>
      </c>
      <c r="AB263" s="8" t="s">
        <v>2444</v>
      </c>
      <c r="AC263" s="8">
        <v>8.789946589E9</v>
      </c>
      <c r="AD263" s="8" t="s">
        <v>2448</v>
      </c>
      <c r="AE263" s="8" t="s">
        <v>2444</v>
      </c>
      <c r="AF263" s="8">
        <v>8.789946589E9</v>
      </c>
      <c r="AG263" s="3"/>
      <c r="AH263" s="8"/>
      <c r="AI263" s="8"/>
      <c r="AJ263" s="8"/>
      <c r="AK263" s="8"/>
      <c r="AL263" s="8"/>
      <c r="AM263" s="8"/>
      <c r="AN263" s="8"/>
      <c r="AO263" s="8"/>
      <c r="AP263" s="8"/>
      <c r="AQ263" s="8"/>
      <c r="AR263" s="8"/>
      <c r="AS263" s="8"/>
      <c r="AT263" s="9"/>
      <c r="AU263" s="8" t="s">
        <v>85</v>
      </c>
      <c r="AV263" s="8"/>
      <c r="AW263" s="8"/>
      <c r="AX263" s="8"/>
      <c r="AY263" s="8"/>
      <c r="AZ263" s="8" t="s">
        <v>72</v>
      </c>
      <c r="BA263" s="8" t="s">
        <v>86</v>
      </c>
      <c r="BB263" s="8" t="s">
        <v>86</v>
      </c>
      <c r="BC263" s="8">
        <v>0.0</v>
      </c>
    </row>
    <row r="264">
      <c r="A264" s="3" t="s">
        <v>2449</v>
      </c>
      <c r="B264" s="3" t="s">
        <v>2450</v>
      </c>
      <c r="C264" s="3" t="s">
        <v>2451</v>
      </c>
      <c r="D264" s="3"/>
      <c r="E264" s="3">
        <v>100000.0</v>
      </c>
      <c r="F264" s="3" t="s">
        <v>58</v>
      </c>
      <c r="G264" s="3" t="s">
        <v>2452</v>
      </c>
      <c r="H264" s="5" t="s">
        <v>2453</v>
      </c>
      <c r="I264" s="5" t="s">
        <v>2454</v>
      </c>
      <c r="J264" s="3" t="s">
        <v>2455</v>
      </c>
      <c r="K264" s="3">
        <v>7.979769758E9</v>
      </c>
      <c r="L264" s="6" t="s">
        <v>2456</v>
      </c>
      <c r="M264" s="3"/>
      <c r="N264" s="3" t="str">
        <f>(B173)</f>
        <v>Modern Auto Agency - Bettiah</v>
      </c>
      <c r="O264" s="3" t="str">
        <f>(A173)</f>
        <v>1_UtGSoyOsljQXvmry7gfXGYwjwEjQbghQQGZebnq45M</v>
      </c>
      <c r="P264" s="3" t="s">
        <v>142</v>
      </c>
      <c r="Q264" s="8"/>
      <c r="R264" s="3" t="s">
        <v>2457</v>
      </c>
      <c r="S264" s="3" t="s">
        <v>2457</v>
      </c>
      <c r="T264" s="8" t="s">
        <v>1308</v>
      </c>
      <c r="U264" s="8" t="s">
        <v>2458</v>
      </c>
      <c r="V264" s="8" t="s">
        <v>2455</v>
      </c>
      <c r="W264" s="8">
        <v>7.979769758E9</v>
      </c>
      <c r="X264" s="8" t="s">
        <v>2448</v>
      </c>
      <c r="Y264" s="8" t="s">
        <v>2455</v>
      </c>
      <c r="Z264" s="8">
        <v>7.979769758E9</v>
      </c>
      <c r="AA264" s="8" t="s">
        <v>2448</v>
      </c>
      <c r="AB264" s="8" t="s">
        <v>2455</v>
      </c>
      <c r="AC264" s="8">
        <v>7.979769758E9</v>
      </c>
      <c r="AD264" s="8" t="s">
        <v>2448</v>
      </c>
      <c r="AE264" s="8" t="s">
        <v>2455</v>
      </c>
      <c r="AF264" s="8">
        <v>7.979769758E9</v>
      </c>
      <c r="AG264" s="3"/>
      <c r="AH264" s="8"/>
      <c r="AI264" s="8"/>
      <c r="AJ264" s="8"/>
      <c r="AK264" s="8"/>
      <c r="AL264" s="8"/>
      <c r="AM264" s="8"/>
      <c r="AN264" s="8"/>
      <c r="AO264" s="8"/>
      <c r="AP264" s="8"/>
      <c r="AQ264" s="8"/>
      <c r="AR264" s="8"/>
      <c r="AS264" s="8"/>
      <c r="AT264" s="9"/>
      <c r="AU264" s="8" t="s">
        <v>85</v>
      </c>
      <c r="AV264" s="8"/>
      <c r="AW264" s="8"/>
      <c r="AX264" s="8"/>
      <c r="AY264" s="8"/>
      <c r="AZ264" s="8" t="s">
        <v>72</v>
      </c>
      <c r="BA264" s="8" t="s">
        <v>86</v>
      </c>
      <c r="BB264" s="8" t="s">
        <v>86</v>
      </c>
      <c r="BC264" s="8">
        <v>0.0</v>
      </c>
    </row>
    <row r="265">
      <c r="A265" s="3" t="s">
        <v>2459</v>
      </c>
      <c r="B265" s="3" t="s">
        <v>2460</v>
      </c>
      <c r="C265" s="3" t="s">
        <v>2461</v>
      </c>
      <c r="D265" s="3"/>
      <c r="E265" s="3">
        <v>100000.0</v>
      </c>
      <c r="F265" s="3" t="s">
        <v>58</v>
      </c>
      <c r="G265" s="3" t="s">
        <v>2462</v>
      </c>
      <c r="H265" s="5" t="s">
        <v>2463</v>
      </c>
      <c r="I265" s="5" t="s">
        <v>2464</v>
      </c>
      <c r="J265" s="3" t="s">
        <v>2465</v>
      </c>
      <c r="K265" s="3">
        <v>9.870885526E9</v>
      </c>
      <c r="L265" s="6" t="s">
        <v>2466</v>
      </c>
      <c r="M265" s="3"/>
      <c r="N265" s="3" t="str">
        <f>(B46)</f>
        <v>Shri Balaji Hero - Muzaffarnagar</v>
      </c>
      <c r="O265" s="3" t="str">
        <f>(A46)</f>
        <v>1qJGCYN0EdS2nWGXVYAHwXqSjiLE2C95anQkkbLONbKQ</v>
      </c>
      <c r="P265" s="3" t="s">
        <v>142</v>
      </c>
      <c r="Q265" s="8"/>
      <c r="R265" s="3" t="s">
        <v>2467</v>
      </c>
      <c r="S265" s="3" t="s">
        <v>2467</v>
      </c>
      <c r="T265" s="8" t="s">
        <v>83</v>
      </c>
      <c r="U265" s="8" t="s">
        <v>2468</v>
      </c>
      <c r="V265" s="8" t="s">
        <v>2465</v>
      </c>
      <c r="W265" s="8">
        <v>9.870885526E9</v>
      </c>
      <c r="X265" s="8" t="s">
        <v>2469</v>
      </c>
      <c r="Y265" s="8" t="s">
        <v>2465</v>
      </c>
      <c r="Z265" s="8">
        <v>9.870885526E9</v>
      </c>
      <c r="AA265" s="8" t="s">
        <v>2470</v>
      </c>
      <c r="AB265" s="8" t="s">
        <v>2465</v>
      </c>
      <c r="AC265" s="8">
        <v>7.300966932E9</v>
      </c>
      <c r="AD265" s="8" t="s">
        <v>2469</v>
      </c>
      <c r="AE265" s="8" t="s">
        <v>2465</v>
      </c>
      <c r="AF265" s="8">
        <v>8.859893229E9</v>
      </c>
      <c r="AG265" s="3"/>
      <c r="AH265" s="8"/>
      <c r="AI265" s="8"/>
      <c r="AJ265" s="8"/>
      <c r="AK265" s="8"/>
      <c r="AL265" s="8"/>
      <c r="AM265" s="8"/>
      <c r="AN265" s="8"/>
      <c r="AO265" s="8"/>
      <c r="AP265" s="8"/>
      <c r="AQ265" s="8"/>
      <c r="AR265" s="8"/>
      <c r="AS265" s="8"/>
      <c r="AT265" s="9"/>
      <c r="AU265" s="8" t="s">
        <v>85</v>
      </c>
      <c r="AV265" s="8"/>
      <c r="AW265" s="8"/>
      <c r="AX265" s="8"/>
      <c r="AY265" s="8"/>
      <c r="AZ265" s="8" t="s">
        <v>72</v>
      </c>
      <c r="BA265" s="8" t="s">
        <v>86</v>
      </c>
      <c r="BB265" s="8" t="s">
        <v>86</v>
      </c>
      <c r="BC265" s="8">
        <v>0.0</v>
      </c>
    </row>
    <row r="266">
      <c r="A266" s="3" t="s">
        <v>2471</v>
      </c>
      <c r="B266" s="3" t="s">
        <v>2472</v>
      </c>
      <c r="C266" s="3" t="s">
        <v>2473</v>
      </c>
      <c r="D266" s="3"/>
      <c r="E266" s="3">
        <v>100000.0</v>
      </c>
      <c r="F266" s="3" t="s">
        <v>58</v>
      </c>
      <c r="G266" s="3" t="s">
        <v>2474</v>
      </c>
      <c r="H266" s="5" t="s">
        <v>2475</v>
      </c>
      <c r="I266" s="5" t="s">
        <v>2476</v>
      </c>
      <c r="J266" s="3" t="s">
        <v>2477</v>
      </c>
      <c r="K266" s="3">
        <v>9.910634628E9</v>
      </c>
      <c r="L266" s="6" t="s">
        <v>2478</v>
      </c>
      <c r="M266" s="3"/>
      <c r="N266" s="3" t="str">
        <f>(B46)</f>
        <v>Shri Balaji Hero - Muzaffarnagar</v>
      </c>
      <c r="O266" s="3" t="str">
        <f>(A46)</f>
        <v>1qJGCYN0EdS2nWGXVYAHwXqSjiLE2C95anQkkbLONbKQ</v>
      </c>
      <c r="P266" s="3" t="s">
        <v>142</v>
      </c>
      <c r="Q266" s="8"/>
      <c r="R266" s="3" t="s">
        <v>2479</v>
      </c>
      <c r="S266" s="3" t="s">
        <v>2479</v>
      </c>
      <c r="T266" s="8" t="s">
        <v>83</v>
      </c>
      <c r="U266" s="8" t="s">
        <v>2480</v>
      </c>
      <c r="V266" s="8" t="s">
        <v>2477</v>
      </c>
      <c r="W266" s="8">
        <v>9.910634628E9</v>
      </c>
      <c r="X266" s="8" t="s">
        <v>2481</v>
      </c>
      <c r="Y266" s="8" t="s">
        <v>2477</v>
      </c>
      <c r="Z266" s="8">
        <v>9.520000166E9</v>
      </c>
      <c r="AA266" s="8" t="s">
        <v>2481</v>
      </c>
      <c r="AB266" s="8" t="s">
        <v>2477</v>
      </c>
      <c r="AC266" s="8">
        <v>9.520000166E9</v>
      </c>
      <c r="AD266" s="8" t="s">
        <v>2481</v>
      </c>
      <c r="AE266" s="8" t="s">
        <v>2477</v>
      </c>
      <c r="AF266" s="8">
        <v>9.520000166E9</v>
      </c>
      <c r="AG266" s="3"/>
      <c r="AH266" s="8"/>
      <c r="AI266" s="8"/>
      <c r="AJ266" s="8"/>
      <c r="AK266" s="8"/>
      <c r="AL266" s="8"/>
      <c r="AM266" s="8"/>
      <c r="AN266" s="8"/>
      <c r="AO266" s="8"/>
      <c r="AP266" s="8"/>
      <c r="AQ266" s="8"/>
      <c r="AR266" s="8"/>
      <c r="AS266" s="8"/>
      <c r="AT266" s="9"/>
      <c r="AU266" s="8" t="s">
        <v>85</v>
      </c>
      <c r="AV266" s="8"/>
      <c r="AW266" s="8"/>
      <c r="AX266" s="8"/>
      <c r="AY266" s="8"/>
      <c r="AZ266" s="8" t="s">
        <v>72</v>
      </c>
      <c r="BA266" s="19" t="s">
        <v>86</v>
      </c>
      <c r="BB266" s="19" t="s">
        <v>86</v>
      </c>
      <c r="BC266" s="8">
        <v>0.0</v>
      </c>
    </row>
    <row r="267">
      <c r="A267" s="3" t="s">
        <v>2482</v>
      </c>
      <c r="B267" s="3" t="s">
        <v>2483</v>
      </c>
      <c r="C267" s="3" t="s">
        <v>2484</v>
      </c>
      <c r="D267" s="3"/>
      <c r="E267" s="3">
        <v>100000.0</v>
      </c>
      <c r="F267" s="3" t="s">
        <v>58</v>
      </c>
      <c r="G267" s="3" t="s">
        <v>2485</v>
      </c>
      <c r="H267" s="5" t="s">
        <v>2486</v>
      </c>
      <c r="I267" s="5" t="s">
        <v>2487</v>
      </c>
      <c r="J267" s="3" t="s">
        <v>2488</v>
      </c>
      <c r="K267" s="3">
        <v>9.837361108E9</v>
      </c>
      <c r="L267" s="6" t="s">
        <v>2489</v>
      </c>
      <c r="M267" s="3"/>
      <c r="N267" s="3" t="str">
        <f>(B36)</f>
        <v>AAA</v>
      </c>
      <c r="O267" s="3" t="str">
        <f>(A36)</f>
        <v>1AjVyIHPgPw3jscNmkTH1qzR2RokK5FZaJLjeNfOiYAA</v>
      </c>
      <c r="P267" s="3" t="s">
        <v>142</v>
      </c>
      <c r="Q267" s="8"/>
      <c r="R267" s="3" t="s">
        <v>2490</v>
      </c>
      <c r="S267" s="3" t="s">
        <v>2490</v>
      </c>
      <c r="T267" s="8" t="s">
        <v>83</v>
      </c>
      <c r="U267" s="8" t="s">
        <v>2491</v>
      </c>
      <c r="V267" s="8" t="s">
        <v>2492</v>
      </c>
      <c r="W267" s="8">
        <v>9.837361108E9</v>
      </c>
      <c r="X267" s="8" t="s">
        <v>2132</v>
      </c>
      <c r="Y267" s="8" t="s">
        <v>387</v>
      </c>
      <c r="Z267" s="8">
        <v>9.04518462E9</v>
      </c>
      <c r="AA267" s="8" t="s">
        <v>2133</v>
      </c>
      <c r="AB267" s="8" t="s">
        <v>387</v>
      </c>
      <c r="AC267" s="8">
        <v>9.997224488E9</v>
      </c>
      <c r="AD267" s="8" t="s">
        <v>2132</v>
      </c>
      <c r="AE267" s="8" t="s">
        <v>387</v>
      </c>
      <c r="AF267" s="8">
        <v>9.04518462E9</v>
      </c>
      <c r="AG267" s="3"/>
      <c r="AH267" s="8"/>
      <c r="AI267" s="8"/>
      <c r="AJ267" s="8"/>
      <c r="AK267" s="8"/>
      <c r="AL267" s="8"/>
      <c r="AM267" s="8"/>
      <c r="AN267" s="8"/>
      <c r="AO267" s="8"/>
      <c r="AP267" s="8"/>
      <c r="AQ267" s="8"/>
      <c r="AR267" s="8"/>
      <c r="AS267" s="8"/>
      <c r="AT267" s="9"/>
      <c r="AU267" s="8" t="s">
        <v>85</v>
      </c>
      <c r="AV267" s="8"/>
      <c r="AW267" s="8"/>
      <c r="AX267" s="8"/>
      <c r="AY267" s="8"/>
      <c r="AZ267" s="8" t="s">
        <v>86</v>
      </c>
      <c r="BA267" s="19" t="s">
        <v>86</v>
      </c>
      <c r="BB267" s="19" t="s">
        <v>86</v>
      </c>
      <c r="BC267" s="8">
        <v>0.0</v>
      </c>
    </row>
    <row r="268">
      <c r="A268" s="3" t="s">
        <v>2493</v>
      </c>
      <c r="B268" s="3" t="s">
        <v>2494</v>
      </c>
      <c r="C268" s="3" t="s">
        <v>2495</v>
      </c>
      <c r="D268" s="3"/>
      <c r="E268" s="3">
        <v>100000.0</v>
      </c>
      <c r="F268" s="3" t="s">
        <v>58</v>
      </c>
      <c r="G268" s="3" t="s">
        <v>2496</v>
      </c>
      <c r="H268" s="5" t="s">
        <v>2497</v>
      </c>
      <c r="I268" s="5" t="s">
        <v>2498</v>
      </c>
      <c r="J268" s="3" t="s">
        <v>2499</v>
      </c>
      <c r="K268" s="3">
        <v>9.760209E9</v>
      </c>
      <c r="L268" s="6" t="s">
        <v>2500</v>
      </c>
      <c r="M268" s="3"/>
      <c r="N268" s="3" t="str">
        <f>(B36)</f>
        <v>AAA</v>
      </c>
      <c r="O268" s="3" t="str">
        <f>(A36)</f>
        <v>1AjVyIHPgPw3jscNmkTH1qzR2RokK5FZaJLjeNfOiYAA</v>
      </c>
      <c r="P268" s="3" t="s">
        <v>142</v>
      </c>
      <c r="Q268" s="8"/>
      <c r="R268" s="3" t="s">
        <v>2501</v>
      </c>
      <c r="S268" s="3" t="s">
        <v>2502</v>
      </c>
      <c r="T268" s="8" t="s">
        <v>83</v>
      </c>
      <c r="U268" s="8" t="s">
        <v>2503</v>
      </c>
      <c r="V268" s="8" t="s">
        <v>2499</v>
      </c>
      <c r="W268" s="8">
        <v>9.760209E9</v>
      </c>
      <c r="X268" s="8" t="s">
        <v>2132</v>
      </c>
      <c r="Y268" s="8" t="s">
        <v>387</v>
      </c>
      <c r="Z268" s="8">
        <v>9.04518462E9</v>
      </c>
      <c r="AA268" s="8" t="s">
        <v>2133</v>
      </c>
      <c r="AB268" s="8" t="s">
        <v>387</v>
      </c>
      <c r="AC268" s="8">
        <v>9.997224488E9</v>
      </c>
      <c r="AD268" s="8" t="s">
        <v>2132</v>
      </c>
      <c r="AE268" s="8" t="s">
        <v>387</v>
      </c>
      <c r="AF268" s="8">
        <v>9.04518462E9</v>
      </c>
      <c r="AG268" s="3"/>
      <c r="AH268" s="8"/>
      <c r="AI268" s="8"/>
      <c r="AJ268" s="8"/>
      <c r="AK268" s="8"/>
      <c r="AL268" s="8"/>
      <c r="AM268" s="8"/>
      <c r="AN268" s="8"/>
      <c r="AO268" s="8"/>
      <c r="AP268" s="8"/>
      <c r="AQ268" s="8"/>
      <c r="AR268" s="8"/>
      <c r="AS268" s="8"/>
      <c r="AT268" s="9"/>
      <c r="AU268" s="8" t="s">
        <v>85</v>
      </c>
      <c r="AV268" s="8"/>
      <c r="AW268" s="8"/>
      <c r="AX268" s="8"/>
      <c r="AY268" s="8"/>
      <c r="AZ268" s="8" t="s">
        <v>86</v>
      </c>
      <c r="BA268" s="19" t="s">
        <v>86</v>
      </c>
      <c r="BB268" s="19" t="s">
        <v>86</v>
      </c>
      <c r="BC268" s="8">
        <v>0.0</v>
      </c>
    </row>
    <row r="269">
      <c r="A269" s="3" t="s">
        <v>2504</v>
      </c>
      <c r="B269" s="3" t="s">
        <v>2505</v>
      </c>
      <c r="C269" s="3" t="s">
        <v>2506</v>
      </c>
      <c r="D269" s="3"/>
      <c r="E269" s="3">
        <v>100000.0</v>
      </c>
      <c r="F269" s="3" t="s">
        <v>58</v>
      </c>
      <c r="G269" s="3" t="s">
        <v>2507</v>
      </c>
      <c r="H269" s="5" t="s">
        <v>2508</v>
      </c>
      <c r="I269" s="5" t="s">
        <v>2509</v>
      </c>
      <c r="J269" s="3" t="s">
        <v>2510</v>
      </c>
      <c r="K269" s="3">
        <v>9.918319111E9</v>
      </c>
      <c r="L269" s="6" t="s">
        <v>2511</v>
      </c>
      <c r="M269" s="3"/>
      <c r="N269" s="3" t="str">
        <f t="shared" ref="N269:N270" si="49">B269</f>
        <v>Gupta Automobiles - Padrauna</v>
      </c>
      <c r="O269" s="3" t="str">
        <f t="shared" ref="O269:O270" si="50">A269</f>
        <v>1Ql_6BdBcHGAyITSZt1pNUK3bW54CzeThIBXr7aH7K3Y</v>
      </c>
      <c r="P269" s="3" t="s">
        <v>64</v>
      </c>
      <c r="Q269" s="8"/>
      <c r="R269" s="3" t="s">
        <v>2512</v>
      </c>
      <c r="S269" s="3" t="s">
        <v>2512</v>
      </c>
      <c r="T269" s="8" t="s">
        <v>83</v>
      </c>
      <c r="U269" s="8" t="s">
        <v>2513</v>
      </c>
      <c r="V269" s="8" t="s">
        <v>2510</v>
      </c>
      <c r="W269" s="8">
        <v>9.918319111E9</v>
      </c>
      <c r="X269" s="8" t="s">
        <v>2514</v>
      </c>
      <c r="Y269" s="8" t="s">
        <v>2510</v>
      </c>
      <c r="Z269" s="8">
        <v>9.9369191E9</v>
      </c>
      <c r="AA269" s="8" t="s">
        <v>2514</v>
      </c>
      <c r="AB269" s="8" t="s">
        <v>2510</v>
      </c>
      <c r="AC269" s="8">
        <v>9.9369191E9</v>
      </c>
      <c r="AD269" s="8" t="s">
        <v>2514</v>
      </c>
      <c r="AE269" s="8" t="s">
        <v>2510</v>
      </c>
      <c r="AF269" s="8">
        <v>9.9369191E9</v>
      </c>
      <c r="AG269" s="3" t="s">
        <v>2515</v>
      </c>
      <c r="AH269" s="8" t="s">
        <v>2516</v>
      </c>
      <c r="AI269" s="8" t="s">
        <v>2517</v>
      </c>
      <c r="AJ269" s="8">
        <v>5.0200021671512E13</v>
      </c>
      <c r="AK269" s="8" t="s">
        <v>2518</v>
      </c>
      <c r="AL269" s="8" t="s">
        <v>2519</v>
      </c>
      <c r="AM269" s="8" t="s">
        <v>2515</v>
      </c>
      <c r="AN269" s="8" t="s">
        <v>2516</v>
      </c>
      <c r="AO269" s="8"/>
      <c r="AP269" s="8" t="s">
        <v>2517</v>
      </c>
      <c r="AQ269" s="8">
        <v>5.0200021671512E13</v>
      </c>
      <c r="AR269" s="8" t="s">
        <v>2520</v>
      </c>
      <c r="AS269" s="8" t="s">
        <v>2519</v>
      </c>
      <c r="AT269" s="9" t="s">
        <v>2521</v>
      </c>
      <c r="AU269" s="8" t="s">
        <v>85</v>
      </c>
      <c r="AV269" s="8"/>
      <c r="AW269" s="8"/>
      <c r="AX269" s="8"/>
      <c r="AY269" s="8"/>
      <c r="AZ269" s="8" t="s">
        <v>86</v>
      </c>
      <c r="BA269" s="19" t="s">
        <v>86</v>
      </c>
      <c r="BB269" s="19" t="s">
        <v>86</v>
      </c>
      <c r="BC269" s="8">
        <v>0.0</v>
      </c>
    </row>
    <row r="270">
      <c r="A270" s="3" t="s">
        <v>2522</v>
      </c>
      <c r="B270" s="3" t="s">
        <v>2523</v>
      </c>
      <c r="C270" s="3" t="s">
        <v>2524</v>
      </c>
      <c r="D270" s="3"/>
      <c r="E270" s="3">
        <v>100000.0</v>
      </c>
      <c r="F270" s="3" t="s">
        <v>58</v>
      </c>
      <c r="G270" s="3" t="s">
        <v>2525</v>
      </c>
      <c r="H270" s="5" t="s">
        <v>2526</v>
      </c>
      <c r="I270" s="5" t="s">
        <v>2527</v>
      </c>
      <c r="J270" s="3" t="s">
        <v>2528</v>
      </c>
      <c r="K270" s="3">
        <v>9.918319111E9</v>
      </c>
      <c r="L270" s="6" t="s">
        <v>2529</v>
      </c>
      <c r="M270" s="3"/>
      <c r="N270" s="3" t="str">
        <f t="shared" si="49"/>
        <v>VAISHNO MOTORS - JHUGAWA</v>
      </c>
      <c r="O270" s="3" t="str">
        <f t="shared" si="50"/>
        <v>1T9TOPNccEkZyvcMjs5_ErkZRFNoV3A33YcZPKCnjNeI</v>
      </c>
      <c r="P270" s="3" t="s">
        <v>64</v>
      </c>
      <c r="Q270" s="8"/>
      <c r="R270" s="3" t="s">
        <v>2530</v>
      </c>
      <c r="S270" s="3" t="s">
        <v>2530</v>
      </c>
      <c r="T270" s="8" t="s">
        <v>83</v>
      </c>
      <c r="U270" s="8" t="s">
        <v>2531</v>
      </c>
      <c r="V270" s="8" t="s">
        <v>2528</v>
      </c>
      <c r="W270" s="8">
        <v>9.918319111E9</v>
      </c>
      <c r="X270" s="8" t="s">
        <v>2514</v>
      </c>
      <c r="Y270" s="8" t="s">
        <v>2510</v>
      </c>
      <c r="Z270" s="8">
        <v>9.9369191E9</v>
      </c>
      <c r="AA270" s="8" t="s">
        <v>2514</v>
      </c>
      <c r="AB270" s="8" t="s">
        <v>2510</v>
      </c>
      <c r="AC270" s="8">
        <v>9.9369191E9</v>
      </c>
      <c r="AD270" s="8" t="s">
        <v>2514</v>
      </c>
      <c r="AE270" s="8" t="s">
        <v>2510</v>
      </c>
      <c r="AF270" s="8">
        <v>9.9369191E9</v>
      </c>
      <c r="AG270" s="3" t="s">
        <v>2532</v>
      </c>
      <c r="AH270" s="8" t="s">
        <v>2533</v>
      </c>
      <c r="AI270" s="8" t="s">
        <v>2534</v>
      </c>
      <c r="AJ270" s="8">
        <v>5.0200031979506E13</v>
      </c>
      <c r="AK270" s="8" t="s">
        <v>2520</v>
      </c>
      <c r="AL270" s="8" t="s">
        <v>2535</v>
      </c>
      <c r="AM270" s="8" t="s">
        <v>2532</v>
      </c>
      <c r="AN270" s="8" t="s">
        <v>2533</v>
      </c>
      <c r="AO270" s="8"/>
      <c r="AP270" s="8" t="s">
        <v>2534</v>
      </c>
      <c r="AQ270" s="8">
        <v>5.0200031979506E13</v>
      </c>
      <c r="AR270" s="8" t="s">
        <v>2520</v>
      </c>
      <c r="AS270" s="8" t="s">
        <v>2535</v>
      </c>
      <c r="AT270" s="9" t="s">
        <v>2536</v>
      </c>
      <c r="AU270" s="8" t="s">
        <v>85</v>
      </c>
      <c r="AV270" s="8"/>
      <c r="AW270" s="8"/>
      <c r="AX270" s="8"/>
      <c r="AY270" s="8"/>
      <c r="AZ270" s="8" t="s">
        <v>86</v>
      </c>
      <c r="BA270" s="19" t="s">
        <v>86</v>
      </c>
      <c r="BB270" s="19" t="s">
        <v>86</v>
      </c>
      <c r="BC270" s="8">
        <v>0.0</v>
      </c>
    </row>
    <row r="271">
      <c r="A271" s="3" t="s">
        <v>2537</v>
      </c>
      <c r="B271" s="3" t="s">
        <v>2538</v>
      </c>
      <c r="C271" s="3" t="s">
        <v>2539</v>
      </c>
      <c r="D271" s="3"/>
      <c r="E271" s="3">
        <v>100000.0</v>
      </c>
      <c r="F271" s="3" t="s">
        <v>58</v>
      </c>
      <c r="G271" s="3" t="s">
        <v>2540</v>
      </c>
      <c r="H271" s="5" t="s">
        <v>2541</v>
      </c>
      <c r="I271" s="5" t="s">
        <v>2542</v>
      </c>
      <c r="J271" s="3" t="s">
        <v>2543</v>
      </c>
      <c r="K271" s="3">
        <v>7.784847934E9</v>
      </c>
      <c r="L271" s="6" t="s">
        <v>2544</v>
      </c>
      <c r="M271" s="3"/>
      <c r="N271" s="3" t="str">
        <f>(B269)</f>
        <v>Gupta Automobiles - Padrauna</v>
      </c>
      <c r="O271" s="3" t="str">
        <f>(A269)</f>
        <v>1Ql_6BdBcHGAyITSZt1pNUK3bW54CzeThIBXr7aH7K3Y</v>
      </c>
      <c r="P271" s="3" t="s">
        <v>142</v>
      </c>
      <c r="Q271" s="8"/>
      <c r="R271" s="3" t="s">
        <v>2545</v>
      </c>
      <c r="S271" s="3" t="s">
        <v>2545</v>
      </c>
      <c r="T271" s="8" t="s">
        <v>83</v>
      </c>
      <c r="U271" s="8" t="s">
        <v>2531</v>
      </c>
      <c r="V271" s="8" t="s">
        <v>2510</v>
      </c>
      <c r="W271" s="8">
        <v>9.918319111E9</v>
      </c>
      <c r="X271" s="8" t="s">
        <v>2514</v>
      </c>
      <c r="Y271" s="8" t="s">
        <v>2510</v>
      </c>
      <c r="Z271" s="8">
        <v>9.9369191E9</v>
      </c>
      <c r="AA271" s="8" t="s">
        <v>2514</v>
      </c>
      <c r="AB271" s="8" t="s">
        <v>2510</v>
      </c>
      <c r="AC271" s="8">
        <v>9.9369191E9</v>
      </c>
      <c r="AD271" s="8" t="s">
        <v>2514</v>
      </c>
      <c r="AE271" s="8" t="s">
        <v>2510</v>
      </c>
      <c r="AF271" s="8">
        <v>9.9369191E9</v>
      </c>
      <c r="AG271" s="3"/>
      <c r="AH271" s="8"/>
      <c r="AI271" s="8"/>
      <c r="AJ271" s="8"/>
      <c r="AK271" s="8"/>
      <c r="AL271" s="8"/>
      <c r="AM271" s="8"/>
      <c r="AN271" s="8"/>
      <c r="AO271" s="8"/>
      <c r="AP271" s="8"/>
      <c r="AQ271" s="8"/>
      <c r="AR271" s="8"/>
      <c r="AS271" s="8"/>
      <c r="AT271" s="9"/>
      <c r="AU271" s="8" t="s">
        <v>85</v>
      </c>
      <c r="AV271" s="8"/>
      <c r="AW271" s="8"/>
      <c r="AX271" s="8"/>
      <c r="AY271" s="8"/>
      <c r="AZ271" s="8" t="s">
        <v>86</v>
      </c>
      <c r="BA271" s="19" t="s">
        <v>86</v>
      </c>
      <c r="BB271" s="19" t="s">
        <v>86</v>
      </c>
      <c r="BC271" s="8">
        <v>0.0</v>
      </c>
    </row>
    <row r="272">
      <c r="A272" s="3" t="s">
        <v>2546</v>
      </c>
      <c r="B272" s="3" t="s">
        <v>2547</v>
      </c>
      <c r="C272" s="3" t="s">
        <v>2548</v>
      </c>
      <c r="D272" s="3"/>
      <c r="E272" s="3">
        <v>100000.0</v>
      </c>
      <c r="F272" s="3" t="s">
        <v>58</v>
      </c>
      <c r="G272" s="3" t="s">
        <v>2549</v>
      </c>
      <c r="H272" s="5" t="s">
        <v>2550</v>
      </c>
      <c r="I272" s="5" t="s">
        <v>2551</v>
      </c>
      <c r="J272" s="3" t="s">
        <v>2552</v>
      </c>
      <c r="K272" s="3">
        <v>9.839591317E9</v>
      </c>
      <c r="L272" s="6" t="s">
        <v>2553</v>
      </c>
      <c r="M272" s="3"/>
      <c r="N272" s="3" t="str">
        <f>(B269)</f>
        <v>Gupta Automobiles - Padrauna</v>
      </c>
      <c r="O272" s="3" t="str">
        <f>(A269)</f>
        <v>1Ql_6BdBcHGAyITSZt1pNUK3bW54CzeThIBXr7aH7K3Y</v>
      </c>
      <c r="P272" s="3" t="s">
        <v>142</v>
      </c>
      <c r="Q272" s="8"/>
      <c r="R272" s="3" t="s">
        <v>2554</v>
      </c>
      <c r="S272" s="3" t="s">
        <v>2554</v>
      </c>
      <c r="T272" s="8" t="s">
        <v>83</v>
      </c>
      <c r="U272" s="8" t="s">
        <v>2531</v>
      </c>
      <c r="V272" s="8" t="s">
        <v>2510</v>
      </c>
      <c r="W272" s="8">
        <v>9.918319111E9</v>
      </c>
      <c r="X272" s="8" t="s">
        <v>2514</v>
      </c>
      <c r="Y272" s="8" t="s">
        <v>2510</v>
      </c>
      <c r="Z272" s="8">
        <v>9.9369191E9</v>
      </c>
      <c r="AA272" s="8" t="s">
        <v>2514</v>
      </c>
      <c r="AB272" s="8" t="s">
        <v>2510</v>
      </c>
      <c r="AC272" s="8">
        <v>9.9369191E9</v>
      </c>
      <c r="AD272" s="8" t="s">
        <v>2514</v>
      </c>
      <c r="AE272" s="8" t="s">
        <v>2510</v>
      </c>
      <c r="AF272" s="8">
        <v>9.9369191E9</v>
      </c>
      <c r="AG272" s="3"/>
      <c r="AH272" s="8"/>
      <c r="AI272" s="8"/>
      <c r="AJ272" s="8"/>
      <c r="AK272" s="8"/>
      <c r="AL272" s="8"/>
      <c r="AM272" s="8"/>
      <c r="AN272" s="8"/>
      <c r="AO272" s="8"/>
      <c r="AP272" s="8"/>
      <c r="AQ272" s="8"/>
      <c r="AR272" s="8"/>
      <c r="AS272" s="8"/>
      <c r="AT272" s="9"/>
      <c r="AU272" s="8" t="s">
        <v>85</v>
      </c>
      <c r="AV272" s="8"/>
      <c r="AW272" s="8"/>
      <c r="AX272" s="8"/>
      <c r="AY272" s="8"/>
      <c r="AZ272" s="8" t="s">
        <v>86</v>
      </c>
      <c r="BA272" s="19" t="s">
        <v>86</v>
      </c>
      <c r="BB272" s="19" t="s">
        <v>86</v>
      </c>
      <c r="BC272" s="8">
        <v>0.0</v>
      </c>
    </row>
    <row r="273">
      <c r="A273" s="3" t="s">
        <v>2555</v>
      </c>
      <c r="B273" s="3" t="s">
        <v>2556</v>
      </c>
      <c r="C273" s="3" t="s">
        <v>2557</v>
      </c>
      <c r="D273" s="3"/>
      <c r="E273" s="3">
        <v>100000.0</v>
      </c>
      <c r="F273" s="3" t="s">
        <v>58</v>
      </c>
      <c r="G273" s="3" t="s">
        <v>2558</v>
      </c>
      <c r="H273" s="5" t="s">
        <v>2559</v>
      </c>
      <c r="I273" s="5" t="s">
        <v>2560</v>
      </c>
      <c r="J273" s="3" t="s">
        <v>2561</v>
      </c>
      <c r="K273" s="3">
        <v>9.910080025E9</v>
      </c>
      <c r="L273" s="6" t="s">
        <v>2562</v>
      </c>
      <c r="M273" s="3"/>
      <c r="N273" s="3" t="str">
        <f>B273</f>
        <v>SINGLA AGENCIES- BADARPUR</v>
      </c>
      <c r="O273" s="3" t="str">
        <f>A273</f>
        <v>1_5VG-F35BWYeavx2Egt3_WJsCY1xhX1lyqQW8SX-6Tg</v>
      </c>
      <c r="P273" s="3" t="s">
        <v>64</v>
      </c>
      <c r="Q273" s="8"/>
      <c r="R273" s="3" t="s">
        <v>106</v>
      </c>
      <c r="S273" s="3" t="s">
        <v>106</v>
      </c>
      <c r="T273" s="8" t="s">
        <v>106</v>
      </c>
      <c r="U273" s="8" t="s">
        <v>2563</v>
      </c>
      <c r="V273" s="8" t="s">
        <v>2561</v>
      </c>
      <c r="W273" s="8">
        <v>9.910080025E9</v>
      </c>
      <c r="X273" s="8" t="s">
        <v>2564</v>
      </c>
      <c r="Y273" s="8" t="s">
        <v>2561</v>
      </c>
      <c r="Z273" s="8">
        <v>9.99075705E9</v>
      </c>
      <c r="AA273" s="8" t="s">
        <v>2565</v>
      </c>
      <c r="AB273" s="8" t="s">
        <v>2561</v>
      </c>
      <c r="AC273" s="8">
        <v>9.99075705E9</v>
      </c>
      <c r="AD273" s="8" t="s">
        <v>2565</v>
      </c>
      <c r="AE273" s="8" t="s">
        <v>2561</v>
      </c>
      <c r="AF273" s="8">
        <v>9.99075705E9</v>
      </c>
      <c r="AG273" s="3" t="s">
        <v>2566</v>
      </c>
      <c r="AH273" s="8" t="s">
        <v>2567</v>
      </c>
      <c r="AI273" s="8" t="s">
        <v>2568</v>
      </c>
      <c r="AJ273" s="8">
        <v>5.572020000488E12</v>
      </c>
      <c r="AK273" s="8" t="s">
        <v>2569</v>
      </c>
      <c r="AL273" s="8" t="s">
        <v>2570</v>
      </c>
      <c r="AM273" s="8"/>
      <c r="AN273" s="8"/>
      <c r="AO273" s="8"/>
      <c r="AP273" s="8"/>
      <c r="AQ273" s="8"/>
      <c r="AR273" s="8"/>
      <c r="AS273" s="8"/>
      <c r="AT273" s="9" t="s">
        <v>2571</v>
      </c>
      <c r="AU273" s="8" t="s">
        <v>85</v>
      </c>
      <c r="AV273" s="8"/>
      <c r="AW273" s="8"/>
      <c r="AX273" s="8"/>
      <c r="AY273" s="8"/>
      <c r="AZ273" s="8" t="s">
        <v>86</v>
      </c>
      <c r="BA273" s="19" t="s">
        <v>86</v>
      </c>
      <c r="BB273" s="19" t="s">
        <v>86</v>
      </c>
      <c r="BC273" s="8">
        <v>0.0</v>
      </c>
    </row>
    <row r="274">
      <c r="A274" s="3" t="s">
        <v>2572</v>
      </c>
      <c r="B274" s="3" t="s">
        <v>2573</v>
      </c>
      <c r="C274" s="3" t="s">
        <v>2574</v>
      </c>
      <c r="D274" s="3"/>
      <c r="E274" s="3">
        <v>100000.0</v>
      </c>
      <c r="F274" s="3" t="s">
        <v>58</v>
      </c>
      <c r="G274" s="3" t="s">
        <v>2575</v>
      </c>
      <c r="H274" s="5" t="s">
        <v>2576</v>
      </c>
      <c r="I274" s="5" t="s">
        <v>2577</v>
      </c>
      <c r="J274" s="3" t="s">
        <v>2578</v>
      </c>
      <c r="K274" s="3">
        <v>9.956618565E9</v>
      </c>
      <c r="L274" s="6" t="s">
        <v>2579</v>
      </c>
      <c r="M274" s="3"/>
      <c r="N274" s="3" t="str">
        <f>(B269)</f>
        <v>Gupta Automobiles - Padrauna</v>
      </c>
      <c r="O274" s="3" t="str">
        <f>(A269)</f>
        <v>1Ql_6BdBcHGAyITSZt1pNUK3bW54CzeThIBXr7aH7K3Y</v>
      </c>
      <c r="P274" s="3" t="s">
        <v>142</v>
      </c>
      <c r="Q274" s="8"/>
      <c r="R274" s="3" t="s">
        <v>2580</v>
      </c>
      <c r="S274" s="3" t="s">
        <v>2580</v>
      </c>
      <c r="T274" s="8" t="s">
        <v>83</v>
      </c>
      <c r="U274" s="8" t="s">
        <v>2581</v>
      </c>
      <c r="V274" s="8" t="s">
        <v>2578</v>
      </c>
      <c r="W274" s="8">
        <v>9.956618565E9</v>
      </c>
      <c r="X274" s="8" t="s">
        <v>2514</v>
      </c>
      <c r="Y274" s="8" t="s">
        <v>2578</v>
      </c>
      <c r="Z274" s="8">
        <v>9.9369191E9</v>
      </c>
      <c r="AA274" s="8" t="s">
        <v>2514</v>
      </c>
      <c r="AB274" s="8" t="s">
        <v>2578</v>
      </c>
      <c r="AC274" s="8">
        <v>9.9369191E9</v>
      </c>
      <c r="AD274" s="8" t="s">
        <v>2514</v>
      </c>
      <c r="AE274" s="8" t="s">
        <v>2578</v>
      </c>
      <c r="AF274" s="8">
        <v>9.9369191E9</v>
      </c>
      <c r="AG274" s="3"/>
      <c r="AH274" s="8"/>
      <c r="AI274" s="8"/>
      <c r="AJ274" s="8"/>
      <c r="AK274" s="8"/>
      <c r="AL274" s="8"/>
      <c r="AM274" s="8"/>
      <c r="AN274" s="8"/>
      <c r="AO274" s="8"/>
      <c r="AP274" s="8"/>
      <c r="AQ274" s="8"/>
      <c r="AR274" s="8"/>
      <c r="AS274" s="8"/>
      <c r="AT274" s="9"/>
      <c r="AU274" s="8" t="s">
        <v>85</v>
      </c>
      <c r="AV274" s="8"/>
      <c r="AW274" s="8"/>
      <c r="AX274" s="8"/>
      <c r="AY274" s="8"/>
      <c r="AZ274" s="8" t="s">
        <v>86</v>
      </c>
      <c r="BA274" s="19" t="s">
        <v>86</v>
      </c>
      <c r="BB274" s="19" t="s">
        <v>86</v>
      </c>
      <c r="BC274" s="8">
        <v>0.0</v>
      </c>
    </row>
    <row r="275">
      <c r="A275" s="3" t="s">
        <v>2582</v>
      </c>
      <c r="B275" s="3" t="s">
        <v>2583</v>
      </c>
      <c r="C275" s="3" t="s">
        <v>2584</v>
      </c>
      <c r="D275" s="3"/>
      <c r="E275" s="3">
        <v>100000.0</v>
      </c>
      <c r="F275" s="3" t="s">
        <v>58</v>
      </c>
      <c r="G275" s="3" t="s">
        <v>2585</v>
      </c>
      <c r="H275" s="5" t="s">
        <v>2586</v>
      </c>
      <c r="I275" s="5" t="s">
        <v>2587</v>
      </c>
      <c r="J275" s="3" t="s">
        <v>2588</v>
      </c>
      <c r="K275" s="3">
        <v>9.99075705E9</v>
      </c>
      <c r="L275" s="6" t="s">
        <v>2589</v>
      </c>
      <c r="M275" s="3"/>
      <c r="N275" s="3" t="str">
        <f>(B273)</f>
        <v>SINGLA AGENCIES- BADARPUR</v>
      </c>
      <c r="O275" s="3" t="str">
        <f>(A273)</f>
        <v>1_5VG-F35BWYeavx2Egt3_WJsCY1xhX1lyqQW8SX-6Tg</v>
      </c>
      <c r="P275" s="3" t="s">
        <v>142</v>
      </c>
      <c r="Q275" s="8"/>
      <c r="R275" s="3" t="s">
        <v>2590</v>
      </c>
      <c r="S275" s="3" t="s">
        <v>106</v>
      </c>
      <c r="T275" s="8" t="s">
        <v>106</v>
      </c>
      <c r="U275" s="8" t="s">
        <v>2591</v>
      </c>
      <c r="V275" s="8" t="s">
        <v>2561</v>
      </c>
      <c r="W275" s="8">
        <v>9.910080025E9</v>
      </c>
      <c r="X275" s="8" t="s">
        <v>2565</v>
      </c>
      <c r="Y275" s="8" t="s">
        <v>2561</v>
      </c>
      <c r="Z275" s="8">
        <v>9.910080025E9</v>
      </c>
      <c r="AA275" s="8" t="s">
        <v>2592</v>
      </c>
      <c r="AB275" s="8" t="s">
        <v>2561</v>
      </c>
      <c r="AC275" s="8">
        <v>9.910080025E9</v>
      </c>
      <c r="AD275" s="8" t="s">
        <v>2592</v>
      </c>
      <c r="AE275" s="8" t="s">
        <v>2561</v>
      </c>
      <c r="AF275" s="8">
        <v>9.99725577E9</v>
      </c>
      <c r="AG275" s="3"/>
      <c r="AH275" s="8"/>
      <c r="AI275" s="8"/>
      <c r="AJ275" s="8"/>
      <c r="AK275" s="8"/>
      <c r="AL275" s="8"/>
      <c r="AM275" s="8"/>
      <c r="AN275" s="8"/>
      <c r="AO275" s="8"/>
      <c r="AP275" s="8"/>
      <c r="AQ275" s="8"/>
      <c r="AR275" s="8"/>
      <c r="AS275" s="8"/>
      <c r="AT275" s="9"/>
      <c r="AU275" s="8" t="s">
        <v>85</v>
      </c>
      <c r="AV275" s="8"/>
      <c r="AW275" s="8"/>
      <c r="AX275" s="8"/>
      <c r="AY275" s="8"/>
      <c r="AZ275" s="8" t="s">
        <v>86</v>
      </c>
      <c r="BA275" s="19" t="s">
        <v>86</v>
      </c>
      <c r="BB275" s="19" t="s">
        <v>86</v>
      </c>
      <c r="BC275" s="8">
        <v>0.0</v>
      </c>
    </row>
    <row r="276">
      <c r="A276" s="3" t="s">
        <v>2593</v>
      </c>
      <c r="B276" s="3" t="s">
        <v>2594</v>
      </c>
      <c r="C276" s="3" t="s">
        <v>2595</v>
      </c>
      <c r="D276" s="3"/>
      <c r="E276" s="3">
        <v>100000.0</v>
      </c>
      <c r="F276" s="3" t="s">
        <v>58</v>
      </c>
      <c r="G276" s="3" t="s">
        <v>2596</v>
      </c>
      <c r="H276" s="5" t="s">
        <v>2597</v>
      </c>
      <c r="I276" s="5" t="s">
        <v>2598</v>
      </c>
      <c r="J276" s="3" t="s">
        <v>2599</v>
      </c>
      <c r="K276" s="3">
        <v>9.910080025E9</v>
      </c>
      <c r="L276" s="6" t="s">
        <v>2600</v>
      </c>
      <c r="M276" s="3"/>
      <c r="N276" s="3" t="str">
        <f>(B273)</f>
        <v>SINGLA AGENCIES- BADARPUR</v>
      </c>
      <c r="O276" s="3" t="str">
        <f>(A273)</f>
        <v>1_5VG-F35BWYeavx2Egt3_WJsCY1xhX1lyqQW8SX-6Tg</v>
      </c>
      <c r="P276" s="3" t="s">
        <v>142</v>
      </c>
      <c r="Q276" s="8"/>
      <c r="R276" s="3" t="s">
        <v>2601</v>
      </c>
      <c r="S276" s="3" t="s">
        <v>106</v>
      </c>
      <c r="T276" s="8" t="s">
        <v>106</v>
      </c>
      <c r="U276" s="8" t="s">
        <v>2602</v>
      </c>
      <c r="V276" s="8" t="s">
        <v>2561</v>
      </c>
      <c r="W276" s="8">
        <v>9.910080025E9</v>
      </c>
      <c r="X276" s="8" t="s">
        <v>2565</v>
      </c>
      <c r="Y276" s="8" t="s">
        <v>2561</v>
      </c>
      <c r="Z276" s="8">
        <v>9.99075705E9</v>
      </c>
      <c r="AA276" s="8" t="s">
        <v>2565</v>
      </c>
      <c r="AB276" s="8" t="s">
        <v>2561</v>
      </c>
      <c r="AC276" s="8">
        <v>9.99075705E9</v>
      </c>
      <c r="AD276" s="8" t="s">
        <v>2592</v>
      </c>
      <c r="AE276" s="8" t="s">
        <v>2561</v>
      </c>
      <c r="AF276" s="8">
        <v>9.99725577E9</v>
      </c>
      <c r="AG276" s="3"/>
      <c r="AH276" s="8"/>
      <c r="AI276" s="8"/>
      <c r="AJ276" s="8"/>
      <c r="AK276" s="8"/>
      <c r="AL276" s="8"/>
      <c r="AM276" s="8"/>
      <c r="AN276" s="8"/>
      <c r="AO276" s="8"/>
      <c r="AP276" s="8"/>
      <c r="AQ276" s="8"/>
      <c r="AR276" s="8"/>
      <c r="AS276" s="8"/>
      <c r="AT276" s="9"/>
      <c r="AU276" s="8" t="s">
        <v>85</v>
      </c>
      <c r="AV276" s="8"/>
      <c r="AW276" s="8"/>
      <c r="AX276" s="8"/>
      <c r="AY276" s="8"/>
      <c r="AZ276" s="8" t="s">
        <v>86</v>
      </c>
      <c r="BA276" s="19" t="s">
        <v>86</v>
      </c>
      <c r="BB276" s="19" t="s">
        <v>86</v>
      </c>
      <c r="BC276" s="8">
        <v>0.0</v>
      </c>
    </row>
    <row r="277">
      <c r="A277" s="3" t="s">
        <v>2603</v>
      </c>
      <c r="B277" s="3" t="s">
        <v>2604</v>
      </c>
      <c r="C277" s="3" t="s">
        <v>2605</v>
      </c>
      <c r="D277" s="3"/>
      <c r="E277" s="3">
        <v>100000.0</v>
      </c>
      <c r="F277" s="3" t="s">
        <v>58</v>
      </c>
      <c r="G277" s="3" t="s">
        <v>2606</v>
      </c>
      <c r="H277" s="5" t="s">
        <v>2607</v>
      </c>
      <c r="I277" s="5" t="s">
        <v>2608</v>
      </c>
      <c r="J277" s="3" t="s">
        <v>2609</v>
      </c>
      <c r="K277" s="3">
        <v>9.910080025E9</v>
      </c>
      <c r="L277" s="6" t="s">
        <v>2610</v>
      </c>
      <c r="M277" s="3"/>
      <c r="N277" s="3" t="str">
        <f>(B273)</f>
        <v>SINGLA AGENCIES- BADARPUR</v>
      </c>
      <c r="O277" s="3" t="str">
        <f>(A273)</f>
        <v>1_5VG-F35BWYeavx2Egt3_WJsCY1xhX1lyqQW8SX-6Tg</v>
      </c>
      <c r="P277" s="3" t="s">
        <v>142</v>
      </c>
      <c r="Q277" s="8"/>
      <c r="R277" s="3" t="s">
        <v>2611</v>
      </c>
      <c r="S277" s="3" t="s">
        <v>106</v>
      </c>
      <c r="T277" s="8" t="s">
        <v>106</v>
      </c>
      <c r="U277" s="8" t="s">
        <v>2602</v>
      </c>
      <c r="V277" s="8" t="s">
        <v>2561</v>
      </c>
      <c r="W277" s="8">
        <v>9.910080025E9</v>
      </c>
      <c r="X277" s="8" t="s">
        <v>2565</v>
      </c>
      <c r="Y277" s="8" t="s">
        <v>2561</v>
      </c>
      <c r="Z277" s="8">
        <v>9.99075705E9</v>
      </c>
      <c r="AA277" s="8" t="s">
        <v>2565</v>
      </c>
      <c r="AB277" s="8" t="s">
        <v>2561</v>
      </c>
      <c r="AC277" s="8">
        <v>9.99075705E9</v>
      </c>
      <c r="AD277" s="8" t="s">
        <v>2592</v>
      </c>
      <c r="AE277" s="8" t="s">
        <v>2561</v>
      </c>
      <c r="AF277" s="8">
        <v>9.99725577E9</v>
      </c>
      <c r="AG277" s="3"/>
      <c r="AH277" s="8"/>
      <c r="AI277" s="8"/>
      <c r="AJ277" s="8"/>
      <c r="AK277" s="8"/>
      <c r="AL277" s="8"/>
      <c r="AM277" s="8"/>
      <c r="AN277" s="8"/>
      <c r="AO277" s="8"/>
      <c r="AP277" s="8"/>
      <c r="AQ277" s="8"/>
      <c r="AR277" s="8"/>
      <c r="AS277" s="8"/>
      <c r="AT277" s="9"/>
      <c r="AU277" s="8" t="s">
        <v>85</v>
      </c>
      <c r="AV277" s="8"/>
      <c r="AW277" s="8"/>
      <c r="AX277" s="8"/>
      <c r="AY277" s="8"/>
      <c r="AZ277" s="8" t="s">
        <v>86</v>
      </c>
      <c r="BA277" s="19" t="s">
        <v>86</v>
      </c>
      <c r="BB277" s="19" t="s">
        <v>86</v>
      </c>
      <c r="BC277" s="8">
        <v>0.0</v>
      </c>
    </row>
    <row r="278">
      <c r="A278" s="3" t="s">
        <v>2612</v>
      </c>
      <c r="B278" s="3" t="s">
        <v>2613</v>
      </c>
      <c r="C278" s="3" t="s">
        <v>2614</v>
      </c>
      <c r="D278" s="3"/>
      <c r="E278" s="3">
        <v>100000.0</v>
      </c>
      <c r="F278" s="3" t="s">
        <v>58</v>
      </c>
      <c r="G278" s="3" t="s">
        <v>2615</v>
      </c>
      <c r="H278" s="5" t="s">
        <v>2616</v>
      </c>
      <c r="I278" s="5" t="s">
        <v>2617</v>
      </c>
      <c r="J278" s="3" t="s">
        <v>2618</v>
      </c>
      <c r="K278" s="3">
        <v>9.910080025E9</v>
      </c>
      <c r="L278" s="6" t="s">
        <v>2619</v>
      </c>
      <c r="M278" s="3"/>
      <c r="N278" s="3" t="str">
        <f>(B273)</f>
        <v>SINGLA AGENCIES- BADARPUR</v>
      </c>
      <c r="O278" s="3" t="str">
        <f>(A273)</f>
        <v>1_5VG-F35BWYeavx2Egt3_WJsCY1xhX1lyqQW8SX-6Tg</v>
      </c>
      <c r="P278" s="3" t="s">
        <v>142</v>
      </c>
      <c r="Q278" s="8"/>
      <c r="R278" s="3" t="s">
        <v>2620</v>
      </c>
      <c r="S278" s="3" t="s">
        <v>106</v>
      </c>
      <c r="T278" s="8" t="s">
        <v>106</v>
      </c>
      <c r="U278" s="8" t="s">
        <v>2621</v>
      </c>
      <c r="V278" s="8" t="s">
        <v>2561</v>
      </c>
      <c r="W278" s="8">
        <v>9.910080025E9</v>
      </c>
      <c r="X278" s="8" t="s">
        <v>2565</v>
      </c>
      <c r="Y278" s="8" t="s">
        <v>2561</v>
      </c>
      <c r="Z278" s="8">
        <v>9.99075705E9</v>
      </c>
      <c r="AA278" s="8" t="s">
        <v>2565</v>
      </c>
      <c r="AB278" s="8" t="s">
        <v>2561</v>
      </c>
      <c r="AC278" s="8">
        <v>9.99075705E9</v>
      </c>
      <c r="AD278" s="8" t="s">
        <v>2592</v>
      </c>
      <c r="AE278" s="8" t="s">
        <v>2561</v>
      </c>
      <c r="AF278" s="8">
        <v>9.99725577E9</v>
      </c>
      <c r="AG278" s="3"/>
      <c r="AH278" s="8"/>
      <c r="AI278" s="8"/>
      <c r="AJ278" s="8"/>
      <c r="AK278" s="8"/>
      <c r="AL278" s="8"/>
      <c r="AM278" s="8"/>
      <c r="AN278" s="8"/>
      <c r="AO278" s="8"/>
      <c r="AP278" s="8"/>
      <c r="AQ278" s="8"/>
      <c r="AR278" s="8"/>
      <c r="AS278" s="8"/>
      <c r="AT278" s="9"/>
      <c r="AU278" s="8" t="s">
        <v>85</v>
      </c>
      <c r="AV278" s="8"/>
      <c r="AW278" s="8"/>
      <c r="AX278" s="8"/>
      <c r="AY278" s="8"/>
      <c r="AZ278" s="8" t="s">
        <v>86</v>
      </c>
      <c r="BA278" s="19" t="s">
        <v>86</v>
      </c>
      <c r="BB278" s="19" t="s">
        <v>86</v>
      </c>
      <c r="BC278" s="8">
        <v>0.0</v>
      </c>
    </row>
    <row r="279">
      <c r="A279" s="3" t="s">
        <v>2622</v>
      </c>
      <c r="B279" s="3" t="s">
        <v>2623</v>
      </c>
      <c r="C279" s="3" t="s">
        <v>2624</v>
      </c>
      <c r="D279" s="3"/>
      <c r="E279" s="3">
        <v>100000.0</v>
      </c>
      <c r="F279" s="3" t="s">
        <v>58</v>
      </c>
      <c r="G279" s="3" t="s">
        <v>2625</v>
      </c>
      <c r="H279" s="5" t="s">
        <v>2626</v>
      </c>
      <c r="I279" s="5" t="s">
        <v>2627</v>
      </c>
      <c r="J279" s="3" t="s">
        <v>2628</v>
      </c>
      <c r="K279" s="3">
        <v>9.554072751E9</v>
      </c>
      <c r="L279" s="6" t="s">
        <v>2629</v>
      </c>
      <c r="M279" s="3"/>
      <c r="N279" s="3" t="str">
        <f>(B269)</f>
        <v>Gupta Automobiles - Padrauna</v>
      </c>
      <c r="O279" s="3" t="str">
        <f>(A269)</f>
        <v>1Ql_6BdBcHGAyITSZt1pNUK3bW54CzeThIBXr7aH7K3Y</v>
      </c>
      <c r="P279" s="3" t="s">
        <v>142</v>
      </c>
      <c r="Q279" s="8"/>
      <c r="R279" s="3" t="s">
        <v>2630</v>
      </c>
      <c r="S279" s="3" t="s">
        <v>2630</v>
      </c>
      <c r="T279" s="8" t="s">
        <v>83</v>
      </c>
      <c r="U279" s="8" t="s">
        <v>2631</v>
      </c>
      <c r="V279" s="8" t="s">
        <v>2628</v>
      </c>
      <c r="W279" s="8">
        <v>9.554072751E9</v>
      </c>
      <c r="X279" s="8">
        <v>9.554072751E9</v>
      </c>
      <c r="Y279" s="8" t="s">
        <v>2628</v>
      </c>
      <c r="Z279" s="8">
        <v>9.9369191E9</v>
      </c>
      <c r="AA279" s="8" t="s">
        <v>2514</v>
      </c>
      <c r="AB279" s="8" t="s">
        <v>2628</v>
      </c>
      <c r="AC279" s="8">
        <v>9.9369191E9</v>
      </c>
      <c r="AD279" s="8" t="s">
        <v>2514</v>
      </c>
      <c r="AE279" s="8" t="s">
        <v>2628</v>
      </c>
      <c r="AF279" s="8">
        <v>9.9369191E9</v>
      </c>
      <c r="AG279" s="3"/>
      <c r="AH279" s="8"/>
      <c r="AI279" s="8"/>
      <c r="AJ279" s="8"/>
      <c r="AK279" s="8"/>
      <c r="AL279" s="8"/>
      <c r="AM279" s="8"/>
      <c r="AN279" s="8"/>
      <c r="AO279" s="8"/>
      <c r="AP279" s="8"/>
      <c r="AQ279" s="8"/>
      <c r="AR279" s="8"/>
      <c r="AS279" s="8"/>
      <c r="AT279" s="9"/>
      <c r="AU279" s="8" t="s">
        <v>85</v>
      </c>
      <c r="AV279" s="8"/>
      <c r="AW279" s="8"/>
      <c r="AX279" s="8"/>
      <c r="AY279" s="8"/>
      <c r="AZ279" s="8" t="s">
        <v>86</v>
      </c>
      <c r="BA279" s="19" t="s">
        <v>86</v>
      </c>
      <c r="BB279" s="19" t="s">
        <v>86</v>
      </c>
      <c r="BC279" s="8">
        <v>0.0</v>
      </c>
    </row>
    <row r="280">
      <c r="A280" s="3" t="s">
        <v>2632</v>
      </c>
      <c r="B280" s="3" t="s">
        <v>2633</v>
      </c>
      <c r="C280" s="3" t="s">
        <v>2634</v>
      </c>
      <c r="D280" s="3"/>
      <c r="E280" s="3">
        <v>100000.0</v>
      </c>
      <c r="F280" s="3" t="s">
        <v>58</v>
      </c>
      <c r="G280" s="3" t="s">
        <v>2635</v>
      </c>
      <c r="H280" s="5" t="s">
        <v>2636</v>
      </c>
      <c r="I280" s="5" t="s">
        <v>2637</v>
      </c>
      <c r="J280" s="3" t="s">
        <v>2638</v>
      </c>
      <c r="K280" s="3">
        <v>9.044717301E9</v>
      </c>
      <c r="L280" s="6" t="s">
        <v>2639</v>
      </c>
      <c r="M280" s="3"/>
      <c r="N280" s="3" t="str">
        <f>(B269)</f>
        <v>Gupta Automobiles - Padrauna</v>
      </c>
      <c r="O280" s="3" t="str">
        <f>(A269)</f>
        <v>1Ql_6BdBcHGAyITSZt1pNUK3bW54CzeThIBXr7aH7K3Y</v>
      </c>
      <c r="P280" s="3" t="s">
        <v>142</v>
      </c>
      <c r="Q280" s="8"/>
      <c r="R280" s="3" t="s">
        <v>2640</v>
      </c>
      <c r="S280" s="3" t="s">
        <v>2640</v>
      </c>
      <c r="T280" s="8" t="s">
        <v>83</v>
      </c>
      <c r="U280" s="8" t="s">
        <v>2641</v>
      </c>
      <c r="V280" s="8" t="s">
        <v>2638</v>
      </c>
      <c r="W280" s="8">
        <v>9.044717301E9</v>
      </c>
      <c r="X280" s="8" t="s">
        <v>2514</v>
      </c>
      <c r="Y280" s="8" t="s">
        <v>2638</v>
      </c>
      <c r="Z280" s="8">
        <v>9.9369191E9</v>
      </c>
      <c r="AA280" s="8" t="s">
        <v>2514</v>
      </c>
      <c r="AB280" s="8" t="s">
        <v>2638</v>
      </c>
      <c r="AC280" s="8">
        <v>9.9369191E9</v>
      </c>
      <c r="AD280" s="8" t="s">
        <v>2514</v>
      </c>
      <c r="AE280" s="8" t="s">
        <v>2638</v>
      </c>
      <c r="AF280" s="8">
        <v>9.9369191E9</v>
      </c>
      <c r="AG280" s="3"/>
      <c r="AH280" s="8"/>
      <c r="AI280" s="8"/>
      <c r="AJ280" s="8"/>
      <c r="AK280" s="8"/>
      <c r="AL280" s="8"/>
      <c r="AM280" s="8"/>
      <c r="AN280" s="8"/>
      <c r="AO280" s="8"/>
      <c r="AP280" s="8"/>
      <c r="AQ280" s="8"/>
      <c r="AR280" s="8"/>
      <c r="AS280" s="8"/>
      <c r="AT280" s="9"/>
      <c r="AU280" s="8" t="s">
        <v>85</v>
      </c>
      <c r="AV280" s="8"/>
      <c r="AW280" s="8"/>
      <c r="AX280" s="8"/>
      <c r="AY280" s="8"/>
      <c r="AZ280" s="8" t="s">
        <v>86</v>
      </c>
      <c r="BA280" s="19" t="s">
        <v>86</v>
      </c>
      <c r="BB280" s="19" t="s">
        <v>86</v>
      </c>
      <c r="BC280" s="8">
        <v>0.0</v>
      </c>
    </row>
    <row r="281">
      <c r="A281" s="3" t="s">
        <v>2642</v>
      </c>
      <c r="B281" s="3" t="s">
        <v>2643</v>
      </c>
      <c r="C281" s="3" t="s">
        <v>2644</v>
      </c>
      <c r="D281" s="3"/>
      <c r="E281" s="3">
        <v>100000.0</v>
      </c>
      <c r="F281" s="3" t="s">
        <v>58</v>
      </c>
      <c r="G281" s="3" t="s">
        <v>2645</v>
      </c>
      <c r="H281" s="5" t="s">
        <v>2646</v>
      </c>
      <c r="I281" s="5" t="s">
        <v>2647</v>
      </c>
      <c r="J281" s="3" t="s">
        <v>2648</v>
      </c>
      <c r="K281" s="3">
        <v>8.840832478E9</v>
      </c>
      <c r="L281" s="6" t="s">
        <v>2649</v>
      </c>
      <c r="M281" s="3"/>
      <c r="N281" s="3" t="str">
        <f>(B269)</f>
        <v>Gupta Automobiles - Padrauna</v>
      </c>
      <c r="O281" s="3" t="str">
        <f>(A269)</f>
        <v>1Ql_6BdBcHGAyITSZt1pNUK3bW54CzeThIBXr7aH7K3Y</v>
      </c>
      <c r="P281" s="3" t="s">
        <v>142</v>
      </c>
      <c r="Q281" s="8"/>
      <c r="R281" s="3" t="s">
        <v>2650</v>
      </c>
      <c r="S281" s="3" t="s">
        <v>2650</v>
      </c>
      <c r="T281" s="8" t="s">
        <v>83</v>
      </c>
      <c r="U281" s="8" t="s">
        <v>2651</v>
      </c>
      <c r="V281" s="8" t="s">
        <v>2648</v>
      </c>
      <c r="W281" s="8">
        <v>8.840832478E9</v>
      </c>
      <c r="X281" s="8" t="s">
        <v>2514</v>
      </c>
      <c r="Y281" s="8" t="s">
        <v>2648</v>
      </c>
      <c r="Z281" s="8">
        <v>9.9369191E9</v>
      </c>
      <c r="AA281" s="8" t="s">
        <v>2514</v>
      </c>
      <c r="AB281" s="8" t="s">
        <v>2648</v>
      </c>
      <c r="AC281" s="8">
        <v>9.9369191E9</v>
      </c>
      <c r="AD281" s="8" t="s">
        <v>2514</v>
      </c>
      <c r="AE281" s="8" t="s">
        <v>2648</v>
      </c>
      <c r="AF281" s="8">
        <v>9.9369191E9</v>
      </c>
      <c r="AG281" s="3"/>
      <c r="AH281" s="8"/>
      <c r="AI281" s="8"/>
      <c r="AJ281" s="8"/>
      <c r="AK281" s="8"/>
      <c r="AL281" s="8"/>
      <c r="AM281" s="8"/>
      <c r="AN281" s="8"/>
      <c r="AO281" s="8"/>
      <c r="AP281" s="8"/>
      <c r="AQ281" s="8"/>
      <c r="AR281" s="8"/>
      <c r="AS281" s="8"/>
      <c r="AT281" s="9"/>
      <c r="AU281" s="8" t="s">
        <v>85</v>
      </c>
      <c r="AV281" s="8"/>
      <c r="AW281" s="8"/>
      <c r="AX281" s="8"/>
      <c r="AY281" s="8"/>
      <c r="AZ281" s="8" t="s">
        <v>86</v>
      </c>
      <c r="BA281" s="20" t="s">
        <v>86</v>
      </c>
      <c r="BB281" s="20" t="s">
        <v>86</v>
      </c>
      <c r="BC281" s="8">
        <v>0.0</v>
      </c>
    </row>
    <row r="282">
      <c r="A282" s="3" t="s">
        <v>2652</v>
      </c>
      <c r="B282" s="3" t="s">
        <v>2653</v>
      </c>
      <c r="C282" s="3" t="s">
        <v>2654</v>
      </c>
      <c r="D282" s="3"/>
      <c r="E282" s="3">
        <v>100000.0</v>
      </c>
      <c r="F282" s="3" t="s">
        <v>58</v>
      </c>
      <c r="G282" s="3" t="s">
        <v>2655</v>
      </c>
      <c r="H282" s="5" t="s">
        <v>2656</v>
      </c>
      <c r="I282" s="5" t="s">
        <v>2657</v>
      </c>
      <c r="J282" s="3" t="s">
        <v>2658</v>
      </c>
      <c r="K282" s="3">
        <v>9.936250245E9</v>
      </c>
      <c r="L282" s="6" t="s">
        <v>2659</v>
      </c>
      <c r="M282" s="3"/>
      <c r="N282" s="3" t="str">
        <f>(B269)</f>
        <v>Gupta Automobiles - Padrauna</v>
      </c>
      <c r="O282" s="3" t="str">
        <f>(A269)</f>
        <v>1Ql_6BdBcHGAyITSZt1pNUK3bW54CzeThIBXr7aH7K3Y</v>
      </c>
      <c r="P282" s="3" t="s">
        <v>142</v>
      </c>
      <c r="Q282" s="8"/>
      <c r="R282" s="3" t="s">
        <v>2660</v>
      </c>
      <c r="S282" s="3" t="s">
        <v>2660</v>
      </c>
      <c r="T282" s="8" t="s">
        <v>83</v>
      </c>
      <c r="U282" s="8" t="s">
        <v>2531</v>
      </c>
      <c r="V282" s="8" t="s">
        <v>2658</v>
      </c>
      <c r="W282" s="8">
        <v>9.918319111E9</v>
      </c>
      <c r="X282" s="8" t="s">
        <v>2514</v>
      </c>
      <c r="Y282" s="8" t="s">
        <v>2658</v>
      </c>
      <c r="Z282" s="8">
        <v>9.9369191E9</v>
      </c>
      <c r="AA282" s="8" t="s">
        <v>2514</v>
      </c>
      <c r="AB282" s="8" t="s">
        <v>2658</v>
      </c>
      <c r="AC282" s="8">
        <v>9.9369191E9</v>
      </c>
      <c r="AD282" s="8" t="s">
        <v>2514</v>
      </c>
      <c r="AE282" s="8" t="s">
        <v>2658</v>
      </c>
      <c r="AF282" s="8">
        <v>9.9369191E9</v>
      </c>
      <c r="AG282" s="3"/>
      <c r="AH282" s="8"/>
      <c r="AI282" s="8"/>
      <c r="AJ282" s="8"/>
      <c r="AK282" s="8"/>
      <c r="AL282" s="8"/>
      <c r="AM282" s="8"/>
      <c r="AN282" s="8"/>
      <c r="AO282" s="8"/>
      <c r="AP282" s="8"/>
      <c r="AQ282" s="8"/>
      <c r="AR282" s="8"/>
      <c r="AS282" s="8"/>
      <c r="AT282" s="9"/>
      <c r="AU282" s="8" t="s">
        <v>85</v>
      </c>
      <c r="AV282" s="8"/>
      <c r="AW282" s="8"/>
      <c r="AX282" s="8"/>
      <c r="AY282" s="8"/>
      <c r="AZ282" s="8" t="s">
        <v>86</v>
      </c>
      <c r="BA282" s="20" t="s">
        <v>86</v>
      </c>
      <c r="BB282" s="20" t="s">
        <v>86</v>
      </c>
      <c r="BC282" s="8">
        <v>0.0</v>
      </c>
    </row>
    <row r="283">
      <c r="A283" s="3" t="s">
        <v>2661</v>
      </c>
      <c r="B283" s="3" t="s">
        <v>2662</v>
      </c>
      <c r="C283" s="3" t="s">
        <v>2663</v>
      </c>
      <c r="D283" s="3"/>
      <c r="E283" s="3">
        <v>100000.0</v>
      </c>
      <c r="F283" s="3" t="s">
        <v>58</v>
      </c>
      <c r="G283" s="3" t="s">
        <v>2664</v>
      </c>
      <c r="H283" s="5" t="s">
        <v>2665</v>
      </c>
      <c r="I283" s="5" t="s">
        <v>2666</v>
      </c>
      <c r="J283" s="3" t="s">
        <v>2667</v>
      </c>
      <c r="K283" s="3">
        <v>9.889021789E9</v>
      </c>
      <c r="L283" s="6" t="s">
        <v>2668</v>
      </c>
      <c r="M283" s="3"/>
      <c r="N283" s="3" t="str">
        <f>(B269)</f>
        <v>Gupta Automobiles - Padrauna</v>
      </c>
      <c r="O283" s="3" t="str">
        <f>(A269)</f>
        <v>1Ql_6BdBcHGAyITSZt1pNUK3bW54CzeThIBXr7aH7K3Y</v>
      </c>
      <c r="P283" s="3" t="s">
        <v>142</v>
      </c>
      <c r="Q283" s="8"/>
      <c r="R283" s="3" t="s">
        <v>2669</v>
      </c>
      <c r="S283" s="3" t="s">
        <v>2669</v>
      </c>
      <c r="T283" s="8" t="s">
        <v>83</v>
      </c>
      <c r="U283" s="8" t="s">
        <v>2670</v>
      </c>
      <c r="V283" s="8" t="s">
        <v>2667</v>
      </c>
      <c r="W283" s="8">
        <v>9.889021789E9</v>
      </c>
      <c r="X283" s="8" t="s">
        <v>2514</v>
      </c>
      <c r="Y283" s="8" t="s">
        <v>2667</v>
      </c>
      <c r="Z283" s="8">
        <v>9.9369191E9</v>
      </c>
      <c r="AA283" s="8" t="s">
        <v>2514</v>
      </c>
      <c r="AB283" s="8" t="s">
        <v>2667</v>
      </c>
      <c r="AC283" s="8">
        <v>9.9369191E9</v>
      </c>
      <c r="AD283" s="8" t="s">
        <v>2514</v>
      </c>
      <c r="AE283" s="8" t="s">
        <v>2667</v>
      </c>
      <c r="AF283" s="8">
        <v>9.9369191E9</v>
      </c>
      <c r="AG283" s="3"/>
      <c r="AH283" s="8"/>
      <c r="AI283" s="8"/>
      <c r="AJ283" s="8"/>
      <c r="AK283" s="8"/>
      <c r="AL283" s="8"/>
      <c r="AM283" s="8"/>
      <c r="AN283" s="8"/>
      <c r="AO283" s="8"/>
      <c r="AP283" s="8"/>
      <c r="AQ283" s="8"/>
      <c r="AR283" s="8"/>
      <c r="AS283" s="8"/>
      <c r="AT283" s="9"/>
      <c r="AU283" s="8" t="s">
        <v>85</v>
      </c>
      <c r="AV283" s="8"/>
      <c r="AW283" s="8"/>
      <c r="AX283" s="8"/>
      <c r="AY283" s="8"/>
      <c r="AZ283" s="8" t="s">
        <v>86</v>
      </c>
      <c r="BA283" s="20" t="s">
        <v>86</v>
      </c>
      <c r="BB283" s="20" t="s">
        <v>86</v>
      </c>
      <c r="BC283" s="8">
        <v>0.0</v>
      </c>
    </row>
    <row r="284">
      <c r="A284" s="3" t="s">
        <v>2671</v>
      </c>
      <c r="B284" s="3" t="s">
        <v>2672</v>
      </c>
      <c r="C284" s="3" t="s">
        <v>2673</v>
      </c>
      <c r="D284" s="3"/>
      <c r="E284" s="3">
        <v>100000.0</v>
      </c>
      <c r="F284" s="3" t="s">
        <v>58</v>
      </c>
      <c r="G284" s="3" t="s">
        <v>2674</v>
      </c>
      <c r="H284" s="5" t="s">
        <v>2675</v>
      </c>
      <c r="I284" s="5" t="s">
        <v>2676</v>
      </c>
      <c r="J284" s="3" t="s">
        <v>2677</v>
      </c>
      <c r="K284" s="3">
        <v>8.173034995E9</v>
      </c>
      <c r="L284" s="6" t="s">
        <v>2678</v>
      </c>
      <c r="M284" s="3"/>
      <c r="N284" s="3" t="str">
        <f>(B269)</f>
        <v>Gupta Automobiles - Padrauna</v>
      </c>
      <c r="O284" s="3" t="str">
        <f>(A269)</f>
        <v>1Ql_6BdBcHGAyITSZt1pNUK3bW54CzeThIBXr7aH7K3Y</v>
      </c>
      <c r="P284" s="3" t="s">
        <v>142</v>
      </c>
      <c r="Q284" s="8"/>
      <c r="R284" s="3" t="s">
        <v>2679</v>
      </c>
      <c r="S284" s="3" t="s">
        <v>2679</v>
      </c>
      <c r="T284" s="8" t="s">
        <v>83</v>
      </c>
      <c r="U284" s="8" t="s">
        <v>2513</v>
      </c>
      <c r="V284" s="8" t="s">
        <v>2510</v>
      </c>
      <c r="W284" s="8">
        <v>9.918319111E9</v>
      </c>
      <c r="X284" s="8" t="s">
        <v>2514</v>
      </c>
      <c r="Y284" s="8" t="s">
        <v>2510</v>
      </c>
      <c r="Z284" s="8">
        <v>9.9369191E9</v>
      </c>
      <c r="AA284" s="8" t="s">
        <v>2514</v>
      </c>
      <c r="AB284" s="8" t="s">
        <v>2510</v>
      </c>
      <c r="AC284" s="8">
        <v>9.9369191E9</v>
      </c>
      <c r="AD284" s="8" t="s">
        <v>2514</v>
      </c>
      <c r="AE284" s="8" t="s">
        <v>2510</v>
      </c>
      <c r="AF284" s="8">
        <v>9.9369191E9</v>
      </c>
      <c r="AG284" s="3"/>
      <c r="AH284" s="8"/>
      <c r="AI284" s="8"/>
      <c r="AJ284" s="8"/>
      <c r="AK284" s="8"/>
      <c r="AL284" s="8"/>
      <c r="AM284" s="8"/>
      <c r="AN284" s="8"/>
      <c r="AO284" s="8"/>
      <c r="AP284" s="8"/>
      <c r="AQ284" s="8"/>
      <c r="AR284" s="8"/>
      <c r="AS284" s="8"/>
      <c r="AT284" s="9"/>
      <c r="AU284" s="8" t="s">
        <v>85</v>
      </c>
      <c r="AV284" s="8"/>
      <c r="AW284" s="8"/>
      <c r="AX284" s="8"/>
      <c r="AY284" s="8"/>
      <c r="AZ284" s="8" t="s">
        <v>86</v>
      </c>
      <c r="BA284" s="20" t="s">
        <v>86</v>
      </c>
      <c r="BB284" s="20" t="s">
        <v>86</v>
      </c>
      <c r="BC284" s="8">
        <v>0.0</v>
      </c>
    </row>
    <row r="285">
      <c r="A285" s="3" t="s">
        <v>2680</v>
      </c>
      <c r="B285" s="3" t="s">
        <v>2681</v>
      </c>
      <c r="C285" s="3" t="s">
        <v>2682</v>
      </c>
      <c r="D285" s="3"/>
      <c r="E285" s="3">
        <v>100000.0</v>
      </c>
      <c r="F285" s="3" t="s">
        <v>58</v>
      </c>
      <c r="G285" s="3" t="s">
        <v>2683</v>
      </c>
      <c r="H285" s="5" t="s">
        <v>2684</v>
      </c>
      <c r="I285" s="5" t="s">
        <v>2685</v>
      </c>
      <c r="J285" s="3" t="s">
        <v>2686</v>
      </c>
      <c r="K285" s="3">
        <v>9.935876466E9</v>
      </c>
      <c r="L285" s="6" t="s">
        <v>2687</v>
      </c>
      <c r="M285" s="3"/>
      <c r="N285" s="3" t="str">
        <f>(B269)</f>
        <v>Gupta Automobiles - Padrauna</v>
      </c>
      <c r="O285" s="3" t="str">
        <f>(A269)</f>
        <v>1Ql_6BdBcHGAyITSZt1pNUK3bW54CzeThIBXr7aH7K3Y</v>
      </c>
      <c r="P285" s="3" t="s">
        <v>142</v>
      </c>
      <c r="Q285" s="8"/>
      <c r="R285" s="3" t="s">
        <v>2688</v>
      </c>
      <c r="S285" s="3" t="s">
        <v>2688</v>
      </c>
      <c r="T285" s="8" t="s">
        <v>83</v>
      </c>
      <c r="U285" s="8" t="s">
        <v>2513</v>
      </c>
      <c r="V285" s="8" t="s">
        <v>2510</v>
      </c>
      <c r="W285" s="8">
        <v>9.918319111E9</v>
      </c>
      <c r="X285" s="8" t="s">
        <v>2514</v>
      </c>
      <c r="Y285" s="8" t="s">
        <v>2510</v>
      </c>
      <c r="Z285" s="8">
        <v>9.9369191E9</v>
      </c>
      <c r="AA285" s="8" t="s">
        <v>2514</v>
      </c>
      <c r="AB285" s="8" t="s">
        <v>2510</v>
      </c>
      <c r="AC285" s="8">
        <v>9.9369191E9</v>
      </c>
      <c r="AD285" s="8" t="s">
        <v>2514</v>
      </c>
      <c r="AE285" s="8" t="s">
        <v>2510</v>
      </c>
      <c r="AF285" s="8">
        <v>9.9369191E9</v>
      </c>
      <c r="AG285" s="3"/>
      <c r="AH285" s="8"/>
      <c r="AI285" s="8"/>
      <c r="AJ285" s="8"/>
      <c r="AK285" s="8"/>
      <c r="AL285" s="8"/>
      <c r="AM285" s="8"/>
      <c r="AN285" s="8"/>
      <c r="AO285" s="8"/>
      <c r="AP285" s="8"/>
      <c r="AQ285" s="8"/>
      <c r="AR285" s="8"/>
      <c r="AS285" s="8"/>
      <c r="AT285" s="9"/>
      <c r="AU285" s="8" t="s">
        <v>85</v>
      </c>
      <c r="AV285" s="8"/>
      <c r="AW285" s="8"/>
      <c r="AX285" s="8"/>
      <c r="AY285" s="8"/>
      <c r="AZ285" s="8" t="s">
        <v>86</v>
      </c>
      <c r="BA285" s="20" t="s">
        <v>86</v>
      </c>
      <c r="BB285" s="20" t="s">
        <v>86</v>
      </c>
      <c r="BC285" s="8">
        <v>0.0</v>
      </c>
    </row>
    <row r="286">
      <c r="A286" s="3" t="s">
        <v>2689</v>
      </c>
      <c r="B286" s="3" t="s">
        <v>2690</v>
      </c>
      <c r="C286" s="3" t="s">
        <v>2691</v>
      </c>
      <c r="D286" s="3"/>
      <c r="E286" s="3">
        <v>100000.0</v>
      </c>
      <c r="F286" s="3" t="s">
        <v>58</v>
      </c>
      <c r="G286" s="3" t="s">
        <v>2692</v>
      </c>
      <c r="H286" s="5" t="s">
        <v>2693</v>
      </c>
      <c r="I286" s="5" t="s">
        <v>2694</v>
      </c>
      <c r="J286" s="3" t="s">
        <v>2695</v>
      </c>
      <c r="K286" s="3">
        <v>9.305843354E9</v>
      </c>
      <c r="L286" s="6" t="s">
        <v>2696</v>
      </c>
      <c r="M286" s="3"/>
      <c r="N286" s="3" t="str">
        <f>(B269)</f>
        <v>Gupta Automobiles - Padrauna</v>
      </c>
      <c r="O286" s="3" t="str">
        <f>(A269)</f>
        <v>1Ql_6BdBcHGAyITSZt1pNUK3bW54CzeThIBXr7aH7K3Y</v>
      </c>
      <c r="P286" s="3" t="s">
        <v>142</v>
      </c>
      <c r="Q286" s="8"/>
      <c r="R286" s="3" t="s">
        <v>2697</v>
      </c>
      <c r="S286" s="3" t="s">
        <v>2697</v>
      </c>
      <c r="T286" s="8" t="s">
        <v>83</v>
      </c>
      <c r="U286" s="8" t="s">
        <v>2513</v>
      </c>
      <c r="V286" s="8" t="s">
        <v>2510</v>
      </c>
      <c r="W286" s="8">
        <v>9.918319111E9</v>
      </c>
      <c r="X286" s="8" t="s">
        <v>2514</v>
      </c>
      <c r="Y286" s="8" t="s">
        <v>2510</v>
      </c>
      <c r="Z286" s="8">
        <v>9.9369191E9</v>
      </c>
      <c r="AA286" s="8" t="s">
        <v>2514</v>
      </c>
      <c r="AB286" s="8" t="s">
        <v>2510</v>
      </c>
      <c r="AC286" s="8">
        <v>9.9369191E9</v>
      </c>
      <c r="AD286" s="8" t="s">
        <v>2514</v>
      </c>
      <c r="AE286" s="8" t="s">
        <v>2510</v>
      </c>
      <c r="AF286" s="8">
        <v>9.9369191E9</v>
      </c>
      <c r="AG286" s="3"/>
      <c r="AH286" s="8"/>
      <c r="AI286" s="8"/>
      <c r="AJ286" s="8"/>
      <c r="AK286" s="8"/>
      <c r="AL286" s="8"/>
      <c r="AM286" s="8"/>
      <c r="AN286" s="8"/>
      <c r="AO286" s="8"/>
      <c r="AP286" s="8"/>
      <c r="AQ286" s="8"/>
      <c r="AR286" s="8"/>
      <c r="AS286" s="8"/>
      <c r="AT286" s="9"/>
      <c r="AU286" s="8" t="s">
        <v>85</v>
      </c>
      <c r="AV286" s="8"/>
      <c r="AW286" s="8"/>
      <c r="AX286" s="8"/>
      <c r="AY286" s="8"/>
      <c r="AZ286" s="8" t="s">
        <v>86</v>
      </c>
      <c r="BA286" s="20" t="s">
        <v>86</v>
      </c>
      <c r="BB286" s="20" t="s">
        <v>86</v>
      </c>
      <c r="BC286" s="8">
        <v>0.0</v>
      </c>
    </row>
    <row r="287">
      <c r="A287" s="3" t="s">
        <v>2698</v>
      </c>
      <c r="B287" s="3" t="s">
        <v>2699</v>
      </c>
      <c r="C287" s="3" t="s">
        <v>2700</v>
      </c>
      <c r="D287" s="3"/>
      <c r="E287" s="3">
        <v>100000.0</v>
      </c>
      <c r="F287" s="3" t="s">
        <v>58</v>
      </c>
      <c r="G287" s="3" t="s">
        <v>2701</v>
      </c>
      <c r="H287" s="5" t="s">
        <v>2702</v>
      </c>
      <c r="I287" s="5" t="s">
        <v>2703</v>
      </c>
      <c r="J287" s="3" t="s">
        <v>2704</v>
      </c>
      <c r="K287" s="3">
        <v>9.9369191E9</v>
      </c>
      <c r="L287" s="6" t="s">
        <v>2705</v>
      </c>
      <c r="M287" s="3"/>
      <c r="N287" s="3" t="str">
        <f>(B269)</f>
        <v>Gupta Automobiles - Padrauna</v>
      </c>
      <c r="O287" s="3" t="str">
        <f>(A269)</f>
        <v>1Ql_6BdBcHGAyITSZt1pNUK3bW54CzeThIBXr7aH7K3Y</v>
      </c>
      <c r="P287" s="3" t="s">
        <v>142</v>
      </c>
      <c r="Q287" s="8"/>
      <c r="R287" s="3" t="s">
        <v>2706</v>
      </c>
      <c r="S287" s="3" t="s">
        <v>2706</v>
      </c>
      <c r="T287" s="8" t="s">
        <v>83</v>
      </c>
      <c r="U287" s="8" t="s">
        <v>2513</v>
      </c>
      <c r="V287" s="8" t="s">
        <v>2510</v>
      </c>
      <c r="W287" s="8">
        <v>9.918319111E9</v>
      </c>
      <c r="X287" s="8" t="s">
        <v>2514</v>
      </c>
      <c r="Y287" s="8" t="s">
        <v>2510</v>
      </c>
      <c r="Z287" s="8">
        <v>9.9369191E9</v>
      </c>
      <c r="AA287" s="8" t="s">
        <v>2514</v>
      </c>
      <c r="AB287" s="8" t="s">
        <v>2510</v>
      </c>
      <c r="AC287" s="8">
        <v>9.9369191E9</v>
      </c>
      <c r="AD287" s="8" t="s">
        <v>2514</v>
      </c>
      <c r="AE287" s="8" t="s">
        <v>2510</v>
      </c>
      <c r="AF287" s="8">
        <v>9.9369191E9</v>
      </c>
      <c r="AG287" s="3"/>
      <c r="AH287" s="8"/>
      <c r="AI287" s="8"/>
      <c r="AJ287" s="8"/>
      <c r="AK287" s="8"/>
      <c r="AL287" s="8"/>
      <c r="AM287" s="8"/>
      <c r="AN287" s="8"/>
      <c r="AO287" s="8"/>
      <c r="AP287" s="8"/>
      <c r="AQ287" s="8"/>
      <c r="AR287" s="8"/>
      <c r="AS287" s="8"/>
      <c r="AT287" s="9"/>
      <c r="AU287" s="8" t="s">
        <v>85</v>
      </c>
      <c r="AV287" s="8"/>
      <c r="AW287" s="8"/>
      <c r="AX287" s="8"/>
      <c r="AY287" s="8"/>
      <c r="AZ287" s="8" t="s">
        <v>86</v>
      </c>
      <c r="BA287" s="20" t="s">
        <v>86</v>
      </c>
      <c r="BB287" s="20" t="s">
        <v>86</v>
      </c>
      <c r="BC287" s="8">
        <v>0.0</v>
      </c>
    </row>
    <row r="288">
      <c r="A288" s="3" t="s">
        <v>2707</v>
      </c>
      <c r="B288" s="3" t="s">
        <v>2708</v>
      </c>
      <c r="C288" s="3" t="s">
        <v>2709</v>
      </c>
      <c r="D288" s="3"/>
      <c r="E288" s="3">
        <v>100000.0</v>
      </c>
      <c r="F288" s="3" t="s">
        <v>58</v>
      </c>
      <c r="G288" s="3" t="s">
        <v>2710</v>
      </c>
      <c r="H288" s="5" t="s">
        <v>2711</v>
      </c>
      <c r="I288" s="5" t="s">
        <v>2712</v>
      </c>
      <c r="J288" s="3" t="s">
        <v>2713</v>
      </c>
      <c r="K288" s="3">
        <v>9.328444444E9</v>
      </c>
      <c r="L288" s="6" t="s">
        <v>2714</v>
      </c>
      <c r="M288" s="3"/>
      <c r="N288" s="3" t="str">
        <f>B288</f>
        <v>SHREE KHADKA G AUTO- AHMEDABAD</v>
      </c>
      <c r="O288" s="3" t="str">
        <f>A288</f>
        <v>1iS0OzsOEgzLoPMX6_hFFZoxQvPZH07oslA_7etrLuZw</v>
      </c>
      <c r="P288" s="3" t="s">
        <v>64</v>
      </c>
      <c r="Q288" s="8"/>
      <c r="R288" s="3" t="s">
        <v>1478</v>
      </c>
      <c r="S288" s="3" t="s">
        <v>1478</v>
      </c>
      <c r="T288" s="8" t="s">
        <v>638</v>
      </c>
      <c r="U288" s="8" t="s">
        <v>2715</v>
      </c>
      <c r="V288" s="8" t="s">
        <v>2713</v>
      </c>
      <c r="W288" s="8">
        <v>9.328444444E9</v>
      </c>
      <c r="X288" s="8" t="s">
        <v>2716</v>
      </c>
      <c r="Y288" s="8" t="s">
        <v>2713</v>
      </c>
      <c r="Z288" s="8">
        <v>9.726332211E9</v>
      </c>
      <c r="AA288" s="8" t="s">
        <v>2716</v>
      </c>
      <c r="AB288" s="8" t="s">
        <v>2713</v>
      </c>
      <c r="AC288" s="8">
        <v>9.726332211E9</v>
      </c>
      <c r="AD288" s="8" t="s">
        <v>2716</v>
      </c>
      <c r="AE288" s="8" t="s">
        <v>2713</v>
      </c>
      <c r="AF288" s="8">
        <v>9.726332211E9</v>
      </c>
      <c r="AG288" s="3" t="s">
        <v>2717</v>
      </c>
      <c r="AH288" s="8" t="s">
        <v>2718</v>
      </c>
      <c r="AI288" s="8" t="s">
        <v>2719</v>
      </c>
      <c r="AJ288" s="8">
        <v>5.9200000700007E13</v>
      </c>
      <c r="AK288" s="8" t="s">
        <v>2720</v>
      </c>
      <c r="AL288" s="8" t="s">
        <v>2721</v>
      </c>
      <c r="AM288" s="8"/>
      <c r="AN288" s="8"/>
      <c r="AO288" s="8"/>
      <c r="AP288" s="8"/>
      <c r="AQ288" s="8"/>
      <c r="AR288" s="8"/>
      <c r="AS288" s="8"/>
      <c r="AT288" s="9" t="s">
        <v>2722</v>
      </c>
      <c r="AU288" s="8" t="s">
        <v>730</v>
      </c>
      <c r="AV288" s="8"/>
      <c r="AW288" s="8"/>
      <c r="AX288" s="8"/>
      <c r="AY288" s="8"/>
      <c r="AZ288" s="8" t="s">
        <v>86</v>
      </c>
      <c r="BA288" s="20" t="s">
        <v>86</v>
      </c>
      <c r="BB288" s="20" t="s">
        <v>86</v>
      </c>
      <c r="BC288" s="8">
        <v>0.0</v>
      </c>
    </row>
    <row r="289">
      <c r="A289" s="3" t="s">
        <v>2723</v>
      </c>
      <c r="B289" s="3" t="s">
        <v>2724</v>
      </c>
      <c r="C289" s="3" t="s">
        <v>2725</v>
      </c>
      <c r="D289" s="3"/>
      <c r="E289" s="3">
        <v>100000.0</v>
      </c>
      <c r="F289" s="3" t="s">
        <v>58</v>
      </c>
      <c r="G289" s="3" t="s">
        <v>2726</v>
      </c>
      <c r="H289" s="5" t="s">
        <v>2727</v>
      </c>
      <c r="I289" s="5" t="s">
        <v>2728</v>
      </c>
      <c r="J289" s="3" t="s">
        <v>2729</v>
      </c>
      <c r="K289" s="3">
        <v>9.451117437E9</v>
      </c>
      <c r="L289" s="6" t="s">
        <v>2730</v>
      </c>
      <c r="M289" s="3"/>
      <c r="N289" s="3" t="str">
        <f>(B269)</f>
        <v>Gupta Automobiles - Padrauna</v>
      </c>
      <c r="O289" s="3" t="str">
        <f>(A269)</f>
        <v>1Ql_6BdBcHGAyITSZt1pNUK3bW54CzeThIBXr7aH7K3Y</v>
      </c>
      <c r="P289" s="3" t="s">
        <v>142</v>
      </c>
      <c r="Q289" s="8"/>
      <c r="R289" s="3" t="s">
        <v>2731</v>
      </c>
      <c r="S289" s="3" t="s">
        <v>2731</v>
      </c>
      <c r="T289" s="8" t="s">
        <v>83</v>
      </c>
      <c r="U289" s="8" t="s">
        <v>2513</v>
      </c>
      <c r="V289" s="8" t="s">
        <v>2510</v>
      </c>
      <c r="W289" s="8">
        <v>9.918319111E9</v>
      </c>
      <c r="X289" s="8" t="s">
        <v>2514</v>
      </c>
      <c r="Y289" s="8" t="s">
        <v>2510</v>
      </c>
      <c r="Z289" s="8">
        <v>9.9369191E9</v>
      </c>
      <c r="AA289" s="8" t="s">
        <v>2514</v>
      </c>
      <c r="AB289" s="8" t="s">
        <v>2510</v>
      </c>
      <c r="AC289" s="8">
        <v>9.9369191E9</v>
      </c>
      <c r="AD289" s="8" t="s">
        <v>2514</v>
      </c>
      <c r="AE289" s="8" t="s">
        <v>2510</v>
      </c>
      <c r="AF289" s="8">
        <v>9.9369191E9</v>
      </c>
      <c r="AG289" s="3"/>
      <c r="AH289" s="8"/>
      <c r="AI289" s="8"/>
      <c r="AJ289" s="8"/>
      <c r="AK289" s="8"/>
      <c r="AL289" s="8"/>
      <c r="AM289" s="8"/>
      <c r="AN289" s="8"/>
      <c r="AO289" s="8"/>
      <c r="AP289" s="8"/>
      <c r="AQ289" s="8"/>
      <c r="AR289" s="8"/>
      <c r="AS289" s="8"/>
      <c r="AT289" s="9"/>
      <c r="AU289" s="8" t="s">
        <v>85</v>
      </c>
      <c r="AV289" s="8"/>
      <c r="AW289" s="8"/>
      <c r="AX289" s="8"/>
      <c r="AY289" s="8"/>
      <c r="AZ289" s="8" t="s">
        <v>86</v>
      </c>
      <c r="BA289" s="20" t="s">
        <v>86</v>
      </c>
      <c r="BB289" s="20" t="s">
        <v>86</v>
      </c>
      <c r="BC289" s="8">
        <v>0.0</v>
      </c>
    </row>
    <row r="290">
      <c r="A290" s="3" t="s">
        <v>2732</v>
      </c>
      <c r="B290" s="3" t="s">
        <v>2733</v>
      </c>
      <c r="C290" s="3" t="s">
        <v>2734</v>
      </c>
      <c r="D290" s="3"/>
      <c r="E290" s="3">
        <v>100000.0</v>
      </c>
      <c r="F290" s="3" t="s">
        <v>58</v>
      </c>
      <c r="G290" s="3" t="s">
        <v>2735</v>
      </c>
      <c r="H290" s="5" t="s">
        <v>2736</v>
      </c>
      <c r="I290" s="5" t="s">
        <v>2737</v>
      </c>
      <c r="J290" s="3" t="s">
        <v>2738</v>
      </c>
      <c r="K290" s="3">
        <v>9.792454285E9</v>
      </c>
      <c r="L290" s="6" t="s">
        <v>2739</v>
      </c>
      <c r="M290" s="3"/>
      <c r="N290" s="3" t="str">
        <f>(B269)</f>
        <v>Gupta Automobiles - Padrauna</v>
      </c>
      <c r="O290" s="3" t="str">
        <f>(A269)</f>
        <v>1Ql_6BdBcHGAyITSZt1pNUK3bW54CzeThIBXr7aH7K3Y</v>
      </c>
      <c r="P290" s="3" t="s">
        <v>142</v>
      </c>
      <c r="Q290" s="8"/>
      <c r="R290" s="3" t="s">
        <v>2740</v>
      </c>
      <c r="S290" s="3" t="s">
        <v>2740</v>
      </c>
      <c r="T290" s="8" t="s">
        <v>83</v>
      </c>
      <c r="U290" s="8" t="s">
        <v>2513</v>
      </c>
      <c r="V290" s="8" t="s">
        <v>2510</v>
      </c>
      <c r="W290" s="8">
        <v>9.918319111E9</v>
      </c>
      <c r="X290" s="8" t="s">
        <v>2514</v>
      </c>
      <c r="Y290" s="8" t="s">
        <v>2510</v>
      </c>
      <c r="Z290" s="8">
        <v>9.9369191E9</v>
      </c>
      <c r="AA290" s="8" t="s">
        <v>2514</v>
      </c>
      <c r="AB290" s="8" t="s">
        <v>2510</v>
      </c>
      <c r="AC290" s="8">
        <v>9.9369191E9</v>
      </c>
      <c r="AD290" s="8" t="s">
        <v>2514</v>
      </c>
      <c r="AE290" s="8" t="s">
        <v>2510</v>
      </c>
      <c r="AF290" s="8">
        <v>9.9369191E9</v>
      </c>
      <c r="AG290" s="3"/>
      <c r="AH290" s="8"/>
      <c r="AI290" s="8"/>
      <c r="AJ290" s="8"/>
      <c r="AK290" s="8"/>
      <c r="AL290" s="8"/>
      <c r="AM290" s="8"/>
      <c r="AN290" s="8"/>
      <c r="AO290" s="8"/>
      <c r="AP290" s="8"/>
      <c r="AQ290" s="8"/>
      <c r="AR290" s="8"/>
      <c r="AS290" s="8"/>
      <c r="AT290" s="9"/>
      <c r="AU290" s="8" t="s">
        <v>85</v>
      </c>
      <c r="AV290" s="8"/>
      <c r="AW290" s="8"/>
      <c r="AX290" s="8"/>
      <c r="AY290" s="8"/>
      <c r="AZ290" s="8" t="s">
        <v>86</v>
      </c>
      <c r="BA290" s="20" t="s">
        <v>86</v>
      </c>
      <c r="BB290" s="20" t="s">
        <v>86</v>
      </c>
      <c r="BC290" s="8">
        <v>0.0</v>
      </c>
    </row>
    <row r="291">
      <c r="A291" s="3" t="s">
        <v>2741</v>
      </c>
      <c r="B291" s="3" t="s">
        <v>2742</v>
      </c>
      <c r="C291" s="3" t="s">
        <v>2743</v>
      </c>
      <c r="D291" s="3"/>
      <c r="E291" s="3">
        <v>100000.0</v>
      </c>
      <c r="F291" s="3" t="s">
        <v>58</v>
      </c>
      <c r="G291" s="3" t="s">
        <v>2744</v>
      </c>
      <c r="H291" s="5" t="s">
        <v>2745</v>
      </c>
      <c r="I291" s="5" t="s">
        <v>2746</v>
      </c>
      <c r="J291" s="3" t="s">
        <v>2747</v>
      </c>
      <c r="K291" s="3">
        <v>9.696691383E9</v>
      </c>
      <c r="L291" s="16">
        <v>44207.49375</v>
      </c>
      <c r="M291" s="3"/>
      <c r="N291" s="3" t="str">
        <f>(B269)</f>
        <v>Gupta Automobiles - Padrauna</v>
      </c>
      <c r="O291" s="3" t="str">
        <f>(A269)</f>
        <v>1Ql_6BdBcHGAyITSZt1pNUK3bW54CzeThIBXr7aH7K3Y</v>
      </c>
      <c r="P291" s="3" t="s">
        <v>142</v>
      </c>
      <c r="Q291" s="8"/>
      <c r="R291" s="3" t="s">
        <v>2748</v>
      </c>
      <c r="S291" s="3" t="s">
        <v>2748</v>
      </c>
      <c r="T291" s="8" t="s">
        <v>83</v>
      </c>
      <c r="U291" s="8" t="s">
        <v>2513</v>
      </c>
      <c r="V291" s="8" t="s">
        <v>2510</v>
      </c>
      <c r="W291" s="8">
        <v>9.918319111E9</v>
      </c>
      <c r="X291" s="8" t="s">
        <v>2514</v>
      </c>
      <c r="Y291" s="8" t="s">
        <v>2510</v>
      </c>
      <c r="Z291" s="8">
        <v>9.9369191E9</v>
      </c>
      <c r="AA291" s="8" t="s">
        <v>2514</v>
      </c>
      <c r="AB291" s="8" t="s">
        <v>2510</v>
      </c>
      <c r="AC291" s="8">
        <v>9.9369191E9</v>
      </c>
      <c r="AD291" s="8" t="s">
        <v>2514</v>
      </c>
      <c r="AE291" s="8" t="s">
        <v>2510</v>
      </c>
      <c r="AF291" s="8">
        <v>9.9369191E9</v>
      </c>
      <c r="AG291" s="3"/>
      <c r="AH291" s="8"/>
      <c r="AI291" s="8"/>
      <c r="AJ291" s="8"/>
      <c r="AK291" s="8"/>
      <c r="AL291" s="8"/>
      <c r="AM291" s="8"/>
      <c r="AN291" s="8"/>
      <c r="AO291" s="8"/>
      <c r="AP291" s="8"/>
      <c r="AQ291" s="8"/>
      <c r="AR291" s="8"/>
      <c r="AS291" s="8"/>
      <c r="AT291" s="9"/>
      <c r="AU291" s="8" t="s">
        <v>85</v>
      </c>
      <c r="AV291" s="8"/>
      <c r="AW291" s="8"/>
      <c r="AX291" s="8"/>
      <c r="AY291" s="8"/>
      <c r="AZ291" s="8" t="s">
        <v>86</v>
      </c>
      <c r="BA291" s="20" t="s">
        <v>86</v>
      </c>
      <c r="BB291" s="20" t="s">
        <v>86</v>
      </c>
      <c r="BC291" s="8">
        <v>0.0</v>
      </c>
    </row>
    <row r="292">
      <c r="A292" s="3" t="s">
        <v>2749</v>
      </c>
      <c r="B292" s="3" t="s">
        <v>2750</v>
      </c>
      <c r="C292" s="3" t="s">
        <v>2751</v>
      </c>
      <c r="D292" s="3"/>
      <c r="E292" s="3">
        <v>100000.0</v>
      </c>
      <c r="F292" s="3" t="s">
        <v>58</v>
      </c>
      <c r="G292" s="3" t="s">
        <v>2752</v>
      </c>
      <c r="H292" s="5" t="s">
        <v>2753</v>
      </c>
      <c r="I292" s="5" t="s">
        <v>2754</v>
      </c>
      <c r="J292" s="3" t="s">
        <v>2755</v>
      </c>
      <c r="K292" s="3">
        <v>9.838482372E9</v>
      </c>
      <c r="L292" s="16">
        <v>44238.45347222222</v>
      </c>
      <c r="M292" s="3"/>
      <c r="N292" s="3" t="str">
        <f>(B269)</f>
        <v>Gupta Automobiles - Padrauna</v>
      </c>
      <c r="O292" s="3" t="str">
        <f>(A269)</f>
        <v>1Ql_6BdBcHGAyITSZt1pNUK3bW54CzeThIBXr7aH7K3Y</v>
      </c>
      <c r="P292" s="3" t="s">
        <v>142</v>
      </c>
      <c r="Q292" s="8"/>
      <c r="R292" s="3" t="s">
        <v>2756</v>
      </c>
      <c r="S292" s="3" t="s">
        <v>2756</v>
      </c>
      <c r="T292" s="8" t="s">
        <v>83</v>
      </c>
      <c r="U292" s="8" t="s">
        <v>2757</v>
      </c>
      <c r="V292" s="8" t="s">
        <v>2755</v>
      </c>
      <c r="W292" s="8">
        <v>9.838482372E9</v>
      </c>
      <c r="X292" s="8" t="s">
        <v>2514</v>
      </c>
      <c r="Y292" s="8" t="s">
        <v>2755</v>
      </c>
      <c r="Z292" s="8">
        <v>9.9369191E9</v>
      </c>
      <c r="AA292" s="8" t="s">
        <v>2514</v>
      </c>
      <c r="AB292" s="8" t="s">
        <v>2755</v>
      </c>
      <c r="AC292" s="8">
        <v>9.9369191E9</v>
      </c>
      <c r="AD292" s="8" t="s">
        <v>2514</v>
      </c>
      <c r="AE292" s="8" t="s">
        <v>2755</v>
      </c>
      <c r="AF292" s="8">
        <v>9.9369191E9</v>
      </c>
      <c r="AG292" s="3"/>
      <c r="AH292" s="8"/>
      <c r="AI292" s="8"/>
      <c r="AJ292" s="8"/>
      <c r="AK292" s="8"/>
      <c r="AL292" s="8"/>
      <c r="AM292" s="8"/>
      <c r="AN292" s="8"/>
      <c r="AO292" s="8"/>
      <c r="AP292" s="8"/>
      <c r="AQ292" s="8"/>
      <c r="AR292" s="8"/>
      <c r="AS292" s="8"/>
      <c r="AT292" s="9"/>
      <c r="AU292" s="8" t="s">
        <v>85</v>
      </c>
      <c r="AV292" s="8"/>
      <c r="AW292" s="8"/>
      <c r="AX292" s="8"/>
      <c r="AY292" s="8"/>
      <c r="AZ292" s="8" t="s">
        <v>86</v>
      </c>
      <c r="BA292" s="20" t="s">
        <v>86</v>
      </c>
      <c r="BB292" s="20" t="s">
        <v>86</v>
      </c>
      <c r="BC292" s="8">
        <v>0.0</v>
      </c>
    </row>
    <row r="293">
      <c r="A293" s="3" t="s">
        <v>2758</v>
      </c>
      <c r="B293" s="3" t="s">
        <v>2759</v>
      </c>
      <c r="C293" s="3" t="s">
        <v>2760</v>
      </c>
      <c r="D293" s="3"/>
      <c r="E293" s="3">
        <v>100000.0</v>
      </c>
      <c r="F293" s="3" t="s">
        <v>58</v>
      </c>
      <c r="G293" s="3" t="s">
        <v>2761</v>
      </c>
      <c r="H293" s="5" t="s">
        <v>2762</v>
      </c>
      <c r="I293" s="5" t="s">
        <v>2763</v>
      </c>
      <c r="J293" s="3" t="s">
        <v>2764</v>
      </c>
      <c r="K293" s="3">
        <v>9.695167476E9</v>
      </c>
      <c r="L293" s="16">
        <v>44266.53472222222</v>
      </c>
      <c r="M293" s="3"/>
      <c r="N293" s="3" t="str">
        <f>(B269)</f>
        <v>Gupta Automobiles - Padrauna</v>
      </c>
      <c r="O293" s="3" t="str">
        <f>(A269)</f>
        <v>1Ql_6BdBcHGAyITSZt1pNUK3bW54CzeThIBXr7aH7K3Y</v>
      </c>
      <c r="P293" s="3" t="s">
        <v>142</v>
      </c>
      <c r="Q293" s="8"/>
      <c r="R293" s="3" t="s">
        <v>2765</v>
      </c>
      <c r="S293" s="3" t="s">
        <v>2765</v>
      </c>
      <c r="T293" s="8" t="s">
        <v>83</v>
      </c>
      <c r="U293" s="8" t="s">
        <v>2531</v>
      </c>
      <c r="V293" s="8" t="s">
        <v>2764</v>
      </c>
      <c r="W293" s="8">
        <v>9.918319111E9</v>
      </c>
      <c r="X293" s="8" t="s">
        <v>2514</v>
      </c>
      <c r="Y293" s="8" t="s">
        <v>2764</v>
      </c>
      <c r="Z293" s="8">
        <v>9.9369191E9</v>
      </c>
      <c r="AA293" s="8" t="s">
        <v>2514</v>
      </c>
      <c r="AB293" s="8" t="s">
        <v>2764</v>
      </c>
      <c r="AC293" s="8">
        <v>9.9369191E9</v>
      </c>
      <c r="AD293" s="8" t="s">
        <v>2514</v>
      </c>
      <c r="AE293" s="8" t="s">
        <v>2764</v>
      </c>
      <c r="AF293" s="8">
        <v>9.9369191E9</v>
      </c>
      <c r="AG293" s="3"/>
      <c r="AH293" s="8"/>
      <c r="AI293" s="8"/>
      <c r="AJ293" s="8"/>
      <c r="AK293" s="8"/>
      <c r="AL293" s="8"/>
      <c r="AM293" s="8"/>
      <c r="AN293" s="8"/>
      <c r="AO293" s="8"/>
      <c r="AP293" s="8"/>
      <c r="AQ293" s="8"/>
      <c r="AR293" s="8"/>
      <c r="AS293" s="8"/>
      <c r="AT293" s="9"/>
      <c r="AU293" s="8" t="s">
        <v>85</v>
      </c>
      <c r="AV293" s="8"/>
      <c r="AW293" s="8"/>
      <c r="AX293" s="8"/>
      <c r="AY293" s="8"/>
      <c r="AZ293" s="8" t="s">
        <v>86</v>
      </c>
      <c r="BA293" s="20" t="s">
        <v>86</v>
      </c>
      <c r="BB293" s="20" t="s">
        <v>86</v>
      </c>
      <c r="BC293" s="8">
        <v>0.0</v>
      </c>
    </row>
    <row r="294">
      <c r="A294" s="3" t="s">
        <v>2766</v>
      </c>
      <c r="B294" s="3" t="s">
        <v>2767</v>
      </c>
      <c r="C294" s="3" t="s">
        <v>2768</v>
      </c>
      <c r="D294" s="3"/>
      <c r="E294" s="3">
        <v>100000.0</v>
      </c>
      <c r="F294" s="3" t="s">
        <v>58</v>
      </c>
      <c r="G294" s="3" t="s">
        <v>2769</v>
      </c>
      <c r="H294" s="5" t="s">
        <v>2770</v>
      </c>
      <c r="I294" s="5" t="s">
        <v>2771</v>
      </c>
      <c r="J294" s="3" t="s">
        <v>2772</v>
      </c>
      <c r="K294" s="3">
        <v>7.98941157E9</v>
      </c>
      <c r="L294" s="16">
        <v>44419.45277777778</v>
      </c>
      <c r="M294" s="3"/>
      <c r="N294" s="3" t="str">
        <f>B294</f>
        <v>KATKAM HONDA-KAMMAM</v>
      </c>
      <c r="O294" s="3" t="str">
        <f>A294</f>
        <v>1x38XOM-VqTgqoXTPjpnyXIiMMrMalrJof7768QJp3LU</v>
      </c>
      <c r="P294" s="3" t="s">
        <v>64</v>
      </c>
      <c r="Q294" s="8"/>
      <c r="R294" s="3" t="s">
        <v>2773</v>
      </c>
      <c r="S294" s="3" t="s">
        <v>2773</v>
      </c>
      <c r="T294" s="8" t="s">
        <v>2774</v>
      </c>
      <c r="U294" s="8" t="s">
        <v>2775</v>
      </c>
      <c r="V294" s="8" t="s">
        <v>2772</v>
      </c>
      <c r="W294" s="8">
        <v>9.010786066E9</v>
      </c>
      <c r="X294" s="8" t="s">
        <v>2775</v>
      </c>
      <c r="Y294" s="8" t="s">
        <v>2772</v>
      </c>
      <c r="Z294" s="8">
        <v>9.948969036E9</v>
      </c>
      <c r="AA294" s="8" t="s">
        <v>2775</v>
      </c>
      <c r="AB294" s="8" t="s">
        <v>2772</v>
      </c>
      <c r="AC294" s="8">
        <v>9.948969036E9</v>
      </c>
      <c r="AD294" s="8" t="s">
        <v>2775</v>
      </c>
      <c r="AE294" s="8" t="s">
        <v>2772</v>
      </c>
      <c r="AF294" s="8">
        <v>9.948969036E9</v>
      </c>
      <c r="AG294" s="3"/>
      <c r="AH294" s="8" t="s">
        <v>2776</v>
      </c>
      <c r="AI294" s="8"/>
      <c r="AJ294" s="8"/>
      <c r="AK294" s="8"/>
      <c r="AL294" s="8"/>
      <c r="AM294" s="8"/>
      <c r="AN294" s="8"/>
      <c r="AO294" s="8"/>
      <c r="AP294" s="8"/>
      <c r="AQ294" s="8"/>
      <c r="AR294" s="8"/>
      <c r="AS294" s="8"/>
      <c r="AT294" s="9" t="s">
        <v>2777</v>
      </c>
      <c r="AU294" s="8" t="s">
        <v>730</v>
      </c>
      <c r="AV294" s="8"/>
      <c r="AW294" s="8"/>
      <c r="AX294" s="8"/>
      <c r="AY294" s="8"/>
      <c r="AZ294" s="8" t="s">
        <v>86</v>
      </c>
      <c r="BA294" s="20" t="s">
        <v>86</v>
      </c>
      <c r="BB294" s="20" t="s">
        <v>86</v>
      </c>
      <c r="BC294" s="8">
        <v>0.0</v>
      </c>
    </row>
    <row r="295">
      <c r="A295" s="3" t="s">
        <v>2778</v>
      </c>
      <c r="B295" s="3" t="s">
        <v>2779</v>
      </c>
      <c r="C295" s="3" t="s">
        <v>2780</v>
      </c>
      <c r="D295" s="3"/>
      <c r="E295" s="3">
        <v>100000.0</v>
      </c>
      <c r="F295" s="3" t="s">
        <v>58</v>
      </c>
      <c r="G295" s="3" t="s">
        <v>2781</v>
      </c>
      <c r="H295" s="5" t="s">
        <v>2782</v>
      </c>
      <c r="I295" s="5" t="s">
        <v>2783</v>
      </c>
      <c r="J295" s="3" t="s">
        <v>2784</v>
      </c>
      <c r="K295" s="3">
        <v>8.630915684E9</v>
      </c>
      <c r="L295" s="16">
        <v>44450.5625</v>
      </c>
      <c r="M295" s="3"/>
      <c r="N295" s="3" t="str">
        <f>(B46)</f>
        <v>Shri Balaji Hero - Muzaffarnagar</v>
      </c>
      <c r="O295" s="3" t="str">
        <f>(A46)</f>
        <v>1qJGCYN0EdS2nWGXVYAHwXqSjiLE2C95anQkkbLONbKQ</v>
      </c>
      <c r="P295" s="3" t="s">
        <v>142</v>
      </c>
      <c r="Q295" s="8"/>
      <c r="R295" s="3" t="s">
        <v>2785</v>
      </c>
      <c r="S295" s="3" t="s">
        <v>2786</v>
      </c>
      <c r="T295" s="8" t="s">
        <v>83</v>
      </c>
      <c r="U295" s="8" t="s">
        <v>2787</v>
      </c>
      <c r="V295" s="8" t="s">
        <v>2784</v>
      </c>
      <c r="W295" s="8">
        <v>8.630915684E9</v>
      </c>
      <c r="X295" s="8" t="s">
        <v>2788</v>
      </c>
      <c r="Y295" s="8" t="s">
        <v>2784</v>
      </c>
      <c r="Z295" s="8">
        <v>9.53637794E9</v>
      </c>
      <c r="AA295" s="8" t="s">
        <v>2788</v>
      </c>
      <c r="AB295" s="8" t="s">
        <v>2784</v>
      </c>
      <c r="AC295" s="8">
        <v>9.53637784E9</v>
      </c>
      <c r="AD295" s="8" t="s">
        <v>2788</v>
      </c>
      <c r="AE295" s="8" t="s">
        <v>2784</v>
      </c>
      <c r="AF295" s="8">
        <v>9.53637794E9</v>
      </c>
      <c r="AG295" s="3"/>
      <c r="AH295" s="8"/>
      <c r="AI295" s="8"/>
      <c r="AJ295" s="8"/>
      <c r="AK295" s="8"/>
      <c r="AL295" s="8"/>
      <c r="AM295" s="8"/>
      <c r="AN295" s="8"/>
      <c r="AO295" s="8"/>
      <c r="AP295" s="8"/>
      <c r="AQ295" s="8"/>
      <c r="AR295" s="8"/>
      <c r="AS295" s="8"/>
      <c r="AT295" s="9"/>
      <c r="AU295" s="8" t="s">
        <v>85</v>
      </c>
      <c r="AV295" s="8"/>
      <c r="AW295" s="8"/>
      <c r="AX295" s="8"/>
      <c r="AY295" s="8"/>
      <c r="AZ295" s="8" t="s">
        <v>72</v>
      </c>
      <c r="BA295" s="20" t="s">
        <v>86</v>
      </c>
      <c r="BB295" s="20" t="s">
        <v>86</v>
      </c>
      <c r="BC295" s="8">
        <v>0.0</v>
      </c>
    </row>
    <row r="296">
      <c r="A296" s="3" t="s">
        <v>2789</v>
      </c>
      <c r="B296" s="3" t="s">
        <v>2790</v>
      </c>
      <c r="C296" s="3" t="s">
        <v>2791</v>
      </c>
      <c r="D296" s="3"/>
      <c r="E296" s="3">
        <v>100000.0</v>
      </c>
      <c r="F296" s="3" t="s">
        <v>58</v>
      </c>
      <c r="G296" s="3" t="s">
        <v>2792</v>
      </c>
      <c r="H296" s="5" t="s">
        <v>2793</v>
      </c>
      <c r="I296" s="5" t="s">
        <v>2794</v>
      </c>
      <c r="J296" s="3" t="s">
        <v>2795</v>
      </c>
      <c r="K296" s="3">
        <v>9.810434649E9</v>
      </c>
      <c r="L296" s="6" t="s">
        <v>2796</v>
      </c>
      <c r="M296" s="3"/>
      <c r="N296" s="3" t="str">
        <f>B296</f>
        <v>ARC HERO- MAHIPALPUR</v>
      </c>
      <c r="O296" s="3" t="str">
        <f>A296</f>
        <v>1050xuIkuCwbciPjL7NYnIQd49nor1NbjSoUBzXpeVrU</v>
      </c>
      <c r="P296" s="3" t="s">
        <v>64</v>
      </c>
      <c r="Q296" s="8"/>
      <c r="R296" s="3" t="s">
        <v>2797</v>
      </c>
      <c r="S296" s="3" t="s">
        <v>105</v>
      </c>
      <c r="T296" s="8" t="s">
        <v>106</v>
      </c>
      <c r="U296" s="8" t="s">
        <v>2798</v>
      </c>
      <c r="V296" s="8" t="s">
        <v>2795</v>
      </c>
      <c r="W296" s="8">
        <v>9.810434649E9</v>
      </c>
      <c r="X296" s="8" t="s">
        <v>2799</v>
      </c>
      <c r="Y296" s="8" t="s">
        <v>2795</v>
      </c>
      <c r="Z296" s="8">
        <v>8.826125481E9</v>
      </c>
      <c r="AA296" s="8" t="s">
        <v>2800</v>
      </c>
      <c r="AB296" s="8" t="s">
        <v>2795</v>
      </c>
      <c r="AC296" s="8">
        <v>8.826125481E9</v>
      </c>
      <c r="AD296" s="8" t="s">
        <v>2799</v>
      </c>
      <c r="AE296" s="8" t="s">
        <v>2795</v>
      </c>
      <c r="AF296" s="8">
        <v>8.826125481E9</v>
      </c>
      <c r="AG296" s="3"/>
      <c r="AH296" s="8"/>
      <c r="AI296" s="8"/>
      <c r="AJ296" s="8"/>
      <c r="AK296" s="8"/>
      <c r="AL296" s="8"/>
      <c r="AM296" s="8"/>
      <c r="AN296" s="8"/>
      <c r="AO296" s="8"/>
      <c r="AP296" s="8"/>
      <c r="AQ296" s="8"/>
      <c r="AR296" s="8"/>
      <c r="AS296" s="8"/>
      <c r="AT296" s="9" t="s">
        <v>2801</v>
      </c>
      <c r="AU296" s="8" t="s">
        <v>85</v>
      </c>
      <c r="AV296" s="8"/>
      <c r="AW296" s="8"/>
      <c r="AX296" s="8" t="s">
        <v>2802</v>
      </c>
      <c r="AY296" s="8" t="s">
        <v>2803</v>
      </c>
      <c r="AZ296" s="8" t="s">
        <v>86</v>
      </c>
      <c r="BA296" s="20" t="s">
        <v>86</v>
      </c>
      <c r="BB296" s="20" t="s">
        <v>72</v>
      </c>
      <c r="BC296" s="8">
        <v>0.0</v>
      </c>
    </row>
    <row r="297">
      <c r="A297" s="3" t="s">
        <v>2804</v>
      </c>
      <c r="B297" s="3" t="s">
        <v>2805</v>
      </c>
      <c r="C297" s="3" t="s">
        <v>2806</v>
      </c>
      <c r="D297" s="3"/>
      <c r="E297" s="3">
        <v>100000.0</v>
      </c>
      <c r="F297" s="3" t="s">
        <v>58</v>
      </c>
      <c r="G297" s="3" t="s">
        <v>2807</v>
      </c>
      <c r="H297" s="5" t="s">
        <v>2808</v>
      </c>
      <c r="I297" s="5" t="s">
        <v>2809</v>
      </c>
      <c r="J297" s="3" t="s">
        <v>2810</v>
      </c>
      <c r="K297" s="3">
        <v>9.810434649E9</v>
      </c>
      <c r="L297" s="6" t="s">
        <v>2811</v>
      </c>
      <c r="M297" s="3"/>
      <c r="N297" s="3" t="str">
        <f>(B296)</f>
        <v>ARC HERO- MAHIPALPUR</v>
      </c>
      <c r="O297" s="3" t="str">
        <f>(A296)</f>
        <v>1050xuIkuCwbciPjL7NYnIQd49nor1NbjSoUBzXpeVrU</v>
      </c>
      <c r="P297" s="3" t="s">
        <v>142</v>
      </c>
      <c r="Q297" s="8"/>
      <c r="R297" s="3" t="s">
        <v>2812</v>
      </c>
      <c r="S297" s="3" t="s">
        <v>106</v>
      </c>
      <c r="T297" s="8" t="s">
        <v>106</v>
      </c>
      <c r="U297" s="8" t="s">
        <v>2798</v>
      </c>
      <c r="V297" s="8" t="s">
        <v>2813</v>
      </c>
      <c r="W297" s="8">
        <v>9.810434649E9</v>
      </c>
      <c r="X297" s="8" t="s">
        <v>2814</v>
      </c>
      <c r="Y297" s="8" t="s">
        <v>2810</v>
      </c>
      <c r="Z297" s="8">
        <v>9.654258488E9</v>
      </c>
      <c r="AA297" s="8" t="s">
        <v>2814</v>
      </c>
      <c r="AB297" s="8" t="s">
        <v>2810</v>
      </c>
      <c r="AC297" s="8">
        <v>9.654258488E9</v>
      </c>
      <c r="AD297" s="8" t="s">
        <v>2815</v>
      </c>
      <c r="AE297" s="8" t="s">
        <v>2810</v>
      </c>
      <c r="AF297" s="8">
        <v>9.654258488E9</v>
      </c>
      <c r="AG297" s="3"/>
      <c r="AH297" s="8"/>
      <c r="AI297" s="8"/>
      <c r="AJ297" s="8"/>
      <c r="AK297" s="8"/>
      <c r="AL297" s="8"/>
      <c r="AM297" s="8"/>
      <c r="AN297" s="8"/>
      <c r="AO297" s="8"/>
      <c r="AP297" s="8"/>
      <c r="AQ297" s="8"/>
      <c r="AR297" s="8"/>
      <c r="AS297" s="8"/>
      <c r="AT297" s="9"/>
      <c r="AU297" s="8" t="s">
        <v>85</v>
      </c>
      <c r="AV297" s="8"/>
      <c r="AW297" s="8"/>
      <c r="AX297" s="8" t="s">
        <v>2816</v>
      </c>
      <c r="AY297" s="3" t="s">
        <v>2817</v>
      </c>
      <c r="AZ297" s="8" t="s">
        <v>86</v>
      </c>
      <c r="BA297" s="20" t="s">
        <v>86</v>
      </c>
      <c r="BB297" s="20" t="s">
        <v>72</v>
      </c>
      <c r="BC297" s="8">
        <v>0.0</v>
      </c>
    </row>
    <row r="298">
      <c r="A298" s="3" t="s">
        <v>2818</v>
      </c>
      <c r="B298" s="3" t="s">
        <v>2819</v>
      </c>
      <c r="C298" s="3" t="s">
        <v>2820</v>
      </c>
      <c r="D298" s="3"/>
      <c r="E298" s="3">
        <v>100000.0</v>
      </c>
      <c r="F298" s="3" t="s">
        <v>58</v>
      </c>
      <c r="G298" s="3" t="s">
        <v>2821</v>
      </c>
      <c r="H298" s="5" t="s">
        <v>2822</v>
      </c>
      <c r="I298" s="5" t="s">
        <v>2823</v>
      </c>
      <c r="J298" s="3" t="s">
        <v>2824</v>
      </c>
      <c r="K298" s="3">
        <v>9.810434649E9</v>
      </c>
      <c r="L298" s="6" t="s">
        <v>2825</v>
      </c>
      <c r="M298" s="3"/>
      <c r="N298" s="3" t="str">
        <f>(B296)</f>
        <v>ARC HERO- MAHIPALPUR</v>
      </c>
      <c r="O298" s="3" t="str">
        <f>(A296)</f>
        <v>1050xuIkuCwbciPjL7NYnIQd49nor1NbjSoUBzXpeVrU</v>
      </c>
      <c r="P298" s="3" t="s">
        <v>142</v>
      </c>
      <c r="Q298" s="8"/>
      <c r="R298" s="3" t="s">
        <v>2826</v>
      </c>
      <c r="S298" s="3" t="s">
        <v>106</v>
      </c>
      <c r="T298" s="8" t="s">
        <v>106</v>
      </c>
      <c r="U298" s="8" t="s">
        <v>2827</v>
      </c>
      <c r="V298" s="8" t="s">
        <v>2824</v>
      </c>
      <c r="W298" s="8">
        <v>9.810434649E9</v>
      </c>
      <c r="X298" s="8" t="s">
        <v>2828</v>
      </c>
      <c r="Y298" s="8" t="s">
        <v>2829</v>
      </c>
      <c r="Z298" s="8">
        <v>9.910175195E9</v>
      </c>
      <c r="AA298" s="8" t="s">
        <v>2828</v>
      </c>
      <c r="AB298" s="8" t="s">
        <v>2829</v>
      </c>
      <c r="AC298" s="8">
        <v>9.910175195E9</v>
      </c>
      <c r="AD298" s="8" t="s">
        <v>2828</v>
      </c>
      <c r="AE298" s="8" t="s">
        <v>2829</v>
      </c>
      <c r="AF298" s="8">
        <v>9.910175195E9</v>
      </c>
      <c r="AG298" s="3"/>
      <c r="AH298" s="8"/>
      <c r="AI298" s="8"/>
      <c r="AJ298" s="8"/>
      <c r="AK298" s="8"/>
      <c r="AL298" s="8"/>
      <c r="AM298" s="8"/>
      <c r="AN298" s="8"/>
      <c r="AO298" s="8"/>
      <c r="AP298" s="8"/>
      <c r="AQ298" s="8"/>
      <c r="AR298" s="8"/>
      <c r="AS298" s="8"/>
      <c r="AT298" s="9"/>
      <c r="AU298" s="8" t="s">
        <v>85</v>
      </c>
      <c r="AV298" s="8"/>
      <c r="AW298" s="8"/>
      <c r="AX298" s="8" t="s">
        <v>2830</v>
      </c>
      <c r="AY298" s="8" t="s">
        <v>2831</v>
      </c>
      <c r="AZ298" s="8" t="s">
        <v>86</v>
      </c>
      <c r="BA298" s="20" t="s">
        <v>86</v>
      </c>
      <c r="BB298" s="20" t="s">
        <v>72</v>
      </c>
      <c r="BC298" s="8">
        <v>0.0</v>
      </c>
    </row>
    <row r="299">
      <c r="A299" s="3" t="s">
        <v>2832</v>
      </c>
      <c r="B299" s="3" t="s">
        <v>2833</v>
      </c>
      <c r="C299" s="3" t="s">
        <v>2834</v>
      </c>
      <c r="D299" s="3"/>
      <c r="E299" s="3">
        <v>100000.0</v>
      </c>
      <c r="F299" s="3" t="s">
        <v>58</v>
      </c>
      <c r="G299" s="3" t="s">
        <v>2835</v>
      </c>
      <c r="H299" s="5" t="s">
        <v>2836</v>
      </c>
      <c r="I299" s="5" t="s">
        <v>2837</v>
      </c>
      <c r="J299" s="3" t="s">
        <v>2838</v>
      </c>
      <c r="K299" s="3">
        <v>9.593211264E9</v>
      </c>
      <c r="L299" s="6" t="s">
        <v>2839</v>
      </c>
      <c r="M299" s="3"/>
      <c r="N299" s="3" t="str">
        <f>(B175)</f>
        <v>MAHESH MOTORS - DINAJPUR</v>
      </c>
      <c r="O299" s="3" t="str">
        <f>(A175)</f>
        <v>1DVpSm5a7kKqZxFgDUdJBRIcgAuTZosRKDnkmPEIdEG4</v>
      </c>
      <c r="P299" s="3" t="s">
        <v>142</v>
      </c>
      <c r="Q299" s="8"/>
      <c r="R299" s="3" t="s">
        <v>1615</v>
      </c>
      <c r="S299" s="3" t="s">
        <v>1615</v>
      </c>
      <c r="T299" s="8" t="s">
        <v>1616</v>
      </c>
      <c r="U299" s="8" t="s">
        <v>2840</v>
      </c>
      <c r="V299" s="8" t="s">
        <v>1613</v>
      </c>
      <c r="W299" s="8">
        <v>9.593211264E9</v>
      </c>
      <c r="X299" s="8" t="s">
        <v>2840</v>
      </c>
      <c r="Y299" s="8" t="s">
        <v>1613</v>
      </c>
      <c r="Z299" s="8">
        <v>9.593211264E9</v>
      </c>
      <c r="AA299" s="8" t="s">
        <v>2840</v>
      </c>
      <c r="AB299" s="8" t="s">
        <v>1613</v>
      </c>
      <c r="AC299" s="8">
        <v>9.593211264E9</v>
      </c>
      <c r="AD299" s="8" t="s">
        <v>2840</v>
      </c>
      <c r="AE299" s="8" t="s">
        <v>1613</v>
      </c>
      <c r="AF299" s="8">
        <v>9.593211264E9</v>
      </c>
      <c r="AG299" s="3"/>
      <c r="AH299" s="8"/>
      <c r="AI299" s="8"/>
      <c r="AJ299" s="8"/>
      <c r="AK299" s="8"/>
      <c r="AL299" s="8"/>
      <c r="AM299" s="8"/>
      <c r="AN299" s="8"/>
      <c r="AO299" s="8"/>
      <c r="AP299" s="8"/>
      <c r="AQ299" s="8"/>
      <c r="AR299" s="8"/>
      <c r="AS299" s="8"/>
      <c r="AT299" s="9"/>
      <c r="AU299" s="8" t="s">
        <v>85</v>
      </c>
      <c r="AV299" s="8"/>
      <c r="AW299" s="8"/>
      <c r="AX299" s="8"/>
      <c r="AY299" s="8"/>
      <c r="AZ299" s="8" t="s">
        <v>86</v>
      </c>
      <c r="BA299" s="20" t="s">
        <v>86</v>
      </c>
      <c r="BB299" s="20" t="s">
        <v>86</v>
      </c>
      <c r="BC299" s="8">
        <v>0.0</v>
      </c>
    </row>
    <row r="300">
      <c r="A300" s="3" t="s">
        <v>2841</v>
      </c>
      <c r="B300" s="3" t="s">
        <v>2842</v>
      </c>
      <c r="C300" s="3" t="s">
        <v>2843</v>
      </c>
      <c r="D300" s="3"/>
      <c r="E300" s="3">
        <v>100000.0</v>
      </c>
      <c r="F300" s="3" t="s">
        <v>58</v>
      </c>
      <c r="G300" s="3" t="s">
        <v>2844</v>
      </c>
      <c r="H300" s="5" t="s">
        <v>2845</v>
      </c>
      <c r="I300" s="5" t="s">
        <v>2846</v>
      </c>
      <c r="J300" s="3" t="s">
        <v>2847</v>
      </c>
      <c r="K300" s="3">
        <v>8.65023606E9</v>
      </c>
      <c r="L300" s="6" t="s">
        <v>2848</v>
      </c>
      <c r="M300" s="3"/>
      <c r="N300" s="3" t="str">
        <f>(B7)</f>
        <v>Vikas Autowheels</v>
      </c>
      <c r="O300" s="3" t="str">
        <f>(A7)</f>
        <v>1944RLX7T1M23YXRXYoMnJ6nD_bKLldQXRpFRA0rDLvg</v>
      </c>
      <c r="P300" s="3" t="s">
        <v>142</v>
      </c>
      <c r="Q300" s="8"/>
      <c r="R300" s="3" t="s">
        <v>1688</v>
      </c>
      <c r="S300" s="3" t="s">
        <v>1688</v>
      </c>
      <c r="T300" s="8" t="s">
        <v>83</v>
      </c>
      <c r="U300" s="8" t="s">
        <v>2849</v>
      </c>
      <c r="V300" s="8" t="s">
        <v>2847</v>
      </c>
      <c r="W300" s="8">
        <v>8.65023606E9</v>
      </c>
      <c r="X300" s="8" t="s">
        <v>2422</v>
      </c>
      <c r="Y300" s="8" t="s">
        <v>2847</v>
      </c>
      <c r="Z300" s="8">
        <v>9.997071471E9</v>
      </c>
      <c r="AA300" s="8" t="s">
        <v>2422</v>
      </c>
      <c r="AB300" s="8" t="s">
        <v>2847</v>
      </c>
      <c r="AC300" s="8">
        <v>9.997071471E9</v>
      </c>
      <c r="AD300" s="8" t="s">
        <v>2422</v>
      </c>
      <c r="AE300" s="8" t="s">
        <v>2847</v>
      </c>
      <c r="AF300" s="8">
        <v>9.997071471E9</v>
      </c>
      <c r="AG300" s="3"/>
      <c r="AH300" s="8"/>
      <c r="AI300" s="8"/>
      <c r="AJ300" s="8"/>
      <c r="AK300" s="8"/>
      <c r="AL300" s="8"/>
      <c r="AM300" s="8"/>
      <c r="AN300" s="8"/>
      <c r="AO300" s="8"/>
      <c r="AP300" s="8"/>
      <c r="AQ300" s="8"/>
      <c r="AR300" s="8"/>
      <c r="AS300" s="8"/>
      <c r="AT300" s="9"/>
      <c r="AU300" s="8" t="s">
        <v>85</v>
      </c>
      <c r="AV300" s="8"/>
      <c r="AW300" s="8"/>
      <c r="AX300" s="8"/>
      <c r="AY300" s="8"/>
      <c r="AZ300" s="8" t="s">
        <v>72</v>
      </c>
      <c r="BA300" s="20" t="s">
        <v>86</v>
      </c>
      <c r="BB300" s="20" t="s">
        <v>86</v>
      </c>
      <c r="BC300" s="8">
        <v>0.0</v>
      </c>
    </row>
    <row r="301">
      <c r="A301" s="3" t="s">
        <v>2850</v>
      </c>
      <c r="B301" s="3" t="s">
        <v>2851</v>
      </c>
      <c r="C301" s="3" t="s">
        <v>2852</v>
      </c>
      <c r="D301" s="3"/>
      <c r="E301" s="3">
        <v>100000.0</v>
      </c>
      <c r="F301" s="3" t="s">
        <v>58</v>
      </c>
      <c r="G301" s="3" t="s">
        <v>2853</v>
      </c>
      <c r="H301" s="5" t="s">
        <v>2854</v>
      </c>
      <c r="I301" s="5" t="s">
        <v>2855</v>
      </c>
      <c r="J301" s="3" t="s">
        <v>2856</v>
      </c>
      <c r="K301" s="3">
        <v>9.811029448E9</v>
      </c>
      <c r="L301" s="6" t="s">
        <v>2857</v>
      </c>
      <c r="M301" s="3"/>
      <c r="N301" s="3" t="str">
        <f>B301</f>
        <v>PASHUPATI HERO - ADCHINI</v>
      </c>
      <c r="O301" s="3" t="str">
        <f>A301</f>
        <v>1AN8rkD7i89vzJPwM9ksH3k-2XvTRN_Wg3aS0QeJ0a2I</v>
      </c>
      <c r="P301" s="3" t="s">
        <v>64</v>
      </c>
      <c r="Q301" s="8"/>
      <c r="R301" s="3" t="s">
        <v>106</v>
      </c>
      <c r="S301" s="3" t="s">
        <v>106</v>
      </c>
      <c r="T301" s="8" t="s">
        <v>106</v>
      </c>
      <c r="U301" s="8" t="s">
        <v>2858</v>
      </c>
      <c r="V301" s="8" t="s">
        <v>2856</v>
      </c>
      <c r="W301" s="8">
        <v>9.811029448E9</v>
      </c>
      <c r="X301" s="8" t="s">
        <v>2859</v>
      </c>
      <c r="Y301" s="8" t="s">
        <v>2856</v>
      </c>
      <c r="Z301" s="8">
        <v>8.8003677E9</v>
      </c>
      <c r="AA301" s="8" t="s">
        <v>2859</v>
      </c>
      <c r="AB301" s="8" t="s">
        <v>2856</v>
      </c>
      <c r="AC301" s="8">
        <v>8.8003677E9</v>
      </c>
      <c r="AD301" s="8" t="s">
        <v>2860</v>
      </c>
      <c r="AE301" s="8" t="s">
        <v>2149</v>
      </c>
      <c r="AF301" s="8">
        <v>9.971309071E9</v>
      </c>
      <c r="AG301" s="3" t="s">
        <v>2861</v>
      </c>
      <c r="AH301" s="8" t="s">
        <v>2862</v>
      </c>
      <c r="AI301" s="8" t="s">
        <v>2863</v>
      </c>
      <c r="AJ301" s="8">
        <v>4.0540742799E10</v>
      </c>
      <c r="AK301" s="8" t="s">
        <v>2864</v>
      </c>
      <c r="AL301" s="8" t="s">
        <v>2865</v>
      </c>
      <c r="AM301" s="8"/>
      <c r="AN301" s="8"/>
      <c r="AO301" s="8"/>
      <c r="AP301" s="8"/>
      <c r="AQ301" s="8"/>
      <c r="AR301" s="8"/>
      <c r="AS301" s="8"/>
      <c r="AT301" s="9" t="s">
        <v>2866</v>
      </c>
      <c r="AU301" s="8" t="s">
        <v>85</v>
      </c>
      <c r="AV301" s="8"/>
      <c r="AW301" s="8"/>
      <c r="AX301" s="8" t="s">
        <v>2867</v>
      </c>
      <c r="AY301" s="8" t="s">
        <v>2868</v>
      </c>
      <c r="AZ301" s="8" t="s">
        <v>86</v>
      </c>
      <c r="BA301" s="20" t="s">
        <v>86</v>
      </c>
      <c r="BB301" s="20" t="s">
        <v>72</v>
      </c>
      <c r="BC301" s="8">
        <v>0.0</v>
      </c>
    </row>
    <row r="302">
      <c r="A302" s="3" t="s">
        <v>2869</v>
      </c>
      <c r="B302" s="3" t="s">
        <v>2870</v>
      </c>
      <c r="C302" s="3" t="s">
        <v>2871</v>
      </c>
      <c r="D302" s="3"/>
      <c r="E302" s="3">
        <v>100000.0</v>
      </c>
      <c r="F302" s="3" t="s">
        <v>58</v>
      </c>
      <c r="G302" s="3" t="s">
        <v>2872</v>
      </c>
      <c r="H302" s="5" t="s">
        <v>2873</v>
      </c>
      <c r="I302" s="5" t="s">
        <v>2874</v>
      </c>
      <c r="J302" s="3" t="s">
        <v>2875</v>
      </c>
      <c r="K302" s="3">
        <v>8.799733499E9</v>
      </c>
      <c r="L302" s="16">
        <v>44239.731944444444</v>
      </c>
      <c r="M302" s="3"/>
      <c r="N302" s="3" t="str">
        <f>(B301)</f>
        <v>PASHUPATI HERO - ADCHINI</v>
      </c>
      <c r="O302" s="3" t="str">
        <f>(A301)</f>
        <v>1AN8rkD7i89vzJPwM9ksH3k-2XvTRN_Wg3aS0QeJ0a2I</v>
      </c>
      <c r="P302" s="3" t="s">
        <v>142</v>
      </c>
      <c r="Q302" s="8"/>
      <c r="R302" s="3" t="s">
        <v>106</v>
      </c>
      <c r="S302" s="3" t="s">
        <v>106</v>
      </c>
      <c r="T302" s="8" t="s">
        <v>106</v>
      </c>
      <c r="U302" s="8" t="s">
        <v>2876</v>
      </c>
      <c r="V302" s="8" t="s">
        <v>2856</v>
      </c>
      <c r="W302" s="8">
        <v>9.811029448E9</v>
      </c>
      <c r="X302" s="8" t="s">
        <v>2877</v>
      </c>
      <c r="Y302" s="8" t="s">
        <v>2856</v>
      </c>
      <c r="Z302" s="8">
        <v>9.811029448E9</v>
      </c>
      <c r="AA302" s="8" t="s">
        <v>2641</v>
      </c>
      <c r="AB302" s="8" t="s">
        <v>2856</v>
      </c>
      <c r="AC302" s="8">
        <v>8.076085956E9</v>
      </c>
      <c r="AD302" s="8" t="s">
        <v>2878</v>
      </c>
      <c r="AE302" s="8" t="s">
        <v>2875</v>
      </c>
      <c r="AF302" s="8">
        <v>7.982140752E9</v>
      </c>
      <c r="AG302" s="3"/>
      <c r="AH302" s="8"/>
      <c r="AI302" s="8"/>
      <c r="AJ302" s="8"/>
      <c r="AK302" s="8"/>
      <c r="AL302" s="8"/>
      <c r="AM302" s="8"/>
      <c r="AN302" s="8"/>
      <c r="AO302" s="8"/>
      <c r="AP302" s="8"/>
      <c r="AQ302" s="8"/>
      <c r="AR302" s="8"/>
      <c r="AS302" s="8"/>
      <c r="AT302" s="9"/>
      <c r="AU302" s="8" t="s">
        <v>85</v>
      </c>
      <c r="AV302" s="8"/>
      <c r="AW302" s="8"/>
      <c r="AX302" s="8" t="s">
        <v>2879</v>
      </c>
      <c r="AY302" s="8" t="s">
        <v>2880</v>
      </c>
      <c r="AZ302" s="8" t="s">
        <v>86</v>
      </c>
      <c r="BA302" s="20" t="s">
        <v>86</v>
      </c>
      <c r="BB302" s="20" t="s">
        <v>72</v>
      </c>
      <c r="BC302" s="8">
        <v>0.0</v>
      </c>
    </row>
    <row r="303">
      <c r="A303" s="3" t="s">
        <v>2881</v>
      </c>
      <c r="B303" s="3" t="s">
        <v>2882</v>
      </c>
      <c r="C303" s="3" t="s">
        <v>2883</v>
      </c>
      <c r="D303" s="3"/>
      <c r="E303" s="3">
        <v>100000.0</v>
      </c>
      <c r="F303" s="3" t="s">
        <v>58</v>
      </c>
      <c r="G303" s="3" t="s">
        <v>2884</v>
      </c>
      <c r="H303" s="5" t="s">
        <v>2885</v>
      </c>
      <c r="I303" s="5" t="s">
        <v>2886</v>
      </c>
      <c r="J303" s="3" t="s">
        <v>2887</v>
      </c>
      <c r="K303" s="3">
        <v>9.867740778E9</v>
      </c>
      <c r="L303" s="16">
        <v>44239.76111111111</v>
      </c>
      <c r="M303" s="3"/>
      <c r="N303" s="3" t="str">
        <f>B303</f>
        <v>ETGO MOTORS - NOIDA</v>
      </c>
      <c r="O303" s="3" t="str">
        <f>A303</f>
        <v>1L4bmBANLoZzaH3L_g0lUkCl9uqLxMUm5AXoNn34pTXE</v>
      </c>
      <c r="P303" s="3" t="s">
        <v>64</v>
      </c>
      <c r="Q303" s="8"/>
      <c r="R303" s="3" t="s">
        <v>378</v>
      </c>
      <c r="S303" s="3" t="s">
        <v>378</v>
      </c>
      <c r="T303" s="8" t="s">
        <v>83</v>
      </c>
      <c r="U303" s="8" t="s">
        <v>2888</v>
      </c>
      <c r="V303" s="8" t="s">
        <v>2887</v>
      </c>
      <c r="W303" s="8">
        <v>9.867740778E9</v>
      </c>
      <c r="X303" s="8" t="s">
        <v>2888</v>
      </c>
      <c r="Y303" s="8" t="s">
        <v>2887</v>
      </c>
      <c r="Z303" s="8">
        <v>9.867740778E9</v>
      </c>
      <c r="AA303" s="8" t="s">
        <v>2889</v>
      </c>
      <c r="AB303" s="8" t="s">
        <v>2887</v>
      </c>
      <c r="AC303" s="8">
        <v>9.867740778E9</v>
      </c>
      <c r="AD303" s="8" t="s">
        <v>2889</v>
      </c>
      <c r="AE303" s="8" t="s">
        <v>2887</v>
      </c>
      <c r="AF303" s="8">
        <v>9.867740778E9</v>
      </c>
      <c r="AG303" s="3" t="s">
        <v>2890</v>
      </c>
      <c r="AH303" s="8" t="s">
        <v>2891</v>
      </c>
      <c r="AI303" s="8" t="s">
        <v>2892</v>
      </c>
      <c r="AJ303" s="8">
        <v>1.0066084888E10</v>
      </c>
      <c r="AK303" s="8" t="s">
        <v>2893</v>
      </c>
      <c r="AL303" s="8" t="s">
        <v>2894</v>
      </c>
      <c r="AM303" s="8"/>
      <c r="AN303" s="8"/>
      <c r="AO303" s="8"/>
      <c r="AP303" s="8"/>
      <c r="AQ303" s="8"/>
      <c r="AR303" s="8"/>
      <c r="AS303" s="8"/>
      <c r="AT303" s="9" t="s">
        <v>2895</v>
      </c>
      <c r="AU303" s="8" t="s">
        <v>85</v>
      </c>
      <c r="AV303" s="8"/>
      <c r="AW303" s="8"/>
      <c r="AX303" s="8"/>
      <c r="AY303" s="8"/>
      <c r="AZ303" s="8" t="s">
        <v>86</v>
      </c>
      <c r="BA303" s="20" t="s">
        <v>86</v>
      </c>
      <c r="BB303" s="20" t="s">
        <v>86</v>
      </c>
      <c r="BC303" s="8">
        <v>0.0</v>
      </c>
    </row>
    <row r="304">
      <c r="A304" s="3" t="s">
        <v>2896</v>
      </c>
      <c r="B304" s="3" t="s">
        <v>2897</v>
      </c>
      <c r="C304" s="3" t="s">
        <v>2898</v>
      </c>
      <c r="D304" s="3"/>
      <c r="E304" s="3">
        <v>100000.0</v>
      </c>
      <c r="F304" s="3" t="s">
        <v>58</v>
      </c>
      <c r="G304" s="3" t="s">
        <v>2899</v>
      </c>
      <c r="H304" s="5" t="s">
        <v>2900</v>
      </c>
      <c r="I304" s="5" t="s">
        <v>2901</v>
      </c>
      <c r="J304" s="3" t="s">
        <v>2902</v>
      </c>
      <c r="K304" s="3">
        <v>9.911415682E9</v>
      </c>
      <c r="L304" s="6" t="s">
        <v>2903</v>
      </c>
      <c r="M304" s="3"/>
      <c r="N304" s="3" t="str">
        <f>(B55)</f>
        <v>Krishna Hero - Bulandshahr</v>
      </c>
      <c r="O304" s="3" t="str">
        <f>(A55)</f>
        <v>1mX_ZCiMgVCd3AONQ2zBbbc9wQ6Mlj2RvmkSWdpWht-8</v>
      </c>
      <c r="P304" s="3" t="s">
        <v>142</v>
      </c>
      <c r="Q304" s="8" t="s">
        <v>65</v>
      </c>
      <c r="R304" s="3" t="s">
        <v>2904</v>
      </c>
      <c r="S304" s="3" t="s">
        <v>2904</v>
      </c>
      <c r="T304" s="8" t="s">
        <v>83</v>
      </c>
      <c r="U304" s="8" t="s">
        <v>2905</v>
      </c>
      <c r="V304" s="8" t="s">
        <v>2902</v>
      </c>
      <c r="W304" s="8">
        <v>9.911415682E9</v>
      </c>
      <c r="X304" s="8" t="s">
        <v>2906</v>
      </c>
      <c r="Y304" s="8" t="s">
        <v>2902</v>
      </c>
      <c r="Z304" s="8">
        <v>9.012840764E9</v>
      </c>
      <c r="AA304" s="8" t="s">
        <v>2906</v>
      </c>
      <c r="AB304" s="8" t="s">
        <v>2902</v>
      </c>
      <c r="AC304" s="8">
        <v>9.012840764E9</v>
      </c>
      <c r="AD304" s="8" t="s">
        <v>2906</v>
      </c>
      <c r="AE304" s="8" t="s">
        <v>2902</v>
      </c>
      <c r="AF304" s="8">
        <v>9.012840764E9</v>
      </c>
      <c r="AG304" s="3"/>
      <c r="AH304" s="8"/>
      <c r="AI304" s="8"/>
      <c r="AJ304" s="8"/>
      <c r="AK304" s="8"/>
      <c r="AL304" s="8"/>
      <c r="AM304" s="8"/>
      <c r="AN304" s="8"/>
      <c r="AO304" s="8"/>
      <c r="AP304" s="8"/>
      <c r="AQ304" s="8"/>
      <c r="AR304" s="8"/>
      <c r="AS304" s="8"/>
      <c r="AT304" s="9"/>
      <c r="AU304" s="8" t="s">
        <v>85</v>
      </c>
      <c r="AV304" s="8"/>
      <c r="AW304" s="8"/>
      <c r="AX304" s="8"/>
      <c r="AY304" s="8"/>
      <c r="AZ304" s="8" t="s">
        <v>72</v>
      </c>
      <c r="BA304" s="20" t="s">
        <v>86</v>
      </c>
      <c r="BB304" s="20" t="s">
        <v>86</v>
      </c>
      <c r="BC304" s="8">
        <v>0.0</v>
      </c>
    </row>
    <row r="305">
      <c r="A305" s="3" t="s">
        <v>2907</v>
      </c>
      <c r="B305" s="3" t="s">
        <v>2908</v>
      </c>
      <c r="C305" s="3" t="s">
        <v>2909</v>
      </c>
      <c r="D305" s="3"/>
      <c r="E305" s="3">
        <v>100000.0</v>
      </c>
      <c r="F305" s="3" t="s">
        <v>58</v>
      </c>
      <c r="G305" s="3" t="s">
        <v>2910</v>
      </c>
      <c r="H305" s="5" t="s">
        <v>2911</v>
      </c>
      <c r="I305" s="5" t="s">
        <v>2912</v>
      </c>
      <c r="J305" s="3" t="s">
        <v>2913</v>
      </c>
      <c r="K305" s="3">
        <v>9.759100018E9</v>
      </c>
      <c r="L305" s="6" t="s">
        <v>2914</v>
      </c>
      <c r="M305" s="3"/>
      <c r="N305" s="3" t="str">
        <f t="shared" ref="N305:N307" si="51">B305</f>
        <v>JAI DURGA AUTOMOBILES - LAL KUAN</v>
      </c>
      <c r="O305" s="3" t="str">
        <f t="shared" ref="O305:O307" si="52">A305</f>
        <v>1rxceCPc4ChTPFerx6ZXVu45MWGLeEOukTie7Dj7H2lI</v>
      </c>
      <c r="P305" s="3" t="s">
        <v>64</v>
      </c>
      <c r="Q305" s="8"/>
      <c r="R305" s="3" t="s">
        <v>2915</v>
      </c>
      <c r="S305" s="3" t="s">
        <v>2915</v>
      </c>
      <c r="T305" s="8" t="s">
        <v>1540</v>
      </c>
      <c r="U305" s="8" t="s">
        <v>2916</v>
      </c>
      <c r="V305" s="8" t="s">
        <v>2913</v>
      </c>
      <c r="W305" s="8">
        <v>9.759100018E9</v>
      </c>
      <c r="X305" s="8" t="s">
        <v>2917</v>
      </c>
      <c r="Y305" s="8" t="s">
        <v>2913</v>
      </c>
      <c r="Z305" s="8">
        <v>9.759100018E9</v>
      </c>
      <c r="AA305" s="8" t="s">
        <v>730</v>
      </c>
      <c r="AB305" s="8" t="s">
        <v>2913</v>
      </c>
      <c r="AC305" s="8">
        <v>9.759100018E9</v>
      </c>
      <c r="AD305" s="8" t="s">
        <v>730</v>
      </c>
      <c r="AE305" s="8" t="s">
        <v>2913</v>
      </c>
      <c r="AF305" s="8">
        <v>9.759100018E9</v>
      </c>
      <c r="AG305" s="3" t="s">
        <v>2918</v>
      </c>
      <c r="AH305" s="8" t="s">
        <v>2919</v>
      </c>
      <c r="AI305" s="8" t="s">
        <v>2920</v>
      </c>
      <c r="AJ305" s="8" t="s">
        <v>2921</v>
      </c>
      <c r="AK305" s="8" t="s">
        <v>2922</v>
      </c>
      <c r="AL305" s="8" t="s">
        <v>2923</v>
      </c>
      <c r="AM305" s="8"/>
      <c r="AN305" s="8"/>
      <c r="AO305" s="8"/>
      <c r="AP305" s="8"/>
      <c r="AQ305" s="8"/>
      <c r="AR305" s="8"/>
      <c r="AS305" s="8"/>
      <c r="AT305" s="9" t="s">
        <v>2924</v>
      </c>
      <c r="AU305" s="8" t="s">
        <v>85</v>
      </c>
      <c r="AV305" s="8"/>
      <c r="AW305" s="8"/>
      <c r="AX305" s="8"/>
      <c r="AY305" s="8"/>
      <c r="AZ305" s="8" t="s">
        <v>86</v>
      </c>
      <c r="BA305" s="20" t="s">
        <v>86</v>
      </c>
      <c r="BB305" s="20" t="s">
        <v>86</v>
      </c>
      <c r="BC305" s="8">
        <v>0.0</v>
      </c>
    </row>
    <row r="306">
      <c r="A306" s="3" t="s">
        <v>2925</v>
      </c>
      <c r="B306" s="3" t="s">
        <v>2926</v>
      </c>
      <c r="C306" s="3" t="s">
        <v>2927</v>
      </c>
      <c r="D306" s="3"/>
      <c r="E306" s="3">
        <v>100000.0</v>
      </c>
      <c r="F306" s="3" t="s">
        <v>58</v>
      </c>
      <c r="G306" s="3" t="s">
        <v>2928</v>
      </c>
      <c r="H306" s="5" t="s">
        <v>2929</v>
      </c>
      <c r="I306" s="5" t="s">
        <v>2930</v>
      </c>
      <c r="J306" s="3" t="s">
        <v>2931</v>
      </c>
      <c r="K306" s="3">
        <v>9.199608188E9</v>
      </c>
      <c r="L306" s="6" t="s">
        <v>2932</v>
      </c>
      <c r="M306" s="3"/>
      <c r="N306" s="3" t="str">
        <f t="shared" si="51"/>
        <v>RAINBOW AUTOMOBILES - VAISHALI BIHAR</v>
      </c>
      <c r="O306" s="3" t="str">
        <f t="shared" si="52"/>
        <v>1LVNRMyRyFnfxu6UwLDnFcaHRPwib_izj4XjkxL7ErVk</v>
      </c>
      <c r="P306" s="3" t="s">
        <v>64</v>
      </c>
      <c r="Q306" s="8"/>
      <c r="R306" s="3" t="s">
        <v>2933</v>
      </c>
      <c r="S306" s="3" t="s">
        <v>2933</v>
      </c>
      <c r="T306" s="8" t="s">
        <v>1308</v>
      </c>
      <c r="U306" s="8" t="s">
        <v>2934</v>
      </c>
      <c r="V306" s="8" t="s">
        <v>2931</v>
      </c>
      <c r="W306" s="8">
        <v>9.199608188E9</v>
      </c>
      <c r="X306" s="8" t="s">
        <v>2935</v>
      </c>
      <c r="Y306" s="8" t="s">
        <v>2931</v>
      </c>
      <c r="Z306" s="8">
        <v>9.199608188E9</v>
      </c>
      <c r="AA306" s="8" t="s">
        <v>2936</v>
      </c>
      <c r="AB306" s="8" t="s">
        <v>2931</v>
      </c>
      <c r="AC306" s="8">
        <v>9.199608188E9</v>
      </c>
      <c r="AD306" s="8" t="s">
        <v>2936</v>
      </c>
      <c r="AE306" s="8" t="s">
        <v>2931</v>
      </c>
      <c r="AF306" s="8">
        <v>9.199608188E9</v>
      </c>
      <c r="AG306" s="3" t="s">
        <v>2937</v>
      </c>
      <c r="AH306" s="8" t="s">
        <v>2938</v>
      </c>
      <c r="AI306" s="8" t="s">
        <v>2939</v>
      </c>
      <c r="AJ306" s="8">
        <v>3.785927869E9</v>
      </c>
      <c r="AK306" s="8" t="s">
        <v>2940</v>
      </c>
      <c r="AL306" s="8" t="s">
        <v>2941</v>
      </c>
      <c r="AM306" s="8"/>
      <c r="AN306" s="8"/>
      <c r="AO306" s="8"/>
      <c r="AP306" s="8"/>
      <c r="AQ306" s="8"/>
      <c r="AR306" s="8"/>
      <c r="AS306" s="8"/>
      <c r="AT306" s="9" t="s">
        <v>2942</v>
      </c>
      <c r="AU306" s="8" t="s">
        <v>85</v>
      </c>
      <c r="AV306" s="8"/>
      <c r="AW306" s="8"/>
      <c r="AX306" s="8" t="s">
        <v>2943</v>
      </c>
      <c r="AY306" s="8" t="s">
        <v>2944</v>
      </c>
      <c r="AZ306" s="8" t="s">
        <v>86</v>
      </c>
      <c r="BA306" s="20" t="s">
        <v>86</v>
      </c>
      <c r="BB306" s="20" t="s">
        <v>72</v>
      </c>
      <c r="BC306" s="8">
        <v>0.0</v>
      </c>
    </row>
    <row r="307">
      <c r="A307" s="3" t="s">
        <v>2945</v>
      </c>
      <c r="B307" s="3" t="s">
        <v>2946</v>
      </c>
      <c r="C307" s="3" t="s">
        <v>2947</v>
      </c>
      <c r="D307" s="3"/>
      <c r="E307" s="3">
        <v>100000.0</v>
      </c>
      <c r="F307" s="3" t="s">
        <v>58</v>
      </c>
      <c r="G307" s="3" t="s">
        <v>2948</v>
      </c>
      <c r="H307" s="5" t="s">
        <v>2949</v>
      </c>
      <c r="I307" s="5" t="s">
        <v>2950</v>
      </c>
      <c r="J307" s="3" t="s">
        <v>2951</v>
      </c>
      <c r="K307" s="3">
        <v>7.417531E9</v>
      </c>
      <c r="L307" s="6" t="s">
        <v>2952</v>
      </c>
      <c r="M307" s="3"/>
      <c r="N307" s="3" t="str">
        <f t="shared" si="51"/>
        <v>Sunil Ji Honda - Firozabad</v>
      </c>
      <c r="O307" s="3" t="str">
        <f t="shared" si="52"/>
        <v>1QcwlmexfHIgCbHqzkOQkbRw_BUu-91jWceUcx2050FE</v>
      </c>
      <c r="P307" s="3" t="s">
        <v>64</v>
      </c>
      <c r="Q307" s="8"/>
      <c r="R307" s="3" t="s">
        <v>1125</v>
      </c>
      <c r="S307" s="3" t="s">
        <v>1125</v>
      </c>
      <c r="T307" s="8" t="s">
        <v>83</v>
      </c>
      <c r="U307" s="8" t="s">
        <v>2953</v>
      </c>
      <c r="V307" s="8" t="s">
        <v>2951</v>
      </c>
      <c r="W307" s="8">
        <v>7.417531E9</v>
      </c>
      <c r="X307" s="8" t="s">
        <v>2954</v>
      </c>
      <c r="Y307" s="8" t="s">
        <v>2951</v>
      </c>
      <c r="Z307" s="8">
        <v>7.417531E9</v>
      </c>
      <c r="AA307" s="8" t="s">
        <v>2954</v>
      </c>
      <c r="AB307" s="8" t="s">
        <v>2951</v>
      </c>
      <c r="AC307" s="8">
        <v>7.417531E9</v>
      </c>
      <c r="AD307" s="8" t="s">
        <v>2954</v>
      </c>
      <c r="AE307" s="8" t="s">
        <v>2951</v>
      </c>
      <c r="AF307" s="8">
        <v>7.417531E9</v>
      </c>
      <c r="AG307" s="3"/>
      <c r="AH307" s="8" t="s">
        <v>2955</v>
      </c>
      <c r="AI307" s="8"/>
      <c r="AJ307" s="8"/>
      <c r="AK307" s="8"/>
      <c r="AL307" s="8"/>
      <c r="AM307" s="8"/>
      <c r="AN307" s="8"/>
      <c r="AO307" s="8"/>
      <c r="AP307" s="8"/>
      <c r="AQ307" s="8"/>
      <c r="AR307" s="8"/>
      <c r="AS307" s="8"/>
      <c r="AT307" s="9" t="s">
        <v>2956</v>
      </c>
      <c r="AU307" s="8" t="s">
        <v>85</v>
      </c>
      <c r="AV307" s="8"/>
      <c r="AW307" s="8"/>
      <c r="AX307" s="8"/>
      <c r="AY307" s="8"/>
      <c r="AZ307" s="8" t="s">
        <v>86</v>
      </c>
      <c r="BA307" s="20" t="s">
        <v>86</v>
      </c>
      <c r="BB307" s="20" t="s">
        <v>86</v>
      </c>
      <c r="BC307" s="8">
        <v>0.0</v>
      </c>
    </row>
    <row r="308">
      <c r="A308" s="3" t="s">
        <v>2957</v>
      </c>
      <c r="B308" s="3" t="s">
        <v>2958</v>
      </c>
      <c r="C308" s="3" t="s">
        <v>2959</v>
      </c>
      <c r="D308" s="3"/>
      <c r="E308" s="3">
        <v>100000.0</v>
      </c>
      <c r="F308" s="3" t="s">
        <v>58</v>
      </c>
      <c r="G308" s="3" t="s">
        <v>2960</v>
      </c>
      <c r="H308" s="5" t="s">
        <v>2961</v>
      </c>
      <c r="I308" s="5" t="s">
        <v>2962</v>
      </c>
      <c r="J308" s="3" t="s">
        <v>2963</v>
      </c>
      <c r="K308" s="3">
        <v>9.759100018E9</v>
      </c>
      <c r="L308" s="16">
        <v>44743.65972222222</v>
      </c>
      <c r="M308" s="3"/>
      <c r="N308" s="3" t="str">
        <f>(B305)</f>
        <v>JAI DURGA AUTOMOBILES - LAL KUAN</v>
      </c>
      <c r="O308" s="3" t="str">
        <f>(A305)</f>
        <v>1rxceCPc4ChTPFerx6ZXVu45MWGLeEOukTie7Dj7H2lI</v>
      </c>
      <c r="P308" s="3" t="s">
        <v>142</v>
      </c>
      <c r="Q308" s="8"/>
      <c r="R308" s="3" t="s">
        <v>2964</v>
      </c>
      <c r="S308" s="3" t="s">
        <v>2964</v>
      </c>
      <c r="T308" s="8" t="s">
        <v>1540</v>
      </c>
      <c r="U308" s="8" t="s">
        <v>2916</v>
      </c>
      <c r="V308" s="8" t="s">
        <v>2963</v>
      </c>
      <c r="W308" s="8">
        <v>9.759100018E9</v>
      </c>
      <c r="X308" s="8" t="s">
        <v>2917</v>
      </c>
      <c r="Y308" s="8" t="s">
        <v>2963</v>
      </c>
      <c r="Z308" s="8">
        <v>9.759100018E9</v>
      </c>
      <c r="AA308" s="8" t="s">
        <v>2917</v>
      </c>
      <c r="AB308" s="8" t="s">
        <v>2963</v>
      </c>
      <c r="AC308" s="8">
        <v>9.759100018E9</v>
      </c>
      <c r="AD308" s="8" t="s">
        <v>2917</v>
      </c>
      <c r="AE308" s="8" t="s">
        <v>2963</v>
      </c>
      <c r="AF308" s="8">
        <v>9.759100018E9</v>
      </c>
      <c r="AG308" s="3"/>
      <c r="AH308" s="8"/>
      <c r="AI308" s="8"/>
      <c r="AJ308" s="8"/>
      <c r="AK308" s="8"/>
      <c r="AL308" s="8"/>
      <c r="AM308" s="8"/>
      <c r="AN308" s="8"/>
      <c r="AO308" s="8"/>
      <c r="AP308" s="8"/>
      <c r="AQ308" s="8"/>
      <c r="AR308" s="8"/>
      <c r="AS308" s="8"/>
      <c r="AT308" s="9"/>
      <c r="AU308" s="8" t="s">
        <v>730</v>
      </c>
      <c r="AV308" s="8"/>
      <c r="AW308" s="8"/>
      <c r="AX308" s="8"/>
      <c r="AY308" s="8"/>
      <c r="AZ308" s="8" t="s">
        <v>86</v>
      </c>
      <c r="BA308" s="20" t="s">
        <v>86</v>
      </c>
      <c r="BB308" s="20" t="s">
        <v>86</v>
      </c>
      <c r="BC308" s="8">
        <v>0.0</v>
      </c>
    </row>
    <row r="309">
      <c r="A309" s="3" t="s">
        <v>2965</v>
      </c>
      <c r="B309" s="3" t="s">
        <v>2966</v>
      </c>
      <c r="C309" s="3" t="s">
        <v>2967</v>
      </c>
      <c r="D309" s="3"/>
      <c r="E309" s="3">
        <v>100000.0</v>
      </c>
      <c r="F309" s="3" t="s">
        <v>58</v>
      </c>
      <c r="G309" s="3" t="s">
        <v>2968</v>
      </c>
      <c r="H309" s="5" t="s">
        <v>2969</v>
      </c>
      <c r="I309" s="5" t="s">
        <v>2970</v>
      </c>
      <c r="J309" s="3" t="s">
        <v>2971</v>
      </c>
      <c r="K309" s="3">
        <v>9.012028E9</v>
      </c>
      <c r="L309" s="6" t="s">
        <v>2972</v>
      </c>
      <c r="M309" s="3"/>
      <c r="N309" s="3" t="str">
        <f t="shared" ref="N309:N317" si="53">B309</f>
        <v>GOPAL AUTOMOBIE- NAJIBABAD</v>
      </c>
      <c r="O309" s="3" t="str">
        <f t="shared" ref="O309:O317" si="54">A309</f>
        <v>1c4UpmPaXbD24g9f1d-SG1J5R0Bs6d07micvtytMfukg</v>
      </c>
      <c r="P309" s="3" t="s">
        <v>64</v>
      </c>
      <c r="Q309" s="8"/>
      <c r="R309" s="3" t="s">
        <v>2973</v>
      </c>
      <c r="S309" s="3" t="s">
        <v>2973</v>
      </c>
      <c r="T309" s="8" t="s">
        <v>83</v>
      </c>
      <c r="U309" s="8" t="s">
        <v>2974</v>
      </c>
      <c r="V309" s="8" t="s">
        <v>2971</v>
      </c>
      <c r="W309" s="8">
        <v>9.012028E9</v>
      </c>
      <c r="X309" s="8" t="s">
        <v>2975</v>
      </c>
      <c r="Y309" s="8" t="s">
        <v>2971</v>
      </c>
      <c r="Z309" s="8">
        <v>9.389647163E9</v>
      </c>
      <c r="AA309" s="8" t="s">
        <v>2976</v>
      </c>
      <c r="AB309" s="8" t="s">
        <v>2971</v>
      </c>
      <c r="AC309" s="8">
        <v>9.389647163E9</v>
      </c>
      <c r="AD309" s="8" t="s">
        <v>2977</v>
      </c>
      <c r="AE309" s="8" t="s">
        <v>2971</v>
      </c>
      <c r="AF309" s="8">
        <v>9.058764606E9</v>
      </c>
      <c r="AG309" s="3" t="s">
        <v>2978</v>
      </c>
      <c r="AH309" s="8" t="s">
        <v>2979</v>
      </c>
      <c r="AI309" s="8" t="s">
        <v>2980</v>
      </c>
      <c r="AJ309" s="8">
        <v>9.18020031487302E14</v>
      </c>
      <c r="AK309" s="8" t="s">
        <v>2981</v>
      </c>
      <c r="AL309" s="8" t="s">
        <v>2982</v>
      </c>
      <c r="AM309" s="8"/>
      <c r="AN309" s="8"/>
      <c r="AO309" s="8"/>
      <c r="AP309" s="8"/>
      <c r="AQ309" s="8"/>
      <c r="AR309" s="8"/>
      <c r="AS309" s="8"/>
      <c r="AT309" s="9" t="s">
        <v>2983</v>
      </c>
      <c r="AU309" s="8" t="s">
        <v>85</v>
      </c>
      <c r="AV309" s="8"/>
      <c r="AW309" s="8"/>
      <c r="AX309" s="8"/>
      <c r="AY309" s="8"/>
      <c r="AZ309" s="8" t="s">
        <v>86</v>
      </c>
      <c r="BA309" s="20" t="s">
        <v>86</v>
      </c>
      <c r="BB309" s="20" t="s">
        <v>86</v>
      </c>
      <c r="BC309" s="8">
        <v>0.0</v>
      </c>
    </row>
    <row r="310">
      <c r="A310" s="3" t="s">
        <v>2984</v>
      </c>
      <c r="B310" s="3" t="s">
        <v>2985</v>
      </c>
      <c r="C310" s="3" t="s">
        <v>2986</v>
      </c>
      <c r="D310" s="3"/>
      <c r="E310" s="3">
        <v>100000.0</v>
      </c>
      <c r="F310" s="3" t="s">
        <v>58</v>
      </c>
      <c r="G310" s="3" t="s">
        <v>2987</v>
      </c>
      <c r="H310" s="5" t="s">
        <v>2988</v>
      </c>
      <c r="I310" s="5" t="s">
        <v>2989</v>
      </c>
      <c r="J310" s="3" t="s">
        <v>2990</v>
      </c>
      <c r="K310" s="3">
        <v>9.4173077E9</v>
      </c>
      <c r="L310" s="6" t="s">
        <v>2991</v>
      </c>
      <c r="M310" s="3"/>
      <c r="N310" s="3" t="str">
        <f t="shared" si="53"/>
        <v>EKAM TVS- PANCHKULA</v>
      </c>
      <c r="O310" s="3" t="str">
        <f t="shared" si="54"/>
        <v>1nZkPZljbrv92nXg4QV5T4xeYzH3TvoYL_aCP-Dxrz3U</v>
      </c>
      <c r="P310" s="3" t="s">
        <v>64</v>
      </c>
      <c r="Q310" s="8"/>
      <c r="R310" s="3" t="s">
        <v>2992</v>
      </c>
      <c r="S310" s="3" t="s">
        <v>2993</v>
      </c>
      <c r="T310" s="8" t="s">
        <v>68</v>
      </c>
      <c r="U310" s="8" t="s">
        <v>2994</v>
      </c>
      <c r="V310" s="8" t="s">
        <v>2990</v>
      </c>
      <c r="W310" s="8">
        <v>9.4173077E9</v>
      </c>
      <c r="X310" s="8" t="s">
        <v>2994</v>
      </c>
      <c r="Y310" s="8" t="s">
        <v>2990</v>
      </c>
      <c r="Z310" s="8">
        <v>9.4173077E9</v>
      </c>
      <c r="AA310" s="8" t="s">
        <v>2994</v>
      </c>
      <c r="AB310" s="8" t="s">
        <v>2990</v>
      </c>
      <c r="AC310" s="8">
        <v>9.4173077E9</v>
      </c>
      <c r="AD310" s="8" t="s">
        <v>2994</v>
      </c>
      <c r="AE310" s="8" t="s">
        <v>2990</v>
      </c>
      <c r="AF310" s="8">
        <v>9.4173077E9</v>
      </c>
      <c r="AG310" s="3" t="s">
        <v>2995</v>
      </c>
      <c r="AH310" s="8" t="s">
        <v>2996</v>
      </c>
      <c r="AI310" s="8" t="s">
        <v>2997</v>
      </c>
      <c r="AJ310" s="8">
        <v>1.41933000000012E14</v>
      </c>
      <c r="AK310" s="8" t="s">
        <v>2998</v>
      </c>
      <c r="AL310" s="8" t="s">
        <v>2999</v>
      </c>
      <c r="AM310" s="8"/>
      <c r="AN310" s="8"/>
      <c r="AO310" s="8"/>
      <c r="AP310" s="8"/>
      <c r="AQ310" s="8"/>
      <c r="AR310" s="8"/>
      <c r="AS310" s="8"/>
      <c r="AT310" s="9" t="s">
        <v>3000</v>
      </c>
      <c r="AU310" s="8" t="s">
        <v>85</v>
      </c>
      <c r="AV310" s="8"/>
      <c r="AW310" s="8"/>
      <c r="AX310" s="8" t="s">
        <v>3001</v>
      </c>
      <c r="AY310" s="8" t="s">
        <v>3002</v>
      </c>
      <c r="AZ310" s="8" t="s">
        <v>86</v>
      </c>
      <c r="BA310" s="20" t="s">
        <v>86</v>
      </c>
      <c r="BB310" s="20" t="s">
        <v>72</v>
      </c>
      <c r="BC310" s="8">
        <v>0.0</v>
      </c>
    </row>
    <row r="311">
      <c r="A311" s="3" t="s">
        <v>3003</v>
      </c>
      <c r="B311" s="3" t="s">
        <v>3004</v>
      </c>
      <c r="C311" s="3" t="s">
        <v>3005</v>
      </c>
      <c r="D311" s="3"/>
      <c r="E311" s="3">
        <v>100000.0</v>
      </c>
      <c r="F311" s="3" t="s">
        <v>58</v>
      </c>
      <c r="G311" s="3" t="s">
        <v>3006</v>
      </c>
      <c r="H311" s="5" t="s">
        <v>3007</v>
      </c>
      <c r="I311" s="5" t="s">
        <v>3008</v>
      </c>
      <c r="J311" s="3" t="s">
        <v>3009</v>
      </c>
      <c r="K311" s="3">
        <v>9.9977744E9</v>
      </c>
      <c r="L311" s="6" t="s">
        <v>3010</v>
      </c>
      <c r="M311" s="3"/>
      <c r="N311" s="3" t="str">
        <f t="shared" si="53"/>
        <v>SANSAAR HONDA- HARIDWAR</v>
      </c>
      <c r="O311" s="3" t="str">
        <f t="shared" si="54"/>
        <v>10WPh_WCplOI3MhoycaJcKr3lYMretoJR3ta-W3F9m_c</v>
      </c>
      <c r="P311" s="3" t="s">
        <v>64</v>
      </c>
      <c r="Q311" s="8"/>
      <c r="R311" s="3" t="s">
        <v>3011</v>
      </c>
      <c r="S311" s="3" t="s">
        <v>3011</v>
      </c>
      <c r="T311" s="8" t="s">
        <v>1540</v>
      </c>
      <c r="U311" s="8" t="s">
        <v>3012</v>
      </c>
      <c r="V311" s="8" t="s">
        <v>3009</v>
      </c>
      <c r="W311" s="8">
        <v>9.9977744E9</v>
      </c>
      <c r="X311" s="8" t="s">
        <v>3013</v>
      </c>
      <c r="Y311" s="8" t="s">
        <v>3009</v>
      </c>
      <c r="Z311" s="8">
        <v>7.017251853E9</v>
      </c>
      <c r="AA311" s="8" t="s">
        <v>3013</v>
      </c>
      <c r="AB311" s="8" t="s">
        <v>3009</v>
      </c>
      <c r="AC311" s="8">
        <v>7.017251853E9</v>
      </c>
      <c r="AD311" s="8" t="s">
        <v>3013</v>
      </c>
      <c r="AE311" s="8" t="s">
        <v>3009</v>
      </c>
      <c r="AF311" s="8">
        <v>7.017251853E9</v>
      </c>
      <c r="AG311" s="3" t="s">
        <v>3014</v>
      </c>
      <c r="AH311" s="8" t="s">
        <v>3015</v>
      </c>
      <c r="AI311" s="8" t="s">
        <v>3016</v>
      </c>
      <c r="AJ311" s="8">
        <v>3.5555617251E10</v>
      </c>
      <c r="AK311" s="8" t="s">
        <v>3017</v>
      </c>
      <c r="AL311" s="8" t="s">
        <v>3018</v>
      </c>
      <c r="AM311" s="8"/>
      <c r="AN311" s="8"/>
      <c r="AO311" s="8"/>
      <c r="AP311" s="8"/>
      <c r="AQ311" s="8"/>
      <c r="AR311" s="8"/>
      <c r="AS311" s="8"/>
      <c r="AT311" s="9" t="s">
        <v>3019</v>
      </c>
      <c r="AU311" s="8" t="s">
        <v>85</v>
      </c>
      <c r="AV311" s="8"/>
      <c r="AW311" s="8"/>
      <c r="AX311" s="8"/>
      <c r="AY311" s="8"/>
      <c r="AZ311" s="8" t="s">
        <v>86</v>
      </c>
      <c r="BA311" s="20" t="s">
        <v>86</v>
      </c>
      <c r="BB311" s="20" t="s">
        <v>86</v>
      </c>
      <c r="BC311" s="8">
        <v>0.0</v>
      </c>
    </row>
    <row r="312">
      <c r="A312" s="3" t="s">
        <v>3020</v>
      </c>
      <c r="B312" s="3" t="s">
        <v>3021</v>
      </c>
      <c r="C312" s="3" t="s">
        <v>3022</v>
      </c>
      <c r="D312" s="3"/>
      <c r="E312" s="3">
        <v>100000.0</v>
      </c>
      <c r="F312" s="3" t="s">
        <v>58</v>
      </c>
      <c r="G312" s="3" t="s">
        <v>3023</v>
      </c>
      <c r="H312" s="5" t="s">
        <v>3024</v>
      </c>
      <c r="I312" s="5" t="s">
        <v>3025</v>
      </c>
      <c r="J312" s="3" t="s">
        <v>3026</v>
      </c>
      <c r="K312" s="3">
        <v>9.8725597E9</v>
      </c>
      <c r="L312" s="6" t="s">
        <v>3027</v>
      </c>
      <c r="M312" s="3"/>
      <c r="N312" s="3" t="str">
        <f t="shared" si="53"/>
        <v>TWIN CITY -KHANNA</v>
      </c>
      <c r="O312" s="3" t="str">
        <f t="shared" si="54"/>
        <v>1Ymh97cWP9AVJD4TFdCUxIgPTHzjxbv5sRAkjPizS2d8</v>
      </c>
      <c r="P312" s="3" t="s">
        <v>64</v>
      </c>
      <c r="Q312" s="8"/>
      <c r="R312" s="3" t="s">
        <v>3028</v>
      </c>
      <c r="S312" s="3" t="s">
        <v>3028</v>
      </c>
      <c r="T312" s="8" t="s">
        <v>3029</v>
      </c>
      <c r="U312" s="8" t="s">
        <v>3030</v>
      </c>
      <c r="V312" s="8" t="s">
        <v>3026</v>
      </c>
      <c r="W312" s="8">
        <v>9.8725597E9</v>
      </c>
      <c r="X312" s="8" t="s">
        <v>3030</v>
      </c>
      <c r="Y312" s="8" t="s">
        <v>3026</v>
      </c>
      <c r="Z312" s="8">
        <v>9.8725597E9</v>
      </c>
      <c r="AA312" s="8" t="s">
        <v>3030</v>
      </c>
      <c r="AB312" s="8" t="s">
        <v>3026</v>
      </c>
      <c r="AC312" s="8">
        <v>9.8725597E9</v>
      </c>
      <c r="AD312" s="8" t="s">
        <v>3030</v>
      </c>
      <c r="AE312" s="8" t="s">
        <v>3026</v>
      </c>
      <c r="AF312" s="8">
        <v>9.8725597E9</v>
      </c>
      <c r="AG312" s="3" t="s">
        <v>3031</v>
      </c>
      <c r="AH312" s="8" t="s">
        <v>3032</v>
      </c>
      <c r="AI312" s="8" t="s">
        <v>3033</v>
      </c>
      <c r="AJ312" s="8">
        <v>6.0084600000105E13</v>
      </c>
      <c r="AK312" s="8" t="s">
        <v>2174</v>
      </c>
      <c r="AL312" s="8" t="s">
        <v>3034</v>
      </c>
      <c r="AM312" s="8"/>
      <c r="AN312" s="8"/>
      <c r="AO312" s="8"/>
      <c r="AP312" s="8"/>
      <c r="AQ312" s="8"/>
      <c r="AR312" s="8"/>
      <c r="AS312" s="8"/>
      <c r="AT312" s="9" t="s">
        <v>3035</v>
      </c>
      <c r="AU312" s="8" t="s">
        <v>85</v>
      </c>
      <c r="AV312" s="8"/>
      <c r="AW312" s="8"/>
      <c r="AX312" s="8"/>
      <c r="AY312" s="8"/>
      <c r="AZ312" s="8" t="s">
        <v>86</v>
      </c>
      <c r="BA312" s="20" t="s">
        <v>86</v>
      </c>
      <c r="BB312" s="20" t="s">
        <v>86</v>
      </c>
      <c r="BC312" s="8">
        <v>0.0</v>
      </c>
    </row>
    <row r="313">
      <c r="A313" s="3" t="s">
        <v>3036</v>
      </c>
      <c r="B313" s="3" t="s">
        <v>3037</v>
      </c>
      <c r="C313" s="3" t="s">
        <v>3038</v>
      </c>
      <c r="D313" s="3"/>
      <c r="E313" s="3">
        <v>100000.0</v>
      </c>
      <c r="F313" s="3" t="s">
        <v>58</v>
      </c>
      <c r="G313" s="3" t="s">
        <v>3039</v>
      </c>
      <c r="H313" s="5" t="s">
        <v>3040</v>
      </c>
      <c r="I313" s="5" t="s">
        <v>3041</v>
      </c>
      <c r="J313" s="3" t="s">
        <v>3042</v>
      </c>
      <c r="K313" s="3">
        <v>9.837000686E9</v>
      </c>
      <c r="L313" s="6" t="s">
        <v>3043</v>
      </c>
      <c r="M313" s="3"/>
      <c r="N313" s="3" t="str">
        <f t="shared" si="53"/>
        <v>PREM AUTO - HARIDWAR</v>
      </c>
      <c r="O313" s="3" t="str">
        <f t="shared" si="54"/>
        <v>1EeVOkHOYV7m-TXPjCFcVuyRfOfG243WHv6SdA9sNNrA</v>
      </c>
      <c r="P313" s="3" t="s">
        <v>64</v>
      </c>
      <c r="Q313" s="8"/>
      <c r="R313" s="3" t="s">
        <v>3011</v>
      </c>
      <c r="S313" s="3" t="s">
        <v>3011</v>
      </c>
      <c r="T313" s="8" t="s">
        <v>1540</v>
      </c>
      <c r="U313" s="8" t="s">
        <v>3044</v>
      </c>
      <c r="V313" s="8" t="s">
        <v>3042</v>
      </c>
      <c r="W313" s="8">
        <v>9.837000686E9</v>
      </c>
      <c r="X313" s="8" t="s">
        <v>3045</v>
      </c>
      <c r="Y313" s="8" t="s">
        <v>3042</v>
      </c>
      <c r="Z313" s="8">
        <v>9.759618959E9</v>
      </c>
      <c r="AA313" s="8" t="s">
        <v>3045</v>
      </c>
      <c r="AB313" s="8" t="s">
        <v>3042</v>
      </c>
      <c r="AC313" s="8">
        <v>9.759618959E9</v>
      </c>
      <c r="AD313" s="8" t="s">
        <v>3045</v>
      </c>
      <c r="AE313" s="8" t="s">
        <v>3042</v>
      </c>
      <c r="AF313" s="8">
        <v>9.759618959E9</v>
      </c>
      <c r="AG313" s="3" t="s">
        <v>3046</v>
      </c>
      <c r="AH313" s="8" t="s">
        <v>3047</v>
      </c>
      <c r="AI313" s="8"/>
      <c r="AJ313" s="8"/>
      <c r="AK313" s="8"/>
      <c r="AL313" s="8"/>
      <c r="AM313" s="8"/>
      <c r="AN313" s="8"/>
      <c r="AO313" s="8"/>
      <c r="AP313" s="8"/>
      <c r="AQ313" s="8"/>
      <c r="AR313" s="8"/>
      <c r="AS313" s="8"/>
      <c r="AT313" s="9" t="s">
        <v>3048</v>
      </c>
      <c r="AU313" s="8" t="s">
        <v>85</v>
      </c>
      <c r="AV313" s="8"/>
      <c r="AW313" s="8"/>
      <c r="AX313" s="8"/>
      <c r="AY313" s="8"/>
      <c r="AZ313" s="8" t="s">
        <v>86</v>
      </c>
      <c r="BA313" s="20" t="s">
        <v>86</v>
      </c>
      <c r="BB313" s="20" t="s">
        <v>86</v>
      </c>
      <c r="BC313" s="8">
        <v>0.0</v>
      </c>
    </row>
    <row r="314">
      <c r="A314" s="3" t="s">
        <v>3049</v>
      </c>
      <c r="B314" s="3" t="s">
        <v>3050</v>
      </c>
      <c r="C314" s="3" t="s">
        <v>3051</v>
      </c>
      <c r="D314" s="3"/>
      <c r="E314" s="3">
        <v>100000.0</v>
      </c>
      <c r="F314" s="3" t="s">
        <v>58</v>
      </c>
      <c r="G314" s="3" t="s">
        <v>3052</v>
      </c>
      <c r="H314" s="5" t="s">
        <v>3053</v>
      </c>
      <c r="I314" s="5" t="s">
        <v>3054</v>
      </c>
      <c r="J314" s="3" t="s">
        <v>3055</v>
      </c>
      <c r="K314" s="3">
        <v>9.917799899E9</v>
      </c>
      <c r="L314" s="6" t="s">
        <v>3056</v>
      </c>
      <c r="M314" s="3"/>
      <c r="N314" s="3" t="str">
        <f t="shared" si="53"/>
        <v>LAKHVINDRA KASHIPUR</v>
      </c>
      <c r="O314" s="3" t="str">
        <f t="shared" si="54"/>
        <v>1HFkcA0tba7UnCoWEw5R4dohMFqwhpltBBsuWOiWeruA</v>
      </c>
      <c r="P314" s="3" t="s">
        <v>64</v>
      </c>
      <c r="Q314" s="8"/>
      <c r="R314" s="3" t="s">
        <v>3057</v>
      </c>
      <c r="S314" s="3" t="s">
        <v>3057</v>
      </c>
      <c r="T314" s="8" t="s">
        <v>1540</v>
      </c>
      <c r="U314" s="8" t="s">
        <v>3058</v>
      </c>
      <c r="V314" s="8" t="s">
        <v>3055</v>
      </c>
      <c r="W314" s="8">
        <v>9.917799899E9</v>
      </c>
      <c r="X314" s="8" t="s">
        <v>3058</v>
      </c>
      <c r="Y314" s="8" t="s">
        <v>3055</v>
      </c>
      <c r="Z314" s="8">
        <v>9.917799899E9</v>
      </c>
      <c r="AA314" s="8" t="s">
        <v>3058</v>
      </c>
      <c r="AB314" s="8" t="s">
        <v>3055</v>
      </c>
      <c r="AC314" s="8">
        <v>9.917799899E9</v>
      </c>
      <c r="AD314" s="8" t="s">
        <v>3058</v>
      </c>
      <c r="AE314" s="8" t="s">
        <v>3055</v>
      </c>
      <c r="AF314" s="8">
        <v>9.917799899E9</v>
      </c>
      <c r="AG314" s="3"/>
      <c r="AH314" s="8" t="s">
        <v>3059</v>
      </c>
      <c r="AI314" s="8"/>
      <c r="AJ314" s="8"/>
      <c r="AK314" s="8"/>
      <c r="AL314" s="8"/>
      <c r="AM314" s="8"/>
      <c r="AN314" s="8"/>
      <c r="AO314" s="8"/>
      <c r="AP314" s="8"/>
      <c r="AQ314" s="8"/>
      <c r="AR314" s="8"/>
      <c r="AS314" s="8"/>
      <c r="AT314" s="9" t="s">
        <v>3060</v>
      </c>
      <c r="AU314" s="8" t="s">
        <v>85</v>
      </c>
      <c r="AV314" s="8"/>
      <c r="AW314" s="8"/>
      <c r="AX314" s="8"/>
      <c r="AY314" s="8"/>
      <c r="AZ314" s="8" t="s">
        <v>86</v>
      </c>
      <c r="BA314" s="20" t="s">
        <v>86</v>
      </c>
      <c r="BB314" s="20" t="s">
        <v>86</v>
      </c>
      <c r="BC314" s="8">
        <v>0.0</v>
      </c>
    </row>
    <row r="315">
      <c r="A315" s="3" t="s">
        <v>3061</v>
      </c>
      <c r="B315" s="3" t="s">
        <v>3062</v>
      </c>
      <c r="C315" s="3" t="s">
        <v>3063</v>
      </c>
      <c r="D315" s="3"/>
      <c r="E315" s="3">
        <v>100000.0</v>
      </c>
      <c r="F315" s="3" t="s">
        <v>58</v>
      </c>
      <c r="G315" s="3" t="s">
        <v>3064</v>
      </c>
      <c r="H315" s="5" t="s">
        <v>3065</v>
      </c>
      <c r="I315" s="5" t="s">
        <v>3066</v>
      </c>
      <c r="J315" s="3" t="s">
        <v>3067</v>
      </c>
      <c r="K315" s="3">
        <v>6.395983592E9</v>
      </c>
      <c r="L315" s="6" t="s">
        <v>3068</v>
      </c>
      <c r="M315" s="3"/>
      <c r="N315" s="3" t="str">
        <f t="shared" si="53"/>
        <v>INDER HONDA-KASHIPUR</v>
      </c>
      <c r="O315" s="3" t="str">
        <f t="shared" si="54"/>
        <v>1F9NONXieHjy77H-04YnZVq6s_JxwTeglgZrjTuG8YVo</v>
      </c>
      <c r="P315" s="3" t="s">
        <v>64</v>
      </c>
      <c r="Q315" s="8"/>
      <c r="R315" s="3" t="s">
        <v>3069</v>
      </c>
      <c r="S315" s="3" t="s">
        <v>3069</v>
      </c>
      <c r="T315" s="8" t="s">
        <v>1540</v>
      </c>
      <c r="U315" s="8" t="s">
        <v>3070</v>
      </c>
      <c r="V315" s="8" t="s">
        <v>3067</v>
      </c>
      <c r="W315" s="8">
        <v>6.395983592E9</v>
      </c>
      <c r="X315" s="8" t="s">
        <v>3071</v>
      </c>
      <c r="Y315" s="8" t="s">
        <v>3067</v>
      </c>
      <c r="Z315" s="8">
        <v>7.055306777E9</v>
      </c>
      <c r="AA315" s="8" t="s">
        <v>3071</v>
      </c>
      <c r="AB315" s="8" t="s">
        <v>3067</v>
      </c>
      <c r="AC315" s="8">
        <v>7.055306777E9</v>
      </c>
      <c r="AD315" s="8" t="s">
        <v>3071</v>
      </c>
      <c r="AE315" s="8" t="s">
        <v>3067</v>
      </c>
      <c r="AF315" s="8">
        <v>7.055306777E9</v>
      </c>
      <c r="AG315" s="3" t="s">
        <v>3072</v>
      </c>
      <c r="AH315" s="8" t="s">
        <v>3073</v>
      </c>
      <c r="AI315" s="8" t="s">
        <v>3074</v>
      </c>
      <c r="AJ315" s="8">
        <v>3.8375707114E10</v>
      </c>
      <c r="AK315" s="8" t="s">
        <v>3017</v>
      </c>
      <c r="AL315" s="8" t="s">
        <v>3075</v>
      </c>
      <c r="AM315" s="8"/>
      <c r="AN315" s="8"/>
      <c r="AO315" s="8"/>
      <c r="AP315" s="8"/>
      <c r="AQ315" s="8"/>
      <c r="AR315" s="8"/>
      <c r="AS315" s="8"/>
      <c r="AT315" s="9" t="s">
        <v>3076</v>
      </c>
      <c r="AU315" s="8" t="s">
        <v>85</v>
      </c>
      <c r="AV315" s="8"/>
      <c r="AW315" s="8"/>
      <c r="AX315" s="8"/>
      <c r="AY315" s="8"/>
      <c r="AZ315" s="8" t="s">
        <v>86</v>
      </c>
      <c r="BA315" s="20" t="s">
        <v>86</v>
      </c>
      <c r="BB315" s="20" t="s">
        <v>86</v>
      </c>
      <c r="BC315" s="8">
        <v>0.0</v>
      </c>
    </row>
    <row r="316">
      <c r="A316" s="3" t="s">
        <v>3077</v>
      </c>
      <c r="B316" s="3" t="s">
        <v>3078</v>
      </c>
      <c r="C316" s="3" t="s">
        <v>3079</v>
      </c>
      <c r="D316" s="3"/>
      <c r="E316" s="3">
        <v>100000.0</v>
      </c>
      <c r="F316" s="3" t="s">
        <v>58</v>
      </c>
      <c r="G316" s="3" t="s">
        <v>3080</v>
      </c>
      <c r="H316" s="5" t="s">
        <v>3081</v>
      </c>
      <c r="I316" s="5" t="s">
        <v>3082</v>
      </c>
      <c r="J316" s="3" t="s">
        <v>3083</v>
      </c>
      <c r="K316" s="3">
        <v>7.621020009E9</v>
      </c>
      <c r="L316" s="16">
        <v>44563.50833333333</v>
      </c>
      <c r="M316" s="3"/>
      <c r="N316" s="3" t="str">
        <f t="shared" si="53"/>
        <v>KHADKA G AUTOMOBILE- AHMEDABAD</v>
      </c>
      <c r="O316" s="3" t="str">
        <f t="shared" si="54"/>
        <v>1-ndxJp3oX17jCcSgSWUUGvqzyoVAJHZBrfGcG-qChjg</v>
      </c>
      <c r="P316" s="3" t="s">
        <v>64</v>
      </c>
      <c r="Q316" s="8"/>
      <c r="R316" s="3" t="s">
        <v>1478</v>
      </c>
      <c r="S316" s="3" t="s">
        <v>1478</v>
      </c>
      <c r="T316" s="8" t="s">
        <v>638</v>
      </c>
      <c r="U316" s="8" t="s">
        <v>3084</v>
      </c>
      <c r="V316" s="8" t="s">
        <v>3085</v>
      </c>
      <c r="W316" s="8">
        <v>7.621020009E9</v>
      </c>
      <c r="X316" s="8" t="s">
        <v>3086</v>
      </c>
      <c r="Y316" s="8" t="s">
        <v>3085</v>
      </c>
      <c r="Z316" s="8">
        <v>7.621020009E9</v>
      </c>
      <c r="AA316" s="8" t="s">
        <v>3086</v>
      </c>
      <c r="AB316" s="8" t="s">
        <v>3085</v>
      </c>
      <c r="AC316" s="8">
        <v>7.621020009E9</v>
      </c>
      <c r="AD316" s="8" t="s">
        <v>3086</v>
      </c>
      <c r="AE316" s="8" t="s">
        <v>3085</v>
      </c>
      <c r="AF316" s="8">
        <v>7.621020009E9</v>
      </c>
      <c r="AG316" s="3" t="s">
        <v>3087</v>
      </c>
      <c r="AH316" s="8" t="s">
        <v>3088</v>
      </c>
      <c r="AI316" s="8" t="s">
        <v>3089</v>
      </c>
      <c r="AJ316" s="8">
        <v>3.8167702577E10</v>
      </c>
      <c r="AK316" s="8" t="s">
        <v>3090</v>
      </c>
      <c r="AL316" s="8" t="s">
        <v>3091</v>
      </c>
      <c r="AM316" s="8"/>
      <c r="AN316" s="8"/>
      <c r="AO316" s="8"/>
      <c r="AP316" s="8"/>
      <c r="AQ316" s="8"/>
      <c r="AR316" s="8"/>
      <c r="AS316" s="8"/>
      <c r="AT316" s="9" t="s">
        <v>3092</v>
      </c>
      <c r="AU316" s="8" t="s">
        <v>85</v>
      </c>
      <c r="AV316" s="8"/>
      <c r="AW316" s="8"/>
      <c r="AX316" s="8"/>
      <c r="AY316" s="8"/>
      <c r="AZ316" s="8" t="s">
        <v>86</v>
      </c>
      <c r="BA316" s="20" t="s">
        <v>86</v>
      </c>
      <c r="BB316" s="20" t="s">
        <v>86</v>
      </c>
      <c r="BC316" s="8">
        <v>0.0</v>
      </c>
    </row>
    <row r="317">
      <c r="A317" s="3" t="s">
        <v>3093</v>
      </c>
      <c r="B317" s="3" t="s">
        <v>3094</v>
      </c>
      <c r="C317" s="3" t="s">
        <v>3095</v>
      </c>
      <c r="D317" s="3"/>
      <c r="E317" s="3">
        <v>100000.0</v>
      </c>
      <c r="F317" s="3" t="s">
        <v>58</v>
      </c>
      <c r="G317" s="3" t="s">
        <v>3096</v>
      </c>
      <c r="H317" s="5" t="s">
        <v>3097</v>
      </c>
      <c r="I317" s="5" t="s">
        <v>3098</v>
      </c>
      <c r="J317" s="3" t="s">
        <v>3099</v>
      </c>
      <c r="K317" s="3">
        <v>9.651969999E9</v>
      </c>
      <c r="L317" s="16">
        <v>44775.62569444445</v>
      </c>
      <c r="M317" s="3"/>
      <c r="N317" s="3" t="str">
        <f t="shared" si="53"/>
        <v>SHIVANI MOTORS- ALLAHABAD</v>
      </c>
      <c r="O317" s="3" t="str">
        <f t="shared" si="54"/>
        <v>1HzstXOBJIBMFHwYm7RpvmCIhHH60rtXQ81VHl3OF7OM</v>
      </c>
      <c r="P317" s="3" t="s">
        <v>64</v>
      </c>
      <c r="Q317" s="8"/>
      <c r="R317" s="3" t="s">
        <v>3100</v>
      </c>
      <c r="S317" s="3" t="s">
        <v>3100</v>
      </c>
      <c r="T317" s="8" t="s">
        <v>83</v>
      </c>
      <c r="U317" s="8" t="s">
        <v>3101</v>
      </c>
      <c r="V317" s="8" t="s">
        <v>3099</v>
      </c>
      <c r="W317" s="8">
        <v>9.651969999E9</v>
      </c>
      <c r="X317" s="8" t="s">
        <v>3102</v>
      </c>
      <c r="Y317" s="8" t="s">
        <v>3099</v>
      </c>
      <c r="Z317" s="8">
        <v>8.400333836E9</v>
      </c>
      <c r="AA317" s="8" t="s">
        <v>3103</v>
      </c>
      <c r="AB317" s="8" t="s">
        <v>3099</v>
      </c>
      <c r="AC317" s="8">
        <v>9.984914004E9</v>
      </c>
      <c r="AD317" s="8" t="s">
        <v>3103</v>
      </c>
      <c r="AE317" s="8" t="s">
        <v>3099</v>
      </c>
      <c r="AF317" s="8">
        <v>9.984914004E9</v>
      </c>
      <c r="AG317" s="3" t="s">
        <v>3104</v>
      </c>
      <c r="AH317" s="8" t="s">
        <v>3105</v>
      </c>
      <c r="AI317" s="8" t="s">
        <v>3106</v>
      </c>
      <c r="AJ317" s="8">
        <v>6.50014108069E11</v>
      </c>
      <c r="AK317" s="8" t="s">
        <v>3107</v>
      </c>
      <c r="AL317" s="8" t="s">
        <v>3108</v>
      </c>
      <c r="AM317" s="8"/>
      <c r="AN317" s="8"/>
      <c r="AO317" s="8"/>
      <c r="AP317" s="8"/>
      <c r="AQ317" s="8"/>
      <c r="AR317" s="8"/>
      <c r="AS317" s="8"/>
      <c r="AT317" s="9" t="s">
        <v>3109</v>
      </c>
      <c r="AU317" s="8" t="s">
        <v>85</v>
      </c>
      <c r="AV317" s="8"/>
      <c r="AW317" s="8"/>
      <c r="AX317" s="8"/>
      <c r="AY317" s="8"/>
      <c r="AZ317" s="8" t="s">
        <v>86</v>
      </c>
      <c r="BA317" s="20" t="s">
        <v>86</v>
      </c>
      <c r="BB317" s="20" t="s">
        <v>86</v>
      </c>
      <c r="BC317" s="8">
        <v>0.0</v>
      </c>
    </row>
    <row r="318">
      <c r="A318" s="3" t="s">
        <v>3110</v>
      </c>
      <c r="B318" s="3" t="s">
        <v>3111</v>
      </c>
      <c r="C318" s="3" t="s">
        <v>3112</v>
      </c>
      <c r="D318" s="3"/>
      <c r="E318" s="3">
        <v>100000.0</v>
      </c>
      <c r="F318" s="3" t="s">
        <v>58</v>
      </c>
      <c r="G318" s="3" t="s">
        <v>3113</v>
      </c>
      <c r="H318" s="5" t="s">
        <v>3114</v>
      </c>
      <c r="I318" s="5" t="s">
        <v>3115</v>
      </c>
      <c r="J318" s="3" t="s">
        <v>3116</v>
      </c>
      <c r="K318" s="3">
        <v>9.93616997E9</v>
      </c>
      <c r="L318" s="16">
        <v>44775.665972222225</v>
      </c>
      <c r="M318" s="3"/>
      <c r="N318" s="3" t="str">
        <f>(B317)</f>
        <v>SHIVANI MOTORS- ALLAHABAD</v>
      </c>
      <c r="O318" s="3" t="str">
        <f>(A317)</f>
        <v>1HzstXOBJIBMFHwYm7RpvmCIhHH60rtXQ81VHl3OF7OM</v>
      </c>
      <c r="P318" s="3" t="s">
        <v>142</v>
      </c>
      <c r="Q318" s="8"/>
      <c r="R318" s="3" t="s">
        <v>3100</v>
      </c>
      <c r="S318" s="3" t="s">
        <v>3100</v>
      </c>
      <c r="T318" s="8" t="s">
        <v>83</v>
      </c>
      <c r="U318" s="8" t="s">
        <v>3117</v>
      </c>
      <c r="V318" s="8" t="s">
        <v>3116</v>
      </c>
      <c r="W318" s="8">
        <v>9.93616997E9</v>
      </c>
      <c r="X318" s="8" t="s">
        <v>3118</v>
      </c>
      <c r="Y318" s="8" t="s">
        <v>3116</v>
      </c>
      <c r="Z318" s="8">
        <v>9.93616997E9</v>
      </c>
      <c r="AA318" s="8" t="s">
        <v>3118</v>
      </c>
      <c r="AB318" s="8" t="s">
        <v>3116</v>
      </c>
      <c r="AC318" s="8">
        <v>9.93616997E9</v>
      </c>
      <c r="AD318" s="8" t="s">
        <v>3118</v>
      </c>
      <c r="AE318" s="8" t="s">
        <v>3116</v>
      </c>
      <c r="AF318" s="8">
        <v>9.93616997E9</v>
      </c>
      <c r="AG318" s="3" t="s">
        <v>3119</v>
      </c>
      <c r="AH318" s="8" t="s">
        <v>3120</v>
      </c>
      <c r="AI318" s="8" t="s">
        <v>3121</v>
      </c>
      <c r="AJ318" s="8">
        <v>5.0173148801E10</v>
      </c>
      <c r="AK318" s="8" t="s">
        <v>3122</v>
      </c>
      <c r="AL318" s="8" t="s">
        <v>3123</v>
      </c>
      <c r="AM318" s="8"/>
      <c r="AN318" s="8"/>
      <c r="AO318" s="8"/>
      <c r="AP318" s="8"/>
      <c r="AQ318" s="8"/>
      <c r="AR318" s="8"/>
      <c r="AS318" s="8"/>
      <c r="AT318" s="9" t="s">
        <v>3124</v>
      </c>
      <c r="AU318" s="8" t="s">
        <v>85</v>
      </c>
      <c r="AV318" s="8"/>
      <c r="AW318" s="8"/>
      <c r="AX318" s="8"/>
      <c r="AY318" s="8"/>
      <c r="AZ318" s="8" t="s">
        <v>86</v>
      </c>
      <c r="BA318" s="20" t="s">
        <v>86</v>
      </c>
      <c r="BB318" s="20" t="s">
        <v>86</v>
      </c>
      <c r="BC318" s="8">
        <v>0.0</v>
      </c>
    </row>
    <row r="319">
      <c r="A319" s="3" t="s">
        <v>3125</v>
      </c>
      <c r="B319" s="3" t="s">
        <v>3126</v>
      </c>
      <c r="C319" s="3" t="s">
        <v>3127</v>
      </c>
      <c r="D319" s="3"/>
      <c r="E319" s="3">
        <v>100000.0</v>
      </c>
      <c r="F319" s="3" t="s">
        <v>58</v>
      </c>
      <c r="G319" s="3" t="s">
        <v>3128</v>
      </c>
      <c r="H319" s="5" t="s">
        <v>3129</v>
      </c>
      <c r="I319" s="5" t="s">
        <v>3130</v>
      </c>
      <c r="J319" s="3" t="s">
        <v>3131</v>
      </c>
      <c r="K319" s="3">
        <v>9.919528346E9</v>
      </c>
      <c r="L319" s="16">
        <v>44775.700694444444</v>
      </c>
      <c r="M319" s="3"/>
      <c r="N319" s="3" t="str">
        <f>(B317)</f>
        <v>SHIVANI MOTORS- ALLAHABAD</v>
      </c>
      <c r="O319" s="3" t="str">
        <f>(A317)</f>
        <v>1HzstXOBJIBMFHwYm7RpvmCIhHH60rtXQ81VHl3OF7OM</v>
      </c>
      <c r="P319" s="3" t="s">
        <v>142</v>
      </c>
      <c r="Q319" s="8"/>
      <c r="R319" s="3" t="s">
        <v>3100</v>
      </c>
      <c r="S319" s="3" t="s">
        <v>3100</v>
      </c>
      <c r="T319" s="8" t="s">
        <v>83</v>
      </c>
      <c r="U319" s="8" t="s">
        <v>3132</v>
      </c>
      <c r="V319" s="8" t="s">
        <v>3131</v>
      </c>
      <c r="W319" s="8">
        <v>9.919528346E9</v>
      </c>
      <c r="X319" s="8" t="s">
        <v>3132</v>
      </c>
      <c r="Y319" s="8" t="s">
        <v>3131</v>
      </c>
      <c r="Z319" s="8">
        <v>9.919528346E9</v>
      </c>
      <c r="AA319" s="8" t="s">
        <v>3132</v>
      </c>
      <c r="AB319" s="8" t="s">
        <v>3131</v>
      </c>
      <c r="AC319" s="8">
        <v>9.919528346E9</v>
      </c>
      <c r="AD319" s="8" t="s">
        <v>3132</v>
      </c>
      <c r="AE319" s="8" t="s">
        <v>3131</v>
      </c>
      <c r="AF319" s="8">
        <v>9.919528346E9</v>
      </c>
      <c r="AG319" s="3" t="s">
        <v>3133</v>
      </c>
      <c r="AH319" s="8" t="s">
        <v>3134</v>
      </c>
      <c r="AI319" s="8" t="s">
        <v>3135</v>
      </c>
      <c r="AJ319" s="8">
        <v>7.004668383E9</v>
      </c>
      <c r="AK319" s="8" t="s">
        <v>3122</v>
      </c>
      <c r="AL319" s="8" t="s">
        <v>3136</v>
      </c>
      <c r="AM319" s="8"/>
      <c r="AN319" s="8"/>
      <c r="AO319" s="8"/>
      <c r="AP319" s="8"/>
      <c r="AQ319" s="8"/>
      <c r="AR319" s="8"/>
      <c r="AS319" s="8"/>
      <c r="AT319" s="9" t="s">
        <v>3137</v>
      </c>
      <c r="AU319" s="8" t="s">
        <v>85</v>
      </c>
      <c r="AV319" s="8"/>
      <c r="AW319" s="8"/>
      <c r="AX319" s="8"/>
      <c r="AY319" s="8"/>
      <c r="AZ319" s="8" t="s">
        <v>86</v>
      </c>
      <c r="BA319" s="20" t="s">
        <v>86</v>
      </c>
      <c r="BB319" s="20" t="s">
        <v>86</v>
      </c>
      <c r="BC319" s="8">
        <v>0.0</v>
      </c>
    </row>
    <row r="320">
      <c r="A320" s="3" t="s">
        <v>3138</v>
      </c>
      <c r="B320" s="3" t="s">
        <v>3139</v>
      </c>
      <c r="C320" s="3" t="s">
        <v>3140</v>
      </c>
      <c r="D320" s="3"/>
      <c r="E320" s="3">
        <v>100000.0</v>
      </c>
      <c r="F320" s="3" t="s">
        <v>58</v>
      </c>
      <c r="G320" s="3" t="s">
        <v>3141</v>
      </c>
      <c r="H320" s="5" t="s">
        <v>3142</v>
      </c>
      <c r="I320" s="5" t="s">
        <v>3143</v>
      </c>
      <c r="J320" s="3" t="s">
        <v>3144</v>
      </c>
      <c r="K320" s="3">
        <v>8.744989868E9</v>
      </c>
      <c r="L320" s="6" t="s">
        <v>3145</v>
      </c>
      <c r="M320" s="3"/>
      <c r="N320" s="3" t="str">
        <f>(B320)</f>
        <v>Metro Motors- Narela(MMR)</v>
      </c>
      <c r="O320" s="3" t="str">
        <f>(A320)</f>
        <v>12q3xzc4QnJvovb5WwDYonjwLc2kiwxvpEYShhfp6tf4</v>
      </c>
      <c r="P320" s="3" t="s">
        <v>64</v>
      </c>
      <c r="Q320" s="8"/>
      <c r="R320" s="3" t="s">
        <v>3146</v>
      </c>
      <c r="S320" s="3" t="s">
        <v>106</v>
      </c>
      <c r="T320" s="8" t="s">
        <v>106</v>
      </c>
      <c r="U320" s="8" t="s">
        <v>3147</v>
      </c>
      <c r="V320" s="8" t="s">
        <v>226</v>
      </c>
      <c r="W320" s="8">
        <v>8.744989868E9</v>
      </c>
      <c r="X320" s="8" t="s">
        <v>3148</v>
      </c>
      <c r="Y320" s="8" t="s">
        <v>226</v>
      </c>
      <c r="Z320" s="8">
        <v>8.744989868E9</v>
      </c>
      <c r="AA320" s="8" t="s">
        <v>3149</v>
      </c>
      <c r="AB320" s="8" t="s">
        <v>226</v>
      </c>
      <c r="AC320" s="8">
        <v>8.744989868E9</v>
      </c>
      <c r="AD320" s="8" t="s">
        <v>3148</v>
      </c>
      <c r="AE320" s="8" t="s">
        <v>226</v>
      </c>
      <c r="AF320" s="8">
        <v>8.744989868E9</v>
      </c>
      <c r="AG320" s="3"/>
      <c r="AH320" s="8"/>
      <c r="AI320" s="8"/>
      <c r="AJ320" s="8"/>
      <c r="AK320" s="8"/>
      <c r="AL320" s="8"/>
      <c r="AM320" s="8"/>
      <c r="AN320" s="8"/>
      <c r="AO320" s="8"/>
      <c r="AP320" s="8"/>
      <c r="AQ320" s="8"/>
      <c r="AR320" s="8"/>
      <c r="AS320" s="8"/>
      <c r="AT320" s="9"/>
      <c r="AU320" s="8" t="s">
        <v>85</v>
      </c>
      <c r="AV320" s="8"/>
      <c r="AW320" s="8"/>
      <c r="AX320" s="8" t="s">
        <v>3150</v>
      </c>
      <c r="AY320" s="8" t="s">
        <v>3151</v>
      </c>
      <c r="AZ320" s="8" t="s">
        <v>86</v>
      </c>
      <c r="BA320" s="20" t="s">
        <v>86</v>
      </c>
      <c r="BB320" s="20" t="s">
        <v>72</v>
      </c>
      <c r="BC320" s="8">
        <v>0.0</v>
      </c>
    </row>
    <row r="321">
      <c r="A321" s="3" t="s">
        <v>3152</v>
      </c>
      <c r="B321" s="3" t="s">
        <v>3153</v>
      </c>
      <c r="C321" s="3" t="s">
        <v>3154</v>
      </c>
      <c r="D321" s="3"/>
      <c r="E321" s="3">
        <v>100000.0</v>
      </c>
      <c r="F321" s="3" t="s">
        <v>58</v>
      </c>
      <c r="G321" s="3" t="s">
        <v>3155</v>
      </c>
      <c r="H321" s="5" t="s">
        <v>3156</v>
      </c>
      <c r="I321" s="5" t="s">
        <v>3157</v>
      </c>
      <c r="J321" s="3" t="s">
        <v>3158</v>
      </c>
      <c r="K321" s="3">
        <v>7.905080277E9</v>
      </c>
      <c r="L321" s="6" t="s">
        <v>3159</v>
      </c>
      <c r="M321" s="3"/>
      <c r="N321" s="3" t="str">
        <f>(B270)</f>
        <v>VAISHNO MOTORS - JHUGAWA</v>
      </c>
      <c r="O321" s="3" t="str">
        <f>(A270)</f>
        <v>1T9TOPNccEkZyvcMjs5_ErkZRFNoV3A33YcZPKCnjNeI</v>
      </c>
      <c r="P321" s="3" t="s">
        <v>142</v>
      </c>
      <c r="Q321" s="8"/>
      <c r="R321" s="3" t="s">
        <v>3160</v>
      </c>
      <c r="S321" s="3" t="s">
        <v>3160</v>
      </c>
      <c r="T321" s="8" t="s">
        <v>83</v>
      </c>
      <c r="U321" s="8" t="s">
        <v>3161</v>
      </c>
      <c r="V321" s="8" t="s">
        <v>3158</v>
      </c>
      <c r="W321" s="8">
        <v>7.905080277E9</v>
      </c>
      <c r="X321" s="8" t="s">
        <v>2514</v>
      </c>
      <c r="Y321" s="8" t="s">
        <v>3158</v>
      </c>
      <c r="Z321" s="8">
        <v>9.9369191E9</v>
      </c>
      <c r="AA321" s="8" t="s">
        <v>2514</v>
      </c>
      <c r="AB321" s="8" t="s">
        <v>3158</v>
      </c>
      <c r="AC321" s="8">
        <v>9.9369191E9</v>
      </c>
      <c r="AD321" s="8" t="s">
        <v>2514</v>
      </c>
      <c r="AE321" s="8" t="s">
        <v>3158</v>
      </c>
      <c r="AF321" s="8">
        <v>9.9369191E9</v>
      </c>
      <c r="AG321" s="3"/>
      <c r="AH321" s="8"/>
      <c r="AI321" s="8"/>
      <c r="AJ321" s="8"/>
      <c r="AK321" s="8"/>
      <c r="AL321" s="8"/>
      <c r="AM321" s="8"/>
      <c r="AN321" s="8"/>
      <c r="AO321" s="8"/>
      <c r="AP321" s="8"/>
      <c r="AQ321" s="8"/>
      <c r="AR321" s="8"/>
      <c r="AS321" s="8"/>
      <c r="AT321" s="9"/>
      <c r="AU321" s="8" t="s">
        <v>85</v>
      </c>
      <c r="AV321" s="8"/>
      <c r="AW321" s="8"/>
      <c r="AX321" s="8"/>
      <c r="AY321" s="8"/>
      <c r="AZ321" s="8" t="s">
        <v>86</v>
      </c>
      <c r="BA321" s="20" t="s">
        <v>86</v>
      </c>
      <c r="BB321" s="20" t="s">
        <v>86</v>
      </c>
      <c r="BC321" s="8">
        <v>0.0</v>
      </c>
    </row>
    <row r="322">
      <c r="A322" s="3" t="s">
        <v>3162</v>
      </c>
      <c r="B322" s="3" t="s">
        <v>3163</v>
      </c>
      <c r="C322" s="3" t="s">
        <v>3164</v>
      </c>
      <c r="D322" s="3"/>
      <c r="E322" s="3">
        <v>100000.0</v>
      </c>
      <c r="F322" s="3" t="s">
        <v>58</v>
      </c>
      <c r="G322" s="3" t="s">
        <v>3165</v>
      </c>
      <c r="H322" s="5" t="s">
        <v>3166</v>
      </c>
      <c r="I322" s="5" t="s">
        <v>3167</v>
      </c>
      <c r="J322" s="3" t="s">
        <v>3168</v>
      </c>
      <c r="K322" s="3">
        <v>9.120024004E9</v>
      </c>
      <c r="L322" s="6" t="s">
        <v>3169</v>
      </c>
      <c r="M322" s="3"/>
      <c r="N322" s="3" t="str">
        <f>(B270)</f>
        <v>VAISHNO MOTORS - JHUGAWA</v>
      </c>
      <c r="O322" s="3" t="str">
        <f>(A270)</f>
        <v>1T9TOPNccEkZyvcMjs5_ErkZRFNoV3A33YcZPKCnjNeI</v>
      </c>
      <c r="P322" s="3" t="s">
        <v>142</v>
      </c>
      <c r="Q322" s="8"/>
      <c r="R322" s="3" t="s">
        <v>3160</v>
      </c>
      <c r="S322" s="3" t="s">
        <v>3160</v>
      </c>
      <c r="T322" s="8" t="s">
        <v>83</v>
      </c>
      <c r="U322" s="8" t="s">
        <v>3170</v>
      </c>
      <c r="V322" s="8" t="s">
        <v>3168</v>
      </c>
      <c r="W322" s="8">
        <v>9.120024004E9</v>
      </c>
      <c r="X322" s="8" t="s">
        <v>2514</v>
      </c>
      <c r="Y322" s="8" t="s">
        <v>3168</v>
      </c>
      <c r="Z322" s="8">
        <v>9.9369191E9</v>
      </c>
      <c r="AA322" s="8" t="s">
        <v>2514</v>
      </c>
      <c r="AB322" s="8" t="s">
        <v>3168</v>
      </c>
      <c r="AC322" s="8">
        <v>9.9369191E9</v>
      </c>
      <c r="AD322" s="8" t="s">
        <v>2514</v>
      </c>
      <c r="AE322" s="8" t="s">
        <v>3168</v>
      </c>
      <c r="AF322" s="8">
        <v>9.9369191E9</v>
      </c>
      <c r="AG322" s="3"/>
      <c r="AH322" s="8"/>
      <c r="AI322" s="8"/>
      <c r="AJ322" s="8"/>
      <c r="AK322" s="8"/>
      <c r="AL322" s="8"/>
      <c r="AM322" s="8"/>
      <c r="AN322" s="8"/>
      <c r="AO322" s="8"/>
      <c r="AP322" s="8"/>
      <c r="AQ322" s="8"/>
      <c r="AR322" s="8"/>
      <c r="AS322" s="8"/>
      <c r="AT322" s="9"/>
      <c r="AU322" s="8" t="s">
        <v>85</v>
      </c>
      <c r="AV322" s="8"/>
      <c r="AW322" s="8"/>
      <c r="AX322" s="8"/>
      <c r="AY322" s="8"/>
      <c r="AZ322" s="8" t="s">
        <v>86</v>
      </c>
      <c r="BA322" s="20" t="s">
        <v>86</v>
      </c>
      <c r="BB322" s="20" t="s">
        <v>86</v>
      </c>
      <c r="BC322" s="8">
        <v>0.0</v>
      </c>
    </row>
    <row r="323">
      <c r="A323" s="3" t="s">
        <v>3171</v>
      </c>
      <c r="B323" s="3" t="s">
        <v>3172</v>
      </c>
      <c r="C323" s="3" t="s">
        <v>3173</v>
      </c>
      <c r="D323" s="3"/>
      <c r="E323" s="3">
        <v>100000.0</v>
      </c>
      <c r="F323" s="3" t="s">
        <v>58</v>
      </c>
      <c r="G323" s="3" t="s">
        <v>3174</v>
      </c>
      <c r="H323" s="5" t="s">
        <v>3175</v>
      </c>
      <c r="I323" s="5" t="s">
        <v>3176</v>
      </c>
      <c r="J323" s="3" t="s">
        <v>3177</v>
      </c>
      <c r="K323" s="3">
        <v>6.39054641E9</v>
      </c>
      <c r="L323" s="6" t="s">
        <v>3178</v>
      </c>
      <c r="M323" s="3"/>
      <c r="N323" s="3" t="str">
        <f>(B270)</f>
        <v>VAISHNO MOTORS - JHUGAWA</v>
      </c>
      <c r="O323" s="3" t="str">
        <f>(A270)</f>
        <v>1T9TOPNccEkZyvcMjs5_ErkZRFNoV3A33YcZPKCnjNeI</v>
      </c>
      <c r="P323" s="3" t="s">
        <v>142</v>
      </c>
      <c r="Q323" s="8"/>
      <c r="R323" s="3" t="s">
        <v>3160</v>
      </c>
      <c r="S323" s="3" t="s">
        <v>3160</v>
      </c>
      <c r="T323" s="8" t="s">
        <v>83</v>
      </c>
      <c r="U323" s="8" t="s">
        <v>3179</v>
      </c>
      <c r="V323" s="8" t="s">
        <v>3177</v>
      </c>
      <c r="W323" s="8">
        <v>6.39054641E9</v>
      </c>
      <c r="X323" s="8" t="s">
        <v>2514</v>
      </c>
      <c r="Y323" s="8" t="s">
        <v>3177</v>
      </c>
      <c r="Z323" s="8">
        <v>9.9369191E9</v>
      </c>
      <c r="AA323" s="8" t="s">
        <v>2514</v>
      </c>
      <c r="AB323" s="8" t="s">
        <v>3177</v>
      </c>
      <c r="AC323" s="8">
        <v>9.9369191E9</v>
      </c>
      <c r="AD323" s="8" t="s">
        <v>2514</v>
      </c>
      <c r="AE323" s="8" t="s">
        <v>3177</v>
      </c>
      <c r="AF323" s="8">
        <v>9.9369191E9</v>
      </c>
      <c r="AG323" s="3"/>
      <c r="AH323" s="8"/>
      <c r="AI323" s="8"/>
      <c r="AJ323" s="8"/>
      <c r="AK323" s="8"/>
      <c r="AL323" s="8"/>
      <c r="AM323" s="8"/>
      <c r="AN323" s="8"/>
      <c r="AO323" s="8"/>
      <c r="AP323" s="8"/>
      <c r="AQ323" s="8"/>
      <c r="AR323" s="8"/>
      <c r="AS323" s="8"/>
      <c r="AT323" s="9"/>
      <c r="AU323" s="8" t="s">
        <v>85</v>
      </c>
      <c r="AV323" s="8"/>
      <c r="AW323" s="8"/>
      <c r="AX323" s="8"/>
      <c r="AY323" s="8"/>
      <c r="AZ323" s="8" t="s">
        <v>86</v>
      </c>
      <c r="BA323" s="20" t="s">
        <v>86</v>
      </c>
      <c r="BB323" s="20" t="s">
        <v>86</v>
      </c>
      <c r="BC323" s="8">
        <v>0.0</v>
      </c>
    </row>
    <row r="324">
      <c r="A324" s="3" t="s">
        <v>3180</v>
      </c>
      <c r="B324" s="3" t="s">
        <v>3181</v>
      </c>
      <c r="C324" s="3" t="s">
        <v>3182</v>
      </c>
      <c r="D324" s="3"/>
      <c r="E324" s="3">
        <v>100000.0</v>
      </c>
      <c r="F324" s="3" t="s">
        <v>58</v>
      </c>
      <c r="G324" s="3" t="s">
        <v>3183</v>
      </c>
      <c r="H324" s="5" t="s">
        <v>3184</v>
      </c>
      <c r="I324" s="5" t="s">
        <v>3185</v>
      </c>
      <c r="J324" s="3" t="s">
        <v>3186</v>
      </c>
      <c r="K324" s="3">
        <v>9.336769527E9</v>
      </c>
      <c r="L324" s="6" t="s">
        <v>3187</v>
      </c>
      <c r="M324" s="3"/>
      <c r="N324" s="3" t="str">
        <f>(B270)</f>
        <v>VAISHNO MOTORS - JHUGAWA</v>
      </c>
      <c r="O324" s="3" t="str">
        <f>(A270)</f>
        <v>1T9TOPNccEkZyvcMjs5_ErkZRFNoV3A33YcZPKCnjNeI</v>
      </c>
      <c r="P324" s="3" t="s">
        <v>142</v>
      </c>
      <c r="Q324" s="8"/>
      <c r="R324" s="3" t="s">
        <v>3160</v>
      </c>
      <c r="S324" s="3" t="s">
        <v>3160</v>
      </c>
      <c r="T324" s="8" t="s">
        <v>83</v>
      </c>
      <c r="U324" s="8" t="s">
        <v>3188</v>
      </c>
      <c r="V324" s="8" t="s">
        <v>3186</v>
      </c>
      <c r="W324" s="8">
        <v>9.336769527E9</v>
      </c>
      <c r="X324" s="8" t="s">
        <v>2514</v>
      </c>
      <c r="Y324" s="8" t="s">
        <v>3186</v>
      </c>
      <c r="Z324" s="8">
        <v>9.9369191E9</v>
      </c>
      <c r="AA324" s="8" t="s">
        <v>2514</v>
      </c>
      <c r="AB324" s="8" t="s">
        <v>3186</v>
      </c>
      <c r="AC324" s="8">
        <v>9.9369191E9</v>
      </c>
      <c r="AD324" s="8" t="s">
        <v>2514</v>
      </c>
      <c r="AE324" s="8" t="s">
        <v>3186</v>
      </c>
      <c r="AF324" s="8">
        <v>9.9369191E9</v>
      </c>
      <c r="AG324" s="3"/>
      <c r="AH324" s="8"/>
      <c r="AI324" s="8"/>
      <c r="AJ324" s="8"/>
      <c r="AK324" s="8"/>
      <c r="AL324" s="8"/>
      <c r="AM324" s="8"/>
      <c r="AN324" s="8"/>
      <c r="AO324" s="8"/>
      <c r="AP324" s="8"/>
      <c r="AQ324" s="8"/>
      <c r="AR324" s="8"/>
      <c r="AS324" s="8"/>
      <c r="AT324" s="9"/>
      <c r="AU324" s="8" t="s">
        <v>85</v>
      </c>
      <c r="AV324" s="8"/>
      <c r="AW324" s="8"/>
      <c r="AX324" s="8"/>
      <c r="AY324" s="8"/>
      <c r="AZ324" s="8" t="s">
        <v>86</v>
      </c>
      <c r="BA324" s="20" t="s">
        <v>86</v>
      </c>
      <c r="BB324" s="20" t="s">
        <v>86</v>
      </c>
      <c r="BC324" s="8">
        <v>0.0</v>
      </c>
    </row>
    <row r="325">
      <c r="A325" s="3" t="s">
        <v>3189</v>
      </c>
      <c r="B325" s="3" t="s">
        <v>3190</v>
      </c>
      <c r="C325" s="3" t="s">
        <v>3191</v>
      </c>
      <c r="D325" s="3"/>
      <c r="E325" s="3">
        <v>100000.0</v>
      </c>
      <c r="F325" s="3" t="s">
        <v>58</v>
      </c>
      <c r="G325" s="3" t="s">
        <v>3192</v>
      </c>
      <c r="H325" s="5" t="s">
        <v>3193</v>
      </c>
      <c r="I325" s="5" t="s">
        <v>3194</v>
      </c>
      <c r="J325" s="3" t="s">
        <v>3195</v>
      </c>
      <c r="K325" s="3">
        <v>9.926200005E9</v>
      </c>
      <c r="L325" s="6" t="s">
        <v>3196</v>
      </c>
      <c r="M325" s="3"/>
      <c r="N325" s="3" t="str">
        <f t="shared" ref="N325:N326" si="55">B325</f>
        <v>TANUSHKA HERO- GWALIOR</v>
      </c>
      <c r="O325" s="3" t="str">
        <f t="shared" ref="O325:O326" si="56">A325</f>
        <v>16tjO40jnriUy06QB22S0NR8Wknhx9T0lcBH_yEqsZIw</v>
      </c>
      <c r="P325" s="3" t="s">
        <v>64</v>
      </c>
      <c r="Q325" s="8"/>
      <c r="R325" s="3" t="s">
        <v>3197</v>
      </c>
      <c r="S325" s="3" t="s">
        <v>3198</v>
      </c>
      <c r="T325" s="8" t="s">
        <v>208</v>
      </c>
      <c r="U325" s="8" t="s">
        <v>3199</v>
      </c>
      <c r="V325" s="8" t="s">
        <v>3195</v>
      </c>
      <c r="W325" s="8">
        <v>9.926200005E9</v>
      </c>
      <c r="X325" s="8" t="s">
        <v>3199</v>
      </c>
      <c r="Y325" s="8" t="s">
        <v>3195</v>
      </c>
      <c r="Z325" s="8">
        <v>9.926200005E9</v>
      </c>
      <c r="AA325" s="8" t="s">
        <v>3200</v>
      </c>
      <c r="AB325" s="8" t="s">
        <v>3195</v>
      </c>
      <c r="AC325" s="8">
        <v>9.926200005E9</v>
      </c>
      <c r="AD325" s="8" t="s">
        <v>3201</v>
      </c>
      <c r="AE325" s="8" t="s">
        <v>3195</v>
      </c>
      <c r="AF325" s="8">
        <v>9.926200005E9</v>
      </c>
      <c r="AG325" s="3" t="s">
        <v>3202</v>
      </c>
      <c r="AH325" s="8" t="s">
        <v>3203</v>
      </c>
      <c r="AI325" s="8" t="s">
        <v>3204</v>
      </c>
      <c r="AJ325" s="8">
        <v>9.1702005739588E14</v>
      </c>
      <c r="AK325" s="8" t="s">
        <v>3205</v>
      </c>
      <c r="AL325" s="8" t="s">
        <v>3206</v>
      </c>
      <c r="AM325" s="8"/>
      <c r="AN325" s="8"/>
      <c r="AO325" s="8"/>
      <c r="AP325" s="8"/>
      <c r="AQ325" s="8"/>
      <c r="AR325" s="8"/>
      <c r="AS325" s="8"/>
      <c r="AT325" s="9" t="s">
        <v>3207</v>
      </c>
      <c r="AU325" s="8" t="s">
        <v>85</v>
      </c>
      <c r="AV325" s="8"/>
      <c r="AW325" s="8"/>
      <c r="AX325" s="8"/>
      <c r="AY325" s="8"/>
      <c r="AZ325" s="8" t="s">
        <v>86</v>
      </c>
      <c r="BA325" s="20" t="s">
        <v>86</v>
      </c>
      <c r="BB325" s="20" t="s">
        <v>86</v>
      </c>
      <c r="BC325" s="8">
        <v>0.0</v>
      </c>
    </row>
    <row r="326">
      <c r="A326" s="3" t="s">
        <v>3208</v>
      </c>
      <c r="B326" s="3" t="s">
        <v>3209</v>
      </c>
      <c r="C326" s="3" t="s">
        <v>3210</v>
      </c>
      <c r="D326" s="3"/>
      <c r="E326" s="3">
        <v>100000.0</v>
      </c>
      <c r="F326" s="3" t="s">
        <v>58</v>
      </c>
      <c r="G326" s="3" t="s">
        <v>3211</v>
      </c>
      <c r="H326" s="5" t="s">
        <v>3212</v>
      </c>
      <c r="I326" s="5" t="s">
        <v>3213</v>
      </c>
      <c r="J326" s="3" t="s">
        <v>3214</v>
      </c>
      <c r="K326" s="3">
        <v>9.425083788E9</v>
      </c>
      <c r="L326" s="6" t="s">
        <v>3215</v>
      </c>
      <c r="M326" s="3"/>
      <c r="N326" s="3" t="str">
        <f t="shared" si="55"/>
        <v>BABA AUTOMOBILES- SHAJAPUR</v>
      </c>
      <c r="O326" s="3" t="str">
        <f t="shared" si="56"/>
        <v>1D40bKySVAERErGis9rDO7LQ53qmdU5GNEz2GXvuNXng</v>
      </c>
      <c r="P326" s="3" t="s">
        <v>64</v>
      </c>
      <c r="Q326" s="8"/>
      <c r="R326" s="3" t="s">
        <v>3216</v>
      </c>
      <c r="S326" s="3" t="s">
        <v>3217</v>
      </c>
      <c r="T326" s="8" t="s">
        <v>208</v>
      </c>
      <c r="U326" s="8" t="s">
        <v>3218</v>
      </c>
      <c r="V326" s="8" t="s">
        <v>3214</v>
      </c>
      <c r="W326" s="8">
        <v>9.425083788E9</v>
      </c>
      <c r="X326" s="8" t="s">
        <v>3219</v>
      </c>
      <c r="Y326" s="8" t="s">
        <v>3214</v>
      </c>
      <c r="Z326" s="8">
        <v>9.826808373E9</v>
      </c>
      <c r="AA326" s="8" t="s">
        <v>3219</v>
      </c>
      <c r="AB326" s="8" t="s">
        <v>3214</v>
      </c>
      <c r="AC326" s="8">
        <v>9.826808373E9</v>
      </c>
      <c r="AD326" s="8" t="s">
        <v>3220</v>
      </c>
      <c r="AE326" s="8" t="s">
        <v>3214</v>
      </c>
      <c r="AF326" s="8">
        <v>9.826808373E9</v>
      </c>
      <c r="AG326" s="3" t="s">
        <v>3221</v>
      </c>
      <c r="AH326" s="8" t="s">
        <v>3222</v>
      </c>
      <c r="AI326" s="8" t="s">
        <v>3223</v>
      </c>
      <c r="AJ326" s="8">
        <v>7.6705001563E10</v>
      </c>
      <c r="AK326" s="8" t="s">
        <v>2158</v>
      </c>
      <c r="AL326" s="8" t="s">
        <v>3224</v>
      </c>
      <c r="AM326" s="8"/>
      <c r="AN326" s="8"/>
      <c r="AO326" s="8"/>
      <c r="AP326" s="8"/>
      <c r="AQ326" s="8"/>
      <c r="AR326" s="8"/>
      <c r="AS326" s="8"/>
      <c r="AT326" s="9" t="s">
        <v>3225</v>
      </c>
      <c r="AU326" s="8" t="s">
        <v>85</v>
      </c>
      <c r="AV326" s="8"/>
      <c r="AW326" s="8"/>
      <c r="AX326" s="8"/>
      <c r="AY326" s="8"/>
      <c r="AZ326" s="8" t="s">
        <v>86</v>
      </c>
      <c r="BA326" s="20" t="s">
        <v>86</v>
      </c>
      <c r="BB326" s="20" t="s">
        <v>86</v>
      </c>
      <c r="BC326" s="8">
        <v>0.0</v>
      </c>
    </row>
    <row r="327">
      <c r="A327" s="3" t="s">
        <v>3226</v>
      </c>
      <c r="B327" s="3" t="s">
        <v>3227</v>
      </c>
      <c r="C327" s="3" t="s">
        <v>3228</v>
      </c>
      <c r="D327" s="3"/>
      <c r="E327" s="3">
        <v>100000.0</v>
      </c>
      <c r="F327" s="3" t="s">
        <v>58</v>
      </c>
      <c r="G327" s="3" t="s">
        <v>3229</v>
      </c>
      <c r="H327" s="5" t="s">
        <v>3230</v>
      </c>
      <c r="I327" s="5" t="s">
        <v>3231</v>
      </c>
      <c r="J327" s="3" t="s">
        <v>3232</v>
      </c>
      <c r="K327" s="3">
        <v>9.654490589E9</v>
      </c>
      <c r="L327" s="6" t="s">
        <v>3233</v>
      </c>
      <c r="M327" s="3"/>
      <c r="N327" s="3" t="str">
        <f>(B2)</f>
        <v>MPS</v>
      </c>
      <c r="O327" s="3" t="str">
        <f>(A2)</f>
        <v>1ClXh28BQwwGN7Q42xt0Dc8b_R_3jweBItLcbwVq3Rj0</v>
      </c>
      <c r="P327" s="3" t="s">
        <v>142</v>
      </c>
      <c r="Q327" s="8"/>
      <c r="R327" s="3" t="s">
        <v>105</v>
      </c>
      <c r="S327" s="3" t="s">
        <v>105</v>
      </c>
      <c r="T327" s="8" t="s">
        <v>106</v>
      </c>
      <c r="U327" s="8" t="s">
        <v>3118</v>
      </c>
      <c r="V327" s="8" t="s">
        <v>3234</v>
      </c>
      <c r="W327" s="8">
        <v>9.654490589E9</v>
      </c>
      <c r="X327" s="8" t="s">
        <v>3118</v>
      </c>
      <c r="Y327" s="8" t="s">
        <v>3234</v>
      </c>
      <c r="Z327" s="8">
        <v>9.654490589E9</v>
      </c>
      <c r="AA327" s="8" t="s">
        <v>3118</v>
      </c>
      <c r="AB327" s="8" t="s">
        <v>3234</v>
      </c>
      <c r="AC327" s="8">
        <v>9.654490589E9</v>
      </c>
      <c r="AD327" s="8" t="s">
        <v>3118</v>
      </c>
      <c r="AE327" s="8" t="s">
        <v>3234</v>
      </c>
      <c r="AF327" s="8">
        <v>9.654490589E9</v>
      </c>
      <c r="AG327" s="3"/>
      <c r="AH327" s="8"/>
      <c r="AI327" s="8"/>
      <c r="AJ327" s="8"/>
      <c r="AK327" s="8"/>
      <c r="AL327" s="8"/>
      <c r="AM327" s="8"/>
      <c r="AN327" s="8"/>
      <c r="AO327" s="8"/>
      <c r="AP327" s="8"/>
      <c r="AQ327" s="8"/>
      <c r="AR327" s="8"/>
      <c r="AS327" s="8"/>
      <c r="AT327" s="9"/>
      <c r="AU327" s="8" t="s">
        <v>85</v>
      </c>
      <c r="AV327" s="8"/>
      <c r="AW327" s="8"/>
      <c r="AX327" s="8"/>
      <c r="AY327" s="8"/>
      <c r="AZ327" s="8" t="s">
        <v>72</v>
      </c>
      <c r="BA327" s="20" t="s">
        <v>86</v>
      </c>
      <c r="BB327" s="20" t="s">
        <v>86</v>
      </c>
      <c r="BC327" s="8">
        <v>0.0</v>
      </c>
    </row>
    <row r="328">
      <c r="A328" s="3" t="s">
        <v>3235</v>
      </c>
      <c r="B328" s="3" t="s">
        <v>3236</v>
      </c>
      <c r="C328" s="3" t="s">
        <v>3237</v>
      </c>
      <c r="D328" s="3"/>
      <c r="E328" s="3">
        <v>100000.0</v>
      </c>
      <c r="F328" s="3" t="s">
        <v>58</v>
      </c>
      <c r="G328" s="3" t="s">
        <v>3238</v>
      </c>
      <c r="H328" s="5" t="s">
        <v>3239</v>
      </c>
      <c r="I328" s="5" t="s">
        <v>3240</v>
      </c>
      <c r="J328" s="3" t="s">
        <v>3241</v>
      </c>
      <c r="K328" s="3">
        <v>8.982000777E9</v>
      </c>
      <c r="L328" s="6" t="s">
        <v>3242</v>
      </c>
      <c r="M328" s="3"/>
      <c r="N328" s="3" t="str">
        <f t="shared" ref="N328:N336" si="57">B328</f>
        <v>KSHIPRA HERO-UJJAIN</v>
      </c>
      <c r="O328" s="3" t="str">
        <f t="shared" ref="O328:O336" si="58">A328</f>
        <v>1mxT1doFWSIKC49QGKrgrgC6fUkICfT4DLlAcSQC9Pc4</v>
      </c>
      <c r="P328" s="3" t="s">
        <v>64</v>
      </c>
      <c r="Q328" s="8"/>
      <c r="R328" s="3" t="s">
        <v>3243</v>
      </c>
      <c r="S328" s="3" t="s">
        <v>3243</v>
      </c>
      <c r="T328" s="8" t="s">
        <v>208</v>
      </c>
      <c r="U328" s="8" t="s">
        <v>3244</v>
      </c>
      <c r="V328" s="8" t="s">
        <v>3241</v>
      </c>
      <c r="W328" s="8">
        <v>8.982000777E9</v>
      </c>
      <c r="X328" s="8" t="s">
        <v>3086</v>
      </c>
      <c r="Y328" s="8" t="s">
        <v>3241</v>
      </c>
      <c r="Z328" s="8">
        <v>9.669030999E9</v>
      </c>
      <c r="AA328" s="8" t="s">
        <v>3086</v>
      </c>
      <c r="AB328" s="8" t="s">
        <v>3241</v>
      </c>
      <c r="AC328" s="8">
        <v>9.669030999E9</v>
      </c>
      <c r="AD328" s="8" t="s">
        <v>3086</v>
      </c>
      <c r="AE328" s="8" t="s">
        <v>3241</v>
      </c>
      <c r="AF328" s="8">
        <v>9.669030999E9</v>
      </c>
      <c r="AG328" s="3"/>
      <c r="AH328" s="8" t="s">
        <v>3245</v>
      </c>
      <c r="AI328" s="8" t="s">
        <v>3246</v>
      </c>
      <c r="AJ328" s="8">
        <v>2.0317897434E10</v>
      </c>
      <c r="AK328" s="8" t="s">
        <v>3017</v>
      </c>
      <c r="AL328" s="8" t="s">
        <v>3247</v>
      </c>
      <c r="AM328" s="8"/>
      <c r="AN328" s="8"/>
      <c r="AO328" s="8"/>
      <c r="AP328" s="8"/>
      <c r="AQ328" s="8"/>
      <c r="AR328" s="8"/>
      <c r="AS328" s="8"/>
      <c r="AT328" s="9" t="s">
        <v>3248</v>
      </c>
      <c r="AU328" s="8" t="s">
        <v>85</v>
      </c>
      <c r="AV328" s="8"/>
      <c r="AW328" s="8"/>
      <c r="AX328" s="8"/>
      <c r="AY328" s="8"/>
      <c r="AZ328" s="8" t="s">
        <v>86</v>
      </c>
      <c r="BA328" s="20" t="s">
        <v>86</v>
      </c>
      <c r="BB328" s="20" t="s">
        <v>86</v>
      </c>
      <c r="BC328" s="8">
        <v>0.0</v>
      </c>
    </row>
    <row r="329">
      <c r="A329" s="3" t="s">
        <v>3249</v>
      </c>
      <c r="B329" s="3" t="s">
        <v>3250</v>
      </c>
      <c r="C329" s="3" t="s">
        <v>3251</v>
      </c>
      <c r="D329" s="3"/>
      <c r="E329" s="3">
        <v>100000.0</v>
      </c>
      <c r="F329" s="3" t="s">
        <v>58</v>
      </c>
      <c r="G329" s="3" t="s">
        <v>3252</v>
      </c>
      <c r="H329" s="5" t="s">
        <v>3253</v>
      </c>
      <c r="I329" s="5" t="s">
        <v>3254</v>
      </c>
      <c r="J329" s="3" t="s">
        <v>3255</v>
      </c>
      <c r="K329" s="3">
        <v>9.810000504E9</v>
      </c>
      <c r="L329" s="6" t="s">
        <v>3256</v>
      </c>
      <c r="M329" s="3"/>
      <c r="N329" s="3" t="str">
        <f t="shared" si="57"/>
        <v>UPPER INDIA -DELHI</v>
      </c>
      <c r="O329" s="3" t="str">
        <f t="shared" si="58"/>
        <v>1Glot5DmufEUxf7sEoY2RAdbIWFVDuW2SHPtNIbHYEdc</v>
      </c>
      <c r="P329" s="3" t="s">
        <v>64</v>
      </c>
      <c r="Q329" s="8"/>
      <c r="R329" s="3" t="s">
        <v>106</v>
      </c>
      <c r="S329" s="3" t="s">
        <v>106</v>
      </c>
      <c r="T329" s="8" t="s">
        <v>106</v>
      </c>
      <c r="U329" s="8" t="s">
        <v>3257</v>
      </c>
      <c r="V329" s="8" t="s">
        <v>3255</v>
      </c>
      <c r="W329" s="8">
        <v>9.810000504E9</v>
      </c>
      <c r="X329" s="8" t="s">
        <v>3258</v>
      </c>
      <c r="Y329" s="8" t="s">
        <v>3255</v>
      </c>
      <c r="Z329" s="8">
        <v>9.871667154E9</v>
      </c>
      <c r="AA329" s="8" t="s">
        <v>3258</v>
      </c>
      <c r="AB329" s="8" t="s">
        <v>3255</v>
      </c>
      <c r="AC329" s="8">
        <v>9.871667154E9</v>
      </c>
      <c r="AD329" s="8" t="s">
        <v>3258</v>
      </c>
      <c r="AE329" s="8" t="s">
        <v>3255</v>
      </c>
      <c r="AF329" s="8">
        <v>9.871667154E9</v>
      </c>
      <c r="AG329" s="3" t="s">
        <v>3259</v>
      </c>
      <c r="AH329" s="8" t="s">
        <v>3260</v>
      </c>
      <c r="AI329" s="8" t="s">
        <v>3261</v>
      </c>
      <c r="AJ329" s="8">
        <v>5.0200020917972E13</v>
      </c>
      <c r="AK329" s="8" t="s">
        <v>2720</v>
      </c>
      <c r="AL329" s="8" t="s">
        <v>3262</v>
      </c>
      <c r="AM329" s="8"/>
      <c r="AN329" s="8"/>
      <c r="AO329" s="8"/>
      <c r="AP329" s="8"/>
      <c r="AQ329" s="8"/>
      <c r="AR329" s="8"/>
      <c r="AS329" s="8"/>
      <c r="AT329" s="9" t="s">
        <v>3263</v>
      </c>
      <c r="AU329" s="8" t="s">
        <v>85</v>
      </c>
      <c r="AV329" s="8"/>
      <c r="AW329" s="8"/>
      <c r="AX329" s="8" t="s">
        <v>3264</v>
      </c>
      <c r="AY329" s="8" t="s">
        <v>3265</v>
      </c>
      <c r="AZ329" s="8" t="s">
        <v>86</v>
      </c>
      <c r="BA329" s="20" t="s">
        <v>86</v>
      </c>
      <c r="BB329" s="20" t="s">
        <v>72</v>
      </c>
      <c r="BC329" s="8">
        <v>0.0</v>
      </c>
    </row>
    <row r="330">
      <c r="A330" s="3" t="s">
        <v>3266</v>
      </c>
      <c r="B330" s="3" t="s">
        <v>3267</v>
      </c>
      <c r="C330" s="3" t="s">
        <v>3268</v>
      </c>
      <c r="D330" s="3"/>
      <c r="E330" s="3">
        <v>100000.0</v>
      </c>
      <c r="F330" s="3" t="s">
        <v>58</v>
      </c>
      <c r="G330" s="3" t="s">
        <v>3269</v>
      </c>
      <c r="H330" s="5" t="s">
        <v>3270</v>
      </c>
      <c r="I330" s="5" t="s">
        <v>3271</v>
      </c>
      <c r="J330" s="3" t="s">
        <v>3272</v>
      </c>
      <c r="K330" s="3">
        <v>9.425101244E9</v>
      </c>
      <c r="L330" s="6" t="s">
        <v>3273</v>
      </c>
      <c r="M330" s="3"/>
      <c r="N330" s="3" t="str">
        <f t="shared" si="57"/>
        <v>NAKODA AUTOMOBILES- JHABUA</v>
      </c>
      <c r="O330" s="3" t="str">
        <f t="shared" si="58"/>
        <v>1KWrdiOy0dFeVUlvkflxUZSwfdTKjD2WtnSGQxGgKBiw</v>
      </c>
      <c r="P330" s="3" t="s">
        <v>64</v>
      </c>
      <c r="Q330" s="8"/>
      <c r="R330" s="3" t="s">
        <v>3274</v>
      </c>
      <c r="S330" s="3" t="s">
        <v>3275</v>
      </c>
      <c r="T330" s="8" t="s">
        <v>208</v>
      </c>
      <c r="U330" s="8" t="s">
        <v>3276</v>
      </c>
      <c r="V330" s="8" t="s">
        <v>3272</v>
      </c>
      <c r="W330" s="8">
        <v>9.425101244E9</v>
      </c>
      <c r="X330" s="8" t="s">
        <v>3277</v>
      </c>
      <c r="Y330" s="8" t="s">
        <v>3272</v>
      </c>
      <c r="Z330" s="8">
        <v>9.425101243E9</v>
      </c>
      <c r="AA330" s="8" t="s">
        <v>3277</v>
      </c>
      <c r="AB330" s="8" t="s">
        <v>3272</v>
      </c>
      <c r="AC330" s="8">
        <v>9.425101243E9</v>
      </c>
      <c r="AD330" s="8" t="s">
        <v>3277</v>
      </c>
      <c r="AE330" s="8" t="s">
        <v>3272</v>
      </c>
      <c r="AF330" s="8">
        <v>9.425101243E9</v>
      </c>
      <c r="AG330" s="3" t="s">
        <v>3278</v>
      </c>
      <c r="AH330" s="8" t="s">
        <v>3279</v>
      </c>
      <c r="AI330" s="8" t="s">
        <v>3280</v>
      </c>
      <c r="AJ330" s="8">
        <v>5.020006051147E13</v>
      </c>
      <c r="AK330" s="8" t="s">
        <v>2720</v>
      </c>
      <c r="AL330" s="8" t="s">
        <v>3281</v>
      </c>
      <c r="AM330" s="8"/>
      <c r="AN330" s="8"/>
      <c r="AO330" s="8"/>
      <c r="AP330" s="8"/>
      <c r="AQ330" s="8"/>
      <c r="AR330" s="8"/>
      <c r="AS330" s="8"/>
      <c r="AT330" s="9" t="s">
        <v>3282</v>
      </c>
      <c r="AU330" s="8" t="s">
        <v>85</v>
      </c>
      <c r="AV330" s="8"/>
      <c r="AW330" s="8"/>
      <c r="AX330" s="8"/>
      <c r="AY330" s="8"/>
      <c r="AZ330" s="8" t="s">
        <v>86</v>
      </c>
      <c r="BA330" s="20" t="s">
        <v>86</v>
      </c>
      <c r="BB330" s="20" t="s">
        <v>86</v>
      </c>
      <c r="BC330" s="8">
        <v>0.0</v>
      </c>
    </row>
    <row r="331">
      <c r="A331" s="3" t="s">
        <v>3283</v>
      </c>
      <c r="B331" s="3" t="s">
        <v>3284</v>
      </c>
      <c r="C331" s="3" t="s">
        <v>3285</v>
      </c>
      <c r="D331" s="3"/>
      <c r="E331" s="3">
        <v>100000.0</v>
      </c>
      <c r="F331" s="3" t="s">
        <v>58</v>
      </c>
      <c r="G331" s="3" t="s">
        <v>3286</v>
      </c>
      <c r="H331" s="5" t="s">
        <v>3287</v>
      </c>
      <c r="I331" s="5" t="s">
        <v>3288</v>
      </c>
      <c r="J331" s="3" t="s">
        <v>3289</v>
      </c>
      <c r="K331" s="3">
        <v>9.825339373E9</v>
      </c>
      <c r="L331" s="6" t="s">
        <v>3290</v>
      </c>
      <c r="M331" s="3"/>
      <c r="N331" s="3" t="str">
        <f t="shared" si="57"/>
        <v>SHREE LAXMINARAYAN AUTOMOBILES-DAHOD</v>
      </c>
      <c r="O331" s="3" t="str">
        <f t="shared" si="58"/>
        <v>16Y3kc7OuouK5OrrRt3JjXIhTWz_IEXjAkD1IjXmm9J8</v>
      </c>
      <c r="P331" s="3" t="s">
        <v>64</v>
      </c>
      <c r="Q331" s="8"/>
      <c r="R331" s="3" t="s">
        <v>3291</v>
      </c>
      <c r="S331" s="3" t="s">
        <v>3291</v>
      </c>
      <c r="T331" s="8" t="s">
        <v>638</v>
      </c>
      <c r="U331" s="8" t="s">
        <v>3292</v>
      </c>
      <c r="V331" s="8" t="s">
        <v>3289</v>
      </c>
      <c r="W331" s="8">
        <v>9.825339373E9</v>
      </c>
      <c r="X331" s="8" t="s">
        <v>3293</v>
      </c>
      <c r="Y331" s="8" t="s">
        <v>3289</v>
      </c>
      <c r="Z331" s="8">
        <v>9.428463445E9</v>
      </c>
      <c r="AA331" s="8" t="s">
        <v>3293</v>
      </c>
      <c r="AB331" s="8" t="s">
        <v>3289</v>
      </c>
      <c r="AC331" s="8">
        <v>9.428463445E9</v>
      </c>
      <c r="AD331" s="8" t="s">
        <v>3293</v>
      </c>
      <c r="AE331" s="8" t="s">
        <v>3289</v>
      </c>
      <c r="AF331" s="8">
        <v>9.428463445E9</v>
      </c>
      <c r="AG331" s="3" t="s">
        <v>3294</v>
      </c>
      <c r="AH331" s="8" t="s">
        <v>3295</v>
      </c>
      <c r="AI331" s="8" t="s">
        <v>3296</v>
      </c>
      <c r="AJ331" s="8">
        <v>1.0689934001E10</v>
      </c>
      <c r="AK331" s="8" t="s">
        <v>3017</v>
      </c>
      <c r="AL331" s="8" t="s">
        <v>3297</v>
      </c>
      <c r="AM331" s="8"/>
      <c r="AN331" s="8"/>
      <c r="AO331" s="8"/>
      <c r="AP331" s="8"/>
      <c r="AQ331" s="8"/>
      <c r="AR331" s="8"/>
      <c r="AS331" s="8"/>
      <c r="AT331" s="9" t="s">
        <v>3298</v>
      </c>
      <c r="AU331" s="8" t="s">
        <v>85</v>
      </c>
      <c r="AV331" s="8"/>
      <c r="AW331" s="8"/>
      <c r="AX331" s="8"/>
      <c r="AY331" s="8"/>
      <c r="AZ331" s="8" t="s">
        <v>86</v>
      </c>
      <c r="BA331" s="20" t="s">
        <v>86</v>
      </c>
      <c r="BB331" s="20" t="s">
        <v>86</v>
      </c>
      <c r="BC331" s="8">
        <v>0.0</v>
      </c>
    </row>
    <row r="332">
      <c r="A332" s="3" t="s">
        <v>3299</v>
      </c>
      <c r="B332" s="3" t="s">
        <v>3300</v>
      </c>
      <c r="C332" s="3" t="s">
        <v>3301</v>
      </c>
      <c r="D332" s="3"/>
      <c r="E332" s="3">
        <v>100000.0</v>
      </c>
      <c r="F332" s="3" t="s">
        <v>58</v>
      </c>
      <c r="G332" s="3" t="s">
        <v>3302</v>
      </c>
      <c r="H332" s="5" t="s">
        <v>3303</v>
      </c>
      <c r="I332" s="5" t="s">
        <v>3304</v>
      </c>
      <c r="J332" s="3" t="s">
        <v>3305</v>
      </c>
      <c r="K332" s="3">
        <v>9.879586085E9</v>
      </c>
      <c r="L332" s="6" t="s">
        <v>3306</v>
      </c>
      <c r="M332" s="3"/>
      <c r="N332" s="3" t="str">
        <f t="shared" si="57"/>
        <v>APPLE HONDA- VADODARA</v>
      </c>
      <c r="O332" s="3" t="str">
        <f t="shared" si="58"/>
        <v>1Z0RLxeDSU2deGe-M9N2_xaGVhFQVJm_tASIMLykuH6Q</v>
      </c>
      <c r="P332" s="3" t="s">
        <v>64</v>
      </c>
      <c r="Q332" s="8"/>
      <c r="R332" s="3" t="s">
        <v>3307</v>
      </c>
      <c r="S332" s="3" t="s">
        <v>3307</v>
      </c>
      <c r="T332" s="8" t="s">
        <v>638</v>
      </c>
      <c r="U332" s="8" t="s">
        <v>3308</v>
      </c>
      <c r="V332" s="8" t="s">
        <v>3305</v>
      </c>
      <c r="W332" s="8">
        <v>9.879586085E9</v>
      </c>
      <c r="X332" s="8" t="s">
        <v>3308</v>
      </c>
      <c r="Y332" s="8" t="s">
        <v>3305</v>
      </c>
      <c r="Z332" s="8">
        <v>9.879586085E9</v>
      </c>
      <c r="AA332" s="8" t="s">
        <v>3308</v>
      </c>
      <c r="AB332" s="8" t="s">
        <v>3305</v>
      </c>
      <c r="AC332" s="8">
        <v>9.879586085E9</v>
      </c>
      <c r="AD332" s="8" t="s">
        <v>3308</v>
      </c>
      <c r="AE332" s="8" t="s">
        <v>3305</v>
      </c>
      <c r="AF332" s="8">
        <v>9.879586085E9</v>
      </c>
      <c r="AG332" s="3" t="s">
        <v>3309</v>
      </c>
      <c r="AH332" s="8" t="s">
        <v>3310</v>
      </c>
      <c r="AI332" s="8" t="s">
        <v>3311</v>
      </c>
      <c r="AJ332" s="8">
        <v>3.8686910643E10</v>
      </c>
      <c r="AK332" s="8" t="s">
        <v>3312</v>
      </c>
      <c r="AL332" s="8" t="s">
        <v>3313</v>
      </c>
      <c r="AM332" s="8"/>
      <c r="AN332" s="8"/>
      <c r="AO332" s="8"/>
      <c r="AP332" s="8"/>
      <c r="AQ332" s="8"/>
      <c r="AR332" s="8"/>
      <c r="AS332" s="8"/>
      <c r="AT332" s="9" t="s">
        <v>3314</v>
      </c>
      <c r="AU332" s="8" t="s">
        <v>85</v>
      </c>
      <c r="AV332" s="8"/>
      <c r="AW332" s="8"/>
      <c r="AX332" s="8"/>
      <c r="AY332" s="8"/>
      <c r="AZ332" s="8" t="s">
        <v>86</v>
      </c>
      <c r="BA332" s="20" t="s">
        <v>86</v>
      </c>
      <c r="BB332" s="20" t="s">
        <v>86</v>
      </c>
      <c r="BC332" s="8">
        <v>0.0</v>
      </c>
    </row>
    <row r="333">
      <c r="A333" s="3" t="s">
        <v>3315</v>
      </c>
      <c r="B333" s="3" t="s">
        <v>3316</v>
      </c>
      <c r="C333" s="3" t="s">
        <v>3317</v>
      </c>
      <c r="D333" s="3"/>
      <c r="E333" s="3">
        <v>100000.0</v>
      </c>
      <c r="F333" s="3" t="s">
        <v>58</v>
      </c>
      <c r="G333" s="3" t="s">
        <v>3318</v>
      </c>
      <c r="H333" s="5" t="s">
        <v>3319</v>
      </c>
      <c r="I333" s="5" t="s">
        <v>3320</v>
      </c>
      <c r="J333" s="3" t="s">
        <v>3321</v>
      </c>
      <c r="K333" s="3">
        <v>9.926666444E9</v>
      </c>
      <c r="L333" s="6" t="s">
        <v>3322</v>
      </c>
      <c r="M333" s="3"/>
      <c r="N333" s="3" t="str">
        <f t="shared" si="57"/>
        <v>UTTAM MOTORS- Neemuch</v>
      </c>
      <c r="O333" s="3" t="str">
        <f t="shared" si="58"/>
        <v>1yvsl28_lUG4aa66iIPEwfNrCt2m4Np6IsUERJv8hjf4</v>
      </c>
      <c r="P333" s="3" t="s">
        <v>64</v>
      </c>
      <c r="Q333" s="8"/>
      <c r="R333" s="3" t="s">
        <v>3323</v>
      </c>
      <c r="S333" s="3" t="s">
        <v>3324</v>
      </c>
      <c r="T333" s="8" t="s">
        <v>208</v>
      </c>
      <c r="U333" s="8" t="s">
        <v>3325</v>
      </c>
      <c r="V333" s="8" t="s">
        <v>3321</v>
      </c>
      <c r="W333" s="8">
        <v>9.926666444E9</v>
      </c>
      <c r="X333" s="8" t="s">
        <v>3325</v>
      </c>
      <c r="Y333" s="8" t="s">
        <v>3321</v>
      </c>
      <c r="Z333" s="8">
        <v>9.926666444E9</v>
      </c>
      <c r="AA333" s="8" t="s">
        <v>3325</v>
      </c>
      <c r="AB333" s="8" t="s">
        <v>3321</v>
      </c>
      <c r="AC333" s="8">
        <v>9.926666444E9</v>
      </c>
      <c r="AD333" s="8" t="s">
        <v>3325</v>
      </c>
      <c r="AE333" s="8" t="s">
        <v>3321</v>
      </c>
      <c r="AF333" s="8">
        <v>9.926666444E9</v>
      </c>
      <c r="AG333" s="3" t="s">
        <v>3326</v>
      </c>
      <c r="AH333" s="8" t="s">
        <v>3327</v>
      </c>
      <c r="AI333" s="8" t="s">
        <v>3328</v>
      </c>
      <c r="AJ333" s="8">
        <v>3.6094678344E10</v>
      </c>
      <c r="AK333" s="8" t="s">
        <v>3017</v>
      </c>
      <c r="AL333" s="8" t="s">
        <v>3329</v>
      </c>
      <c r="AM333" s="8"/>
      <c r="AN333" s="8"/>
      <c r="AO333" s="8"/>
      <c r="AP333" s="8"/>
      <c r="AQ333" s="8"/>
      <c r="AR333" s="8"/>
      <c r="AS333" s="8"/>
      <c r="AT333" s="9" t="s">
        <v>3330</v>
      </c>
      <c r="AU333" s="8" t="s">
        <v>85</v>
      </c>
      <c r="AV333" s="8"/>
      <c r="AW333" s="8"/>
      <c r="AX333" s="8"/>
      <c r="AY333" s="8"/>
      <c r="AZ333" s="8" t="s">
        <v>86</v>
      </c>
      <c r="BA333" s="20" t="s">
        <v>86</v>
      </c>
      <c r="BB333" s="20" t="s">
        <v>86</v>
      </c>
      <c r="BC333" s="8">
        <v>0.0</v>
      </c>
    </row>
    <row r="334">
      <c r="A334" s="3" t="s">
        <v>3331</v>
      </c>
      <c r="B334" s="3" t="s">
        <v>3332</v>
      </c>
      <c r="C334" s="3" t="s">
        <v>3333</v>
      </c>
      <c r="D334" s="3"/>
      <c r="E334" s="3">
        <v>100000.0</v>
      </c>
      <c r="F334" s="3" t="s">
        <v>58</v>
      </c>
      <c r="G334" s="3" t="s">
        <v>3334</v>
      </c>
      <c r="H334" s="5" t="s">
        <v>3335</v>
      </c>
      <c r="I334" s="5" t="s">
        <v>3336</v>
      </c>
      <c r="J334" s="3" t="s">
        <v>3337</v>
      </c>
      <c r="K334" s="3">
        <v>9.316724311E9</v>
      </c>
      <c r="L334" s="16">
        <v>44776.62777777778</v>
      </c>
      <c r="M334" s="3"/>
      <c r="N334" s="3" t="str">
        <f t="shared" si="57"/>
        <v>Jaydeep Auto - Vadodra</v>
      </c>
      <c r="O334" s="3" t="str">
        <f t="shared" si="58"/>
        <v>1e3aaOiXSZCQrn6e8SubsYYbeE8N1r6f9D083h9kT6V4</v>
      </c>
      <c r="P334" s="3" t="s">
        <v>64</v>
      </c>
      <c r="Q334" s="8"/>
      <c r="R334" s="3" t="s">
        <v>3338</v>
      </c>
      <c r="S334" s="3" t="s">
        <v>3339</v>
      </c>
      <c r="T334" s="8" t="s">
        <v>638</v>
      </c>
      <c r="U334" s="8" t="s">
        <v>3340</v>
      </c>
      <c r="V334" s="8" t="s">
        <v>3337</v>
      </c>
      <c r="W334" s="8">
        <v>9.316724311E9</v>
      </c>
      <c r="X334" s="8" t="s">
        <v>3341</v>
      </c>
      <c r="Y334" s="8" t="s">
        <v>3337</v>
      </c>
      <c r="Z334" s="8">
        <v>9.316724305E9</v>
      </c>
      <c r="AA334" s="8" t="s">
        <v>3342</v>
      </c>
      <c r="AB334" s="8" t="s">
        <v>3337</v>
      </c>
      <c r="AC334" s="8">
        <v>7.574851599E9</v>
      </c>
      <c r="AD334" s="8" t="s">
        <v>3341</v>
      </c>
      <c r="AE334" s="8" t="s">
        <v>3337</v>
      </c>
      <c r="AF334" s="8">
        <v>9.316724305E9</v>
      </c>
      <c r="AG334" s="3" t="s">
        <v>3343</v>
      </c>
      <c r="AH334" s="8" t="s">
        <v>3344</v>
      </c>
      <c r="AI334" s="8" t="s">
        <v>3345</v>
      </c>
      <c r="AJ334" s="8">
        <v>7.7770519055E11</v>
      </c>
      <c r="AK334" s="8" t="s">
        <v>3346</v>
      </c>
      <c r="AL334" s="8" t="s">
        <v>3347</v>
      </c>
      <c r="AM334" s="8"/>
      <c r="AN334" s="8"/>
      <c r="AO334" s="8"/>
      <c r="AP334" s="8"/>
      <c r="AQ334" s="8"/>
      <c r="AR334" s="8"/>
      <c r="AS334" s="8"/>
      <c r="AT334" s="9" t="s">
        <v>3348</v>
      </c>
      <c r="AU334" s="8" t="s">
        <v>85</v>
      </c>
      <c r="AV334" s="8"/>
      <c r="AW334" s="8"/>
      <c r="AX334" s="8"/>
      <c r="AY334" s="8"/>
      <c r="AZ334" s="8" t="s">
        <v>86</v>
      </c>
      <c r="BA334" s="20" t="s">
        <v>86</v>
      </c>
      <c r="BB334" s="20" t="s">
        <v>86</v>
      </c>
      <c r="BC334" s="8">
        <v>0.0</v>
      </c>
    </row>
    <row r="335">
      <c r="A335" s="3" t="s">
        <v>3349</v>
      </c>
      <c r="B335" s="3" t="s">
        <v>3350</v>
      </c>
      <c r="C335" s="3" t="s">
        <v>3351</v>
      </c>
      <c r="D335" s="3"/>
      <c r="E335" s="3">
        <v>100000.0</v>
      </c>
      <c r="F335" s="3" t="s">
        <v>58</v>
      </c>
      <c r="G335" s="3" t="s">
        <v>3352</v>
      </c>
      <c r="H335" s="5" t="s">
        <v>3353</v>
      </c>
      <c r="I335" s="5" t="s">
        <v>3354</v>
      </c>
      <c r="J335" s="3" t="s">
        <v>3355</v>
      </c>
      <c r="K335" s="3">
        <v>9.42514862E9</v>
      </c>
      <c r="L335" s="16">
        <v>44868.603472222225</v>
      </c>
      <c r="M335" s="3"/>
      <c r="N335" s="3" t="str">
        <f t="shared" si="57"/>
        <v>PAL ENTERPRISE- VIDISHA</v>
      </c>
      <c r="O335" s="3" t="str">
        <f t="shared" si="58"/>
        <v>1r0KUrXS28gDx7-fgD3zjnrel7PaC3KXGiEtHPv0wv_M</v>
      </c>
      <c r="P335" s="3" t="s">
        <v>64</v>
      </c>
      <c r="Q335" s="8"/>
      <c r="R335" s="3" t="s">
        <v>3356</v>
      </c>
      <c r="S335" s="3" t="s">
        <v>3356</v>
      </c>
      <c r="T335" s="8" t="s">
        <v>208</v>
      </c>
      <c r="U335" s="8" t="s">
        <v>3357</v>
      </c>
      <c r="V335" s="8" t="s">
        <v>3355</v>
      </c>
      <c r="W335" s="8">
        <v>9.42514862E9</v>
      </c>
      <c r="X335" s="8" t="s">
        <v>3358</v>
      </c>
      <c r="Y335" s="8" t="s">
        <v>3355</v>
      </c>
      <c r="Z335" s="8">
        <v>9.42514862E9</v>
      </c>
      <c r="AA335" s="8" t="s">
        <v>3358</v>
      </c>
      <c r="AB335" s="8" t="s">
        <v>3355</v>
      </c>
      <c r="AC335" s="8">
        <v>9.42514862E9</v>
      </c>
      <c r="AD335" s="8" t="s">
        <v>3358</v>
      </c>
      <c r="AE335" s="8" t="s">
        <v>3355</v>
      </c>
      <c r="AF335" s="8">
        <v>9.42514862E9</v>
      </c>
      <c r="AG335" s="3" t="s">
        <v>3359</v>
      </c>
      <c r="AH335" s="8" t="s">
        <v>3360</v>
      </c>
      <c r="AI335" s="8" t="s">
        <v>3361</v>
      </c>
      <c r="AJ335" s="8">
        <v>1.00004679251E11</v>
      </c>
      <c r="AK335" s="8" t="s">
        <v>3362</v>
      </c>
      <c r="AL335" s="8" t="s">
        <v>3363</v>
      </c>
      <c r="AM335" s="8"/>
      <c r="AN335" s="8"/>
      <c r="AO335" s="8"/>
      <c r="AP335" s="8"/>
      <c r="AQ335" s="8"/>
      <c r="AR335" s="8"/>
      <c r="AS335" s="8"/>
      <c r="AT335" s="9" t="s">
        <v>3364</v>
      </c>
      <c r="AU335" s="8" t="s">
        <v>85</v>
      </c>
      <c r="AV335" s="8"/>
      <c r="AW335" s="8"/>
      <c r="AX335" s="8"/>
      <c r="AY335" s="8"/>
      <c r="AZ335" s="8" t="s">
        <v>86</v>
      </c>
      <c r="BA335" s="20" t="s">
        <v>86</v>
      </c>
      <c r="BB335" s="20" t="s">
        <v>86</v>
      </c>
      <c r="BC335" s="8">
        <v>0.0</v>
      </c>
    </row>
    <row r="336">
      <c r="A336" s="3" t="s">
        <v>3365</v>
      </c>
      <c r="B336" s="3" t="s">
        <v>3366</v>
      </c>
      <c r="C336" s="3" t="s">
        <v>3367</v>
      </c>
      <c r="D336" s="3"/>
      <c r="E336" s="3">
        <v>100000.0</v>
      </c>
      <c r="F336" s="3" t="s">
        <v>58</v>
      </c>
      <c r="G336" s="3" t="s">
        <v>3368</v>
      </c>
      <c r="H336" s="5" t="s">
        <v>3369</v>
      </c>
      <c r="I336" s="5" t="s">
        <v>3370</v>
      </c>
      <c r="J336" s="3" t="s">
        <v>3371</v>
      </c>
      <c r="K336" s="3">
        <v>9.234456397E9</v>
      </c>
      <c r="L336" s="6" t="s">
        <v>3372</v>
      </c>
      <c r="M336" s="3"/>
      <c r="N336" s="3" t="str">
        <f t="shared" si="57"/>
        <v>North Bihar Agro Agencies</v>
      </c>
      <c r="O336" s="3" t="str">
        <f t="shared" si="58"/>
        <v>1BMhoyJRK7DCg_LO256ufPw72_BuKa1iu3f1v8JCofH0</v>
      </c>
      <c r="P336" s="3" t="s">
        <v>64</v>
      </c>
      <c r="Q336" s="8"/>
      <c r="R336" s="3" t="s">
        <v>1812</v>
      </c>
      <c r="S336" s="3" t="s">
        <v>1812</v>
      </c>
      <c r="T336" s="8" t="s">
        <v>1308</v>
      </c>
      <c r="U336" s="8" t="s">
        <v>3373</v>
      </c>
      <c r="V336" s="8" t="s">
        <v>3371</v>
      </c>
      <c r="W336" s="8">
        <v>9.234456397E9</v>
      </c>
      <c r="X336" s="8" t="s">
        <v>3374</v>
      </c>
      <c r="Y336" s="8" t="s">
        <v>3371</v>
      </c>
      <c r="Z336" s="8">
        <v>9.234456391E9</v>
      </c>
      <c r="AA336" s="8" t="s">
        <v>3374</v>
      </c>
      <c r="AB336" s="8" t="s">
        <v>3371</v>
      </c>
      <c r="AC336" s="8">
        <v>9.234456391E9</v>
      </c>
      <c r="AD336" s="8" t="s">
        <v>3374</v>
      </c>
      <c r="AE336" s="8" t="s">
        <v>3371</v>
      </c>
      <c r="AF336" s="8">
        <v>9.234456391E9</v>
      </c>
      <c r="AG336" s="3" t="s">
        <v>3375</v>
      </c>
      <c r="AH336" s="8" t="s">
        <v>3376</v>
      </c>
      <c r="AI336" s="8" t="s">
        <v>3377</v>
      </c>
      <c r="AJ336" s="8">
        <v>3.0605011438E10</v>
      </c>
      <c r="AK336" s="8" t="s">
        <v>3378</v>
      </c>
      <c r="AL336" s="8" t="s">
        <v>3379</v>
      </c>
      <c r="AM336" s="8"/>
      <c r="AN336" s="8"/>
      <c r="AO336" s="8"/>
      <c r="AP336" s="8"/>
      <c r="AQ336" s="8"/>
      <c r="AR336" s="8"/>
      <c r="AS336" s="8"/>
      <c r="AT336" s="9" t="s">
        <v>3380</v>
      </c>
      <c r="AU336" s="8" t="s">
        <v>85</v>
      </c>
      <c r="AV336" s="8"/>
      <c r="AW336" s="8"/>
      <c r="AX336" s="8"/>
      <c r="AY336" s="8"/>
      <c r="AZ336" s="8" t="s">
        <v>86</v>
      </c>
      <c r="BA336" s="20" t="s">
        <v>86</v>
      </c>
      <c r="BB336" s="20" t="s">
        <v>86</v>
      </c>
      <c r="BC336" s="8">
        <v>0.0</v>
      </c>
    </row>
    <row r="337">
      <c r="A337" s="3" t="s">
        <v>3381</v>
      </c>
      <c r="B337" s="3" t="s">
        <v>3382</v>
      </c>
      <c r="C337" s="3" t="s">
        <v>3383</v>
      </c>
      <c r="D337" s="3"/>
      <c r="E337" s="3">
        <v>100000.0</v>
      </c>
      <c r="F337" s="3" t="s">
        <v>58</v>
      </c>
      <c r="G337" s="3" t="s">
        <v>3384</v>
      </c>
      <c r="H337" s="5" t="s">
        <v>3385</v>
      </c>
      <c r="I337" s="5" t="s">
        <v>3386</v>
      </c>
      <c r="J337" s="3" t="s">
        <v>3387</v>
      </c>
      <c r="K337" s="3">
        <v>8.92202085E9</v>
      </c>
      <c r="L337" s="6" t="s">
        <v>3388</v>
      </c>
      <c r="M337" s="3"/>
      <c r="N337" s="3" t="str">
        <f>(B269)</f>
        <v>Gupta Automobiles - Padrauna</v>
      </c>
      <c r="O337" s="3" t="str">
        <f>(A269)</f>
        <v>1Ql_6BdBcHGAyITSZt1pNUK3bW54CzeThIBXr7aH7K3Y</v>
      </c>
      <c r="P337" s="3" t="s">
        <v>142</v>
      </c>
      <c r="Q337" s="8"/>
      <c r="R337" s="3" t="s">
        <v>3389</v>
      </c>
      <c r="S337" s="3" t="s">
        <v>3389</v>
      </c>
      <c r="T337" s="8" t="s">
        <v>83</v>
      </c>
      <c r="U337" s="8" t="s">
        <v>3390</v>
      </c>
      <c r="V337" s="8" t="s">
        <v>3387</v>
      </c>
      <c r="W337" s="8">
        <v>8.92202085E9</v>
      </c>
      <c r="X337" s="8" t="s">
        <v>2514</v>
      </c>
      <c r="Y337" s="8" t="s">
        <v>3387</v>
      </c>
      <c r="Z337" s="8">
        <v>9.9369191E9</v>
      </c>
      <c r="AA337" s="8" t="s">
        <v>2514</v>
      </c>
      <c r="AB337" s="8" t="s">
        <v>3387</v>
      </c>
      <c r="AC337" s="8">
        <v>9.9369191E9</v>
      </c>
      <c r="AD337" s="8" t="s">
        <v>2514</v>
      </c>
      <c r="AE337" s="8" t="s">
        <v>3387</v>
      </c>
      <c r="AF337" s="8">
        <v>9.9369191E9</v>
      </c>
      <c r="AG337" s="3"/>
      <c r="AH337" s="8"/>
      <c r="AI337" s="8"/>
      <c r="AJ337" s="8"/>
      <c r="AK337" s="8"/>
      <c r="AL337" s="8"/>
      <c r="AM337" s="8"/>
      <c r="AN337" s="8"/>
      <c r="AO337" s="8"/>
      <c r="AP337" s="8"/>
      <c r="AQ337" s="8"/>
      <c r="AR337" s="8"/>
      <c r="AS337" s="8"/>
      <c r="AT337" s="9"/>
      <c r="AU337" s="8" t="s">
        <v>85</v>
      </c>
      <c r="AV337" s="8"/>
      <c r="AW337" s="8"/>
      <c r="AX337" s="8"/>
      <c r="AY337" s="8"/>
      <c r="AZ337" s="8" t="s">
        <v>86</v>
      </c>
      <c r="BA337" s="20" t="s">
        <v>86</v>
      </c>
      <c r="BB337" s="20" t="s">
        <v>86</v>
      </c>
      <c r="BC337" s="8">
        <v>0.0</v>
      </c>
    </row>
    <row r="338">
      <c r="A338" s="3" t="s">
        <v>3391</v>
      </c>
      <c r="B338" s="3" t="s">
        <v>3392</v>
      </c>
      <c r="C338" s="3" t="s">
        <v>3393</v>
      </c>
      <c r="D338" s="3"/>
      <c r="E338" s="3">
        <v>100000.0</v>
      </c>
      <c r="F338" s="3" t="s">
        <v>58</v>
      </c>
      <c r="G338" s="3" t="s">
        <v>3394</v>
      </c>
      <c r="H338" s="5" t="s">
        <v>3395</v>
      </c>
      <c r="I338" s="5" t="s">
        <v>3396</v>
      </c>
      <c r="J338" s="3" t="s">
        <v>3397</v>
      </c>
      <c r="K338" s="3">
        <v>9.471249918E9</v>
      </c>
      <c r="L338" s="6" t="s">
        <v>3398</v>
      </c>
      <c r="M338" s="3"/>
      <c r="N338" s="3" t="str">
        <f t="shared" ref="N338:N339" si="59">B338</f>
        <v>J.M Motors- Forbesganj</v>
      </c>
      <c r="O338" s="3" t="str">
        <f t="shared" ref="O338:O339" si="60">A338</f>
        <v>1LVFmg-oYUYvWwI6u3WOnpzEWG7hGErkioBifgg4ml3c</v>
      </c>
      <c r="P338" s="3" t="s">
        <v>64</v>
      </c>
      <c r="Q338" s="8"/>
      <c r="R338" s="3" t="s">
        <v>3399</v>
      </c>
      <c r="S338" s="3" t="s">
        <v>3400</v>
      </c>
      <c r="T338" s="8" t="s">
        <v>1308</v>
      </c>
      <c r="U338" s="8" t="s">
        <v>3401</v>
      </c>
      <c r="V338" s="8" t="s">
        <v>3397</v>
      </c>
      <c r="W338" s="8">
        <v>9.471249918E9</v>
      </c>
      <c r="X338" s="8" t="s">
        <v>3402</v>
      </c>
      <c r="Y338" s="8" t="s">
        <v>3397</v>
      </c>
      <c r="Z338" s="8">
        <v>9.12219019E9</v>
      </c>
      <c r="AA338" s="8" t="s">
        <v>3402</v>
      </c>
      <c r="AB338" s="8" t="s">
        <v>3397</v>
      </c>
      <c r="AC338" s="8">
        <v>9.471249918E9</v>
      </c>
      <c r="AD338" s="8" t="s">
        <v>3402</v>
      </c>
      <c r="AE338" s="8" t="s">
        <v>3397</v>
      </c>
      <c r="AF338" s="8">
        <v>9.471249918E9</v>
      </c>
      <c r="AG338" s="3"/>
      <c r="AH338" s="8" t="s">
        <v>3403</v>
      </c>
      <c r="AI338" s="8" t="s">
        <v>3404</v>
      </c>
      <c r="AJ338" s="8">
        <v>2.1711530005033E13</v>
      </c>
      <c r="AK338" s="8" t="s">
        <v>3405</v>
      </c>
      <c r="AL338" s="8" t="s">
        <v>3406</v>
      </c>
      <c r="AM338" s="8"/>
      <c r="AN338" s="8"/>
      <c r="AO338" s="8"/>
      <c r="AP338" s="8"/>
      <c r="AQ338" s="8"/>
      <c r="AR338" s="8"/>
      <c r="AS338" s="8"/>
      <c r="AT338" s="9" t="s">
        <v>3407</v>
      </c>
      <c r="AU338" s="8" t="s">
        <v>85</v>
      </c>
      <c r="AV338" s="8"/>
      <c r="AW338" s="8"/>
      <c r="AX338" s="8"/>
      <c r="AY338" s="8"/>
      <c r="AZ338" s="8" t="s">
        <v>86</v>
      </c>
      <c r="BA338" s="20" t="s">
        <v>86</v>
      </c>
      <c r="BB338" s="20" t="s">
        <v>86</v>
      </c>
      <c r="BC338" s="8">
        <v>0.0</v>
      </c>
    </row>
    <row r="339">
      <c r="A339" s="3" t="s">
        <v>3408</v>
      </c>
      <c r="B339" s="3" t="s">
        <v>3409</v>
      </c>
      <c r="C339" s="3" t="s">
        <v>3410</v>
      </c>
      <c r="D339" s="3"/>
      <c r="E339" s="3">
        <v>100000.0</v>
      </c>
      <c r="F339" s="3" t="s">
        <v>58</v>
      </c>
      <c r="G339" s="3" t="s">
        <v>3411</v>
      </c>
      <c r="H339" s="5" t="s">
        <v>3412</v>
      </c>
      <c r="I339" s="5" t="s">
        <v>3413</v>
      </c>
      <c r="J339" s="3" t="s">
        <v>3414</v>
      </c>
      <c r="K339" s="3">
        <v>9.4153283E9</v>
      </c>
      <c r="L339" s="6" t="s">
        <v>3415</v>
      </c>
      <c r="M339" s="3"/>
      <c r="N339" s="3" t="str">
        <f t="shared" si="59"/>
        <v>Mahabir Automobiles -Sultanpur</v>
      </c>
      <c r="O339" s="3" t="str">
        <f t="shared" si="60"/>
        <v>1fHCHQnIWmfXqP4jwi-agXjfK1q2zM0BUeG3fwB0qApc</v>
      </c>
      <c r="P339" s="3" t="s">
        <v>64</v>
      </c>
      <c r="Q339" s="8"/>
      <c r="R339" s="3" t="s">
        <v>1087</v>
      </c>
      <c r="S339" s="3" t="s">
        <v>1087</v>
      </c>
      <c r="T339" s="8" t="s">
        <v>83</v>
      </c>
      <c r="U339" s="8" t="s">
        <v>3416</v>
      </c>
      <c r="V339" s="8" t="s">
        <v>3414</v>
      </c>
      <c r="W339" s="8">
        <v>9.4153283E9</v>
      </c>
      <c r="X339" s="8" t="s">
        <v>3416</v>
      </c>
      <c r="Y339" s="8" t="s">
        <v>3414</v>
      </c>
      <c r="Z339" s="8">
        <v>9.4153283E9</v>
      </c>
      <c r="AA339" s="8" t="s">
        <v>3416</v>
      </c>
      <c r="AB339" s="8" t="s">
        <v>3414</v>
      </c>
      <c r="AC339" s="8">
        <v>9.4153283E9</v>
      </c>
      <c r="AD339" s="8" t="s">
        <v>3416</v>
      </c>
      <c r="AE339" s="8" t="s">
        <v>3414</v>
      </c>
      <c r="AF339" s="8">
        <v>9.4153283E9</v>
      </c>
      <c r="AG339" s="3" t="s">
        <v>3417</v>
      </c>
      <c r="AH339" s="8" t="s">
        <v>3418</v>
      </c>
      <c r="AI339" s="8" t="s">
        <v>3419</v>
      </c>
      <c r="AJ339" s="8">
        <v>1.1166809045E10</v>
      </c>
      <c r="AK339" s="8" t="s">
        <v>3420</v>
      </c>
      <c r="AL339" s="8" t="s">
        <v>3421</v>
      </c>
      <c r="AM339" s="8"/>
      <c r="AN339" s="8"/>
      <c r="AO339" s="8"/>
      <c r="AP339" s="8"/>
      <c r="AQ339" s="8"/>
      <c r="AR339" s="8"/>
      <c r="AS339" s="8"/>
      <c r="AT339" s="9" t="s">
        <v>3422</v>
      </c>
      <c r="AU339" s="8" t="s">
        <v>85</v>
      </c>
      <c r="AV339" s="8"/>
      <c r="AW339" s="8"/>
      <c r="AX339" s="8"/>
      <c r="AY339" s="8"/>
      <c r="AZ339" s="8" t="s">
        <v>86</v>
      </c>
      <c r="BA339" s="20" t="s">
        <v>86</v>
      </c>
      <c r="BB339" s="20" t="s">
        <v>86</v>
      </c>
      <c r="BC339" s="8">
        <v>0.0</v>
      </c>
    </row>
    <row r="340">
      <c r="A340" s="3" t="s">
        <v>3423</v>
      </c>
      <c r="B340" s="3" t="s">
        <v>3424</v>
      </c>
      <c r="C340" s="3" t="s">
        <v>3425</v>
      </c>
      <c r="D340" s="3"/>
      <c r="E340" s="3">
        <v>100000.0</v>
      </c>
      <c r="F340" s="3" t="s">
        <v>58</v>
      </c>
      <c r="G340" s="3" t="s">
        <v>3426</v>
      </c>
      <c r="H340" s="5" t="s">
        <v>3427</v>
      </c>
      <c r="I340" s="5" t="s">
        <v>3428</v>
      </c>
      <c r="J340" s="3" t="s">
        <v>3429</v>
      </c>
      <c r="K340" s="3">
        <v>9.794652002E9</v>
      </c>
      <c r="L340" s="6" t="s">
        <v>3430</v>
      </c>
      <c r="M340" s="3"/>
      <c r="N340" s="3" t="str">
        <f>(B218)</f>
        <v>NITIN MATANHELIA - GORAKHPUR</v>
      </c>
      <c r="O340" s="3" t="str">
        <f>(A218)</f>
        <v>1pIkLTEq99ZID0V0k8H0hOFXZDJQMaAoy2fsIol-e81k</v>
      </c>
      <c r="P340" s="3" t="s">
        <v>142</v>
      </c>
      <c r="Q340" s="8"/>
      <c r="R340" s="3" t="s">
        <v>1578</v>
      </c>
      <c r="S340" s="3" t="s">
        <v>1578</v>
      </c>
      <c r="T340" s="8" t="s">
        <v>83</v>
      </c>
      <c r="U340" s="8" t="s">
        <v>3431</v>
      </c>
      <c r="V340" s="8" t="s">
        <v>3429</v>
      </c>
      <c r="W340" s="8">
        <v>9.794652002E9</v>
      </c>
      <c r="X340" s="8" t="s">
        <v>3431</v>
      </c>
      <c r="Y340" s="8" t="s">
        <v>3429</v>
      </c>
      <c r="Z340" s="8">
        <v>9.794652002E9</v>
      </c>
      <c r="AA340" s="8" t="s">
        <v>3431</v>
      </c>
      <c r="AB340" s="8" t="s">
        <v>3429</v>
      </c>
      <c r="AC340" s="8">
        <v>9.794652002E9</v>
      </c>
      <c r="AD340" s="8" t="s">
        <v>3431</v>
      </c>
      <c r="AE340" s="8" t="s">
        <v>3429</v>
      </c>
      <c r="AF340" s="8">
        <v>9.794652002E9</v>
      </c>
      <c r="AG340" s="3" t="s">
        <v>3432</v>
      </c>
      <c r="AH340" s="8" t="s">
        <v>3433</v>
      </c>
      <c r="AI340" s="8" t="s">
        <v>3434</v>
      </c>
      <c r="AJ340" s="8">
        <v>3.9044305038E10</v>
      </c>
      <c r="AK340" s="8" t="s">
        <v>3435</v>
      </c>
      <c r="AL340" s="8" t="s">
        <v>3436</v>
      </c>
      <c r="AM340" s="8"/>
      <c r="AN340" s="8"/>
      <c r="AO340" s="8"/>
      <c r="AP340" s="8"/>
      <c r="AQ340" s="8"/>
      <c r="AR340" s="8"/>
      <c r="AS340" s="8"/>
      <c r="AT340" s="9" t="s">
        <v>3437</v>
      </c>
      <c r="AU340" s="8" t="s">
        <v>85</v>
      </c>
      <c r="AV340" s="8"/>
      <c r="AW340" s="8"/>
      <c r="AX340" s="8"/>
      <c r="AY340" s="8"/>
      <c r="AZ340" s="8" t="s">
        <v>86</v>
      </c>
      <c r="BA340" s="20" t="s">
        <v>86</v>
      </c>
      <c r="BB340" s="20" t="s">
        <v>86</v>
      </c>
      <c r="BC340" s="8">
        <v>0.0</v>
      </c>
    </row>
    <row r="341">
      <c r="A341" s="3" t="s">
        <v>3438</v>
      </c>
      <c r="B341" s="3" t="s">
        <v>3439</v>
      </c>
      <c r="C341" s="3" t="s">
        <v>3440</v>
      </c>
      <c r="D341" s="3"/>
      <c r="E341" s="3">
        <v>100000.0</v>
      </c>
      <c r="F341" s="3" t="s">
        <v>58</v>
      </c>
      <c r="G341" s="3" t="s">
        <v>3441</v>
      </c>
      <c r="H341" s="5" t="s">
        <v>3442</v>
      </c>
      <c r="I341" s="5" t="s">
        <v>3443</v>
      </c>
      <c r="J341" s="3" t="s">
        <v>3444</v>
      </c>
      <c r="K341" s="3">
        <v>9.415211851E9</v>
      </c>
      <c r="L341" s="6" t="s">
        <v>3445</v>
      </c>
      <c r="M341" s="3"/>
      <c r="N341" s="3" t="str">
        <f>(B218)</f>
        <v>NITIN MATANHELIA - GORAKHPUR</v>
      </c>
      <c r="O341" s="3" t="str">
        <f>(A218)</f>
        <v>1pIkLTEq99ZID0V0k8H0hOFXZDJQMaAoy2fsIol-e81k</v>
      </c>
      <c r="P341" s="3" t="s">
        <v>142</v>
      </c>
      <c r="Q341" s="8"/>
      <c r="R341" s="3" t="s">
        <v>2006</v>
      </c>
      <c r="S341" s="3" t="s">
        <v>2006</v>
      </c>
      <c r="T341" s="8" t="s">
        <v>83</v>
      </c>
      <c r="U341" s="8" t="s">
        <v>3446</v>
      </c>
      <c r="V341" s="8" t="s">
        <v>3444</v>
      </c>
      <c r="W341" s="8">
        <v>9.415211851E9</v>
      </c>
      <c r="X341" s="8" t="s">
        <v>3447</v>
      </c>
      <c r="Y341" s="8" t="s">
        <v>3444</v>
      </c>
      <c r="Z341" s="8">
        <v>9.415211851E9</v>
      </c>
      <c r="AA341" s="8" t="s">
        <v>3447</v>
      </c>
      <c r="AB341" s="8" t="s">
        <v>3444</v>
      </c>
      <c r="AC341" s="8">
        <v>9.415211851E9</v>
      </c>
      <c r="AD341" s="8" t="s">
        <v>3447</v>
      </c>
      <c r="AE341" s="8" t="s">
        <v>3444</v>
      </c>
      <c r="AF341" s="8">
        <v>9.415211851E9</v>
      </c>
      <c r="AG341" s="3"/>
      <c r="AH341" s="8"/>
      <c r="AI341" s="8"/>
      <c r="AJ341" s="8"/>
      <c r="AK341" s="8"/>
      <c r="AL341" s="8"/>
      <c r="AM341" s="8"/>
      <c r="AN341" s="8"/>
      <c r="AO341" s="8"/>
      <c r="AP341" s="8"/>
      <c r="AQ341" s="8"/>
      <c r="AR341" s="8"/>
      <c r="AS341" s="8"/>
      <c r="AT341" s="9"/>
      <c r="AU341" s="8" t="s">
        <v>85</v>
      </c>
      <c r="AV341" s="8"/>
      <c r="AW341" s="8"/>
      <c r="AX341" s="8"/>
      <c r="AY341" s="8"/>
      <c r="AZ341" s="8" t="s">
        <v>86</v>
      </c>
      <c r="BA341" s="20" t="s">
        <v>86</v>
      </c>
      <c r="BB341" s="20" t="s">
        <v>86</v>
      </c>
      <c r="BC341" s="8">
        <v>0.0</v>
      </c>
    </row>
    <row r="342">
      <c r="A342" s="3" t="s">
        <v>3448</v>
      </c>
      <c r="B342" s="3" t="s">
        <v>3449</v>
      </c>
      <c r="C342" s="3" t="s">
        <v>3450</v>
      </c>
      <c r="D342" s="3"/>
      <c r="E342" s="3">
        <v>100000.0</v>
      </c>
      <c r="F342" s="3" t="s">
        <v>58</v>
      </c>
      <c r="G342" s="3" t="s">
        <v>3451</v>
      </c>
      <c r="H342" s="5" t="s">
        <v>3452</v>
      </c>
      <c r="I342" s="5" t="s">
        <v>3453</v>
      </c>
      <c r="J342" s="3" t="s">
        <v>3454</v>
      </c>
      <c r="K342" s="3">
        <v>9.931554555E9</v>
      </c>
      <c r="L342" s="16">
        <v>44624.59305555555</v>
      </c>
      <c r="M342" s="3"/>
      <c r="N342" s="3" t="str">
        <f t="shared" ref="N342:N345" si="61">B342</f>
        <v>KANHAIYA MOTORS- BHADARUGANJ</v>
      </c>
      <c r="O342" s="3" t="str">
        <f t="shared" ref="O342:O345" si="62">A342</f>
        <v>1Bgq0uJUKdFTQouDxCzlEEpEbjOG76Fl_PVNJNSPhG8Y</v>
      </c>
      <c r="P342" s="3" t="s">
        <v>64</v>
      </c>
      <c r="Q342" s="8"/>
      <c r="R342" s="3" t="s">
        <v>3455</v>
      </c>
      <c r="S342" s="3" t="s">
        <v>3455</v>
      </c>
      <c r="T342" s="8" t="s">
        <v>1308</v>
      </c>
      <c r="U342" s="8" t="s">
        <v>3456</v>
      </c>
      <c r="V342" s="8" t="s">
        <v>3454</v>
      </c>
      <c r="W342" s="8">
        <v>9.931554555E9</v>
      </c>
      <c r="X342" s="8" t="s">
        <v>3456</v>
      </c>
      <c r="Y342" s="8" t="s">
        <v>3454</v>
      </c>
      <c r="Z342" s="8">
        <v>9.931554555E9</v>
      </c>
      <c r="AA342" s="8" t="s">
        <v>3456</v>
      </c>
      <c r="AB342" s="8" t="s">
        <v>3454</v>
      </c>
      <c r="AC342" s="8">
        <v>9.931554555E9</v>
      </c>
      <c r="AD342" s="8" t="s">
        <v>3456</v>
      </c>
      <c r="AE342" s="8" t="s">
        <v>3454</v>
      </c>
      <c r="AF342" s="8">
        <v>9.931554555E9</v>
      </c>
      <c r="AG342" s="3"/>
      <c r="AH342" s="8" t="s">
        <v>3457</v>
      </c>
      <c r="AI342" s="8" t="s">
        <v>3458</v>
      </c>
      <c r="AJ342" s="8">
        <v>3.8098407953E10</v>
      </c>
      <c r="AK342" s="8" t="s">
        <v>3090</v>
      </c>
      <c r="AL342" s="8" t="s">
        <v>3459</v>
      </c>
      <c r="AM342" s="8"/>
      <c r="AN342" s="8"/>
      <c r="AO342" s="8"/>
      <c r="AP342" s="8"/>
      <c r="AQ342" s="8"/>
      <c r="AR342" s="8"/>
      <c r="AS342" s="8"/>
      <c r="AT342" s="9" t="s">
        <v>3460</v>
      </c>
      <c r="AU342" s="8" t="s">
        <v>85</v>
      </c>
      <c r="AV342" s="8"/>
      <c r="AW342" s="8"/>
      <c r="AX342" s="8"/>
      <c r="AY342" s="8"/>
      <c r="AZ342" s="8" t="s">
        <v>86</v>
      </c>
      <c r="BA342" s="20" t="s">
        <v>86</v>
      </c>
      <c r="BB342" s="20" t="s">
        <v>86</v>
      </c>
      <c r="BC342" s="8">
        <v>0.0</v>
      </c>
    </row>
    <row r="343">
      <c r="A343" s="3" t="s">
        <v>3461</v>
      </c>
      <c r="B343" s="3" t="s">
        <v>3462</v>
      </c>
      <c r="C343" s="3" t="s">
        <v>3463</v>
      </c>
      <c r="D343" s="3"/>
      <c r="E343" s="3">
        <v>100000.0</v>
      </c>
      <c r="F343" s="3" t="s">
        <v>58</v>
      </c>
      <c r="G343" s="3" t="s">
        <v>3464</v>
      </c>
      <c r="H343" s="5" t="s">
        <v>3465</v>
      </c>
      <c r="I343" s="5" t="s">
        <v>3466</v>
      </c>
      <c r="J343" s="3" t="s">
        <v>3467</v>
      </c>
      <c r="K343" s="3">
        <v>9.3344037E9</v>
      </c>
      <c r="L343" s="16">
        <v>44655.45416666667</v>
      </c>
      <c r="M343" s="3"/>
      <c r="N343" s="3" t="str">
        <f t="shared" si="61"/>
        <v>ANAS MOTORS- SUPAUL</v>
      </c>
      <c r="O343" s="3" t="str">
        <f t="shared" si="62"/>
        <v>1QVBShIrTLBej8s_qXhBmCICNAN5JsR5KakezwfMLZV0</v>
      </c>
      <c r="P343" s="3" t="s">
        <v>64</v>
      </c>
      <c r="Q343" s="8"/>
      <c r="R343" s="3" t="s">
        <v>3468</v>
      </c>
      <c r="S343" s="3" t="s">
        <v>3468</v>
      </c>
      <c r="T343" s="8" t="s">
        <v>1308</v>
      </c>
      <c r="U343" s="8" t="s">
        <v>3469</v>
      </c>
      <c r="V343" s="8" t="s">
        <v>3467</v>
      </c>
      <c r="W343" s="8">
        <v>9.3344037E9</v>
      </c>
      <c r="X343" s="8" t="s">
        <v>3470</v>
      </c>
      <c r="Y343" s="8" t="s">
        <v>3467</v>
      </c>
      <c r="Z343" s="8">
        <v>7.991189637E9</v>
      </c>
      <c r="AA343" s="8" t="s">
        <v>3471</v>
      </c>
      <c r="AB343" s="8" t="s">
        <v>3467</v>
      </c>
      <c r="AC343" s="8">
        <v>7.991189637E9</v>
      </c>
      <c r="AD343" s="8" t="s">
        <v>3471</v>
      </c>
      <c r="AE343" s="8" t="s">
        <v>3472</v>
      </c>
      <c r="AF343" s="8">
        <v>7.991189637E9</v>
      </c>
      <c r="AG343" s="3" t="s">
        <v>3473</v>
      </c>
      <c r="AH343" s="8" t="s">
        <v>3474</v>
      </c>
      <c r="AI343" s="8" t="s">
        <v>3475</v>
      </c>
      <c r="AJ343" s="8">
        <v>3.7737537818E10</v>
      </c>
      <c r="AK343" s="8" t="s">
        <v>3017</v>
      </c>
      <c r="AL343" s="8" t="s">
        <v>3476</v>
      </c>
      <c r="AM343" s="8"/>
      <c r="AN343" s="8"/>
      <c r="AO343" s="8"/>
      <c r="AP343" s="8"/>
      <c r="AQ343" s="8"/>
      <c r="AR343" s="8"/>
      <c r="AS343" s="8"/>
      <c r="AT343" s="9" t="s">
        <v>3477</v>
      </c>
      <c r="AU343" s="8" t="s">
        <v>85</v>
      </c>
      <c r="AV343" s="8"/>
      <c r="AW343" s="8"/>
      <c r="AX343" s="8"/>
      <c r="AY343" s="8"/>
      <c r="AZ343" s="8" t="s">
        <v>86</v>
      </c>
      <c r="BA343" s="20" t="s">
        <v>86</v>
      </c>
      <c r="BB343" s="20" t="s">
        <v>86</v>
      </c>
      <c r="BC343" s="8">
        <v>0.0</v>
      </c>
    </row>
    <row r="344">
      <c r="A344" s="3" t="s">
        <v>3478</v>
      </c>
      <c r="B344" s="3" t="s">
        <v>3479</v>
      </c>
      <c r="C344" s="3" t="s">
        <v>3480</v>
      </c>
      <c r="D344" s="3"/>
      <c r="E344" s="3">
        <v>100000.0</v>
      </c>
      <c r="F344" s="3" t="s">
        <v>58</v>
      </c>
      <c r="G344" s="3" t="s">
        <v>3481</v>
      </c>
      <c r="H344" s="5" t="s">
        <v>3482</v>
      </c>
      <c r="I344" s="5" t="s">
        <v>3483</v>
      </c>
      <c r="J344" s="3" t="s">
        <v>3484</v>
      </c>
      <c r="K344" s="3">
        <v>9.424899777E9</v>
      </c>
      <c r="L344" s="16">
        <v>44685.529861111114</v>
      </c>
      <c r="M344" s="3"/>
      <c r="N344" s="3" t="str">
        <f t="shared" si="61"/>
        <v>SHRI RAM AUTOMOBILES - HATPIPLIYA</v>
      </c>
      <c r="O344" s="3" t="str">
        <f t="shared" si="62"/>
        <v>1lHqETbIH4pLQdUL2QQgIDownEvMU9QozqqnIMcLSCfg</v>
      </c>
      <c r="P344" s="3" t="s">
        <v>64</v>
      </c>
      <c r="Q344" s="8"/>
      <c r="R344" s="3" t="s">
        <v>3485</v>
      </c>
      <c r="S344" s="3" t="s">
        <v>3485</v>
      </c>
      <c r="T344" s="8" t="s">
        <v>208</v>
      </c>
      <c r="U344" s="8" t="s">
        <v>3486</v>
      </c>
      <c r="V344" s="8" t="s">
        <v>3484</v>
      </c>
      <c r="W344" s="8">
        <v>9.424899777E9</v>
      </c>
      <c r="X344" s="8" t="s">
        <v>3487</v>
      </c>
      <c r="Y344" s="8" t="s">
        <v>3484</v>
      </c>
      <c r="Z344" s="8">
        <v>9.424899777E9</v>
      </c>
      <c r="AA344" s="8" t="s">
        <v>3487</v>
      </c>
      <c r="AB344" s="8" t="s">
        <v>3484</v>
      </c>
      <c r="AC344" s="8">
        <v>9.424899777E9</v>
      </c>
      <c r="AD344" s="8" t="s">
        <v>3487</v>
      </c>
      <c r="AE344" s="8" t="s">
        <v>3484</v>
      </c>
      <c r="AF344" s="8">
        <v>9.424899777E9</v>
      </c>
      <c r="AG344" s="3" t="s">
        <v>3488</v>
      </c>
      <c r="AH344" s="8" t="s">
        <v>3489</v>
      </c>
      <c r="AI344" s="8" t="s">
        <v>3490</v>
      </c>
      <c r="AJ344" s="8">
        <v>3.65005001166E11</v>
      </c>
      <c r="AK344" s="8" t="s">
        <v>3491</v>
      </c>
      <c r="AL344" s="8" t="s">
        <v>3492</v>
      </c>
      <c r="AM344" s="8"/>
      <c r="AN344" s="8"/>
      <c r="AO344" s="8"/>
      <c r="AP344" s="8"/>
      <c r="AQ344" s="8"/>
      <c r="AR344" s="8"/>
      <c r="AS344" s="8"/>
      <c r="AT344" s="9" t="s">
        <v>3493</v>
      </c>
      <c r="AU344" s="8" t="s">
        <v>85</v>
      </c>
      <c r="AV344" s="8"/>
      <c r="AW344" s="8"/>
      <c r="AX344" s="8"/>
      <c r="AY344" s="8"/>
      <c r="AZ344" s="8" t="s">
        <v>86</v>
      </c>
      <c r="BA344" s="20" t="s">
        <v>86</v>
      </c>
      <c r="BB344" s="20" t="s">
        <v>86</v>
      </c>
      <c r="BC344" s="8">
        <v>0.0</v>
      </c>
    </row>
    <row r="345">
      <c r="A345" s="3" t="s">
        <v>3494</v>
      </c>
      <c r="B345" s="3" t="s">
        <v>3495</v>
      </c>
      <c r="C345" s="3" t="s">
        <v>3496</v>
      </c>
      <c r="D345" s="3"/>
      <c r="E345" s="3">
        <v>100000.0</v>
      </c>
      <c r="F345" s="3" t="s">
        <v>58</v>
      </c>
      <c r="G345" s="3" t="s">
        <v>3497</v>
      </c>
      <c r="H345" s="5" t="s">
        <v>3498</v>
      </c>
      <c r="I345" s="5" t="s">
        <v>3499</v>
      </c>
      <c r="J345" s="3" t="s">
        <v>3500</v>
      </c>
      <c r="K345" s="3">
        <v>8.210904066E9</v>
      </c>
      <c r="L345" s="16">
        <v>44685.595138888886</v>
      </c>
      <c r="M345" s="3"/>
      <c r="N345" s="3" t="str">
        <f t="shared" si="61"/>
        <v>KHAGARIA AUTO AGENCY- KHAGARIA</v>
      </c>
      <c r="O345" s="3" t="str">
        <f t="shared" si="62"/>
        <v>1igxhDrZmAR4XaBSU0Vyrw9LNbKLoFuELF4hEOFDqD9M</v>
      </c>
      <c r="P345" s="3" t="s">
        <v>64</v>
      </c>
      <c r="Q345" s="8"/>
      <c r="R345" s="3" t="s">
        <v>3501</v>
      </c>
      <c r="S345" s="3" t="s">
        <v>3501</v>
      </c>
      <c r="T345" s="8" t="s">
        <v>1308</v>
      </c>
      <c r="U345" s="8" t="s">
        <v>3502</v>
      </c>
      <c r="V345" s="8" t="s">
        <v>3500</v>
      </c>
      <c r="W345" s="8">
        <v>8.210904066E9</v>
      </c>
      <c r="X345" s="8" t="s">
        <v>3503</v>
      </c>
      <c r="Y345" s="8" t="s">
        <v>3500</v>
      </c>
      <c r="Z345" s="8">
        <v>8.210904066E9</v>
      </c>
      <c r="AA345" s="8" t="s">
        <v>3503</v>
      </c>
      <c r="AB345" s="8" t="s">
        <v>3500</v>
      </c>
      <c r="AC345" s="8">
        <v>8.210904066E9</v>
      </c>
      <c r="AD345" s="8" t="s">
        <v>3504</v>
      </c>
      <c r="AE345" s="8" t="s">
        <v>3500</v>
      </c>
      <c r="AF345" s="8">
        <v>8.210904066E9</v>
      </c>
      <c r="AG345" s="3" t="s">
        <v>3505</v>
      </c>
      <c r="AH345" s="8" t="s">
        <v>3506</v>
      </c>
      <c r="AI345" s="8" t="s">
        <v>3507</v>
      </c>
      <c r="AJ345" s="8">
        <v>3.291261000001E12</v>
      </c>
      <c r="AK345" s="8" t="s">
        <v>3508</v>
      </c>
      <c r="AL345" s="8" t="s">
        <v>3509</v>
      </c>
      <c r="AM345" s="8"/>
      <c r="AN345" s="8"/>
      <c r="AO345" s="8"/>
      <c r="AP345" s="8"/>
      <c r="AQ345" s="8"/>
      <c r="AR345" s="8"/>
      <c r="AS345" s="8"/>
      <c r="AT345" s="9" t="s">
        <v>3510</v>
      </c>
      <c r="AU345" s="8" t="s">
        <v>85</v>
      </c>
      <c r="AV345" s="8"/>
      <c r="AW345" s="8"/>
      <c r="AX345" s="8"/>
      <c r="AY345" s="8"/>
      <c r="AZ345" s="8" t="s">
        <v>86</v>
      </c>
      <c r="BA345" s="20" t="s">
        <v>86</v>
      </c>
      <c r="BB345" s="20" t="s">
        <v>86</v>
      </c>
      <c r="BC345" s="8">
        <v>0.0</v>
      </c>
    </row>
    <row r="346">
      <c r="A346" s="3" t="s">
        <v>3511</v>
      </c>
      <c r="B346" s="3" t="s">
        <v>3512</v>
      </c>
      <c r="C346" s="3" t="s">
        <v>3513</v>
      </c>
      <c r="D346" s="3"/>
      <c r="E346" s="3">
        <v>100000.0</v>
      </c>
      <c r="F346" s="3" t="s">
        <v>58</v>
      </c>
      <c r="G346" s="3" t="s">
        <v>3514</v>
      </c>
      <c r="H346" s="5" t="s">
        <v>3515</v>
      </c>
      <c r="I346" s="5" t="s">
        <v>3516</v>
      </c>
      <c r="J346" s="3" t="s">
        <v>3517</v>
      </c>
      <c r="K346" s="3">
        <v>9.3344037E9</v>
      </c>
      <c r="L346" s="16">
        <v>44685.75833333333</v>
      </c>
      <c r="M346" s="3"/>
      <c r="N346" s="3" t="str">
        <f>(B343)</f>
        <v>ANAS MOTORS- SUPAUL</v>
      </c>
      <c r="O346" s="3" t="str">
        <f>(A343)</f>
        <v>1QVBShIrTLBej8s_qXhBmCICNAN5JsR5KakezwfMLZV0</v>
      </c>
      <c r="P346" s="3" t="s">
        <v>142</v>
      </c>
      <c r="Q346" s="8"/>
      <c r="R346" s="3" t="s">
        <v>3518</v>
      </c>
      <c r="S346" s="3" t="s">
        <v>3518</v>
      </c>
      <c r="T346" s="8" t="s">
        <v>1308</v>
      </c>
      <c r="U346" s="8" t="s">
        <v>3469</v>
      </c>
      <c r="V346" s="8" t="s">
        <v>3517</v>
      </c>
      <c r="W346" s="8">
        <v>9.3344037E9</v>
      </c>
      <c r="X346" s="8" t="s">
        <v>3470</v>
      </c>
      <c r="Y346" s="8" t="s">
        <v>3517</v>
      </c>
      <c r="Z346" s="8">
        <v>7.991189637E9</v>
      </c>
      <c r="AA346" s="8" t="s">
        <v>3470</v>
      </c>
      <c r="AB346" s="8" t="s">
        <v>3517</v>
      </c>
      <c r="AC346" s="8">
        <v>7.991189637E9</v>
      </c>
      <c r="AD346" s="8" t="s">
        <v>3470</v>
      </c>
      <c r="AE346" s="8" t="s">
        <v>3517</v>
      </c>
      <c r="AF346" s="8">
        <v>7.991189637E9</v>
      </c>
      <c r="AG346" s="3"/>
      <c r="AH346" s="8"/>
      <c r="AI346" s="8"/>
      <c r="AJ346" s="8"/>
      <c r="AK346" s="8"/>
      <c r="AL346" s="8"/>
      <c r="AM346" s="8"/>
      <c r="AN346" s="8"/>
      <c r="AO346" s="8"/>
      <c r="AP346" s="8"/>
      <c r="AQ346" s="8"/>
      <c r="AR346" s="8"/>
      <c r="AS346" s="8"/>
      <c r="AT346" s="9"/>
      <c r="AU346" s="8" t="s">
        <v>85</v>
      </c>
      <c r="AV346" s="8"/>
      <c r="AW346" s="8"/>
      <c r="AX346" s="8"/>
      <c r="AY346" s="8"/>
      <c r="AZ346" s="8" t="s">
        <v>86</v>
      </c>
      <c r="BA346" s="20" t="s">
        <v>86</v>
      </c>
      <c r="BB346" s="20" t="s">
        <v>86</v>
      </c>
      <c r="BC346" s="8">
        <v>0.0</v>
      </c>
    </row>
    <row r="347">
      <c r="A347" s="3" t="s">
        <v>3519</v>
      </c>
      <c r="B347" s="3" t="s">
        <v>3520</v>
      </c>
      <c r="C347" s="3" t="s">
        <v>3521</v>
      </c>
      <c r="D347" s="3"/>
      <c r="E347" s="3">
        <v>100000.0</v>
      </c>
      <c r="F347" s="3" t="s">
        <v>58</v>
      </c>
      <c r="G347" s="3" t="s">
        <v>3522</v>
      </c>
      <c r="H347" s="5" t="s">
        <v>3523</v>
      </c>
      <c r="I347" s="5" t="s">
        <v>3524</v>
      </c>
      <c r="J347" s="3" t="s">
        <v>3525</v>
      </c>
      <c r="K347" s="3">
        <v>9.3344037E9</v>
      </c>
      <c r="L347" s="16">
        <v>44685.760416666664</v>
      </c>
      <c r="M347" s="3"/>
      <c r="N347" s="3" t="str">
        <f>(B343)</f>
        <v>ANAS MOTORS- SUPAUL</v>
      </c>
      <c r="O347" s="3" t="str">
        <f>(A343)</f>
        <v>1QVBShIrTLBej8s_qXhBmCICNAN5JsR5KakezwfMLZV0</v>
      </c>
      <c r="P347" s="3" t="s">
        <v>142</v>
      </c>
      <c r="Q347" s="8"/>
      <c r="R347" s="3" t="s">
        <v>3526</v>
      </c>
      <c r="S347" s="3" t="s">
        <v>3526</v>
      </c>
      <c r="T347" s="8" t="s">
        <v>1308</v>
      </c>
      <c r="U347" s="8" t="s">
        <v>3469</v>
      </c>
      <c r="V347" s="8" t="s">
        <v>3525</v>
      </c>
      <c r="W347" s="8">
        <v>9.3344037E9</v>
      </c>
      <c r="X347" s="8" t="s">
        <v>3470</v>
      </c>
      <c r="Y347" s="8" t="s">
        <v>3525</v>
      </c>
      <c r="Z347" s="8">
        <v>7.991189637E9</v>
      </c>
      <c r="AA347" s="8" t="s">
        <v>3470</v>
      </c>
      <c r="AB347" s="8" t="s">
        <v>3525</v>
      </c>
      <c r="AC347" s="8">
        <v>7.991189637E9</v>
      </c>
      <c r="AD347" s="8" t="s">
        <v>3470</v>
      </c>
      <c r="AE347" s="8" t="s">
        <v>3525</v>
      </c>
      <c r="AF347" s="8">
        <v>7.991189637E9</v>
      </c>
      <c r="AG347" s="3"/>
      <c r="AH347" s="8"/>
      <c r="AI347" s="8"/>
      <c r="AJ347" s="8"/>
      <c r="AK347" s="8"/>
      <c r="AL347" s="8"/>
      <c r="AM347" s="8"/>
      <c r="AN347" s="8"/>
      <c r="AO347" s="8"/>
      <c r="AP347" s="8"/>
      <c r="AQ347" s="8"/>
      <c r="AR347" s="8"/>
      <c r="AS347" s="8"/>
      <c r="AT347" s="9"/>
      <c r="AU347" s="8" t="s">
        <v>85</v>
      </c>
      <c r="AV347" s="8"/>
      <c r="AW347" s="8"/>
      <c r="AX347" s="8"/>
      <c r="AY347" s="8"/>
      <c r="AZ347" s="8" t="s">
        <v>86</v>
      </c>
      <c r="BA347" s="20" t="s">
        <v>86</v>
      </c>
      <c r="BB347" s="20" t="s">
        <v>86</v>
      </c>
      <c r="BC347" s="8">
        <v>0.0</v>
      </c>
    </row>
    <row r="348">
      <c r="A348" s="3" t="s">
        <v>3527</v>
      </c>
      <c r="B348" s="3" t="s">
        <v>3528</v>
      </c>
      <c r="C348" s="3" t="s">
        <v>3529</v>
      </c>
      <c r="D348" s="3"/>
      <c r="E348" s="3">
        <v>100000.0</v>
      </c>
      <c r="F348" s="3" t="s">
        <v>58</v>
      </c>
      <c r="G348" s="3" t="s">
        <v>3530</v>
      </c>
      <c r="H348" s="5" t="s">
        <v>3531</v>
      </c>
      <c r="I348" s="5" t="s">
        <v>3532</v>
      </c>
      <c r="J348" s="3" t="s">
        <v>3533</v>
      </c>
      <c r="K348" s="3">
        <v>9.3344037E9</v>
      </c>
      <c r="L348" s="16">
        <v>44685.76180555556</v>
      </c>
      <c r="M348" s="3"/>
      <c r="N348" s="3" t="str">
        <f>(B343)</f>
        <v>ANAS MOTORS- SUPAUL</v>
      </c>
      <c r="O348" s="3" t="str">
        <f>(A343)</f>
        <v>1QVBShIrTLBej8s_qXhBmCICNAN5JsR5KakezwfMLZV0</v>
      </c>
      <c r="P348" s="3" t="s">
        <v>142</v>
      </c>
      <c r="Q348" s="8"/>
      <c r="R348" s="3" t="s">
        <v>3534</v>
      </c>
      <c r="S348" s="3" t="s">
        <v>3534</v>
      </c>
      <c r="T348" s="8" t="s">
        <v>1308</v>
      </c>
      <c r="U348" s="8" t="s">
        <v>3469</v>
      </c>
      <c r="V348" s="8" t="s">
        <v>3533</v>
      </c>
      <c r="W348" s="8">
        <v>9.3344037E9</v>
      </c>
      <c r="X348" s="8" t="s">
        <v>3470</v>
      </c>
      <c r="Y348" s="8" t="s">
        <v>3533</v>
      </c>
      <c r="Z348" s="8">
        <v>7.991189637E9</v>
      </c>
      <c r="AA348" s="8" t="s">
        <v>3470</v>
      </c>
      <c r="AB348" s="8" t="s">
        <v>3533</v>
      </c>
      <c r="AC348" s="8">
        <v>7.991189637E9</v>
      </c>
      <c r="AD348" s="8" t="s">
        <v>3470</v>
      </c>
      <c r="AE348" s="8" t="s">
        <v>3533</v>
      </c>
      <c r="AF348" s="8">
        <v>7.991189637E9</v>
      </c>
      <c r="AG348" s="3"/>
      <c r="AH348" s="8"/>
      <c r="AI348" s="8"/>
      <c r="AJ348" s="8"/>
      <c r="AK348" s="8"/>
      <c r="AL348" s="8"/>
      <c r="AM348" s="8"/>
      <c r="AN348" s="8"/>
      <c r="AO348" s="8"/>
      <c r="AP348" s="8"/>
      <c r="AQ348" s="8"/>
      <c r="AR348" s="8"/>
      <c r="AS348" s="8"/>
      <c r="AT348" s="9"/>
      <c r="AU348" s="8" t="s">
        <v>85</v>
      </c>
      <c r="AV348" s="8"/>
      <c r="AW348" s="8"/>
      <c r="AX348" s="8"/>
      <c r="AY348" s="8"/>
      <c r="AZ348" s="8" t="s">
        <v>86</v>
      </c>
      <c r="BA348" s="20" t="s">
        <v>86</v>
      </c>
      <c r="BB348" s="20" t="s">
        <v>86</v>
      </c>
      <c r="BC348" s="8">
        <v>0.0</v>
      </c>
    </row>
    <row r="349">
      <c r="A349" s="3" t="s">
        <v>3535</v>
      </c>
      <c r="B349" s="3" t="s">
        <v>3536</v>
      </c>
      <c r="C349" s="3" t="s">
        <v>3537</v>
      </c>
      <c r="D349" s="3"/>
      <c r="E349" s="3">
        <v>100000.0</v>
      </c>
      <c r="F349" s="3" t="s">
        <v>58</v>
      </c>
      <c r="G349" s="3" t="s">
        <v>3538</v>
      </c>
      <c r="H349" s="5" t="s">
        <v>3539</v>
      </c>
      <c r="I349" s="5" t="s">
        <v>3540</v>
      </c>
      <c r="J349" s="3" t="s">
        <v>3541</v>
      </c>
      <c r="K349" s="3">
        <v>9.3344037E9</v>
      </c>
      <c r="L349" s="16">
        <v>44685.76388888889</v>
      </c>
      <c r="M349" s="3"/>
      <c r="N349" s="3" t="str">
        <f>(B343)</f>
        <v>ANAS MOTORS- SUPAUL</v>
      </c>
      <c r="O349" s="3" t="str">
        <f>(A343)</f>
        <v>1QVBShIrTLBej8s_qXhBmCICNAN5JsR5KakezwfMLZV0</v>
      </c>
      <c r="P349" s="3" t="s">
        <v>142</v>
      </c>
      <c r="Q349" s="8"/>
      <c r="R349" s="3" t="s">
        <v>3534</v>
      </c>
      <c r="S349" s="3" t="s">
        <v>3534</v>
      </c>
      <c r="T349" s="8" t="s">
        <v>1308</v>
      </c>
      <c r="U349" s="8" t="s">
        <v>3469</v>
      </c>
      <c r="V349" s="8" t="s">
        <v>3541</v>
      </c>
      <c r="W349" s="8">
        <v>9.3344037E9</v>
      </c>
      <c r="X349" s="8" t="s">
        <v>3470</v>
      </c>
      <c r="Y349" s="8" t="s">
        <v>3541</v>
      </c>
      <c r="Z349" s="8">
        <v>7.991189637E9</v>
      </c>
      <c r="AA349" s="8" t="s">
        <v>3470</v>
      </c>
      <c r="AB349" s="8" t="s">
        <v>3541</v>
      </c>
      <c r="AC349" s="8">
        <v>7.991189637E9</v>
      </c>
      <c r="AD349" s="8" t="s">
        <v>3470</v>
      </c>
      <c r="AE349" s="8" t="s">
        <v>3541</v>
      </c>
      <c r="AF349" s="8">
        <v>7.991189637E9</v>
      </c>
      <c r="AG349" s="3"/>
      <c r="AH349" s="8"/>
      <c r="AI349" s="8"/>
      <c r="AJ349" s="8"/>
      <c r="AK349" s="8"/>
      <c r="AL349" s="8"/>
      <c r="AM349" s="8"/>
      <c r="AN349" s="8"/>
      <c r="AO349" s="8"/>
      <c r="AP349" s="8"/>
      <c r="AQ349" s="8"/>
      <c r="AR349" s="8"/>
      <c r="AS349" s="8"/>
      <c r="AT349" s="9"/>
      <c r="AU349" s="8" t="s">
        <v>85</v>
      </c>
      <c r="AV349" s="8"/>
      <c r="AW349" s="8"/>
      <c r="AX349" s="8"/>
      <c r="AY349" s="8"/>
      <c r="AZ349" s="8" t="s">
        <v>86</v>
      </c>
      <c r="BA349" s="20" t="s">
        <v>86</v>
      </c>
      <c r="BB349" s="20" t="s">
        <v>86</v>
      </c>
      <c r="BC349" s="8">
        <v>0.0</v>
      </c>
    </row>
    <row r="350">
      <c r="A350" s="3" t="s">
        <v>3542</v>
      </c>
      <c r="B350" s="3" t="s">
        <v>3543</v>
      </c>
      <c r="C350" s="3" t="s">
        <v>3544</v>
      </c>
      <c r="D350" s="3"/>
      <c r="E350" s="3">
        <v>100000.0</v>
      </c>
      <c r="F350" s="3" t="s">
        <v>58</v>
      </c>
      <c r="G350" s="3" t="s">
        <v>3545</v>
      </c>
      <c r="H350" s="5" t="s">
        <v>3546</v>
      </c>
      <c r="I350" s="5" t="s">
        <v>3547</v>
      </c>
      <c r="J350" s="3" t="s">
        <v>3548</v>
      </c>
      <c r="K350" s="3">
        <v>9.826080039E9</v>
      </c>
      <c r="L350" s="16">
        <v>44777.99236111111</v>
      </c>
      <c r="M350" s="3"/>
      <c r="N350" s="3" t="str">
        <f>B350</f>
        <v>KHURANA MOTORS- DEWAS</v>
      </c>
      <c r="O350" s="3" t="str">
        <f>A350</f>
        <v>15UOdwT--s7Zl9Su2K5mgFsbjsO9NxCbTdpJ5AlQkVMM</v>
      </c>
      <c r="P350" s="3" t="s">
        <v>64</v>
      </c>
      <c r="Q350" s="8"/>
      <c r="R350" s="3" t="s">
        <v>3549</v>
      </c>
      <c r="S350" s="3" t="s">
        <v>3549</v>
      </c>
      <c r="T350" s="8" t="s">
        <v>208</v>
      </c>
      <c r="U350" s="8" t="s">
        <v>3550</v>
      </c>
      <c r="V350" s="8" t="s">
        <v>3548</v>
      </c>
      <c r="W350" s="8">
        <v>9.826080039E9</v>
      </c>
      <c r="X350" s="8" t="s">
        <v>3551</v>
      </c>
      <c r="Y350" s="8" t="s">
        <v>3548</v>
      </c>
      <c r="Z350" s="8">
        <v>9.926141143E9</v>
      </c>
      <c r="AA350" s="8" t="s">
        <v>3551</v>
      </c>
      <c r="AB350" s="8" t="s">
        <v>3548</v>
      </c>
      <c r="AC350" s="8">
        <v>9.926141143E9</v>
      </c>
      <c r="AD350" s="8" t="s">
        <v>3551</v>
      </c>
      <c r="AE350" s="8" t="s">
        <v>3548</v>
      </c>
      <c r="AF350" s="8">
        <v>9.926141143E9</v>
      </c>
      <c r="AG350" s="3"/>
      <c r="AH350" s="8" t="s">
        <v>3552</v>
      </c>
      <c r="AI350" s="8" t="s">
        <v>3553</v>
      </c>
      <c r="AJ350" s="8">
        <v>7.5905003174E10</v>
      </c>
      <c r="AK350" s="8" t="s">
        <v>3554</v>
      </c>
      <c r="AL350" s="8" t="s">
        <v>3555</v>
      </c>
      <c r="AM350" s="8"/>
      <c r="AN350" s="8"/>
      <c r="AO350" s="8"/>
      <c r="AP350" s="8"/>
      <c r="AQ350" s="8"/>
      <c r="AR350" s="8"/>
      <c r="AS350" s="8"/>
      <c r="AT350" s="9" t="s">
        <v>3556</v>
      </c>
      <c r="AU350" s="8" t="s">
        <v>85</v>
      </c>
      <c r="AV350" s="8"/>
      <c r="AW350" s="8"/>
      <c r="AX350" s="8"/>
      <c r="AY350" s="8"/>
      <c r="AZ350" s="8" t="s">
        <v>86</v>
      </c>
      <c r="BA350" s="20" t="s">
        <v>86</v>
      </c>
      <c r="BB350" s="20" t="s">
        <v>86</v>
      </c>
      <c r="BC350" s="8">
        <v>0.0</v>
      </c>
    </row>
    <row r="351">
      <c r="A351" s="3" t="s">
        <v>3557</v>
      </c>
      <c r="B351" s="3" t="s">
        <v>3558</v>
      </c>
      <c r="C351" s="3" t="s">
        <v>3559</v>
      </c>
      <c r="D351" s="3"/>
      <c r="E351" s="3">
        <v>100000.0</v>
      </c>
      <c r="F351" s="3" t="s">
        <v>58</v>
      </c>
      <c r="G351" s="3" t="s">
        <v>3560</v>
      </c>
      <c r="H351" s="5" t="s">
        <v>3561</v>
      </c>
      <c r="I351" s="5" t="s">
        <v>3562</v>
      </c>
      <c r="J351" s="3" t="s">
        <v>3563</v>
      </c>
      <c r="K351" s="3">
        <v>9.4153283E9</v>
      </c>
      <c r="L351" s="16">
        <v>44838.63402777778</v>
      </c>
      <c r="M351" s="3"/>
      <c r="N351" s="3" t="str">
        <f>(B339)</f>
        <v>Mahabir Automobiles -Sultanpur</v>
      </c>
      <c r="O351" s="3" t="str">
        <f>(A339)</f>
        <v>1fHCHQnIWmfXqP4jwi-agXjfK1q2zM0BUeG3fwB0qApc</v>
      </c>
      <c r="P351" s="3" t="s">
        <v>142</v>
      </c>
      <c r="Q351" s="8"/>
      <c r="R351" s="3" t="s">
        <v>1087</v>
      </c>
      <c r="S351" s="3" t="s">
        <v>3564</v>
      </c>
      <c r="T351" s="8" t="s">
        <v>83</v>
      </c>
      <c r="U351" s="8" t="s">
        <v>3565</v>
      </c>
      <c r="V351" s="8" t="s">
        <v>3563</v>
      </c>
      <c r="W351" s="8">
        <v>9.4153283E9</v>
      </c>
      <c r="X351" s="8" t="s">
        <v>3565</v>
      </c>
      <c r="Y351" s="8" t="s">
        <v>3563</v>
      </c>
      <c r="Z351" s="8">
        <v>9.4153283E9</v>
      </c>
      <c r="AA351" s="8" t="s">
        <v>3565</v>
      </c>
      <c r="AB351" s="8" t="s">
        <v>3563</v>
      </c>
      <c r="AC351" s="8">
        <v>9.4153283E9</v>
      </c>
      <c r="AD351" s="8" t="s">
        <v>3565</v>
      </c>
      <c r="AE351" s="8" t="s">
        <v>3563</v>
      </c>
      <c r="AF351" s="8">
        <v>9.4153283E9</v>
      </c>
      <c r="AG351" s="3"/>
      <c r="AH351" s="8"/>
      <c r="AI351" s="8"/>
      <c r="AJ351" s="8"/>
      <c r="AK351" s="8"/>
      <c r="AL351" s="8"/>
      <c r="AM351" s="8"/>
      <c r="AN351" s="8"/>
      <c r="AO351" s="8"/>
      <c r="AP351" s="8"/>
      <c r="AQ351" s="8"/>
      <c r="AR351" s="8"/>
      <c r="AS351" s="8"/>
      <c r="AT351" s="9"/>
      <c r="AU351" s="8" t="s">
        <v>85</v>
      </c>
      <c r="AV351" s="8"/>
      <c r="AW351" s="8"/>
      <c r="AX351" s="8"/>
      <c r="AY351" s="8"/>
      <c r="AZ351" s="8" t="s">
        <v>86</v>
      </c>
      <c r="BA351" s="20" t="s">
        <v>86</v>
      </c>
      <c r="BB351" s="20" t="s">
        <v>86</v>
      </c>
      <c r="BC351" s="8">
        <v>0.0</v>
      </c>
    </row>
    <row r="352">
      <c r="A352" s="3" t="s">
        <v>3566</v>
      </c>
      <c r="B352" s="3" t="s">
        <v>3567</v>
      </c>
      <c r="C352" s="3" t="s">
        <v>3568</v>
      </c>
      <c r="D352" s="3"/>
      <c r="E352" s="3">
        <v>100000.0</v>
      </c>
      <c r="F352" s="3" t="s">
        <v>58</v>
      </c>
      <c r="G352" s="3" t="s">
        <v>3569</v>
      </c>
      <c r="H352" s="5" t="s">
        <v>3570</v>
      </c>
      <c r="I352" s="5" t="s">
        <v>3571</v>
      </c>
      <c r="J352" s="3" t="s">
        <v>3572</v>
      </c>
      <c r="K352" s="3">
        <v>9.4153283E9</v>
      </c>
      <c r="L352" s="16">
        <v>44899.763194444444</v>
      </c>
      <c r="M352" s="3"/>
      <c r="N352" s="3" t="str">
        <f>(B339)</f>
        <v>Mahabir Automobiles -Sultanpur</v>
      </c>
      <c r="O352" s="3" t="str">
        <f>(A339)</f>
        <v>1fHCHQnIWmfXqP4jwi-agXjfK1q2zM0BUeG3fwB0qApc</v>
      </c>
      <c r="P352" s="3" t="s">
        <v>142</v>
      </c>
      <c r="Q352" s="8"/>
      <c r="R352" s="3" t="s">
        <v>3573</v>
      </c>
      <c r="S352" s="3" t="s">
        <v>3573</v>
      </c>
      <c r="T352" s="8" t="s">
        <v>83</v>
      </c>
      <c r="U352" s="8" t="s">
        <v>3416</v>
      </c>
      <c r="V352" s="8" t="s">
        <v>3572</v>
      </c>
      <c r="W352" s="8">
        <v>9.4153283E9</v>
      </c>
      <c r="X352" s="8" t="s">
        <v>3416</v>
      </c>
      <c r="Y352" s="8" t="s">
        <v>3572</v>
      </c>
      <c r="Z352" s="8">
        <v>9.4153283E9</v>
      </c>
      <c r="AA352" s="8" t="s">
        <v>3416</v>
      </c>
      <c r="AB352" s="8" t="s">
        <v>3572</v>
      </c>
      <c r="AC352" s="8">
        <v>9.4153283E9</v>
      </c>
      <c r="AD352" s="8" t="s">
        <v>3416</v>
      </c>
      <c r="AE352" s="8" t="s">
        <v>3572</v>
      </c>
      <c r="AF352" s="8">
        <v>9.4153283E9</v>
      </c>
      <c r="AG352" s="3"/>
      <c r="AH352" s="8"/>
      <c r="AI352" s="8"/>
      <c r="AJ352" s="8"/>
      <c r="AK352" s="8"/>
      <c r="AL352" s="8"/>
      <c r="AM352" s="8"/>
      <c r="AN352" s="8"/>
      <c r="AO352" s="8"/>
      <c r="AP352" s="8"/>
      <c r="AQ352" s="8"/>
      <c r="AR352" s="8"/>
      <c r="AS352" s="8"/>
      <c r="AT352" s="9"/>
      <c r="AU352" s="8" t="s">
        <v>85</v>
      </c>
      <c r="AV352" s="8"/>
      <c r="AW352" s="8"/>
      <c r="AX352" s="8"/>
      <c r="AY352" s="8"/>
      <c r="AZ352" s="8" t="s">
        <v>86</v>
      </c>
      <c r="BA352" s="20" t="s">
        <v>86</v>
      </c>
      <c r="BB352" s="20" t="s">
        <v>86</v>
      </c>
      <c r="BC352" s="8">
        <v>0.0</v>
      </c>
    </row>
    <row r="353">
      <c r="A353" s="3" t="s">
        <v>3574</v>
      </c>
      <c r="B353" s="3" t="s">
        <v>3575</v>
      </c>
      <c r="C353" s="3" t="s">
        <v>3576</v>
      </c>
      <c r="D353" s="3"/>
      <c r="E353" s="3">
        <v>100000.0</v>
      </c>
      <c r="F353" s="3" t="s">
        <v>58</v>
      </c>
      <c r="G353" s="3" t="s">
        <v>3577</v>
      </c>
      <c r="H353" s="5" t="s">
        <v>3578</v>
      </c>
      <c r="I353" s="5" t="s">
        <v>3579</v>
      </c>
      <c r="J353" s="3" t="s">
        <v>3580</v>
      </c>
      <c r="K353" s="3">
        <v>9.4153283E9</v>
      </c>
      <c r="L353" s="6" t="s">
        <v>3581</v>
      </c>
      <c r="M353" s="3"/>
      <c r="N353" s="3" t="str">
        <f>(B339)</f>
        <v>Mahabir Automobiles -Sultanpur</v>
      </c>
      <c r="O353" s="3" t="str">
        <f>(A339)</f>
        <v>1fHCHQnIWmfXqP4jwi-agXjfK1q2zM0BUeG3fwB0qApc</v>
      </c>
      <c r="P353" s="3" t="s">
        <v>142</v>
      </c>
      <c r="Q353" s="8"/>
      <c r="R353" s="3" t="s">
        <v>3582</v>
      </c>
      <c r="S353" s="3" t="s">
        <v>3582</v>
      </c>
      <c r="T353" s="8" t="s">
        <v>83</v>
      </c>
      <c r="U353" s="8" t="s">
        <v>3416</v>
      </c>
      <c r="V353" s="8" t="s">
        <v>3414</v>
      </c>
      <c r="W353" s="8">
        <v>9.4153283E9</v>
      </c>
      <c r="X353" s="8" t="s">
        <v>3416</v>
      </c>
      <c r="Y353" s="8" t="s">
        <v>3414</v>
      </c>
      <c r="Z353" s="8">
        <v>9.4153283E9</v>
      </c>
      <c r="AA353" s="8" t="s">
        <v>3416</v>
      </c>
      <c r="AB353" s="8" t="s">
        <v>3414</v>
      </c>
      <c r="AC353" s="8">
        <v>9.4153283E9</v>
      </c>
      <c r="AD353" s="8" t="s">
        <v>3416</v>
      </c>
      <c r="AE353" s="8" t="s">
        <v>3414</v>
      </c>
      <c r="AF353" s="8">
        <v>9.4153283E9</v>
      </c>
      <c r="AG353" s="3"/>
      <c r="AH353" s="8"/>
      <c r="AI353" s="8"/>
      <c r="AJ353" s="8"/>
      <c r="AK353" s="8"/>
      <c r="AL353" s="8"/>
      <c r="AM353" s="8"/>
      <c r="AN353" s="8"/>
      <c r="AO353" s="8"/>
      <c r="AP353" s="8"/>
      <c r="AQ353" s="8"/>
      <c r="AR353" s="8"/>
      <c r="AS353" s="8"/>
      <c r="AT353" s="9"/>
      <c r="AU353" s="8" t="s">
        <v>85</v>
      </c>
      <c r="AV353" s="8"/>
      <c r="AW353" s="8"/>
      <c r="AX353" s="8"/>
      <c r="AY353" s="8"/>
      <c r="AZ353" s="8" t="s">
        <v>86</v>
      </c>
      <c r="BA353" s="20" t="s">
        <v>86</v>
      </c>
      <c r="BB353" s="20" t="s">
        <v>86</v>
      </c>
      <c r="BC353" s="8">
        <v>0.0</v>
      </c>
    </row>
    <row r="354">
      <c r="A354" s="3" t="s">
        <v>3583</v>
      </c>
      <c r="B354" s="3" t="s">
        <v>3584</v>
      </c>
      <c r="C354" s="3" t="s">
        <v>3585</v>
      </c>
      <c r="D354" s="3"/>
      <c r="E354" s="3">
        <v>100000.0</v>
      </c>
      <c r="F354" s="3" t="s">
        <v>58</v>
      </c>
      <c r="G354" s="3" t="s">
        <v>3586</v>
      </c>
      <c r="H354" s="5" t="s">
        <v>3587</v>
      </c>
      <c r="I354" s="5" t="s">
        <v>3588</v>
      </c>
      <c r="J354" s="3" t="s">
        <v>3589</v>
      </c>
      <c r="K354" s="3">
        <v>9.4153283E9</v>
      </c>
      <c r="L354" s="6" t="s">
        <v>3590</v>
      </c>
      <c r="M354" s="3"/>
      <c r="N354" s="3" t="str">
        <f>(B339)</f>
        <v>Mahabir Automobiles -Sultanpur</v>
      </c>
      <c r="O354" s="3" t="str">
        <f>(A339)</f>
        <v>1fHCHQnIWmfXqP4jwi-agXjfK1q2zM0BUeG3fwB0qApc</v>
      </c>
      <c r="P354" s="3" t="s">
        <v>142</v>
      </c>
      <c r="Q354" s="8"/>
      <c r="R354" s="3" t="s">
        <v>3591</v>
      </c>
      <c r="S354" s="3" t="s">
        <v>3591</v>
      </c>
      <c r="T354" s="8" t="s">
        <v>83</v>
      </c>
      <c r="U354" s="8" t="s">
        <v>3416</v>
      </c>
      <c r="V354" s="8" t="s">
        <v>3414</v>
      </c>
      <c r="W354" s="8">
        <v>9.4153283E9</v>
      </c>
      <c r="X354" s="8" t="s">
        <v>3416</v>
      </c>
      <c r="Y354" s="8" t="s">
        <v>3414</v>
      </c>
      <c r="Z354" s="8">
        <v>9.4153283E9</v>
      </c>
      <c r="AA354" s="8" t="s">
        <v>3416</v>
      </c>
      <c r="AB354" s="8" t="s">
        <v>3414</v>
      </c>
      <c r="AC354" s="8">
        <v>9.4153283E9</v>
      </c>
      <c r="AD354" s="8" t="s">
        <v>3416</v>
      </c>
      <c r="AE354" s="8" t="s">
        <v>3414</v>
      </c>
      <c r="AF354" s="8">
        <v>9.4153283E9</v>
      </c>
      <c r="AG354" s="3"/>
      <c r="AH354" s="8"/>
      <c r="AI354" s="8"/>
      <c r="AJ354" s="8"/>
      <c r="AK354" s="8"/>
      <c r="AL354" s="8"/>
      <c r="AM354" s="8"/>
      <c r="AN354" s="8"/>
      <c r="AO354" s="8"/>
      <c r="AP354" s="8"/>
      <c r="AQ354" s="8"/>
      <c r="AR354" s="8"/>
      <c r="AS354" s="8"/>
      <c r="AT354" s="9"/>
      <c r="AU354" s="8" t="s">
        <v>85</v>
      </c>
      <c r="AV354" s="8"/>
      <c r="AW354" s="8"/>
      <c r="AX354" s="8"/>
      <c r="AY354" s="8"/>
      <c r="AZ354" s="8" t="s">
        <v>86</v>
      </c>
      <c r="BA354" s="20" t="s">
        <v>86</v>
      </c>
      <c r="BB354" s="20" t="s">
        <v>86</v>
      </c>
      <c r="BC354" s="8">
        <v>0.0</v>
      </c>
    </row>
    <row r="355">
      <c r="A355" s="3" t="s">
        <v>3592</v>
      </c>
      <c r="B355" s="3" t="s">
        <v>3593</v>
      </c>
      <c r="C355" s="3" t="s">
        <v>3594</v>
      </c>
      <c r="D355" s="3"/>
      <c r="E355" s="3">
        <v>100000.0</v>
      </c>
      <c r="F355" s="3" t="s">
        <v>58</v>
      </c>
      <c r="G355" s="3" t="s">
        <v>3595</v>
      </c>
      <c r="H355" s="5" t="s">
        <v>3596</v>
      </c>
      <c r="I355" s="5" t="s">
        <v>3597</v>
      </c>
      <c r="J355" s="3" t="s">
        <v>3598</v>
      </c>
      <c r="K355" s="3">
        <v>9.4153283E9</v>
      </c>
      <c r="L355" s="6" t="s">
        <v>3599</v>
      </c>
      <c r="M355" s="3"/>
      <c r="N355" s="3" t="str">
        <f>(B339)</f>
        <v>Mahabir Automobiles -Sultanpur</v>
      </c>
      <c r="O355" s="3" t="str">
        <f>(A339)</f>
        <v>1fHCHQnIWmfXqP4jwi-agXjfK1q2zM0BUeG3fwB0qApc</v>
      </c>
      <c r="P355" s="3" t="s">
        <v>142</v>
      </c>
      <c r="Q355" s="8"/>
      <c r="R355" s="3" t="s">
        <v>3600</v>
      </c>
      <c r="S355" s="3" t="s">
        <v>3600</v>
      </c>
      <c r="T355" s="8" t="s">
        <v>83</v>
      </c>
      <c r="U355" s="8" t="s">
        <v>3416</v>
      </c>
      <c r="V355" s="8" t="s">
        <v>3414</v>
      </c>
      <c r="W355" s="8">
        <v>9.4153283E9</v>
      </c>
      <c r="X355" s="8" t="s">
        <v>3416</v>
      </c>
      <c r="Y355" s="8" t="s">
        <v>3414</v>
      </c>
      <c r="Z355" s="8">
        <v>9.4153283E9</v>
      </c>
      <c r="AA355" s="8" t="s">
        <v>3416</v>
      </c>
      <c r="AB355" s="8" t="s">
        <v>3414</v>
      </c>
      <c r="AC355" s="8">
        <v>9.4153283E9</v>
      </c>
      <c r="AD355" s="8" t="s">
        <v>3416</v>
      </c>
      <c r="AE355" s="8" t="s">
        <v>3414</v>
      </c>
      <c r="AF355" s="8">
        <v>9.4153283E9</v>
      </c>
      <c r="AG355" s="3"/>
      <c r="AH355" s="8"/>
      <c r="AI355" s="8"/>
      <c r="AJ355" s="8"/>
      <c r="AK355" s="8"/>
      <c r="AL355" s="8"/>
      <c r="AM355" s="8"/>
      <c r="AN355" s="8"/>
      <c r="AO355" s="8"/>
      <c r="AP355" s="8"/>
      <c r="AQ355" s="8"/>
      <c r="AR355" s="8"/>
      <c r="AS355" s="8"/>
      <c r="AT355" s="9"/>
      <c r="AU355" s="8" t="s">
        <v>85</v>
      </c>
      <c r="AV355" s="8"/>
      <c r="AW355" s="8"/>
      <c r="AX355" s="8"/>
      <c r="AY355" s="8"/>
      <c r="AZ355" s="8" t="s">
        <v>86</v>
      </c>
      <c r="BA355" s="20" t="s">
        <v>86</v>
      </c>
      <c r="BB355" s="20" t="s">
        <v>86</v>
      </c>
      <c r="BC355" s="8">
        <v>0.0</v>
      </c>
    </row>
    <row r="356">
      <c r="A356" s="3" t="s">
        <v>3601</v>
      </c>
      <c r="B356" s="3" t="s">
        <v>3602</v>
      </c>
      <c r="C356" s="3" t="s">
        <v>3603</v>
      </c>
      <c r="D356" s="3"/>
      <c r="E356" s="3">
        <v>100000.0</v>
      </c>
      <c r="F356" s="3" t="s">
        <v>58</v>
      </c>
      <c r="G356" s="3" t="s">
        <v>3604</v>
      </c>
      <c r="H356" s="5" t="s">
        <v>3605</v>
      </c>
      <c r="I356" s="5" t="s">
        <v>3606</v>
      </c>
      <c r="J356" s="3" t="s">
        <v>3607</v>
      </c>
      <c r="K356" s="3">
        <v>9.837604782E9</v>
      </c>
      <c r="L356" s="6" t="s">
        <v>3608</v>
      </c>
      <c r="M356" s="3"/>
      <c r="N356" s="3" t="str">
        <f>(B48)</f>
        <v>Bharat Auto - Kasganj</v>
      </c>
      <c r="O356" s="3" t="str">
        <f>(A48)</f>
        <v>14s_HeeebHqLRTUCX5FSlJ3K7aiTvnkajbPMefm6jg1M</v>
      </c>
      <c r="P356" s="3" t="s">
        <v>142</v>
      </c>
      <c r="Q356" s="8"/>
      <c r="R356" s="3" t="s">
        <v>3609</v>
      </c>
      <c r="S356" s="3" t="s">
        <v>497</v>
      </c>
      <c r="T356" s="8" t="s">
        <v>83</v>
      </c>
      <c r="U356" s="8" t="s">
        <v>3610</v>
      </c>
      <c r="V356" s="8" t="s">
        <v>496</v>
      </c>
      <c r="W356" s="8">
        <v>9.837604782E9</v>
      </c>
      <c r="X356" s="8" t="s">
        <v>3610</v>
      </c>
      <c r="Y356" s="8" t="s">
        <v>496</v>
      </c>
      <c r="Z356" s="8">
        <v>9.837604782E9</v>
      </c>
      <c r="AA356" s="8" t="s">
        <v>3610</v>
      </c>
      <c r="AB356" s="8" t="s">
        <v>496</v>
      </c>
      <c r="AC356" s="8">
        <v>9.837604782E9</v>
      </c>
      <c r="AD356" s="8" t="s">
        <v>3610</v>
      </c>
      <c r="AE356" s="8" t="s">
        <v>496</v>
      </c>
      <c r="AF356" s="8">
        <v>9.837604782E9</v>
      </c>
      <c r="AG356" s="3"/>
      <c r="AH356" s="8" t="s">
        <v>3611</v>
      </c>
      <c r="AI356" s="8"/>
      <c r="AJ356" s="8"/>
      <c r="AK356" s="8"/>
      <c r="AL356" s="8"/>
      <c r="AM356" s="8"/>
      <c r="AN356" s="8"/>
      <c r="AO356" s="8"/>
      <c r="AP356" s="8"/>
      <c r="AQ356" s="8"/>
      <c r="AR356" s="8"/>
      <c r="AS356" s="8"/>
      <c r="AT356" s="9" t="s">
        <v>3612</v>
      </c>
      <c r="AU356" s="8" t="s">
        <v>85</v>
      </c>
      <c r="AV356" s="8"/>
      <c r="AW356" s="8"/>
      <c r="AX356" s="8"/>
      <c r="AY356" s="8"/>
      <c r="AZ356" s="8" t="s">
        <v>86</v>
      </c>
      <c r="BA356" s="20" t="s">
        <v>86</v>
      </c>
      <c r="BB356" s="20" t="s">
        <v>86</v>
      </c>
      <c r="BC356" s="8">
        <v>0.0</v>
      </c>
    </row>
    <row r="357">
      <c r="A357" s="3" t="s">
        <v>3613</v>
      </c>
      <c r="B357" s="3" t="s">
        <v>3614</v>
      </c>
      <c r="C357" s="3" t="s">
        <v>3615</v>
      </c>
      <c r="D357" s="3"/>
      <c r="E357" s="3">
        <v>100000.0</v>
      </c>
      <c r="F357" s="3" t="s">
        <v>58</v>
      </c>
      <c r="G357" s="3" t="s">
        <v>3616</v>
      </c>
      <c r="H357" s="5" t="s">
        <v>3617</v>
      </c>
      <c r="I357" s="5" t="s">
        <v>3618</v>
      </c>
      <c r="J357" s="3" t="s">
        <v>3619</v>
      </c>
      <c r="K357" s="3">
        <v>7.001262727E9</v>
      </c>
      <c r="L357" s="6" t="s">
        <v>3620</v>
      </c>
      <c r="M357" s="3"/>
      <c r="N357" s="3" t="str">
        <f t="shared" ref="N357:N358" si="63">B357</f>
        <v>BHARAT HERO - ISLAMPUR</v>
      </c>
      <c r="O357" s="3" t="str">
        <f t="shared" ref="O357:O358" si="64">A357</f>
        <v>1zpjD0n2MDMpnv6d3XmAb2OMfLjhiWI0P_3JnMudl7oI</v>
      </c>
      <c r="P357" s="3" t="s">
        <v>64</v>
      </c>
      <c r="Q357" s="8"/>
      <c r="R357" s="3" t="s">
        <v>3621</v>
      </c>
      <c r="S357" s="3" t="s">
        <v>3621</v>
      </c>
      <c r="T357" s="8" t="s">
        <v>1616</v>
      </c>
      <c r="U357" s="8" t="s">
        <v>3622</v>
      </c>
      <c r="V357" s="8" t="s">
        <v>3619</v>
      </c>
      <c r="W357" s="8">
        <v>7.001262727E9</v>
      </c>
      <c r="X357" s="8" t="s">
        <v>3622</v>
      </c>
      <c r="Y357" s="8" t="s">
        <v>3619</v>
      </c>
      <c r="Z357" s="8">
        <v>7.001262727E9</v>
      </c>
      <c r="AA357" s="8" t="s">
        <v>3622</v>
      </c>
      <c r="AB357" s="8" t="s">
        <v>3619</v>
      </c>
      <c r="AC357" s="8">
        <v>7.001262727E9</v>
      </c>
      <c r="AD357" s="8" t="s">
        <v>3622</v>
      </c>
      <c r="AE357" s="8" t="s">
        <v>3619</v>
      </c>
      <c r="AF357" s="8">
        <v>7.001262727E9</v>
      </c>
      <c r="AG357" s="3" t="s">
        <v>3623</v>
      </c>
      <c r="AH357" s="8" t="s">
        <v>3624</v>
      </c>
      <c r="AI357" s="8" t="s">
        <v>3625</v>
      </c>
      <c r="AJ357" s="8">
        <v>9.22030016361786E14</v>
      </c>
      <c r="AK357" s="8" t="s">
        <v>3626</v>
      </c>
      <c r="AL357" s="8" t="s">
        <v>3627</v>
      </c>
      <c r="AM357" s="8"/>
      <c r="AN357" s="8"/>
      <c r="AO357" s="8"/>
      <c r="AP357" s="8"/>
      <c r="AQ357" s="8"/>
      <c r="AR357" s="8"/>
      <c r="AS357" s="8"/>
      <c r="AT357" s="9" t="s">
        <v>3628</v>
      </c>
      <c r="AU357" s="8" t="s">
        <v>85</v>
      </c>
      <c r="AV357" s="8"/>
      <c r="AW357" s="8"/>
      <c r="AX357" s="8"/>
      <c r="AY357" s="8"/>
      <c r="AZ357" s="8" t="s">
        <v>86</v>
      </c>
      <c r="BA357" s="20" t="s">
        <v>86</v>
      </c>
      <c r="BB357" s="20" t="s">
        <v>86</v>
      </c>
      <c r="BC357" s="8">
        <v>0.0</v>
      </c>
    </row>
    <row r="358">
      <c r="A358" s="3" t="s">
        <v>3629</v>
      </c>
      <c r="B358" s="3" t="s">
        <v>3630</v>
      </c>
      <c r="C358" s="3" t="s">
        <v>3631</v>
      </c>
      <c r="D358" s="3"/>
      <c r="E358" s="3">
        <v>100000.0</v>
      </c>
      <c r="F358" s="3" t="s">
        <v>58</v>
      </c>
      <c r="G358" s="3" t="s">
        <v>3632</v>
      </c>
      <c r="H358" s="5" t="s">
        <v>3633</v>
      </c>
      <c r="I358" s="5" t="s">
        <v>3634</v>
      </c>
      <c r="J358" s="3" t="s">
        <v>3635</v>
      </c>
      <c r="K358" s="3">
        <v>7.87823456E9</v>
      </c>
      <c r="L358" s="6" t="s">
        <v>3636</v>
      </c>
      <c r="M358" s="3"/>
      <c r="N358" s="3" t="str">
        <f t="shared" si="63"/>
        <v>ZUMMERWALA TVS- VADODRA</v>
      </c>
      <c r="O358" s="3" t="str">
        <f t="shared" si="64"/>
        <v>1jfpEW8cuuUihhL5SOgSGnhE6g038H7_TOjUmP2QGajY</v>
      </c>
      <c r="P358" s="3" t="s">
        <v>64</v>
      </c>
      <c r="Q358" s="8"/>
      <c r="R358" s="3" t="s">
        <v>3307</v>
      </c>
      <c r="S358" s="3" t="s">
        <v>3307</v>
      </c>
      <c r="T358" s="8" t="s">
        <v>638</v>
      </c>
      <c r="U358" s="8" t="s">
        <v>3637</v>
      </c>
      <c r="V358" s="8" t="s">
        <v>3635</v>
      </c>
      <c r="W358" s="8">
        <v>7.87823456E9</v>
      </c>
      <c r="X358" s="8" t="s">
        <v>3637</v>
      </c>
      <c r="Y358" s="8" t="s">
        <v>3635</v>
      </c>
      <c r="Z358" s="8">
        <v>7.87823456E9</v>
      </c>
      <c r="AA358" s="8" t="s">
        <v>3637</v>
      </c>
      <c r="AB358" s="8" t="s">
        <v>3635</v>
      </c>
      <c r="AC358" s="8">
        <v>7.87823456E9</v>
      </c>
      <c r="AD358" s="8" t="s">
        <v>3637</v>
      </c>
      <c r="AE358" s="8" t="s">
        <v>3635</v>
      </c>
      <c r="AF358" s="8">
        <v>7.87823456E9</v>
      </c>
      <c r="AG358" s="3" t="s">
        <v>3638</v>
      </c>
      <c r="AH358" s="8" t="s">
        <v>3639</v>
      </c>
      <c r="AI358" s="8" t="s">
        <v>3640</v>
      </c>
      <c r="AJ358" s="8">
        <v>3.5733897921E10</v>
      </c>
      <c r="AK358" s="8" t="s">
        <v>3641</v>
      </c>
      <c r="AL358" s="8" t="s">
        <v>3642</v>
      </c>
      <c r="AM358" s="8"/>
      <c r="AN358" s="8"/>
      <c r="AO358" s="8"/>
      <c r="AP358" s="8"/>
      <c r="AQ358" s="8"/>
      <c r="AR358" s="8"/>
      <c r="AS358" s="8"/>
      <c r="AT358" s="9" t="s">
        <v>3643</v>
      </c>
      <c r="AU358" s="8" t="s">
        <v>85</v>
      </c>
      <c r="AV358" s="8"/>
      <c r="AW358" s="8"/>
      <c r="AX358" s="8"/>
      <c r="AY358" s="8"/>
      <c r="AZ358" s="8" t="s">
        <v>86</v>
      </c>
      <c r="BA358" s="20" t="s">
        <v>86</v>
      </c>
      <c r="BB358" s="20" t="s">
        <v>86</v>
      </c>
      <c r="BC358" s="8">
        <v>0.0</v>
      </c>
    </row>
    <row r="359">
      <c r="A359" s="3" t="s">
        <v>3644</v>
      </c>
      <c r="B359" s="3" t="s">
        <v>3645</v>
      </c>
      <c r="C359" s="3" t="s">
        <v>3646</v>
      </c>
      <c r="D359" s="3"/>
      <c r="E359" s="3">
        <v>100000.0</v>
      </c>
      <c r="F359" s="3" t="s">
        <v>58</v>
      </c>
      <c r="G359" s="3" t="s">
        <v>3647</v>
      </c>
      <c r="H359" s="5" t="s">
        <v>3648</v>
      </c>
      <c r="I359" s="5" t="s">
        <v>3649</v>
      </c>
      <c r="J359" s="3" t="s">
        <v>3650</v>
      </c>
      <c r="K359" s="3">
        <v>9.648303952E9</v>
      </c>
      <c r="L359" s="6" t="s">
        <v>3651</v>
      </c>
      <c r="M359" s="3"/>
      <c r="N359" s="3" t="str">
        <f>(B269)</f>
        <v>Gupta Automobiles - Padrauna</v>
      </c>
      <c r="O359" s="3" t="str">
        <f>(A269)</f>
        <v>1Ql_6BdBcHGAyITSZt1pNUK3bW54CzeThIBXr7aH7K3Y</v>
      </c>
      <c r="P359" s="3" t="s">
        <v>142</v>
      </c>
      <c r="Q359" s="8"/>
      <c r="R359" s="3" t="s">
        <v>3652</v>
      </c>
      <c r="S359" s="3" t="s">
        <v>3652</v>
      </c>
      <c r="T359" s="8" t="s">
        <v>83</v>
      </c>
      <c r="U359" s="8" t="s">
        <v>3653</v>
      </c>
      <c r="V359" s="8" t="s">
        <v>3650</v>
      </c>
      <c r="W359" s="8">
        <v>9.648303952E9</v>
      </c>
      <c r="X359" s="8" t="s">
        <v>2514</v>
      </c>
      <c r="Y359" s="8" t="s">
        <v>3650</v>
      </c>
      <c r="Z359" s="8">
        <v>9.648303952E9</v>
      </c>
      <c r="AA359" s="8" t="s">
        <v>2514</v>
      </c>
      <c r="AB359" s="8" t="s">
        <v>3650</v>
      </c>
      <c r="AC359" s="8">
        <v>9.648303952E9</v>
      </c>
      <c r="AD359" s="8" t="s">
        <v>2514</v>
      </c>
      <c r="AE359" s="8" t="s">
        <v>3650</v>
      </c>
      <c r="AF359" s="8">
        <v>9.648303952E9</v>
      </c>
      <c r="AG359" s="3"/>
      <c r="AH359" s="8"/>
      <c r="AI359" s="8"/>
      <c r="AJ359" s="8"/>
      <c r="AK359" s="8"/>
      <c r="AL359" s="8"/>
      <c r="AM359" s="8"/>
      <c r="AN359" s="8"/>
      <c r="AO359" s="8"/>
      <c r="AP359" s="8"/>
      <c r="AQ359" s="8"/>
      <c r="AR359" s="8"/>
      <c r="AS359" s="8"/>
      <c r="AT359" s="9"/>
      <c r="AU359" s="8" t="s">
        <v>85</v>
      </c>
      <c r="AV359" s="8"/>
      <c r="AW359" s="8"/>
      <c r="AX359" s="8"/>
      <c r="AY359" s="8"/>
      <c r="AZ359" s="8" t="s">
        <v>86</v>
      </c>
      <c r="BA359" s="20" t="s">
        <v>86</v>
      </c>
      <c r="BB359" s="20" t="s">
        <v>86</v>
      </c>
      <c r="BC359" s="8">
        <v>0.0</v>
      </c>
    </row>
    <row r="360">
      <c r="A360" s="3" t="s">
        <v>3654</v>
      </c>
      <c r="B360" s="3" t="s">
        <v>3655</v>
      </c>
      <c r="C360" s="3" t="s">
        <v>3656</v>
      </c>
      <c r="D360" s="3"/>
      <c r="E360" s="3">
        <v>100000.0</v>
      </c>
      <c r="F360" s="3" t="s">
        <v>58</v>
      </c>
      <c r="G360" s="3" t="s">
        <v>3657</v>
      </c>
      <c r="H360" s="5" t="s">
        <v>3658</v>
      </c>
      <c r="I360" s="5" t="s">
        <v>3659</v>
      </c>
      <c r="J360" s="3" t="s">
        <v>3660</v>
      </c>
      <c r="K360" s="3">
        <v>9.919141169E9</v>
      </c>
      <c r="L360" s="6" t="s">
        <v>3661</v>
      </c>
      <c r="M360" s="3"/>
      <c r="N360" s="3" t="str">
        <f>(B269)</f>
        <v>Gupta Automobiles - Padrauna</v>
      </c>
      <c r="O360" s="3" t="str">
        <f>(A269)</f>
        <v>1Ql_6BdBcHGAyITSZt1pNUK3bW54CzeThIBXr7aH7K3Y</v>
      </c>
      <c r="P360" s="3" t="s">
        <v>142</v>
      </c>
      <c r="Q360" s="8"/>
      <c r="R360" s="3" t="s">
        <v>3662</v>
      </c>
      <c r="S360" s="3" t="s">
        <v>3662</v>
      </c>
      <c r="T360" s="8" t="s">
        <v>83</v>
      </c>
      <c r="U360" s="8" t="s">
        <v>3663</v>
      </c>
      <c r="V360" s="8" t="s">
        <v>3660</v>
      </c>
      <c r="W360" s="8">
        <v>9.919141169E9</v>
      </c>
      <c r="X360" s="8" t="s">
        <v>2514</v>
      </c>
      <c r="Y360" s="8" t="s">
        <v>3660</v>
      </c>
      <c r="Z360" s="8">
        <v>9.9369191E9</v>
      </c>
      <c r="AA360" s="8" t="s">
        <v>2514</v>
      </c>
      <c r="AB360" s="8" t="s">
        <v>3660</v>
      </c>
      <c r="AC360" s="8">
        <v>9.9369191E9</v>
      </c>
      <c r="AD360" s="8" t="s">
        <v>2514</v>
      </c>
      <c r="AE360" s="8" t="s">
        <v>3660</v>
      </c>
      <c r="AF360" s="8">
        <v>9.9369191E9</v>
      </c>
      <c r="AG360" s="3"/>
      <c r="AH360" s="8"/>
      <c r="AI360" s="8"/>
      <c r="AJ360" s="8"/>
      <c r="AK360" s="8"/>
      <c r="AL360" s="8"/>
      <c r="AM360" s="8"/>
      <c r="AN360" s="8"/>
      <c r="AO360" s="8"/>
      <c r="AP360" s="8"/>
      <c r="AQ360" s="8"/>
      <c r="AR360" s="8"/>
      <c r="AS360" s="8"/>
      <c r="AT360" s="9"/>
      <c r="AU360" s="8" t="s">
        <v>85</v>
      </c>
      <c r="AV360" s="8"/>
      <c r="AW360" s="8"/>
      <c r="AX360" s="8"/>
      <c r="AY360" s="8"/>
      <c r="AZ360" s="8" t="s">
        <v>86</v>
      </c>
      <c r="BA360" s="20" t="s">
        <v>86</v>
      </c>
      <c r="BB360" s="20" t="s">
        <v>86</v>
      </c>
      <c r="BC360" s="8">
        <v>0.0</v>
      </c>
    </row>
    <row r="361">
      <c r="A361" s="3" t="s">
        <v>3664</v>
      </c>
      <c r="B361" s="3" t="s">
        <v>3665</v>
      </c>
      <c r="C361" s="3" t="s">
        <v>3666</v>
      </c>
      <c r="D361" s="3"/>
      <c r="E361" s="3">
        <v>100000.0</v>
      </c>
      <c r="F361" s="3" t="s">
        <v>58</v>
      </c>
      <c r="G361" s="3" t="s">
        <v>3667</v>
      </c>
      <c r="H361" s="5" t="s">
        <v>3668</v>
      </c>
      <c r="I361" s="5" t="s">
        <v>3669</v>
      </c>
      <c r="J361" s="3" t="s">
        <v>3670</v>
      </c>
      <c r="K361" s="3">
        <v>7.60700392E9</v>
      </c>
      <c r="L361" s="16">
        <v>44597.790972222225</v>
      </c>
      <c r="M361" s="3"/>
      <c r="N361" s="3" t="str">
        <f>(B119)</f>
        <v>Sumitra Sons - Shahajahanpur</v>
      </c>
      <c r="O361" s="3" t="str">
        <f>(A119)</f>
        <v>11FZlKtFUzBvNAVUVwf1C2KpyoxHhbZTiI7E_EdPr-mg</v>
      </c>
      <c r="P361" s="3" t="s">
        <v>142</v>
      </c>
      <c r="Q361" s="8"/>
      <c r="R361" s="3" t="s">
        <v>3671</v>
      </c>
      <c r="S361" s="3" t="s">
        <v>3671</v>
      </c>
      <c r="T361" s="8" t="s">
        <v>83</v>
      </c>
      <c r="U361" s="8" t="s">
        <v>3672</v>
      </c>
      <c r="V361" s="8" t="s">
        <v>3670</v>
      </c>
      <c r="W361" s="8">
        <v>7.60700392E9</v>
      </c>
      <c r="X361" s="8" t="s">
        <v>3672</v>
      </c>
      <c r="Y361" s="8" t="s">
        <v>3670</v>
      </c>
      <c r="Z361" s="8">
        <v>7.60700392E9</v>
      </c>
      <c r="AA361" s="8" t="s">
        <v>3672</v>
      </c>
      <c r="AB361" s="8" t="s">
        <v>3670</v>
      </c>
      <c r="AC361" s="8">
        <v>7.60700392E9</v>
      </c>
      <c r="AD361" s="8" t="s">
        <v>3672</v>
      </c>
      <c r="AE361" s="8" t="s">
        <v>3670</v>
      </c>
      <c r="AF361" s="8">
        <v>7.60700392E9</v>
      </c>
      <c r="AG361" s="3"/>
      <c r="AH361" s="8"/>
      <c r="AI361" s="8"/>
      <c r="AJ361" s="8"/>
      <c r="AK361" s="8"/>
      <c r="AL361" s="8"/>
      <c r="AM361" s="8"/>
      <c r="AN361" s="8"/>
      <c r="AO361" s="8"/>
      <c r="AP361" s="8"/>
      <c r="AQ361" s="8"/>
      <c r="AR361" s="8"/>
      <c r="AS361" s="8"/>
      <c r="AT361" s="9"/>
      <c r="AU361" s="8" t="s">
        <v>85</v>
      </c>
      <c r="AV361" s="8"/>
      <c r="AW361" s="8"/>
      <c r="AX361" s="8"/>
      <c r="AY361" s="8"/>
      <c r="AZ361" s="8" t="s">
        <v>86</v>
      </c>
      <c r="BA361" s="20" t="s">
        <v>86</v>
      </c>
      <c r="BB361" s="20" t="s">
        <v>86</v>
      </c>
      <c r="BC361" s="8">
        <v>0.0</v>
      </c>
    </row>
    <row r="362">
      <c r="A362" s="3" t="s">
        <v>3673</v>
      </c>
      <c r="B362" s="3" t="s">
        <v>3674</v>
      </c>
      <c r="C362" s="3" t="s">
        <v>3675</v>
      </c>
      <c r="D362" s="3"/>
      <c r="E362" s="3">
        <v>100000.0</v>
      </c>
      <c r="F362" s="3" t="s">
        <v>58</v>
      </c>
      <c r="G362" s="3" t="s">
        <v>3676</v>
      </c>
      <c r="H362" s="5" t="s">
        <v>3677</v>
      </c>
      <c r="I362" s="5" t="s">
        <v>3678</v>
      </c>
      <c r="J362" s="3" t="s">
        <v>3679</v>
      </c>
      <c r="K362" s="3">
        <v>7.60700392E9</v>
      </c>
      <c r="L362" s="16">
        <v>44597.79513888889</v>
      </c>
      <c r="M362" s="3"/>
      <c r="N362" s="3" t="str">
        <f>(B119)</f>
        <v>Sumitra Sons - Shahajahanpur</v>
      </c>
      <c r="O362" s="3" t="str">
        <f>(A119)</f>
        <v>11FZlKtFUzBvNAVUVwf1C2KpyoxHhbZTiI7E_EdPr-mg</v>
      </c>
      <c r="P362" s="3" t="s">
        <v>142</v>
      </c>
      <c r="Q362" s="8"/>
      <c r="R362" s="3" t="s">
        <v>3680</v>
      </c>
      <c r="S362" s="3" t="s">
        <v>3680</v>
      </c>
      <c r="T362" s="8" t="s">
        <v>83</v>
      </c>
      <c r="U362" s="8" t="s">
        <v>3672</v>
      </c>
      <c r="V362" s="8" t="s">
        <v>3679</v>
      </c>
      <c r="W362" s="8">
        <v>7.60700392E9</v>
      </c>
      <c r="X362" s="8" t="s">
        <v>3672</v>
      </c>
      <c r="Y362" s="8" t="s">
        <v>3679</v>
      </c>
      <c r="Z362" s="8">
        <v>7.60700392E9</v>
      </c>
      <c r="AA362" s="8" t="s">
        <v>3672</v>
      </c>
      <c r="AB362" s="8" t="s">
        <v>3679</v>
      </c>
      <c r="AC362" s="8">
        <v>7.60700392E9</v>
      </c>
      <c r="AD362" s="8" t="s">
        <v>3672</v>
      </c>
      <c r="AE362" s="8" t="s">
        <v>3679</v>
      </c>
      <c r="AF362" s="8">
        <v>7.60700392E9</v>
      </c>
      <c r="AG362" s="3"/>
      <c r="AH362" s="8"/>
      <c r="AI362" s="8"/>
      <c r="AJ362" s="8"/>
      <c r="AK362" s="8"/>
      <c r="AL362" s="8"/>
      <c r="AM362" s="8"/>
      <c r="AN362" s="8"/>
      <c r="AO362" s="8"/>
      <c r="AP362" s="8"/>
      <c r="AQ362" s="8"/>
      <c r="AR362" s="8"/>
      <c r="AS362" s="8"/>
      <c r="AT362" s="9"/>
      <c r="AU362" s="8" t="s">
        <v>85</v>
      </c>
      <c r="AV362" s="8"/>
      <c r="AW362" s="8"/>
      <c r="AX362" s="8"/>
      <c r="AY362" s="8"/>
      <c r="AZ362" s="8" t="s">
        <v>86</v>
      </c>
      <c r="BA362" s="20" t="s">
        <v>86</v>
      </c>
      <c r="BB362" s="20" t="s">
        <v>86</v>
      </c>
      <c r="BC362" s="8">
        <v>0.0</v>
      </c>
    </row>
    <row r="363">
      <c r="A363" s="3" t="s">
        <v>3681</v>
      </c>
      <c r="B363" s="3" t="s">
        <v>3682</v>
      </c>
      <c r="C363" s="3" t="s">
        <v>3683</v>
      </c>
      <c r="D363" s="3"/>
      <c r="E363" s="3">
        <v>100000.0</v>
      </c>
      <c r="F363" s="3" t="s">
        <v>58</v>
      </c>
      <c r="G363" s="3" t="s">
        <v>3684</v>
      </c>
      <c r="H363" s="5" t="s">
        <v>3685</v>
      </c>
      <c r="I363" s="5" t="s">
        <v>3686</v>
      </c>
      <c r="J363" s="3" t="s">
        <v>3687</v>
      </c>
      <c r="K363" s="3">
        <v>7.60700392E9</v>
      </c>
      <c r="L363" s="16">
        <v>44656.486805555556</v>
      </c>
      <c r="M363" s="3"/>
      <c r="N363" s="3" t="str">
        <f>(B119)</f>
        <v>Sumitra Sons - Shahajahanpur</v>
      </c>
      <c r="O363" s="3" t="str">
        <f>(A119)</f>
        <v>11FZlKtFUzBvNAVUVwf1C2KpyoxHhbZTiI7E_EdPr-mg</v>
      </c>
      <c r="P363" s="3" t="s">
        <v>142</v>
      </c>
      <c r="Q363" s="8"/>
      <c r="R363" s="3" t="s">
        <v>1105</v>
      </c>
      <c r="S363" s="3" t="s">
        <v>1105</v>
      </c>
      <c r="T363" s="8" t="s">
        <v>83</v>
      </c>
      <c r="U363" s="8" t="s">
        <v>3688</v>
      </c>
      <c r="V363" s="8" t="s">
        <v>3687</v>
      </c>
      <c r="W363" s="8">
        <v>7.60700392E9</v>
      </c>
      <c r="X363" s="8" t="s">
        <v>3672</v>
      </c>
      <c r="Y363" s="8" t="s">
        <v>3687</v>
      </c>
      <c r="Z363" s="8">
        <v>7.60700392E9</v>
      </c>
      <c r="AA363" s="8" t="s">
        <v>3672</v>
      </c>
      <c r="AB363" s="8" t="s">
        <v>3687</v>
      </c>
      <c r="AC363" s="8">
        <v>7.60700392E9</v>
      </c>
      <c r="AD363" s="8" t="s">
        <v>3672</v>
      </c>
      <c r="AE363" s="8" t="s">
        <v>3687</v>
      </c>
      <c r="AF363" s="8">
        <v>7.60700392E9</v>
      </c>
      <c r="AG363" s="3"/>
      <c r="AH363" s="8"/>
      <c r="AI363" s="8"/>
      <c r="AJ363" s="8"/>
      <c r="AK363" s="8"/>
      <c r="AL363" s="8"/>
      <c r="AM363" s="8"/>
      <c r="AN363" s="8"/>
      <c r="AO363" s="8"/>
      <c r="AP363" s="8"/>
      <c r="AQ363" s="8"/>
      <c r="AR363" s="8"/>
      <c r="AS363" s="8"/>
      <c r="AT363" s="9"/>
      <c r="AU363" s="8" t="s">
        <v>85</v>
      </c>
      <c r="AV363" s="8"/>
      <c r="AW363" s="8"/>
      <c r="AX363" s="8"/>
      <c r="AY363" s="8"/>
      <c r="AZ363" s="8" t="s">
        <v>86</v>
      </c>
      <c r="BA363" s="20" t="s">
        <v>86</v>
      </c>
      <c r="BB363" s="20" t="s">
        <v>86</v>
      </c>
      <c r="BC363" s="8">
        <v>0.0</v>
      </c>
    </row>
    <row r="364">
      <c r="A364" s="3" t="s">
        <v>3689</v>
      </c>
      <c r="B364" s="3" t="s">
        <v>3690</v>
      </c>
      <c r="C364" s="3" t="s">
        <v>3691</v>
      </c>
      <c r="D364" s="3"/>
      <c r="E364" s="3">
        <v>100000.0</v>
      </c>
      <c r="F364" s="3" t="s">
        <v>58</v>
      </c>
      <c r="G364" s="3" t="s">
        <v>3692</v>
      </c>
      <c r="H364" s="5" t="s">
        <v>3693</v>
      </c>
      <c r="I364" s="5" t="s">
        <v>3694</v>
      </c>
      <c r="J364" s="3" t="s">
        <v>3695</v>
      </c>
      <c r="K364" s="3">
        <v>9.4153283E9</v>
      </c>
      <c r="L364" s="16">
        <v>44717.55902777778</v>
      </c>
      <c r="M364" s="3"/>
      <c r="N364" s="3" t="str">
        <f>(B339)</f>
        <v>Mahabir Automobiles -Sultanpur</v>
      </c>
      <c r="O364" s="3" t="str">
        <f>(A339)</f>
        <v>1fHCHQnIWmfXqP4jwi-agXjfK1q2zM0BUeG3fwB0qApc</v>
      </c>
      <c r="P364" s="3" t="s">
        <v>142</v>
      </c>
      <c r="Q364" s="8"/>
      <c r="R364" s="3" t="s">
        <v>3696</v>
      </c>
      <c r="S364" s="3" t="s">
        <v>3696</v>
      </c>
      <c r="T364" s="8" t="s">
        <v>83</v>
      </c>
      <c r="U364" s="8" t="s">
        <v>3697</v>
      </c>
      <c r="V364" s="8" t="s">
        <v>3414</v>
      </c>
      <c r="W364" s="8">
        <v>9.4153283E9</v>
      </c>
      <c r="X364" s="8" t="s">
        <v>3697</v>
      </c>
      <c r="Y364" s="8" t="s">
        <v>3414</v>
      </c>
      <c r="Z364" s="8">
        <v>9.4153283E9</v>
      </c>
      <c r="AA364" s="8" t="s">
        <v>3697</v>
      </c>
      <c r="AB364" s="8" t="s">
        <v>3414</v>
      </c>
      <c r="AC364" s="8">
        <v>9.4153283E9</v>
      </c>
      <c r="AD364" s="8" t="s">
        <v>3697</v>
      </c>
      <c r="AE364" s="8" t="s">
        <v>3414</v>
      </c>
      <c r="AF364" s="8">
        <v>9.4153283E9</v>
      </c>
      <c r="AG364" s="3"/>
      <c r="AH364" s="8"/>
      <c r="AI364" s="8"/>
      <c r="AJ364" s="8"/>
      <c r="AK364" s="8"/>
      <c r="AL364" s="8"/>
      <c r="AM364" s="8"/>
      <c r="AN364" s="8"/>
      <c r="AO364" s="8"/>
      <c r="AP364" s="8"/>
      <c r="AQ364" s="8"/>
      <c r="AR364" s="8"/>
      <c r="AS364" s="8"/>
      <c r="AT364" s="9"/>
      <c r="AU364" s="8" t="s">
        <v>85</v>
      </c>
      <c r="AV364" s="8"/>
      <c r="AW364" s="8"/>
      <c r="AX364" s="8"/>
      <c r="AY364" s="8"/>
      <c r="AZ364" s="8" t="s">
        <v>86</v>
      </c>
      <c r="BA364" s="20" t="s">
        <v>86</v>
      </c>
      <c r="BB364" s="20" t="s">
        <v>86</v>
      </c>
      <c r="BC364" s="8">
        <v>0.0</v>
      </c>
    </row>
    <row r="365">
      <c r="A365" s="3" t="s">
        <v>3698</v>
      </c>
      <c r="B365" s="3" t="s">
        <v>3699</v>
      </c>
      <c r="C365" s="3" t="s">
        <v>3700</v>
      </c>
      <c r="D365" s="3"/>
      <c r="E365" s="3">
        <v>100000.0</v>
      </c>
      <c r="F365" s="3" t="s">
        <v>58</v>
      </c>
      <c r="G365" s="3" t="s">
        <v>3701</v>
      </c>
      <c r="H365" s="5" t="s">
        <v>3702</v>
      </c>
      <c r="I365" s="5" t="s">
        <v>3703</v>
      </c>
      <c r="J365" s="3" t="s">
        <v>3704</v>
      </c>
      <c r="K365" s="3">
        <v>9.760628169E9</v>
      </c>
      <c r="L365" s="16">
        <v>44809.54375</v>
      </c>
      <c r="M365" s="3"/>
      <c r="N365" s="3" t="str">
        <f>(B46)</f>
        <v>Shri Balaji Hero - Muzaffarnagar</v>
      </c>
      <c r="O365" s="3" t="str">
        <f>(A46)</f>
        <v>1qJGCYN0EdS2nWGXVYAHwXqSjiLE2C95anQkkbLONbKQ</v>
      </c>
      <c r="P365" s="3" t="s">
        <v>142</v>
      </c>
      <c r="Q365" s="8"/>
      <c r="R365" s="3" t="s">
        <v>3705</v>
      </c>
      <c r="S365" s="3" t="s">
        <v>3705</v>
      </c>
      <c r="T365" s="8" t="s">
        <v>83</v>
      </c>
      <c r="U365" s="8" t="s">
        <v>3706</v>
      </c>
      <c r="V365" s="8" t="s">
        <v>3704</v>
      </c>
      <c r="W365" s="8">
        <v>9.760628169E9</v>
      </c>
      <c r="X365" s="8" t="s">
        <v>3706</v>
      </c>
      <c r="Y365" s="8" t="s">
        <v>3704</v>
      </c>
      <c r="Z365" s="8">
        <v>9.760628169E9</v>
      </c>
      <c r="AA365" s="8" t="s">
        <v>3706</v>
      </c>
      <c r="AB365" s="8" t="s">
        <v>3704</v>
      </c>
      <c r="AC365" s="8">
        <v>9.760628169E9</v>
      </c>
      <c r="AD365" s="8" t="s">
        <v>3706</v>
      </c>
      <c r="AE365" s="8" t="s">
        <v>3704</v>
      </c>
      <c r="AF365" s="8">
        <v>9.760628169E9</v>
      </c>
      <c r="AG365" s="3"/>
      <c r="AH365" s="8"/>
      <c r="AI365" s="8"/>
      <c r="AJ365" s="8"/>
      <c r="AK365" s="8"/>
      <c r="AL365" s="8"/>
      <c r="AM365" s="8"/>
      <c r="AN365" s="8"/>
      <c r="AO365" s="8"/>
      <c r="AP365" s="8"/>
      <c r="AQ365" s="8"/>
      <c r="AR365" s="8"/>
      <c r="AS365" s="8"/>
      <c r="AT365" s="9"/>
      <c r="AU365" s="8" t="s">
        <v>85</v>
      </c>
      <c r="AV365" s="8"/>
      <c r="AW365" s="8"/>
      <c r="AX365" s="8"/>
      <c r="AY365" s="8"/>
      <c r="AZ365" s="8" t="s">
        <v>86</v>
      </c>
      <c r="BA365" s="20" t="s">
        <v>86</v>
      </c>
      <c r="BB365" s="20" t="s">
        <v>86</v>
      </c>
      <c r="BC365" s="8">
        <v>0.0</v>
      </c>
    </row>
    <row r="366">
      <c r="L366" s="21"/>
    </row>
    <row r="367">
      <c r="L367" s="21"/>
    </row>
    <row r="368">
      <c r="L368" s="21"/>
    </row>
    <row r="369">
      <c r="L369" s="21"/>
    </row>
    <row r="370">
      <c r="L370" s="21"/>
    </row>
    <row r="371">
      <c r="L371" s="21"/>
    </row>
    <row r="372">
      <c r="L372" s="21"/>
    </row>
    <row r="373">
      <c r="L373" s="21"/>
    </row>
    <row r="374">
      <c r="L374" s="21"/>
    </row>
    <row r="375">
      <c r="L375" s="21"/>
    </row>
    <row r="376">
      <c r="L376" s="21"/>
    </row>
    <row r="377">
      <c r="L377" s="21"/>
    </row>
    <row r="378">
      <c r="L378" s="21"/>
    </row>
    <row r="379">
      <c r="L379" s="21"/>
    </row>
    <row r="380">
      <c r="L380" s="21"/>
    </row>
    <row r="381">
      <c r="L381" s="21"/>
    </row>
    <row r="382">
      <c r="L382" s="21"/>
    </row>
    <row r="383">
      <c r="L383" s="21"/>
    </row>
    <row r="384">
      <c r="L384" s="21"/>
    </row>
    <row r="385">
      <c r="L385" s="21"/>
    </row>
    <row r="386">
      <c r="L386" s="21"/>
    </row>
    <row r="387">
      <c r="L387" s="21"/>
    </row>
    <row r="388">
      <c r="L388" s="21"/>
    </row>
    <row r="389">
      <c r="L389" s="21"/>
    </row>
    <row r="390">
      <c r="L390" s="21"/>
    </row>
    <row r="391">
      <c r="L391" s="21"/>
    </row>
    <row r="392">
      <c r="L392" s="21"/>
    </row>
    <row r="393">
      <c r="L393" s="21"/>
    </row>
    <row r="394">
      <c r="L394" s="21"/>
    </row>
    <row r="395">
      <c r="L395" s="21"/>
    </row>
    <row r="396">
      <c r="L396" s="21"/>
    </row>
    <row r="397">
      <c r="L397" s="21"/>
    </row>
    <row r="398">
      <c r="L398" s="21"/>
    </row>
    <row r="399">
      <c r="L399" s="21"/>
    </row>
    <row r="400">
      <c r="L400" s="21"/>
    </row>
    <row r="401">
      <c r="L401" s="21"/>
    </row>
    <row r="402">
      <c r="L402" s="21"/>
    </row>
    <row r="403">
      <c r="L403" s="21"/>
    </row>
    <row r="404">
      <c r="L404" s="21"/>
    </row>
    <row r="405">
      <c r="L405" s="21"/>
    </row>
    <row r="406">
      <c r="L406" s="21"/>
    </row>
    <row r="407">
      <c r="L407" s="21"/>
    </row>
    <row r="408">
      <c r="L408" s="21"/>
    </row>
    <row r="409">
      <c r="L409" s="21"/>
    </row>
    <row r="410">
      <c r="L410" s="21"/>
    </row>
    <row r="411">
      <c r="L411" s="21"/>
    </row>
    <row r="412">
      <c r="L412" s="21"/>
    </row>
    <row r="413">
      <c r="L413" s="21"/>
    </row>
    <row r="414">
      <c r="L414" s="21"/>
    </row>
    <row r="415">
      <c r="L415" s="21"/>
    </row>
    <row r="416">
      <c r="L416" s="21"/>
    </row>
    <row r="417">
      <c r="L417" s="21"/>
    </row>
    <row r="418">
      <c r="L418" s="21"/>
    </row>
    <row r="419">
      <c r="L419" s="21"/>
    </row>
    <row r="420">
      <c r="L420" s="21"/>
    </row>
    <row r="421">
      <c r="L421" s="21"/>
    </row>
    <row r="422">
      <c r="L422" s="21"/>
    </row>
    <row r="423">
      <c r="L423" s="21"/>
    </row>
    <row r="424">
      <c r="L424" s="21"/>
    </row>
    <row r="425">
      <c r="L425" s="21"/>
    </row>
    <row r="426">
      <c r="L426" s="21"/>
    </row>
    <row r="427">
      <c r="L427" s="21"/>
    </row>
    <row r="428">
      <c r="L428" s="21"/>
    </row>
    <row r="429">
      <c r="L429" s="21"/>
    </row>
    <row r="430">
      <c r="L430" s="21"/>
    </row>
    <row r="431">
      <c r="L431" s="21"/>
    </row>
    <row r="432">
      <c r="L432" s="21"/>
    </row>
    <row r="433">
      <c r="L433" s="21"/>
    </row>
    <row r="434">
      <c r="L434" s="21"/>
    </row>
    <row r="435">
      <c r="L435" s="21"/>
    </row>
    <row r="436">
      <c r="L436" s="21"/>
    </row>
    <row r="437">
      <c r="L437" s="21"/>
    </row>
    <row r="438">
      <c r="L438" s="21"/>
    </row>
    <row r="439">
      <c r="L439" s="21"/>
    </row>
    <row r="440">
      <c r="L440" s="21"/>
    </row>
    <row r="441">
      <c r="L441" s="21"/>
    </row>
    <row r="442">
      <c r="L442" s="21"/>
    </row>
    <row r="443">
      <c r="L443" s="21"/>
    </row>
    <row r="444">
      <c r="L444" s="21"/>
    </row>
    <row r="445">
      <c r="L445" s="21"/>
    </row>
    <row r="446">
      <c r="L446" s="21"/>
    </row>
    <row r="447">
      <c r="L447" s="21"/>
    </row>
    <row r="448">
      <c r="L448" s="21"/>
    </row>
    <row r="449">
      <c r="L449" s="21"/>
    </row>
    <row r="450">
      <c r="L450" s="21"/>
    </row>
    <row r="451">
      <c r="L451" s="21"/>
    </row>
    <row r="452">
      <c r="L452" s="21"/>
    </row>
    <row r="453">
      <c r="L453" s="21"/>
    </row>
    <row r="454">
      <c r="L454" s="21"/>
    </row>
    <row r="455">
      <c r="L455" s="21"/>
    </row>
    <row r="456">
      <c r="L456" s="21"/>
    </row>
    <row r="457">
      <c r="L457" s="21"/>
    </row>
    <row r="458">
      <c r="L458" s="21"/>
    </row>
    <row r="459">
      <c r="L459" s="21"/>
    </row>
    <row r="460">
      <c r="L460" s="21"/>
    </row>
    <row r="461">
      <c r="L461" s="21"/>
    </row>
    <row r="462">
      <c r="L462" s="21"/>
    </row>
    <row r="463">
      <c r="L463" s="21"/>
    </row>
    <row r="464">
      <c r="L464" s="21"/>
    </row>
    <row r="465">
      <c r="L465" s="21"/>
    </row>
    <row r="466">
      <c r="L466" s="21"/>
    </row>
    <row r="467">
      <c r="L467" s="21"/>
    </row>
    <row r="468">
      <c r="L468" s="21"/>
    </row>
    <row r="469">
      <c r="L469" s="21"/>
    </row>
    <row r="470">
      <c r="L470" s="21"/>
    </row>
    <row r="471">
      <c r="L471" s="21"/>
    </row>
    <row r="472">
      <c r="L472" s="21"/>
    </row>
    <row r="473">
      <c r="L473" s="21"/>
    </row>
    <row r="474">
      <c r="L474" s="21"/>
    </row>
    <row r="475">
      <c r="L475" s="21"/>
    </row>
    <row r="476">
      <c r="L476" s="21"/>
    </row>
    <row r="477">
      <c r="L477" s="21"/>
    </row>
    <row r="478">
      <c r="L478" s="21"/>
    </row>
    <row r="479">
      <c r="L479" s="21"/>
    </row>
    <row r="480">
      <c r="L480" s="21"/>
    </row>
    <row r="481">
      <c r="L481" s="21"/>
    </row>
    <row r="482">
      <c r="L482" s="21"/>
    </row>
    <row r="483">
      <c r="L483" s="21"/>
    </row>
    <row r="484">
      <c r="L484" s="21"/>
    </row>
    <row r="485">
      <c r="L485" s="21"/>
    </row>
    <row r="486">
      <c r="L486" s="21"/>
    </row>
    <row r="487">
      <c r="L487" s="21"/>
    </row>
    <row r="488">
      <c r="L488" s="21"/>
    </row>
    <row r="489">
      <c r="L489" s="21"/>
    </row>
    <row r="490">
      <c r="L490" s="21"/>
    </row>
    <row r="491">
      <c r="L491" s="21"/>
    </row>
    <row r="492">
      <c r="L492" s="21"/>
    </row>
    <row r="493">
      <c r="L493" s="21"/>
    </row>
    <row r="494">
      <c r="L494" s="21"/>
    </row>
    <row r="495">
      <c r="L495" s="21"/>
    </row>
    <row r="496">
      <c r="L496" s="21"/>
    </row>
    <row r="497">
      <c r="L497" s="21"/>
    </row>
    <row r="498">
      <c r="L498" s="21"/>
    </row>
    <row r="499">
      <c r="L499" s="21"/>
    </row>
    <row r="500">
      <c r="L500" s="21"/>
    </row>
    <row r="501">
      <c r="L501" s="21"/>
    </row>
    <row r="502">
      <c r="L502" s="21"/>
    </row>
    <row r="503">
      <c r="L503" s="21"/>
    </row>
    <row r="504">
      <c r="L504" s="21"/>
    </row>
    <row r="505">
      <c r="L505" s="21"/>
    </row>
    <row r="506">
      <c r="L506" s="21"/>
    </row>
    <row r="507">
      <c r="L507" s="21"/>
    </row>
    <row r="508">
      <c r="L508" s="21"/>
    </row>
    <row r="509">
      <c r="L509" s="21"/>
    </row>
    <row r="510">
      <c r="L510" s="21"/>
    </row>
    <row r="511">
      <c r="L511" s="21"/>
    </row>
    <row r="512">
      <c r="L512" s="21"/>
    </row>
    <row r="513">
      <c r="L513" s="21"/>
    </row>
    <row r="514">
      <c r="L514" s="21"/>
    </row>
    <row r="515">
      <c r="L515" s="21"/>
    </row>
    <row r="516">
      <c r="L516" s="21"/>
    </row>
    <row r="517">
      <c r="L517" s="21"/>
    </row>
    <row r="518">
      <c r="L518" s="21"/>
    </row>
    <row r="519">
      <c r="L519" s="21"/>
    </row>
    <row r="520">
      <c r="L520" s="21"/>
    </row>
    <row r="521">
      <c r="L521" s="21"/>
    </row>
    <row r="522">
      <c r="L522" s="21"/>
    </row>
    <row r="523">
      <c r="L523" s="21"/>
    </row>
    <row r="524">
      <c r="L524" s="21"/>
    </row>
    <row r="525">
      <c r="L525" s="21"/>
    </row>
    <row r="526">
      <c r="L526" s="21"/>
    </row>
    <row r="527">
      <c r="L527" s="21"/>
    </row>
    <row r="528">
      <c r="L528" s="21"/>
    </row>
    <row r="529">
      <c r="L529" s="21"/>
    </row>
    <row r="530">
      <c r="L530" s="21"/>
    </row>
    <row r="531">
      <c r="L531" s="21"/>
    </row>
    <row r="532">
      <c r="L532" s="21"/>
    </row>
    <row r="533">
      <c r="L533" s="21"/>
    </row>
    <row r="534">
      <c r="L534" s="21"/>
    </row>
    <row r="535">
      <c r="L535" s="21"/>
    </row>
    <row r="536">
      <c r="L536" s="21"/>
    </row>
    <row r="537">
      <c r="L537" s="21"/>
    </row>
    <row r="538">
      <c r="L538" s="21"/>
    </row>
    <row r="539">
      <c r="L539" s="21"/>
    </row>
    <row r="540">
      <c r="L540" s="21"/>
    </row>
    <row r="541">
      <c r="L541" s="21"/>
    </row>
    <row r="542">
      <c r="L542" s="21"/>
    </row>
    <row r="543">
      <c r="L543" s="21"/>
    </row>
    <row r="544">
      <c r="L544" s="21"/>
    </row>
    <row r="545">
      <c r="L545" s="21"/>
    </row>
    <row r="546">
      <c r="L546" s="21"/>
    </row>
    <row r="547">
      <c r="L547" s="21"/>
    </row>
    <row r="548">
      <c r="L548" s="21"/>
    </row>
    <row r="549">
      <c r="L549" s="21"/>
    </row>
    <row r="550">
      <c r="L550" s="21"/>
    </row>
    <row r="551">
      <c r="L551" s="21"/>
    </row>
    <row r="552">
      <c r="L552" s="21"/>
    </row>
    <row r="553">
      <c r="L553" s="21"/>
    </row>
    <row r="554">
      <c r="L554" s="21"/>
    </row>
    <row r="555">
      <c r="L555" s="21"/>
    </row>
    <row r="556">
      <c r="L556" s="21"/>
    </row>
    <row r="557">
      <c r="L557" s="21"/>
    </row>
    <row r="558">
      <c r="L558" s="21"/>
    </row>
    <row r="559">
      <c r="L559" s="21"/>
    </row>
    <row r="560">
      <c r="L560" s="21"/>
    </row>
    <row r="561">
      <c r="L561" s="21"/>
    </row>
    <row r="562">
      <c r="L562" s="21"/>
    </row>
    <row r="563">
      <c r="L563" s="21"/>
    </row>
    <row r="564">
      <c r="L564" s="21"/>
    </row>
    <row r="565">
      <c r="L565" s="21"/>
    </row>
    <row r="566">
      <c r="L566" s="21"/>
    </row>
    <row r="567">
      <c r="L567" s="21"/>
    </row>
    <row r="568">
      <c r="L568" s="21"/>
    </row>
    <row r="569">
      <c r="L569" s="21"/>
    </row>
    <row r="570">
      <c r="L570" s="21"/>
    </row>
    <row r="571">
      <c r="L571" s="21"/>
    </row>
    <row r="572">
      <c r="L572" s="21"/>
    </row>
    <row r="573">
      <c r="L573" s="21"/>
    </row>
    <row r="574">
      <c r="L574" s="21"/>
    </row>
    <row r="575">
      <c r="L575" s="21"/>
    </row>
    <row r="576">
      <c r="L576" s="21"/>
    </row>
    <row r="577">
      <c r="L577" s="21"/>
    </row>
    <row r="578">
      <c r="L578" s="21"/>
    </row>
    <row r="579">
      <c r="L579" s="21"/>
    </row>
    <row r="580">
      <c r="L580" s="21"/>
    </row>
    <row r="581">
      <c r="L581" s="21"/>
    </row>
    <row r="582">
      <c r="L582" s="21"/>
    </row>
    <row r="583">
      <c r="L583" s="21"/>
    </row>
    <row r="584">
      <c r="L584" s="21"/>
    </row>
    <row r="585">
      <c r="L585" s="21"/>
    </row>
    <row r="586">
      <c r="L586" s="21"/>
    </row>
    <row r="587">
      <c r="L587" s="21"/>
    </row>
    <row r="588">
      <c r="L588" s="21"/>
    </row>
    <row r="589">
      <c r="L589" s="21"/>
    </row>
    <row r="590">
      <c r="L590" s="21"/>
    </row>
    <row r="591">
      <c r="L591" s="21"/>
    </row>
    <row r="592">
      <c r="L592" s="21"/>
    </row>
    <row r="593">
      <c r="L593" s="21"/>
    </row>
    <row r="594">
      <c r="L594" s="21"/>
    </row>
    <row r="595">
      <c r="L595" s="21"/>
    </row>
    <row r="596">
      <c r="L596" s="21"/>
    </row>
    <row r="597">
      <c r="L597" s="21"/>
    </row>
    <row r="598">
      <c r="L598" s="21"/>
    </row>
    <row r="599">
      <c r="L599" s="21"/>
    </row>
    <row r="600">
      <c r="L600" s="21"/>
    </row>
    <row r="601">
      <c r="L601" s="21"/>
    </row>
    <row r="602">
      <c r="L602" s="21"/>
    </row>
    <row r="603">
      <c r="L603" s="21"/>
    </row>
    <row r="604">
      <c r="L604" s="21"/>
    </row>
    <row r="605">
      <c r="L605" s="21"/>
    </row>
    <row r="606">
      <c r="L606" s="21"/>
    </row>
    <row r="607">
      <c r="L607" s="21"/>
    </row>
    <row r="608">
      <c r="L608" s="21"/>
    </row>
    <row r="609">
      <c r="L609" s="21"/>
    </row>
    <row r="610">
      <c r="L610" s="21"/>
    </row>
    <row r="611">
      <c r="L611" s="21"/>
    </row>
    <row r="612">
      <c r="L612" s="21"/>
    </row>
    <row r="613">
      <c r="L613" s="21"/>
    </row>
    <row r="614">
      <c r="L614" s="21"/>
    </row>
    <row r="615">
      <c r="L615" s="21"/>
    </row>
    <row r="616">
      <c r="L616" s="21"/>
    </row>
    <row r="617">
      <c r="L617" s="21"/>
    </row>
    <row r="618">
      <c r="L618" s="21"/>
    </row>
    <row r="619">
      <c r="L619" s="21"/>
    </row>
    <row r="620">
      <c r="L620" s="21"/>
    </row>
    <row r="621">
      <c r="L621" s="21"/>
    </row>
    <row r="622">
      <c r="L622" s="21"/>
    </row>
    <row r="623">
      <c r="L623" s="21"/>
    </row>
    <row r="624">
      <c r="L624" s="21"/>
    </row>
    <row r="625">
      <c r="L625" s="21"/>
    </row>
    <row r="626">
      <c r="L626" s="21"/>
    </row>
    <row r="627">
      <c r="L627" s="21"/>
    </row>
    <row r="628">
      <c r="L628" s="21"/>
    </row>
    <row r="629">
      <c r="L629" s="21"/>
    </row>
    <row r="630">
      <c r="L630" s="21"/>
    </row>
    <row r="631">
      <c r="L631" s="21"/>
    </row>
    <row r="632">
      <c r="L632" s="21"/>
    </row>
    <row r="633">
      <c r="L633" s="21"/>
    </row>
    <row r="634">
      <c r="L634" s="21"/>
    </row>
    <row r="635">
      <c r="L635" s="21"/>
    </row>
    <row r="636">
      <c r="L636" s="21"/>
    </row>
    <row r="637">
      <c r="L637" s="21"/>
    </row>
    <row r="638">
      <c r="L638" s="21"/>
    </row>
    <row r="639">
      <c r="L639" s="21"/>
    </row>
    <row r="640">
      <c r="L640" s="21"/>
    </row>
    <row r="641">
      <c r="L641" s="21"/>
    </row>
    <row r="642">
      <c r="L642" s="21"/>
    </row>
    <row r="643">
      <c r="L643" s="21"/>
    </row>
    <row r="644">
      <c r="L644" s="21"/>
    </row>
    <row r="645">
      <c r="L645" s="21"/>
    </row>
    <row r="646">
      <c r="L646" s="21"/>
    </row>
    <row r="647">
      <c r="L647" s="21"/>
    </row>
    <row r="648">
      <c r="L648" s="21"/>
    </row>
    <row r="649">
      <c r="L649" s="21"/>
    </row>
    <row r="650">
      <c r="L650" s="21"/>
    </row>
    <row r="651">
      <c r="L651" s="21"/>
    </row>
    <row r="652">
      <c r="L652" s="21"/>
    </row>
    <row r="653">
      <c r="L653" s="21"/>
    </row>
    <row r="654">
      <c r="L654" s="21"/>
    </row>
    <row r="655">
      <c r="L655" s="21"/>
    </row>
    <row r="656">
      <c r="L656" s="21"/>
    </row>
    <row r="657">
      <c r="L657" s="21"/>
    </row>
    <row r="658">
      <c r="L658" s="21"/>
    </row>
    <row r="659">
      <c r="L659" s="21"/>
    </row>
    <row r="660">
      <c r="L660" s="21"/>
    </row>
    <row r="661">
      <c r="L661" s="21"/>
    </row>
    <row r="662">
      <c r="L662" s="21"/>
    </row>
    <row r="663">
      <c r="L663" s="21"/>
    </row>
    <row r="664">
      <c r="L664" s="21"/>
    </row>
    <row r="665">
      <c r="L665" s="21"/>
    </row>
    <row r="666">
      <c r="L666" s="21"/>
    </row>
    <row r="667">
      <c r="L667" s="21"/>
    </row>
    <row r="668">
      <c r="L668" s="21"/>
    </row>
    <row r="669">
      <c r="L669" s="21"/>
    </row>
    <row r="670">
      <c r="L670" s="21"/>
    </row>
    <row r="671">
      <c r="L671" s="21"/>
    </row>
    <row r="672">
      <c r="L672" s="21"/>
    </row>
    <row r="673">
      <c r="L673" s="21"/>
    </row>
    <row r="674">
      <c r="L674" s="21"/>
    </row>
    <row r="675">
      <c r="L675" s="21"/>
    </row>
    <row r="676">
      <c r="L676" s="21"/>
    </row>
    <row r="677">
      <c r="L677" s="21"/>
    </row>
    <row r="678">
      <c r="L678" s="21"/>
    </row>
    <row r="679">
      <c r="L679" s="21"/>
    </row>
    <row r="680">
      <c r="L680" s="21"/>
    </row>
    <row r="681">
      <c r="L681" s="21"/>
    </row>
    <row r="682">
      <c r="L682" s="21"/>
    </row>
    <row r="683">
      <c r="L683" s="21"/>
    </row>
    <row r="684">
      <c r="L684" s="21"/>
    </row>
    <row r="685">
      <c r="L685" s="21"/>
    </row>
    <row r="686">
      <c r="L686" s="21"/>
    </row>
    <row r="687">
      <c r="L687" s="21"/>
    </row>
    <row r="688">
      <c r="L688" s="21"/>
    </row>
    <row r="689">
      <c r="L689" s="21"/>
    </row>
    <row r="690">
      <c r="L690" s="21"/>
    </row>
    <row r="691">
      <c r="L691" s="21"/>
    </row>
    <row r="692">
      <c r="L692" s="21"/>
    </row>
    <row r="693">
      <c r="L693" s="21"/>
    </row>
    <row r="694">
      <c r="L694" s="21"/>
    </row>
    <row r="695">
      <c r="L695" s="21"/>
    </row>
    <row r="696">
      <c r="L696" s="21"/>
    </row>
    <row r="697">
      <c r="L697" s="21"/>
    </row>
    <row r="698">
      <c r="L698" s="21"/>
    </row>
    <row r="699">
      <c r="L699" s="21"/>
    </row>
    <row r="700">
      <c r="L700" s="21"/>
    </row>
    <row r="701">
      <c r="L701" s="21"/>
    </row>
    <row r="702">
      <c r="L702" s="21"/>
    </row>
    <row r="703">
      <c r="L703" s="21"/>
    </row>
    <row r="704">
      <c r="L704" s="21"/>
    </row>
    <row r="705">
      <c r="L705" s="21"/>
    </row>
    <row r="706">
      <c r="L706" s="21"/>
    </row>
    <row r="707">
      <c r="L707" s="21"/>
    </row>
    <row r="708">
      <c r="L708" s="21"/>
    </row>
    <row r="709">
      <c r="L709" s="21"/>
    </row>
    <row r="710">
      <c r="L710" s="21"/>
    </row>
    <row r="711">
      <c r="L711" s="21"/>
    </row>
    <row r="712">
      <c r="L712" s="21"/>
    </row>
    <row r="713">
      <c r="L713" s="21"/>
    </row>
    <row r="714">
      <c r="L714" s="21"/>
    </row>
    <row r="715">
      <c r="L715" s="21"/>
    </row>
    <row r="716">
      <c r="L716" s="21"/>
    </row>
    <row r="717">
      <c r="L717" s="21"/>
    </row>
    <row r="718">
      <c r="L718" s="21"/>
    </row>
    <row r="719">
      <c r="L719" s="21"/>
    </row>
    <row r="720">
      <c r="L720" s="21"/>
    </row>
    <row r="721">
      <c r="L721" s="21"/>
    </row>
    <row r="722">
      <c r="L722" s="21"/>
    </row>
    <row r="723">
      <c r="L723" s="21"/>
    </row>
    <row r="724">
      <c r="L724" s="21"/>
    </row>
    <row r="725">
      <c r="L725" s="21"/>
    </row>
    <row r="726">
      <c r="L726" s="21"/>
    </row>
    <row r="727">
      <c r="L727" s="21"/>
    </row>
    <row r="728">
      <c r="L728" s="21"/>
    </row>
    <row r="729">
      <c r="L729" s="21"/>
    </row>
    <row r="730">
      <c r="L730" s="21"/>
    </row>
    <row r="731">
      <c r="L731" s="21"/>
    </row>
    <row r="732">
      <c r="L732" s="21"/>
    </row>
    <row r="733">
      <c r="L733" s="21"/>
    </row>
    <row r="734">
      <c r="L734" s="21"/>
    </row>
    <row r="735">
      <c r="L735" s="21"/>
    </row>
    <row r="736">
      <c r="L736" s="21"/>
    </row>
    <row r="737">
      <c r="L737" s="21"/>
    </row>
    <row r="738">
      <c r="L738" s="21"/>
    </row>
    <row r="739">
      <c r="L739" s="21"/>
    </row>
    <row r="740">
      <c r="L740" s="21"/>
    </row>
    <row r="741">
      <c r="L741" s="21"/>
    </row>
    <row r="742">
      <c r="L742" s="21"/>
    </row>
    <row r="743">
      <c r="L743" s="21"/>
    </row>
    <row r="744">
      <c r="L744" s="21"/>
    </row>
    <row r="745">
      <c r="L745" s="21"/>
    </row>
    <row r="746">
      <c r="L746" s="21"/>
    </row>
    <row r="747">
      <c r="L747" s="21"/>
    </row>
    <row r="748">
      <c r="L748" s="21"/>
    </row>
    <row r="749">
      <c r="L749" s="21"/>
    </row>
    <row r="750">
      <c r="L750" s="21"/>
    </row>
    <row r="751">
      <c r="L751" s="21"/>
    </row>
    <row r="752">
      <c r="L752" s="21"/>
    </row>
    <row r="753">
      <c r="L753" s="21"/>
    </row>
    <row r="754">
      <c r="L754" s="21"/>
    </row>
    <row r="755">
      <c r="L755" s="21"/>
    </row>
    <row r="756">
      <c r="L756" s="21"/>
    </row>
    <row r="757">
      <c r="L757" s="21"/>
    </row>
    <row r="758">
      <c r="L758" s="21"/>
    </row>
    <row r="759">
      <c r="L759" s="21"/>
    </row>
    <row r="760">
      <c r="L760" s="21"/>
    </row>
    <row r="761">
      <c r="L761" s="21"/>
    </row>
    <row r="762">
      <c r="L762" s="21"/>
    </row>
    <row r="763">
      <c r="L763" s="21"/>
    </row>
    <row r="764">
      <c r="L764" s="21"/>
    </row>
    <row r="765">
      <c r="L765" s="21"/>
    </row>
    <row r="766">
      <c r="L766" s="21"/>
    </row>
    <row r="767">
      <c r="L767" s="21"/>
    </row>
    <row r="768">
      <c r="L768" s="21"/>
    </row>
    <row r="769">
      <c r="L769" s="21"/>
    </row>
    <row r="770">
      <c r="L770" s="21"/>
    </row>
    <row r="771">
      <c r="L771" s="21"/>
    </row>
    <row r="772">
      <c r="L772" s="21"/>
    </row>
    <row r="773">
      <c r="L773" s="21"/>
    </row>
    <row r="774">
      <c r="L774" s="21"/>
    </row>
    <row r="775">
      <c r="L775" s="21"/>
    </row>
    <row r="776">
      <c r="L776" s="21"/>
    </row>
    <row r="777">
      <c r="L777" s="21"/>
    </row>
    <row r="778">
      <c r="L778" s="21"/>
    </row>
    <row r="779">
      <c r="L779" s="21"/>
    </row>
    <row r="780">
      <c r="L780" s="21"/>
    </row>
    <row r="781">
      <c r="L781" s="21"/>
    </row>
    <row r="782">
      <c r="L782" s="21"/>
    </row>
    <row r="783">
      <c r="L783" s="21"/>
    </row>
    <row r="784">
      <c r="L784" s="21"/>
    </row>
    <row r="785">
      <c r="L785" s="21"/>
    </row>
    <row r="786">
      <c r="L786" s="21"/>
    </row>
    <row r="787">
      <c r="L787" s="21"/>
    </row>
    <row r="788">
      <c r="L788" s="21"/>
    </row>
    <row r="789">
      <c r="L789" s="21"/>
    </row>
    <row r="790">
      <c r="L790" s="21"/>
    </row>
    <row r="791">
      <c r="L791" s="21"/>
    </row>
    <row r="792">
      <c r="L792" s="21"/>
    </row>
    <row r="793">
      <c r="L793" s="21"/>
    </row>
    <row r="794">
      <c r="L794" s="21"/>
    </row>
    <row r="795">
      <c r="L795" s="21"/>
    </row>
    <row r="796">
      <c r="L796" s="21"/>
    </row>
    <row r="797">
      <c r="L797" s="21"/>
    </row>
    <row r="798">
      <c r="L798" s="21"/>
    </row>
    <row r="799">
      <c r="L799" s="21"/>
    </row>
    <row r="800">
      <c r="L800" s="21"/>
    </row>
    <row r="801">
      <c r="L801" s="21"/>
    </row>
    <row r="802">
      <c r="L802" s="21"/>
    </row>
    <row r="803">
      <c r="L803" s="21"/>
    </row>
    <row r="804">
      <c r="L804" s="21"/>
    </row>
    <row r="805">
      <c r="L805" s="21"/>
    </row>
    <row r="806">
      <c r="L806" s="21"/>
    </row>
    <row r="807">
      <c r="L807" s="21"/>
    </row>
    <row r="808">
      <c r="L808" s="21"/>
    </row>
    <row r="809">
      <c r="L809" s="21"/>
    </row>
    <row r="810">
      <c r="L810" s="21"/>
    </row>
    <row r="811">
      <c r="L811" s="21"/>
    </row>
    <row r="812">
      <c r="L812" s="21"/>
    </row>
    <row r="813">
      <c r="L813" s="21"/>
    </row>
    <row r="814">
      <c r="L814" s="21"/>
    </row>
    <row r="815">
      <c r="L815" s="21"/>
    </row>
    <row r="816">
      <c r="L816" s="21"/>
    </row>
    <row r="817">
      <c r="L817" s="21"/>
    </row>
    <row r="818">
      <c r="L818" s="21"/>
    </row>
    <row r="819">
      <c r="L819" s="21"/>
    </row>
    <row r="820">
      <c r="L820" s="21"/>
    </row>
    <row r="821">
      <c r="L821" s="21"/>
    </row>
    <row r="822">
      <c r="L822" s="21"/>
    </row>
    <row r="823">
      <c r="L823" s="21"/>
    </row>
    <row r="824">
      <c r="L824" s="21"/>
    </row>
    <row r="825">
      <c r="L825" s="21"/>
    </row>
    <row r="826">
      <c r="L826" s="21"/>
    </row>
    <row r="827">
      <c r="L827" s="21"/>
    </row>
    <row r="828">
      <c r="L828" s="21"/>
    </row>
    <row r="829">
      <c r="L829" s="21"/>
    </row>
    <row r="830">
      <c r="L830" s="21"/>
    </row>
    <row r="831">
      <c r="L831" s="21"/>
    </row>
    <row r="832">
      <c r="L832" s="21"/>
    </row>
    <row r="833">
      <c r="L833" s="21"/>
    </row>
    <row r="834">
      <c r="L834" s="21"/>
    </row>
    <row r="835">
      <c r="L835" s="21"/>
    </row>
    <row r="836">
      <c r="L836" s="21"/>
    </row>
    <row r="837">
      <c r="L837" s="21"/>
    </row>
    <row r="838">
      <c r="L838" s="21"/>
    </row>
    <row r="839">
      <c r="L839" s="21"/>
    </row>
    <row r="840">
      <c r="L840" s="21"/>
    </row>
    <row r="841">
      <c r="L841" s="21"/>
    </row>
    <row r="842">
      <c r="L842" s="21"/>
    </row>
    <row r="843">
      <c r="L843" s="21"/>
    </row>
    <row r="844">
      <c r="L844" s="21"/>
    </row>
    <row r="845">
      <c r="L845" s="21"/>
    </row>
    <row r="846">
      <c r="L846" s="21"/>
    </row>
    <row r="847">
      <c r="L847" s="21"/>
    </row>
    <row r="848">
      <c r="L848" s="21"/>
    </row>
    <row r="849">
      <c r="L849" s="21"/>
    </row>
    <row r="850">
      <c r="L850" s="21"/>
    </row>
    <row r="851">
      <c r="L851" s="21"/>
    </row>
    <row r="852">
      <c r="L852" s="21"/>
    </row>
    <row r="853">
      <c r="L853" s="21"/>
    </row>
    <row r="854">
      <c r="L854" s="21"/>
    </row>
    <row r="855">
      <c r="L855" s="21"/>
    </row>
    <row r="856">
      <c r="L856" s="21"/>
    </row>
    <row r="857">
      <c r="L857" s="21"/>
    </row>
    <row r="858">
      <c r="L858" s="21"/>
    </row>
    <row r="859">
      <c r="L859" s="21"/>
    </row>
    <row r="860">
      <c r="L860" s="21"/>
    </row>
    <row r="861">
      <c r="L861" s="21"/>
    </row>
    <row r="862">
      <c r="L862" s="21"/>
    </row>
    <row r="863">
      <c r="L863" s="21"/>
    </row>
    <row r="864">
      <c r="L864" s="21"/>
    </row>
    <row r="865">
      <c r="L865" s="21"/>
    </row>
    <row r="866">
      <c r="L866" s="21"/>
    </row>
    <row r="867">
      <c r="L867" s="21"/>
    </row>
    <row r="868">
      <c r="L868" s="21"/>
    </row>
    <row r="869">
      <c r="L869" s="21"/>
    </row>
    <row r="870">
      <c r="L870" s="21"/>
    </row>
    <row r="871">
      <c r="L871" s="21"/>
    </row>
    <row r="872">
      <c r="L872" s="21"/>
    </row>
    <row r="873">
      <c r="L873" s="21"/>
    </row>
    <row r="874">
      <c r="L874" s="21"/>
    </row>
    <row r="875">
      <c r="L875" s="21"/>
    </row>
    <row r="876">
      <c r="L876" s="21"/>
    </row>
    <row r="877">
      <c r="L877" s="21"/>
    </row>
    <row r="878">
      <c r="L878" s="21"/>
    </row>
    <row r="879">
      <c r="L879" s="21"/>
    </row>
    <row r="880">
      <c r="L880" s="21"/>
    </row>
    <row r="881">
      <c r="L881" s="21"/>
    </row>
    <row r="882">
      <c r="L882" s="21"/>
    </row>
    <row r="883">
      <c r="L883" s="21"/>
    </row>
    <row r="884">
      <c r="L884" s="21"/>
    </row>
    <row r="885">
      <c r="L885" s="21"/>
    </row>
    <row r="886">
      <c r="L886" s="21"/>
    </row>
    <row r="887">
      <c r="L887" s="21"/>
    </row>
    <row r="888">
      <c r="L888" s="21"/>
    </row>
    <row r="889">
      <c r="L889" s="21"/>
    </row>
    <row r="890">
      <c r="L890" s="21"/>
    </row>
    <row r="891">
      <c r="L891" s="21"/>
    </row>
    <row r="892">
      <c r="L892" s="21"/>
    </row>
    <row r="893">
      <c r="L893" s="21"/>
    </row>
    <row r="894">
      <c r="L894" s="21"/>
    </row>
    <row r="895">
      <c r="L895" s="21"/>
    </row>
    <row r="896">
      <c r="L896" s="21"/>
    </row>
    <row r="897">
      <c r="L897" s="21"/>
    </row>
    <row r="898">
      <c r="L898" s="21"/>
    </row>
    <row r="899">
      <c r="L899" s="21"/>
    </row>
    <row r="900">
      <c r="L900" s="21"/>
    </row>
    <row r="901">
      <c r="L901" s="21"/>
    </row>
    <row r="902">
      <c r="L902" s="21"/>
    </row>
    <row r="903">
      <c r="L903" s="21"/>
    </row>
    <row r="904">
      <c r="L904" s="21"/>
    </row>
    <row r="905">
      <c r="L905" s="21"/>
    </row>
    <row r="906">
      <c r="L906" s="21"/>
    </row>
    <row r="907">
      <c r="L907" s="21"/>
    </row>
    <row r="908">
      <c r="L908" s="21"/>
    </row>
    <row r="909">
      <c r="L909" s="21"/>
    </row>
    <row r="910">
      <c r="L910" s="21"/>
    </row>
    <row r="911">
      <c r="L911" s="21"/>
    </row>
    <row r="912">
      <c r="L912" s="21"/>
    </row>
    <row r="913">
      <c r="L913" s="21"/>
    </row>
    <row r="914">
      <c r="L914" s="21"/>
    </row>
    <row r="915">
      <c r="L915" s="21"/>
    </row>
    <row r="916">
      <c r="L916" s="21"/>
    </row>
    <row r="917">
      <c r="L917" s="21"/>
    </row>
    <row r="918">
      <c r="L918" s="21"/>
    </row>
    <row r="919">
      <c r="L919" s="21"/>
    </row>
    <row r="920">
      <c r="L920" s="21"/>
    </row>
    <row r="921">
      <c r="L921" s="21"/>
    </row>
    <row r="922">
      <c r="L922" s="21"/>
    </row>
    <row r="923">
      <c r="L923" s="21"/>
    </row>
    <row r="924">
      <c r="L924" s="21"/>
    </row>
    <row r="925">
      <c r="L925" s="21"/>
    </row>
    <row r="926">
      <c r="L926" s="21"/>
    </row>
    <row r="927">
      <c r="L927" s="21"/>
    </row>
    <row r="928">
      <c r="L928" s="21"/>
    </row>
    <row r="929">
      <c r="L929" s="21"/>
    </row>
    <row r="930">
      <c r="L930" s="21"/>
    </row>
    <row r="931">
      <c r="L931" s="21"/>
    </row>
    <row r="932">
      <c r="L932" s="21"/>
    </row>
    <row r="933">
      <c r="L933" s="21"/>
    </row>
    <row r="934">
      <c r="L934" s="21"/>
    </row>
    <row r="935">
      <c r="L935" s="21"/>
    </row>
    <row r="936">
      <c r="L936" s="21"/>
    </row>
    <row r="937">
      <c r="L937" s="21"/>
    </row>
    <row r="938">
      <c r="L938" s="21"/>
    </row>
    <row r="939">
      <c r="L939" s="21"/>
    </row>
    <row r="940">
      <c r="L940" s="21"/>
    </row>
    <row r="941">
      <c r="L941" s="21"/>
    </row>
    <row r="942">
      <c r="L942" s="21"/>
    </row>
    <row r="943">
      <c r="L943" s="21"/>
    </row>
    <row r="944">
      <c r="L944" s="21"/>
    </row>
    <row r="945">
      <c r="L945" s="21"/>
    </row>
    <row r="946">
      <c r="L946" s="21"/>
    </row>
    <row r="947">
      <c r="L947" s="21"/>
    </row>
    <row r="948">
      <c r="L948" s="21"/>
    </row>
    <row r="949">
      <c r="L949" s="21"/>
    </row>
    <row r="950">
      <c r="L950" s="21"/>
    </row>
    <row r="951">
      <c r="L951" s="21"/>
    </row>
    <row r="952">
      <c r="L952" s="21"/>
    </row>
    <row r="953">
      <c r="L953" s="21"/>
    </row>
    <row r="954">
      <c r="L954" s="21"/>
    </row>
    <row r="955">
      <c r="L955" s="21"/>
    </row>
    <row r="956">
      <c r="L956" s="21"/>
    </row>
    <row r="957">
      <c r="L957" s="21"/>
    </row>
    <row r="958">
      <c r="L958" s="21"/>
    </row>
    <row r="959">
      <c r="L959" s="21"/>
    </row>
    <row r="960">
      <c r="L960" s="21"/>
    </row>
    <row r="961">
      <c r="L961" s="21"/>
    </row>
    <row r="962">
      <c r="L962" s="21"/>
    </row>
    <row r="963">
      <c r="L963" s="21"/>
    </row>
    <row r="964">
      <c r="L964" s="21"/>
    </row>
    <row r="965">
      <c r="L965" s="21"/>
    </row>
    <row r="966">
      <c r="L966" s="21"/>
    </row>
    <row r="967">
      <c r="L967" s="21"/>
    </row>
    <row r="968">
      <c r="L968" s="21"/>
    </row>
    <row r="969">
      <c r="L969" s="21"/>
    </row>
    <row r="970">
      <c r="L970" s="21"/>
    </row>
    <row r="971">
      <c r="L971" s="21"/>
    </row>
    <row r="972">
      <c r="L972" s="21"/>
    </row>
    <row r="973">
      <c r="L973" s="21"/>
    </row>
    <row r="974">
      <c r="L974" s="21"/>
    </row>
    <row r="975">
      <c r="L975" s="21"/>
    </row>
    <row r="976">
      <c r="L976" s="21"/>
    </row>
    <row r="977">
      <c r="L977" s="21"/>
    </row>
    <row r="978">
      <c r="L978" s="21"/>
    </row>
    <row r="979">
      <c r="L979" s="21"/>
    </row>
    <row r="980">
      <c r="L980" s="21"/>
    </row>
    <row r="981">
      <c r="L981" s="21"/>
    </row>
    <row r="982">
      <c r="L982" s="21"/>
    </row>
    <row r="983">
      <c r="L983" s="21"/>
    </row>
    <row r="984">
      <c r="L984" s="21"/>
    </row>
    <row r="985">
      <c r="L985" s="21"/>
    </row>
    <row r="986">
      <c r="L986" s="21"/>
    </row>
    <row r="987">
      <c r="L987" s="21"/>
    </row>
    <row r="988">
      <c r="L988" s="21"/>
    </row>
    <row r="989">
      <c r="L989" s="21"/>
    </row>
    <row r="990">
      <c r="L990" s="21"/>
    </row>
    <row r="991">
      <c r="L991" s="21"/>
    </row>
    <row r="992">
      <c r="L992" s="21"/>
    </row>
    <row r="993">
      <c r="L993" s="21"/>
    </row>
    <row r="994">
      <c r="L994" s="21"/>
    </row>
    <row r="995">
      <c r="L995" s="21"/>
    </row>
    <row r="996">
      <c r="L996" s="21"/>
    </row>
    <row r="997">
      <c r="L997" s="21"/>
    </row>
    <row r="998">
      <c r="L998" s="21"/>
    </row>
    <row r="999">
      <c r="L999" s="21"/>
    </row>
    <row r="1000">
      <c r="L1000" s="21"/>
    </row>
    <row r="1001">
      <c r="L1001" s="21"/>
    </row>
    <row r="1002">
      <c r="L1002" s="21"/>
    </row>
    <row r="1003">
      <c r="L1003" s="21"/>
    </row>
    <row r="1004">
      <c r="L1004" s="21"/>
    </row>
    <row r="1005">
      <c r="L1005" s="21"/>
    </row>
    <row r="1006">
      <c r="L1006" s="21"/>
    </row>
    <row r="1007">
      <c r="L1007" s="21"/>
    </row>
    <row r="1008">
      <c r="L1008" s="21"/>
    </row>
    <row r="1009">
      <c r="L1009" s="21"/>
    </row>
    <row r="1010">
      <c r="L1010" s="21"/>
    </row>
    <row r="1011">
      <c r="L1011" s="21"/>
    </row>
    <row r="1012">
      <c r="L1012" s="21"/>
    </row>
    <row r="1013">
      <c r="L1013" s="21"/>
    </row>
    <row r="1014">
      <c r="L1014" s="21"/>
    </row>
    <row r="1015">
      <c r="L1015" s="21"/>
    </row>
    <row r="1016">
      <c r="L1016" s="21"/>
    </row>
    <row r="1017">
      <c r="L1017" s="21"/>
    </row>
    <row r="1018">
      <c r="L1018" s="21"/>
    </row>
    <row r="1019">
      <c r="L1019" s="21"/>
    </row>
    <row r="1020">
      <c r="L1020" s="21"/>
    </row>
    <row r="1021">
      <c r="L1021" s="21"/>
    </row>
    <row r="1022">
      <c r="L1022" s="21"/>
    </row>
    <row r="1023">
      <c r="L1023" s="21"/>
    </row>
    <row r="1024">
      <c r="L1024" s="21"/>
    </row>
    <row r="1025">
      <c r="L1025" s="21"/>
    </row>
    <row r="1026">
      <c r="L1026" s="21"/>
    </row>
    <row r="1027">
      <c r="L1027" s="21"/>
    </row>
    <row r="1028">
      <c r="L1028" s="21"/>
    </row>
    <row r="1029">
      <c r="L1029" s="21"/>
    </row>
    <row r="1030">
      <c r="L1030" s="21"/>
    </row>
    <row r="1031">
      <c r="L1031" s="21"/>
    </row>
    <row r="1032">
      <c r="L1032" s="21"/>
    </row>
    <row r="1033">
      <c r="L1033" s="21"/>
    </row>
    <row r="1034">
      <c r="L1034" s="21"/>
    </row>
    <row r="1035">
      <c r="L1035" s="21"/>
    </row>
    <row r="1036">
      <c r="L1036" s="21"/>
    </row>
    <row r="1037">
      <c r="L1037" s="21"/>
    </row>
    <row r="1038">
      <c r="L1038" s="21"/>
    </row>
    <row r="1039">
      <c r="L1039" s="21"/>
    </row>
    <row r="1040">
      <c r="L1040" s="21"/>
    </row>
    <row r="1041">
      <c r="L1041" s="21"/>
    </row>
    <row r="1042">
      <c r="L1042" s="21"/>
    </row>
    <row r="1043">
      <c r="L1043" s="21"/>
    </row>
    <row r="1044">
      <c r="L1044" s="21"/>
    </row>
    <row r="1045">
      <c r="L1045" s="21"/>
    </row>
    <row r="1046">
      <c r="L1046" s="21"/>
    </row>
    <row r="1047">
      <c r="L1047" s="21"/>
    </row>
    <row r="1048">
      <c r="L1048" s="21"/>
    </row>
    <row r="1049">
      <c r="L1049" s="21"/>
    </row>
    <row r="1050">
      <c r="L1050" s="21"/>
    </row>
    <row r="1051">
      <c r="L1051" s="21"/>
    </row>
    <row r="1052">
      <c r="L1052" s="21"/>
    </row>
    <row r="1053">
      <c r="L1053" s="21"/>
    </row>
    <row r="1054">
      <c r="L1054" s="21"/>
    </row>
    <row r="1055">
      <c r="L1055" s="21"/>
    </row>
    <row r="1056">
      <c r="L1056" s="21"/>
    </row>
    <row r="1057">
      <c r="L1057" s="21"/>
    </row>
    <row r="1058">
      <c r="L1058" s="21"/>
    </row>
    <row r="1059">
      <c r="L1059" s="21"/>
    </row>
    <row r="1060">
      <c r="L1060" s="21"/>
    </row>
    <row r="1061">
      <c r="L1061" s="21"/>
    </row>
    <row r="1062">
      <c r="L1062" s="21"/>
    </row>
    <row r="1063">
      <c r="L1063" s="21"/>
    </row>
    <row r="1064">
      <c r="L1064" s="21"/>
    </row>
    <row r="1065">
      <c r="L1065" s="21"/>
    </row>
    <row r="1066">
      <c r="L1066" s="21"/>
    </row>
    <row r="1067">
      <c r="L1067" s="21"/>
    </row>
    <row r="1068">
      <c r="L1068" s="21"/>
    </row>
    <row r="1069">
      <c r="L1069" s="21"/>
    </row>
    <row r="1070">
      <c r="L1070" s="21"/>
    </row>
    <row r="1071">
      <c r="L1071" s="21"/>
    </row>
    <row r="1072">
      <c r="L1072" s="21"/>
    </row>
    <row r="1073">
      <c r="L1073" s="21"/>
    </row>
    <row r="1074">
      <c r="L1074" s="21"/>
    </row>
    <row r="1075">
      <c r="L1075" s="21"/>
    </row>
    <row r="1076">
      <c r="L1076" s="21"/>
    </row>
    <row r="1077">
      <c r="L1077" s="21"/>
    </row>
    <row r="1078">
      <c r="L1078" s="21"/>
    </row>
    <row r="1079">
      <c r="L1079" s="21"/>
    </row>
    <row r="1080">
      <c r="L1080" s="21"/>
    </row>
    <row r="1081">
      <c r="L1081" s="21"/>
    </row>
    <row r="1082">
      <c r="L1082" s="21"/>
    </row>
    <row r="1083">
      <c r="L1083" s="21"/>
    </row>
    <row r="1084">
      <c r="L1084" s="21"/>
    </row>
    <row r="1085">
      <c r="L1085" s="21"/>
    </row>
    <row r="1086">
      <c r="L1086" s="21"/>
    </row>
    <row r="1087">
      <c r="L1087" s="21"/>
    </row>
    <row r="1088">
      <c r="L1088" s="21"/>
    </row>
    <row r="1089">
      <c r="L1089" s="21"/>
    </row>
    <row r="1090">
      <c r="L1090" s="21"/>
    </row>
    <row r="1091">
      <c r="L1091" s="21"/>
    </row>
    <row r="1092">
      <c r="L1092" s="21"/>
    </row>
    <row r="1093">
      <c r="L1093" s="21"/>
    </row>
    <row r="1094">
      <c r="L1094" s="21"/>
    </row>
    <row r="1095">
      <c r="L1095" s="21"/>
    </row>
    <row r="1096">
      <c r="L1096" s="21"/>
    </row>
    <row r="1097">
      <c r="L1097" s="21"/>
    </row>
    <row r="1098">
      <c r="L1098" s="21"/>
    </row>
    <row r="1099">
      <c r="L1099" s="21"/>
    </row>
    <row r="1100">
      <c r="L1100" s="21"/>
    </row>
    <row r="1101">
      <c r="L1101" s="21"/>
    </row>
    <row r="1102">
      <c r="L1102" s="21"/>
    </row>
    <row r="1103">
      <c r="L1103" s="21"/>
    </row>
    <row r="1104">
      <c r="L1104" s="21"/>
    </row>
    <row r="1105">
      <c r="L1105" s="21"/>
    </row>
    <row r="1106">
      <c r="L1106" s="21"/>
    </row>
    <row r="1107">
      <c r="L1107" s="21"/>
    </row>
    <row r="1108">
      <c r="L1108" s="21"/>
    </row>
    <row r="1109">
      <c r="L1109" s="21"/>
    </row>
    <row r="1110">
      <c r="L1110" s="21"/>
    </row>
    <row r="1111">
      <c r="L1111" s="21"/>
    </row>
    <row r="1112">
      <c r="L1112" s="21"/>
    </row>
    <row r="1113">
      <c r="L1113" s="21"/>
    </row>
    <row r="1114">
      <c r="L1114" s="21"/>
    </row>
    <row r="1115">
      <c r="L1115" s="21"/>
    </row>
    <row r="1116">
      <c r="L1116" s="21"/>
    </row>
    <row r="1117">
      <c r="L1117" s="21"/>
    </row>
    <row r="1118">
      <c r="L1118" s="21"/>
    </row>
    <row r="1119">
      <c r="L1119" s="21"/>
    </row>
    <row r="1120">
      <c r="L1120" s="21"/>
    </row>
    <row r="1121">
      <c r="L1121" s="21"/>
    </row>
    <row r="1122">
      <c r="L1122" s="21"/>
    </row>
    <row r="1123">
      <c r="L1123" s="21"/>
    </row>
    <row r="1124">
      <c r="L1124" s="21"/>
    </row>
    <row r="1125">
      <c r="L1125" s="21"/>
    </row>
    <row r="1126">
      <c r="L1126" s="21"/>
    </row>
    <row r="1127">
      <c r="L1127" s="21"/>
    </row>
    <row r="1128">
      <c r="L1128" s="21"/>
    </row>
    <row r="1129">
      <c r="L1129" s="21"/>
    </row>
    <row r="1130">
      <c r="L1130" s="21"/>
    </row>
    <row r="1131">
      <c r="L1131" s="21"/>
    </row>
    <row r="1132">
      <c r="L1132" s="21"/>
    </row>
    <row r="1133">
      <c r="L1133" s="21"/>
    </row>
    <row r="1134">
      <c r="L1134" s="21"/>
    </row>
    <row r="1135">
      <c r="L1135" s="21"/>
    </row>
    <row r="1136">
      <c r="L1136" s="21"/>
    </row>
    <row r="1137">
      <c r="L1137" s="21"/>
    </row>
    <row r="1138">
      <c r="L1138" s="21"/>
    </row>
    <row r="1139">
      <c r="L1139" s="21"/>
    </row>
    <row r="1140">
      <c r="L1140" s="21"/>
    </row>
    <row r="1141">
      <c r="L1141" s="21"/>
    </row>
    <row r="1142">
      <c r="L1142" s="21"/>
    </row>
    <row r="1143">
      <c r="L1143" s="21"/>
    </row>
    <row r="1144">
      <c r="L1144" s="21"/>
    </row>
    <row r="1145">
      <c r="L1145" s="21"/>
    </row>
    <row r="1146">
      <c r="L1146" s="21"/>
    </row>
    <row r="1147">
      <c r="L1147" s="21"/>
    </row>
    <row r="1148">
      <c r="L1148" s="21"/>
    </row>
    <row r="1149">
      <c r="L1149" s="21"/>
    </row>
    <row r="1150">
      <c r="L1150" s="21"/>
    </row>
    <row r="1151">
      <c r="L1151" s="21"/>
    </row>
    <row r="1152">
      <c r="L1152" s="21"/>
    </row>
    <row r="1153">
      <c r="L1153" s="21"/>
    </row>
    <row r="1154">
      <c r="L1154" s="21"/>
    </row>
    <row r="1155">
      <c r="L1155" s="21"/>
    </row>
    <row r="1156">
      <c r="L1156" s="21"/>
    </row>
    <row r="1157">
      <c r="L1157" s="21"/>
    </row>
    <row r="1158">
      <c r="L1158" s="21"/>
    </row>
    <row r="1159">
      <c r="L1159" s="21"/>
    </row>
    <row r="1160">
      <c r="L1160" s="21"/>
    </row>
    <row r="1161">
      <c r="L1161" s="21"/>
    </row>
    <row r="1162">
      <c r="L1162" s="21"/>
    </row>
    <row r="1163">
      <c r="L1163" s="21"/>
    </row>
    <row r="1164">
      <c r="L1164" s="21"/>
    </row>
    <row r="1165">
      <c r="L1165" s="21"/>
    </row>
    <row r="1166">
      <c r="L1166" s="21"/>
    </row>
    <row r="1167">
      <c r="L1167" s="21"/>
    </row>
    <row r="1168">
      <c r="L1168" s="21"/>
    </row>
    <row r="1169">
      <c r="L1169" s="21"/>
    </row>
    <row r="1170">
      <c r="L1170" s="21"/>
    </row>
    <row r="1171">
      <c r="L1171" s="21"/>
    </row>
    <row r="1172">
      <c r="L1172" s="21"/>
    </row>
    <row r="1173">
      <c r="L1173" s="21"/>
    </row>
    <row r="1174">
      <c r="L1174" s="21"/>
    </row>
    <row r="1175">
      <c r="L1175" s="21"/>
    </row>
    <row r="1176">
      <c r="L1176" s="21"/>
    </row>
    <row r="1177">
      <c r="L1177" s="21"/>
    </row>
    <row r="1178">
      <c r="L1178" s="21"/>
    </row>
    <row r="1179">
      <c r="L1179" s="21"/>
    </row>
    <row r="1180">
      <c r="L1180" s="21"/>
    </row>
    <row r="1181">
      <c r="L1181" s="21"/>
    </row>
    <row r="1182">
      <c r="L1182" s="21"/>
    </row>
    <row r="1183">
      <c r="L1183" s="21"/>
    </row>
    <row r="1184">
      <c r="L1184" s="21"/>
    </row>
    <row r="1185">
      <c r="L1185" s="21"/>
    </row>
    <row r="1186">
      <c r="L1186" s="21"/>
    </row>
    <row r="1187">
      <c r="L1187" s="21"/>
    </row>
    <row r="1188">
      <c r="L1188" s="21"/>
    </row>
    <row r="1189">
      <c r="L1189" s="21"/>
    </row>
    <row r="1190">
      <c r="L1190" s="21"/>
    </row>
    <row r="1191">
      <c r="L1191" s="21"/>
    </row>
    <row r="1192">
      <c r="L1192" s="21"/>
    </row>
    <row r="1193">
      <c r="L1193" s="21"/>
    </row>
    <row r="1194">
      <c r="L1194" s="21"/>
    </row>
    <row r="1195">
      <c r="L1195" s="21"/>
    </row>
    <row r="1196">
      <c r="L1196" s="21"/>
    </row>
    <row r="1197">
      <c r="L1197" s="21"/>
    </row>
    <row r="1198">
      <c r="L1198" s="21"/>
    </row>
    <row r="1199">
      <c r="L1199" s="21"/>
    </row>
    <row r="1200">
      <c r="L1200" s="21"/>
    </row>
    <row r="1201">
      <c r="L1201" s="21"/>
    </row>
    <row r="1202">
      <c r="L1202" s="21"/>
    </row>
    <row r="1203">
      <c r="L1203" s="21"/>
    </row>
    <row r="1204">
      <c r="L1204" s="21"/>
    </row>
    <row r="1205">
      <c r="L1205" s="21"/>
    </row>
    <row r="1206">
      <c r="L1206" s="21"/>
    </row>
    <row r="1207">
      <c r="L1207" s="21"/>
    </row>
    <row r="1208">
      <c r="L1208" s="21"/>
    </row>
    <row r="1209">
      <c r="L1209" s="21"/>
    </row>
    <row r="1210">
      <c r="L1210" s="21"/>
    </row>
    <row r="1211">
      <c r="L1211" s="21"/>
    </row>
    <row r="1212">
      <c r="L1212" s="21"/>
    </row>
    <row r="1213">
      <c r="L1213" s="21"/>
    </row>
    <row r="1214">
      <c r="L1214" s="21"/>
    </row>
    <row r="1215">
      <c r="L1215" s="21"/>
    </row>
    <row r="1216">
      <c r="L1216" s="21"/>
    </row>
    <row r="1217">
      <c r="L1217" s="21"/>
    </row>
    <row r="1218">
      <c r="L1218" s="21"/>
    </row>
    <row r="1219">
      <c r="L1219" s="21"/>
    </row>
    <row r="1220">
      <c r="L1220" s="21"/>
    </row>
    <row r="1221">
      <c r="L1221" s="21"/>
    </row>
    <row r="1222">
      <c r="L1222" s="21"/>
    </row>
    <row r="1223">
      <c r="L1223" s="21"/>
    </row>
    <row r="1224">
      <c r="L1224" s="21"/>
    </row>
    <row r="1225">
      <c r="L1225" s="21"/>
    </row>
    <row r="1226">
      <c r="L1226" s="21"/>
    </row>
    <row r="1227">
      <c r="L1227" s="21"/>
    </row>
    <row r="1228">
      <c r="L1228" s="21"/>
    </row>
    <row r="1229">
      <c r="L1229" s="21"/>
    </row>
    <row r="1230">
      <c r="L1230" s="21"/>
    </row>
    <row r="1231">
      <c r="L1231" s="21"/>
    </row>
    <row r="1232">
      <c r="L1232" s="21"/>
    </row>
    <row r="1233">
      <c r="L1233" s="21"/>
    </row>
    <row r="1234">
      <c r="L1234" s="21"/>
    </row>
    <row r="1235">
      <c r="L1235" s="21"/>
    </row>
    <row r="1236">
      <c r="L1236" s="21"/>
    </row>
    <row r="1237">
      <c r="L1237" s="21"/>
    </row>
    <row r="1238">
      <c r="L1238" s="21"/>
    </row>
    <row r="1239">
      <c r="L1239" s="21"/>
    </row>
    <row r="1240">
      <c r="L1240" s="21"/>
    </row>
    <row r="1241">
      <c r="L1241" s="21"/>
    </row>
    <row r="1242">
      <c r="L1242" s="21"/>
    </row>
    <row r="1243">
      <c r="L1243" s="21"/>
    </row>
    <row r="1244">
      <c r="L1244" s="21"/>
    </row>
    <row r="1245">
      <c r="L1245" s="21"/>
    </row>
    <row r="1246">
      <c r="L1246" s="21"/>
    </row>
    <row r="1247">
      <c r="L1247" s="21"/>
    </row>
    <row r="1248">
      <c r="L1248" s="21"/>
    </row>
    <row r="1249">
      <c r="L1249" s="21"/>
    </row>
    <row r="1250">
      <c r="L1250" s="21"/>
    </row>
    <row r="1251">
      <c r="L1251" s="21"/>
    </row>
    <row r="1252">
      <c r="L1252" s="21"/>
    </row>
    <row r="1253">
      <c r="L1253" s="21"/>
    </row>
    <row r="1254">
      <c r="L1254" s="21"/>
    </row>
    <row r="1255">
      <c r="L1255" s="21"/>
    </row>
    <row r="1256">
      <c r="L1256" s="21"/>
    </row>
    <row r="1257">
      <c r="L1257" s="21"/>
    </row>
    <row r="1258">
      <c r="L1258" s="21"/>
    </row>
    <row r="1259">
      <c r="L1259" s="21"/>
    </row>
    <row r="1260">
      <c r="L1260" s="21"/>
    </row>
    <row r="1261">
      <c r="L1261" s="21"/>
    </row>
    <row r="1262">
      <c r="L1262" s="21"/>
    </row>
    <row r="1263">
      <c r="L1263" s="21"/>
    </row>
    <row r="1264">
      <c r="L1264" s="21"/>
    </row>
    <row r="1265">
      <c r="L1265" s="21"/>
    </row>
    <row r="1266">
      <c r="L1266" s="21"/>
    </row>
    <row r="1267">
      <c r="L1267" s="21"/>
    </row>
    <row r="1268">
      <c r="L1268" s="21"/>
    </row>
    <row r="1269">
      <c r="L1269" s="21"/>
    </row>
    <row r="1270">
      <c r="L1270" s="21"/>
    </row>
    <row r="1271">
      <c r="L1271" s="21"/>
    </row>
    <row r="1272">
      <c r="L1272" s="21"/>
    </row>
    <row r="1273">
      <c r="L1273" s="21"/>
    </row>
    <row r="1274">
      <c r="L1274" s="21"/>
    </row>
    <row r="1275">
      <c r="L1275" s="21"/>
    </row>
    <row r="1276">
      <c r="L1276" s="21"/>
    </row>
    <row r="1277">
      <c r="L1277" s="21"/>
    </row>
    <row r="1278">
      <c r="L1278" s="21"/>
    </row>
    <row r="1279">
      <c r="L1279" s="21"/>
    </row>
    <row r="1280">
      <c r="L1280" s="21"/>
    </row>
    <row r="1281">
      <c r="L1281" s="21"/>
    </row>
    <row r="1282">
      <c r="L1282" s="21"/>
    </row>
    <row r="1283">
      <c r="L1283" s="21"/>
    </row>
    <row r="1284">
      <c r="L1284" s="21"/>
    </row>
    <row r="1285">
      <c r="L1285" s="21"/>
    </row>
    <row r="1286">
      <c r="L1286" s="21"/>
    </row>
    <row r="1287">
      <c r="L1287" s="21"/>
    </row>
    <row r="1288">
      <c r="L1288" s="21"/>
    </row>
    <row r="1289">
      <c r="L1289" s="21"/>
    </row>
    <row r="1290">
      <c r="L1290" s="21"/>
    </row>
    <row r="1291">
      <c r="L1291" s="21"/>
    </row>
    <row r="1292">
      <c r="L1292" s="21"/>
    </row>
    <row r="1293">
      <c r="L1293" s="21"/>
    </row>
    <row r="1294">
      <c r="L1294" s="21"/>
    </row>
    <row r="1295">
      <c r="L1295" s="21"/>
    </row>
    <row r="1296">
      <c r="L1296" s="21"/>
    </row>
    <row r="1297">
      <c r="L1297" s="21"/>
    </row>
    <row r="1298">
      <c r="L1298" s="21"/>
    </row>
    <row r="1299">
      <c r="L1299" s="21"/>
    </row>
    <row r="1300">
      <c r="L1300" s="21"/>
    </row>
    <row r="1301">
      <c r="L1301" s="21"/>
    </row>
    <row r="1302">
      <c r="L1302" s="21"/>
    </row>
    <row r="1303">
      <c r="L1303" s="21"/>
    </row>
    <row r="1304">
      <c r="L1304" s="21"/>
    </row>
    <row r="1305">
      <c r="L1305" s="21"/>
    </row>
    <row r="1306">
      <c r="L1306" s="21"/>
    </row>
    <row r="1307">
      <c r="L1307" s="21"/>
    </row>
    <row r="1308">
      <c r="L1308" s="21"/>
    </row>
    <row r="1309">
      <c r="L1309" s="21"/>
    </row>
    <row r="1310">
      <c r="L1310" s="21"/>
    </row>
    <row r="1311">
      <c r="L1311" s="21"/>
    </row>
    <row r="1312">
      <c r="L1312" s="21"/>
    </row>
    <row r="1313">
      <c r="L1313" s="21"/>
    </row>
    <row r="1314">
      <c r="L1314" s="21"/>
    </row>
    <row r="1315">
      <c r="L1315" s="21"/>
    </row>
    <row r="1316">
      <c r="L1316" s="21"/>
    </row>
    <row r="1317">
      <c r="L1317" s="21"/>
    </row>
    <row r="1318">
      <c r="L1318" s="21"/>
    </row>
    <row r="1319">
      <c r="L1319" s="21"/>
    </row>
    <row r="1320">
      <c r="L1320" s="21"/>
    </row>
    <row r="1321">
      <c r="L1321" s="21"/>
    </row>
    <row r="1322">
      <c r="L1322" s="21"/>
    </row>
    <row r="1323">
      <c r="L1323" s="21"/>
    </row>
    <row r="1324">
      <c r="L1324" s="21"/>
    </row>
    <row r="1325">
      <c r="L1325" s="21"/>
    </row>
    <row r="1326">
      <c r="L1326" s="21"/>
    </row>
    <row r="1327">
      <c r="L1327" s="21"/>
    </row>
    <row r="1328">
      <c r="L1328" s="21"/>
    </row>
    <row r="1329">
      <c r="L1329" s="21"/>
    </row>
    <row r="1330">
      <c r="L1330" s="21"/>
    </row>
    <row r="1331">
      <c r="L1331" s="21"/>
    </row>
    <row r="1332">
      <c r="L1332" s="21"/>
    </row>
    <row r="1333">
      <c r="L1333" s="21"/>
    </row>
    <row r="1334">
      <c r="L1334" s="21"/>
    </row>
    <row r="1335">
      <c r="L1335" s="21"/>
    </row>
    <row r="1336">
      <c r="L1336" s="21"/>
    </row>
    <row r="1337">
      <c r="L1337" s="21"/>
    </row>
    <row r="1338">
      <c r="L1338" s="21"/>
    </row>
    <row r="1339">
      <c r="L1339" s="21"/>
    </row>
    <row r="1340">
      <c r="L1340" s="21"/>
    </row>
    <row r="1341">
      <c r="L1341" s="21"/>
    </row>
    <row r="1342">
      <c r="L1342" s="21"/>
    </row>
    <row r="1343">
      <c r="L1343" s="21"/>
    </row>
    <row r="1344">
      <c r="L1344" s="21"/>
    </row>
    <row r="1345">
      <c r="L1345" s="21"/>
    </row>
    <row r="1346">
      <c r="L1346" s="21"/>
    </row>
    <row r="1347">
      <c r="L1347" s="21"/>
    </row>
    <row r="1348">
      <c r="L1348" s="21"/>
    </row>
    <row r="1349">
      <c r="L1349" s="21"/>
    </row>
    <row r="1350">
      <c r="L1350" s="21"/>
    </row>
    <row r="1351">
      <c r="L1351" s="21"/>
    </row>
    <row r="1352">
      <c r="L1352" s="21"/>
    </row>
    <row r="1353">
      <c r="L1353" s="21"/>
    </row>
    <row r="1354">
      <c r="L1354" s="21"/>
    </row>
    <row r="1355">
      <c r="L1355" s="21"/>
    </row>
    <row r="1356">
      <c r="L1356" s="21"/>
    </row>
    <row r="1357">
      <c r="L1357" s="21"/>
    </row>
    <row r="1358">
      <c r="L1358" s="21"/>
    </row>
    <row r="1359">
      <c r="L1359" s="21"/>
    </row>
    <row r="1360">
      <c r="L1360" s="21"/>
    </row>
  </sheetData>
  <dataValidations>
    <dataValidation type="list" allowBlank="1" showErrorMessage="1" sqref="P2:P365">
      <formula1>"Dealer,Sub Dealer"</formula1>
    </dataValidation>
    <dataValidation type="list" allowBlank="1" showInputMessage="1" showErrorMessage="1" prompt="Invalid value" sqref="AZ2:BB365">
      <formula1>"Yes,No"</formula1>
    </dataValidation>
    <dataValidation type="list" allowBlank="1" showInputMessage="1" showErrorMessage="1" prompt="Select yes or no" sqref="F2:F365">
      <formula1>"yes,no"</formula1>
    </dataValidation>
  </dataValidations>
  <hyperlinks>
    <hyperlink r:id="rId1" location="gid=0" ref="H2"/>
    <hyperlink r:id="rId2" ref="I2"/>
    <hyperlink r:id="rId3" location="gid=0" ref="H3"/>
    <hyperlink r:id="rId4" ref="I3"/>
    <hyperlink r:id="rId5" ref="AT3"/>
    <hyperlink r:id="rId6" location="gid=0" ref="H4"/>
    <hyperlink r:id="rId7" ref="I4"/>
    <hyperlink r:id="rId8" ref="AT4"/>
    <hyperlink r:id="rId9" location="gid=0" ref="H5"/>
    <hyperlink r:id="rId10" ref="I5"/>
    <hyperlink r:id="rId11" ref="AT5"/>
    <hyperlink r:id="rId12" location="gid=0" ref="H6"/>
    <hyperlink r:id="rId13" ref="I6"/>
    <hyperlink r:id="rId14" ref="AT6"/>
    <hyperlink r:id="rId15" location="gid=0" ref="H7"/>
    <hyperlink r:id="rId16" ref="I7"/>
    <hyperlink r:id="rId17" ref="AT7"/>
    <hyperlink r:id="rId18" location="gid=0" ref="H8"/>
    <hyperlink r:id="rId19" ref="I8"/>
    <hyperlink r:id="rId20" ref="AT8"/>
    <hyperlink r:id="rId21" location="gid=0" ref="H9"/>
    <hyperlink r:id="rId22" ref="I9"/>
    <hyperlink r:id="rId23" location="gid=0" ref="H10"/>
    <hyperlink r:id="rId24" ref="I10"/>
    <hyperlink r:id="rId25" location="gid=0" ref="H11"/>
    <hyperlink r:id="rId26" ref="I11"/>
    <hyperlink r:id="rId27" location="gid=0" ref="H12"/>
    <hyperlink r:id="rId28" ref="I12"/>
    <hyperlink r:id="rId29" ref="AT12"/>
    <hyperlink r:id="rId30" location="gid=0" ref="H13"/>
    <hyperlink r:id="rId31" ref="I13"/>
    <hyperlink r:id="rId32" location="gid=0" ref="H14"/>
    <hyperlink r:id="rId33" ref="I14"/>
    <hyperlink r:id="rId34" ref="AT14"/>
    <hyperlink r:id="rId35" location="gid=0" ref="H15"/>
    <hyperlink r:id="rId36" ref="I15"/>
    <hyperlink r:id="rId37" ref="AT15"/>
    <hyperlink r:id="rId38" location="gid=0" ref="H16"/>
    <hyperlink r:id="rId39" ref="I16"/>
    <hyperlink r:id="rId40" ref="AT16"/>
    <hyperlink r:id="rId41" location="gid=0" ref="H17"/>
    <hyperlink r:id="rId42" ref="I17"/>
    <hyperlink r:id="rId43" ref="AT17"/>
    <hyperlink r:id="rId44" location="gid=0" ref="H18"/>
    <hyperlink r:id="rId45" ref="I18"/>
    <hyperlink r:id="rId46" ref="AT18"/>
    <hyperlink r:id="rId47" location="gid=0" ref="H19"/>
    <hyperlink r:id="rId48" ref="I19"/>
    <hyperlink r:id="rId49" ref="AT19"/>
    <hyperlink r:id="rId50" location="gid=0" ref="H20"/>
    <hyperlink r:id="rId51" ref="I20"/>
    <hyperlink r:id="rId52" ref="AT20"/>
    <hyperlink r:id="rId53" location="gid=0" ref="H21"/>
    <hyperlink r:id="rId54" ref="I21"/>
    <hyperlink r:id="rId55" location="gid=0" ref="H22"/>
    <hyperlink r:id="rId56" ref="I22"/>
    <hyperlink r:id="rId57" location="gid=0" ref="H23"/>
    <hyperlink r:id="rId58" ref="I23"/>
    <hyperlink r:id="rId59" ref="AT23"/>
    <hyperlink r:id="rId60" location="gid=0" ref="H24"/>
    <hyperlink r:id="rId61" ref="I24"/>
    <hyperlink r:id="rId62" ref="AT24"/>
    <hyperlink r:id="rId63" location="gid=0" ref="H25"/>
    <hyperlink r:id="rId64" ref="I25"/>
    <hyperlink r:id="rId65" ref="AT25"/>
    <hyperlink r:id="rId66" location="gid=0" ref="H26"/>
    <hyperlink r:id="rId67" ref="I26"/>
    <hyperlink r:id="rId68" ref="AT26"/>
    <hyperlink r:id="rId69" location="gid=0" ref="H27"/>
    <hyperlink r:id="rId70" ref="I27"/>
    <hyperlink r:id="rId71" ref="AT27"/>
    <hyperlink r:id="rId72" location="gid=0" ref="H28"/>
    <hyperlink r:id="rId73" ref="I28"/>
    <hyperlink r:id="rId74" location="gid=0" ref="H29"/>
    <hyperlink r:id="rId75" ref="I29"/>
    <hyperlink r:id="rId76" location="gid=0" ref="H30"/>
    <hyperlink r:id="rId77" ref="I30"/>
    <hyperlink r:id="rId78" location="gid=0" ref="H31"/>
    <hyperlink r:id="rId79" ref="I31"/>
    <hyperlink r:id="rId80" location="gid=0" ref="H32"/>
    <hyperlink r:id="rId81" ref="I32"/>
    <hyperlink r:id="rId82" location="gid=0" ref="H33"/>
    <hyperlink r:id="rId83" ref="I33"/>
    <hyperlink r:id="rId84" location="gid=0" ref="H34"/>
    <hyperlink r:id="rId85" ref="I34"/>
    <hyperlink r:id="rId86" location="gid=0" ref="H35"/>
    <hyperlink r:id="rId87" ref="I35"/>
    <hyperlink r:id="rId88" ref="AT35"/>
    <hyperlink r:id="rId89" location="gid=0" ref="H36"/>
    <hyperlink r:id="rId90" ref="I36"/>
    <hyperlink r:id="rId91" ref="AT36"/>
    <hyperlink r:id="rId92" location="gid=0" ref="H37"/>
    <hyperlink r:id="rId93" ref="I37"/>
    <hyperlink r:id="rId94" location="gid=0" ref="H38"/>
    <hyperlink r:id="rId95" ref="I38"/>
    <hyperlink r:id="rId96" location="gid=0" ref="H39"/>
    <hyperlink r:id="rId97" ref="I39"/>
    <hyperlink r:id="rId98" location="gid=0" ref="H40"/>
    <hyperlink r:id="rId99" ref="I40"/>
    <hyperlink r:id="rId100" location="gid=0" ref="H41"/>
    <hyperlink r:id="rId101" ref="I41"/>
    <hyperlink r:id="rId102" location="gid=0" ref="H42"/>
    <hyperlink r:id="rId103" ref="I42"/>
    <hyperlink r:id="rId104" location="gid=0" ref="H43"/>
    <hyperlink r:id="rId105" ref="I43"/>
    <hyperlink r:id="rId106" location="gid=0" ref="H44"/>
    <hyperlink r:id="rId107" ref="I44"/>
    <hyperlink r:id="rId108" location="gid=0" ref="H45"/>
    <hyperlink r:id="rId109" ref="I45"/>
    <hyperlink r:id="rId110" ref="AT45"/>
    <hyperlink r:id="rId111" location="gid=0" ref="H46"/>
    <hyperlink r:id="rId112" ref="I46"/>
    <hyperlink r:id="rId113" ref="AT46"/>
    <hyperlink r:id="rId114" location="gid=0" ref="H47"/>
    <hyperlink r:id="rId115" ref="I47"/>
    <hyperlink r:id="rId116" ref="AT47"/>
    <hyperlink r:id="rId117" location="gid=0" ref="H48"/>
    <hyperlink r:id="rId118" ref="I48"/>
    <hyperlink r:id="rId119" ref="AT48"/>
    <hyperlink r:id="rId120" location="gid=0" ref="H49"/>
    <hyperlink r:id="rId121" ref="I49"/>
    <hyperlink r:id="rId122" ref="AT49"/>
    <hyperlink r:id="rId123" location="gid=0" ref="H50"/>
    <hyperlink r:id="rId124" ref="I50"/>
    <hyperlink r:id="rId125" location="gid=0" ref="H51"/>
    <hyperlink r:id="rId126" ref="I51"/>
    <hyperlink r:id="rId127" location="gid=0" ref="H52"/>
    <hyperlink r:id="rId128" ref="I52"/>
    <hyperlink r:id="rId129" ref="AT52"/>
    <hyperlink r:id="rId130" location="gid=0" ref="H53"/>
    <hyperlink r:id="rId131" ref="I53"/>
    <hyperlink r:id="rId132" ref="AT53"/>
    <hyperlink r:id="rId133" location="gid=0" ref="H54"/>
    <hyperlink r:id="rId134" ref="I54"/>
    <hyperlink r:id="rId135" ref="AT54"/>
    <hyperlink r:id="rId136" location="gid=0" ref="H55"/>
    <hyperlink r:id="rId137" ref="I55"/>
    <hyperlink r:id="rId138" ref="AT55"/>
    <hyperlink r:id="rId139" location="gid=0" ref="H56"/>
    <hyperlink r:id="rId140" ref="I56"/>
    <hyperlink r:id="rId141" location="gid=0" ref="H57"/>
    <hyperlink r:id="rId142" ref="I57"/>
    <hyperlink r:id="rId143" location="gid=0" ref="H58"/>
    <hyperlink r:id="rId144" ref="I58"/>
    <hyperlink r:id="rId145" ref="AT58"/>
    <hyperlink r:id="rId146" location="gid=0" ref="H59"/>
    <hyperlink r:id="rId147" ref="I59"/>
    <hyperlink r:id="rId148" location="gid=0" ref="H60"/>
    <hyperlink r:id="rId149" ref="I60"/>
    <hyperlink r:id="rId150" location="gid=0" ref="H61"/>
    <hyperlink r:id="rId151" ref="I61"/>
    <hyperlink r:id="rId152" location="gid=0" ref="H62"/>
    <hyperlink r:id="rId153" ref="I62"/>
    <hyperlink r:id="rId154" location="gid=0" ref="H63"/>
    <hyperlink r:id="rId155" ref="I63"/>
    <hyperlink r:id="rId156" ref="AT63"/>
    <hyperlink r:id="rId157" location="gid=0" ref="H64"/>
    <hyperlink r:id="rId158" ref="I64"/>
    <hyperlink r:id="rId159" ref="AT64"/>
    <hyperlink r:id="rId160" location="gid=0" ref="H65"/>
    <hyperlink r:id="rId161" ref="I65"/>
    <hyperlink r:id="rId162" ref="AT65"/>
    <hyperlink r:id="rId163" location="gid=0" ref="H66"/>
    <hyperlink r:id="rId164" ref="I66"/>
    <hyperlink r:id="rId165" location="gid=0" ref="H67"/>
    <hyperlink r:id="rId166" ref="I67"/>
    <hyperlink r:id="rId167" ref="AT67"/>
    <hyperlink r:id="rId168" location="gid=0" ref="H68"/>
    <hyperlink r:id="rId169" ref="I68"/>
    <hyperlink r:id="rId170" ref="AT68"/>
    <hyperlink r:id="rId171" location="gid=0" ref="H69"/>
    <hyperlink r:id="rId172" ref="I69"/>
    <hyperlink r:id="rId173" location="gid=0" ref="H70"/>
    <hyperlink r:id="rId174" ref="I70"/>
    <hyperlink r:id="rId175" location="gid=0" ref="H71"/>
    <hyperlink r:id="rId176" ref="I71"/>
    <hyperlink r:id="rId177" ref="AT71"/>
    <hyperlink r:id="rId178" location="gid=0" ref="H72"/>
    <hyperlink r:id="rId179" ref="I72"/>
    <hyperlink r:id="rId180" ref="AT72"/>
    <hyperlink r:id="rId181" location="gid=0" ref="H73"/>
    <hyperlink r:id="rId182" ref="I73"/>
    <hyperlink r:id="rId183" ref="AT73"/>
    <hyperlink r:id="rId184" location="gid=0" ref="H74"/>
    <hyperlink r:id="rId185" ref="I74"/>
    <hyperlink r:id="rId186" location="gid=0" ref="H75"/>
    <hyperlink r:id="rId187" ref="I75"/>
    <hyperlink r:id="rId188" ref="AT75"/>
    <hyperlink r:id="rId189" location="gid=0" ref="H76"/>
    <hyperlink r:id="rId190" ref="I76"/>
    <hyperlink r:id="rId191" ref="AT76"/>
    <hyperlink r:id="rId192" location="gid=0" ref="H77"/>
    <hyperlink r:id="rId193" ref="I77"/>
    <hyperlink r:id="rId194" ref="AT77"/>
    <hyperlink r:id="rId195" location="gid=0" ref="H78"/>
    <hyperlink r:id="rId196" ref="I78"/>
    <hyperlink r:id="rId197" ref="AT78"/>
    <hyperlink r:id="rId198" location="gid=0" ref="H79"/>
    <hyperlink r:id="rId199" ref="I79"/>
    <hyperlink r:id="rId200" ref="AT79"/>
    <hyperlink r:id="rId201" location="gid=0" ref="H80"/>
    <hyperlink r:id="rId202" ref="I80"/>
    <hyperlink r:id="rId203" ref="AT80"/>
    <hyperlink r:id="rId204" location="gid=0" ref="H81"/>
    <hyperlink r:id="rId205" ref="I81"/>
    <hyperlink r:id="rId206" location="gid=0" ref="H82"/>
    <hyperlink r:id="rId207" ref="I82"/>
    <hyperlink r:id="rId208" ref="AT82"/>
    <hyperlink r:id="rId209" location="gid=0" ref="H83"/>
    <hyperlink r:id="rId210" ref="I83"/>
    <hyperlink r:id="rId211" location="gid=0" ref="H84"/>
    <hyperlink r:id="rId212" ref="I84"/>
    <hyperlink r:id="rId213" location="gid=0" ref="H85"/>
    <hyperlink r:id="rId214" ref="I85"/>
    <hyperlink r:id="rId215" ref="AT85"/>
    <hyperlink r:id="rId216" location="gid=0" ref="H86"/>
    <hyperlink r:id="rId217" ref="I86"/>
    <hyperlink r:id="rId218" location="gid=0" ref="H87"/>
    <hyperlink r:id="rId219" ref="I87"/>
    <hyperlink r:id="rId220" location="gid=0" ref="H88"/>
    <hyperlink r:id="rId221" ref="I88"/>
    <hyperlink r:id="rId222" location="gid=0" ref="H89"/>
    <hyperlink r:id="rId223" ref="I89"/>
    <hyperlink r:id="rId224" ref="AT89"/>
    <hyperlink r:id="rId225" location="gid=0" ref="H90"/>
    <hyperlink r:id="rId226" ref="I90"/>
    <hyperlink r:id="rId227" ref="AT90"/>
    <hyperlink r:id="rId228" location="gid=0" ref="H91"/>
    <hyperlink r:id="rId229" ref="I91"/>
    <hyperlink r:id="rId230" ref="AT91"/>
    <hyperlink r:id="rId231" location="gid=0" ref="H92"/>
    <hyperlink r:id="rId232" ref="I92"/>
    <hyperlink r:id="rId233" ref="AT92"/>
    <hyperlink r:id="rId234" location="gid=0" ref="H93"/>
    <hyperlink r:id="rId235" ref="I93"/>
    <hyperlink r:id="rId236" ref="AT93"/>
    <hyperlink r:id="rId237" location="gid=0" ref="H94"/>
    <hyperlink r:id="rId238" ref="I94"/>
    <hyperlink r:id="rId239" ref="AT94"/>
    <hyperlink r:id="rId240" location="gid=0" ref="H95"/>
    <hyperlink r:id="rId241" ref="I95"/>
    <hyperlink r:id="rId242" ref="AT95"/>
    <hyperlink r:id="rId243" location="gid=0" ref="H96"/>
    <hyperlink r:id="rId244" ref="I96"/>
    <hyperlink r:id="rId245" ref="AT96"/>
    <hyperlink r:id="rId246" location="gid=0" ref="H97"/>
    <hyperlink r:id="rId247" ref="I97"/>
    <hyperlink r:id="rId248" ref="AT97"/>
    <hyperlink r:id="rId249" location="gid=0" ref="H98"/>
    <hyperlink r:id="rId250" ref="I98"/>
    <hyperlink r:id="rId251" ref="AT98"/>
    <hyperlink r:id="rId252" location="gid=0" ref="H99"/>
    <hyperlink r:id="rId253" ref="I99"/>
    <hyperlink r:id="rId254" ref="AT99"/>
    <hyperlink r:id="rId255" location="gid=0" ref="H100"/>
    <hyperlink r:id="rId256" ref="I100"/>
    <hyperlink r:id="rId257" location="gid=0" ref="H101"/>
    <hyperlink r:id="rId258" ref="I101"/>
    <hyperlink r:id="rId259" location="gid=0" ref="H102"/>
    <hyperlink r:id="rId260" ref="I102"/>
    <hyperlink r:id="rId261" location="gid=0" ref="H103"/>
    <hyperlink r:id="rId262" ref="I103"/>
    <hyperlink r:id="rId263" location="gid=0" ref="H104"/>
    <hyperlink r:id="rId264" ref="I104"/>
    <hyperlink r:id="rId265" location="gid=0" ref="H105"/>
    <hyperlink r:id="rId266" ref="I105"/>
    <hyperlink r:id="rId267" location="gid=0" ref="H106"/>
    <hyperlink r:id="rId268" ref="I106"/>
    <hyperlink r:id="rId269" location="gid=0" ref="H107"/>
    <hyperlink r:id="rId270" ref="I107"/>
    <hyperlink r:id="rId271" location="gid=0" ref="H108"/>
    <hyperlink r:id="rId272" ref="I108"/>
    <hyperlink r:id="rId273" location="gid=0" ref="H109"/>
    <hyperlink r:id="rId274" ref="I109"/>
    <hyperlink r:id="rId275" ref="AT109"/>
    <hyperlink r:id="rId276" location="gid=0" ref="H110"/>
    <hyperlink r:id="rId277" ref="I110"/>
    <hyperlink r:id="rId278" ref="AT110"/>
    <hyperlink r:id="rId279" location="gid=0" ref="H111"/>
    <hyperlink r:id="rId280" ref="I111"/>
    <hyperlink r:id="rId281" ref="AT111"/>
    <hyperlink r:id="rId282" location="gid=0" ref="H112"/>
    <hyperlink r:id="rId283" ref="I112"/>
    <hyperlink r:id="rId284" location="gid=0" ref="H113"/>
    <hyperlink r:id="rId285" ref="I113"/>
    <hyperlink r:id="rId286" location="gid=0" ref="H114"/>
    <hyperlink r:id="rId287" ref="I114"/>
    <hyperlink r:id="rId288" location="gid=0" ref="H115"/>
    <hyperlink r:id="rId289" ref="I115"/>
    <hyperlink r:id="rId290" ref="AT115"/>
    <hyperlink r:id="rId291" location="gid=0" ref="H116"/>
    <hyperlink r:id="rId292" ref="I116"/>
    <hyperlink r:id="rId293" ref="AT116"/>
    <hyperlink r:id="rId294" location="gid=0" ref="H117"/>
    <hyperlink r:id="rId295" ref="I117"/>
    <hyperlink r:id="rId296" ref="AT117"/>
    <hyperlink r:id="rId297" location="gid=0" ref="H118"/>
    <hyperlink r:id="rId298" ref="I118"/>
    <hyperlink r:id="rId299" location="gid=0" ref="H119"/>
    <hyperlink r:id="rId300" ref="I119"/>
    <hyperlink r:id="rId301" ref="AT119"/>
    <hyperlink r:id="rId302" location="gid=0" ref="H120"/>
    <hyperlink r:id="rId303" ref="I120"/>
    <hyperlink r:id="rId304" ref="AT120"/>
    <hyperlink r:id="rId305" location="gid=0" ref="H121"/>
    <hyperlink r:id="rId306" ref="I121"/>
    <hyperlink r:id="rId307" ref="AT121"/>
    <hyperlink r:id="rId308" location="gid=0" ref="H122"/>
    <hyperlink r:id="rId309" ref="I122"/>
    <hyperlink r:id="rId310" location="gid=0" ref="H123"/>
    <hyperlink r:id="rId311" ref="I123"/>
    <hyperlink r:id="rId312" location="gid=0" ref="H124"/>
    <hyperlink r:id="rId313" ref="I124"/>
    <hyperlink r:id="rId314" location="gid=0" ref="H125"/>
    <hyperlink r:id="rId315" ref="I125"/>
    <hyperlink r:id="rId316" location="gid=0" ref="H126"/>
    <hyperlink r:id="rId317" ref="I126"/>
    <hyperlink r:id="rId318" ref="AT126"/>
    <hyperlink r:id="rId319" location="gid=0" ref="H127"/>
    <hyperlink r:id="rId320" ref="I127"/>
    <hyperlink r:id="rId321" location="gid=0" ref="H128"/>
    <hyperlink r:id="rId322" ref="I128"/>
    <hyperlink r:id="rId323" ref="AT128"/>
    <hyperlink r:id="rId324" location="gid=0" ref="H129"/>
    <hyperlink r:id="rId325" ref="I129"/>
    <hyperlink r:id="rId326" ref="AT129"/>
    <hyperlink r:id="rId327" location="gid=0" ref="H130"/>
    <hyperlink r:id="rId328" ref="I130"/>
    <hyperlink r:id="rId329" ref="AT130"/>
    <hyperlink r:id="rId330" location="gid=0" ref="H131"/>
    <hyperlink r:id="rId331" ref="I131"/>
    <hyperlink r:id="rId332" ref="AT131"/>
    <hyperlink r:id="rId333" location="gid=0" ref="H132"/>
    <hyperlink r:id="rId334" ref="I132"/>
    <hyperlink r:id="rId335" ref="AT132"/>
    <hyperlink r:id="rId336" location="gid=0" ref="H133"/>
    <hyperlink r:id="rId337" ref="I133"/>
    <hyperlink r:id="rId338" ref="AT133"/>
    <hyperlink r:id="rId339" location="gid=0" ref="H134"/>
    <hyperlink r:id="rId340" ref="I134"/>
    <hyperlink r:id="rId341" ref="AT134"/>
    <hyperlink r:id="rId342" location="gid=0" ref="H135"/>
    <hyperlink r:id="rId343" ref="I135"/>
    <hyperlink r:id="rId344" location="gid=0" ref="H136"/>
    <hyperlink r:id="rId345" ref="I136"/>
    <hyperlink r:id="rId346" location="gid=0" ref="H137"/>
    <hyperlink r:id="rId347" ref="I137"/>
    <hyperlink r:id="rId348" location="gid=0" ref="H138"/>
    <hyperlink r:id="rId349" ref="I138"/>
    <hyperlink r:id="rId350" location="gid=0" ref="H139"/>
    <hyperlink r:id="rId351" ref="I139"/>
    <hyperlink r:id="rId352" location="gid=0" ref="H140"/>
    <hyperlink r:id="rId353" ref="I140"/>
    <hyperlink r:id="rId354" location="gid=0" ref="H141"/>
    <hyperlink r:id="rId355" ref="I141"/>
    <hyperlink r:id="rId356" ref="AT141"/>
    <hyperlink r:id="rId357" location="gid=0" ref="H142"/>
    <hyperlink r:id="rId358" ref="I142"/>
    <hyperlink r:id="rId359" ref="AT142"/>
    <hyperlink r:id="rId360" location="gid=0" ref="H143"/>
    <hyperlink r:id="rId361" ref="I143"/>
    <hyperlink r:id="rId362" ref="AT143"/>
    <hyperlink r:id="rId363" location="gid=0" ref="H144"/>
    <hyperlink r:id="rId364" ref="I144"/>
    <hyperlink r:id="rId365" ref="AT144"/>
    <hyperlink r:id="rId366" location="gid=0" ref="H145"/>
    <hyperlink r:id="rId367" ref="I145"/>
    <hyperlink r:id="rId368" ref="AT145"/>
    <hyperlink r:id="rId369" location="gid=0" ref="H146"/>
    <hyperlink r:id="rId370" ref="I146"/>
    <hyperlink r:id="rId371" ref="AT146"/>
    <hyperlink r:id="rId372" location="gid=0" ref="H147"/>
    <hyperlink r:id="rId373" ref="I147"/>
    <hyperlink r:id="rId374" ref="AT147"/>
    <hyperlink r:id="rId375" location="gid=0" ref="H148"/>
    <hyperlink r:id="rId376" ref="I148"/>
    <hyperlink r:id="rId377" ref="AT148"/>
    <hyperlink r:id="rId378" location="gid=0" ref="H149"/>
    <hyperlink r:id="rId379" ref="I149"/>
    <hyperlink r:id="rId380" ref="AT149"/>
    <hyperlink r:id="rId381" location="gid=0" ref="H150"/>
    <hyperlink r:id="rId382" ref="I150"/>
    <hyperlink r:id="rId383" ref="AT150"/>
    <hyperlink r:id="rId384" location="gid=0" ref="H151"/>
    <hyperlink r:id="rId385" ref="I151"/>
    <hyperlink r:id="rId386" ref="AT151"/>
    <hyperlink r:id="rId387" location="gid=0" ref="H152"/>
    <hyperlink r:id="rId388" ref="I152"/>
    <hyperlink r:id="rId389" ref="AT152"/>
    <hyperlink r:id="rId390" location="gid=0" ref="H153"/>
    <hyperlink r:id="rId391" ref="I153"/>
    <hyperlink r:id="rId392" ref="AT153"/>
    <hyperlink r:id="rId393" location="gid=0" ref="H154"/>
    <hyperlink r:id="rId394" ref="I154"/>
    <hyperlink r:id="rId395" ref="AT154"/>
    <hyperlink r:id="rId396" location="gid=0" ref="H155"/>
    <hyperlink r:id="rId397" ref="I155"/>
    <hyperlink r:id="rId398" ref="AT155"/>
    <hyperlink r:id="rId399" location="gid=0" ref="H156"/>
    <hyperlink r:id="rId400" ref="I156"/>
    <hyperlink r:id="rId401" ref="AT156"/>
    <hyperlink r:id="rId402" location="gid=0" ref="H157"/>
    <hyperlink r:id="rId403" ref="I157"/>
    <hyperlink r:id="rId404" ref="AT157"/>
    <hyperlink r:id="rId405" location="gid=0" ref="H158"/>
    <hyperlink r:id="rId406" ref="I158"/>
    <hyperlink r:id="rId407" ref="AT158"/>
    <hyperlink r:id="rId408" location="gid=0" ref="H159"/>
    <hyperlink r:id="rId409" ref="I159"/>
    <hyperlink r:id="rId410" ref="AT159"/>
    <hyperlink r:id="rId411" location="gid=0" ref="H160"/>
    <hyperlink r:id="rId412" ref="I160"/>
    <hyperlink r:id="rId413" ref="AT160"/>
    <hyperlink r:id="rId414" location="gid=0" ref="H161"/>
    <hyperlink r:id="rId415" ref="I161"/>
    <hyperlink r:id="rId416" ref="AT161"/>
    <hyperlink r:id="rId417" location="gid=0" ref="H162"/>
    <hyperlink r:id="rId418" ref="I162"/>
    <hyperlink r:id="rId419" ref="AT162"/>
    <hyperlink r:id="rId420" location="gid=0" ref="H163"/>
    <hyperlink r:id="rId421" ref="I163"/>
    <hyperlink r:id="rId422" ref="AT163"/>
    <hyperlink r:id="rId423" location="gid=0" ref="H164"/>
    <hyperlink r:id="rId424" ref="I164"/>
    <hyperlink r:id="rId425" location="gid=0" ref="H165"/>
    <hyperlink r:id="rId426" ref="I165"/>
    <hyperlink r:id="rId427" location="gid=0" ref="H166"/>
    <hyperlink r:id="rId428" ref="I166"/>
    <hyperlink r:id="rId429" location="gid=0" ref="H167"/>
    <hyperlink r:id="rId430" ref="I167"/>
    <hyperlink r:id="rId431" ref="AT167"/>
    <hyperlink r:id="rId432" location="gid=0" ref="H168"/>
    <hyperlink r:id="rId433" ref="I168"/>
    <hyperlink r:id="rId434" ref="AT168"/>
    <hyperlink r:id="rId435" location="gid=0" ref="H169"/>
    <hyperlink r:id="rId436" ref="I169"/>
    <hyperlink r:id="rId437" ref="AT169"/>
    <hyperlink r:id="rId438" location="gid=0" ref="H170"/>
    <hyperlink r:id="rId439" ref="I170"/>
    <hyperlink r:id="rId440" location="gid=0" ref="H171"/>
    <hyperlink r:id="rId441" ref="I171"/>
    <hyperlink r:id="rId442" ref="AT171"/>
    <hyperlink r:id="rId443" location="gid=0" ref="H172"/>
    <hyperlink r:id="rId444" ref="I172"/>
    <hyperlink r:id="rId445" ref="AT172"/>
    <hyperlink r:id="rId446" location="gid=0" ref="H173"/>
    <hyperlink r:id="rId447" ref="I173"/>
    <hyperlink r:id="rId448" ref="AT173"/>
    <hyperlink r:id="rId449" location="gid=0" ref="H174"/>
    <hyperlink r:id="rId450" ref="I174"/>
    <hyperlink r:id="rId451" ref="AT174"/>
    <hyperlink r:id="rId452" location="gid=0" ref="H175"/>
    <hyperlink r:id="rId453" ref="I175"/>
    <hyperlink r:id="rId454" ref="AT175"/>
    <hyperlink r:id="rId455" location="gid=0" ref="H176"/>
    <hyperlink r:id="rId456" ref="I176"/>
    <hyperlink r:id="rId457" ref="AT176"/>
    <hyperlink r:id="rId458" location="gid=0" ref="H177"/>
    <hyperlink r:id="rId459" ref="I177"/>
    <hyperlink r:id="rId460" ref="AT177"/>
    <hyperlink r:id="rId461" location="gid=0" ref="H178"/>
    <hyperlink r:id="rId462" ref="I178"/>
    <hyperlink r:id="rId463" ref="AT178"/>
    <hyperlink r:id="rId464" location="gid=0" ref="H179"/>
    <hyperlink r:id="rId465" ref="I179"/>
    <hyperlink r:id="rId466" ref="AT179"/>
    <hyperlink r:id="rId467" location="gid=0" ref="H180"/>
    <hyperlink r:id="rId468" ref="I180"/>
    <hyperlink r:id="rId469" ref="AT180"/>
    <hyperlink r:id="rId470" location="gid=0" ref="H181"/>
    <hyperlink r:id="rId471" ref="I181"/>
    <hyperlink r:id="rId472" ref="AT181"/>
    <hyperlink r:id="rId473" location="gid=0" ref="H182"/>
    <hyperlink r:id="rId474" ref="I182"/>
    <hyperlink r:id="rId475" ref="AT182"/>
    <hyperlink r:id="rId476" location="gid=0" ref="H183"/>
    <hyperlink r:id="rId477" ref="I183"/>
    <hyperlink r:id="rId478" ref="AT183"/>
    <hyperlink r:id="rId479" location="gid=0" ref="H184"/>
    <hyperlink r:id="rId480" ref="I184"/>
    <hyperlink r:id="rId481" ref="AT184"/>
    <hyperlink r:id="rId482" location="gid=0" ref="H185"/>
    <hyperlink r:id="rId483" ref="I185"/>
    <hyperlink r:id="rId484" location="gid=0" ref="H186"/>
    <hyperlink r:id="rId485" ref="I186"/>
    <hyperlink r:id="rId486" location="gid=0" ref="H187"/>
    <hyperlink r:id="rId487" ref="I187"/>
    <hyperlink r:id="rId488" location="gid=0" ref="H188"/>
    <hyperlink r:id="rId489" ref="I188"/>
    <hyperlink r:id="rId490" location="gid=0" ref="H189"/>
    <hyperlink r:id="rId491" ref="I189"/>
    <hyperlink r:id="rId492" location="gid=0" ref="H190"/>
    <hyperlink r:id="rId493" ref="I190"/>
    <hyperlink r:id="rId494" location="gid=0" ref="H191"/>
    <hyperlink r:id="rId495" ref="I191"/>
    <hyperlink r:id="rId496" location="gid=0" ref="H192"/>
    <hyperlink r:id="rId497" ref="I192"/>
    <hyperlink r:id="rId498" location="gid=0" ref="H193"/>
    <hyperlink r:id="rId499" ref="I193"/>
    <hyperlink r:id="rId500" location="gid=0" ref="H194"/>
    <hyperlink r:id="rId501" ref="I194"/>
    <hyperlink r:id="rId502" location="gid=0" ref="H195"/>
    <hyperlink r:id="rId503" ref="I195"/>
    <hyperlink r:id="rId504" location="gid=0" ref="H196"/>
    <hyperlink r:id="rId505" ref="I196"/>
    <hyperlink r:id="rId506" location="gid=0" ref="H197"/>
    <hyperlink r:id="rId507" ref="I197"/>
    <hyperlink r:id="rId508" ref="AT197"/>
    <hyperlink r:id="rId509" location="gid=0" ref="H198"/>
    <hyperlink r:id="rId510" ref="I198"/>
    <hyperlink r:id="rId511" ref="AT198"/>
    <hyperlink r:id="rId512" location="gid=0" ref="H199"/>
    <hyperlink r:id="rId513" ref="I199"/>
    <hyperlink r:id="rId514" location="gid=0" ref="H200"/>
    <hyperlink r:id="rId515" ref="I200"/>
    <hyperlink r:id="rId516" location="gid=0" ref="H201"/>
    <hyperlink r:id="rId517" ref="I201"/>
    <hyperlink r:id="rId518" location="gid=0" ref="H202"/>
    <hyperlink r:id="rId519" ref="I202"/>
    <hyperlink r:id="rId520" location="gid=0" ref="H203"/>
    <hyperlink r:id="rId521" ref="I203"/>
    <hyperlink r:id="rId522" location="gid=0" ref="H204"/>
    <hyperlink r:id="rId523" ref="I204"/>
    <hyperlink r:id="rId524" location="gid=0" ref="H205"/>
    <hyperlink r:id="rId525" ref="I205"/>
    <hyperlink r:id="rId526" location="gid=0" ref="H206"/>
    <hyperlink r:id="rId527" ref="I206"/>
    <hyperlink r:id="rId528" location="gid=0" ref="H207"/>
    <hyperlink r:id="rId529" ref="I207"/>
    <hyperlink r:id="rId530" location="gid=0" ref="H208"/>
    <hyperlink r:id="rId531" ref="I208"/>
    <hyperlink r:id="rId532" location="gid=0" ref="H209"/>
    <hyperlink r:id="rId533" ref="I209"/>
    <hyperlink r:id="rId534" location="gid=0" ref="H210"/>
    <hyperlink r:id="rId535" ref="I210"/>
    <hyperlink r:id="rId536" location="gid=0" ref="H211"/>
    <hyperlink r:id="rId537" ref="I211"/>
    <hyperlink r:id="rId538" location="gid=0" ref="H212"/>
    <hyperlink r:id="rId539" ref="I212"/>
    <hyperlink r:id="rId540" location="gid=0" ref="H213"/>
    <hyperlink r:id="rId541" ref="I213"/>
    <hyperlink r:id="rId542" ref="AT213"/>
    <hyperlink r:id="rId543" location="gid=0" ref="H214"/>
    <hyperlink r:id="rId544" ref="I214"/>
    <hyperlink r:id="rId545" ref="AT214"/>
    <hyperlink r:id="rId546" location="gid=0" ref="H215"/>
    <hyperlink r:id="rId547" ref="I215"/>
    <hyperlink r:id="rId548" ref="AT215"/>
    <hyperlink r:id="rId549" location="gid=0" ref="H216"/>
    <hyperlink r:id="rId550" ref="I216"/>
    <hyperlink r:id="rId551" location="gid=0" ref="H217"/>
    <hyperlink r:id="rId552" ref="I217"/>
    <hyperlink r:id="rId553" ref="AT217"/>
    <hyperlink r:id="rId554" location="gid=0" ref="H218"/>
    <hyperlink r:id="rId555" ref="I218"/>
    <hyperlink r:id="rId556" ref="AT218"/>
    <hyperlink r:id="rId557" location="gid=0" ref="H219"/>
    <hyperlink r:id="rId558" ref="I219"/>
    <hyperlink r:id="rId559" ref="AT219"/>
    <hyperlink r:id="rId560" location="gid=0" ref="H220"/>
    <hyperlink r:id="rId561" ref="I220"/>
    <hyperlink r:id="rId562" ref="AT220"/>
    <hyperlink r:id="rId563" location="gid=0" ref="H221"/>
    <hyperlink r:id="rId564" ref="I221"/>
    <hyperlink r:id="rId565" ref="AT221"/>
    <hyperlink r:id="rId566" location="gid=0" ref="H222"/>
    <hyperlink r:id="rId567" ref="I222"/>
    <hyperlink r:id="rId568" ref="AT222"/>
    <hyperlink r:id="rId569" location="gid=0" ref="H223"/>
    <hyperlink r:id="rId570" ref="I223"/>
    <hyperlink r:id="rId571" location="gid=0" ref="H224"/>
    <hyperlink r:id="rId572" ref="I224"/>
    <hyperlink r:id="rId573" ref="AT224"/>
    <hyperlink r:id="rId574" location="gid=0" ref="H225"/>
    <hyperlink r:id="rId575" ref="I225"/>
    <hyperlink r:id="rId576" ref="AT225"/>
    <hyperlink r:id="rId577" location="gid=0" ref="H226"/>
    <hyperlink r:id="rId578" ref="I226"/>
    <hyperlink r:id="rId579" location="gid=0" ref="H227"/>
    <hyperlink r:id="rId580" ref="I227"/>
    <hyperlink r:id="rId581" location="gid=0" ref="H228"/>
    <hyperlink r:id="rId582" ref="I228"/>
    <hyperlink r:id="rId583" ref="AT228"/>
    <hyperlink r:id="rId584" location="gid=0" ref="H229"/>
    <hyperlink r:id="rId585" ref="I229"/>
    <hyperlink r:id="rId586" location="gid=0" ref="H230"/>
    <hyperlink r:id="rId587" ref="I230"/>
    <hyperlink r:id="rId588" location="gid=0" ref="H231"/>
    <hyperlink r:id="rId589" ref="I231"/>
    <hyperlink r:id="rId590" location="gid=0" ref="H232"/>
    <hyperlink r:id="rId591" ref="I232"/>
    <hyperlink r:id="rId592" location="gid=0" ref="H233"/>
    <hyperlink r:id="rId593" ref="I233"/>
    <hyperlink r:id="rId594" ref="AT233"/>
    <hyperlink r:id="rId595" location="gid=0" ref="H234"/>
    <hyperlink r:id="rId596" ref="I234"/>
    <hyperlink r:id="rId597" ref="AT234"/>
    <hyperlink r:id="rId598" location="gid=0" ref="H235"/>
    <hyperlink r:id="rId599" ref="I235"/>
    <hyperlink r:id="rId600" location="gid=0" ref="H236"/>
    <hyperlink r:id="rId601" ref="I236"/>
    <hyperlink r:id="rId602" location="gid=0" ref="H237"/>
    <hyperlink r:id="rId603" ref="I237"/>
    <hyperlink r:id="rId604" location="gid=0" ref="H238"/>
    <hyperlink r:id="rId605" ref="I238"/>
    <hyperlink r:id="rId606" location="gid=0" ref="H239"/>
    <hyperlink r:id="rId607" ref="I239"/>
    <hyperlink r:id="rId608" location="gid=0" ref="H240"/>
    <hyperlink r:id="rId609" ref="I240"/>
    <hyperlink r:id="rId610" location="gid=0" ref="H241"/>
    <hyperlink r:id="rId611" ref="I241"/>
    <hyperlink r:id="rId612" location="gid=0" ref="H242"/>
    <hyperlink r:id="rId613" ref="I242"/>
    <hyperlink r:id="rId614" location="gid=0" ref="H243"/>
    <hyperlink r:id="rId615" ref="I243"/>
    <hyperlink r:id="rId616" location="gid=0" ref="H244"/>
    <hyperlink r:id="rId617" ref="I244"/>
    <hyperlink r:id="rId618" location="gid=0" ref="H245"/>
    <hyperlink r:id="rId619" ref="I245"/>
    <hyperlink r:id="rId620" location="gid=0" ref="H246"/>
    <hyperlink r:id="rId621" ref="I246"/>
    <hyperlink r:id="rId622" location="gid=0" ref="H247"/>
    <hyperlink r:id="rId623" ref="I247"/>
    <hyperlink r:id="rId624" location="gid=0" ref="H248"/>
    <hyperlink r:id="rId625" ref="I248"/>
    <hyperlink r:id="rId626" location="gid=0" ref="H249"/>
    <hyperlink r:id="rId627" ref="I249"/>
    <hyperlink r:id="rId628" location="gid=0" ref="H250"/>
    <hyperlink r:id="rId629" ref="I250"/>
    <hyperlink r:id="rId630" location="gid=0" ref="H251"/>
    <hyperlink r:id="rId631" ref="I251"/>
    <hyperlink r:id="rId632" location="gid=0" ref="H252"/>
    <hyperlink r:id="rId633" ref="I252"/>
    <hyperlink r:id="rId634" location="gid=0" ref="H253"/>
    <hyperlink r:id="rId635" ref="I253"/>
    <hyperlink r:id="rId636" location="gid=0" ref="H254"/>
    <hyperlink r:id="rId637" ref="I254"/>
    <hyperlink r:id="rId638" location="gid=0" ref="H255"/>
    <hyperlink r:id="rId639" ref="I255"/>
    <hyperlink r:id="rId640" location="gid=0" ref="H256"/>
    <hyperlink r:id="rId641" ref="I256"/>
    <hyperlink r:id="rId642" location="gid=0" ref="H257"/>
    <hyperlink r:id="rId643" ref="I257"/>
    <hyperlink r:id="rId644" location="gid=0" ref="H258"/>
    <hyperlink r:id="rId645" ref="I258"/>
    <hyperlink r:id="rId646" location="gid=0" ref="H259"/>
    <hyperlink r:id="rId647" ref="I259"/>
    <hyperlink r:id="rId648" ref="AT259"/>
    <hyperlink r:id="rId649" location="gid=0" ref="H260"/>
    <hyperlink r:id="rId650" ref="I260"/>
    <hyperlink r:id="rId651" ref="AT260"/>
    <hyperlink r:id="rId652" location="gid=0" ref="H261"/>
    <hyperlink r:id="rId653" ref="I261"/>
    <hyperlink r:id="rId654" location="gid=0" ref="H262"/>
    <hyperlink r:id="rId655" ref="I262"/>
    <hyperlink r:id="rId656" ref="AT262"/>
    <hyperlink r:id="rId657" location="gid=0" ref="H263"/>
    <hyperlink r:id="rId658" ref="I263"/>
    <hyperlink r:id="rId659" location="gid=0" ref="H264"/>
    <hyperlink r:id="rId660" ref="I264"/>
    <hyperlink r:id="rId661" location="gid=0" ref="H265"/>
    <hyperlink r:id="rId662" ref="I265"/>
    <hyperlink r:id="rId663" location="gid=0" ref="H266"/>
    <hyperlink r:id="rId664" ref="I266"/>
    <hyperlink r:id="rId665" location="gid=0" ref="H267"/>
    <hyperlink r:id="rId666" ref="I267"/>
    <hyperlink r:id="rId667" location="gid=0" ref="H268"/>
    <hyperlink r:id="rId668" ref="I268"/>
    <hyperlink r:id="rId669" location="gid=0" ref="H269"/>
    <hyperlink r:id="rId670" ref="I269"/>
    <hyperlink r:id="rId671" ref="AT269"/>
    <hyperlink r:id="rId672" location="gid=0" ref="H270"/>
    <hyperlink r:id="rId673" ref="I270"/>
    <hyperlink r:id="rId674" ref="AT270"/>
    <hyperlink r:id="rId675" location="gid=0" ref="H271"/>
    <hyperlink r:id="rId676" ref="I271"/>
    <hyperlink r:id="rId677" location="gid=0" ref="H272"/>
    <hyperlink r:id="rId678" ref="I272"/>
    <hyperlink r:id="rId679" location="gid=0" ref="H273"/>
    <hyperlink r:id="rId680" ref="I273"/>
    <hyperlink r:id="rId681" ref="AT273"/>
    <hyperlink r:id="rId682" location="gid=0" ref="H274"/>
    <hyperlink r:id="rId683" ref="I274"/>
    <hyperlink r:id="rId684" location="gid=0" ref="H275"/>
    <hyperlink r:id="rId685" ref="I275"/>
    <hyperlink r:id="rId686" location="gid=0" ref="H276"/>
    <hyperlink r:id="rId687" ref="I276"/>
    <hyperlink r:id="rId688" location="gid=0" ref="H277"/>
    <hyperlink r:id="rId689" ref="I277"/>
    <hyperlink r:id="rId690" location="gid=0" ref="H278"/>
    <hyperlink r:id="rId691" ref="I278"/>
    <hyperlink r:id="rId692" location="gid=0" ref="H279"/>
    <hyperlink r:id="rId693" ref="I279"/>
    <hyperlink r:id="rId694" location="gid=0" ref="H280"/>
    <hyperlink r:id="rId695" ref="I280"/>
    <hyperlink r:id="rId696" location="gid=0" ref="H281"/>
    <hyperlink r:id="rId697" ref="I281"/>
    <hyperlink r:id="rId698" location="gid=0" ref="H282"/>
    <hyperlink r:id="rId699" ref="I282"/>
    <hyperlink r:id="rId700" location="gid=0" ref="H283"/>
    <hyperlink r:id="rId701" ref="I283"/>
    <hyperlink r:id="rId702" location="gid=0" ref="H284"/>
    <hyperlink r:id="rId703" ref="I284"/>
    <hyperlink r:id="rId704" location="gid=0" ref="H285"/>
    <hyperlink r:id="rId705" ref="I285"/>
    <hyperlink r:id="rId706" location="gid=0" ref="H286"/>
    <hyperlink r:id="rId707" ref="I286"/>
    <hyperlink r:id="rId708" location="gid=0" ref="H287"/>
    <hyperlink r:id="rId709" ref="I287"/>
    <hyperlink r:id="rId710" location="gid=0" ref="H288"/>
    <hyperlink r:id="rId711" ref="I288"/>
    <hyperlink r:id="rId712" ref="AT288"/>
    <hyperlink r:id="rId713" location="gid=0" ref="H289"/>
    <hyperlink r:id="rId714" ref="I289"/>
    <hyperlink r:id="rId715" location="gid=0" ref="H290"/>
    <hyperlink r:id="rId716" ref="I290"/>
    <hyperlink r:id="rId717" location="gid=0" ref="H291"/>
    <hyperlink r:id="rId718" ref="I291"/>
    <hyperlink r:id="rId719" location="gid=0" ref="H292"/>
    <hyperlink r:id="rId720" ref="I292"/>
    <hyperlink r:id="rId721" location="gid=0" ref="H293"/>
    <hyperlink r:id="rId722" ref="I293"/>
    <hyperlink r:id="rId723" location="gid=0" ref="H294"/>
    <hyperlink r:id="rId724" ref="I294"/>
    <hyperlink r:id="rId725" ref="AT294"/>
    <hyperlink r:id="rId726" location="gid=0" ref="H295"/>
    <hyperlink r:id="rId727" ref="I295"/>
    <hyperlink r:id="rId728" location="gid=0" ref="H296"/>
    <hyperlink r:id="rId729" ref="I296"/>
    <hyperlink r:id="rId730" ref="AT296"/>
    <hyperlink r:id="rId731" location="gid=0" ref="H297"/>
    <hyperlink r:id="rId732" ref="I297"/>
    <hyperlink r:id="rId733" location="gid=0" ref="H298"/>
    <hyperlink r:id="rId734" ref="I298"/>
    <hyperlink r:id="rId735" location="gid=0" ref="H299"/>
    <hyperlink r:id="rId736" ref="I299"/>
    <hyperlink r:id="rId737" location="gid=0" ref="H300"/>
    <hyperlink r:id="rId738" ref="I300"/>
    <hyperlink r:id="rId739" location="gid=0" ref="H301"/>
    <hyperlink r:id="rId740" ref="I301"/>
    <hyperlink r:id="rId741" ref="AT301"/>
    <hyperlink r:id="rId742" location="gid=0" ref="H302"/>
    <hyperlink r:id="rId743" ref="I302"/>
    <hyperlink r:id="rId744" location="gid=0" ref="H303"/>
    <hyperlink r:id="rId745" ref="I303"/>
    <hyperlink r:id="rId746" ref="AT303"/>
    <hyperlink r:id="rId747" location="gid=0" ref="H304"/>
    <hyperlink r:id="rId748" ref="I304"/>
    <hyperlink r:id="rId749" location="gid=0" ref="H305"/>
    <hyperlink r:id="rId750" ref="I305"/>
    <hyperlink r:id="rId751" ref="AT305"/>
    <hyperlink r:id="rId752" location="gid=0" ref="H306"/>
    <hyperlink r:id="rId753" ref="I306"/>
    <hyperlink r:id="rId754" ref="AT306"/>
    <hyperlink r:id="rId755" location="gid=0" ref="H307"/>
    <hyperlink r:id="rId756" ref="I307"/>
    <hyperlink r:id="rId757" ref="AT307"/>
    <hyperlink r:id="rId758" location="gid=0" ref="H308"/>
    <hyperlink r:id="rId759" ref="I308"/>
    <hyperlink r:id="rId760" location="gid=0" ref="H309"/>
    <hyperlink r:id="rId761" ref="I309"/>
    <hyperlink r:id="rId762" ref="AT309"/>
    <hyperlink r:id="rId763" location="gid=0" ref="H310"/>
    <hyperlink r:id="rId764" ref="I310"/>
    <hyperlink r:id="rId765" ref="AT310"/>
    <hyperlink r:id="rId766" location="gid=0" ref="H311"/>
    <hyperlink r:id="rId767" ref="I311"/>
    <hyperlink r:id="rId768" ref="AT311"/>
    <hyperlink r:id="rId769" location="gid=0" ref="H312"/>
    <hyperlink r:id="rId770" ref="I312"/>
    <hyperlink r:id="rId771" ref="AT312"/>
    <hyperlink r:id="rId772" location="gid=0" ref="H313"/>
    <hyperlink r:id="rId773" ref="I313"/>
    <hyperlink r:id="rId774" ref="AT313"/>
    <hyperlink r:id="rId775" location="gid=0" ref="H314"/>
    <hyperlink r:id="rId776" ref="I314"/>
    <hyperlink r:id="rId777" ref="AT314"/>
    <hyperlink r:id="rId778" location="gid=0" ref="H315"/>
    <hyperlink r:id="rId779" ref="I315"/>
    <hyperlink r:id="rId780" ref="AT315"/>
    <hyperlink r:id="rId781" location="gid=0" ref="H316"/>
    <hyperlink r:id="rId782" ref="I316"/>
    <hyperlink r:id="rId783" ref="AT316"/>
    <hyperlink r:id="rId784" location="gid=0" ref="H317"/>
    <hyperlink r:id="rId785" ref="I317"/>
    <hyperlink r:id="rId786" ref="AT317"/>
    <hyperlink r:id="rId787" location="gid=0" ref="H318"/>
    <hyperlink r:id="rId788" ref="I318"/>
    <hyperlink r:id="rId789" ref="AT318"/>
    <hyperlink r:id="rId790" location="gid=0" ref="H319"/>
    <hyperlink r:id="rId791" ref="I319"/>
    <hyperlink r:id="rId792" ref="AT319"/>
    <hyperlink r:id="rId793" location="gid=0" ref="H320"/>
    <hyperlink r:id="rId794" ref="I320"/>
    <hyperlink r:id="rId795" location="gid=0" ref="H321"/>
    <hyperlink r:id="rId796" ref="I321"/>
    <hyperlink r:id="rId797" location="gid=0" ref="H322"/>
    <hyperlink r:id="rId798" ref="I322"/>
    <hyperlink r:id="rId799" location="gid=0" ref="H323"/>
    <hyperlink r:id="rId800" ref="I323"/>
    <hyperlink r:id="rId801" location="gid=0" ref="H324"/>
    <hyperlink r:id="rId802" ref="I324"/>
    <hyperlink r:id="rId803" location="gid=0" ref="H325"/>
    <hyperlink r:id="rId804" ref="I325"/>
    <hyperlink r:id="rId805" ref="AT325"/>
    <hyperlink r:id="rId806" location="gid=0" ref="H326"/>
    <hyperlink r:id="rId807" ref="I326"/>
    <hyperlink r:id="rId808" ref="AT326"/>
    <hyperlink r:id="rId809" location="gid=0" ref="H327"/>
    <hyperlink r:id="rId810" ref="I327"/>
    <hyperlink r:id="rId811" location="gid=0" ref="H328"/>
    <hyperlink r:id="rId812" ref="I328"/>
    <hyperlink r:id="rId813" ref="AT328"/>
    <hyperlink r:id="rId814" location="gid=0" ref="H329"/>
    <hyperlink r:id="rId815" ref="I329"/>
    <hyperlink r:id="rId816" ref="AT329"/>
    <hyperlink r:id="rId817" location="gid=0" ref="H330"/>
    <hyperlink r:id="rId818" ref="I330"/>
    <hyperlink r:id="rId819" ref="AT330"/>
    <hyperlink r:id="rId820" location="gid=0" ref="H331"/>
    <hyperlink r:id="rId821" ref="I331"/>
    <hyperlink r:id="rId822" ref="AT331"/>
    <hyperlink r:id="rId823" location="gid=0" ref="H332"/>
    <hyperlink r:id="rId824" ref="I332"/>
    <hyperlink r:id="rId825" ref="AT332"/>
    <hyperlink r:id="rId826" location="gid=0" ref="H333"/>
    <hyperlink r:id="rId827" ref="I333"/>
    <hyperlink r:id="rId828" ref="AT333"/>
    <hyperlink r:id="rId829" location="gid=0" ref="H334"/>
    <hyperlink r:id="rId830" ref="I334"/>
    <hyperlink r:id="rId831" ref="AT334"/>
    <hyperlink r:id="rId832" location="gid=0" ref="H335"/>
    <hyperlink r:id="rId833" ref="I335"/>
    <hyperlink r:id="rId834" ref="AT335"/>
    <hyperlink r:id="rId835" location="gid=0" ref="H336"/>
    <hyperlink r:id="rId836" ref="I336"/>
    <hyperlink r:id="rId837" ref="AT336"/>
    <hyperlink r:id="rId838" location="gid=0" ref="H337"/>
    <hyperlink r:id="rId839" ref="I337"/>
    <hyperlink r:id="rId840" location="gid=0" ref="H338"/>
    <hyperlink r:id="rId841" ref="I338"/>
    <hyperlink r:id="rId842" ref="AT338"/>
    <hyperlink r:id="rId843" location="gid=0" ref="H339"/>
    <hyperlink r:id="rId844" ref="I339"/>
    <hyperlink r:id="rId845" ref="AT339"/>
    <hyperlink r:id="rId846" location="gid=0" ref="H340"/>
    <hyperlink r:id="rId847" ref="I340"/>
    <hyperlink r:id="rId848" ref="AT340"/>
    <hyperlink r:id="rId849" location="gid=0" ref="H341"/>
    <hyperlink r:id="rId850" ref="I341"/>
    <hyperlink r:id="rId851" location="gid=0" ref="H342"/>
    <hyperlink r:id="rId852" ref="I342"/>
    <hyperlink r:id="rId853" ref="AT342"/>
    <hyperlink r:id="rId854" location="gid=0" ref="H343"/>
    <hyperlink r:id="rId855" ref="I343"/>
    <hyperlink r:id="rId856" ref="AT343"/>
    <hyperlink r:id="rId857" location="gid=0" ref="H344"/>
    <hyperlink r:id="rId858" ref="I344"/>
    <hyperlink r:id="rId859" ref="AT344"/>
    <hyperlink r:id="rId860" location="gid=0" ref="H345"/>
    <hyperlink r:id="rId861" ref="I345"/>
    <hyperlink r:id="rId862" ref="AT345"/>
    <hyperlink r:id="rId863" location="gid=0" ref="H346"/>
    <hyperlink r:id="rId864" ref="I346"/>
    <hyperlink r:id="rId865" location="gid=0" ref="H347"/>
    <hyperlink r:id="rId866" ref="I347"/>
    <hyperlink r:id="rId867" location="gid=0" ref="H348"/>
    <hyperlink r:id="rId868" ref="I348"/>
    <hyperlink r:id="rId869" location="gid=0" ref="H349"/>
    <hyperlink r:id="rId870" ref="I349"/>
    <hyperlink r:id="rId871" location="gid=0" ref="H350"/>
    <hyperlink r:id="rId872" ref="I350"/>
    <hyperlink r:id="rId873" ref="AT350"/>
    <hyperlink r:id="rId874" location="gid=0" ref="H351"/>
    <hyperlink r:id="rId875" ref="I351"/>
    <hyperlink r:id="rId876" location="gid=0" ref="H352"/>
    <hyperlink r:id="rId877" ref="I352"/>
    <hyperlink r:id="rId878" location="gid=0" ref="H353"/>
    <hyperlink r:id="rId879" ref="I353"/>
    <hyperlink r:id="rId880" location="gid=0" ref="H354"/>
    <hyperlink r:id="rId881" ref="I354"/>
    <hyperlink r:id="rId882" location="gid=0" ref="H355"/>
    <hyperlink r:id="rId883" ref="I355"/>
    <hyperlink r:id="rId884" location="gid=0" ref="H356"/>
    <hyperlink r:id="rId885" ref="I356"/>
    <hyperlink r:id="rId886" ref="AT356"/>
    <hyperlink r:id="rId887" location="gid=0" ref="H357"/>
    <hyperlink r:id="rId888" ref="I357"/>
    <hyperlink r:id="rId889" ref="AT357"/>
    <hyperlink r:id="rId890" location="gid=0" ref="H358"/>
    <hyperlink r:id="rId891" ref="I358"/>
    <hyperlink r:id="rId892" ref="AT358"/>
    <hyperlink r:id="rId893" location="gid=0" ref="H359"/>
    <hyperlink r:id="rId894" ref="I359"/>
    <hyperlink r:id="rId895" location="gid=0" ref="H360"/>
    <hyperlink r:id="rId896" ref="I360"/>
    <hyperlink r:id="rId897" location="gid=0" ref="H361"/>
    <hyperlink r:id="rId898" ref="I361"/>
    <hyperlink r:id="rId899" location="gid=0" ref="H362"/>
    <hyperlink r:id="rId900" ref="I362"/>
    <hyperlink r:id="rId901" location="gid=0" ref="H363"/>
    <hyperlink r:id="rId902" ref="I363"/>
    <hyperlink r:id="rId903" location="gid=0" ref="H364"/>
    <hyperlink r:id="rId904" ref="I364"/>
    <hyperlink r:id="rId905" location="gid=0" ref="H365"/>
    <hyperlink r:id="rId906" ref="I365"/>
  </hyperlinks>
  <drawing r:id="rId90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3.13"/>
    <col customWidth="1" min="4" max="4" width="19.38"/>
    <col customWidth="1" min="5" max="5" width="15.13"/>
    <col customWidth="1" min="7" max="7" width="13.75"/>
    <col customWidth="1" min="9" max="9" width="13.5"/>
    <col hidden="1" min="11" max="14" width="12.63"/>
  </cols>
  <sheetData>
    <row r="1">
      <c r="A1" s="22" t="s">
        <v>3707</v>
      </c>
      <c r="B1" s="22" t="s">
        <v>1</v>
      </c>
      <c r="C1" s="23" t="s">
        <v>3708</v>
      </c>
      <c r="D1" s="23" t="s">
        <v>3709</v>
      </c>
      <c r="E1" s="23" t="s">
        <v>3710</v>
      </c>
      <c r="F1" s="24" t="s">
        <v>13</v>
      </c>
      <c r="G1" s="24" t="s">
        <v>14</v>
      </c>
      <c r="H1" s="24" t="s">
        <v>3711</v>
      </c>
      <c r="I1" s="24" t="s">
        <v>48</v>
      </c>
      <c r="J1" s="24" t="s">
        <v>15</v>
      </c>
      <c r="K1" s="24" t="s">
        <v>51</v>
      </c>
      <c r="L1" s="24" t="s">
        <v>52</v>
      </c>
      <c r="M1" s="24" t="s">
        <v>53</v>
      </c>
      <c r="N1" s="24" t="s">
        <v>54</v>
      </c>
    </row>
    <row r="2">
      <c r="A2" s="25" t="str">
        <f>(Sheet1!A2)</f>
        <v>1ClXh28BQwwGN7Q42xt0Dc8b_R_3jweBItLcbwVq3Rj0</v>
      </c>
      <c r="B2" s="25" t="str">
        <f>(Sheet1!B2)</f>
        <v>MPS</v>
      </c>
      <c r="C2" s="26">
        <f>'Balance Sheet'!$DX2</f>
        <v>-2433.47</v>
      </c>
      <c r="D2" s="26">
        <f>'Old Combined Balance Sheet'!A2 + 'Balance Sheet - FGI Insurance -'!CF2</f>
        <v>-11316.7</v>
      </c>
      <c r="E2" s="26">
        <f t="shared" ref="E2:E300" si="1">$C2 + $D2</f>
        <v>-13750.17</v>
      </c>
      <c r="F2" s="26" t="str">
        <f>Sheet1!N2</f>
        <v>MPS</v>
      </c>
      <c r="G2" s="26" t="str">
        <f>Sheet1!O2</f>
        <v>1ClXh28BQwwGN7Q42xt0Dc8b_R_3jweBItLcbwVq3Rj0</v>
      </c>
      <c r="H2" s="26" t="str">
        <f>Sheet1!AV2</f>
        <v>5646aRFHGS76A</v>
      </c>
      <c r="I2" s="26" t="str">
        <f>Sheet1!AW2</f>
        <v>Test Distributor</v>
      </c>
      <c r="J2" s="26" t="str">
        <f>Sheet1!P2</f>
        <v>Dealer</v>
      </c>
      <c r="K2" s="26" t="str">
        <f>Sheet1!AZ2</f>
        <v>Yes</v>
      </c>
      <c r="L2" s="26" t="str">
        <f>Sheet1!BA2</f>
        <v>Yes</v>
      </c>
      <c r="M2" s="26" t="str">
        <f>Sheet1!BB2</f>
        <v>Yes</v>
      </c>
      <c r="N2" s="26">
        <f>Sheet1!BC2</f>
        <v>0</v>
      </c>
    </row>
    <row r="3">
      <c r="A3" s="25" t="str">
        <f>(Sheet1!A3)</f>
        <v>1ksPRehLH7gfgZpnXgiBGZpTtFA-KHaKr32rTQGuz3WY</v>
      </c>
      <c r="B3" s="25" t="str">
        <f>(Sheet1!B3)</f>
        <v>Globe Agencies</v>
      </c>
      <c r="C3" s="26">
        <f>'Balance Sheet'!$DX3</f>
        <v>0</v>
      </c>
      <c r="D3" s="26">
        <f>'Old Combined Balance Sheet'!A3 + 'Balance Sheet - FGI Insurance -'!CF3</f>
        <v>0</v>
      </c>
      <c r="E3" s="26">
        <f t="shared" si="1"/>
        <v>0</v>
      </c>
      <c r="F3" s="26" t="str">
        <f>Sheet1!N3</f>
        <v>Globe Agencies</v>
      </c>
      <c r="G3" s="26" t="str">
        <f>Sheet1!O3</f>
        <v>1ksPRehLH7gfgZpnXgiBGZpTtFA-KHaKr32rTQGuz3WY</v>
      </c>
      <c r="H3" s="26" t="str">
        <f>Sheet1!AV3</f>
        <v/>
      </c>
      <c r="I3" s="26" t="str">
        <f>Sheet1!AW3</f>
        <v/>
      </c>
      <c r="J3" s="26" t="str">
        <f>Sheet1!P3</f>
        <v>Dealer</v>
      </c>
      <c r="K3" s="26" t="str">
        <f>Sheet1!AZ3</f>
        <v>No</v>
      </c>
      <c r="L3" s="26" t="str">
        <f>Sheet1!BA3</f>
        <v>No</v>
      </c>
      <c r="M3" s="26" t="str">
        <f>Sheet1!BB3</f>
        <v>No</v>
      </c>
      <c r="N3" s="26">
        <f>Sheet1!BC3</f>
        <v>0</v>
      </c>
    </row>
    <row r="4">
      <c r="A4" s="25" t="str">
        <f>(Sheet1!A4)</f>
        <v>184Y3L-ZLT7vcLiFDItIcLa-18phpzEbgBCBDgt_LGCQ</v>
      </c>
      <c r="B4" s="25" t="str">
        <f>(Sheet1!B4)</f>
        <v>Jain Motorcycle Company</v>
      </c>
      <c r="C4" s="26">
        <f>'Balance Sheet'!$DX4</f>
        <v>-312370</v>
      </c>
      <c r="D4" s="26">
        <f>'Old Combined Balance Sheet'!A4 + 'Balance Sheet - FGI Insurance -'!CF4</f>
        <v>0</v>
      </c>
      <c r="E4" s="26">
        <f t="shared" si="1"/>
        <v>-312370</v>
      </c>
      <c r="F4" s="26" t="str">
        <f>Sheet1!N4</f>
        <v>Jain Motorcycle Company</v>
      </c>
      <c r="G4" s="26" t="str">
        <f>Sheet1!O4</f>
        <v>184Y3L-ZLT7vcLiFDItIcLa-18phpzEbgBCBDgt_LGCQ</v>
      </c>
      <c r="H4" s="26" t="str">
        <f>Sheet1!AV4</f>
        <v/>
      </c>
      <c r="I4" s="26" t="str">
        <f>Sheet1!AW4</f>
        <v/>
      </c>
      <c r="J4" s="26" t="str">
        <f>Sheet1!P4</f>
        <v>Dealer</v>
      </c>
      <c r="K4" s="26" t="str">
        <f>Sheet1!AZ4</f>
        <v>Yes</v>
      </c>
      <c r="L4" s="26" t="str">
        <f>Sheet1!BA4</f>
        <v>No</v>
      </c>
      <c r="M4" s="26" t="str">
        <f>Sheet1!BB4</f>
        <v>No</v>
      </c>
      <c r="N4" s="26">
        <f>Sheet1!BC4</f>
        <v>0</v>
      </c>
    </row>
    <row r="5">
      <c r="A5" s="25" t="str">
        <f>(Sheet1!A5)</f>
        <v>1NdxdE379VcEgyTXyFtYxSA9RX1kAZOR0rPt76NDuLUw</v>
      </c>
      <c r="B5" s="25" t="str">
        <f>(Sheet1!B5)</f>
        <v>Solitaire Automotive</v>
      </c>
      <c r="C5" s="26">
        <f>'Balance Sheet'!$DX5</f>
        <v>0</v>
      </c>
      <c r="D5" s="26">
        <f>'Old Combined Balance Sheet'!A5 + 'Balance Sheet - FGI Insurance -'!CF5</f>
        <v>0</v>
      </c>
      <c r="E5" s="26">
        <f t="shared" si="1"/>
        <v>0</v>
      </c>
      <c r="F5" s="26" t="str">
        <f>Sheet1!N5</f>
        <v>Solitaire Automotive</v>
      </c>
      <c r="G5" s="26" t="str">
        <f>Sheet1!O5</f>
        <v>1NdxdE379VcEgyTXyFtYxSA9RX1kAZOR0rPt76NDuLUw</v>
      </c>
      <c r="H5" s="26" t="str">
        <f>Sheet1!AV5</f>
        <v/>
      </c>
      <c r="I5" s="26" t="str">
        <f>Sheet1!AW5</f>
        <v/>
      </c>
      <c r="J5" s="26" t="str">
        <f>Sheet1!P5</f>
        <v>Dealer</v>
      </c>
      <c r="K5" s="26" t="str">
        <f>Sheet1!AZ5</f>
        <v>No</v>
      </c>
      <c r="L5" s="26" t="str">
        <f>Sheet1!BA5</f>
        <v>No</v>
      </c>
      <c r="M5" s="26" t="str">
        <f>Sheet1!BB5</f>
        <v>No</v>
      </c>
      <c r="N5" s="26">
        <f>Sheet1!BC5</f>
        <v>0</v>
      </c>
    </row>
    <row r="6">
      <c r="A6" s="25" t="str">
        <f>(Sheet1!A6)</f>
        <v>1gG6109tt997RZ0RZOh_BNdEtAIOwUW8ggEowedu-6Ck</v>
      </c>
      <c r="B6" s="25" t="str">
        <f>(Sheet1!B6)</f>
        <v>Asco Motors</v>
      </c>
      <c r="C6" s="26">
        <f>'Balance Sheet'!$DX6</f>
        <v>-2068</v>
      </c>
      <c r="D6" s="26">
        <f>'Old Combined Balance Sheet'!A6 + 'Balance Sheet - FGI Insurance -'!CF6</f>
        <v>0</v>
      </c>
      <c r="E6" s="26">
        <f t="shared" si="1"/>
        <v>-2068</v>
      </c>
      <c r="F6" s="26" t="str">
        <f>Sheet1!N6</f>
        <v>Asco Motors</v>
      </c>
      <c r="G6" s="26" t="str">
        <f>Sheet1!O6</f>
        <v>1gG6109tt997RZ0RZOh_BNdEtAIOwUW8ggEowedu-6Ck</v>
      </c>
      <c r="H6" s="26" t="str">
        <f>Sheet1!AV6</f>
        <v/>
      </c>
      <c r="I6" s="26" t="str">
        <f>Sheet1!AW6</f>
        <v/>
      </c>
      <c r="J6" s="26" t="str">
        <f>Sheet1!P6</f>
        <v>Dealer</v>
      </c>
      <c r="K6" s="26" t="str">
        <f>Sheet1!AZ6</f>
        <v>No</v>
      </c>
      <c r="L6" s="26" t="str">
        <f>Sheet1!BA6</f>
        <v>No</v>
      </c>
      <c r="M6" s="26" t="str">
        <f>Sheet1!BB6</f>
        <v>No</v>
      </c>
      <c r="N6" s="26">
        <f>Sheet1!BC6</f>
        <v>0</v>
      </c>
    </row>
    <row r="7">
      <c r="A7" s="25" t="str">
        <f>(Sheet1!A7)</f>
        <v>1944RLX7T1M23YXRXYoMnJ6nD_bKLldQXRpFRA0rDLvg</v>
      </c>
      <c r="B7" s="25" t="str">
        <f>(Sheet1!B7)</f>
        <v>Vikas Autowheels</v>
      </c>
      <c r="C7" s="26">
        <f>'Balance Sheet'!$DX7</f>
        <v>-2724068.59</v>
      </c>
      <c r="D7" s="26">
        <f>'Old Combined Balance Sheet'!A7 + 'Balance Sheet - FGI Insurance -'!CF7</f>
        <v>0</v>
      </c>
      <c r="E7" s="26">
        <f t="shared" si="1"/>
        <v>-2724068.59</v>
      </c>
      <c r="F7" s="26" t="str">
        <f>Sheet1!N7</f>
        <v>Vikas Autowheels</v>
      </c>
      <c r="G7" s="26" t="str">
        <f>Sheet1!O7</f>
        <v>1944RLX7T1M23YXRXYoMnJ6nD_bKLldQXRpFRA0rDLvg</v>
      </c>
      <c r="H7" s="26" t="str">
        <f>Sheet1!AV7</f>
        <v/>
      </c>
      <c r="I7" s="26" t="str">
        <f>Sheet1!AW7</f>
        <v/>
      </c>
      <c r="J7" s="26" t="str">
        <f>Sheet1!P7</f>
        <v>Dealer</v>
      </c>
      <c r="K7" s="26" t="str">
        <f>Sheet1!AZ7</f>
        <v>Yes</v>
      </c>
      <c r="L7" s="26" t="str">
        <f>Sheet1!BA7</f>
        <v>No</v>
      </c>
      <c r="M7" s="26" t="str">
        <f>Sheet1!BB7</f>
        <v>No</v>
      </c>
      <c r="N7" s="26">
        <f>Sheet1!BC7</f>
        <v>0</v>
      </c>
    </row>
    <row r="8">
      <c r="A8" s="25" t="str">
        <f>(Sheet1!A8)</f>
        <v>150xD2ZWlv_NqqijpFlWWgIoGhpbdGM3zmaQdQAd1q5M</v>
      </c>
      <c r="B8" s="25" t="str">
        <f>(Sheet1!B8)</f>
        <v>Singla Automobiles (Main Branch)</v>
      </c>
      <c r="C8" s="26">
        <f>'Balance Sheet'!$DX8</f>
        <v>6544000.5</v>
      </c>
      <c r="D8" s="26">
        <f>'Old Combined Balance Sheet'!A8 + 'Balance Sheet - FGI Insurance -'!CF8</f>
        <v>-6538943.26</v>
      </c>
      <c r="E8" s="26">
        <f t="shared" si="1"/>
        <v>5057.24</v>
      </c>
      <c r="F8" s="26" t="str">
        <f>Sheet1!N8</f>
        <v>Singla Automobiles (Main Branch)</v>
      </c>
      <c r="G8" s="26" t="str">
        <f>Sheet1!O8</f>
        <v>150xD2ZWlv_NqqijpFlWWgIoGhpbdGM3zmaQdQAd1q5M</v>
      </c>
      <c r="H8" s="26" t="str">
        <f>Sheet1!AV8</f>
        <v/>
      </c>
      <c r="I8" s="26" t="str">
        <f>Sheet1!AW8</f>
        <v/>
      </c>
      <c r="J8" s="26" t="str">
        <f>Sheet1!P8</f>
        <v>Dealer</v>
      </c>
      <c r="K8" s="26" t="str">
        <f>Sheet1!AZ8</f>
        <v>No</v>
      </c>
      <c r="L8" s="26" t="str">
        <f>Sheet1!BA8</f>
        <v>No</v>
      </c>
      <c r="M8" s="26" t="str">
        <f>Sheet1!BB8</f>
        <v>Yes</v>
      </c>
      <c r="N8" s="26">
        <f>Sheet1!BC8</f>
        <v>0</v>
      </c>
    </row>
    <row r="9">
      <c r="A9" s="25" t="str">
        <f>(Sheet1!A9)</f>
        <v>1MWQVORKrBhvtNepdNE6EH-DkM2hXYvqfa0X-kEKcBAI</v>
      </c>
      <c r="B9" s="25" t="str">
        <f>(Sheet1!B9)</f>
        <v>Singla Automobiles (Rajapuri)</v>
      </c>
      <c r="C9" s="26">
        <f>'Balance Sheet'!$DX9</f>
        <v>0</v>
      </c>
      <c r="D9" s="26">
        <f>'Old Combined Balance Sheet'!A9 + 'Balance Sheet - FGI Insurance -'!CF9</f>
        <v>0</v>
      </c>
      <c r="E9" s="26">
        <f t="shared" si="1"/>
        <v>0</v>
      </c>
      <c r="F9" s="26" t="str">
        <f>Sheet1!N9</f>
        <v>Singla Automobiles (Main Branch)</v>
      </c>
      <c r="G9" s="26" t="str">
        <f>Sheet1!O9</f>
        <v>150xD2ZWlv_NqqijpFlWWgIoGhpbdGM3zmaQdQAd1q5M</v>
      </c>
      <c r="H9" s="26" t="str">
        <f>Sheet1!AV9</f>
        <v/>
      </c>
      <c r="I9" s="26" t="str">
        <f>Sheet1!AW9</f>
        <v/>
      </c>
      <c r="J9" s="26" t="str">
        <f>Sheet1!P9</f>
        <v>Sub Dealer</v>
      </c>
      <c r="K9" s="26" t="str">
        <f>Sheet1!AZ9</f>
        <v>No</v>
      </c>
      <c r="L9" s="26" t="str">
        <f>Sheet1!BA9</f>
        <v>No</v>
      </c>
      <c r="M9" s="26" t="str">
        <f>Sheet1!BB9</f>
        <v>No</v>
      </c>
      <c r="N9" s="26">
        <f>Sheet1!BC9</f>
        <v>0</v>
      </c>
    </row>
    <row r="10">
      <c r="A10" s="25" t="str">
        <f>(Sheet1!A10)</f>
        <v>1K2kmTdQ29RE0odqH86t0j8wUvDVWe7UFRs_xfvl5r94</v>
      </c>
      <c r="B10" s="25" t="str">
        <f>(Sheet1!B10)</f>
        <v>Singla Automobiles (C1)</v>
      </c>
      <c r="C10" s="26">
        <f>'Balance Sheet'!$DX10</f>
        <v>0</v>
      </c>
      <c r="D10" s="26">
        <f>'Old Combined Balance Sheet'!A10 + 'Balance Sheet - FGI Insurance -'!CF10</f>
        <v>0</v>
      </c>
      <c r="E10" s="26">
        <f t="shared" si="1"/>
        <v>0</v>
      </c>
      <c r="F10" s="26" t="str">
        <f>Sheet1!N10</f>
        <v>Singla Automobiles (Main Branch)</v>
      </c>
      <c r="G10" s="26" t="str">
        <f>Sheet1!O10</f>
        <v>150xD2ZWlv_NqqijpFlWWgIoGhpbdGM3zmaQdQAd1q5M</v>
      </c>
      <c r="H10" s="26" t="str">
        <f>Sheet1!AV10</f>
        <v/>
      </c>
      <c r="I10" s="26" t="str">
        <f>Sheet1!AW10</f>
        <v/>
      </c>
      <c r="J10" s="26" t="str">
        <f>Sheet1!P10</f>
        <v>Sub Dealer</v>
      </c>
      <c r="K10" s="26" t="str">
        <f>Sheet1!AZ10</f>
        <v>No</v>
      </c>
      <c r="L10" s="26" t="str">
        <f>Sheet1!BA10</f>
        <v>No</v>
      </c>
      <c r="M10" s="26" t="str">
        <f>Sheet1!BB10</f>
        <v>No</v>
      </c>
      <c r="N10" s="26">
        <f>Sheet1!BC10</f>
        <v>0</v>
      </c>
    </row>
    <row r="11">
      <c r="A11" s="25" t="str">
        <f>(Sheet1!A11)</f>
        <v>1z3Kb0ZM3b0cYxMw2eBE8FLNbVZCR8EGVeEjtQyPaoso</v>
      </c>
      <c r="B11" s="25" t="str">
        <f>(Sheet1!B11)</f>
        <v>Singla Automobiles (Samalka)</v>
      </c>
      <c r="C11" s="26">
        <f>'Balance Sheet'!$DX11</f>
        <v>0</v>
      </c>
      <c r="D11" s="26">
        <f>'Old Combined Balance Sheet'!A11 + 'Balance Sheet - FGI Insurance -'!CF11</f>
        <v>0</v>
      </c>
      <c r="E11" s="26">
        <f t="shared" si="1"/>
        <v>0</v>
      </c>
      <c r="F11" s="26" t="str">
        <f>Sheet1!N11</f>
        <v>Singla Automobiles (Main Branch)</v>
      </c>
      <c r="G11" s="26" t="str">
        <f>Sheet1!O11</f>
        <v>150xD2ZWlv_NqqijpFlWWgIoGhpbdGM3zmaQdQAd1q5M</v>
      </c>
      <c r="H11" s="26" t="str">
        <f>Sheet1!AV11</f>
        <v/>
      </c>
      <c r="I11" s="26" t="str">
        <f>Sheet1!AW11</f>
        <v/>
      </c>
      <c r="J11" s="26" t="str">
        <f>Sheet1!P11</f>
        <v>Sub Dealer</v>
      </c>
      <c r="K11" s="26" t="str">
        <f>Sheet1!AZ11</f>
        <v>No</v>
      </c>
      <c r="L11" s="26" t="str">
        <f>Sheet1!BA11</f>
        <v>No</v>
      </c>
      <c r="M11" s="26" t="str">
        <f>Sheet1!BB11</f>
        <v>No</v>
      </c>
      <c r="N11" s="26">
        <f>Sheet1!BC11</f>
        <v>0</v>
      </c>
    </row>
    <row r="12">
      <c r="A12" s="25" t="str">
        <f>(Sheet1!A15)</f>
        <v>1ejtSq2pJ5r5wu-kZaMFvJrFblntdYFCvNJnKtYjMVzo</v>
      </c>
      <c r="B12" s="25" t="str">
        <f>(Sheet1!B15)</f>
        <v>Uppal Motors</v>
      </c>
      <c r="C12" s="26">
        <f>'Balance Sheet'!$DX12</f>
        <v>0</v>
      </c>
      <c r="D12" s="26">
        <f>'Old Combined Balance Sheet'!A12 + 'Balance Sheet - FGI Insurance -'!CF12</f>
        <v>0</v>
      </c>
      <c r="E12" s="26">
        <f t="shared" si="1"/>
        <v>0</v>
      </c>
      <c r="F12" s="26" t="str">
        <f>Sheet1!N12</f>
        <v>ESS AAR Motors - Jhandewalan</v>
      </c>
      <c r="G12" s="26" t="str">
        <f>Sheet1!O12</f>
        <v>1hcMo_yCBmlA1T0WTeHgqUHMnzUUcjAMt7oOG7Fxhs7E</v>
      </c>
      <c r="H12" s="26" t="str">
        <f>Sheet1!AV12</f>
        <v/>
      </c>
      <c r="I12" s="26" t="str">
        <f>Sheet1!AW12</f>
        <v/>
      </c>
      <c r="J12" s="26" t="str">
        <f>Sheet1!P12</f>
        <v>Dealer</v>
      </c>
      <c r="K12" s="26" t="str">
        <f>Sheet1!AZ12</f>
        <v>No</v>
      </c>
      <c r="L12" s="26" t="str">
        <f>Sheet1!BA12</f>
        <v>No</v>
      </c>
      <c r="M12" s="26" t="str">
        <f>Sheet1!BB12</f>
        <v>No</v>
      </c>
      <c r="N12" s="26">
        <f>Sheet1!BC12</f>
        <v>0</v>
      </c>
    </row>
    <row r="13">
      <c r="A13" s="25" t="str">
        <f>(Sheet1!A12)</f>
        <v>1hcMo_yCBmlA1T0WTeHgqUHMnzUUcjAMt7oOG7Fxhs7E</v>
      </c>
      <c r="B13" s="25" t="str">
        <f>(Sheet1!B12)</f>
        <v>ESS AAR Motors - Jhandewalan</v>
      </c>
      <c r="C13" s="26">
        <f>'Balance Sheet'!$DX13</f>
        <v>19360</v>
      </c>
      <c r="D13" s="26">
        <f>'Old Combined Balance Sheet'!A13 + 'Balance Sheet - FGI Insurance -'!CF13</f>
        <v>0</v>
      </c>
      <c r="E13" s="26">
        <f t="shared" si="1"/>
        <v>19360</v>
      </c>
      <c r="F13" s="26" t="str">
        <f>Sheet1!N13</f>
        <v>ESS AAR Motors - Jhandewalan</v>
      </c>
      <c r="G13" s="26" t="str">
        <f>Sheet1!O13</f>
        <v>1hcMo_yCBmlA1T0WTeHgqUHMnzUUcjAMt7oOG7Fxhs7E</v>
      </c>
      <c r="H13" s="26" t="str">
        <f>Sheet1!AV13</f>
        <v/>
      </c>
      <c r="I13" s="26" t="str">
        <f>Sheet1!AW13</f>
        <v/>
      </c>
      <c r="J13" s="26" t="str">
        <f>Sheet1!P13</f>
        <v>Sub Dealer</v>
      </c>
      <c r="K13" s="26" t="str">
        <f>Sheet1!AZ13</f>
        <v>No</v>
      </c>
      <c r="L13" s="26" t="str">
        <f>Sheet1!BA13</f>
        <v>No</v>
      </c>
      <c r="M13" s="26" t="str">
        <f>Sheet1!BB13</f>
        <v>No</v>
      </c>
      <c r="N13" s="26">
        <f>Sheet1!BC13</f>
        <v>0</v>
      </c>
    </row>
    <row r="14">
      <c r="A14" s="25" t="str">
        <f>(Sheet1!A13)</f>
        <v>1uSmiJs1JBkFcacaTukzXG8U9ymYsNT0DhKFlj58ZKns</v>
      </c>
      <c r="B14" s="25" t="str">
        <f>(Sheet1!B13)</f>
        <v>ESS AAR Motors - Defence Colony</v>
      </c>
      <c r="C14" s="26">
        <f>'Balance Sheet'!$DX14</f>
        <v>0</v>
      </c>
      <c r="D14" s="26">
        <f>'Old Combined Balance Sheet'!A14 + 'Balance Sheet - FGI Insurance -'!CF14</f>
        <v>0</v>
      </c>
      <c r="E14" s="26">
        <f t="shared" si="1"/>
        <v>0</v>
      </c>
      <c r="F14" s="26" t="str">
        <f>Sheet1!N14</f>
        <v>Varshney Auto Sales - Yamaha (MPS)</v>
      </c>
      <c r="G14" s="26" t="str">
        <f>Sheet1!O14</f>
        <v>1ywp9soScACCtKNm18S8bSV9jfI4bUChDWcowZ3Kbzws</v>
      </c>
      <c r="H14" s="26" t="str">
        <f>Sheet1!AV14</f>
        <v/>
      </c>
      <c r="I14" s="26" t="str">
        <f>Sheet1!AW14</f>
        <v/>
      </c>
      <c r="J14" s="26" t="str">
        <f>Sheet1!P14</f>
        <v>Dealer</v>
      </c>
      <c r="K14" s="26" t="str">
        <f>Sheet1!AZ14</f>
        <v>No</v>
      </c>
      <c r="L14" s="26" t="str">
        <f>Sheet1!BA14</f>
        <v>No</v>
      </c>
      <c r="M14" s="26" t="str">
        <f>Sheet1!BB14</f>
        <v>No</v>
      </c>
      <c r="N14" s="26">
        <f>Sheet1!BC14</f>
        <v>0</v>
      </c>
    </row>
    <row r="15">
      <c r="A15" s="25" t="str">
        <f>(Sheet1!A14)</f>
        <v>1ywp9soScACCtKNm18S8bSV9jfI4bUChDWcowZ3Kbzws</v>
      </c>
      <c r="B15" s="25" t="str">
        <f>(Sheet1!B14)</f>
        <v>Varshney Auto Sales - Yamaha (MPS)</v>
      </c>
      <c r="C15" s="26">
        <f>'Balance Sheet'!$DX15</f>
        <v>0</v>
      </c>
      <c r="D15" s="26">
        <f>'Old Combined Balance Sheet'!A15 + 'Balance Sheet - FGI Insurance -'!CF15</f>
        <v>0</v>
      </c>
      <c r="E15" s="26">
        <f t="shared" si="1"/>
        <v>0</v>
      </c>
      <c r="F15" s="26" t="str">
        <f>Sheet1!N15</f>
        <v>Uppal Motors</v>
      </c>
      <c r="G15" s="26" t="str">
        <f>Sheet1!O15</f>
        <v>1ejtSq2pJ5r5wu-kZaMFvJrFblntdYFCvNJnKtYjMVzo</v>
      </c>
      <c r="H15" s="26" t="str">
        <f>Sheet1!AV15</f>
        <v/>
      </c>
      <c r="I15" s="26" t="str">
        <f>Sheet1!AW15</f>
        <v/>
      </c>
      <c r="J15" s="26" t="str">
        <f>Sheet1!P15</f>
        <v>Dealer</v>
      </c>
      <c r="K15" s="26" t="str">
        <f>Sheet1!AZ15</f>
        <v>No</v>
      </c>
      <c r="L15" s="26" t="str">
        <f>Sheet1!BA15</f>
        <v>No</v>
      </c>
      <c r="M15" s="26" t="str">
        <f>Sheet1!BB15</f>
        <v>No</v>
      </c>
      <c r="N15" s="26">
        <f>Sheet1!BC15</f>
        <v>0</v>
      </c>
    </row>
    <row r="16">
      <c r="A16" s="25" t="str">
        <f>(Sheet1!A16)</f>
        <v>1RYX1vfvY0jbK-8SlRPLYU11dr-HUe2ntxj5PumL7c0I</v>
      </c>
      <c r="B16" s="25" t="str">
        <f>(Sheet1!B16)</f>
        <v>Vidhi Trading</v>
      </c>
      <c r="C16" s="26">
        <f>'Balance Sheet'!$DX16</f>
        <v>0</v>
      </c>
      <c r="D16" s="26">
        <f>'Old Combined Balance Sheet'!A16 + 'Balance Sheet - FGI Insurance -'!CF16</f>
        <v>0</v>
      </c>
      <c r="E16" s="26">
        <f t="shared" si="1"/>
        <v>0</v>
      </c>
      <c r="F16" s="26" t="str">
        <f>Sheet1!N16</f>
        <v>Vidhi Trading</v>
      </c>
      <c r="G16" s="26" t="str">
        <f>Sheet1!O16</f>
        <v>1RYX1vfvY0jbK-8SlRPLYU11dr-HUe2ntxj5PumL7c0I</v>
      </c>
      <c r="H16" s="26" t="str">
        <f>Sheet1!AV16</f>
        <v/>
      </c>
      <c r="I16" s="26" t="str">
        <f>Sheet1!AW16</f>
        <v/>
      </c>
      <c r="J16" s="26" t="str">
        <f>Sheet1!P16</f>
        <v>Dealer</v>
      </c>
      <c r="K16" s="26" t="str">
        <f>Sheet1!AZ16</f>
        <v>No</v>
      </c>
      <c r="L16" s="26" t="str">
        <f>Sheet1!BA16</f>
        <v>No</v>
      </c>
      <c r="M16" s="26" t="str">
        <f>Sheet1!BB16</f>
        <v>No</v>
      </c>
      <c r="N16" s="26">
        <f>Sheet1!BC16</f>
        <v>0</v>
      </c>
    </row>
    <row r="17">
      <c r="A17" s="25" t="str">
        <f>(Sheet1!A17)</f>
        <v>1ju8_gZRiNRn30bHYva0xZCNhV81e9Nwm1ItAYdj4tiU</v>
      </c>
      <c r="B17" s="25" t="str">
        <f>(Sheet1!B17)</f>
        <v>JS</v>
      </c>
      <c r="C17" s="26">
        <f>'Balance Sheet'!$DX17</f>
        <v>1936</v>
      </c>
      <c r="D17" s="26">
        <f>'Old Combined Balance Sheet'!A17 + 'Balance Sheet - FGI Insurance -'!CF17</f>
        <v>0</v>
      </c>
      <c r="E17" s="26">
        <f t="shared" si="1"/>
        <v>1936</v>
      </c>
      <c r="F17" s="26" t="str">
        <f>Sheet1!N17</f>
        <v>JS</v>
      </c>
      <c r="G17" s="26" t="str">
        <f>Sheet1!O17</f>
        <v>1ju8_gZRiNRn30bHYva0xZCNhV81e9Nwm1ItAYdj4tiU</v>
      </c>
      <c r="H17" s="26" t="str">
        <f>Sheet1!AV17</f>
        <v/>
      </c>
      <c r="I17" s="26" t="str">
        <f>Sheet1!AW17</f>
        <v/>
      </c>
      <c r="J17" s="26" t="str">
        <f>Sheet1!P17</f>
        <v>Dealer</v>
      </c>
      <c r="K17" s="26" t="str">
        <f>Sheet1!AZ17</f>
        <v>No</v>
      </c>
      <c r="L17" s="26" t="str">
        <f>Sheet1!BA17</f>
        <v>No</v>
      </c>
      <c r="M17" s="26" t="str">
        <f>Sheet1!BB17</f>
        <v>No</v>
      </c>
      <c r="N17" s="26">
        <f>Sheet1!BC17</f>
        <v>0</v>
      </c>
    </row>
    <row r="18">
      <c r="A18" s="25" t="str">
        <f>(Sheet1!A18)</f>
        <v>1fb4oZhqM5iGS888M6X7merPGQRxnlGglIXz2Xntr8zg</v>
      </c>
      <c r="B18" s="25" t="str">
        <f>(Sheet1!B18)</f>
        <v>Mongold World Hero</v>
      </c>
      <c r="C18" s="26">
        <f>'Balance Sheet'!$DX18</f>
        <v>-3376</v>
      </c>
      <c r="D18" s="26">
        <f>'Old Combined Balance Sheet'!A18 + 'Balance Sheet - FGI Insurance -'!CF18</f>
        <v>0</v>
      </c>
      <c r="E18" s="26">
        <f t="shared" si="1"/>
        <v>-3376</v>
      </c>
      <c r="F18" s="26" t="str">
        <f>Sheet1!N18</f>
        <v>Mongold World Hero</v>
      </c>
      <c r="G18" s="26" t="str">
        <f>Sheet1!O18</f>
        <v>1fb4oZhqM5iGS888M6X7merPGQRxnlGglIXz2Xntr8zg</v>
      </c>
      <c r="H18" s="26" t="str">
        <f>Sheet1!AV18</f>
        <v/>
      </c>
      <c r="I18" s="26" t="str">
        <f>Sheet1!AW18</f>
        <v/>
      </c>
      <c r="J18" s="26" t="str">
        <f>Sheet1!P18</f>
        <v>Dealer</v>
      </c>
      <c r="K18" s="26" t="str">
        <f>Sheet1!AZ18</f>
        <v>No</v>
      </c>
      <c r="L18" s="26" t="str">
        <f>Sheet1!BA18</f>
        <v>No</v>
      </c>
      <c r="M18" s="26" t="str">
        <f>Sheet1!BB18</f>
        <v>No</v>
      </c>
      <c r="N18" s="26">
        <f>Sheet1!BC18</f>
        <v>0</v>
      </c>
    </row>
    <row r="19">
      <c r="A19" s="25" t="str">
        <f>(Sheet1!A19)</f>
        <v>1xzNzUpRuyZzl8DSwrt-yCan_GYtxqCgVm5i_XkKZrso</v>
      </c>
      <c r="B19" s="25" t="str">
        <f>(Sheet1!B19)</f>
        <v>Metro Motors - Rohini</v>
      </c>
      <c r="C19" s="26">
        <f>'Balance Sheet'!$DX19</f>
        <v>0</v>
      </c>
      <c r="D19" s="26">
        <f>'Old Combined Balance Sheet'!A19 + 'Balance Sheet - FGI Insurance -'!CF19</f>
        <v>0</v>
      </c>
      <c r="E19" s="26">
        <f t="shared" si="1"/>
        <v>0</v>
      </c>
      <c r="F19" s="26" t="str">
        <f>Sheet1!N19</f>
        <v>Metro Motors - Rohini</v>
      </c>
      <c r="G19" s="26" t="str">
        <f>Sheet1!O19</f>
        <v>1xzNzUpRuyZzl8DSwrt-yCan_GYtxqCgVm5i_XkKZrso</v>
      </c>
      <c r="H19" s="26" t="str">
        <f>Sheet1!AV19</f>
        <v/>
      </c>
      <c r="I19" s="26" t="str">
        <f>Sheet1!AW19</f>
        <v/>
      </c>
      <c r="J19" s="26" t="str">
        <f>Sheet1!P19</f>
        <v>Dealer</v>
      </c>
      <c r="K19" s="26" t="str">
        <f>Sheet1!AZ19</f>
        <v>No</v>
      </c>
      <c r="L19" s="26" t="str">
        <f>Sheet1!BA19</f>
        <v>No</v>
      </c>
      <c r="M19" s="26" t="str">
        <f>Sheet1!BB19</f>
        <v>No</v>
      </c>
      <c r="N19" s="26">
        <f>Sheet1!BC19</f>
        <v>0</v>
      </c>
    </row>
    <row r="20">
      <c r="A20" s="25" t="str">
        <f>(Sheet1!A20)</f>
        <v>1aig_7rzTvnQej6pxtLbGhfZNPUH2VLzHk2NHcxmPOhg</v>
      </c>
      <c r="B20" s="25" t="str">
        <f>(Sheet1!B20)</f>
        <v>Singla Auto Agencies (Noida)</v>
      </c>
      <c r="C20" s="26">
        <f>'Balance Sheet'!$DX20</f>
        <v>6039</v>
      </c>
      <c r="D20" s="26">
        <f>'Old Combined Balance Sheet'!A20 + 'Balance Sheet - FGI Insurance -'!CF20</f>
        <v>-6039.3</v>
      </c>
      <c r="E20" s="26">
        <f t="shared" si="1"/>
        <v>-0.3</v>
      </c>
      <c r="F20" s="26" t="str">
        <f>Sheet1!N20</f>
        <v>Singla Auto Agencies (Noida)</v>
      </c>
      <c r="G20" s="26" t="str">
        <f>Sheet1!O20</f>
        <v>1aig_7rzTvnQej6pxtLbGhfZNPUH2VLzHk2NHcxmPOhg</v>
      </c>
      <c r="H20" s="26" t="str">
        <f>Sheet1!AV20</f>
        <v/>
      </c>
      <c r="I20" s="26" t="str">
        <f>Sheet1!AW20</f>
        <v/>
      </c>
      <c r="J20" s="26" t="str">
        <f>Sheet1!P20</f>
        <v>Dealer</v>
      </c>
      <c r="K20" s="26" t="str">
        <f>Sheet1!AZ20</f>
        <v>No</v>
      </c>
      <c r="L20" s="26" t="str">
        <f>Sheet1!BA20</f>
        <v>No</v>
      </c>
      <c r="M20" s="26" t="str">
        <f>Sheet1!BB20</f>
        <v>Yes</v>
      </c>
      <c r="N20" s="26">
        <f>Sheet1!BC20</f>
        <v>200000</v>
      </c>
    </row>
    <row r="21">
      <c r="A21" s="25" t="str">
        <f>(Sheet1!A21)</f>
        <v>1Q3uII698FTgwSsGljmJBRy3Pnf7HltUwjiLdE7gTk3E</v>
      </c>
      <c r="B21" s="25" t="str">
        <f>(Sheet1!B21)</f>
        <v>Singla Auto Agencies (Chapraulla)</v>
      </c>
      <c r="C21" s="26">
        <f>'Balance Sheet'!$DX21</f>
        <v>0</v>
      </c>
      <c r="D21" s="26">
        <f>'Old Combined Balance Sheet'!A21 + 'Balance Sheet - FGI Insurance -'!CF21</f>
        <v>0</v>
      </c>
      <c r="E21" s="26">
        <f t="shared" si="1"/>
        <v>0</v>
      </c>
      <c r="F21" s="26" t="str">
        <f>Sheet1!N21</f>
        <v>Singla Auto Agencies (Noida)</v>
      </c>
      <c r="G21" s="26" t="str">
        <f>Sheet1!O21</f>
        <v>1aig_7rzTvnQej6pxtLbGhfZNPUH2VLzHk2NHcxmPOhg</v>
      </c>
      <c r="H21" s="26" t="str">
        <f>Sheet1!AV21</f>
        <v/>
      </c>
      <c r="I21" s="26" t="str">
        <f>Sheet1!AW21</f>
        <v/>
      </c>
      <c r="J21" s="26" t="str">
        <f>Sheet1!P21</f>
        <v>Sub Dealer</v>
      </c>
      <c r="K21" s="26" t="str">
        <f>Sheet1!AZ21</f>
        <v>No</v>
      </c>
      <c r="L21" s="26" t="str">
        <f>Sheet1!BA21</f>
        <v>No</v>
      </c>
      <c r="M21" s="26" t="str">
        <f>Sheet1!BB21</f>
        <v>No</v>
      </c>
      <c r="N21" s="26">
        <f>Sheet1!BC21</f>
        <v>0</v>
      </c>
    </row>
    <row r="22">
      <c r="A22" s="25" t="str">
        <f>(Sheet1!A22)</f>
        <v>1vUFSLp9ap8UTFwG791bhTrhPizHEeVuDln11hfH1j4w</v>
      </c>
      <c r="B22" s="25" t="str">
        <f>(Sheet1!B22)</f>
        <v>Singla Auto Agencies (Dadri)</v>
      </c>
      <c r="C22" s="26">
        <f>'Balance Sheet'!$DX22</f>
        <v>0</v>
      </c>
      <c r="D22" s="26">
        <f>'Old Combined Balance Sheet'!A22 + 'Balance Sheet - FGI Insurance -'!CF22</f>
        <v>0</v>
      </c>
      <c r="E22" s="26">
        <f t="shared" si="1"/>
        <v>0</v>
      </c>
      <c r="F22" s="26" t="str">
        <f>Sheet1!N22</f>
        <v>Singla Auto Agencies (Noida)</v>
      </c>
      <c r="G22" s="26" t="str">
        <f>Sheet1!O22</f>
        <v>1aig_7rzTvnQej6pxtLbGhfZNPUH2VLzHk2NHcxmPOhg</v>
      </c>
      <c r="H22" s="26" t="str">
        <f>Sheet1!AV22</f>
        <v/>
      </c>
      <c r="I22" s="26" t="str">
        <f>Sheet1!AW22</f>
        <v/>
      </c>
      <c r="J22" s="26" t="str">
        <f>Sheet1!P22</f>
        <v>Sub Dealer</v>
      </c>
      <c r="K22" s="26" t="str">
        <f>Sheet1!AZ22</f>
        <v>No</v>
      </c>
      <c r="L22" s="26" t="str">
        <f>Sheet1!BA22</f>
        <v>No</v>
      </c>
      <c r="M22" s="26" t="str">
        <f>Sheet1!BB22</f>
        <v>No</v>
      </c>
      <c r="N22" s="26">
        <f>Sheet1!BC22</f>
        <v>0</v>
      </c>
    </row>
    <row r="23">
      <c r="A23" s="25" t="str">
        <f>(Sheet1!A23)</f>
        <v>1RySEyS05cXvVcjfIhWh9Hhv1aLw7DmuiSqcsr3PfWVo</v>
      </c>
      <c r="B23" s="25" t="str">
        <f>(Sheet1!B23)</f>
        <v>Atmaram HERO</v>
      </c>
      <c r="C23" s="26">
        <f>'Balance Sheet'!$DX23</f>
        <v>-90920</v>
      </c>
      <c r="D23" s="26">
        <f>'Old Combined Balance Sheet'!A23 + 'Balance Sheet - FGI Insurance -'!CF23</f>
        <v>0</v>
      </c>
      <c r="E23" s="26">
        <f t="shared" si="1"/>
        <v>-90920</v>
      </c>
      <c r="F23" s="26" t="str">
        <f>Sheet1!N23</f>
        <v>Atmaram HERO</v>
      </c>
      <c r="G23" s="26" t="str">
        <f>Sheet1!O23</f>
        <v>1RySEyS05cXvVcjfIhWh9Hhv1aLw7DmuiSqcsr3PfWVo</v>
      </c>
      <c r="H23" s="26" t="str">
        <f>Sheet1!AV23</f>
        <v/>
      </c>
      <c r="I23" s="26" t="str">
        <f>Sheet1!AW23</f>
        <v/>
      </c>
      <c r="J23" s="26" t="str">
        <f>Sheet1!P23</f>
        <v>Dealer</v>
      </c>
      <c r="K23" s="26" t="str">
        <f>Sheet1!AZ23</f>
        <v>Yes</v>
      </c>
      <c r="L23" s="26" t="str">
        <f>Sheet1!BA23</f>
        <v>No</v>
      </c>
      <c r="M23" s="26" t="str">
        <f>Sheet1!BB23</f>
        <v>No</v>
      </c>
      <c r="N23" s="26">
        <f>Sheet1!BC23</f>
        <v>0</v>
      </c>
    </row>
    <row r="24">
      <c r="A24" s="25" t="str">
        <f>(Sheet1!A24)</f>
        <v>1mkGLSaVL5-IAXKq9KqXFgJH64Li9oMA9V0u_seCn1jg</v>
      </c>
      <c r="B24" s="25" t="str">
        <f>(Sheet1!B24)</f>
        <v>Maharaja Autoworld</v>
      </c>
      <c r="C24" s="26">
        <f>'Balance Sheet'!$DX24</f>
        <v>240544</v>
      </c>
      <c r="D24" s="26">
        <f>'Old Combined Balance Sheet'!A24 + 'Balance Sheet - FGI Insurance -'!CF24</f>
        <v>0</v>
      </c>
      <c r="E24" s="26">
        <f t="shared" si="1"/>
        <v>240544</v>
      </c>
      <c r="F24" s="26" t="str">
        <f>Sheet1!N24</f>
        <v>Maharaja Autoworld</v>
      </c>
      <c r="G24" s="26" t="str">
        <f>Sheet1!O24</f>
        <v>1mkGLSaVL5-IAXKq9KqXFgJH64Li9oMA9V0u_seCn1jg</v>
      </c>
      <c r="H24" s="26" t="str">
        <f>Sheet1!AV24</f>
        <v/>
      </c>
      <c r="I24" s="26" t="str">
        <f>Sheet1!AW24</f>
        <v/>
      </c>
      <c r="J24" s="26" t="str">
        <f>Sheet1!P24</f>
        <v>Dealer</v>
      </c>
      <c r="K24" s="26" t="str">
        <f>Sheet1!AZ24</f>
        <v>No</v>
      </c>
      <c r="L24" s="26" t="str">
        <f>Sheet1!BA24</f>
        <v>No</v>
      </c>
      <c r="M24" s="26" t="str">
        <f>Sheet1!BB24</f>
        <v>No</v>
      </c>
      <c r="N24" s="26">
        <f>Sheet1!BC24</f>
        <v>0</v>
      </c>
    </row>
    <row r="25">
      <c r="A25" s="25" t="str">
        <f>(Sheet1!A25)</f>
        <v>1zcLyE9iYZSiWbBeptOlHKDUHdbuB0nnxanzAjCJdWSI</v>
      </c>
      <c r="B25" s="25" t="str">
        <f>(Sheet1!B25)</f>
        <v>G.S.TVS</v>
      </c>
      <c r="C25" s="26">
        <f>'Balance Sheet'!$DX25</f>
        <v>0</v>
      </c>
      <c r="D25" s="26">
        <f>'Old Combined Balance Sheet'!A25 + 'Balance Sheet - FGI Insurance -'!CF25</f>
        <v>0</v>
      </c>
      <c r="E25" s="26">
        <f t="shared" si="1"/>
        <v>0</v>
      </c>
      <c r="F25" s="26" t="str">
        <f>Sheet1!N25</f>
        <v>G.S.TVS</v>
      </c>
      <c r="G25" s="26" t="str">
        <f>Sheet1!O25</f>
        <v>1zcLyE9iYZSiWbBeptOlHKDUHdbuB0nnxanzAjCJdWSI</v>
      </c>
      <c r="H25" s="26" t="str">
        <f>Sheet1!AV25</f>
        <v/>
      </c>
      <c r="I25" s="26" t="str">
        <f>Sheet1!AW25</f>
        <v/>
      </c>
      <c r="J25" s="26" t="str">
        <f>Sheet1!P25</f>
        <v>Dealer</v>
      </c>
      <c r="K25" s="26" t="str">
        <f>Sheet1!AZ25</f>
        <v>No</v>
      </c>
      <c r="L25" s="26" t="str">
        <f>Sheet1!BA25</f>
        <v>No</v>
      </c>
      <c r="M25" s="26" t="str">
        <f>Sheet1!BB25</f>
        <v>No</v>
      </c>
      <c r="N25" s="26">
        <f>Sheet1!BC25</f>
        <v>0</v>
      </c>
    </row>
    <row r="26">
      <c r="A26" s="25" t="str">
        <f>(Sheet1!A26)</f>
        <v>1LnxzSZR-Hn1GFJEM91CqSDi8yQ1-11OqyVT04QUkFAM</v>
      </c>
      <c r="B26" s="25" t="str">
        <f>(Sheet1!B26)</f>
        <v>Shri Durga Motors</v>
      </c>
      <c r="C26" s="26">
        <f>'Balance Sheet'!$DX26</f>
        <v>64685.18</v>
      </c>
      <c r="D26" s="26">
        <f>'Old Combined Balance Sheet'!A26 + 'Balance Sheet - FGI Insurance -'!CF26</f>
        <v>0</v>
      </c>
      <c r="E26" s="26">
        <f t="shared" si="1"/>
        <v>64685.18</v>
      </c>
      <c r="F26" s="26" t="str">
        <f>Sheet1!N26</f>
        <v>Shri Durga Motors</v>
      </c>
      <c r="G26" s="26" t="str">
        <f>Sheet1!O26</f>
        <v>1LnxzSZR-Hn1GFJEM91CqSDi8yQ1-11OqyVT04QUkFAM</v>
      </c>
      <c r="H26" s="26" t="str">
        <f>Sheet1!AV26</f>
        <v/>
      </c>
      <c r="I26" s="26" t="str">
        <f>Sheet1!AW26</f>
        <v/>
      </c>
      <c r="J26" s="26" t="str">
        <f>Sheet1!P26</f>
        <v>Dealer</v>
      </c>
      <c r="K26" s="26" t="str">
        <f>Sheet1!AZ26</f>
        <v>No</v>
      </c>
      <c r="L26" s="26" t="str">
        <f>Sheet1!BA26</f>
        <v>No</v>
      </c>
      <c r="M26" s="26" t="str">
        <f>Sheet1!BB26</f>
        <v>No</v>
      </c>
      <c r="N26" s="26">
        <f>Sheet1!BC26</f>
        <v>0</v>
      </c>
    </row>
    <row r="27">
      <c r="A27" s="25" t="str">
        <f>(Sheet1!A27)</f>
        <v>1ytBGcO8tIze81xKkAa9lWDcflthsPL6SuADAXbhmuwA</v>
      </c>
      <c r="B27" s="25" t="str">
        <f>(Sheet1!B27)</f>
        <v>Brij Biwheelers</v>
      </c>
      <c r="C27" s="26">
        <f>'Balance Sheet'!$DX27</f>
        <v>42616</v>
      </c>
      <c r="D27" s="26">
        <f>'Old Combined Balance Sheet'!A27 + 'Balance Sheet - FGI Insurance -'!CF27</f>
        <v>0</v>
      </c>
      <c r="E27" s="26">
        <f t="shared" si="1"/>
        <v>42616</v>
      </c>
      <c r="F27" s="26" t="str">
        <f>Sheet1!N27</f>
        <v>Brij Biwheelers</v>
      </c>
      <c r="G27" s="26" t="str">
        <f>Sheet1!O27</f>
        <v>1ytBGcO8tIze81xKkAa9lWDcflthsPL6SuADAXbhmuwA</v>
      </c>
      <c r="H27" s="26" t="str">
        <f>Sheet1!AV27</f>
        <v/>
      </c>
      <c r="I27" s="26" t="str">
        <f>Sheet1!AW27</f>
        <v/>
      </c>
      <c r="J27" s="26" t="str">
        <f>Sheet1!P27</f>
        <v>Dealer</v>
      </c>
      <c r="K27" s="26" t="str">
        <f>Sheet1!AZ27</f>
        <v>No</v>
      </c>
      <c r="L27" s="26" t="str">
        <f>Sheet1!BA27</f>
        <v>No</v>
      </c>
      <c r="M27" s="26" t="str">
        <f>Sheet1!BB27</f>
        <v>No</v>
      </c>
      <c r="N27" s="26">
        <f>Sheet1!BC27</f>
        <v>0</v>
      </c>
    </row>
    <row r="28">
      <c r="A28" s="25" t="str">
        <f>(Sheet1!A28)</f>
        <v>1Yfv0ZT_aQDLFHljdKtMo2aojtvVSEhmBaoVtpPdjPPo</v>
      </c>
      <c r="B28" s="25" t="str">
        <f>(Sheet1!B28)</f>
        <v>Globe Agencies - Hapur</v>
      </c>
      <c r="C28" s="26">
        <f>'Balance Sheet'!$DX28</f>
        <v>0</v>
      </c>
      <c r="D28" s="26">
        <f>'Old Combined Balance Sheet'!A28 + 'Balance Sheet - FGI Insurance -'!CF28</f>
        <v>0</v>
      </c>
      <c r="E28" s="26">
        <f t="shared" si="1"/>
        <v>0</v>
      </c>
      <c r="F28" s="26" t="str">
        <f>Sheet1!N28</f>
        <v>Globe Agencies - Hapur</v>
      </c>
      <c r="G28" s="26" t="str">
        <f>Sheet1!O28</f>
        <v>1ksPRehLH7gfgZpnXgiBGZpTtFA-KHaKr32rTQGuz3WY</v>
      </c>
      <c r="H28" s="26" t="str">
        <f>Sheet1!AV28</f>
        <v/>
      </c>
      <c r="I28" s="26" t="str">
        <f>Sheet1!AW28</f>
        <v/>
      </c>
      <c r="J28" s="26" t="str">
        <f>Sheet1!P28</f>
        <v>Sub Dealer</v>
      </c>
      <c r="K28" s="26" t="str">
        <f>Sheet1!AZ28</f>
        <v>No</v>
      </c>
      <c r="L28" s="26" t="str">
        <f>Sheet1!BA28</f>
        <v>No</v>
      </c>
      <c r="M28" s="26" t="str">
        <f>Sheet1!BB28</f>
        <v>No</v>
      </c>
      <c r="N28" s="26">
        <f>Sheet1!BC28</f>
        <v>0</v>
      </c>
    </row>
    <row r="29">
      <c r="A29" s="25" t="str">
        <f>(Sheet1!A29)</f>
        <v>1sJ2STkoqQ3nTzfRPt0AHHPB6KjkvtyOHIVnE3dDR6mk</v>
      </c>
      <c r="B29" s="25" t="str">
        <f>(Sheet1!B29)</f>
        <v>Shiv Motors (JMC)</v>
      </c>
      <c r="C29" s="26">
        <f>'Balance Sheet'!$DX29</f>
        <v>0</v>
      </c>
      <c r="D29" s="26">
        <f>'Old Combined Balance Sheet'!A29 + 'Balance Sheet - FGI Insurance -'!CF29</f>
        <v>0</v>
      </c>
      <c r="E29" s="26">
        <f t="shared" si="1"/>
        <v>0</v>
      </c>
      <c r="F29" s="26" t="str">
        <f>Sheet1!N29</f>
        <v>Jain Motorcycle Company</v>
      </c>
      <c r="G29" s="26" t="str">
        <f>Sheet1!O29</f>
        <v>184Y3L-ZLT7vcLiFDItIcLa-18phpzEbgBCBDgt_LGCQ</v>
      </c>
      <c r="H29" s="26" t="str">
        <f>Sheet1!AV29</f>
        <v/>
      </c>
      <c r="I29" s="26" t="str">
        <f>Sheet1!AW29</f>
        <v/>
      </c>
      <c r="J29" s="26" t="str">
        <f>Sheet1!P29</f>
        <v>Sub Dealer</v>
      </c>
      <c r="K29" s="26" t="str">
        <f>Sheet1!AZ29</f>
        <v>Yes</v>
      </c>
      <c r="L29" s="26" t="str">
        <f>Sheet1!BA29</f>
        <v>No</v>
      </c>
      <c r="M29" s="26" t="str">
        <f>Sheet1!BB29</f>
        <v>No</v>
      </c>
      <c r="N29" s="26">
        <f>Sheet1!BC29</f>
        <v>0</v>
      </c>
    </row>
    <row r="30">
      <c r="A30" s="25" t="str">
        <f>(Sheet1!A30)</f>
        <v>1WH65I6cboV1MjKQhx3zM2QiEmuHtQjnKUssDiU-VP7k</v>
      </c>
      <c r="B30" s="25" t="str">
        <f>(Sheet1!B30)</f>
        <v>Upadhayay Motors (JMC)</v>
      </c>
      <c r="C30" s="26">
        <f>'Balance Sheet'!$DX30</f>
        <v>0</v>
      </c>
      <c r="D30" s="26">
        <f>'Old Combined Balance Sheet'!A30 + 'Balance Sheet - FGI Insurance -'!CF30</f>
        <v>0</v>
      </c>
      <c r="E30" s="26">
        <f t="shared" si="1"/>
        <v>0</v>
      </c>
      <c r="F30" s="26" t="str">
        <f>Sheet1!N30</f>
        <v>Jain Motorcycle Company</v>
      </c>
      <c r="G30" s="26" t="str">
        <f>Sheet1!O30</f>
        <v>184Y3L-ZLT7vcLiFDItIcLa-18phpzEbgBCBDgt_LGCQ</v>
      </c>
      <c r="H30" s="26" t="str">
        <f>Sheet1!AV30</f>
        <v/>
      </c>
      <c r="I30" s="26" t="str">
        <f>Sheet1!AW30</f>
        <v/>
      </c>
      <c r="J30" s="26" t="str">
        <f>Sheet1!P30</f>
        <v>Sub Dealer</v>
      </c>
      <c r="K30" s="26" t="str">
        <f>Sheet1!AZ30</f>
        <v>Yes</v>
      </c>
      <c r="L30" s="26" t="str">
        <f>Sheet1!BA30</f>
        <v>No</v>
      </c>
      <c r="M30" s="26" t="str">
        <f>Sheet1!BB30</f>
        <v>No</v>
      </c>
      <c r="N30" s="26">
        <f>Sheet1!BC30</f>
        <v>0</v>
      </c>
    </row>
    <row r="31">
      <c r="A31" s="25" t="str">
        <f>(Sheet1!A31)</f>
        <v>1ipiizJhZiRSwa-HGPYAXoFXM18mwPYV5FEGfOTvybvk</v>
      </c>
      <c r="B31" s="25" t="str">
        <f>(Sheet1!B31)</f>
        <v>Mahendra Motors (JMC)</v>
      </c>
      <c r="C31" s="26">
        <f>'Balance Sheet'!$DX31</f>
        <v>0</v>
      </c>
      <c r="D31" s="26">
        <f>'Old Combined Balance Sheet'!A31 + 'Balance Sheet - FGI Insurance -'!CF31</f>
        <v>0</v>
      </c>
      <c r="E31" s="26">
        <f t="shared" si="1"/>
        <v>0</v>
      </c>
      <c r="F31" s="26" t="str">
        <f>Sheet1!N31</f>
        <v>Jain Motorcycle Company</v>
      </c>
      <c r="G31" s="26" t="str">
        <f>Sheet1!O31</f>
        <v>184Y3L-ZLT7vcLiFDItIcLa-18phpzEbgBCBDgt_LGCQ</v>
      </c>
      <c r="H31" s="26" t="str">
        <f>Sheet1!AV31</f>
        <v/>
      </c>
      <c r="I31" s="26" t="str">
        <f>Sheet1!AW31</f>
        <v/>
      </c>
      <c r="J31" s="26" t="str">
        <f>Sheet1!P31</f>
        <v>Sub Dealer</v>
      </c>
      <c r="K31" s="26" t="str">
        <f>Sheet1!AZ31</f>
        <v>Yes</v>
      </c>
      <c r="L31" s="26" t="str">
        <f>Sheet1!BA31</f>
        <v>No</v>
      </c>
      <c r="M31" s="26" t="str">
        <f>Sheet1!BB31</f>
        <v>No</v>
      </c>
      <c r="N31" s="26">
        <f>Sheet1!BC31</f>
        <v>0</v>
      </c>
    </row>
    <row r="32">
      <c r="A32" s="25" t="str">
        <f>(Sheet1!A32)</f>
        <v>19bXssdH9Vj9S4-hnqEvDKXxBYkCZb2YideGN1EcSGyk</v>
      </c>
      <c r="B32" s="25" t="str">
        <f>(Sheet1!B32)</f>
        <v>Radha Motors (JMC)</v>
      </c>
      <c r="C32" s="26">
        <f>'Balance Sheet'!$DX32</f>
        <v>0</v>
      </c>
      <c r="D32" s="26">
        <f>'Old Combined Balance Sheet'!A32 + 'Balance Sheet - FGI Insurance -'!CF32</f>
        <v>0</v>
      </c>
      <c r="E32" s="26">
        <f t="shared" si="1"/>
        <v>0</v>
      </c>
      <c r="F32" s="26" t="str">
        <f>Sheet1!N32</f>
        <v>Jain Motorcycle Company</v>
      </c>
      <c r="G32" s="26" t="str">
        <f>Sheet1!O32</f>
        <v>184Y3L-ZLT7vcLiFDItIcLa-18phpzEbgBCBDgt_LGCQ</v>
      </c>
      <c r="H32" s="26" t="str">
        <f>Sheet1!AV32</f>
        <v/>
      </c>
      <c r="I32" s="26" t="str">
        <f>Sheet1!AW32</f>
        <v/>
      </c>
      <c r="J32" s="26" t="str">
        <f>Sheet1!P32</f>
        <v>Sub Dealer</v>
      </c>
      <c r="K32" s="26" t="str">
        <f>Sheet1!AZ32</f>
        <v>Yes</v>
      </c>
      <c r="L32" s="26" t="str">
        <f>Sheet1!BA32</f>
        <v>No</v>
      </c>
      <c r="M32" s="26" t="str">
        <f>Sheet1!BB32</f>
        <v>No</v>
      </c>
      <c r="N32" s="26">
        <f>Sheet1!BC32</f>
        <v>0</v>
      </c>
    </row>
    <row r="33">
      <c r="A33" s="25" t="str">
        <f>(Sheet1!A33)</f>
        <v>1EKUX2g7taP0J1K7X0BVbZcttQIgEqnHtNldFX8ZYPLQ</v>
      </c>
      <c r="B33" s="25" t="str">
        <f>(Sheet1!B33)</f>
        <v>Agrawal Auto Sales (JMC)</v>
      </c>
      <c r="C33" s="26">
        <f>'Balance Sheet'!$DX33</f>
        <v>0</v>
      </c>
      <c r="D33" s="26">
        <f>'Old Combined Balance Sheet'!A33 + 'Balance Sheet - FGI Insurance -'!CF33</f>
        <v>0</v>
      </c>
      <c r="E33" s="26">
        <f t="shared" si="1"/>
        <v>0</v>
      </c>
      <c r="F33" s="26" t="str">
        <f>Sheet1!N33</f>
        <v>Jain Motorcycle Company</v>
      </c>
      <c r="G33" s="26" t="str">
        <f>Sheet1!O33</f>
        <v>184Y3L-ZLT7vcLiFDItIcLa-18phpzEbgBCBDgt_LGCQ</v>
      </c>
      <c r="H33" s="26" t="str">
        <f>Sheet1!AV33</f>
        <v/>
      </c>
      <c r="I33" s="26" t="str">
        <f>Sheet1!AW33</f>
        <v/>
      </c>
      <c r="J33" s="26" t="str">
        <f>Sheet1!P33</f>
        <v>Sub Dealer</v>
      </c>
      <c r="K33" s="26" t="str">
        <f>Sheet1!AZ33</f>
        <v>Yes</v>
      </c>
      <c r="L33" s="26" t="str">
        <f>Sheet1!BA33</f>
        <v>No</v>
      </c>
      <c r="M33" s="26" t="str">
        <f>Sheet1!BB33</f>
        <v>No</v>
      </c>
      <c r="N33" s="26">
        <f>Sheet1!BC33</f>
        <v>0</v>
      </c>
    </row>
    <row r="34">
      <c r="A34" s="25" t="str">
        <f>(Sheet1!A34)</f>
        <v>1HtysfhpGiYy4pDXvahWxBmR24wGrNyOL6Yy9V9oDnB4</v>
      </c>
      <c r="B34" s="25" t="str">
        <f>(Sheet1!B34)</f>
        <v>SB Khandelwal Motors (JMC)</v>
      </c>
      <c r="C34" s="26">
        <f>'Balance Sheet'!$DX34</f>
        <v>0</v>
      </c>
      <c r="D34" s="26">
        <f>'Old Combined Balance Sheet'!A34 + 'Balance Sheet - FGI Insurance -'!CF34</f>
        <v>0</v>
      </c>
      <c r="E34" s="26">
        <f t="shared" si="1"/>
        <v>0</v>
      </c>
      <c r="F34" s="26" t="str">
        <f>Sheet1!N34</f>
        <v>Jain Motorcycle Company</v>
      </c>
      <c r="G34" s="26" t="str">
        <f>Sheet1!O34</f>
        <v>184Y3L-ZLT7vcLiFDItIcLa-18phpzEbgBCBDgt_LGCQ</v>
      </c>
      <c r="H34" s="26" t="str">
        <f>Sheet1!AV34</f>
        <v/>
      </c>
      <c r="I34" s="26" t="str">
        <f>Sheet1!AW34</f>
        <v/>
      </c>
      <c r="J34" s="26" t="str">
        <f>Sheet1!P34</f>
        <v>Sub Dealer</v>
      </c>
      <c r="K34" s="26" t="str">
        <f>Sheet1!AZ34</f>
        <v>Yes</v>
      </c>
      <c r="L34" s="26" t="str">
        <f>Sheet1!BA34</f>
        <v>No</v>
      </c>
      <c r="M34" s="26" t="str">
        <f>Sheet1!BB34</f>
        <v>No</v>
      </c>
      <c r="N34" s="26">
        <f>Sheet1!BC34</f>
        <v>0</v>
      </c>
    </row>
    <row r="35">
      <c r="A35" s="25" t="str">
        <f>(Sheet1!A35)</f>
        <v>1eZlt3K2rssS_3hpp5DKow70BJWa_wksndc0ag7yiUs4</v>
      </c>
      <c r="B35" s="25" t="str">
        <f>(Sheet1!B35)</f>
        <v>SK financial services (MPS)</v>
      </c>
      <c r="C35" s="26">
        <f>'Balance Sheet'!$DX35</f>
        <v>0</v>
      </c>
      <c r="D35" s="26">
        <f>'Old Combined Balance Sheet'!A35 + 'Balance Sheet - FGI Insurance -'!CF35</f>
        <v>0</v>
      </c>
      <c r="E35" s="26">
        <f t="shared" si="1"/>
        <v>0</v>
      </c>
      <c r="F35" s="26" t="str">
        <f>Sheet1!N35</f>
        <v>SK financial services (MPS)</v>
      </c>
      <c r="G35" s="26" t="str">
        <f>Sheet1!O35</f>
        <v>1eZlt3K2rssS_3hpp5DKow70BJWa_wksndc0ag7yiUs4</v>
      </c>
      <c r="H35" s="26" t="str">
        <f>Sheet1!AV35</f>
        <v/>
      </c>
      <c r="I35" s="26" t="str">
        <f>Sheet1!AW35</f>
        <v/>
      </c>
      <c r="J35" s="26" t="str">
        <f>Sheet1!P35</f>
        <v>Dealer</v>
      </c>
      <c r="K35" s="26" t="str">
        <f>Sheet1!AZ35</f>
        <v>No</v>
      </c>
      <c r="L35" s="26" t="str">
        <f>Sheet1!BA35</f>
        <v>No</v>
      </c>
      <c r="M35" s="26" t="str">
        <f>Sheet1!BB35</f>
        <v>No</v>
      </c>
      <c r="N35" s="26">
        <f>Sheet1!BC35</f>
        <v>0</v>
      </c>
    </row>
    <row r="36">
      <c r="A36" s="25" t="str">
        <f>(Sheet1!A36)</f>
        <v>1AjVyIHPgPw3jscNmkTH1qzR2RokK5FZaJLjeNfOiYAA</v>
      </c>
      <c r="B36" s="25" t="str">
        <f>(Sheet1!B36)</f>
        <v>AAA</v>
      </c>
      <c r="C36" s="26">
        <f>'Balance Sheet'!$DX36</f>
        <v>30674.69</v>
      </c>
      <c r="D36" s="26">
        <f>'Old Combined Balance Sheet'!A36 + 'Balance Sheet - FGI Insurance -'!CF36</f>
        <v>0</v>
      </c>
      <c r="E36" s="26">
        <f t="shared" si="1"/>
        <v>30674.69</v>
      </c>
      <c r="F36" s="26" t="str">
        <f>Sheet1!N36</f>
        <v>AAA</v>
      </c>
      <c r="G36" s="26" t="str">
        <f>Sheet1!O36</f>
        <v>1AjVyIHPgPw3jscNmkTH1qzR2RokK5FZaJLjeNfOiYAA</v>
      </c>
      <c r="H36" s="26" t="str">
        <f>Sheet1!AV36</f>
        <v/>
      </c>
      <c r="I36" s="26" t="str">
        <f>Sheet1!AW36</f>
        <v/>
      </c>
      <c r="J36" s="26" t="str">
        <f>Sheet1!P36</f>
        <v>Dealer</v>
      </c>
      <c r="K36" s="26" t="str">
        <f>Sheet1!AZ36</f>
        <v>No</v>
      </c>
      <c r="L36" s="26" t="str">
        <f>Sheet1!BA36</f>
        <v>No</v>
      </c>
      <c r="M36" s="26" t="str">
        <f>Sheet1!BB36</f>
        <v>No</v>
      </c>
      <c r="N36" s="26">
        <f>Sheet1!BC36</f>
        <v>0</v>
      </c>
    </row>
    <row r="37">
      <c r="A37" s="25" t="str">
        <f>(Sheet1!A37)</f>
        <v>1txqT-r-3rrz_JL6hfpj1nayS9LkA6F-X3hyZ3XTUiO8</v>
      </c>
      <c r="B37" s="25" t="str">
        <f>(Sheet1!B37)</f>
        <v>FRIENDS AUTOMOBILES (BBW)</v>
      </c>
      <c r="C37" s="26">
        <f>'Balance Sheet'!$DX37</f>
        <v>0</v>
      </c>
      <c r="D37" s="26">
        <f>'Old Combined Balance Sheet'!A37 + 'Balance Sheet - FGI Insurance -'!CF37</f>
        <v>0</v>
      </c>
      <c r="E37" s="26">
        <f t="shared" si="1"/>
        <v>0</v>
      </c>
      <c r="F37" s="26" t="str">
        <f>Sheet1!N37</f>
        <v>Brij Biwheelers</v>
      </c>
      <c r="G37" s="26" t="str">
        <f>Sheet1!O37</f>
        <v>1ytBGcO8tIze81xKkAa9lWDcflthsPL6SuADAXbhmuwA</v>
      </c>
      <c r="H37" s="26" t="str">
        <f>Sheet1!AV37</f>
        <v/>
      </c>
      <c r="I37" s="26" t="str">
        <f>Sheet1!AW37</f>
        <v/>
      </c>
      <c r="J37" s="26" t="str">
        <f>Sheet1!P37</f>
        <v>Sub Dealer</v>
      </c>
      <c r="K37" s="26" t="str">
        <f>Sheet1!AZ37</f>
        <v>No</v>
      </c>
      <c r="L37" s="26" t="str">
        <f>Sheet1!BA37</f>
        <v>No</v>
      </c>
      <c r="M37" s="26" t="str">
        <f>Sheet1!BB37</f>
        <v>No</v>
      </c>
      <c r="N37" s="26">
        <f>Sheet1!BC37</f>
        <v>0</v>
      </c>
    </row>
    <row r="38">
      <c r="A38" s="25" t="str">
        <f>(Sheet1!A38)</f>
        <v>16TwAyLbRSQfXo00SFqwkhgj4ImKvtFd_ORftHCn3L9g</v>
      </c>
      <c r="B38" s="25" t="str">
        <f>(Sheet1!B38)</f>
        <v>GHANSHYAM MOTORS (BBW)</v>
      </c>
      <c r="C38" s="26">
        <f>'Balance Sheet'!$DX38</f>
        <v>0</v>
      </c>
      <c r="D38" s="26">
        <f>'Old Combined Balance Sheet'!A38 + 'Balance Sheet - FGI Insurance -'!CF38</f>
        <v>0</v>
      </c>
      <c r="E38" s="26">
        <f t="shared" si="1"/>
        <v>0</v>
      </c>
      <c r="F38" s="26" t="str">
        <f>Sheet1!N38</f>
        <v>Brij Biwheelers</v>
      </c>
      <c r="G38" s="26" t="str">
        <f>Sheet1!O38</f>
        <v>1ytBGcO8tIze81xKkAa9lWDcflthsPL6SuADAXbhmuwA</v>
      </c>
      <c r="H38" s="26" t="str">
        <f>Sheet1!AV38</f>
        <v/>
      </c>
      <c r="I38" s="26" t="str">
        <f>Sheet1!AW38</f>
        <v/>
      </c>
      <c r="J38" s="26" t="str">
        <f>Sheet1!P38</f>
        <v>Sub Dealer</v>
      </c>
      <c r="K38" s="26" t="str">
        <f>Sheet1!AZ38</f>
        <v>No</v>
      </c>
      <c r="L38" s="26" t="str">
        <f>Sheet1!BA38</f>
        <v>No</v>
      </c>
      <c r="M38" s="26" t="str">
        <f>Sheet1!BB38</f>
        <v>No</v>
      </c>
      <c r="N38" s="26">
        <f>Sheet1!BC38</f>
        <v>0</v>
      </c>
    </row>
    <row r="39">
      <c r="A39" s="25" t="str">
        <f>(Sheet1!A39)</f>
        <v>1Qutstkt7wbcw29p7VfI97VmiQ6zXlElNsNewjyPJF-E</v>
      </c>
      <c r="B39" s="25" t="str">
        <f>(Sheet1!B39)</f>
        <v>SHRI BADAM AUTO AGENCY (BBW)</v>
      </c>
      <c r="C39" s="26">
        <f>'Balance Sheet'!$DX39</f>
        <v>0</v>
      </c>
      <c r="D39" s="26">
        <f>'Old Combined Balance Sheet'!A39 + 'Balance Sheet - FGI Insurance -'!CF39</f>
        <v>0</v>
      </c>
      <c r="E39" s="26">
        <f t="shared" si="1"/>
        <v>0</v>
      </c>
      <c r="F39" s="26" t="str">
        <f>Sheet1!N39</f>
        <v>Brij Biwheelers</v>
      </c>
      <c r="G39" s="26" t="str">
        <f>Sheet1!O39</f>
        <v>1ytBGcO8tIze81xKkAa9lWDcflthsPL6SuADAXbhmuwA</v>
      </c>
      <c r="H39" s="26" t="str">
        <f>Sheet1!AV39</f>
        <v/>
      </c>
      <c r="I39" s="26" t="str">
        <f>Sheet1!AW39</f>
        <v/>
      </c>
      <c r="J39" s="26" t="str">
        <f>Sheet1!P39</f>
        <v>Sub Dealer</v>
      </c>
      <c r="K39" s="26" t="str">
        <f>Sheet1!AZ39</f>
        <v>No</v>
      </c>
      <c r="L39" s="26" t="str">
        <f>Sheet1!BA39</f>
        <v>No</v>
      </c>
      <c r="M39" s="26" t="str">
        <f>Sheet1!BB39</f>
        <v>No</v>
      </c>
      <c r="N39" s="26">
        <f>Sheet1!BC39</f>
        <v>0</v>
      </c>
    </row>
    <row r="40">
      <c r="A40" s="25" t="str">
        <f>(Sheet1!A40)</f>
        <v>1g3nFfjwGQ3RXkt5LgZuD7QgSRAiUn3W90lh8RCiEGqg</v>
      </c>
      <c r="B40" s="25" t="str">
        <f>(Sheet1!B40)</f>
        <v>LV MOTORS (BBW)</v>
      </c>
      <c r="C40" s="26">
        <f>'Balance Sheet'!$DX40</f>
        <v>0</v>
      </c>
      <c r="D40" s="26">
        <f>'Old Combined Balance Sheet'!A40 + 'Balance Sheet - FGI Insurance -'!CF40</f>
        <v>0</v>
      </c>
      <c r="E40" s="26">
        <f t="shared" si="1"/>
        <v>0</v>
      </c>
      <c r="F40" s="26" t="str">
        <f>Sheet1!N40</f>
        <v>Brij Biwheelers</v>
      </c>
      <c r="G40" s="26" t="str">
        <f>Sheet1!O40</f>
        <v>1ytBGcO8tIze81xKkAa9lWDcflthsPL6SuADAXbhmuwA</v>
      </c>
      <c r="H40" s="26" t="str">
        <f>Sheet1!AV40</f>
        <v/>
      </c>
      <c r="I40" s="26" t="str">
        <f>Sheet1!AW40</f>
        <v/>
      </c>
      <c r="J40" s="26" t="str">
        <f>Sheet1!P40</f>
        <v>Sub Dealer</v>
      </c>
      <c r="K40" s="26" t="str">
        <f>Sheet1!AZ40</f>
        <v>No</v>
      </c>
      <c r="L40" s="26" t="str">
        <f>Sheet1!BA40</f>
        <v>No</v>
      </c>
      <c r="M40" s="26" t="str">
        <f>Sheet1!BB40</f>
        <v>No</v>
      </c>
      <c r="N40" s="26">
        <f>Sheet1!BC40</f>
        <v>0</v>
      </c>
    </row>
    <row r="41">
      <c r="A41" s="25" t="str">
        <f>(Sheet1!A41)</f>
        <v>1mh6Ew8Xo6CDWTwSaZz97uDQi3oGwOh-iBN44riWn7aM</v>
      </c>
      <c r="B41" s="25" t="str">
        <f>(Sheet1!B41)</f>
        <v>JAMUNA MOTORS (BBW)</v>
      </c>
      <c r="C41" s="26">
        <f>'Balance Sheet'!$DX41</f>
        <v>0</v>
      </c>
      <c r="D41" s="26">
        <f>'Old Combined Balance Sheet'!A41 + 'Balance Sheet - FGI Insurance -'!CF41</f>
        <v>0</v>
      </c>
      <c r="E41" s="26">
        <f t="shared" si="1"/>
        <v>0</v>
      </c>
      <c r="F41" s="26" t="str">
        <f>Sheet1!N41</f>
        <v>Brij Biwheelers</v>
      </c>
      <c r="G41" s="26" t="str">
        <f>Sheet1!O41</f>
        <v>1ytBGcO8tIze81xKkAa9lWDcflthsPL6SuADAXbhmuwA</v>
      </c>
      <c r="H41" s="26" t="str">
        <f>Sheet1!AV41</f>
        <v/>
      </c>
      <c r="I41" s="26" t="str">
        <f>Sheet1!AW41</f>
        <v/>
      </c>
      <c r="J41" s="26" t="str">
        <f>Sheet1!P41</f>
        <v>Sub Dealer</v>
      </c>
      <c r="K41" s="26" t="str">
        <f>Sheet1!AZ41</f>
        <v>No</v>
      </c>
      <c r="L41" s="26" t="str">
        <f>Sheet1!BA41</f>
        <v>No</v>
      </c>
      <c r="M41" s="26" t="str">
        <f>Sheet1!BB41</f>
        <v>No</v>
      </c>
      <c r="N41" s="26">
        <f>Sheet1!BC41</f>
        <v>0</v>
      </c>
    </row>
    <row r="42">
      <c r="A42" s="25" t="str">
        <f>(Sheet1!A42)</f>
        <v>1HvellLIIt0McYf2irXwhP04Oc9HTCBdhkpvifuxyx8g</v>
      </c>
      <c r="B42" s="25" t="str">
        <f>(Sheet1!B42)</f>
        <v>KULDEEP AUTO ENTERPRISES (BBW)</v>
      </c>
      <c r="C42" s="26">
        <f>'Balance Sheet'!$DX42</f>
        <v>0</v>
      </c>
      <c r="D42" s="26">
        <f>'Old Combined Balance Sheet'!A42 + 'Balance Sheet - FGI Insurance -'!CF42</f>
        <v>0</v>
      </c>
      <c r="E42" s="26">
        <f t="shared" si="1"/>
        <v>0</v>
      </c>
      <c r="F42" s="26" t="str">
        <f>Sheet1!N42</f>
        <v>Brij Biwheelers</v>
      </c>
      <c r="G42" s="26" t="str">
        <f>Sheet1!O42</f>
        <v>1ytBGcO8tIze81xKkAa9lWDcflthsPL6SuADAXbhmuwA</v>
      </c>
      <c r="H42" s="26" t="str">
        <f>Sheet1!AV42</f>
        <v/>
      </c>
      <c r="I42" s="26" t="str">
        <f>Sheet1!AW42</f>
        <v/>
      </c>
      <c r="J42" s="26" t="str">
        <f>Sheet1!P42</f>
        <v>Sub Dealer</v>
      </c>
      <c r="K42" s="26" t="str">
        <f>Sheet1!AZ42</f>
        <v>No</v>
      </c>
      <c r="L42" s="26" t="str">
        <f>Sheet1!BA42</f>
        <v>No</v>
      </c>
      <c r="M42" s="26" t="str">
        <f>Sheet1!BB42</f>
        <v>No</v>
      </c>
      <c r="N42" s="26">
        <f>Sheet1!BC42</f>
        <v>0</v>
      </c>
    </row>
    <row r="43">
      <c r="A43" s="25" t="str">
        <f>(Sheet1!A43)</f>
        <v>10y5zpV0ufroZh5B-Qo1GwJlSJsEyRLymOo-gShU03gk</v>
      </c>
      <c r="B43" s="25" t="str">
        <f>(Sheet1!B43)</f>
        <v>JAJAMPATTI (BBW)</v>
      </c>
      <c r="C43" s="26">
        <f>'Balance Sheet'!$DX43</f>
        <v>0</v>
      </c>
      <c r="D43" s="26">
        <f>'Old Combined Balance Sheet'!A43 + 'Balance Sheet - FGI Insurance -'!CF43</f>
        <v>0</v>
      </c>
      <c r="E43" s="26">
        <f t="shared" si="1"/>
        <v>0</v>
      </c>
      <c r="F43" s="26" t="str">
        <f>Sheet1!N43</f>
        <v>Brij Biwheelers</v>
      </c>
      <c r="G43" s="26" t="str">
        <f>Sheet1!O43</f>
        <v>1ytBGcO8tIze81xKkAa9lWDcflthsPL6SuADAXbhmuwA</v>
      </c>
      <c r="H43" s="26" t="str">
        <f>Sheet1!AV43</f>
        <v/>
      </c>
      <c r="I43" s="26" t="str">
        <f>Sheet1!AW43</f>
        <v/>
      </c>
      <c r="J43" s="26" t="str">
        <f>Sheet1!P43</f>
        <v>Sub Dealer</v>
      </c>
      <c r="K43" s="26" t="str">
        <f>Sheet1!AZ43</f>
        <v>No</v>
      </c>
      <c r="L43" s="26" t="str">
        <f>Sheet1!BA43</f>
        <v>No</v>
      </c>
      <c r="M43" s="26" t="str">
        <f>Sheet1!BB43</f>
        <v>No</v>
      </c>
      <c r="N43" s="26">
        <f>Sheet1!BC43</f>
        <v>0</v>
      </c>
    </row>
    <row r="44">
      <c r="A44" s="25" t="str">
        <f>(Sheet1!A44)</f>
        <v>10OrFTKO4yhmJjB2PdJsPBFWFJQhFkWOzdv4SLQemIhs</v>
      </c>
      <c r="B44" s="25" t="str">
        <f>(Sheet1!B44)</f>
        <v>BRIJ HERO RENEWAL (BBW)</v>
      </c>
      <c r="C44" s="26">
        <f>'Balance Sheet'!$DX44</f>
        <v>0</v>
      </c>
      <c r="D44" s="26">
        <f>'Old Combined Balance Sheet'!A44 + 'Balance Sheet - FGI Insurance -'!CF44</f>
        <v>0</v>
      </c>
      <c r="E44" s="26">
        <f t="shared" si="1"/>
        <v>0</v>
      </c>
      <c r="F44" s="26" t="str">
        <f>Sheet1!N44</f>
        <v>Brij Biwheelers</v>
      </c>
      <c r="G44" s="26" t="str">
        <f>Sheet1!O44</f>
        <v>1ytBGcO8tIze81xKkAa9lWDcflthsPL6SuADAXbhmuwA</v>
      </c>
      <c r="H44" s="26" t="str">
        <f>Sheet1!AV44</f>
        <v/>
      </c>
      <c r="I44" s="26" t="str">
        <f>Sheet1!AW44</f>
        <v/>
      </c>
      <c r="J44" s="26" t="str">
        <f>Sheet1!P44</f>
        <v>Sub Dealer</v>
      </c>
      <c r="K44" s="26" t="str">
        <f>Sheet1!AZ44</f>
        <v>No</v>
      </c>
      <c r="L44" s="26" t="str">
        <f>Sheet1!BA44</f>
        <v>No</v>
      </c>
      <c r="M44" s="26" t="str">
        <f>Sheet1!BB44</f>
        <v>No</v>
      </c>
      <c r="N44" s="26">
        <f>Sheet1!BC44</f>
        <v>0</v>
      </c>
    </row>
    <row r="45">
      <c r="A45" s="25" t="str">
        <f>(Sheet1!A45)</f>
        <v>1XmVYrBOLuyIm0rpXhFaYpcRQ1t4YH3PN3pmiTosn08E</v>
      </c>
      <c r="B45" s="25" t="str">
        <f>(Sheet1!B45)</f>
        <v>Shraman Hero - GT Karnal Road</v>
      </c>
      <c r="C45" s="26">
        <f>'Balance Sheet'!$DX45</f>
        <v>-71362</v>
      </c>
      <c r="D45" s="26">
        <f>'Old Combined Balance Sheet'!A45 + 'Balance Sheet - FGI Insurance -'!CF45</f>
        <v>-5788.74</v>
      </c>
      <c r="E45" s="26">
        <f t="shared" si="1"/>
        <v>-77150.74</v>
      </c>
      <c r="F45" s="26" t="str">
        <f>Sheet1!N45</f>
        <v>Shraman Hero - GT Karnal Road</v>
      </c>
      <c r="G45" s="26" t="str">
        <f>Sheet1!O45</f>
        <v>1XmVYrBOLuyIm0rpXhFaYpcRQ1t4YH3PN3pmiTosn08E</v>
      </c>
      <c r="H45" s="26" t="str">
        <f>Sheet1!AV45</f>
        <v/>
      </c>
      <c r="I45" s="26" t="str">
        <f>Sheet1!AW45</f>
        <v/>
      </c>
      <c r="J45" s="26" t="str">
        <f>Sheet1!P45</f>
        <v>Dealer</v>
      </c>
      <c r="K45" s="26" t="str">
        <f>Sheet1!AZ45</f>
        <v>Yes</v>
      </c>
      <c r="L45" s="26" t="str">
        <f>Sheet1!BA45</f>
        <v>No</v>
      </c>
      <c r="M45" s="26" t="str">
        <f>Sheet1!BB45</f>
        <v>Yes</v>
      </c>
      <c r="N45" s="26">
        <f>Sheet1!BC45</f>
        <v>0</v>
      </c>
    </row>
    <row r="46">
      <c r="A46" s="25" t="str">
        <f>(Sheet1!A46)</f>
        <v>1qJGCYN0EdS2nWGXVYAHwXqSjiLE2C95anQkkbLONbKQ</v>
      </c>
      <c r="B46" s="25" t="str">
        <f>(Sheet1!B46)</f>
        <v>Shri Balaji Hero - Muzaffarnagar</v>
      </c>
      <c r="C46" s="26">
        <f>'Balance Sheet'!$DX46</f>
        <v>-101346.27</v>
      </c>
      <c r="D46" s="26">
        <f>'Old Combined Balance Sheet'!A46 + 'Balance Sheet - FGI Insurance -'!CF46</f>
        <v>0</v>
      </c>
      <c r="E46" s="26">
        <f t="shared" si="1"/>
        <v>-101346.27</v>
      </c>
      <c r="F46" s="26" t="str">
        <f>Sheet1!N46</f>
        <v>Shri Balaji Hero - Muzaffarnagar</v>
      </c>
      <c r="G46" s="26" t="str">
        <f>Sheet1!O46</f>
        <v>1qJGCYN0EdS2nWGXVYAHwXqSjiLE2C95anQkkbLONbKQ</v>
      </c>
      <c r="H46" s="26" t="str">
        <f>Sheet1!AV46</f>
        <v/>
      </c>
      <c r="I46" s="26" t="str">
        <f>Sheet1!AW46</f>
        <v/>
      </c>
      <c r="J46" s="26" t="str">
        <f>Sheet1!P46</f>
        <v>Dealer</v>
      </c>
      <c r="K46" s="26" t="str">
        <f>Sheet1!AZ46</f>
        <v>Yes</v>
      </c>
      <c r="L46" s="26" t="str">
        <f>Sheet1!BA46</f>
        <v>No</v>
      </c>
      <c r="M46" s="26" t="str">
        <f>Sheet1!BB46</f>
        <v>No</v>
      </c>
      <c r="N46" s="26">
        <f>Sheet1!BC46</f>
        <v>0</v>
      </c>
    </row>
    <row r="47">
      <c r="A47" s="25" t="str">
        <f>(Sheet1!A47)</f>
        <v>1p3Bu4mvhlVeVMP3Ogpf0F-2KWPlAp07JNr-X652uW0U</v>
      </c>
      <c r="B47" s="25" t="str">
        <f>(Sheet1!B47)</f>
        <v>Kavita Motors - Bijnor</v>
      </c>
      <c r="C47" s="26">
        <f>'Balance Sheet'!$DX47</f>
        <v>67562</v>
      </c>
      <c r="D47" s="26">
        <f>'Old Combined Balance Sheet'!A47 + 'Balance Sheet - FGI Insurance -'!CF47</f>
        <v>0</v>
      </c>
      <c r="E47" s="26">
        <f t="shared" si="1"/>
        <v>67562</v>
      </c>
      <c r="F47" s="26" t="str">
        <f>Sheet1!N47</f>
        <v>Kavita Motors - Bijnor</v>
      </c>
      <c r="G47" s="26" t="str">
        <f>Sheet1!O47</f>
        <v>1p3Bu4mvhlVeVMP3Ogpf0F-2KWPlAp07JNr-X652uW0U</v>
      </c>
      <c r="H47" s="26" t="str">
        <f>Sheet1!AV47</f>
        <v/>
      </c>
      <c r="I47" s="26" t="str">
        <f>Sheet1!AW47</f>
        <v/>
      </c>
      <c r="J47" s="26" t="str">
        <f>Sheet1!P47</f>
        <v>Dealer</v>
      </c>
      <c r="K47" s="26" t="str">
        <f>Sheet1!AZ47</f>
        <v>No</v>
      </c>
      <c r="L47" s="26" t="str">
        <f>Sheet1!BA47</f>
        <v>No</v>
      </c>
      <c r="M47" s="26" t="str">
        <f>Sheet1!BB47</f>
        <v>No</v>
      </c>
      <c r="N47" s="26">
        <f>Sheet1!BC47</f>
        <v>0</v>
      </c>
    </row>
    <row r="48">
      <c r="A48" s="25" t="str">
        <f>(Sheet1!A48)</f>
        <v>14s_HeeebHqLRTUCX5FSlJ3K7aiTvnkajbPMefm6jg1M</v>
      </c>
      <c r="B48" s="25" t="str">
        <f>(Sheet1!B48)</f>
        <v>Bharat Auto - Kasganj</v>
      </c>
      <c r="C48" s="26">
        <f>'Balance Sheet'!$DX48</f>
        <v>-442.42</v>
      </c>
      <c r="D48" s="26">
        <f>'Old Combined Balance Sheet'!A48 + 'Balance Sheet - FGI Insurance -'!CF48</f>
        <v>0</v>
      </c>
      <c r="E48" s="26">
        <f t="shared" si="1"/>
        <v>-442.42</v>
      </c>
      <c r="F48" s="26" t="str">
        <f>Sheet1!N48</f>
        <v>Bharat Auto - Kasganj</v>
      </c>
      <c r="G48" s="26" t="str">
        <f>Sheet1!O48</f>
        <v>14s_HeeebHqLRTUCX5FSlJ3K7aiTvnkajbPMefm6jg1M</v>
      </c>
      <c r="H48" s="26" t="str">
        <f>Sheet1!AV48</f>
        <v/>
      </c>
      <c r="I48" s="26" t="str">
        <f>Sheet1!AW48</f>
        <v/>
      </c>
      <c r="J48" s="26" t="str">
        <f>Sheet1!P48</f>
        <v>Dealer</v>
      </c>
      <c r="K48" s="26" t="str">
        <f>Sheet1!AZ48</f>
        <v>Yes</v>
      </c>
      <c r="L48" s="26" t="str">
        <f>Sheet1!BA48</f>
        <v>No</v>
      </c>
      <c r="M48" s="26" t="str">
        <f>Sheet1!BB48</f>
        <v>No</v>
      </c>
      <c r="N48" s="26">
        <f>Sheet1!BC48</f>
        <v>0</v>
      </c>
    </row>
    <row r="49">
      <c r="A49" s="25" t="str">
        <f>(Sheet1!A49)</f>
        <v>1IGdLk1wrvnQTH7dsivMQu4VKWg4A7FvDBYsKsxwLpsE</v>
      </c>
      <c r="B49" s="25" t="str">
        <f>(Sheet1!B49)</f>
        <v>Gupta HERO</v>
      </c>
      <c r="C49" s="26">
        <f>'Balance Sheet'!$DX49</f>
        <v>-115203.5</v>
      </c>
      <c r="D49" s="26">
        <f>'Old Combined Balance Sheet'!A49 + 'Balance Sheet - FGI Insurance -'!CF49</f>
        <v>0</v>
      </c>
      <c r="E49" s="26">
        <f t="shared" si="1"/>
        <v>-115203.5</v>
      </c>
      <c r="F49" s="26" t="str">
        <f>Sheet1!N49</f>
        <v>Gupta HERO</v>
      </c>
      <c r="G49" s="26" t="str">
        <f>Sheet1!O49</f>
        <v>1IGdLk1wrvnQTH7dsivMQu4VKWg4A7FvDBYsKsxwLpsE</v>
      </c>
      <c r="H49" s="26" t="str">
        <f>Sheet1!AV49</f>
        <v/>
      </c>
      <c r="I49" s="26" t="str">
        <f>Sheet1!AW49</f>
        <v/>
      </c>
      <c r="J49" s="26" t="str">
        <f>Sheet1!P49</f>
        <v>Dealer</v>
      </c>
      <c r="K49" s="26" t="str">
        <f>Sheet1!AZ49</f>
        <v>Yes</v>
      </c>
      <c r="L49" s="26" t="str">
        <f>Sheet1!BA49</f>
        <v>No</v>
      </c>
      <c r="M49" s="26" t="str">
        <f>Sheet1!BB49</f>
        <v>No</v>
      </c>
      <c r="N49" s="26">
        <f>Sheet1!BC49</f>
        <v>0</v>
      </c>
    </row>
    <row r="50">
      <c r="A50" s="25" t="str">
        <f>(Sheet1!A50)</f>
        <v>1MBxpc-2szFmqG3B_-ha57uL3XLkYoaeI5koRIOiedfw</v>
      </c>
      <c r="B50" s="25" t="str">
        <f>(Sheet1!B50)</f>
        <v>OLE MATHURA (BBW)</v>
      </c>
      <c r="C50" s="26">
        <f>'Balance Sheet'!$DX50</f>
        <v>0</v>
      </c>
      <c r="D50" s="26">
        <f>'Old Combined Balance Sheet'!A50 + 'Balance Sheet - FGI Insurance -'!CF50</f>
        <v>0</v>
      </c>
      <c r="E50" s="26">
        <f t="shared" si="1"/>
        <v>0</v>
      </c>
      <c r="F50" s="26" t="str">
        <f>Sheet1!N50</f>
        <v>Brij Biwheelers</v>
      </c>
      <c r="G50" s="26" t="str">
        <f>Sheet1!O50</f>
        <v>1ytBGcO8tIze81xKkAa9lWDcflthsPL6SuADAXbhmuwA</v>
      </c>
      <c r="H50" s="26" t="str">
        <f>Sheet1!AV50</f>
        <v/>
      </c>
      <c r="I50" s="26" t="str">
        <f>Sheet1!AW50</f>
        <v/>
      </c>
      <c r="J50" s="26" t="str">
        <f>Sheet1!P50</f>
        <v>Sub Dealer</v>
      </c>
      <c r="K50" s="26" t="str">
        <f>Sheet1!AZ50</f>
        <v>No</v>
      </c>
      <c r="L50" s="26" t="str">
        <f>Sheet1!BA50</f>
        <v>No</v>
      </c>
      <c r="M50" s="26" t="str">
        <f>Sheet1!BB50</f>
        <v>No</v>
      </c>
      <c r="N50" s="26">
        <f>Sheet1!BC50</f>
        <v>0</v>
      </c>
    </row>
    <row r="51">
      <c r="A51" s="25" t="str">
        <f>(Sheet1!A51)</f>
        <v>1QJxVLeWFwDHR5Ssq189MMPEhhDqC6Su0kxd8dVVMql0</v>
      </c>
      <c r="B51" s="25" t="str">
        <f>(Sheet1!B51)</f>
        <v>Sarman Lal Agrawal (JMC)</v>
      </c>
      <c r="C51" s="26">
        <f>'Balance Sheet'!$DX51</f>
        <v>0</v>
      </c>
      <c r="D51" s="26">
        <f>'Old Combined Balance Sheet'!A51 + 'Balance Sheet - FGI Insurance -'!CF51</f>
        <v>0</v>
      </c>
      <c r="E51" s="26">
        <f t="shared" si="1"/>
        <v>0</v>
      </c>
      <c r="F51" s="26" t="str">
        <f>Sheet1!N51</f>
        <v>Jain Motorcycle Company</v>
      </c>
      <c r="G51" s="26" t="str">
        <f>Sheet1!O51</f>
        <v>184Y3L-ZLT7vcLiFDItIcLa-18phpzEbgBCBDgt_LGCQ</v>
      </c>
      <c r="H51" s="26" t="str">
        <f>Sheet1!AV51</f>
        <v/>
      </c>
      <c r="I51" s="26" t="str">
        <f>Sheet1!AW51</f>
        <v/>
      </c>
      <c r="J51" s="26" t="str">
        <f>Sheet1!P51</f>
        <v>Sub Dealer</v>
      </c>
      <c r="K51" s="26" t="str">
        <f>Sheet1!AZ51</f>
        <v>Yes</v>
      </c>
      <c r="L51" s="26" t="str">
        <f>Sheet1!BA51</f>
        <v>No</v>
      </c>
      <c r="M51" s="26" t="str">
        <f>Sheet1!BB51</f>
        <v>No</v>
      </c>
      <c r="N51" s="26">
        <f>Sheet1!BC51</f>
        <v>0</v>
      </c>
    </row>
    <row r="52">
      <c r="A52" s="25" t="str">
        <f>(Sheet1!A52)</f>
        <v>1csqV0P6rAjfUqgWrDmILPq5QMP6GfGOsFVhZ25vdQsw</v>
      </c>
      <c r="B52" s="25" t="str">
        <f>(Sheet1!B52)</f>
        <v>Kiran TVS - Meerut</v>
      </c>
      <c r="C52" s="26">
        <f>'Balance Sheet'!$DX52</f>
        <v>0</v>
      </c>
      <c r="D52" s="26">
        <f>'Old Combined Balance Sheet'!A52 + 'Balance Sheet - FGI Insurance -'!CF52</f>
        <v>0</v>
      </c>
      <c r="E52" s="26">
        <f t="shared" si="1"/>
        <v>0</v>
      </c>
      <c r="F52" s="26" t="str">
        <f>Sheet1!N52</f>
        <v>Kiran TVS - Meerut</v>
      </c>
      <c r="G52" s="26" t="str">
        <f>Sheet1!O52</f>
        <v>1csqV0P6rAjfUqgWrDmILPq5QMP6GfGOsFVhZ25vdQsw</v>
      </c>
      <c r="H52" s="26" t="str">
        <f>Sheet1!AV52</f>
        <v/>
      </c>
      <c r="I52" s="26" t="str">
        <f>Sheet1!AW52</f>
        <v/>
      </c>
      <c r="J52" s="26" t="str">
        <f>Sheet1!P52</f>
        <v>Dealer</v>
      </c>
      <c r="K52" s="26" t="str">
        <f>Sheet1!AZ52</f>
        <v>No</v>
      </c>
      <c r="L52" s="26" t="str">
        <f>Sheet1!BA52</f>
        <v>No</v>
      </c>
      <c r="M52" s="26" t="str">
        <f>Sheet1!BB52</f>
        <v>No</v>
      </c>
      <c r="N52" s="26">
        <f>Sheet1!BC52</f>
        <v>0</v>
      </c>
    </row>
    <row r="53">
      <c r="A53" s="25" t="str">
        <f>(Sheet1!A53)</f>
        <v>1LiAiRR9BTHdMZEU0Z7g2BJlBE_7_a2qafAw9zkJ1c8U</v>
      </c>
      <c r="B53" s="25" t="str">
        <f>(Sheet1!B53)</f>
        <v>Namokar Honda - Meerut</v>
      </c>
      <c r="C53" s="26">
        <f>'Balance Sheet'!$DX53</f>
        <v>0.1</v>
      </c>
      <c r="D53" s="26">
        <f>'Old Combined Balance Sheet'!A53 + 'Balance Sheet - FGI Insurance -'!CF53</f>
        <v>0</v>
      </c>
      <c r="E53" s="26">
        <f t="shared" si="1"/>
        <v>0.1</v>
      </c>
      <c r="F53" s="26" t="str">
        <f>Sheet1!N53</f>
        <v>Namokar Honda - Meerut</v>
      </c>
      <c r="G53" s="26" t="str">
        <f>Sheet1!O53</f>
        <v>1LiAiRR9BTHdMZEU0Z7g2BJlBE_7_a2qafAw9zkJ1c8U</v>
      </c>
      <c r="H53" s="26" t="str">
        <f>Sheet1!AV53</f>
        <v/>
      </c>
      <c r="I53" s="26" t="str">
        <f>Sheet1!AW53</f>
        <v/>
      </c>
      <c r="J53" s="26" t="str">
        <f>Sheet1!P53</f>
        <v>Dealer</v>
      </c>
      <c r="K53" s="26" t="str">
        <f>Sheet1!AZ53</f>
        <v>No</v>
      </c>
      <c r="L53" s="26" t="str">
        <f>Sheet1!BA53</f>
        <v>No</v>
      </c>
      <c r="M53" s="26" t="str">
        <f>Sheet1!BB53</f>
        <v>No</v>
      </c>
      <c r="N53" s="26">
        <f>Sheet1!BC53</f>
        <v>0</v>
      </c>
    </row>
    <row r="54">
      <c r="A54" s="25" t="str">
        <f>(Sheet1!A54)</f>
        <v>11i_cNFE5Ehj2PGllhMsAFP46O_rn6I78xO4mvWr7hEo</v>
      </c>
      <c r="B54" s="25" t="str">
        <f>(Sheet1!B54)</f>
        <v>Shree Shiv Shakti Hero - Meerut</v>
      </c>
      <c r="C54" s="26">
        <f>'Balance Sheet'!$DX54</f>
        <v>-0.00000002048909664</v>
      </c>
      <c r="D54" s="26">
        <f>'Old Combined Balance Sheet'!A54 + 'Balance Sheet - FGI Insurance -'!CF54</f>
        <v>0</v>
      </c>
      <c r="E54" s="26">
        <f t="shared" si="1"/>
        <v>-0.00000002048909664</v>
      </c>
      <c r="F54" s="26" t="str">
        <f>Sheet1!N54</f>
        <v>Shree Shiv Shakti Hero - Meerut</v>
      </c>
      <c r="G54" s="26" t="str">
        <f>Sheet1!O54</f>
        <v>11i_cNFE5Ehj2PGllhMsAFP46O_rn6I78xO4mvWr7hEo</v>
      </c>
      <c r="H54" s="26" t="str">
        <f>Sheet1!AV54</f>
        <v/>
      </c>
      <c r="I54" s="26" t="str">
        <f>Sheet1!AW54</f>
        <v/>
      </c>
      <c r="J54" s="26" t="str">
        <f>Sheet1!P54</f>
        <v>Dealer</v>
      </c>
      <c r="K54" s="26" t="str">
        <f>Sheet1!AZ54</f>
        <v>No</v>
      </c>
      <c r="L54" s="26" t="str">
        <f>Sheet1!BA54</f>
        <v>No</v>
      </c>
      <c r="M54" s="26" t="str">
        <f>Sheet1!BB54</f>
        <v>No</v>
      </c>
      <c r="N54" s="26">
        <f>Sheet1!BC54</f>
        <v>0</v>
      </c>
    </row>
    <row r="55">
      <c r="A55" s="25" t="str">
        <f>(Sheet1!A55)</f>
        <v>1mX_ZCiMgVCd3AONQ2zBbbc9wQ6Mlj2RvmkSWdpWht-8</v>
      </c>
      <c r="B55" s="25" t="str">
        <f>(Sheet1!B55)</f>
        <v>Krishna Hero - Bulandshahr</v>
      </c>
      <c r="C55" s="26">
        <f>'Balance Sheet'!$DX55</f>
        <v>-92857.54</v>
      </c>
      <c r="D55" s="26">
        <f>'Old Combined Balance Sheet'!A55 + 'Balance Sheet - FGI Insurance -'!CF55</f>
        <v>0</v>
      </c>
      <c r="E55" s="26">
        <f t="shared" si="1"/>
        <v>-92857.54</v>
      </c>
      <c r="F55" s="26" t="str">
        <f>Sheet1!N55</f>
        <v>Krishna Hero - Bulandshahr</v>
      </c>
      <c r="G55" s="26" t="str">
        <f>Sheet1!O55</f>
        <v>1mX_ZCiMgVCd3AONQ2zBbbc9wQ6Mlj2RvmkSWdpWht-8</v>
      </c>
      <c r="H55" s="26" t="str">
        <f>Sheet1!AV55</f>
        <v/>
      </c>
      <c r="I55" s="26" t="str">
        <f>Sheet1!AW55</f>
        <v/>
      </c>
      <c r="J55" s="26" t="str">
        <f>Sheet1!P55</f>
        <v>Dealer</v>
      </c>
      <c r="K55" s="26" t="str">
        <f>Sheet1!AZ55</f>
        <v>Yes</v>
      </c>
      <c r="L55" s="26" t="str">
        <f>Sheet1!BA55</f>
        <v>No</v>
      </c>
      <c r="M55" s="26" t="str">
        <f>Sheet1!BB55</f>
        <v>No</v>
      </c>
      <c r="N55" s="26">
        <f>Sheet1!BC55</f>
        <v>0</v>
      </c>
    </row>
    <row r="56">
      <c r="A56" s="25" t="str">
        <f>(Sheet1!A56)</f>
        <v>1ecmgrivVWy8bdxOJUWTrTjFZtV6_I7l8EtXiRkAOpIg</v>
      </c>
      <c r="B56" s="25" t="str">
        <f>(Sheet1!B56)</f>
        <v>Pradip Auto (JMC)</v>
      </c>
      <c r="C56" s="26">
        <f>'Balance Sheet'!$DX56</f>
        <v>0</v>
      </c>
      <c r="D56" s="26">
        <f>'Old Combined Balance Sheet'!A56 + 'Balance Sheet - FGI Insurance -'!CF56</f>
        <v>0</v>
      </c>
      <c r="E56" s="26">
        <f t="shared" si="1"/>
        <v>0</v>
      </c>
      <c r="F56" s="26" t="str">
        <f>Sheet1!N56</f>
        <v>Jain Motorcycle Company</v>
      </c>
      <c r="G56" s="26" t="str">
        <f>Sheet1!O56</f>
        <v>184Y3L-ZLT7vcLiFDItIcLa-18phpzEbgBCBDgt_LGCQ</v>
      </c>
      <c r="H56" s="26" t="str">
        <f>Sheet1!AV56</f>
        <v/>
      </c>
      <c r="I56" s="26" t="str">
        <f>Sheet1!AW56</f>
        <v/>
      </c>
      <c r="J56" s="26" t="str">
        <f>Sheet1!P56</f>
        <v>Sub Dealer</v>
      </c>
      <c r="K56" s="26" t="str">
        <f>Sheet1!AZ56</f>
        <v>Yes</v>
      </c>
      <c r="L56" s="26" t="str">
        <f>Sheet1!BA56</f>
        <v>No</v>
      </c>
      <c r="M56" s="26" t="str">
        <f>Sheet1!BB56</f>
        <v>No</v>
      </c>
      <c r="N56" s="26">
        <f>Sheet1!BC56</f>
        <v>0</v>
      </c>
    </row>
    <row r="57">
      <c r="A57" s="25" t="str">
        <f>(Sheet1!A57)</f>
        <v>16aXNdb7stgyV46CI_ogqmp_5tjDYpkbvhkdKtyDUa8U</v>
      </c>
      <c r="B57" s="25" t="str">
        <f>(Sheet1!B57)</f>
        <v>VAW Atrauli (VAW)</v>
      </c>
      <c r="C57" s="26">
        <f>'Balance Sheet'!$DX57</f>
        <v>0</v>
      </c>
      <c r="D57" s="26">
        <f>'Old Combined Balance Sheet'!A57 + 'Balance Sheet - FGI Insurance -'!CF57</f>
        <v>0</v>
      </c>
      <c r="E57" s="26">
        <f t="shared" si="1"/>
        <v>0</v>
      </c>
      <c r="F57" s="26" t="str">
        <f>Sheet1!N57</f>
        <v>Vikas Autowheels</v>
      </c>
      <c r="G57" s="26" t="str">
        <f>Sheet1!O57</f>
        <v>1944RLX7T1M23YXRXYoMnJ6nD_bKLldQXRpFRA0rDLvg</v>
      </c>
      <c r="H57" s="26" t="str">
        <f>Sheet1!AV57</f>
        <v/>
      </c>
      <c r="I57" s="26" t="str">
        <f>Sheet1!AW57</f>
        <v/>
      </c>
      <c r="J57" s="26" t="str">
        <f>Sheet1!P57</f>
        <v>Sub Dealer</v>
      </c>
      <c r="K57" s="26" t="str">
        <f>Sheet1!AZ57</f>
        <v>Yes</v>
      </c>
      <c r="L57" s="26" t="str">
        <f>Sheet1!BA57</f>
        <v>No</v>
      </c>
      <c r="M57" s="26" t="str">
        <f>Sheet1!BB57</f>
        <v>No</v>
      </c>
      <c r="N57" s="26">
        <f>Sheet1!BC57</f>
        <v>0</v>
      </c>
    </row>
    <row r="58">
      <c r="A58" s="25" t="str">
        <f>(Sheet1!A58)</f>
        <v>1geel52z8WCTlGIS5yuTVHXXiwt6tFtcJPqsUJk3zExI</v>
      </c>
      <c r="B58" s="25" t="str">
        <f>(Sheet1!B58)</f>
        <v>Saanvi Hero - Dehradun</v>
      </c>
      <c r="C58" s="26">
        <f>'Balance Sheet'!$DX58</f>
        <v>0.389999999</v>
      </c>
      <c r="D58" s="26">
        <f>'Old Combined Balance Sheet'!A58 + 'Balance Sheet - FGI Insurance -'!CF58</f>
        <v>0</v>
      </c>
      <c r="E58" s="26">
        <f t="shared" si="1"/>
        <v>0.389999999</v>
      </c>
      <c r="F58" s="26" t="str">
        <f>Sheet1!N58</f>
        <v>Saanvi Hero - Dehradun</v>
      </c>
      <c r="G58" s="26" t="str">
        <f>Sheet1!O58</f>
        <v>1geel52z8WCTlGIS5yuTVHXXiwt6tFtcJPqsUJk3zExI</v>
      </c>
      <c r="H58" s="26" t="str">
        <f>Sheet1!AV58</f>
        <v/>
      </c>
      <c r="I58" s="26" t="str">
        <f>Sheet1!AW58</f>
        <v/>
      </c>
      <c r="J58" s="26" t="str">
        <f>Sheet1!P58</f>
        <v>Dealer</v>
      </c>
      <c r="K58" s="26" t="str">
        <f>Sheet1!AZ58</f>
        <v>No</v>
      </c>
      <c r="L58" s="26" t="str">
        <f>Sheet1!BA58</f>
        <v>No</v>
      </c>
      <c r="M58" s="26" t="str">
        <f>Sheet1!BB58</f>
        <v>No</v>
      </c>
      <c r="N58" s="26">
        <f>Sheet1!BC58</f>
        <v>0</v>
      </c>
    </row>
    <row r="59">
      <c r="A59" s="25" t="str">
        <f>(Sheet1!A59)</f>
        <v>1ZHGDvOVAJIc2OBgE48Z8YcdJsudhxavgOBsoHLuIwlA</v>
      </c>
      <c r="B59" s="25" t="str">
        <f>(Sheet1!B59)</f>
        <v>AAA2</v>
      </c>
      <c r="C59" s="26">
        <f>'Balance Sheet'!$DX59</f>
        <v>0</v>
      </c>
      <c r="D59" s="26">
        <f>'Old Combined Balance Sheet'!A59 + 'Balance Sheet - FGI Insurance -'!CF59</f>
        <v>0</v>
      </c>
      <c r="E59" s="26">
        <f t="shared" si="1"/>
        <v>0</v>
      </c>
      <c r="F59" s="26" t="str">
        <f>Sheet1!N59</f>
        <v>AAA</v>
      </c>
      <c r="G59" s="26" t="str">
        <f>Sheet1!O59</f>
        <v>1AjVyIHPgPw3jscNmkTH1qzR2RokK5FZaJLjeNfOiYAA</v>
      </c>
      <c r="H59" s="26" t="str">
        <f>Sheet1!AV59</f>
        <v/>
      </c>
      <c r="I59" s="26" t="str">
        <f>Sheet1!AW59</f>
        <v/>
      </c>
      <c r="J59" s="26" t="str">
        <f>Sheet1!P59</f>
        <v>Sub Dealer</v>
      </c>
      <c r="K59" s="26" t="str">
        <f>Sheet1!AZ59</f>
        <v>No</v>
      </c>
      <c r="L59" s="26" t="str">
        <f>Sheet1!BA59</f>
        <v>No</v>
      </c>
      <c r="M59" s="26" t="str">
        <f>Sheet1!BB59</f>
        <v>No</v>
      </c>
      <c r="N59" s="26">
        <f>Sheet1!BC59</f>
        <v>0</v>
      </c>
    </row>
    <row r="60">
      <c r="A60" s="25" t="str">
        <f>(Sheet1!A60)</f>
        <v>1U9bRcPYtMNqh59ZIlDmozxitTaIZXHOWv4l1PG1zN_U</v>
      </c>
      <c r="B60" s="25" t="str">
        <f>(Sheet1!B60)</f>
        <v>Shakun Motors (MAW)</v>
      </c>
      <c r="C60" s="26">
        <f>'Balance Sheet'!$DX60</f>
        <v>0</v>
      </c>
      <c r="D60" s="26">
        <f>'Old Combined Balance Sheet'!A60 + 'Balance Sheet - FGI Insurance -'!CF60</f>
        <v>0</v>
      </c>
      <c r="E60" s="26">
        <f t="shared" si="1"/>
        <v>0</v>
      </c>
      <c r="F60" s="26" t="str">
        <f>Sheet1!N60</f>
        <v>Maharaja Autoworld</v>
      </c>
      <c r="G60" s="26" t="str">
        <f>Sheet1!O60</f>
        <v>1mkGLSaVL5-IAXKq9KqXFgJH64Li9oMA9V0u_seCn1jg</v>
      </c>
      <c r="H60" s="26" t="str">
        <f>Sheet1!AV60</f>
        <v/>
      </c>
      <c r="I60" s="26" t="str">
        <f>Sheet1!AW60</f>
        <v/>
      </c>
      <c r="J60" s="26" t="str">
        <f>Sheet1!P60</f>
        <v>Sub Dealer</v>
      </c>
      <c r="K60" s="26" t="str">
        <f>Sheet1!AZ60</f>
        <v>No</v>
      </c>
      <c r="L60" s="26" t="str">
        <f>Sheet1!BA60</f>
        <v>No</v>
      </c>
      <c r="M60" s="26" t="str">
        <f>Sheet1!BB60</f>
        <v>No</v>
      </c>
      <c r="N60" s="26">
        <f>Sheet1!BC60</f>
        <v>0</v>
      </c>
    </row>
    <row r="61">
      <c r="A61" s="25" t="str">
        <f>(Sheet1!A61)</f>
        <v>1A6lNt4Snbf2zCmcVnV2gegTZ60jgsKSMfqe-lbk0irU</v>
      </c>
      <c r="B61" s="25" t="str">
        <f>(Sheet1!B61)</f>
        <v>Mahadev Automobiles (SBH)</v>
      </c>
      <c r="C61" s="26">
        <f>'Balance Sheet'!$DX61</f>
        <v>0</v>
      </c>
      <c r="D61" s="26">
        <f>'Old Combined Balance Sheet'!A61 + 'Balance Sheet - FGI Insurance -'!CF61</f>
        <v>0</v>
      </c>
      <c r="E61" s="26">
        <f t="shared" si="1"/>
        <v>0</v>
      </c>
      <c r="F61" s="26" t="str">
        <f>Sheet1!N61</f>
        <v>Shri Balaji Hero - Muzaffarnagar</v>
      </c>
      <c r="G61" s="26" t="str">
        <f>Sheet1!O61</f>
        <v>1qJGCYN0EdS2nWGXVYAHwXqSjiLE2C95anQkkbLONbKQ</v>
      </c>
      <c r="H61" s="26" t="str">
        <f>Sheet1!AV61</f>
        <v/>
      </c>
      <c r="I61" s="26" t="str">
        <f>Sheet1!AW61</f>
        <v/>
      </c>
      <c r="J61" s="26" t="str">
        <f>Sheet1!P61</f>
        <v>Sub Dealer</v>
      </c>
      <c r="K61" s="26" t="str">
        <f>Sheet1!AZ61</f>
        <v>Yes</v>
      </c>
      <c r="L61" s="26" t="str">
        <f>Sheet1!BA61</f>
        <v>No</v>
      </c>
      <c r="M61" s="26" t="str">
        <f>Sheet1!BB61</f>
        <v>No</v>
      </c>
      <c r="N61" s="26">
        <f>Sheet1!BC61</f>
        <v>0</v>
      </c>
    </row>
    <row r="62">
      <c r="A62" s="25" t="str">
        <f>(Sheet1!A62)</f>
        <v>1eRW_MDmJeHGFDVrDu4lhY4sLKH3AbCEJuXm_MUC1mBk</v>
      </c>
      <c r="B62" s="25" t="str">
        <f>(Sheet1!B62)</f>
        <v>V K Auto Center (MAW)</v>
      </c>
      <c r="C62" s="26">
        <f>'Balance Sheet'!$DX62</f>
        <v>0</v>
      </c>
      <c r="D62" s="26">
        <f>'Old Combined Balance Sheet'!A62 + 'Balance Sheet - FGI Insurance -'!CF62</f>
        <v>0</v>
      </c>
      <c r="E62" s="26">
        <f t="shared" si="1"/>
        <v>0</v>
      </c>
      <c r="F62" s="26" t="str">
        <f>Sheet1!N62</f>
        <v>Maharaja Autoworld</v>
      </c>
      <c r="G62" s="26" t="str">
        <f>Sheet1!O62</f>
        <v>1mkGLSaVL5-IAXKq9KqXFgJH64Li9oMA9V0u_seCn1jg</v>
      </c>
      <c r="H62" s="26" t="str">
        <f>Sheet1!AV62</f>
        <v/>
      </c>
      <c r="I62" s="26" t="str">
        <f>Sheet1!AW62</f>
        <v/>
      </c>
      <c r="J62" s="26" t="str">
        <f>Sheet1!P62</f>
        <v>Sub Dealer</v>
      </c>
      <c r="K62" s="26" t="str">
        <f>Sheet1!AZ62</f>
        <v>No</v>
      </c>
      <c r="L62" s="26" t="str">
        <f>Sheet1!BA62</f>
        <v>No</v>
      </c>
      <c r="M62" s="26" t="str">
        <f>Sheet1!BB62</f>
        <v>No</v>
      </c>
      <c r="N62" s="26">
        <f>Sheet1!BC62</f>
        <v>0</v>
      </c>
    </row>
    <row r="63">
      <c r="A63" s="25" t="str">
        <f>(Sheet1!A63)</f>
        <v>10Boa663-jOP90LwqXAfooqmBUweTsg0kbbPLy7E8GaM</v>
      </c>
      <c r="B63" s="25" t="str">
        <f>(Sheet1!B63)</f>
        <v>Manvik Motor - TVS Faridabad</v>
      </c>
      <c r="C63" s="26">
        <f>'Balance Sheet'!$DX63</f>
        <v>-16451</v>
      </c>
      <c r="D63" s="26">
        <f>'Old Combined Balance Sheet'!A63 + 'Balance Sheet - FGI Insurance -'!CF63</f>
        <v>0</v>
      </c>
      <c r="E63" s="26">
        <f t="shared" si="1"/>
        <v>-16451</v>
      </c>
      <c r="F63" s="26" t="str">
        <f>Sheet1!N63</f>
        <v>Manvik Motor - TVS Faridabad</v>
      </c>
      <c r="G63" s="26" t="str">
        <f>Sheet1!O63</f>
        <v>10Boa663-jOP90LwqXAfooqmBUweTsg0kbbPLy7E8GaM</v>
      </c>
      <c r="H63" s="26" t="str">
        <f>Sheet1!AV63</f>
        <v/>
      </c>
      <c r="I63" s="26" t="str">
        <f>Sheet1!AW63</f>
        <v/>
      </c>
      <c r="J63" s="26" t="str">
        <f>Sheet1!P63</f>
        <v>Dealer</v>
      </c>
      <c r="K63" s="26" t="str">
        <f>Sheet1!AZ63</f>
        <v>No</v>
      </c>
      <c r="L63" s="26" t="str">
        <f>Sheet1!BA63</f>
        <v>No</v>
      </c>
      <c r="M63" s="26" t="str">
        <f>Sheet1!BB63</f>
        <v>No</v>
      </c>
      <c r="N63" s="26">
        <f>Sheet1!BC63</f>
        <v>0</v>
      </c>
    </row>
    <row r="64">
      <c r="A64" s="25" t="str">
        <f>(Sheet1!A64)</f>
        <v>1RXGf0MnZWZO90gEU-wJzAFw-CxPPIv2RLUwr1sE1N44</v>
      </c>
      <c r="B64" s="25" t="str">
        <f>(Sheet1!B64)</f>
        <v>Gopi Auto World - Ahemdabad</v>
      </c>
      <c r="C64" s="26">
        <f>'Balance Sheet'!$DX64</f>
        <v>187.12</v>
      </c>
      <c r="D64" s="26">
        <f>'Old Combined Balance Sheet'!A64 + 'Balance Sheet - FGI Insurance -'!CF64</f>
        <v>0</v>
      </c>
      <c r="E64" s="26">
        <f t="shared" si="1"/>
        <v>187.12</v>
      </c>
      <c r="F64" s="26" t="str">
        <f>Sheet1!N64</f>
        <v>Gopi Auto World - Ahemdabad</v>
      </c>
      <c r="G64" s="26" t="str">
        <f>Sheet1!O64</f>
        <v>1RXGf0MnZWZO90gEU-wJzAFw-CxPPIv2RLUwr1sE1N44</v>
      </c>
      <c r="H64" s="26" t="str">
        <f>Sheet1!AV64</f>
        <v/>
      </c>
      <c r="I64" s="26" t="str">
        <f>Sheet1!AW64</f>
        <v/>
      </c>
      <c r="J64" s="26" t="str">
        <f>Sheet1!P64</f>
        <v>Dealer</v>
      </c>
      <c r="K64" s="26" t="str">
        <f>Sheet1!AZ64</f>
        <v>No</v>
      </c>
      <c r="L64" s="26" t="str">
        <f>Sheet1!BA64</f>
        <v>No</v>
      </c>
      <c r="M64" s="26" t="str">
        <f>Sheet1!BB64</f>
        <v>No</v>
      </c>
      <c r="N64" s="26">
        <f>Sheet1!BC64</f>
        <v>0</v>
      </c>
    </row>
    <row r="65">
      <c r="A65" s="25" t="str">
        <f>(Sheet1!A65)</f>
        <v>1o-kgAGYwJQGPJwLj0hYgwKABboMbPKDLAWI9iRmz2LU</v>
      </c>
      <c r="B65" s="25" t="str">
        <f>(Sheet1!B65)</f>
        <v>Dhruv Hero - Ambala</v>
      </c>
      <c r="C65" s="26">
        <f>'Balance Sheet'!$DX65</f>
        <v>0</v>
      </c>
      <c r="D65" s="26">
        <f>'Old Combined Balance Sheet'!A65 + 'Balance Sheet - FGI Insurance -'!CF65</f>
        <v>0</v>
      </c>
      <c r="E65" s="26">
        <f t="shared" si="1"/>
        <v>0</v>
      </c>
      <c r="F65" s="26" t="str">
        <f>Sheet1!N65</f>
        <v>Dhruv Hero - Ambala</v>
      </c>
      <c r="G65" s="26" t="str">
        <f>Sheet1!O65</f>
        <v>1o-kgAGYwJQGPJwLj0hYgwKABboMbPKDLAWI9iRmz2LU</v>
      </c>
      <c r="H65" s="26" t="str">
        <f>Sheet1!AV65</f>
        <v/>
      </c>
      <c r="I65" s="26" t="str">
        <f>Sheet1!AW65</f>
        <v/>
      </c>
      <c r="J65" s="26" t="str">
        <f>Sheet1!P65</f>
        <v>Dealer</v>
      </c>
      <c r="K65" s="26" t="str">
        <f>Sheet1!AZ65</f>
        <v>No</v>
      </c>
      <c r="L65" s="26" t="str">
        <f>Sheet1!BA65</f>
        <v>No</v>
      </c>
      <c r="M65" s="26" t="str">
        <f>Sheet1!BB65</f>
        <v>No</v>
      </c>
      <c r="N65" s="26">
        <f>Sheet1!BC65</f>
        <v>0</v>
      </c>
    </row>
    <row r="66">
      <c r="A66" s="25" t="str">
        <f>(Sheet1!A66)</f>
        <v>1brEaJJIr9CUuMyBbZl1_6v1V659tqpHO6omaGzj0JnM</v>
      </c>
      <c r="B66" s="25" t="str">
        <f>(Sheet1!B66)</f>
        <v>Mahi Motors (KMB)</v>
      </c>
      <c r="C66" s="26">
        <f>'Balance Sheet'!$DX66</f>
        <v>0</v>
      </c>
      <c r="D66" s="26">
        <f>'Old Combined Balance Sheet'!A66 + 'Balance Sheet - FGI Insurance -'!CF66</f>
        <v>0</v>
      </c>
      <c r="E66" s="26">
        <f t="shared" si="1"/>
        <v>0</v>
      </c>
      <c r="F66" s="26" t="str">
        <f>Sheet1!N66</f>
        <v>Kavita Motors - Bijnor</v>
      </c>
      <c r="G66" s="26" t="str">
        <f>Sheet1!O66</f>
        <v>1p3Bu4mvhlVeVMP3Ogpf0F-2KWPlAp07JNr-X652uW0U</v>
      </c>
      <c r="H66" s="26" t="str">
        <f>Sheet1!AV66</f>
        <v/>
      </c>
      <c r="I66" s="26" t="str">
        <f>Sheet1!AW66</f>
        <v/>
      </c>
      <c r="J66" s="26" t="str">
        <f>Sheet1!P66</f>
        <v>Sub Dealer</v>
      </c>
      <c r="K66" s="26" t="str">
        <f>Sheet1!AZ66</f>
        <v>No</v>
      </c>
      <c r="L66" s="26" t="str">
        <f>Sheet1!BA66</f>
        <v>No</v>
      </c>
      <c r="M66" s="26" t="str">
        <f>Sheet1!BB66</f>
        <v>No</v>
      </c>
      <c r="N66" s="26">
        <f>Sheet1!BC66</f>
        <v>0</v>
      </c>
    </row>
    <row r="67">
      <c r="A67" s="25" t="str">
        <f>(Sheet1!A67)</f>
        <v>1DS5NtcGph94jJUNKazFINpAqRSIEGCBtibwVxAM7-qM</v>
      </c>
      <c r="B67" s="25" t="str">
        <f>(Sheet1!B67)</f>
        <v>NV Automobiles - TVS Mathura</v>
      </c>
      <c r="C67" s="26">
        <f>'Balance Sheet'!$DX67</f>
        <v>0</v>
      </c>
      <c r="D67" s="26">
        <f>'Old Combined Balance Sheet'!A67 + 'Balance Sheet - FGI Insurance -'!CF67</f>
        <v>0</v>
      </c>
      <c r="E67" s="26">
        <f t="shared" si="1"/>
        <v>0</v>
      </c>
      <c r="F67" s="26" t="str">
        <f>Sheet1!N67</f>
        <v>NV Automobiles - TVS Mathura</v>
      </c>
      <c r="G67" s="26" t="str">
        <f>Sheet1!O67</f>
        <v>1DS5NtcGph94jJUNKazFINpAqRSIEGCBtibwVxAM7-qM</v>
      </c>
      <c r="H67" s="26" t="str">
        <f>Sheet1!AV67</f>
        <v/>
      </c>
      <c r="I67" s="26" t="str">
        <f>Sheet1!AW67</f>
        <v/>
      </c>
      <c r="J67" s="26" t="str">
        <f>Sheet1!P67</f>
        <v>Dealer</v>
      </c>
      <c r="K67" s="26" t="str">
        <f>Sheet1!AZ67</f>
        <v>No</v>
      </c>
      <c r="L67" s="26" t="str">
        <f>Sheet1!BA67</f>
        <v>No</v>
      </c>
      <c r="M67" s="26" t="str">
        <f>Sheet1!BB67</f>
        <v>No</v>
      </c>
      <c r="N67" s="26">
        <f>Sheet1!BC67</f>
        <v>0</v>
      </c>
    </row>
    <row r="68">
      <c r="A68" s="25" t="str">
        <f>(Sheet1!A68)</f>
        <v>1_xzpyB0amoYhYfY1WdkZ6GVcQiaJKzjQJfus2Cafu-I</v>
      </c>
      <c r="B68" s="25" t="str">
        <f>(Sheet1!B68)</f>
        <v>Saheb Hero - Sahibabad</v>
      </c>
      <c r="C68" s="26">
        <f>'Balance Sheet'!$DX68</f>
        <v>0</v>
      </c>
      <c r="D68" s="26">
        <f>'Old Combined Balance Sheet'!A68 + 'Balance Sheet - FGI Insurance -'!CF68</f>
        <v>0</v>
      </c>
      <c r="E68" s="26">
        <f t="shared" si="1"/>
        <v>0</v>
      </c>
      <c r="F68" s="26" t="str">
        <f>Sheet1!N68</f>
        <v>Saheb Hero - Sahibabad</v>
      </c>
      <c r="G68" s="26" t="str">
        <f>Sheet1!O68</f>
        <v>1_xzpyB0amoYhYfY1WdkZ6GVcQiaJKzjQJfus2Cafu-I</v>
      </c>
      <c r="H68" s="26" t="str">
        <f>Sheet1!AV68</f>
        <v/>
      </c>
      <c r="I68" s="26" t="str">
        <f>Sheet1!AW68</f>
        <v/>
      </c>
      <c r="J68" s="26" t="str">
        <f>Sheet1!P68</f>
        <v>Dealer</v>
      </c>
      <c r="K68" s="26" t="str">
        <f>Sheet1!AZ68</f>
        <v>No</v>
      </c>
      <c r="L68" s="26" t="str">
        <f>Sheet1!BA68</f>
        <v>No</v>
      </c>
      <c r="M68" s="26" t="str">
        <f>Sheet1!BB68</f>
        <v>No</v>
      </c>
      <c r="N68" s="26">
        <f>Sheet1!BC68</f>
        <v>0</v>
      </c>
    </row>
    <row r="69">
      <c r="A69" s="25" t="str">
        <f>(Sheet1!A69)</f>
        <v>1ek5ZSLYEG8WzBo8pYbS1V3846hx1xCXCDzzgtbytVUQ</v>
      </c>
      <c r="B69" s="25" t="str">
        <f>(Sheet1!B69)</f>
        <v>MAA JAGDAMBA AUTOS VAW- GANGIRI</v>
      </c>
      <c r="C69" s="26">
        <f>'Balance Sheet'!$DX69</f>
        <v>0</v>
      </c>
      <c r="D69" s="26">
        <f>'Old Combined Balance Sheet'!A69 + 'Balance Sheet - FGI Insurance -'!CF69</f>
        <v>0</v>
      </c>
      <c r="E69" s="26">
        <f t="shared" si="1"/>
        <v>0</v>
      </c>
      <c r="F69" s="26" t="str">
        <f>Sheet1!N69</f>
        <v>Vikas Autowheels</v>
      </c>
      <c r="G69" s="26" t="str">
        <f>Sheet1!O69</f>
        <v>1944RLX7T1M23YXRXYoMnJ6nD_bKLldQXRpFRA0rDLvg</v>
      </c>
      <c r="H69" s="26" t="str">
        <f>Sheet1!AV69</f>
        <v/>
      </c>
      <c r="I69" s="26" t="str">
        <f>Sheet1!AW69</f>
        <v/>
      </c>
      <c r="J69" s="26" t="str">
        <f>Sheet1!P69</f>
        <v>Sub Dealer</v>
      </c>
      <c r="K69" s="26" t="str">
        <f>Sheet1!AZ69</f>
        <v>Yes</v>
      </c>
      <c r="L69" s="26" t="str">
        <f>Sheet1!BA69</f>
        <v>No</v>
      </c>
      <c r="M69" s="26" t="str">
        <f>Sheet1!BB69</f>
        <v>No</v>
      </c>
      <c r="N69" s="26">
        <f>Sheet1!BC69</f>
        <v>0</v>
      </c>
    </row>
    <row r="70">
      <c r="A70" s="25" t="str">
        <f>(Sheet1!A70)</f>
        <v>1IXY2NfdDO9vHV01RX_OjMzkaXNv8-PJpgaemIeYfL2M</v>
      </c>
      <c r="B70" s="25" t="str">
        <f>(Sheet1!B70)</f>
        <v>VAW - Beswan</v>
      </c>
      <c r="C70" s="26">
        <f>'Balance Sheet'!$DX70</f>
        <v>0</v>
      </c>
      <c r="D70" s="26">
        <f>'Old Combined Balance Sheet'!A70 + 'Balance Sheet - FGI Insurance -'!CF70</f>
        <v>0</v>
      </c>
      <c r="E70" s="26">
        <f t="shared" si="1"/>
        <v>0</v>
      </c>
      <c r="F70" s="26" t="str">
        <f>Sheet1!N70</f>
        <v>Vikas Autowheels</v>
      </c>
      <c r="G70" s="26" t="str">
        <f>Sheet1!O70</f>
        <v>1944RLX7T1M23YXRXYoMnJ6nD_bKLldQXRpFRA0rDLvg</v>
      </c>
      <c r="H70" s="26" t="str">
        <f>Sheet1!AV70</f>
        <v/>
      </c>
      <c r="I70" s="26" t="str">
        <f>Sheet1!AW70</f>
        <v/>
      </c>
      <c r="J70" s="26" t="str">
        <f>Sheet1!P70</f>
        <v>Sub Dealer</v>
      </c>
      <c r="K70" s="26" t="str">
        <f>Sheet1!AZ70</f>
        <v>Yes</v>
      </c>
      <c r="L70" s="26" t="str">
        <f>Sheet1!BA70</f>
        <v>No</v>
      </c>
      <c r="M70" s="26" t="str">
        <f>Sheet1!BB70</f>
        <v>No</v>
      </c>
      <c r="N70" s="26">
        <f>Sheet1!BC70</f>
        <v>0</v>
      </c>
    </row>
    <row r="71">
      <c r="A71" s="25" t="str">
        <f>(Sheet1!A71)</f>
        <v>1fuov6VFDdW_GQYt6JqaxRJIc_DBrPxXJBPo_jAzr9aE</v>
      </c>
      <c r="B71" s="25" t="str">
        <f>(Sheet1!B71)</f>
        <v>AutoDeals Hero - Narnaul</v>
      </c>
      <c r="C71" s="26">
        <f>'Balance Sheet'!$DX71</f>
        <v>1334</v>
      </c>
      <c r="D71" s="26">
        <f>'Old Combined Balance Sheet'!A71 + 'Balance Sheet - FGI Insurance -'!CF71</f>
        <v>0</v>
      </c>
      <c r="E71" s="26">
        <f t="shared" si="1"/>
        <v>1334</v>
      </c>
      <c r="F71" s="26" t="str">
        <f>Sheet1!N71</f>
        <v>AutoDeals Hero - Narnaul</v>
      </c>
      <c r="G71" s="26" t="str">
        <f>Sheet1!O71</f>
        <v>1fuov6VFDdW_GQYt6JqaxRJIc_DBrPxXJBPo_jAzr9aE</v>
      </c>
      <c r="H71" s="26" t="str">
        <f>Sheet1!AV71</f>
        <v/>
      </c>
      <c r="I71" s="26" t="str">
        <f>Sheet1!AW71</f>
        <v/>
      </c>
      <c r="J71" s="26" t="str">
        <f>Sheet1!P71</f>
        <v>Dealer</v>
      </c>
      <c r="K71" s="26" t="str">
        <f>Sheet1!AZ71</f>
        <v>No</v>
      </c>
      <c r="L71" s="26" t="str">
        <f>Sheet1!BA71</f>
        <v>No</v>
      </c>
      <c r="M71" s="26" t="str">
        <f>Sheet1!BB71</f>
        <v>No</v>
      </c>
      <c r="N71" s="26">
        <f>Sheet1!BC71</f>
        <v>0</v>
      </c>
    </row>
    <row r="72">
      <c r="A72" s="25" t="str">
        <f>(Sheet1!A72)</f>
        <v>1nVez-s51qjTfP2ibHDiiELEFanG-2ZCG66Y-ueax5G4</v>
      </c>
      <c r="B72" s="25" t="str">
        <f>(Sheet1!B72)</f>
        <v>Virendra Automobile - Rewari</v>
      </c>
      <c r="C72" s="26">
        <f>'Balance Sheet'!$DX72</f>
        <v>0</v>
      </c>
      <c r="D72" s="26">
        <f>'Old Combined Balance Sheet'!A72 + 'Balance Sheet - FGI Insurance -'!CF72</f>
        <v>0</v>
      </c>
      <c r="E72" s="26">
        <f t="shared" si="1"/>
        <v>0</v>
      </c>
      <c r="F72" s="26" t="str">
        <f>Sheet1!N72</f>
        <v>Virendra Automobile - Rewari</v>
      </c>
      <c r="G72" s="26" t="str">
        <f>Sheet1!O72</f>
        <v>1nVez-s51qjTfP2ibHDiiELEFanG-2ZCG66Y-ueax5G4</v>
      </c>
      <c r="H72" s="26" t="str">
        <f>Sheet1!AV72</f>
        <v/>
      </c>
      <c r="I72" s="26" t="str">
        <f>Sheet1!AW72</f>
        <v/>
      </c>
      <c r="J72" s="26" t="str">
        <f>Sheet1!P72</f>
        <v>Dealer</v>
      </c>
      <c r="K72" s="26" t="str">
        <f>Sheet1!AZ72</f>
        <v>No</v>
      </c>
      <c r="L72" s="26" t="str">
        <f>Sheet1!BA72</f>
        <v>No</v>
      </c>
      <c r="M72" s="26" t="str">
        <f>Sheet1!BB72</f>
        <v>No</v>
      </c>
      <c r="N72" s="26">
        <f>Sheet1!BC72</f>
        <v>0</v>
      </c>
    </row>
    <row r="73">
      <c r="A73" s="25" t="str">
        <f>(Sheet1!A73)</f>
        <v>1Hj8E2ES-ce_eurfq39LWslS96OwPRrBIoxBx48204Vk</v>
      </c>
      <c r="B73" s="25" t="str">
        <f>(Sheet1!B73)</f>
        <v>Jasodha Hero - Gurgaon</v>
      </c>
      <c r="C73" s="26">
        <f>'Balance Sheet'!$DX73</f>
        <v>0</v>
      </c>
      <c r="D73" s="26">
        <f>'Old Combined Balance Sheet'!A73 + 'Balance Sheet - FGI Insurance -'!CF73</f>
        <v>0</v>
      </c>
      <c r="E73" s="26">
        <f t="shared" si="1"/>
        <v>0</v>
      </c>
      <c r="F73" s="26" t="str">
        <f>Sheet1!N73</f>
        <v>Jasodha Hero - Gurgaon</v>
      </c>
      <c r="G73" s="26" t="str">
        <f>Sheet1!O73</f>
        <v>1Hj8E2ES-ce_eurfq39LWslS96OwPRrBIoxBx48204Vk</v>
      </c>
      <c r="H73" s="26" t="str">
        <f>Sheet1!AV73</f>
        <v/>
      </c>
      <c r="I73" s="26" t="str">
        <f>Sheet1!AW73</f>
        <v/>
      </c>
      <c r="J73" s="26" t="str">
        <f>Sheet1!P73</f>
        <v>Dealer</v>
      </c>
      <c r="K73" s="26" t="str">
        <f>Sheet1!AZ73</f>
        <v>No</v>
      </c>
      <c r="L73" s="26" t="str">
        <f>Sheet1!BA73</f>
        <v>No</v>
      </c>
      <c r="M73" s="26" t="str">
        <f>Sheet1!BB73</f>
        <v>No</v>
      </c>
      <c r="N73" s="26">
        <f>Sheet1!BC73</f>
        <v>0</v>
      </c>
    </row>
    <row r="74">
      <c r="A74" s="25" t="str">
        <f>(Sheet1!A74)</f>
        <v>1BJ0lIBkIWL2G8UcRM-WzcxFubQ2MW_l4KTFXv6wfKiU</v>
      </c>
      <c r="B74" s="25" t="str">
        <f>(Sheet1!B74)</f>
        <v>Jattari VAW - Hero</v>
      </c>
      <c r="C74" s="26">
        <f>'Balance Sheet'!$DX74</f>
        <v>0</v>
      </c>
      <c r="D74" s="26">
        <f>'Old Combined Balance Sheet'!A74 + 'Balance Sheet - FGI Insurance -'!CF74</f>
        <v>0</v>
      </c>
      <c r="E74" s="26">
        <f t="shared" si="1"/>
        <v>0</v>
      </c>
      <c r="F74" s="26" t="str">
        <f>Sheet1!N74</f>
        <v>Vikas Autowheels</v>
      </c>
      <c r="G74" s="26" t="str">
        <f>Sheet1!O74</f>
        <v>1944RLX7T1M23YXRXYoMnJ6nD_bKLldQXRpFRA0rDLvg</v>
      </c>
      <c r="H74" s="26" t="str">
        <f>Sheet1!AV74</f>
        <v/>
      </c>
      <c r="I74" s="26" t="str">
        <f>Sheet1!AW74</f>
        <v/>
      </c>
      <c r="J74" s="26" t="str">
        <f>Sheet1!P74</f>
        <v>Sub Dealer</v>
      </c>
      <c r="K74" s="26" t="str">
        <f>Sheet1!AZ74</f>
        <v>Yes</v>
      </c>
      <c r="L74" s="26" t="str">
        <f>Sheet1!BA74</f>
        <v>No</v>
      </c>
      <c r="M74" s="26" t="str">
        <f>Sheet1!BB74</f>
        <v>No</v>
      </c>
      <c r="N74" s="26">
        <f>Sheet1!BC74</f>
        <v>0</v>
      </c>
    </row>
    <row r="75">
      <c r="A75" s="25" t="str">
        <f>(Sheet1!A75)</f>
        <v>1D1RDdqE2mkZVvfOLgpQ-u1EshCLZ1JGUYX0wKpQg268</v>
      </c>
      <c r="B75" s="25" t="str">
        <f>(Sheet1!B75)</f>
        <v>HLB Motors TVS - Meerut</v>
      </c>
      <c r="C75" s="26">
        <f>'Balance Sheet'!$DX75</f>
        <v>1969.54</v>
      </c>
      <c r="D75" s="26">
        <f>'Old Combined Balance Sheet'!A75 + 'Balance Sheet - FGI Insurance -'!CF75</f>
        <v>0</v>
      </c>
      <c r="E75" s="26">
        <f t="shared" si="1"/>
        <v>1969.54</v>
      </c>
      <c r="F75" s="26" t="str">
        <f>Sheet1!N75</f>
        <v>HLB Motors TVS - Meerut</v>
      </c>
      <c r="G75" s="26" t="str">
        <f>Sheet1!O75</f>
        <v>1D1RDdqE2mkZVvfOLgpQ-u1EshCLZ1JGUYX0wKpQg268</v>
      </c>
      <c r="H75" s="26" t="str">
        <f>Sheet1!AV75</f>
        <v/>
      </c>
      <c r="I75" s="26" t="str">
        <f>Sheet1!AW75</f>
        <v/>
      </c>
      <c r="J75" s="26" t="str">
        <f>Sheet1!P75</f>
        <v>Dealer</v>
      </c>
      <c r="K75" s="26" t="str">
        <f>Sheet1!AZ75</f>
        <v>No</v>
      </c>
      <c r="L75" s="26" t="str">
        <f>Sheet1!BA75</f>
        <v>No</v>
      </c>
      <c r="M75" s="26" t="str">
        <f>Sheet1!BB75</f>
        <v>No</v>
      </c>
      <c r="N75" s="26">
        <f>Sheet1!BC75</f>
        <v>0</v>
      </c>
    </row>
    <row r="76">
      <c r="A76" s="25" t="str">
        <f>(Sheet1!A76)</f>
        <v>1ILnccgV7ri-O_RSwKJB1lo_gnaD6qL7mq_rwEC50RFA</v>
      </c>
      <c r="B76" s="25" t="str">
        <f>(Sheet1!B76)</f>
        <v>SUNIL MOTORS</v>
      </c>
      <c r="C76" s="26">
        <f>'Balance Sheet'!$DX76</f>
        <v>0</v>
      </c>
      <c r="D76" s="26">
        <f>'Old Combined Balance Sheet'!A76 + 'Balance Sheet - FGI Insurance -'!CF76</f>
        <v>0</v>
      </c>
      <c r="E76" s="26">
        <f t="shared" si="1"/>
        <v>0</v>
      </c>
      <c r="F76" s="26" t="str">
        <f>Sheet1!N76</f>
        <v>SUNIL MOTORS</v>
      </c>
      <c r="G76" s="26" t="str">
        <f>Sheet1!O76</f>
        <v>1ILnccgV7ri-O_RSwKJB1lo_gnaD6qL7mq_rwEC50RFA</v>
      </c>
      <c r="H76" s="26" t="str">
        <f>Sheet1!AV76</f>
        <v/>
      </c>
      <c r="I76" s="26" t="str">
        <f>Sheet1!AW76</f>
        <v/>
      </c>
      <c r="J76" s="26" t="str">
        <f>Sheet1!P76</f>
        <v>Dealer</v>
      </c>
      <c r="K76" s="26" t="str">
        <f>Sheet1!AZ76</f>
        <v>No</v>
      </c>
      <c r="L76" s="26" t="str">
        <f>Sheet1!BA76</f>
        <v>No</v>
      </c>
      <c r="M76" s="26" t="str">
        <f>Sheet1!BB76</f>
        <v>No</v>
      </c>
      <c r="N76" s="26">
        <f>Sheet1!BC76</f>
        <v>0</v>
      </c>
    </row>
    <row r="77">
      <c r="A77" s="25" t="str">
        <f>(Sheet1!A77)</f>
        <v>1fjdj_DWneQ6p5FeCIXPzszsySoRSx2_LgStCjca5XsY</v>
      </c>
      <c r="B77" s="25" t="str">
        <f>(Sheet1!B77)</f>
        <v>Jaya Automobiles - Bhiwani</v>
      </c>
      <c r="C77" s="26">
        <f>'Balance Sheet'!$DX77</f>
        <v>0</v>
      </c>
      <c r="D77" s="26">
        <f>'Old Combined Balance Sheet'!A77 + 'Balance Sheet - FGI Insurance -'!CF77</f>
        <v>0</v>
      </c>
      <c r="E77" s="26">
        <f t="shared" si="1"/>
        <v>0</v>
      </c>
      <c r="F77" s="26" t="str">
        <f>Sheet1!N77</f>
        <v>Jaya Automobiles - Bhiwani</v>
      </c>
      <c r="G77" s="26" t="str">
        <f>Sheet1!O77</f>
        <v>1fjdj_DWneQ6p5FeCIXPzszsySoRSx2_LgStCjca5XsY</v>
      </c>
      <c r="H77" s="26" t="str">
        <f>Sheet1!AV77</f>
        <v/>
      </c>
      <c r="I77" s="26" t="str">
        <f>Sheet1!AW77</f>
        <v/>
      </c>
      <c r="J77" s="26" t="str">
        <f>Sheet1!P77</f>
        <v>Dealer</v>
      </c>
      <c r="K77" s="26" t="str">
        <f>Sheet1!AZ77</f>
        <v>No</v>
      </c>
      <c r="L77" s="26" t="str">
        <f>Sheet1!BA77</f>
        <v>No</v>
      </c>
      <c r="M77" s="26" t="str">
        <f>Sheet1!BB77</f>
        <v>No</v>
      </c>
      <c r="N77" s="26">
        <f>Sheet1!BC77</f>
        <v>0</v>
      </c>
    </row>
    <row r="78">
      <c r="A78" s="25" t="str">
        <f>(Sheet1!A78)</f>
        <v>17IQU0-K8aHZCBdscVJssP97WqFoWmGSZpvE9qk-0w_g</v>
      </c>
      <c r="B78" s="25" t="str">
        <f>(Sheet1!B78)</f>
        <v>Shree Shyam Bajaj - Bhiwani</v>
      </c>
      <c r="C78" s="26">
        <f>'Balance Sheet'!$DX78</f>
        <v>10</v>
      </c>
      <c r="D78" s="26">
        <f>'Old Combined Balance Sheet'!A78 + 'Balance Sheet - FGI Insurance -'!CF78</f>
        <v>0</v>
      </c>
      <c r="E78" s="26">
        <f t="shared" si="1"/>
        <v>10</v>
      </c>
      <c r="F78" s="26" t="str">
        <f>Sheet1!N78</f>
        <v>Shree Shyam Bajaj - Bhiwani</v>
      </c>
      <c r="G78" s="26" t="str">
        <f>Sheet1!O78</f>
        <v>17IQU0-K8aHZCBdscVJssP97WqFoWmGSZpvE9qk-0w_g</v>
      </c>
      <c r="H78" s="26" t="str">
        <f>Sheet1!AV78</f>
        <v/>
      </c>
      <c r="I78" s="26" t="str">
        <f>Sheet1!AW78</f>
        <v/>
      </c>
      <c r="J78" s="26" t="str">
        <f>Sheet1!P78</f>
        <v>Dealer</v>
      </c>
      <c r="K78" s="26" t="str">
        <f>Sheet1!AZ78</f>
        <v>No</v>
      </c>
      <c r="L78" s="26" t="str">
        <f>Sheet1!BA78</f>
        <v>No</v>
      </c>
      <c r="M78" s="26" t="str">
        <f>Sheet1!BB78</f>
        <v>No</v>
      </c>
      <c r="N78" s="26">
        <f>Sheet1!BC78</f>
        <v>0</v>
      </c>
    </row>
    <row r="79">
      <c r="A79" s="25" t="str">
        <f>(Sheet1!A79)</f>
        <v>1pI_tDns4A7jbcl0nEvEO_u0FclM2PyV1AT-2Q2Dx2Jo</v>
      </c>
      <c r="B79" s="25" t="str">
        <f>(Sheet1!B79)</f>
        <v>Chaudhary Automobiles - Hisar</v>
      </c>
      <c r="C79" s="26">
        <f>'Balance Sheet'!$DX79</f>
        <v>0</v>
      </c>
      <c r="D79" s="26">
        <f>'Old Combined Balance Sheet'!A79 + 'Balance Sheet - FGI Insurance -'!CF79</f>
        <v>0</v>
      </c>
      <c r="E79" s="26">
        <f t="shared" si="1"/>
        <v>0</v>
      </c>
      <c r="F79" s="26" t="str">
        <f>Sheet1!N79</f>
        <v>Chaudhary Automobiles - Hisar</v>
      </c>
      <c r="G79" s="26" t="str">
        <f>Sheet1!O79</f>
        <v>1pI_tDns4A7jbcl0nEvEO_u0FclM2PyV1AT-2Q2Dx2Jo</v>
      </c>
      <c r="H79" s="26" t="str">
        <f>Sheet1!AV79</f>
        <v/>
      </c>
      <c r="I79" s="26" t="str">
        <f>Sheet1!AW79</f>
        <v/>
      </c>
      <c r="J79" s="26" t="str">
        <f>Sheet1!P79</f>
        <v>Dealer</v>
      </c>
      <c r="K79" s="26" t="str">
        <f>Sheet1!AZ79</f>
        <v>No</v>
      </c>
      <c r="L79" s="26" t="str">
        <f>Sheet1!BA79</f>
        <v>No</v>
      </c>
      <c r="M79" s="26" t="str">
        <f>Sheet1!BB79</f>
        <v>No</v>
      </c>
      <c r="N79" s="26">
        <f>Sheet1!BC79</f>
        <v>0</v>
      </c>
    </row>
    <row r="80">
      <c r="A80" s="25" t="str">
        <f>(Sheet1!A80)</f>
        <v>1hR0JpXiceB7xWAHLNEwMyaE9wlUgF4ljP0RD80dtSd0</v>
      </c>
      <c r="B80" s="25" t="str">
        <f>(Sheet1!B80)</f>
        <v>Krishna Enterprise - Gohana</v>
      </c>
      <c r="C80" s="26">
        <f>'Balance Sheet'!$DX80</f>
        <v>0</v>
      </c>
      <c r="D80" s="26">
        <f>'Old Combined Balance Sheet'!A80 + 'Balance Sheet - FGI Insurance -'!CF80</f>
        <v>0</v>
      </c>
      <c r="E80" s="26">
        <f t="shared" si="1"/>
        <v>0</v>
      </c>
      <c r="F80" s="26" t="str">
        <f>Sheet1!N80</f>
        <v>Krishna Enterprise - Gohana</v>
      </c>
      <c r="G80" s="26" t="str">
        <f>Sheet1!O80</f>
        <v>1hR0JpXiceB7xWAHLNEwMyaE9wlUgF4ljP0RD80dtSd0</v>
      </c>
      <c r="H80" s="26" t="str">
        <f>Sheet1!AV80</f>
        <v/>
      </c>
      <c r="I80" s="26" t="str">
        <f>Sheet1!AW80</f>
        <v/>
      </c>
      <c r="J80" s="26" t="str">
        <f>Sheet1!P80</f>
        <v>Dealer</v>
      </c>
      <c r="K80" s="26" t="str">
        <f>Sheet1!AZ80</f>
        <v>No</v>
      </c>
      <c r="L80" s="26" t="str">
        <f>Sheet1!BA80</f>
        <v>No</v>
      </c>
      <c r="M80" s="26" t="str">
        <f>Sheet1!BB80</f>
        <v>No</v>
      </c>
      <c r="N80" s="26">
        <f>Sheet1!BC80</f>
        <v>0</v>
      </c>
    </row>
    <row r="81">
      <c r="A81" s="25" t="str">
        <f>(Sheet1!A81)</f>
        <v>1T--GiX2IFe0RYo58Hf-j_i7C4y0B-AEmeo-kncwUWcg</v>
      </c>
      <c r="B81" s="25" t="str">
        <f>(Sheet1!B81)</f>
        <v>Vikrant Automobiles (CAH)</v>
      </c>
      <c r="C81" s="26">
        <f>'Balance Sheet'!$DX81</f>
        <v>0</v>
      </c>
      <c r="D81" s="26">
        <f>'Old Combined Balance Sheet'!A81 + 'Balance Sheet - FGI Insurance -'!CF81</f>
        <v>0</v>
      </c>
      <c r="E81" s="26">
        <f t="shared" si="1"/>
        <v>0</v>
      </c>
      <c r="F81" s="26" t="str">
        <f>Sheet1!N81</f>
        <v>Chaudhary Automobiles - Hisar</v>
      </c>
      <c r="G81" s="26" t="str">
        <f>Sheet1!O81</f>
        <v>1pI_tDns4A7jbcl0nEvEO_u0FclM2PyV1AT-2Q2Dx2Jo</v>
      </c>
      <c r="H81" s="26" t="str">
        <f>Sheet1!AV81</f>
        <v/>
      </c>
      <c r="I81" s="26" t="str">
        <f>Sheet1!AW81</f>
        <v/>
      </c>
      <c r="J81" s="26" t="str">
        <f>Sheet1!P81</f>
        <v>Sub Dealer</v>
      </c>
      <c r="K81" s="26" t="str">
        <f>Sheet1!AZ81</f>
        <v>No</v>
      </c>
      <c r="L81" s="26" t="str">
        <f>Sheet1!BA81</f>
        <v>No</v>
      </c>
      <c r="M81" s="26" t="str">
        <f>Sheet1!BB81</f>
        <v>No</v>
      </c>
      <c r="N81" s="26">
        <f>Sheet1!BC81</f>
        <v>0</v>
      </c>
    </row>
    <row r="82">
      <c r="A82" s="25" t="str">
        <f>(Sheet1!A82)</f>
        <v>1te-rw28wyEruXSSOAJhw4UGEPXdsOYHDVLF_IaZTrdY</v>
      </c>
      <c r="B82" s="25" t="str">
        <f>(Sheet1!B82)</f>
        <v>Himanshu Automobile (KHG)</v>
      </c>
      <c r="C82" s="26">
        <f>'Balance Sheet'!$DX82</f>
        <v>0</v>
      </c>
      <c r="D82" s="26">
        <f>'Old Combined Balance Sheet'!A82 + 'Balance Sheet - FGI Insurance -'!CF82</f>
        <v>0</v>
      </c>
      <c r="E82" s="26">
        <f t="shared" si="1"/>
        <v>0</v>
      </c>
      <c r="F82" s="26" t="str">
        <f>Sheet1!N82</f>
        <v>Himanshu Automobile (KHG)</v>
      </c>
      <c r="G82" s="26" t="str">
        <f>Sheet1!O82</f>
        <v>1te-rw28wyEruXSSOAJhw4UGEPXdsOYHDVLF_IaZTrdY</v>
      </c>
      <c r="H82" s="26" t="str">
        <f>Sheet1!AV82</f>
        <v/>
      </c>
      <c r="I82" s="26" t="str">
        <f>Sheet1!AW82</f>
        <v/>
      </c>
      <c r="J82" s="26" t="str">
        <f>Sheet1!P82</f>
        <v>Dealer</v>
      </c>
      <c r="K82" s="26" t="str">
        <f>Sheet1!AZ82</f>
        <v>No</v>
      </c>
      <c r="L82" s="26" t="str">
        <f>Sheet1!BA82</f>
        <v>No</v>
      </c>
      <c r="M82" s="26" t="str">
        <f>Sheet1!BB82</f>
        <v>No</v>
      </c>
      <c r="N82" s="26">
        <f>Sheet1!BC82</f>
        <v>0</v>
      </c>
    </row>
    <row r="83">
      <c r="A83" s="25" t="str">
        <f>(Sheet1!A83)</f>
        <v>1YGpVDN0ELgWGDdcU8lnhIXzjT7NqPXsCaqGWqE3ma8o</v>
      </c>
      <c r="B83" s="25" t="str">
        <f>(Sheet1!B83)</f>
        <v>TR Motors - Kundali (KEG)</v>
      </c>
      <c r="C83" s="26">
        <f>'Balance Sheet'!$DX83</f>
        <v>0</v>
      </c>
      <c r="D83" s="26">
        <f>'Old Combined Balance Sheet'!A83 + 'Balance Sheet - FGI Insurance -'!CF83</f>
        <v>0</v>
      </c>
      <c r="E83" s="26">
        <f t="shared" si="1"/>
        <v>0</v>
      </c>
      <c r="F83" s="26" t="str">
        <f>Sheet1!N83</f>
        <v>Krishna Enterprise - Gohana</v>
      </c>
      <c r="G83" s="26" t="str">
        <f>Sheet1!O83</f>
        <v>1hR0JpXiceB7xWAHLNEwMyaE9wlUgF4ljP0RD80dtSd0</v>
      </c>
      <c r="H83" s="26" t="str">
        <f>Sheet1!AV83</f>
        <v/>
      </c>
      <c r="I83" s="26" t="str">
        <f>Sheet1!AW83</f>
        <v/>
      </c>
      <c r="J83" s="26" t="str">
        <f>Sheet1!P83</f>
        <v>Sub Dealer</v>
      </c>
      <c r="K83" s="26" t="str">
        <f>Sheet1!AZ83</f>
        <v>No</v>
      </c>
      <c r="L83" s="26" t="str">
        <f>Sheet1!BA83</f>
        <v>No</v>
      </c>
      <c r="M83" s="26" t="str">
        <f>Sheet1!BB83</f>
        <v>No</v>
      </c>
      <c r="N83" s="26">
        <f>Sheet1!BC83</f>
        <v>0</v>
      </c>
    </row>
    <row r="84">
      <c r="A84" s="25" t="str">
        <f>(Sheet1!A84)</f>
        <v>1th0hj2blk-gBbR7lpmA16YsAj_ttAS2Hct4wjY5lY2o</v>
      </c>
      <c r="B84" s="25" t="str">
        <f>(Sheet1!B84)</f>
        <v>Johri Auto Mobile-Uklana (CAH)</v>
      </c>
      <c r="C84" s="26">
        <f>'Balance Sheet'!$DX84</f>
        <v>0</v>
      </c>
      <c r="D84" s="26">
        <f>'Old Combined Balance Sheet'!A84 + 'Balance Sheet - FGI Insurance -'!CF84</f>
        <v>0</v>
      </c>
      <c r="E84" s="26">
        <f t="shared" si="1"/>
        <v>0</v>
      </c>
      <c r="F84" s="26" t="str">
        <f>Sheet1!N84</f>
        <v>Chaudhary Automobiles - Hisar</v>
      </c>
      <c r="G84" s="26" t="str">
        <f>Sheet1!O84</f>
        <v>1pI_tDns4A7jbcl0nEvEO_u0FclM2PyV1AT-2Q2Dx2Jo</v>
      </c>
      <c r="H84" s="26" t="str">
        <f>Sheet1!AV84</f>
        <v/>
      </c>
      <c r="I84" s="26" t="str">
        <f>Sheet1!AW84</f>
        <v/>
      </c>
      <c r="J84" s="26" t="str">
        <f>Sheet1!P84</f>
        <v>Sub Dealer</v>
      </c>
      <c r="K84" s="26" t="str">
        <f>Sheet1!AZ84</f>
        <v>No</v>
      </c>
      <c r="L84" s="26" t="str">
        <f>Sheet1!BA84</f>
        <v>No</v>
      </c>
      <c r="M84" s="26" t="str">
        <f>Sheet1!BB84</f>
        <v>No</v>
      </c>
      <c r="N84" s="26">
        <f>Sheet1!BC84</f>
        <v>0</v>
      </c>
    </row>
    <row r="85">
      <c r="A85" s="25" t="str">
        <f>(Sheet1!A85)</f>
        <v>1M25XSc1w8NZMexWP6izPWIwiJI8ces6yFAUV3fB4-pA</v>
      </c>
      <c r="B85" s="25" t="str">
        <f>(Sheet1!B85)</f>
        <v>Narwana Automobiles - Narwana</v>
      </c>
      <c r="C85" s="26">
        <f>'Balance Sheet'!$DX85</f>
        <v>0</v>
      </c>
      <c r="D85" s="26">
        <f>'Old Combined Balance Sheet'!A85 + 'Balance Sheet - FGI Insurance -'!CF85</f>
        <v>0</v>
      </c>
      <c r="E85" s="26">
        <f t="shared" si="1"/>
        <v>0</v>
      </c>
      <c r="F85" s="26" t="str">
        <f>Sheet1!N85</f>
        <v>Narwana Automobiles - Narwana</v>
      </c>
      <c r="G85" s="26" t="str">
        <f>Sheet1!O85</f>
        <v>1M25XSc1w8NZMexWP6izPWIwiJI8ces6yFAUV3fB4-pA</v>
      </c>
      <c r="H85" s="26" t="str">
        <f>Sheet1!AV85</f>
        <v/>
      </c>
      <c r="I85" s="26" t="str">
        <f>Sheet1!AW85</f>
        <v/>
      </c>
      <c r="J85" s="26" t="str">
        <f>Sheet1!P85</f>
        <v>Dealer</v>
      </c>
      <c r="K85" s="26" t="str">
        <f>Sheet1!AZ85</f>
        <v>No</v>
      </c>
      <c r="L85" s="26" t="str">
        <f>Sheet1!BA85</f>
        <v>No</v>
      </c>
      <c r="M85" s="26" t="str">
        <f>Sheet1!BB85</f>
        <v>No</v>
      </c>
      <c r="N85" s="26">
        <f>Sheet1!BC85</f>
        <v>0</v>
      </c>
    </row>
    <row r="86">
      <c r="A86" s="25" t="str">
        <f>(Sheet1!A86)</f>
        <v>1UIyqHTLBGZ9oJJifSEPsCIcKejmqUySrjCf7ZVdx8Gs</v>
      </c>
      <c r="B86" s="25" t="str">
        <f>(Sheet1!B86)</f>
        <v>Shiv Auto- Balsamand</v>
      </c>
      <c r="C86" s="26">
        <f>'Balance Sheet'!$DX86</f>
        <v>0</v>
      </c>
      <c r="D86" s="26">
        <f>'Old Combined Balance Sheet'!A86 + 'Balance Sheet - FGI Insurance -'!CF86</f>
        <v>0</v>
      </c>
      <c r="E86" s="26">
        <f t="shared" si="1"/>
        <v>0</v>
      </c>
      <c r="F86" s="26" t="str">
        <f>Sheet1!N86</f>
        <v>Chaudhary Automobiles - Hisar</v>
      </c>
      <c r="G86" s="26" t="str">
        <f>Sheet1!O86</f>
        <v>1pI_tDns4A7jbcl0nEvEO_u0FclM2PyV1AT-2Q2Dx2Jo</v>
      </c>
      <c r="H86" s="26" t="str">
        <f>Sheet1!AV86</f>
        <v/>
      </c>
      <c r="I86" s="26" t="str">
        <f>Sheet1!AW86</f>
        <v/>
      </c>
      <c r="J86" s="26" t="str">
        <f>Sheet1!P86</f>
        <v>Sub Dealer</v>
      </c>
      <c r="K86" s="26" t="str">
        <f>Sheet1!AZ86</f>
        <v>No</v>
      </c>
      <c r="L86" s="26" t="str">
        <f>Sheet1!BA86</f>
        <v>No</v>
      </c>
      <c r="M86" s="26" t="str">
        <f>Sheet1!BB86</f>
        <v>No</v>
      </c>
      <c r="N86" s="26">
        <f>Sheet1!BC86</f>
        <v>0</v>
      </c>
    </row>
    <row r="87">
      <c r="A87" s="25" t="str">
        <f>(Sheet1!A87)</f>
        <v>1Q4aI-AB3iqaBUsFrzL3oASW-2tjkwXyAtJSO1Lx4Z04</v>
      </c>
      <c r="B87" s="25" t="str">
        <f>(Sheet1!B87)</f>
        <v>SAINI AUTOMOBILES-HANSI</v>
      </c>
      <c r="C87" s="26">
        <f>'Balance Sheet'!$DX87</f>
        <v>0</v>
      </c>
      <c r="D87" s="26">
        <f>'Old Combined Balance Sheet'!A87 + 'Balance Sheet - FGI Insurance -'!CF87</f>
        <v>0</v>
      </c>
      <c r="E87" s="26">
        <f t="shared" si="1"/>
        <v>0</v>
      </c>
      <c r="F87" s="26" t="str">
        <f>Sheet1!N87</f>
        <v>Chaudhary Automobiles - Hisar</v>
      </c>
      <c r="G87" s="26" t="str">
        <f>Sheet1!O87</f>
        <v>1pI_tDns4A7jbcl0nEvEO_u0FclM2PyV1AT-2Q2Dx2Jo</v>
      </c>
      <c r="H87" s="26" t="str">
        <f>Sheet1!AV87</f>
        <v/>
      </c>
      <c r="I87" s="26" t="str">
        <f>Sheet1!AW87</f>
        <v/>
      </c>
      <c r="J87" s="26" t="str">
        <f>Sheet1!P87</f>
        <v>Sub Dealer</v>
      </c>
      <c r="K87" s="26" t="str">
        <f>Sheet1!AZ87</f>
        <v>No</v>
      </c>
      <c r="L87" s="26" t="str">
        <f>Sheet1!BA87</f>
        <v>No</v>
      </c>
      <c r="M87" s="26" t="str">
        <f>Sheet1!BB87</f>
        <v>No</v>
      </c>
      <c r="N87" s="26">
        <f>Sheet1!BC87</f>
        <v>0</v>
      </c>
    </row>
    <row r="88">
      <c r="A88" s="25" t="str">
        <f>(Sheet1!A88)</f>
        <v>1ek0kGrVLOQttU35mRbEycOZ6YRg6Oon_3gkX4EwTum0</v>
      </c>
      <c r="B88" s="25" t="str">
        <f>(Sheet1!B88)</f>
        <v>Sharma auto Mobile-Barwala</v>
      </c>
      <c r="C88" s="26">
        <f>'Balance Sheet'!$DX88</f>
        <v>0</v>
      </c>
      <c r="D88" s="26">
        <f>'Old Combined Balance Sheet'!A88 + 'Balance Sheet - FGI Insurance -'!CF88</f>
        <v>0</v>
      </c>
      <c r="E88" s="26">
        <f t="shared" si="1"/>
        <v>0</v>
      </c>
      <c r="F88" s="26" t="str">
        <f>Sheet1!N88</f>
        <v>Chaudhary Automobiles - Hisar</v>
      </c>
      <c r="G88" s="26" t="str">
        <f>Sheet1!O88</f>
        <v>1pI_tDns4A7jbcl0nEvEO_u0FclM2PyV1AT-2Q2Dx2Jo</v>
      </c>
      <c r="H88" s="26" t="str">
        <f>Sheet1!AV88</f>
        <v/>
      </c>
      <c r="I88" s="26" t="str">
        <f>Sheet1!AW88</f>
        <v/>
      </c>
      <c r="J88" s="26" t="str">
        <f>Sheet1!P88</f>
        <v>Sub Dealer</v>
      </c>
      <c r="K88" s="26" t="str">
        <f>Sheet1!AZ88</f>
        <v>No</v>
      </c>
      <c r="L88" s="26" t="str">
        <f>Sheet1!BA88</f>
        <v>No</v>
      </c>
      <c r="M88" s="26" t="str">
        <f>Sheet1!BB88</f>
        <v>No</v>
      </c>
      <c r="N88" s="26">
        <f>Sheet1!BC88</f>
        <v>0</v>
      </c>
    </row>
    <row r="89">
      <c r="A89" s="25" t="str">
        <f>(Sheet1!A89)</f>
        <v>15e1MPdmX1KahSQrgQP1EiQhxwoiZU-49rilJy51h_W8</v>
      </c>
      <c r="B89" s="25" t="str">
        <f>(Sheet1!B89)</f>
        <v>Chaudhary Auto Agency - Kaithal</v>
      </c>
      <c r="C89" s="26">
        <f>'Balance Sheet'!$DX89</f>
        <v>0</v>
      </c>
      <c r="D89" s="26">
        <f>'Old Combined Balance Sheet'!A89 + 'Balance Sheet - FGI Insurance -'!CF89</f>
        <v>0</v>
      </c>
      <c r="E89" s="26">
        <f t="shared" si="1"/>
        <v>0</v>
      </c>
      <c r="F89" s="26" t="str">
        <f>Sheet1!N89</f>
        <v>Chaudhary Auto Agency - Kaithal</v>
      </c>
      <c r="G89" s="26" t="str">
        <f>Sheet1!O89</f>
        <v>15e1MPdmX1KahSQrgQP1EiQhxwoiZU-49rilJy51h_W8</v>
      </c>
      <c r="H89" s="26" t="str">
        <f>Sheet1!AV89</f>
        <v/>
      </c>
      <c r="I89" s="26" t="str">
        <f>Sheet1!AW89</f>
        <v/>
      </c>
      <c r="J89" s="26" t="str">
        <f>Sheet1!P89</f>
        <v>Dealer</v>
      </c>
      <c r="K89" s="26" t="str">
        <f>Sheet1!AZ89</f>
        <v>No</v>
      </c>
      <c r="L89" s="26" t="str">
        <f>Sheet1!BA89</f>
        <v>No</v>
      </c>
      <c r="M89" s="26" t="str">
        <f>Sheet1!BB89</f>
        <v>No</v>
      </c>
      <c r="N89" s="26">
        <f>Sheet1!BC89</f>
        <v>0</v>
      </c>
    </row>
    <row r="90">
      <c r="A90" s="25" t="str">
        <f>(Sheet1!A90)</f>
        <v>1DHuoK3CPfNh_Joggi61wQdiSIly5OZEhbKVvkkW9X5U</v>
      </c>
      <c r="B90" s="25" t="str">
        <f>(Sheet1!B90)</f>
        <v>Saraswati Enterprises - Pehowa</v>
      </c>
      <c r="C90" s="26">
        <f>'Balance Sheet'!$DX90</f>
        <v>0</v>
      </c>
      <c r="D90" s="26">
        <f>'Old Combined Balance Sheet'!A90 + 'Balance Sheet - FGI Insurance -'!CF90</f>
        <v>0</v>
      </c>
      <c r="E90" s="26">
        <f t="shared" si="1"/>
        <v>0</v>
      </c>
      <c r="F90" s="26" t="str">
        <f>Sheet1!N90</f>
        <v>Saraswati Enterprises - Pehowa</v>
      </c>
      <c r="G90" s="26" t="str">
        <f>Sheet1!O90</f>
        <v>1DHuoK3CPfNh_Joggi61wQdiSIly5OZEhbKVvkkW9X5U</v>
      </c>
      <c r="H90" s="26" t="str">
        <f>Sheet1!AV90</f>
        <v/>
      </c>
      <c r="I90" s="26" t="str">
        <f>Sheet1!AW90</f>
        <v/>
      </c>
      <c r="J90" s="26" t="str">
        <f>Sheet1!P90</f>
        <v>Dealer</v>
      </c>
      <c r="K90" s="26" t="str">
        <f>Sheet1!AZ90</f>
        <v>No</v>
      </c>
      <c r="L90" s="26" t="str">
        <f>Sheet1!BA90</f>
        <v>No</v>
      </c>
      <c r="M90" s="26" t="str">
        <f>Sheet1!BB90</f>
        <v>No</v>
      </c>
      <c r="N90" s="26">
        <f>Sheet1!BC90</f>
        <v>0</v>
      </c>
    </row>
    <row r="91">
      <c r="A91" s="25" t="str">
        <f>(Sheet1!A91)</f>
        <v>1TuBCieryI5B9C4qUUscd4DG93Cj0YeOolwC7hs56SEg</v>
      </c>
      <c r="B91" s="25" t="str">
        <f>(Sheet1!B91)</f>
        <v>VPS HERO - KURUKSHETRA</v>
      </c>
      <c r="C91" s="26">
        <f>'Balance Sheet'!$DX91</f>
        <v>0</v>
      </c>
      <c r="D91" s="26">
        <f>'Old Combined Balance Sheet'!A91 + 'Balance Sheet - FGI Insurance -'!CF91</f>
        <v>0</v>
      </c>
      <c r="E91" s="26">
        <f t="shared" si="1"/>
        <v>0</v>
      </c>
      <c r="F91" s="26" t="str">
        <f>Sheet1!N91</f>
        <v>VPS HERO - KURUKSHETRA</v>
      </c>
      <c r="G91" s="26" t="str">
        <f>Sheet1!O91</f>
        <v>1TuBCieryI5B9C4qUUscd4DG93Cj0YeOolwC7hs56SEg</v>
      </c>
      <c r="H91" s="26" t="str">
        <f>Sheet1!AV91</f>
        <v/>
      </c>
      <c r="I91" s="26" t="str">
        <f>Sheet1!AW91</f>
        <v/>
      </c>
      <c r="J91" s="26" t="str">
        <f>Sheet1!P91</f>
        <v>Dealer</v>
      </c>
      <c r="K91" s="26" t="str">
        <f>Sheet1!AZ91</f>
        <v>No</v>
      </c>
      <c r="L91" s="26" t="str">
        <f>Sheet1!BA91</f>
        <v>No</v>
      </c>
      <c r="M91" s="26" t="str">
        <f>Sheet1!BB91</f>
        <v>No</v>
      </c>
      <c r="N91" s="26">
        <f>Sheet1!BC91</f>
        <v>0</v>
      </c>
    </row>
    <row r="92">
      <c r="A92" s="25" t="str">
        <f>(Sheet1!A92)</f>
        <v>1eiTogQPi-sHfdl6mZbOd9WL047mVrKOSLuFH6hsfT4U</v>
      </c>
      <c r="B92" s="25" t="str">
        <f>(Sheet1!B92)</f>
        <v>Rohit Automobiles - Yamuna Nagar</v>
      </c>
      <c r="C92" s="26">
        <f>'Balance Sheet'!$DX92</f>
        <v>0</v>
      </c>
      <c r="D92" s="26">
        <f>'Old Combined Balance Sheet'!A92 + 'Balance Sheet - FGI Insurance -'!CF92</f>
        <v>0</v>
      </c>
      <c r="E92" s="26">
        <f t="shared" si="1"/>
        <v>0</v>
      </c>
      <c r="F92" s="26" t="str">
        <f>Sheet1!N92</f>
        <v>Rohit Automobiles - Yamuna Nagar</v>
      </c>
      <c r="G92" s="26" t="str">
        <f>Sheet1!O92</f>
        <v>1eiTogQPi-sHfdl6mZbOd9WL047mVrKOSLuFH6hsfT4U</v>
      </c>
      <c r="H92" s="26" t="str">
        <f>Sheet1!AV92</f>
        <v/>
      </c>
      <c r="I92" s="26" t="str">
        <f>Sheet1!AW92</f>
        <v/>
      </c>
      <c r="J92" s="26" t="str">
        <f>Sheet1!P92</f>
        <v>Dealer</v>
      </c>
      <c r="K92" s="26" t="str">
        <f>Sheet1!AZ92</f>
        <v>No</v>
      </c>
      <c r="L92" s="26" t="str">
        <f>Sheet1!BA92</f>
        <v>No</v>
      </c>
      <c r="M92" s="26" t="str">
        <f>Sheet1!BB92</f>
        <v>No</v>
      </c>
      <c r="N92" s="26">
        <f>Sheet1!BC92</f>
        <v>0</v>
      </c>
    </row>
    <row r="93">
      <c r="A93" s="25" t="str">
        <f>(Sheet1!A93)</f>
        <v>1K6oaFfzdWrW0ygNwDwWBmlm6lWJxWCUD9ydsyisVA7A</v>
      </c>
      <c r="B93" s="25" t="str">
        <f>(Sheet1!B93)</f>
        <v>Sahib Motors - Panipat</v>
      </c>
      <c r="C93" s="26">
        <f>'Balance Sheet'!$DX93</f>
        <v>0</v>
      </c>
      <c r="D93" s="26">
        <f>'Old Combined Balance Sheet'!A93 + 'Balance Sheet - FGI Insurance -'!CF93</f>
        <v>0</v>
      </c>
      <c r="E93" s="26">
        <f t="shared" si="1"/>
        <v>0</v>
      </c>
      <c r="F93" s="26" t="str">
        <f>Sheet1!N93</f>
        <v>Sahib Motors - Panipat</v>
      </c>
      <c r="G93" s="26" t="str">
        <f>Sheet1!O93</f>
        <v>1K6oaFfzdWrW0ygNwDwWBmlm6lWJxWCUD9ydsyisVA7A</v>
      </c>
      <c r="H93" s="26" t="str">
        <f>Sheet1!AV93</f>
        <v/>
      </c>
      <c r="I93" s="26" t="str">
        <f>Sheet1!AW93</f>
        <v/>
      </c>
      <c r="J93" s="26" t="str">
        <f>Sheet1!P93</f>
        <v>Dealer</v>
      </c>
      <c r="K93" s="26" t="str">
        <f>Sheet1!AZ93</f>
        <v>No</v>
      </c>
      <c r="L93" s="26" t="str">
        <f>Sheet1!BA93</f>
        <v>No</v>
      </c>
      <c r="M93" s="26" t="str">
        <f>Sheet1!BB93</f>
        <v>No</v>
      </c>
      <c r="N93" s="26">
        <f>Sheet1!BC93</f>
        <v>0</v>
      </c>
    </row>
    <row r="94">
      <c r="A94" s="25" t="str">
        <f>(Sheet1!A94)</f>
        <v>1-Ht1VJM8lu7HceWxxtL7iafzmbHFLLgtLF3OJk7V8IQ</v>
      </c>
      <c r="B94" s="25" t="str">
        <f>(Sheet1!B94)</f>
        <v>LAKSHMI AUTOMOBILES - GHARAUNDA</v>
      </c>
      <c r="C94" s="26">
        <f>'Balance Sheet'!$DX94</f>
        <v>-7514</v>
      </c>
      <c r="D94" s="26">
        <f>'Old Combined Balance Sheet'!A94 + 'Balance Sheet - FGI Insurance -'!CF94</f>
        <v>0</v>
      </c>
      <c r="E94" s="26">
        <f t="shared" si="1"/>
        <v>-7514</v>
      </c>
      <c r="F94" s="26" t="str">
        <f>Sheet1!N94</f>
        <v>LAKSHMI AUTOMOBILES - GHARAUNDA</v>
      </c>
      <c r="G94" s="26" t="str">
        <f>Sheet1!O94</f>
        <v>1-Ht1VJM8lu7HceWxxtL7iafzmbHFLLgtLF3OJk7V8IQ</v>
      </c>
      <c r="H94" s="26" t="str">
        <f>Sheet1!AV94</f>
        <v/>
      </c>
      <c r="I94" s="26" t="str">
        <f>Sheet1!AW94</f>
        <v/>
      </c>
      <c r="J94" s="26" t="str">
        <f>Sheet1!P94</f>
        <v>Dealer</v>
      </c>
      <c r="K94" s="26" t="str">
        <f>Sheet1!AZ94</f>
        <v>No</v>
      </c>
      <c r="L94" s="26" t="str">
        <f>Sheet1!BA94</f>
        <v>No</v>
      </c>
      <c r="M94" s="26" t="str">
        <f>Sheet1!BB94</f>
        <v>No</v>
      </c>
      <c r="N94" s="26">
        <f>Sheet1!BC94</f>
        <v>0</v>
      </c>
    </row>
    <row r="95">
      <c r="A95" s="25" t="str">
        <f>(Sheet1!A95)</f>
        <v>1Wxkr9M9brzH_Qd8RBgAFdg3jgvfV-5e6mlbAaitWxss</v>
      </c>
      <c r="B95" s="25" t="str">
        <f>(Sheet1!B95)</f>
        <v>Testing Ravi</v>
      </c>
      <c r="C95" s="26">
        <f>'Balance Sheet'!$DX95</f>
        <v>0</v>
      </c>
      <c r="D95" s="26">
        <f>'Old Combined Balance Sheet'!A95 + 'Balance Sheet - FGI Insurance -'!CF95</f>
        <v>0</v>
      </c>
      <c r="E95" s="26">
        <f t="shared" si="1"/>
        <v>0</v>
      </c>
      <c r="F95" s="26" t="str">
        <f>Sheet1!N95</f>
        <v>Testing Ravi</v>
      </c>
      <c r="G95" s="26" t="str">
        <f>Sheet1!O95</f>
        <v>1Wxkr9M9brzH_Qd8RBgAFdg3jgvfV-5e6mlbAaitWxss</v>
      </c>
      <c r="H95" s="26" t="str">
        <f>Sheet1!AV95</f>
        <v/>
      </c>
      <c r="I95" s="26" t="str">
        <f>Sheet1!AW95</f>
        <v/>
      </c>
      <c r="J95" s="26" t="str">
        <f>Sheet1!P95</f>
        <v>Dealer</v>
      </c>
      <c r="K95" s="26" t="str">
        <f>Sheet1!AZ95</f>
        <v>No</v>
      </c>
      <c r="L95" s="26" t="str">
        <f>Sheet1!BA95</f>
        <v>No</v>
      </c>
      <c r="M95" s="26" t="str">
        <f>Sheet1!BB95</f>
        <v>No</v>
      </c>
      <c r="N95" s="26">
        <f>Sheet1!BC95</f>
        <v>0</v>
      </c>
    </row>
    <row r="96">
      <c r="A96" s="25" t="str">
        <f>(Sheet1!A96)</f>
        <v>1KaEmNIMK0XXiIsA6XQ7GNELp4AsXjf8BnThrJvzVk2Q</v>
      </c>
      <c r="B96" s="25" t="str">
        <f>(Sheet1!B96)</f>
        <v>National Automobile - Jind</v>
      </c>
      <c r="C96" s="26">
        <f>'Balance Sheet'!$DX96</f>
        <v>-69831</v>
      </c>
      <c r="D96" s="26">
        <f>'Old Combined Balance Sheet'!A96 + 'Balance Sheet - FGI Insurance -'!CF96</f>
        <v>0</v>
      </c>
      <c r="E96" s="26">
        <f t="shared" si="1"/>
        <v>-69831</v>
      </c>
      <c r="F96" s="26" t="str">
        <f>Sheet1!N96</f>
        <v>National Automobile - Jind</v>
      </c>
      <c r="G96" s="26" t="str">
        <f>Sheet1!O96</f>
        <v>1KaEmNIMK0XXiIsA6XQ7GNELp4AsXjf8BnThrJvzVk2Q</v>
      </c>
      <c r="H96" s="26" t="str">
        <f>Sheet1!AV96</f>
        <v/>
      </c>
      <c r="I96" s="26" t="str">
        <f>Sheet1!AW96</f>
        <v/>
      </c>
      <c r="J96" s="26" t="str">
        <f>Sheet1!P96</f>
        <v>Dealer</v>
      </c>
      <c r="K96" s="26" t="str">
        <f>Sheet1!AZ96</f>
        <v>No</v>
      </c>
      <c r="L96" s="26" t="str">
        <f>Sheet1!BA96</f>
        <v>No</v>
      </c>
      <c r="M96" s="26" t="str">
        <f>Sheet1!BB96</f>
        <v>No</v>
      </c>
      <c r="N96" s="26">
        <f>Sheet1!BC96</f>
        <v>0</v>
      </c>
    </row>
    <row r="97">
      <c r="A97" s="25" t="str">
        <f>(Sheet1!A97)</f>
        <v>1kk6retEj7a8ElwHKY3kD7Cti9VMfyX-Nt8jZobYqikg</v>
      </c>
      <c r="B97" s="25" t="str">
        <f>(Sheet1!B97)</f>
        <v>Karan Automobiles - Dabwali</v>
      </c>
      <c r="C97" s="26">
        <f>'Balance Sheet'!$DX97</f>
        <v>1387</v>
      </c>
      <c r="D97" s="26">
        <f>'Old Combined Balance Sheet'!A97 + 'Balance Sheet - FGI Insurance -'!CF97</f>
        <v>0</v>
      </c>
      <c r="E97" s="26">
        <f t="shared" si="1"/>
        <v>1387</v>
      </c>
      <c r="F97" s="26" t="str">
        <f>Sheet1!N97</f>
        <v>Karan Automobiles - Dabwali</v>
      </c>
      <c r="G97" s="26" t="str">
        <f>Sheet1!O97</f>
        <v>1kk6retEj7a8ElwHKY3kD7Cti9VMfyX-Nt8jZobYqikg</v>
      </c>
      <c r="H97" s="26" t="str">
        <f>Sheet1!AV97</f>
        <v/>
      </c>
      <c r="I97" s="26" t="str">
        <f>Sheet1!AW97</f>
        <v/>
      </c>
      <c r="J97" s="26" t="str">
        <f>Sheet1!P97</f>
        <v>Dealer</v>
      </c>
      <c r="K97" s="26" t="str">
        <f>Sheet1!AZ97</f>
        <v>No</v>
      </c>
      <c r="L97" s="26" t="str">
        <f>Sheet1!BA97</f>
        <v>No</v>
      </c>
      <c r="M97" s="26" t="str">
        <f>Sheet1!BB97</f>
        <v>No</v>
      </c>
      <c r="N97" s="26">
        <f>Sheet1!BC97</f>
        <v>0</v>
      </c>
    </row>
    <row r="98">
      <c r="A98" s="25" t="str">
        <f>(Sheet1!A98)</f>
        <v>13RsJ1T_W8o2VNE9w100mgEYjOaU-1jlpABRILPpMAjs</v>
      </c>
      <c r="B98" s="25" t="str">
        <f>(Sheet1!B98)</f>
        <v>Ajit Automobiles - Ellenabad</v>
      </c>
      <c r="C98" s="26">
        <f>'Balance Sheet'!$DX98</f>
        <v>0</v>
      </c>
      <c r="D98" s="26">
        <f>'Old Combined Balance Sheet'!A98 + 'Balance Sheet - FGI Insurance -'!CF98</f>
        <v>0</v>
      </c>
      <c r="E98" s="26">
        <f t="shared" si="1"/>
        <v>0</v>
      </c>
      <c r="F98" s="26" t="str">
        <f>Sheet1!N98</f>
        <v>Ajit Automobiles - Ellenabad</v>
      </c>
      <c r="G98" s="26" t="str">
        <f>Sheet1!O98</f>
        <v>13RsJ1T_W8o2VNE9w100mgEYjOaU-1jlpABRILPpMAjs</v>
      </c>
      <c r="H98" s="26" t="str">
        <f>Sheet1!AV98</f>
        <v/>
      </c>
      <c r="I98" s="26" t="str">
        <f>Sheet1!AW98</f>
        <v/>
      </c>
      <c r="J98" s="26" t="str">
        <f>Sheet1!P98</f>
        <v>Dealer</v>
      </c>
      <c r="K98" s="26" t="str">
        <f>Sheet1!AZ98</f>
        <v>No</v>
      </c>
      <c r="L98" s="26" t="str">
        <f>Sheet1!BA98</f>
        <v>No</v>
      </c>
      <c r="M98" s="26" t="str">
        <f>Sheet1!BB98</f>
        <v>No</v>
      </c>
      <c r="N98" s="26">
        <f>Sheet1!BC98</f>
        <v>0</v>
      </c>
    </row>
    <row r="99">
      <c r="A99" s="25" t="str">
        <f>(Sheet1!A99)</f>
        <v>1nEWA1qF6Gna7lK-YjdC89uY5m1GPuTi_8hhe6AxW12M</v>
      </c>
      <c r="B99" s="25" t="str">
        <f>(Sheet1!B99)</f>
        <v>Shivam Auto - Rohtak</v>
      </c>
      <c r="C99" s="26">
        <f>'Balance Sheet'!$DX99</f>
        <v>0</v>
      </c>
      <c r="D99" s="26">
        <f>'Old Combined Balance Sheet'!A99 + 'Balance Sheet - FGI Insurance -'!CF99</f>
        <v>0</v>
      </c>
      <c r="E99" s="26">
        <f t="shared" si="1"/>
        <v>0</v>
      </c>
      <c r="F99" s="26" t="str">
        <f>Sheet1!N99</f>
        <v>Shivam Auto - Rohtak</v>
      </c>
      <c r="G99" s="26" t="str">
        <f>Sheet1!O99</f>
        <v>1nEWA1qF6Gna7lK-YjdC89uY5m1GPuTi_8hhe6AxW12M</v>
      </c>
      <c r="H99" s="26" t="str">
        <f>Sheet1!AV99</f>
        <v/>
      </c>
      <c r="I99" s="26" t="str">
        <f>Sheet1!AW99</f>
        <v/>
      </c>
      <c r="J99" s="26" t="str">
        <f>Sheet1!P99</f>
        <v>Dealer</v>
      </c>
      <c r="K99" s="26" t="str">
        <f>Sheet1!AZ99</f>
        <v>No</v>
      </c>
      <c r="L99" s="26" t="str">
        <f>Sheet1!BA99</f>
        <v>No</v>
      </c>
      <c r="M99" s="26" t="str">
        <f>Sheet1!BB99</f>
        <v>No</v>
      </c>
      <c r="N99" s="26">
        <f>Sheet1!BC99</f>
        <v>0</v>
      </c>
    </row>
    <row r="100">
      <c r="A100" s="25" t="str">
        <f>(Sheet1!A100)</f>
        <v>1ajtc9H9LQaAwROSG0sPyjJHA38yC9DyS1xGLXYi7kSg</v>
      </c>
      <c r="B100" s="25" t="str">
        <f>(Sheet1!B100)</f>
        <v>Singla Auto Agency- Tilpata</v>
      </c>
      <c r="C100" s="26">
        <f>'Balance Sheet'!$DX100</f>
        <v>0</v>
      </c>
      <c r="D100" s="26">
        <f>'Old Combined Balance Sheet'!A100 + 'Balance Sheet - FGI Insurance -'!CF100</f>
        <v>0</v>
      </c>
      <c r="E100" s="26">
        <f t="shared" si="1"/>
        <v>0</v>
      </c>
      <c r="F100" s="26" t="str">
        <f>Sheet1!N100</f>
        <v>Singla Auto Agencies (Noida)</v>
      </c>
      <c r="G100" s="26" t="str">
        <f>Sheet1!O100</f>
        <v>1aig_7rzTvnQej6pxtLbGhfZNPUH2VLzHk2NHcxmPOhg</v>
      </c>
      <c r="H100" s="26" t="str">
        <f>Sheet1!AV100</f>
        <v/>
      </c>
      <c r="I100" s="26" t="str">
        <f>Sheet1!AW100</f>
        <v/>
      </c>
      <c r="J100" s="26" t="str">
        <f>Sheet1!P100</f>
        <v>Sub Dealer</v>
      </c>
      <c r="K100" s="26" t="str">
        <f>Sheet1!AZ100</f>
        <v>No</v>
      </c>
      <c r="L100" s="26" t="str">
        <f>Sheet1!BA100</f>
        <v>No</v>
      </c>
      <c r="M100" s="26" t="str">
        <f>Sheet1!BB100</f>
        <v>No</v>
      </c>
      <c r="N100" s="26">
        <f>Sheet1!BC100</f>
        <v>0</v>
      </c>
    </row>
    <row r="101">
      <c r="A101" s="25" t="str">
        <f>(Sheet1!A101)</f>
        <v>1RoojyyM-QnJWkU4BEw5RvwkrV0urtgRc4XGLN4gN_Y4</v>
      </c>
      <c r="B101" s="25" t="str">
        <f>(Sheet1!B101)</f>
        <v>Gaurav Automobiles - Safidon</v>
      </c>
      <c r="C101" s="26">
        <f>'Balance Sheet'!$DX101</f>
        <v>0</v>
      </c>
      <c r="D101" s="26">
        <f>'Old Combined Balance Sheet'!A101 + 'Balance Sheet - FGI Insurance -'!CF101</f>
        <v>0</v>
      </c>
      <c r="E101" s="26">
        <f t="shared" si="1"/>
        <v>0</v>
      </c>
      <c r="F101" s="26" t="str">
        <f>Sheet1!N101</f>
        <v>National Automobile - Jind</v>
      </c>
      <c r="G101" s="26" t="str">
        <f>Sheet1!O101</f>
        <v>1KaEmNIMK0XXiIsA6XQ7GNELp4AsXjf8BnThrJvzVk2Q</v>
      </c>
      <c r="H101" s="26" t="str">
        <f>Sheet1!AV101</f>
        <v/>
      </c>
      <c r="I101" s="26" t="str">
        <f>Sheet1!AW101</f>
        <v/>
      </c>
      <c r="J101" s="26" t="str">
        <f>Sheet1!P101</f>
        <v>Sub Dealer</v>
      </c>
      <c r="K101" s="26" t="str">
        <f>Sheet1!AZ101</f>
        <v>No</v>
      </c>
      <c r="L101" s="26" t="str">
        <f>Sheet1!BA101</f>
        <v>No</v>
      </c>
      <c r="M101" s="26" t="str">
        <f>Sheet1!BB101</f>
        <v>No</v>
      </c>
      <c r="N101" s="26">
        <f>Sheet1!BC101</f>
        <v>0</v>
      </c>
    </row>
    <row r="102">
      <c r="A102" s="25" t="str">
        <f>(Sheet1!A102)</f>
        <v>1mvO39KISdJTTFZrNPXYSBSiguynUfxnAQ_H-EBPwdG4</v>
      </c>
      <c r="B102" s="25" t="str">
        <f>(Sheet1!B102)</f>
        <v>KANHA MOTORS</v>
      </c>
      <c r="C102" s="26">
        <f>'Balance Sheet'!$DX102</f>
        <v>0</v>
      </c>
      <c r="D102" s="26">
        <f>'Old Combined Balance Sheet'!A102 + 'Balance Sheet - FGI Insurance -'!CF102</f>
        <v>0</v>
      </c>
      <c r="E102" s="26">
        <f t="shared" si="1"/>
        <v>0</v>
      </c>
      <c r="F102" s="26" t="str">
        <f>Sheet1!N102</f>
        <v>Shri Durga Motors</v>
      </c>
      <c r="G102" s="26" t="str">
        <f>Sheet1!O102</f>
        <v>1LnxzSZR-Hn1GFJEM91CqSDi8yQ1-11OqyVT04QUkFAM</v>
      </c>
      <c r="H102" s="26" t="str">
        <f>Sheet1!AV102</f>
        <v/>
      </c>
      <c r="I102" s="26" t="str">
        <f>Sheet1!AW102</f>
        <v/>
      </c>
      <c r="J102" s="26" t="str">
        <f>Sheet1!P102</f>
        <v>Sub Dealer</v>
      </c>
      <c r="K102" s="26" t="str">
        <f>Sheet1!AZ102</f>
        <v>No</v>
      </c>
      <c r="L102" s="26" t="str">
        <f>Sheet1!BA102</f>
        <v>No</v>
      </c>
      <c r="M102" s="26" t="str">
        <f>Sheet1!BB102</f>
        <v>No</v>
      </c>
      <c r="N102" s="26">
        <f>Sheet1!BC102</f>
        <v>0</v>
      </c>
    </row>
    <row r="103">
      <c r="A103" s="25" t="str">
        <f>(Sheet1!A103)</f>
        <v>1RuulKhAraOSJneBIfAUOQbLBn9JvoSu3eYaWMZ5M-aI</v>
      </c>
      <c r="B103" s="25" t="str">
        <f>(Sheet1!B103)</f>
        <v>RINKU AUTOMOBILES</v>
      </c>
      <c r="C103" s="26">
        <f>'Balance Sheet'!$DX103</f>
        <v>0</v>
      </c>
      <c r="D103" s="26">
        <f>'Old Combined Balance Sheet'!A103 + 'Balance Sheet - FGI Insurance -'!CF103</f>
        <v>0</v>
      </c>
      <c r="E103" s="26">
        <f t="shared" si="1"/>
        <v>0</v>
      </c>
      <c r="F103" s="26" t="str">
        <f>Sheet1!N103</f>
        <v>Shri Durga Motors</v>
      </c>
      <c r="G103" s="26" t="str">
        <f>Sheet1!O103</f>
        <v>1LnxzSZR-Hn1GFJEM91CqSDi8yQ1-11OqyVT04QUkFAM</v>
      </c>
      <c r="H103" s="26" t="str">
        <f>Sheet1!AV103</f>
        <v/>
      </c>
      <c r="I103" s="26" t="str">
        <f>Sheet1!AW103</f>
        <v/>
      </c>
      <c r="J103" s="26" t="str">
        <f>Sheet1!P103</f>
        <v>Sub Dealer</v>
      </c>
      <c r="K103" s="26" t="str">
        <f>Sheet1!AZ103</f>
        <v>No</v>
      </c>
      <c r="L103" s="26" t="str">
        <f>Sheet1!BA103</f>
        <v>No</v>
      </c>
      <c r="M103" s="26" t="str">
        <f>Sheet1!BB103</f>
        <v>No</v>
      </c>
      <c r="N103" s="26">
        <f>Sheet1!BC103</f>
        <v>0</v>
      </c>
    </row>
    <row r="104">
      <c r="A104" s="25" t="str">
        <f>(Sheet1!A104)</f>
        <v>1Z4ZANLU0BXFj5_cuQpCVhqL-_dbEpnMn3rbGL3bya7g</v>
      </c>
      <c r="B104" s="25" t="str">
        <f>(Sheet1!B104)</f>
        <v>TRIAMBIKE MOTORS</v>
      </c>
      <c r="C104" s="26">
        <f>'Balance Sheet'!$DX104</f>
        <v>0</v>
      </c>
      <c r="D104" s="26">
        <f>'Old Combined Balance Sheet'!A104 + 'Balance Sheet - FGI Insurance -'!CF104</f>
        <v>0</v>
      </c>
      <c r="E104" s="26">
        <f t="shared" si="1"/>
        <v>0</v>
      </c>
      <c r="F104" s="26" t="str">
        <f>Sheet1!N104</f>
        <v>Shri Durga Motors</v>
      </c>
      <c r="G104" s="26" t="str">
        <f>Sheet1!O104</f>
        <v>1LnxzSZR-Hn1GFJEM91CqSDi8yQ1-11OqyVT04QUkFAM</v>
      </c>
      <c r="H104" s="26" t="str">
        <f>Sheet1!AV104</f>
        <v/>
      </c>
      <c r="I104" s="26" t="str">
        <f>Sheet1!AW104</f>
        <v/>
      </c>
      <c r="J104" s="26" t="str">
        <f>Sheet1!P104</f>
        <v>Sub Dealer</v>
      </c>
      <c r="K104" s="26" t="str">
        <f>Sheet1!AZ104</f>
        <v>No</v>
      </c>
      <c r="L104" s="26" t="str">
        <f>Sheet1!BA104</f>
        <v>No</v>
      </c>
      <c r="M104" s="26" t="str">
        <f>Sheet1!BB104</f>
        <v>No</v>
      </c>
      <c r="N104" s="26">
        <f>Sheet1!BC104</f>
        <v>0</v>
      </c>
    </row>
    <row r="105">
      <c r="A105" s="25" t="str">
        <f>(Sheet1!A105)</f>
        <v>1fUQnKuEtcNauUdHQbe2Uqem42il1atlCNxeSWUXTiaA</v>
      </c>
      <c r="B105" s="25" t="str">
        <f>(Sheet1!B105)</f>
        <v>TRIAMBIKE MOTORS</v>
      </c>
      <c r="C105" s="26">
        <f>'Balance Sheet'!$DX105</f>
        <v>0</v>
      </c>
      <c r="D105" s="26">
        <f>'Old Combined Balance Sheet'!A105 + 'Balance Sheet - FGI Insurance -'!CF105</f>
        <v>0</v>
      </c>
      <c r="E105" s="26">
        <f t="shared" si="1"/>
        <v>0</v>
      </c>
      <c r="F105" s="26" t="str">
        <f>Sheet1!N105</f>
        <v>Shri Durga Motors</v>
      </c>
      <c r="G105" s="26" t="str">
        <f>Sheet1!O105</f>
        <v>1LnxzSZR-Hn1GFJEM91CqSDi8yQ1-11OqyVT04QUkFAM</v>
      </c>
      <c r="H105" s="26" t="str">
        <f>Sheet1!AV105</f>
        <v/>
      </c>
      <c r="I105" s="26" t="str">
        <f>Sheet1!AW105</f>
        <v/>
      </c>
      <c r="J105" s="26" t="str">
        <f>Sheet1!P105</f>
        <v>Sub Dealer</v>
      </c>
      <c r="K105" s="26" t="str">
        <f>Sheet1!AZ105</f>
        <v>No</v>
      </c>
      <c r="L105" s="26" t="str">
        <f>Sheet1!BA105</f>
        <v>No</v>
      </c>
      <c r="M105" s="26" t="str">
        <f>Sheet1!BB105</f>
        <v>No</v>
      </c>
      <c r="N105" s="26">
        <f>Sheet1!BC105</f>
        <v>0</v>
      </c>
    </row>
    <row r="106">
      <c r="A106" s="25" t="str">
        <f>(Sheet1!A106)</f>
        <v>11B-8kSH0gJgoCgMmv0w8C_6P4qZyG7h6hdldCVMJqNA</v>
      </c>
      <c r="B106" s="25" t="str">
        <f>(Sheet1!B106)</f>
        <v>AGARSEN AUTOMOBILE</v>
      </c>
      <c r="C106" s="26">
        <f>'Balance Sheet'!$DX106</f>
        <v>0</v>
      </c>
      <c r="D106" s="26">
        <f>'Old Combined Balance Sheet'!A106 + 'Balance Sheet - FGI Insurance -'!CF106</f>
        <v>0</v>
      </c>
      <c r="E106" s="26">
        <f t="shared" si="1"/>
        <v>0</v>
      </c>
      <c r="F106" s="26" t="str">
        <f>Sheet1!N106</f>
        <v>Shri Durga Motors</v>
      </c>
      <c r="G106" s="26" t="str">
        <f>Sheet1!O106</f>
        <v>1LnxzSZR-Hn1GFJEM91CqSDi8yQ1-11OqyVT04QUkFAM</v>
      </c>
      <c r="H106" s="26" t="str">
        <f>Sheet1!AV106</f>
        <v/>
      </c>
      <c r="I106" s="26" t="str">
        <f>Sheet1!AW106</f>
        <v/>
      </c>
      <c r="J106" s="26" t="str">
        <f>Sheet1!P106</f>
        <v>Sub Dealer</v>
      </c>
      <c r="K106" s="26" t="str">
        <f>Sheet1!AZ106</f>
        <v>No</v>
      </c>
      <c r="L106" s="26" t="str">
        <f>Sheet1!BA106</f>
        <v>No</v>
      </c>
      <c r="M106" s="26" t="str">
        <f>Sheet1!BB106</f>
        <v>No</v>
      </c>
      <c r="N106" s="26">
        <f>Sheet1!BC106</f>
        <v>0</v>
      </c>
    </row>
    <row r="107">
      <c r="A107" s="25" t="str">
        <f>(Sheet1!A107)</f>
        <v>1a7hE99lXmj_QqvEYsr78Q6N1-mxcmCnbqEiJRN1RUOk</v>
      </c>
      <c r="B107" s="25" t="str">
        <f>(Sheet1!B107)</f>
        <v>SOLANKI MOTORS</v>
      </c>
      <c r="C107" s="26">
        <f>'Balance Sheet'!$DX107</f>
        <v>0</v>
      </c>
      <c r="D107" s="26">
        <f>'Old Combined Balance Sheet'!A107 + 'Balance Sheet - FGI Insurance -'!CF107</f>
        <v>0</v>
      </c>
      <c r="E107" s="26">
        <f t="shared" si="1"/>
        <v>0</v>
      </c>
      <c r="F107" s="26" t="str">
        <f>Sheet1!N107</f>
        <v>Shri Durga Motors</v>
      </c>
      <c r="G107" s="26" t="str">
        <f>Sheet1!O107</f>
        <v>1LnxzSZR-Hn1GFJEM91CqSDi8yQ1-11OqyVT04QUkFAM</v>
      </c>
      <c r="H107" s="26" t="str">
        <f>Sheet1!AV107</f>
        <v/>
      </c>
      <c r="I107" s="26" t="str">
        <f>Sheet1!AW107</f>
        <v/>
      </c>
      <c r="J107" s="26" t="str">
        <f>Sheet1!P107</f>
        <v>Sub Dealer</v>
      </c>
      <c r="K107" s="26" t="str">
        <f>Sheet1!AZ107</f>
        <v>No</v>
      </c>
      <c r="L107" s="26" t="str">
        <f>Sheet1!BA107</f>
        <v>No</v>
      </c>
      <c r="M107" s="26" t="str">
        <f>Sheet1!BB107</f>
        <v>No</v>
      </c>
      <c r="N107" s="26">
        <f>Sheet1!BC107</f>
        <v>0</v>
      </c>
    </row>
    <row r="108">
      <c r="A108" s="25" t="str">
        <f>(Sheet1!A108)</f>
        <v>17j5aRjD4kTe3VvlO2qpEFolWacmd9riwj8nppSGLohk</v>
      </c>
      <c r="B108" s="25" t="str">
        <f>(Sheet1!B108)</f>
        <v>Durga Auto - SMP</v>
      </c>
      <c r="C108" s="26">
        <f>'Balance Sheet'!$DX108</f>
        <v>0</v>
      </c>
      <c r="D108" s="26">
        <f>'Old Combined Balance Sheet'!A108 + 'Balance Sheet - FGI Insurance -'!CF108</f>
        <v>0</v>
      </c>
      <c r="E108" s="26">
        <f t="shared" si="1"/>
        <v>0</v>
      </c>
      <c r="F108" s="26" t="str">
        <f>Sheet1!N108</f>
        <v>Sahib Motors - Panipat</v>
      </c>
      <c r="G108" s="26" t="str">
        <f>Sheet1!O108</f>
        <v>1K6oaFfzdWrW0ygNwDwWBmlm6lWJxWCUD9ydsyisVA7A</v>
      </c>
      <c r="H108" s="26" t="str">
        <f>Sheet1!AV108</f>
        <v/>
      </c>
      <c r="I108" s="26" t="str">
        <f>Sheet1!AW108</f>
        <v/>
      </c>
      <c r="J108" s="26" t="str">
        <f>Sheet1!P108</f>
        <v>Sub Dealer</v>
      </c>
      <c r="K108" s="26" t="str">
        <f>Sheet1!AZ108</f>
        <v>No</v>
      </c>
      <c r="L108" s="26" t="str">
        <f>Sheet1!BA108</f>
        <v>No</v>
      </c>
      <c r="M108" s="26" t="str">
        <f>Sheet1!BB108</f>
        <v>No</v>
      </c>
      <c r="N108" s="26">
        <f>Sheet1!BC108</f>
        <v>0</v>
      </c>
    </row>
    <row r="109">
      <c r="A109" s="25" t="str">
        <f>(Sheet1!A109)</f>
        <v>1t3gopzk1OTS3KoTW1PbFTMhVF5pTGTgKOkW5Lr73qQs</v>
      </c>
      <c r="B109" s="25" t="str">
        <f>(Sheet1!B109)</f>
        <v>Dev Vaahan- Hero Palwal</v>
      </c>
      <c r="C109" s="26">
        <f>'Balance Sheet'!$DX109</f>
        <v>0</v>
      </c>
      <c r="D109" s="26">
        <f>'Old Combined Balance Sheet'!A109 + 'Balance Sheet - FGI Insurance -'!CF109</f>
        <v>0</v>
      </c>
      <c r="E109" s="26">
        <f t="shared" si="1"/>
        <v>0</v>
      </c>
      <c r="F109" s="26" t="str">
        <f>Sheet1!N109</f>
        <v>Dev Vaahan- Hero Palwal</v>
      </c>
      <c r="G109" s="26" t="str">
        <f>Sheet1!O109</f>
        <v>1t3gopzk1OTS3KoTW1PbFTMhVF5pTGTgKOkW5Lr73qQs</v>
      </c>
      <c r="H109" s="26" t="str">
        <f>Sheet1!AV109</f>
        <v/>
      </c>
      <c r="I109" s="26" t="str">
        <f>Sheet1!AW109</f>
        <v/>
      </c>
      <c r="J109" s="26" t="str">
        <f>Sheet1!P109</f>
        <v>Dealer</v>
      </c>
      <c r="K109" s="26" t="str">
        <f>Sheet1!AZ109</f>
        <v>No</v>
      </c>
      <c r="L109" s="26" t="str">
        <f>Sheet1!BA109</f>
        <v>No</v>
      </c>
      <c r="M109" s="26" t="str">
        <f>Sheet1!BB109</f>
        <v>No</v>
      </c>
      <c r="N109" s="26">
        <f>Sheet1!BC109</f>
        <v>0</v>
      </c>
    </row>
    <row r="110">
      <c r="A110" s="25" t="str">
        <f>(Sheet1!A110)</f>
        <v>1MantqYN_L9u1phKAd2tRf1JbAshYFDLMdeUkvTdUQ8E</v>
      </c>
      <c r="B110" s="25" t="str">
        <f>(Sheet1!B110)</f>
        <v>BD MOTORS TVS - GURGAON</v>
      </c>
      <c r="C110" s="26">
        <f>'Balance Sheet'!$DX110</f>
        <v>0</v>
      </c>
      <c r="D110" s="26">
        <f>'Old Combined Balance Sheet'!A110 + 'Balance Sheet - FGI Insurance -'!CF110</f>
        <v>0</v>
      </c>
      <c r="E110" s="26">
        <f t="shared" si="1"/>
        <v>0</v>
      </c>
      <c r="F110" s="26" t="str">
        <f>Sheet1!N110</f>
        <v>BD MOTORS TVS - GURGAON</v>
      </c>
      <c r="G110" s="26" t="str">
        <f>Sheet1!O110</f>
        <v>1MantqYN_L9u1phKAd2tRf1JbAshYFDLMdeUkvTdUQ8E</v>
      </c>
      <c r="H110" s="26" t="str">
        <f>Sheet1!AV110</f>
        <v/>
      </c>
      <c r="I110" s="26" t="str">
        <f>Sheet1!AW110</f>
        <v/>
      </c>
      <c r="J110" s="26" t="str">
        <f>Sheet1!P110</f>
        <v>Dealer</v>
      </c>
      <c r="K110" s="26" t="str">
        <f>Sheet1!AZ110</f>
        <v>No</v>
      </c>
      <c r="L110" s="26" t="str">
        <f>Sheet1!BA110</f>
        <v>No</v>
      </c>
      <c r="M110" s="26" t="str">
        <f>Sheet1!BB110</f>
        <v>No</v>
      </c>
      <c r="N110" s="26">
        <f>Sheet1!BC110</f>
        <v>0</v>
      </c>
    </row>
    <row r="111">
      <c r="A111" s="25" t="str">
        <f>(Sheet1!A111)</f>
        <v>176zvh_D144kr5dn49FjVWXAIKjjIO1Wqb6zAj_kGTr4</v>
      </c>
      <c r="B111" s="25" t="str">
        <f>(Sheet1!B111)</f>
        <v>Sai Auto</v>
      </c>
      <c r="C111" s="26">
        <f>'Balance Sheet'!$DX111</f>
        <v>0</v>
      </c>
      <c r="D111" s="26">
        <f>'Old Combined Balance Sheet'!A111 + 'Balance Sheet - FGI Insurance -'!CF111</f>
        <v>0</v>
      </c>
      <c r="E111" s="26">
        <f t="shared" si="1"/>
        <v>0</v>
      </c>
      <c r="F111" s="26" t="str">
        <f>Sheet1!N111</f>
        <v>Sai Auto</v>
      </c>
      <c r="G111" s="26" t="str">
        <f>Sheet1!O111</f>
        <v>176zvh_D144kr5dn49FjVWXAIKjjIO1Wqb6zAj_kGTr4</v>
      </c>
      <c r="H111" s="26" t="str">
        <f>Sheet1!AV111</f>
        <v/>
      </c>
      <c r="I111" s="26" t="str">
        <f>Sheet1!AW111</f>
        <v/>
      </c>
      <c r="J111" s="26" t="str">
        <f>Sheet1!P111</f>
        <v>Dealer</v>
      </c>
      <c r="K111" s="26" t="str">
        <f>Sheet1!AZ111</f>
        <v>No</v>
      </c>
      <c r="L111" s="26" t="str">
        <f>Sheet1!BA111</f>
        <v>No</v>
      </c>
      <c r="M111" s="26" t="str">
        <f>Sheet1!BB111</f>
        <v>No</v>
      </c>
      <c r="N111" s="26">
        <f>Sheet1!BC111</f>
        <v>0</v>
      </c>
    </row>
    <row r="112">
      <c r="A112" s="25" t="str">
        <f>(Sheet1!A112)</f>
        <v>1C_6P8aZHJLH36sahBuwDXCSV6YfPH0RInIufKGWcO4E</v>
      </c>
      <c r="B112" s="25" t="str">
        <f>(Sheet1!B112)</f>
        <v>VAW Narona</v>
      </c>
      <c r="C112" s="26">
        <f>'Balance Sheet'!$DX112</f>
        <v>0</v>
      </c>
      <c r="D112" s="26">
        <f>'Old Combined Balance Sheet'!A112 + 'Balance Sheet - FGI Insurance -'!CF112</f>
        <v>0</v>
      </c>
      <c r="E112" s="26">
        <f t="shared" si="1"/>
        <v>0</v>
      </c>
      <c r="F112" s="26" t="str">
        <f>Sheet1!N112</f>
        <v>Vikas Autowheels</v>
      </c>
      <c r="G112" s="26" t="str">
        <f>Sheet1!O112</f>
        <v>1944RLX7T1M23YXRXYoMnJ6nD_bKLldQXRpFRA0rDLvg</v>
      </c>
      <c r="H112" s="26" t="str">
        <f>Sheet1!AV112</f>
        <v/>
      </c>
      <c r="I112" s="26" t="str">
        <f>Sheet1!AW112</f>
        <v/>
      </c>
      <c r="J112" s="26" t="str">
        <f>Sheet1!P112</f>
        <v>Sub Dealer</v>
      </c>
      <c r="K112" s="26" t="str">
        <f>Sheet1!AZ112</f>
        <v>Yes</v>
      </c>
      <c r="L112" s="26" t="str">
        <f>Sheet1!BA112</f>
        <v>No</v>
      </c>
      <c r="M112" s="26" t="str">
        <f>Sheet1!BB112</f>
        <v>No</v>
      </c>
      <c r="N112" s="26">
        <f>Sheet1!BC112</f>
        <v>0</v>
      </c>
    </row>
    <row r="113">
      <c r="A113" s="25" t="str">
        <f>(Sheet1!A113)</f>
        <v>1olMJPxdvTblXlRJ5Kke7BysRgQVWxsLISMo98ayU8oo</v>
      </c>
      <c r="B113" s="25" t="str">
        <f>(Sheet1!B113)</f>
        <v>Gaurav arora</v>
      </c>
      <c r="C113" s="26">
        <f>'Balance Sheet'!$DX113</f>
        <v>0</v>
      </c>
      <c r="D113" s="26">
        <f>'Old Combined Balance Sheet'!A113 + 'Balance Sheet - FGI Insurance -'!CF113</f>
        <v>0</v>
      </c>
      <c r="E113" s="26">
        <f t="shared" si="1"/>
        <v>0</v>
      </c>
      <c r="F113" s="26" t="str">
        <f>Sheet1!N113</f>
        <v>MPS</v>
      </c>
      <c r="G113" s="26" t="str">
        <f>Sheet1!O113</f>
        <v>1ClXh28BQwwGN7Q42xt0Dc8b_R_3jweBItLcbwVq3Rj0</v>
      </c>
      <c r="H113" s="26" t="str">
        <f>Sheet1!AV113</f>
        <v/>
      </c>
      <c r="I113" s="26" t="str">
        <f>Sheet1!AW113</f>
        <v/>
      </c>
      <c r="J113" s="26" t="str">
        <f>Sheet1!P113</f>
        <v>Sub Dealer</v>
      </c>
      <c r="K113" s="26" t="str">
        <f>Sheet1!AZ113</f>
        <v>Yes</v>
      </c>
      <c r="L113" s="26" t="str">
        <f>Sheet1!BA113</f>
        <v>No</v>
      </c>
      <c r="M113" s="26" t="str">
        <f>Sheet1!BB113</f>
        <v>No</v>
      </c>
      <c r="N113" s="26">
        <f>Sheet1!BC113</f>
        <v>0</v>
      </c>
    </row>
    <row r="114">
      <c r="A114" s="25" t="str">
        <f>(Sheet1!A114)</f>
        <v>10my9j6PucXwYa7gh_WvsXD6uPvI-yhWp3q1FQznHVc8</v>
      </c>
      <c r="B114" s="25" t="str">
        <f>(Sheet1!B114)</f>
        <v>Sohna Honda</v>
      </c>
      <c r="C114" s="26">
        <f>'Balance Sheet'!$DX114</f>
        <v>-767</v>
      </c>
      <c r="D114" s="26">
        <f>'Old Combined Balance Sheet'!A114 + 'Balance Sheet - FGI Insurance -'!CF114</f>
        <v>0</v>
      </c>
      <c r="E114" s="26">
        <f t="shared" si="1"/>
        <v>-767</v>
      </c>
      <c r="F114" s="26" t="str">
        <f>Sheet1!N114</f>
        <v>Sohna Honda</v>
      </c>
      <c r="G114" s="26" t="str">
        <f>Sheet1!O114</f>
        <v>10my9j6PucXwYa7gh_WvsXD6uPvI-yhWp3q1FQznHVc8</v>
      </c>
      <c r="H114" s="26" t="str">
        <f>Sheet1!AV114</f>
        <v/>
      </c>
      <c r="I114" s="26" t="str">
        <f>Sheet1!AW114</f>
        <v/>
      </c>
      <c r="J114" s="26" t="str">
        <f>Sheet1!P114</f>
        <v>Sub Dealer</v>
      </c>
      <c r="K114" s="26" t="str">
        <f>Sheet1!AZ114</f>
        <v>No</v>
      </c>
      <c r="L114" s="26" t="str">
        <f>Sheet1!BA114</f>
        <v>No</v>
      </c>
      <c r="M114" s="26" t="str">
        <f>Sheet1!BB114</f>
        <v>No</v>
      </c>
      <c r="N114" s="26">
        <f>Sheet1!BC114</f>
        <v>0</v>
      </c>
    </row>
    <row r="115">
      <c r="A115" s="25" t="str">
        <f>(Sheet1!A115)</f>
        <v>1hwxal2Fqa0hEplduGUGitsJlZ0mEGEOEYh3fdHugU9o</v>
      </c>
      <c r="B115" s="25" t="str">
        <f>(Sheet1!B115)</f>
        <v>Shree Balaji Automobiles - Fatehabad</v>
      </c>
      <c r="C115" s="26">
        <f>'Balance Sheet'!$DX115</f>
        <v>0</v>
      </c>
      <c r="D115" s="26">
        <f>'Old Combined Balance Sheet'!A115 + 'Balance Sheet - FGI Insurance -'!CF115</f>
        <v>0</v>
      </c>
      <c r="E115" s="26">
        <f t="shared" si="1"/>
        <v>0</v>
      </c>
      <c r="F115" s="26" t="str">
        <f>Sheet1!N115</f>
        <v>Shree Balaji Automobiles - Fatehabad</v>
      </c>
      <c r="G115" s="26" t="str">
        <f>Sheet1!O115</f>
        <v>1hwxal2Fqa0hEplduGUGitsJlZ0mEGEOEYh3fdHugU9o</v>
      </c>
      <c r="H115" s="26" t="str">
        <f>Sheet1!AV115</f>
        <v/>
      </c>
      <c r="I115" s="26" t="str">
        <f>Sheet1!AW115</f>
        <v/>
      </c>
      <c r="J115" s="26" t="str">
        <f>Sheet1!P115</f>
        <v>Dealer</v>
      </c>
      <c r="K115" s="26" t="str">
        <f>Sheet1!AZ115</f>
        <v>No</v>
      </c>
      <c r="L115" s="26" t="str">
        <f>Sheet1!BA115</f>
        <v>No</v>
      </c>
      <c r="M115" s="26" t="str">
        <f>Sheet1!BB115</f>
        <v>No</v>
      </c>
      <c r="N115" s="26">
        <f>Sheet1!BC115</f>
        <v>0</v>
      </c>
    </row>
    <row r="116">
      <c r="A116" s="25" t="str">
        <f>(Sheet1!A116)</f>
        <v>1AyozEGLZqJCcdssyT5lh9p367qkQ4ixlLx7VhIkGjas</v>
      </c>
      <c r="B116" s="25" t="str">
        <f>(Sheet1!B116)</f>
        <v>Shri Krishna Auto - Rohtak</v>
      </c>
      <c r="C116" s="26">
        <f>'Balance Sheet'!$DX116</f>
        <v>0</v>
      </c>
      <c r="D116" s="26">
        <f>'Old Combined Balance Sheet'!A116 + 'Balance Sheet - FGI Insurance -'!CF116</f>
        <v>0</v>
      </c>
      <c r="E116" s="26">
        <f t="shared" si="1"/>
        <v>0</v>
      </c>
      <c r="F116" s="26" t="str">
        <f>Sheet1!N116</f>
        <v>Shri Krishna Auto - Rohtak</v>
      </c>
      <c r="G116" s="26" t="str">
        <f>Sheet1!O116</f>
        <v>1AyozEGLZqJCcdssyT5lh9p367qkQ4ixlLx7VhIkGjas</v>
      </c>
      <c r="H116" s="26" t="str">
        <f>Sheet1!AV116</f>
        <v/>
      </c>
      <c r="I116" s="26" t="str">
        <f>Sheet1!AW116</f>
        <v/>
      </c>
      <c r="J116" s="26" t="str">
        <f>Sheet1!P116</f>
        <v>Dealer</v>
      </c>
      <c r="K116" s="26" t="str">
        <f>Sheet1!AZ116</f>
        <v>No</v>
      </c>
      <c r="L116" s="26" t="str">
        <f>Sheet1!BA116</f>
        <v>No</v>
      </c>
      <c r="M116" s="26" t="str">
        <f>Sheet1!BB116</f>
        <v>No</v>
      </c>
      <c r="N116" s="26">
        <f>Sheet1!BC116</f>
        <v>0</v>
      </c>
    </row>
    <row r="117">
      <c r="A117" s="25" t="str">
        <f>(Sheet1!A117)</f>
        <v>1vT3QczjVeQXI3BUHWLVlmriSeWuoyjUZOrXtNn1poas</v>
      </c>
      <c r="B117" s="25" t="str">
        <f>(Sheet1!B117)</f>
        <v>Ratandeep Motors - Sultanpur</v>
      </c>
      <c r="C117" s="26">
        <f>'Balance Sheet'!$DX117</f>
        <v>-85028</v>
      </c>
      <c r="D117" s="26">
        <f>'Old Combined Balance Sheet'!A117 + 'Balance Sheet - FGI Insurance -'!CF117</f>
        <v>0</v>
      </c>
      <c r="E117" s="26">
        <f t="shared" si="1"/>
        <v>-85028</v>
      </c>
      <c r="F117" s="26" t="str">
        <f>Sheet1!N117</f>
        <v>Ratandeep Motors - Sultanpur</v>
      </c>
      <c r="G117" s="26" t="str">
        <f>Sheet1!O117</f>
        <v>1vT3QczjVeQXI3BUHWLVlmriSeWuoyjUZOrXtNn1poas</v>
      </c>
      <c r="H117" s="26" t="str">
        <f>Sheet1!AV117</f>
        <v/>
      </c>
      <c r="I117" s="26" t="str">
        <f>Sheet1!AW117</f>
        <v/>
      </c>
      <c r="J117" s="26" t="str">
        <f>Sheet1!P117</f>
        <v>Dealer</v>
      </c>
      <c r="K117" s="26" t="str">
        <f>Sheet1!AZ117</f>
        <v>No</v>
      </c>
      <c r="L117" s="26" t="str">
        <f>Sheet1!BA117</f>
        <v>No</v>
      </c>
      <c r="M117" s="26" t="str">
        <f>Sheet1!BB117</f>
        <v>No</v>
      </c>
      <c r="N117" s="26">
        <f>Sheet1!BC117</f>
        <v>0</v>
      </c>
    </row>
    <row r="118">
      <c r="A118" s="25" t="str">
        <f>(Sheet1!A118)</f>
        <v>1tXTdyZsoSXVb9B3iBitP1V6V5cBJgmDdDrd7x6dN0R4</v>
      </c>
      <c r="B118" s="25" t="str">
        <f>(Sheet1!B118)</f>
        <v>Vijay Auto Agency (AAA) - Borna</v>
      </c>
      <c r="C118" s="26">
        <f>'Balance Sheet'!$DX118</f>
        <v>0</v>
      </c>
      <c r="D118" s="26">
        <f>'Old Combined Balance Sheet'!A118 + 'Balance Sheet - FGI Insurance -'!CF118</f>
        <v>0</v>
      </c>
      <c r="E118" s="26">
        <f t="shared" si="1"/>
        <v>0</v>
      </c>
      <c r="F118" s="26" t="str">
        <f>Sheet1!N118</f>
        <v>AAA</v>
      </c>
      <c r="G118" s="26" t="str">
        <f>Sheet1!O118</f>
        <v>1AjVyIHPgPw3jscNmkTH1qzR2RokK5FZaJLjeNfOiYAA</v>
      </c>
      <c r="H118" s="26" t="str">
        <f>Sheet1!AV118</f>
        <v/>
      </c>
      <c r="I118" s="26" t="str">
        <f>Sheet1!AW118</f>
        <v/>
      </c>
      <c r="J118" s="26" t="str">
        <f>Sheet1!P118</f>
        <v>Sub Dealer</v>
      </c>
      <c r="K118" s="26" t="str">
        <f>Sheet1!AZ118</f>
        <v>No</v>
      </c>
      <c r="L118" s="26" t="str">
        <f>Sheet1!BA118</f>
        <v>No</v>
      </c>
      <c r="M118" s="26" t="str">
        <f>Sheet1!BB118</f>
        <v>No</v>
      </c>
      <c r="N118" s="26">
        <f>Sheet1!BC118</f>
        <v>0</v>
      </c>
    </row>
    <row r="119">
      <c r="A119" s="25" t="str">
        <f>(Sheet1!A119)</f>
        <v>11FZlKtFUzBvNAVUVwf1C2KpyoxHhbZTiI7E_EdPr-mg</v>
      </c>
      <c r="B119" s="25" t="str">
        <f>(Sheet1!B119)</f>
        <v>Sumitra Sons - Shahajahanpur</v>
      </c>
      <c r="C119" s="26">
        <f>'Balance Sheet'!$DX119</f>
        <v>19103</v>
      </c>
      <c r="D119" s="26">
        <f>'Old Combined Balance Sheet'!A119 + 'Balance Sheet - FGI Insurance -'!CF119</f>
        <v>0</v>
      </c>
      <c r="E119" s="26">
        <f t="shared" si="1"/>
        <v>19103</v>
      </c>
      <c r="F119" s="26" t="str">
        <f>Sheet1!N119</f>
        <v>Sumitra Sons - Shahajahanpur</v>
      </c>
      <c r="G119" s="26" t="str">
        <f>Sheet1!O119</f>
        <v>11FZlKtFUzBvNAVUVwf1C2KpyoxHhbZTiI7E_EdPr-mg</v>
      </c>
      <c r="H119" s="26" t="str">
        <f>Sheet1!AV119</f>
        <v/>
      </c>
      <c r="I119" s="26" t="str">
        <f>Sheet1!AW119</f>
        <v/>
      </c>
      <c r="J119" s="26" t="str">
        <f>Sheet1!P119</f>
        <v>Dealer</v>
      </c>
      <c r="K119" s="26" t="str">
        <f>Sheet1!AZ119</f>
        <v>No</v>
      </c>
      <c r="L119" s="26" t="str">
        <f>Sheet1!BA119</f>
        <v>No</v>
      </c>
      <c r="M119" s="26" t="str">
        <f>Sheet1!BB119</f>
        <v>No</v>
      </c>
      <c r="N119" s="26">
        <f>Sheet1!BC119</f>
        <v>0</v>
      </c>
    </row>
    <row r="120">
      <c r="A120" s="25" t="str">
        <f>(Sheet1!A120)</f>
        <v>1Ls4odXuMLfeohk9ZIC00W0M7HKTZolVgkr-fVY8YwrQ</v>
      </c>
      <c r="B120" s="25" t="str">
        <f>(Sheet1!B120)</f>
        <v>R N Motors - Rampur</v>
      </c>
      <c r="C120" s="26">
        <f>'Balance Sheet'!$DX120</f>
        <v>0</v>
      </c>
      <c r="D120" s="26">
        <f>'Old Combined Balance Sheet'!A120 + 'Balance Sheet - FGI Insurance -'!CF120</f>
        <v>0</v>
      </c>
      <c r="E120" s="26">
        <f t="shared" si="1"/>
        <v>0</v>
      </c>
      <c r="F120" s="26" t="str">
        <f>Sheet1!N120</f>
        <v>R N Motors - Rampur</v>
      </c>
      <c r="G120" s="26" t="str">
        <f>Sheet1!O120</f>
        <v>1Ls4odXuMLfeohk9ZIC00W0M7HKTZolVgkr-fVY8YwrQ</v>
      </c>
      <c r="H120" s="26" t="str">
        <f>Sheet1!AV120</f>
        <v/>
      </c>
      <c r="I120" s="26" t="str">
        <f>Sheet1!AW120</f>
        <v/>
      </c>
      <c r="J120" s="26" t="str">
        <f>Sheet1!P120</f>
        <v>Dealer</v>
      </c>
      <c r="K120" s="26" t="str">
        <f>Sheet1!AZ120</f>
        <v>No</v>
      </c>
      <c r="L120" s="26" t="str">
        <f>Sheet1!BA120</f>
        <v>No</v>
      </c>
      <c r="M120" s="26" t="str">
        <f>Sheet1!BB120</f>
        <v>No</v>
      </c>
      <c r="N120" s="26">
        <f>Sheet1!BC120</f>
        <v>0</v>
      </c>
    </row>
    <row r="121">
      <c r="A121" s="25" t="str">
        <f>(Sheet1!A121)</f>
        <v>1egrFzds1dA_qcyd-YeJKBrt74ORJ0Jzk4cfbN-wYoKI</v>
      </c>
      <c r="B121" s="25" t="str">
        <f>(Sheet1!B121)</f>
        <v>Venus Hero Venture - Firozabad</v>
      </c>
      <c r="C121" s="26">
        <f>'Balance Sheet'!$DX121</f>
        <v>104113</v>
      </c>
      <c r="D121" s="26">
        <f>'Old Combined Balance Sheet'!A121 + 'Balance Sheet - FGI Insurance -'!CF121</f>
        <v>0</v>
      </c>
      <c r="E121" s="26">
        <f t="shared" si="1"/>
        <v>104113</v>
      </c>
      <c r="F121" s="26" t="str">
        <f>Sheet1!N121</f>
        <v>Venus Hero Venture - Firozabad</v>
      </c>
      <c r="G121" s="26" t="str">
        <f>Sheet1!O121</f>
        <v>1egrFzds1dA_qcyd-YeJKBrt74ORJ0Jzk4cfbN-wYoKI</v>
      </c>
      <c r="H121" s="26" t="str">
        <f>Sheet1!AV121</f>
        <v/>
      </c>
      <c r="I121" s="26" t="str">
        <f>Sheet1!AW121</f>
        <v/>
      </c>
      <c r="J121" s="26" t="str">
        <f>Sheet1!P121</f>
        <v>Dealer</v>
      </c>
      <c r="K121" s="26" t="str">
        <f>Sheet1!AZ121</f>
        <v>No</v>
      </c>
      <c r="L121" s="26" t="str">
        <f>Sheet1!BA121</f>
        <v>No</v>
      </c>
      <c r="M121" s="26" t="str">
        <f>Sheet1!BB121</f>
        <v>No</v>
      </c>
      <c r="N121" s="26">
        <f>Sheet1!BC121</f>
        <v>0</v>
      </c>
    </row>
    <row r="122">
      <c r="A122" s="25" t="str">
        <f>(Sheet1!A122)</f>
        <v>1ra6mHCXtOkmX_f5VYmZIM-O0h_lwV1ZF943CChQWm44</v>
      </c>
      <c r="B122" s="25" t="str">
        <f>(Sheet1!B122)</f>
        <v>VAW - Ramghat Road</v>
      </c>
      <c r="C122" s="26">
        <f>'Balance Sheet'!$DX122</f>
        <v>0</v>
      </c>
      <c r="D122" s="26">
        <f>'Old Combined Balance Sheet'!A122 + 'Balance Sheet - FGI Insurance -'!CF122</f>
        <v>0</v>
      </c>
      <c r="E122" s="26">
        <f t="shared" si="1"/>
        <v>0</v>
      </c>
      <c r="F122" s="26" t="str">
        <f>Sheet1!N122</f>
        <v>Vikas Autowheels</v>
      </c>
      <c r="G122" s="26" t="str">
        <f>Sheet1!O122</f>
        <v>1944RLX7T1M23YXRXYoMnJ6nD_bKLldQXRpFRA0rDLvg</v>
      </c>
      <c r="H122" s="26" t="str">
        <f>Sheet1!AV122</f>
        <v/>
      </c>
      <c r="I122" s="26" t="str">
        <f>Sheet1!AW122</f>
        <v/>
      </c>
      <c r="J122" s="26" t="str">
        <f>Sheet1!P122</f>
        <v>Sub Dealer</v>
      </c>
      <c r="K122" s="26" t="str">
        <f>Sheet1!AZ122</f>
        <v>Yes</v>
      </c>
      <c r="L122" s="26" t="str">
        <f>Sheet1!BA122</f>
        <v>No</v>
      </c>
      <c r="M122" s="26" t="str">
        <f>Sheet1!BB122</f>
        <v>No</v>
      </c>
      <c r="N122" s="26">
        <f>Sheet1!BC122</f>
        <v>0</v>
      </c>
    </row>
    <row r="123">
      <c r="A123" s="25" t="str">
        <f>(Sheet1!A123)</f>
        <v>1TvRQZ8YHmTzU37pKeH-YEX0J0a9zBflsEJs2L0GfFao</v>
      </c>
      <c r="B123" s="25" t="str">
        <f>(Sheet1!B123)</f>
        <v>VAW - Kodiaganj</v>
      </c>
      <c r="C123" s="26">
        <f>'Balance Sheet'!$DX123</f>
        <v>0</v>
      </c>
      <c r="D123" s="26">
        <f>'Old Combined Balance Sheet'!A123 + 'Balance Sheet - FGI Insurance -'!CF123</f>
        <v>0</v>
      </c>
      <c r="E123" s="26">
        <f t="shared" si="1"/>
        <v>0</v>
      </c>
      <c r="F123" s="26" t="str">
        <f>Sheet1!N123</f>
        <v>Vikas Autowheels</v>
      </c>
      <c r="G123" s="26" t="str">
        <f>Sheet1!O123</f>
        <v>1944RLX7T1M23YXRXYoMnJ6nD_bKLldQXRpFRA0rDLvg</v>
      </c>
      <c r="H123" s="26" t="str">
        <f>Sheet1!AV123</f>
        <v/>
      </c>
      <c r="I123" s="26" t="str">
        <f>Sheet1!AW123</f>
        <v/>
      </c>
      <c r="J123" s="26" t="str">
        <f>Sheet1!P123</f>
        <v>Sub Dealer</v>
      </c>
      <c r="K123" s="26" t="str">
        <f>Sheet1!AZ123</f>
        <v>Yes</v>
      </c>
      <c r="L123" s="26" t="str">
        <f>Sheet1!BA123</f>
        <v>No</v>
      </c>
      <c r="M123" s="26" t="str">
        <f>Sheet1!BB123</f>
        <v>No</v>
      </c>
      <c r="N123" s="26">
        <f>Sheet1!BC123</f>
        <v>0</v>
      </c>
    </row>
    <row r="124">
      <c r="A124" s="25" t="str">
        <f>(Sheet1!A124)</f>
        <v>1bYwIVlCfU99TAHdvICTPeCyAgj9qA4D16LviL3oq-wg</v>
      </c>
      <c r="B124" s="25" t="str">
        <f>(Sheet1!B124)</f>
        <v>VAW - Iglas</v>
      </c>
      <c r="C124" s="26">
        <f>'Balance Sheet'!$DX124</f>
        <v>0</v>
      </c>
      <c r="D124" s="26">
        <f>'Old Combined Balance Sheet'!A124 + 'Balance Sheet - FGI Insurance -'!CF124</f>
        <v>0</v>
      </c>
      <c r="E124" s="26">
        <f t="shared" si="1"/>
        <v>0</v>
      </c>
      <c r="F124" s="26" t="str">
        <f>Sheet1!N124</f>
        <v>Vikas Autowheels</v>
      </c>
      <c r="G124" s="26" t="str">
        <f>Sheet1!O124</f>
        <v>1944RLX7T1M23YXRXYoMnJ6nD_bKLldQXRpFRA0rDLvg</v>
      </c>
      <c r="H124" s="26" t="str">
        <f>Sheet1!AV124</f>
        <v/>
      </c>
      <c r="I124" s="26" t="str">
        <f>Sheet1!AW124</f>
        <v/>
      </c>
      <c r="J124" s="26" t="str">
        <f>Sheet1!P124</f>
        <v>Sub Dealer</v>
      </c>
      <c r="K124" s="26" t="str">
        <f>Sheet1!AZ124</f>
        <v>Yes</v>
      </c>
      <c r="L124" s="26" t="str">
        <f>Sheet1!BA124</f>
        <v>No</v>
      </c>
      <c r="M124" s="26" t="str">
        <f>Sheet1!BB124</f>
        <v>No</v>
      </c>
      <c r="N124" s="26">
        <f>Sheet1!BC124</f>
        <v>0</v>
      </c>
    </row>
    <row r="125">
      <c r="A125" s="25" t="str">
        <f>(Sheet1!A125)</f>
        <v>1n0q72v9I-kw0RzKIviLdrLa2PsoBQvNEL7tOwmkWW5Y</v>
      </c>
      <c r="B125" s="25" t="str">
        <f>(Sheet1!B125)</f>
        <v>VAW - Agra Road</v>
      </c>
      <c r="C125" s="26">
        <f>'Balance Sheet'!$DX125</f>
        <v>0</v>
      </c>
      <c r="D125" s="26">
        <f>'Old Combined Balance Sheet'!A125 + 'Balance Sheet - FGI Insurance -'!CF125</f>
        <v>0</v>
      </c>
      <c r="E125" s="26">
        <f t="shared" si="1"/>
        <v>0</v>
      </c>
      <c r="F125" s="26" t="str">
        <f>Sheet1!N125</f>
        <v>Vikas Autowheels</v>
      </c>
      <c r="G125" s="26" t="str">
        <f>Sheet1!O125</f>
        <v>1944RLX7T1M23YXRXYoMnJ6nD_bKLldQXRpFRA0rDLvg</v>
      </c>
      <c r="H125" s="26" t="str">
        <f>Sheet1!AV125</f>
        <v/>
      </c>
      <c r="I125" s="26" t="str">
        <f>Sheet1!AW125</f>
        <v/>
      </c>
      <c r="J125" s="26" t="str">
        <f>Sheet1!P125</f>
        <v>Sub Dealer</v>
      </c>
      <c r="K125" s="26" t="str">
        <f>Sheet1!AZ125</f>
        <v>Yes</v>
      </c>
      <c r="L125" s="26" t="str">
        <f>Sheet1!BA125</f>
        <v>No</v>
      </c>
      <c r="M125" s="26" t="str">
        <f>Sheet1!BB125</f>
        <v>No</v>
      </c>
      <c r="N125" s="26">
        <f>Sheet1!BC125</f>
        <v>0</v>
      </c>
    </row>
    <row r="126">
      <c r="A126" s="25" t="str">
        <f>(Sheet1!A126)</f>
        <v>1xZLFmrgIQQCVIpiqSQdZXo8Z3s5icym4MeFUuARl1dw</v>
      </c>
      <c r="B126" s="25" t="str">
        <f>(Sheet1!B126)</f>
        <v>OM TVS</v>
      </c>
      <c r="C126" s="26">
        <f>'Balance Sheet'!$DX126</f>
        <v>0</v>
      </c>
      <c r="D126" s="26">
        <f>'Old Combined Balance Sheet'!A126 + 'Balance Sheet - FGI Insurance -'!CF126</f>
        <v>0</v>
      </c>
      <c r="E126" s="26">
        <f t="shared" si="1"/>
        <v>0</v>
      </c>
      <c r="F126" s="26" t="str">
        <f>Sheet1!N126</f>
        <v>OM TVS</v>
      </c>
      <c r="G126" s="26" t="str">
        <f>Sheet1!O126</f>
        <v>1xZLFmrgIQQCVIpiqSQdZXo8Z3s5icym4MeFUuARl1dw</v>
      </c>
      <c r="H126" s="26" t="str">
        <f>Sheet1!AV126</f>
        <v/>
      </c>
      <c r="I126" s="26" t="str">
        <f>Sheet1!AW126</f>
        <v/>
      </c>
      <c r="J126" s="26" t="str">
        <f>Sheet1!P126</f>
        <v>Dealer</v>
      </c>
      <c r="K126" s="26" t="str">
        <f>Sheet1!AZ126</f>
        <v>No</v>
      </c>
      <c r="L126" s="26" t="str">
        <f>Sheet1!BA126</f>
        <v>No</v>
      </c>
      <c r="M126" s="26" t="str">
        <f>Sheet1!BB126</f>
        <v>No</v>
      </c>
      <c r="N126" s="26">
        <f>Sheet1!BC126</f>
        <v>0</v>
      </c>
    </row>
    <row r="127">
      <c r="A127" s="25" t="str">
        <f>(Sheet1!A127)</f>
        <v>1QKcWwefYRSJheyPsGSz_GjUfTv41Syg0k2USNB-hpQs</v>
      </c>
      <c r="B127" s="25" t="str">
        <f>(Sheet1!B127)</f>
        <v>Darshan Sons (Sumitra Sons) - shahjahanpur</v>
      </c>
      <c r="C127" s="26">
        <f>'Balance Sheet'!$DX127</f>
        <v>0</v>
      </c>
      <c r="D127" s="26">
        <f>'Old Combined Balance Sheet'!A127 + 'Balance Sheet - FGI Insurance -'!CF127</f>
        <v>0</v>
      </c>
      <c r="E127" s="26">
        <f t="shared" si="1"/>
        <v>0</v>
      </c>
      <c r="F127" s="26" t="str">
        <f>Sheet1!N127</f>
        <v>Sumitra Sons - Shahajahanpur</v>
      </c>
      <c r="G127" s="26" t="str">
        <f>Sheet1!O127</f>
        <v>11FZlKtFUzBvNAVUVwf1C2KpyoxHhbZTiI7E_EdPr-mg</v>
      </c>
      <c r="H127" s="26" t="str">
        <f>Sheet1!AV127</f>
        <v/>
      </c>
      <c r="I127" s="26" t="str">
        <f>Sheet1!AW127</f>
        <v/>
      </c>
      <c r="J127" s="26" t="str">
        <f>Sheet1!P127</f>
        <v>Sub Dealer</v>
      </c>
      <c r="K127" s="26" t="str">
        <f>Sheet1!AZ127</f>
        <v>No</v>
      </c>
      <c r="L127" s="26" t="str">
        <f>Sheet1!BA127</f>
        <v>No</v>
      </c>
      <c r="M127" s="26" t="str">
        <f>Sheet1!BB127</f>
        <v>No</v>
      </c>
      <c r="N127" s="26">
        <f>Sheet1!BC127</f>
        <v>0</v>
      </c>
    </row>
    <row r="128">
      <c r="A128" s="25" t="str">
        <f>(Sheet1!A128)</f>
        <v>1vMWNNh-aM1nrCnH4Ps5ul1sg36h7ZiVgWbYyiSJDYW8</v>
      </c>
      <c r="B128" s="25" t="str">
        <f>(Sheet1!B128)</f>
        <v>Tarawati Maurya</v>
      </c>
      <c r="C128" s="26">
        <f>'Balance Sheet'!$DX128</f>
        <v>0</v>
      </c>
      <c r="D128" s="26">
        <f>'Old Combined Balance Sheet'!A128 + 'Balance Sheet - FGI Insurance -'!CF128</f>
        <v>0</v>
      </c>
      <c r="E128" s="26">
        <f t="shared" si="1"/>
        <v>0</v>
      </c>
      <c r="F128" s="26" t="str">
        <f>Sheet1!N128</f>
        <v>Tarawati Maurya</v>
      </c>
      <c r="G128" s="26" t="str">
        <f>Sheet1!O128</f>
        <v>1vMWNNh-aM1nrCnH4Ps5ul1sg36h7ZiVgWbYyiSJDYW8</v>
      </c>
      <c r="H128" s="26" t="str">
        <f>Sheet1!AV128</f>
        <v/>
      </c>
      <c r="I128" s="26" t="str">
        <f>Sheet1!AW128</f>
        <v/>
      </c>
      <c r="J128" s="26" t="str">
        <f>Sheet1!P128</f>
        <v>Dealer</v>
      </c>
      <c r="K128" s="26" t="str">
        <f>Sheet1!AZ128</f>
        <v>No</v>
      </c>
      <c r="L128" s="26" t="str">
        <f>Sheet1!BA128</f>
        <v>No</v>
      </c>
      <c r="M128" s="26" t="str">
        <f>Sheet1!BB128</f>
        <v>No</v>
      </c>
      <c r="N128" s="26">
        <f>Sheet1!BC128</f>
        <v>0</v>
      </c>
    </row>
    <row r="129">
      <c r="A129" s="25" t="str">
        <f>(Sheet1!A129)</f>
        <v>18j4yqkTLlff3QgAQzxbikTB9QfvCJyXh60_rLTsgkUA</v>
      </c>
      <c r="B129" s="25" t="str">
        <f>(Sheet1!B129)</f>
        <v>Jassi Motors - Mainpuri</v>
      </c>
      <c r="C129" s="26">
        <f>'Balance Sheet'!$DX129</f>
        <v>-16630</v>
      </c>
      <c r="D129" s="26">
        <f>'Old Combined Balance Sheet'!A129 + 'Balance Sheet - FGI Insurance -'!CF129</f>
        <v>0</v>
      </c>
      <c r="E129" s="26">
        <f t="shared" si="1"/>
        <v>-16630</v>
      </c>
      <c r="F129" s="26" t="str">
        <f>Sheet1!N129</f>
        <v>Jassi Motors - Mainpuri</v>
      </c>
      <c r="G129" s="26" t="str">
        <f>Sheet1!O129</f>
        <v>18j4yqkTLlff3QgAQzxbikTB9QfvCJyXh60_rLTsgkUA</v>
      </c>
      <c r="H129" s="26" t="str">
        <f>Sheet1!AV129</f>
        <v/>
      </c>
      <c r="I129" s="26" t="str">
        <f>Sheet1!AW129</f>
        <v/>
      </c>
      <c r="J129" s="26" t="str">
        <f>Sheet1!P129</f>
        <v>Dealer</v>
      </c>
      <c r="K129" s="26" t="str">
        <f>Sheet1!AZ129</f>
        <v>No</v>
      </c>
      <c r="L129" s="26" t="str">
        <f>Sheet1!BA129</f>
        <v>No</v>
      </c>
      <c r="M129" s="26" t="str">
        <f>Sheet1!BB129</f>
        <v>No</v>
      </c>
      <c r="N129" s="26">
        <f>Sheet1!BC129</f>
        <v>0</v>
      </c>
    </row>
    <row r="130">
      <c r="A130" s="25" t="str">
        <f>(Sheet1!A130)</f>
        <v>1dV47fJN9zfoEbGvv71kLmpN6o-gQtGRvXq4lwNICvVc</v>
      </c>
      <c r="B130" s="25" t="str">
        <f>(Sheet1!B130)</f>
        <v>Dhansri Motors - Noida</v>
      </c>
      <c r="C130" s="26">
        <f>'Balance Sheet'!$DX130</f>
        <v>-96773.58</v>
      </c>
      <c r="D130" s="26">
        <f>'Old Combined Balance Sheet'!A130 + 'Balance Sheet - FGI Insurance -'!CF130</f>
        <v>0</v>
      </c>
      <c r="E130" s="26">
        <f t="shared" si="1"/>
        <v>-96773.58</v>
      </c>
      <c r="F130" s="26" t="str">
        <f>Sheet1!N130</f>
        <v>Dhansri Motors - Noida</v>
      </c>
      <c r="G130" s="26" t="str">
        <f>Sheet1!O130</f>
        <v>1dV47fJN9zfoEbGvv71kLmpN6o-gQtGRvXq4lwNICvVc</v>
      </c>
      <c r="H130" s="26" t="str">
        <f>Sheet1!AV130</f>
        <v/>
      </c>
      <c r="I130" s="26" t="str">
        <f>Sheet1!AW130</f>
        <v/>
      </c>
      <c r="J130" s="26" t="str">
        <f>Sheet1!P130</f>
        <v>Dealer</v>
      </c>
      <c r="K130" s="26" t="str">
        <f>Sheet1!AZ130</f>
        <v>No</v>
      </c>
      <c r="L130" s="26" t="str">
        <f>Sheet1!BA130</f>
        <v>No</v>
      </c>
      <c r="M130" s="26" t="str">
        <f>Sheet1!BB130</f>
        <v>No</v>
      </c>
      <c r="N130" s="26">
        <f>Sheet1!BC130</f>
        <v>0</v>
      </c>
    </row>
    <row r="131">
      <c r="A131" s="25" t="str">
        <f>(Sheet1!A131)</f>
        <v>1QtE2j1s3tO4so4-6brIBcxG25GkuhYSP382fzi5rqdw</v>
      </c>
      <c r="B131" s="25" t="str">
        <f>(Sheet1!B131)</f>
        <v>Lalit Mohan sharma</v>
      </c>
      <c r="C131" s="26">
        <f>'Balance Sheet'!$DX131</f>
        <v>0</v>
      </c>
      <c r="D131" s="26">
        <f>'Old Combined Balance Sheet'!A131 + 'Balance Sheet - FGI Insurance -'!CF131</f>
        <v>0</v>
      </c>
      <c r="E131" s="26">
        <f t="shared" si="1"/>
        <v>0</v>
      </c>
      <c r="F131" s="26" t="str">
        <f>Sheet1!N131</f>
        <v>Lalit Mohan sharma</v>
      </c>
      <c r="G131" s="26" t="str">
        <f>Sheet1!O131</f>
        <v>1QtE2j1s3tO4so4-6brIBcxG25GkuhYSP382fzi5rqdw</v>
      </c>
      <c r="H131" s="26" t="str">
        <f>Sheet1!AV131</f>
        <v/>
      </c>
      <c r="I131" s="26" t="str">
        <f>Sheet1!AW131</f>
        <v/>
      </c>
      <c r="J131" s="26" t="str">
        <f>Sheet1!P131</f>
        <v>Dealer</v>
      </c>
      <c r="K131" s="26" t="str">
        <f>Sheet1!AZ131</f>
        <v>No</v>
      </c>
      <c r="L131" s="26" t="str">
        <f>Sheet1!BA131</f>
        <v>No</v>
      </c>
      <c r="M131" s="26" t="str">
        <f>Sheet1!BB131</f>
        <v>No</v>
      </c>
      <c r="N131" s="26">
        <f>Sheet1!BC131</f>
        <v>0</v>
      </c>
    </row>
    <row r="132">
      <c r="A132" s="25" t="str">
        <f>(Sheet1!A132)</f>
        <v>1d-fClpNuQDkiOpgBIcTAkZx1QbsS35V0oPcKli3TAOc</v>
      </c>
      <c r="B132" s="25" t="str">
        <f>(Sheet1!B132)</f>
        <v>Lalit Mohan Sharma</v>
      </c>
      <c r="C132" s="26">
        <f>'Balance Sheet'!$DX132</f>
        <v>729.15</v>
      </c>
      <c r="D132" s="26">
        <f>'Old Combined Balance Sheet'!A132 + 'Balance Sheet - FGI Insurance -'!CF132</f>
        <v>0</v>
      </c>
      <c r="E132" s="26">
        <f t="shared" si="1"/>
        <v>729.15</v>
      </c>
      <c r="F132" s="26" t="str">
        <f>Sheet1!N132</f>
        <v>Lalit Mohan Sharma</v>
      </c>
      <c r="G132" s="26" t="str">
        <f>Sheet1!O132</f>
        <v>1d-fClpNuQDkiOpgBIcTAkZx1QbsS35V0oPcKli3TAOc</v>
      </c>
      <c r="H132" s="26" t="str">
        <f>Sheet1!AV132</f>
        <v/>
      </c>
      <c r="I132" s="26" t="str">
        <f>Sheet1!AW132</f>
        <v/>
      </c>
      <c r="J132" s="26" t="str">
        <f>Sheet1!P132</f>
        <v>Dealer</v>
      </c>
      <c r="K132" s="26" t="str">
        <f>Sheet1!AZ132</f>
        <v>No</v>
      </c>
      <c r="L132" s="26" t="str">
        <f>Sheet1!BA132</f>
        <v>No</v>
      </c>
      <c r="M132" s="26" t="str">
        <f>Sheet1!BB132</f>
        <v>No</v>
      </c>
      <c r="N132" s="26">
        <f>Sheet1!BC132</f>
        <v>0</v>
      </c>
    </row>
    <row r="133">
      <c r="A133" s="25" t="str">
        <f>(Sheet1!A133)</f>
        <v>1whkrB_X-9Od4l-1CkkLvnSLfIwfTyRMI1A3rhlUbkHU</v>
      </c>
      <c r="B133" s="25" t="str">
        <f>(Sheet1!B133)</f>
        <v>Titan Automobiles - Chhattisgarh</v>
      </c>
      <c r="C133" s="26">
        <f>'Balance Sheet'!$DX133</f>
        <v>20168.42</v>
      </c>
      <c r="D133" s="26">
        <f>'Old Combined Balance Sheet'!A133 + 'Balance Sheet - FGI Insurance -'!CF133</f>
        <v>0</v>
      </c>
      <c r="E133" s="26">
        <f t="shared" si="1"/>
        <v>20168.42</v>
      </c>
      <c r="F133" s="26" t="str">
        <f>Sheet1!N133</f>
        <v>Titan Automobiles - Chhattisgarh</v>
      </c>
      <c r="G133" s="26" t="str">
        <f>Sheet1!O133</f>
        <v>1whkrB_X-9Od4l-1CkkLvnSLfIwfTyRMI1A3rhlUbkHU</v>
      </c>
      <c r="H133" s="26" t="str">
        <f>Sheet1!AV133</f>
        <v/>
      </c>
      <c r="I133" s="26" t="str">
        <f>Sheet1!AW133</f>
        <v/>
      </c>
      <c r="J133" s="26" t="str">
        <f>Sheet1!P133</f>
        <v>Dealer</v>
      </c>
      <c r="K133" s="26" t="str">
        <f>Sheet1!AZ133</f>
        <v>No</v>
      </c>
      <c r="L133" s="26" t="str">
        <f>Sheet1!BA133</f>
        <v>No</v>
      </c>
      <c r="M133" s="26" t="str">
        <f>Sheet1!BB133</f>
        <v>No</v>
      </c>
      <c r="N133" s="26">
        <f>Sheet1!BC133</f>
        <v>0</v>
      </c>
    </row>
    <row r="134">
      <c r="A134" s="25" t="str">
        <f>(Sheet1!A134)</f>
        <v>1R-KBg0YkrorE8DStygYpBSvRKir_GExYWSoR962MR28</v>
      </c>
      <c r="B134" s="25" t="str">
        <f>(Sheet1!B134)</f>
        <v>Infinity Auto - Delhi</v>
      </c>
      <c r="C134" s="26">
        <f>'Balance Sheet'!$DX134</f>
        <v>0</v>
      </c>
      <c r="D134" s="26">
        <f>'Old Combined Balance Sheet'!A134 + 'Balance Sheet - FGI Insurance -'!CF134</f>
        <v>0</v>
      </c>
      <c r="E134" s="26">
        <f t="shared" si="1"/>
        <v>0</v>
      </c>
      <c r="F134" s="26" t="str">
        <f>Sheet1!N134</f>
        <v>Infinity Auto - Delhi</v>
      </c>
      <c r="G134" s="26" t="str">
        <f>Sheet1!O134</f>
        <v>1R-KBg0YkrorE8DStygYpBSvRKir_GExYWSoR962MR28</v>
      </c>
      <c r="H134" s="26" t="str">
        <f>Sheet1!AV134</f>
        <v/>
      </c>
      <c r="I134" s="26" t="str">
        <f>Sheet1!AW134</f>
        <v/>
      </c>
      <c r="J134" s="26" t="str">
        <f>Sheet1!P134</f>
        <v>Dealer</v>
      </c>
      <c r="K134" s="26" t="str">
        <f>Sheet1!AZ134</f>
        <v>No</v>
      </c>
      <c r="L134" s="26" t="str">
        <f>Sheet1!BA134</f>
        <v>No</v>
      </c>
      <c r="M134" s="26" t="str">
        <f>Sheet1!BB134</f>
        <v>No</v>
      </c>
      <c r="N134" s="26">
        <f>Sheet1!BC134</f>
        <v>0</v>
      </c>
    </row>
    <row r="135">
      <c r="A135" s="25" t="str">
        <f>(Sheet1!A135)</f>
        <v>1gpkFkt64SOPtUdTLgYHh3ywX3j8A0gBqJpCUqa9mZ2E</v>
      </c>
      <c r="B135" s="25" t="str">
        <f>(Sheet1!B135)</f>
        <v>Shri Ganga Motors(KAB)- DIWAI</v>
      </c>
      <c r="C135" s="26">
        <f>'Balance Sheet'!$DX135</f>
        <v>0</v>
      </c>
      <c r="D135" s="26">
        <f>'Old Combined Balance Sheet'!A135 + 'Balance Sheet - FGI Insurance -'!CF135</f>
        <v>0</v>
      </c>
      <c r="E135" s="26">
        <f t="shared" si="1"/>
        <v>0</v>
      </c>
      <c r="F135" s="26" t="str">
        <f>Sheet1!N135</f>
        <v>Krishna Hero - Bulandshahr</v>
      </c>
      <c r="G135" s="26" t="str">
        <f>Sheet1!O135</f>
        <v>1mX_ZCiMgVCd3AONQ2zBbbc9wQ6Mlj2RvmkSWdpWht-8</v>
      </c>
      <c r="H135" s="26" t="str">
        <f>Sheet1!AV135</f>
        <v/>
      </c>
      <c r="I135" s="26" t="str">
        <f>Sheet1!AW135</f>
        <v/>
      </c>
      <c r="J135" s="26" t="str">
        <f>Sheet1!P135</f>
        <v>Sub Dealer</v>
      </c>
      <c r="K135" s="26" t="str">
        <f>Sheet1!AZ135</f>
        <v>Yes</v>
      </c>
      <c r="L135" s="26" t="str">
        <f>Sheet1!BA135</f>
        <v>No</v>
      </c>
      <c r="M135" s="26" t="str">
        <f>Sheet1!BB135</f>
        <v>No</v>
      </c>
      <c r="N135" s="26">
        <f>Sheet1!BC135</f>
        <v>0</v>
      </c>
    </row>
    <row r="136">
      <c r="A136" s="25" t="str">
        <f>(Sheet1!A136)</f>
        <v>10TVZfWpwLQGjQeNEgYtxUDB0Ff-TAcnqGp35yEFO690</v>
      </c>
      <c r="B136" s="25" t="str">
        <f>(Sheet1!B136)</f>
        <v>Raja Motors (KAB) - Anupshahr</v>
      </c>
      <c r="C136" s="26">
        <f>'Balance Sheet'!$DX136</f>
        <v>0</v>
      </c>
      <c r="D136" s="26">
        <f>'Old Combined Balance Sheet'!A136 + 'Balance Sheet - FGI Insurance -'!CF136</f>
        <v>0</v>
      </c>
      <c r="E136" s="26">
        <f t="shared" si="1"/>
        <v>0</v>
      </c>
      <c r="F136" s="26" t="str">
        <f>Sheet1!N136</f>
        <v>Krishna Hero - Bulandshahr</v>
      </c>
      <c r="G136" s="26" t="str">
        <f>Sheet1!O136</f>
        <v>1mX_ZCiMgVCd3AONQ2zBbbc9wQ6Mlj2RvmkSWdpWht-8</v>
      </c>
      <c r="H136" s="26" t="str">
        <f>Sheet1!AV136</f>
        <v/>
      </c>
      <c r="I136" s="26" t="str">
        <f>Sheet1!AW136</f>
        <v/>
      </c>
      <c r="J136" s="26" t="str">
        <f>Sheet1!P136</f>
        <v>Sub Dealer</v>
      </c>
      <c r="K136" s="26" t="str">
        <f>Sheet1!AZ136</f>
        <v>Yes</v>
      </c>
      <c r="L136" s="26" t="str">
        <f>Sheet1!BA136</f>
        <v>No</v>
      </c>
      <c r="M136" s="26" t="str">
        <f>Sheet1!BB136</f>
        <v>No</v>
      </c>
      <c r="N136" s="26">
        <f>Sheet1!BC136</f>
        <v>0</v>
      </c>
    </row>
    <row r="137">
      <c r="A137" s="25" t="str">
        <f>(Sheet1!A137)</f>
        <v>1_XLcWBp4ERHFxiaI3kI_QYeTmiuf6jLnvzg57PKGdV4</v>
      </c>
      <c r="B137" s="25" t="str">
        <f>(Sheet1!B137)</f>
        <v>Pandit Automobiles (KAB) - Amargarh</v>
      </c>
      <c r="C137" s="26">
        <f>'Balance Sheet'!$DX137</f>
        <v>0</v>
      </c>
      <c r="D137" s="26">
        <f>'Old Combined Balance Sheet'!A137 + 'Balance Sheet - FGI Insurance -'!CF137</f>
        <v>0</v>
      </c>
      <c r="E137" s="26">
        <f t="shared" si="1"/>
        <v>0</v>
      </c>
      <c r="F137" s="26" t="str">
        <f>Sheet1!N137</f>
        <v>Krishna Hero - Bulandshahr</v>
      </c>
      <c r="G137" s="26" t="str">
        <f>Sheet1!O137</f>
        <v>1mX_ZCiMgVCd3AONQ2zBbbc9wQ6Mlj2RvmkSWdpWht-8</v>
      </c>
      <c r="H137" s="26" t="str">
        <f>Sheet1!AV137</f>
        <v/>
      </c>
      <c r="I137" s="26" t="str">
        <f>Sheet1!AW137</f>
        <v/>
      </c>
      <c r="J137" s="26" t="str">
        <f>Sheet1!P137</f>
        <v>Sub Dealer</v>
      </c>
      <c r="K137" s="26" t="str">
        <f>Sheet1!AZ137</f>
        <v>Yes</v>
      </c>
      <c r="L137" s="26" t="str">
        <f>Sheet1!BA137</f>
        <v>No</v>
      </c>
      <c r="M137" s="26" t="str">
        <f>Sheet1!BB137</f>
        <v>No</v>
      </c>
      <c r="N137" s="26">
        <f>Sheet1!BC137</f>
        <v>0</v>
      </c>
    </row>
    <row r="138">
      <c r="A138" s="25" t="str">
        <f>(Sheet1!A138)</f>
        <v>1Kqyxw-0LSboMEeSuqYrhFgisXxilEf1M2rD8r466Po0</v>
      </c>
      <c r="B138" s="25" t="str">
        <f>(Sheet1!B138)</f>
        <v>Adesh Automobiles (KAB) - Narora</v>
      </c>
      <c r="C138" s="26">
        <f>'Balance Sheet'!$DX138</f>
        <v>0</v>
      </c>
      <c r="D138" s="26">
        <f>'Old Combined Balance Sheet'!A138 + 'Balance Sheet - FGI Insurance -'!CF138</f>
        <v>0</v>
      </c>
      <c r="E138" s="26">
        <f t="shared" si="1"/>
        <v>0</v>
      </c>
      <c r="F138" s="26" t="str">
        <f>Sheet1!N138</f>
        <v>Krishna Hero - Bulandshahr</v>
      </c>
      <c r="G138" s="26" t="str">
        <f>Sheet1!O138</f>
        <v>1mX_ZCiMgVCd3AONQ2zBbbc9wQ6Mlj2RvmkSWdpWht-8</v>
      </c>
      <c r="H138" s="26" t="str">
        <f>Sheet1!AV138</f>
        <v/>
      </c>
      <c r="I138" s="26" t="str">
        <f>Sheet1!AW138</f>
        <v/>
      </c>
      <c r="J138" s="26" t="str">
        <f>Sheet1!P138</f>
        <v>Sub Dealer</v>
      </c>
      <c r="K138" s="26" t="str">
        <f>Sheet1!AZ138</f>
        <v>Yes</v>
      </c>
      <c r="L138" s="26" t="str">
        <f>Sheet1!BA138</f>
        <v>No</v>
      </c>
      <c r="M138" s="26" t="str">
        <f>Sheet1!BB138</f>
        <v>No</v>
      </c>
      <c r="N138" s="26">
        <f>Sheet1!BC138</f>
        <v>0</v>
      </c>
    </row>
    <row r="139">
      <c r="A139" s="25" t="str">
        <f>(Sheet1!A139)</f>
        <v>1mPIzaGx8rwte8Mf-mRlb6WTN7sBNGOldRNCSH91K3bY</v>
      </c>
      <c r="B139" s="25" t="str">
        <f>(Sheet1!B139)</f>
        <v>Vikas Motors ( KAB)- JAHANGIRABAD</v>
      </c>
      <c r="C139" s="26">
        <f>'Balance Sheet'!$DX139</f>
        <v>0</v>
      </c>
      <c r="D139" s="26">
        <f>'Old Combined Balance Sheet'!A139 + 'Balance Sheet - FGI Insurance -'!CF139</f>
        <v>0</v>
      </c>
      <c r="E139" s="26">
        <f t="shared" si="1"/>
        <v>0</v>
      </c>
      <c r="F139" s="26" t="str">
        <f>Sheet1!N139</f>
        <v>Krishna Hero - Bulandshahr</v>
      </c>
      <c r="G139" s="26" t="str">
        <f>Sheet1!O139</f>
        <v>1mX_ZCiMgVCd3AONQ2zBbbc9wQ6Mlj2RvmkSWdpWht-8</v>
      </c>
      <c r="H139" s="26" t="str">
        <f>Sheet1!AV139</f>
        <v/>
      </c>
      <c r="I139" s="26" t="str">
        <f>Sheet1!AW139</f>
        <v/>
      </c>
      <c r="J139" s="26" t="str">
        <f>Sheet1!P139</f>
        <v>Sub Dealer</v>
      </c>
      <c r="K139" s="26" t="str">
        <f>Sheet1!AZ139</f>
        <v>Yes</v>
      </c>
      <c r="L139" s="26" t="str">
        <f>Sheet1!BA139</f>
        <v>No</v>
      </c>
      <c r="M139" s="26" t="str">
        <f>Sheet1!BB139</f>
        <v>No</v>
      </c>
      <c r="N139" s="26">
        <f>Sheet1!BC139</f>
        <v>0</v>
      </c>
    </row>
    <row r="140">
      <c r="A140" s="25" t="str">
        <f>(Sheet1!A140)</f>
        <v>1mU9iAGn4-HAQ-mbHBoZ8Bo4zVxOSHvTU8RtHuYSW4cI</v>
      </c>
      <c r="B140" s="25" t="str">
        <f>(Sheet1!B140)</f>
        <v>Sonu Motors(KAB)- AURANGABAD</v>
      </c>
      <c r="C140" s="26">
        <f>'Balance Sheet'!$DX140</f>
        <v>0</v>
      </c>
      <c r="D140" s="26">
        <f>'Old Combined Balance Sheet'!A140 + 'Balance Sheet - FGI Insurance -'!CF140</f>
        <v>0</v>
      </c>
      <c r="E140" s="26">
        <f t="shared" si="1"/>
        <v>0</v>
      </c>
      <c r="F140" s="26" t="str">
        <f>Sheet1!N140</f>
        <v>Krishna Hero - Bulandshahr</v>
      </c>
      <c r="G140" s="26" t="str">
        <f>Sheet1!O140</f>
        <v>1mX_ZCiMgVCd3AONQ2zBbbc9wQ6Mlj2RvmkSWdpWht-8</v>
      </c>
      <c r="H140" s="26" t="str">
        <f>Sheet1!AV140</f>
        <v/>
      </c>
      <c r="I140" s="26" t="str">
        <f>Sheet1!AW140</f>
        <v/>
      </c>
      <c r="J140" s="26" t="str">
        <f>Sheet1!P140</f>
        <v>Sub Dealer</v>
      </c>
      <c r="K140" s="26" t="str">
        <f>Sheet1!AZ140</f>
        <v>Yes</v>
      </c>
      <c r="L140" s="26" t="str">
        <f>Sheet1!BA140</f>
        <v>No</v>
      </c>
      <c r="M140" s="26" t="str">
        <f>Sheet1!BB140</f>
        <v>No</v>
      </c>
      <c r="N140" s="26">
        <f>Sheet1!BC140</f>
        <v>0</v>
      </c>
    </row>
    <row r="141">
      <c r="A141" s="25" t="str">
        <f>(Sheet1!A141)</f>
        <v>1eadD90u_QHYWVVLEumQCr0hMVIKVxHEKRn2KsZZbuqc</v>
      </c>
      <c r="B141" s="25" t="str">
        <f>(Sheet1!B141)</f>
        <v>AMAN HERO - GHAZIABAD</v>
      </c>
      <c r="C141" s="26">
        <f>'Balance Sheet'!$DX141</f>
        <v>-29346</v>
      </c>
      <c r="D141" s="26">
        <f>'Old Combined Balance Sheet'!A141 + 'Balance Sheet - FGI Insurance -'!CF141</f>
        <v>0</v>
      </c>
      <c r="E141" s="26">
        <f t="shared" si="1"/>
        <v>-29346</v>
      </c>
      <c r="F141" s="26" t="str">
        <f>Sheet1!N141</f>
        <v>AMAN HERO - GHAZIABAD</v>
      </c>
      <c r="G141" s="26" t="str">
        <f>Sheet1!O141</f>
        <v>1eadD90u_QHYWVVLEumQCr0hMVIKVxHEKRn2KsZZbuqc</v>
      </c>
      <c r="H141" s="26" t="str">
        <f>Sheet1!AV141</f>
        <v/>
      </c>
      <c r="I141" s="26" t="str">
        <f>Sheet1!AW141</f>
        <v/>
      </c>
      <c r="J141" s="26" t="str">
        <f>Sheet1!P141</f>
        <v>Dealer</v>
      </c>
      <c r="K141" s="26" t="str">
        <f>Sheet1!AZ141</f>
        <v>No</v>
      </c>
      <c r="L141" s="26" t="str">
        <f>Sheet1!BA141</f>
        <v>No</v>
      </c>
      <c r="M141" s="26" t="str">
        <f>Sheet1!BB141</f>
        <v>No</v>
      </c>
      <c r="N141" s="26">
        <f>Sheet1!BC141</f>
        <v>0</v>
      </c>
    </row>
    <row r="142">
      <c r="A142" s="25" t="str">
        <f>(Sheet1!A142)</f>
        <v>1eWL9qs4gF2hDOrao950bttsqaQjvqYNOwOArak2wAWY</v>
      </c>
      <c r="B142" s="25" t="str">
        <f>(Sheet1!B142)</f>
        <v>PREMA HONDA- BIHAR(SN)</v>
      </c>
      <c r="C142" s="26">
        <f>'Balance Sheet'!$DX142</f>
        <v>-0.32</v>
      </c>
      <c r="D142" s="26">
        <f>'Old Combined Balance Sheet'!A142 + 'Balance Sheet - FGI Insurance -'!CF142</f>
        <v>0</v>
      </c>
      <c r="E142" s="26">
        <f t="shared" si="1"/>
        <v>-0.32</v>
      </c>
      <c r="F142" s="26" t="str">
        <f>Sheet1!N142</f>
        <v>PREMA HONDA- BIHAR(SN)</v>
      </c>
      <c r="G142" s="26" t="str">
        <f>Sheet1!O142</f>
        <v>1eWL9qs4gF2hDOrao950bttsqaQjvqYNOwOArak2wAWY</v>
      </c>
      <c r="H142" s="26" t="str">
        <f>Sheet1!AV142</f>
        <v/>
      </c>
      <c r="I142" s="26" t="str">
        <f>Sheet1!AW142</f>
        <v/>
      </c>
      <c r="J142" s="26" t="str">
        <f>Sheet1!P142</f>
        <v>Dealer</v>
      </c>
      <c r="K142" s="26" t="str">
        <f>Sheet1!AZ142</f>
        <v>No</v>
      </c>
      <c r="L142" s="26" t="str">
        <f>Sheet1!BA142</f>
        <v>No</v>
      </c>
      <c r="M142" s="26" t="str">
        <f>Sheet1!BB142</f>
        <v>No</v>
      </c>
      <c r="N142" s="26">
        <f>Sheet1!BC142</f>
        <v>0</v>
      </c>
    </row>
    <row r="143">
      <c r="A143" s="25" t="str">
        <f>(Sheet1!A143)</f>
        <v>1rJGxnVgNYw4R0sSIyn3TAqm2-oK_NlkxU2BLo1Qupus</v>
      </c>
      <c r="B143" s="25" t="str">
        <f>(Sheet1!B143)</f>
        <v>Prema Honda-2-BIHAR</v>
      </c>
      <c r="C143" s="26">
        <f>'Balance Sheet'!$DX143</f>
        <v>0</v>
      </c>
      <c r="D143" s="26">
        <f>'Old Combined Balance Sheet'!A143 + 'Balance Sheet - FGI Insurance -'!CF143</f>
        <v>0</v>
      </c>
      <c r="E143" s="26">
        <f t="shared" si="1"/>
        <v>0</v>
      </c>
      <c r="F143" s="26" t="str">
        <f>Sheet1!N143</f>
        <v>Prema Honda-2-BIHAR</v>
      </c>
      <c r="G143" s="26" t="str">
        <f>Sheet1!O143</f>
        <v>1rJGxnVgNYw4R0sSIyn3TAqm2-oK_NlkxU2BLo1Qupus</v>
      </c>
      <c r="H143" s="26" t="str">
        <f>Sheet1!AV143</f>
        <v/>
      </c>
      <c r="I143" s="26" t="str">
        <f>Sheet1!AW143</f>
        <v/>
      </c>
      <c r="J143" s="26" t="str">
        <f>Sheet1!P143</f>
        <v>Dealer</v>
      </c>
      <c r="K143" s="26" t="str">
        <f>Sheet1!AZ143</f>
        <v>No</v>
      </c>
      <c r="L143" s="26" t="str">
        <f>Sheet1!BA143</f>
        <v>No</v>
      </c>
      <c r="M143" s="26" t="str">
        <f>Sheet1!BB143</f>
        <v>No</v>
      </c>
      <c r="N143" s="26">
        <f>Sheet1!BC143</f>
        <v>0</v>
      </c>
    </row>
    <row r="144">
      <c r="A144" s="25" t="str">
        <f>(Sheet1!A144)</f>
        <v>1Y6CS_YCls02UZ2FEArdhqIm2nzY7mjD6osbZ1wBxDHc</v>
      </c>
      <c r="B144" s="25" t="str">
        <f>(Sheet1!B144)</f>
        <v>PREMA HONDA - RING ROAD</v>
      </c>
      <c r="C144" s="26">
        <f>'Balance Sheet'!$DX144</f>
        <v>0</v>
      </c>
      <c r="D144" s="26">
        <f>'Old Combined Balance Sheet'!A144 + 'Balance Sheet - FGI Insurance -'!CF144</f>
        <v>0</v>
      </c>
      <c r="E144" s="26">
        <f t="shared" si="1"/>
        <v>0</v>
      </c>
      <c r="F144" s="26" t="str">
        <f>Sheet1!N144</f>
        <v>PREMA HONDA - RING ROAD</v>
      </c>
      <c r="G144" s="26" t="str">
        <f>Sheet1!O144</f>
        <v>1Y6CS_YCls02UZ2FEArdhqIm2nzY7mjD6osbZ1wBxDHc</v>
      </c>
      <c r="H144" s="26" t="str">
        <f>Sheet1!AV144</f>
        <v/>
      </c>
      <c r="I144" s="26" t="str">
        <f>Sheet1!AW144</f>
        <v/>
      </c>
      <c r="J144" s="26" t="str">
        <f>Sheet1!P144</f>
        <v>Dealer</v>
      </c>
      <c r="K144" s="26" t="str">
        <f>Sheet1!AZ144</f>
        <v>No</v>
      </c>
      <c r="L144" s="26" t="str">
        <f>Sheet1!BA144</f>
        <v>No</v>
      </c>
      <c r="M144" s="26" t="str">
        <f>Sheet1!BB144</f>
        <v>No</v>
      </c>
      <c r="N144" s="26">
        <f>Sheet1!BC144</f>
        <v>0</v>
      </c>
    </row>
    <row r="145">
      <c r="A145" s="25" t="str">
        <f>(Sheet1!A145)</f>
        <v>192zKbFKanpgygP9G48DLmPDTTKNW3gODllZMh9lO2n4</v>
      </c>
      <c r="B145" s="25" t="str">
        <f>(Sheet1!B145)</f>
        <v>Jawahar Motors - Moradabad</v>
      </c>
      <c r="C145" s="26">
        <f>'Balance Sheet'!$DX145</f>
        <v>0</v>
      </c>
      <c r="D145" s="26">
        <f>'Old Combined Balance Sheet'!A145 + 'Balance Sheet - FGI Insurance -'!CF145</f>
        <v>0</v>
      </c>
      <c r="E145" s="26">
        <f t="shared" si="1"/>
        <v>0</v>
      </c>
      <c r="F145" s="26" t="str">
        <f>Sheet1!N145</f>
        <v>Jawahar Motors - Moradabad</v>
      </c>
      <c r="G145" s="26" t="str">
        <f>Sheet1!O145</f>
        <v>192zKbFKanpgygP9G48DLmPDTTKNW3gODllZMh9lO2n4</v>
      </c>
      <c r="H145" s="26" t="str">
        <f>Sheet1!AV145</f>
        <v/>
      </c>
      <c r="I145" s="26" t="str">
        <f>Sheet1!AW145</f>
        <v/>
      </c>
      <c r="J145" s="26" t="str">
        <f>Sheet1!P145</f>
        <v>Dealer</v>
      </c>
      <c r="K145" s="26" t="str">
        <f>Sheet1!AZ145</f>
        <v>No</v>
      </c>
      <c r="L145" s="26" t="str">
        <f>Sheet1!BA145</f>
        <v>No</v>
      </c>
      <c r="M145" s="26" t="str">
        <f>Sheet1!BB145</f>
        <v>No</v>
      </c>
      <c r="N145" s="26">
        <f>Sheet1!BC145</f>
        <v>0</v>
      </c>
    </row>
    <row r="146">
      <c r="A146" s="25" t="str">
        <f>(Sheet1!A146)</f>
        <v>1qQZx2rIu3czgGT-jqqGQhriwwhiT40cPvlLtgeF1YSg</v>
      </c>
      <c r="B146" s="25" t="str">
        <f>(Sheet1!B146)</f>
        <v>Balaji Motors - Hardoi</v>
      </c>
      <c r="C146" s="26">
        <f>'Balance Sheet'!$DX146</f>
        <v>0</v>
      </c>
      <c r="D146" s="26">
        <f>'Old Combined Balance Sheet'!A146 + 'Balance Sheet - FGI Insurance -'!CF146</f>
        <v>0</v>
      </c>
      <c r="E146" s="26">
        <f t="shared" si="1"/>
        <v>0</v>
      </c>
      <c r="F146" s="26" t="str">
        <f>Sheet1!N146</f>
        <v>Balaji Motors - Hardoi</v>
      </c>
      <c r="G146" s="26" t="str">
        <f>Sheet1!O146</f>
        <v>1qQZx2rIu3czgGT-jqqGQhriwwhiT40cPvlLtgeF1YSg</v>
      </c>
      <c r="H146" s="26" t="str">
        <f>Sheet1!AV146</f>
        <v/>
      </c>
      <c r="I146" s="26" t="str">
        <f>Sheet1!AW146</f>
        <v/>
      </c>
      <c r="J146" s="26" t="str">
        <f>Sheet1!P146</f>
        <v>Dealer</v>
      </c>
      <c r="K146" s="26" t="str">
        <f>Sheet1!AZ146</f>
        <v>No</v>
      </c>
      <c r="L146" s="26" t="str">
        <f>Sheet1!BA146</f>
        <v>No</v>
      </c>
      <c r="M146" s="26" t="str">
        <f>Sheet1!BB146</f>
        <v>No</v>
      </c>
      <c r="N146" s="26">
        <f>Sheet1!BC146</f>
        <v>0</v>
      </c>
    </row>
    <row r="147">
      <c r="A147" s="25" t="str">
        <f>(Sheet1!A147)</f>
        <v>1S2YNz2hsIyDIwT68EF1VR8O-D7oanl9HQJpcApwJPG4</v>
      </c>
      <c r="B147" s="25" t="str">
        <f>(Sheet1!B147)</f>
        <v>Vanshadi Motors - Faizabad</v>
      </c>
      <c r="C147" s="26">
        <f>'Balance Sheet'!$DX147</f>
        <v>-262158</v>
      </c>
      <c r="D147" s="26">
        <f>'Old Combined Balance Sheet'!A147 + 'Balance Sheet - FGI Insurance -'!CF147</f>
        <v>0</v>
      </c>
      <c r="E147" s="26">
        <f t="shared" si="1"/>
        <v>-262158</v>
      </c>
      <c r="F147" s="26" t="str">
        <f>Sheet1!N147</f>
        <v>Vanshadi Motors - Faizabad</v>
      </c>
      <c r="G147" s="26" t="str">
        <f>Sheet1!O147</f>
        <v>1S2YNz2hsIyDIwT68EF1VR8O-D7oanl9HQJpcApwJPG4</v>
      </c>
      <c r="H147" s="26" t="str">
        <f>Sheet1!AV147</f>
        <v/>
      </c>
      <c r="I147" s="26" t="str">
        <f>Sheet1!AW147</f>
        <v/>
      </c>
      <c r="J147" s="26" t="str">
        <f>Sheet1!P147</f>
        <v>Dealer</v>
      </c>
      <c r="K147" s="26" t="str">
        <f>Sheet1!AZ147</f>
        <v>Yes</v>
      </c>
      <c r="L147" s="26" t="str">
        <f>Sheet1!BA147</f>
        <v>No</v>
      </c>
      <c r="M147" s="26" t="str">
        <f>Sheet1!BB147</f>
        <v>No</v>
      </c>
      <c r="N147" s="26">
        <f>Sheet1!BC147</f>
        <v>0</v>
      </c>
    </row>
    <row r="148">
      <c r="A148" s="25" t="str">
        <f>(Sheet1!A148)</f>
        <v>1BwcIzZvh2T5Ujlh5jkvkSeatvF-YbuitkQwoRkKGAHU</v>
      </c>
      <c r="B148" s="25" t="str">
        <f>(Sheet1!B148)</f>
        <v>Shree Shyam ji Hero- Meerut</v>
      </c>
      <c r="C148" s="26">
        <f>'Balance Sheet'!$DX148</f>
        <v>-442</v>
      </c>
      <c r="D148" s="26">
        <f>'Old Combined Balance Sheet'!A148 + 'Balance Sheet - FGI Insurance -'!CF148</f>
        <v>0</v>
      </c>
      <c r="E148" s="26">
        <f t="shared" si="1"/>
        <v>-442</v>
      </c>
      <c r="F148" s="26" t="str">
        <f>Sheet1!N148</f>
        <v>Shree Shyam ji Hero- Meerut</v>
      </c>
      <c r="G148" s="26" t="str">
        <f>Sheet1!O148</f>
        <v>1BwcIzZvh2T5Ujlh5jkvkSeatvF-YbuitkQwoRkKGAHU</v>
      </c>
      <c r="H148" s="26" t="str">
        <f>Sheet1!AV148</f>
        <v/>
      </c>
      <c r="I148" s="26" t="str">
        <f>Sheet1!AW148</f>
        <v/>
      </c>
      <c r="J148" s="26" t="str">
        <f>Sheet1!P148</f>
        <v>Dealer</v>
      </c>
      <c r="K148" s="26" t="str">
        <f>Sheet1!AZ148</f>
        <v>No</v>
      </c>
      <c r="L148" s="26" t="str">
        <f>Sheet1!BA148</f>
        <v>No</v>
      </c>
      <c r="M148" s="26" t="str">
        <f>Sheet1!BB148</f>
        <v>No</v>
      </c>
      <c r="N148" s="26">
        <f>Sheet1!BC148</f>
        <v>0</v>
      </c>
    </row>
    <row r="149">
      <c r="A149" s="25" t="str">
        <f>(Sheet1!A149)</f>
        <v>1-RGBeKDN73oqOmm6wKvrYGgPoHhF6AoBWbXbAsegR_M</v>
      </c>
      <c r="B149" s="25" t="str">
        <f>(Sheet1!B149)</f>
        <v>HANSAUTOMOBILE- SHAHJHANPUR(SP)</v>
      </c>
      <c r="C149" s="26">
        <f>'Balance Sheet'!$DX149</f>
        <v>0</v>
      </c>
      <c r="D149" s="26">
        <f>'Old Combined Balance Sheet'!A149 + 'Balance Sheet - FGI Insurance -'!CF149</f>
        <v>0</v>
      </c>
      <c r="E149" s="26">
        <f t="shared" si="1"/>
        <v>0</v>
      </c>
      <c r="F149" s="26" t="str">
        <f>Sheet1!N149</f>
        <v>HANSAUTOMOBILE- SHAHJHANPUR(SP)</v>
      </c>
      <c r="G149" s="26" t="str">
        <f>Sheet1!O149</f>
        <v>1-RGBeKDN73oqOmm6wKvrYGgPoHhF6AoBWbXbAsegR_M</v>
      </c>
      <c r="H149" s="26" t="str">
        <f>Sheet1!AV149</f>
        <v/>
      </c>
      <c r="I149" s="26" t="str">
        <f>Sheet1!AW149</f>
        <v/>
      </c>
      <c r="J149" s="26" t="str">
        <f>Sheet1!P149</f>
        <v>Dealer</v>
      </c>
      <c r="K149" s="26" t="str">
        <f>Sheet1!AZ149</f>
        <v>No</v>
      </c>
      <c r="L149" s="26" t="str">
        <f>Sheet1!BA149</f>
        <v>No</v>
      </c>
      <c r="M149" s="26" t="str">
        <f>Sheet1!BB149</f>
        <v>No</v>
      </c>
      <c r="N149" s="26">
        <f>Sheet1!BC149</f>
        <v>0</v>
      </c>
    </row>
    <row r="150">
      <c r="A150" s="25" t="str">
        <f>(Sheet1!A150)</f>
        <v>1nNUUalGOlMWDdYbk6V0hbfrM7YklXBY-gP0UjcjGIBo</v>
      </c>
      <c r="B150" s="25" t="str">
        <f>(Sheet1!B150)</f>
        <v>GSM BAJAJ- KHANDSA GURGAON-(SP)</v>
      </c>
      <c r="C150" s="26">
        <f>'Balance Sheet'!$DX150</f>
        <v>0</v>
      </c>
      <c r="D150" s="26">
        <f>'Old Combined Balance Sheet'!A150 + 'Balance Sheet - FGI Insurance -'!CF150</f>
        <v>0</v>
      </c>
      <c r="E150" s="26">
        <f t="shared" si="1"/>
        <v>0</v>
      </c>
      <c r="F150" s="26" t="str">
        <f>Sheet1!N150</f>
        <v>GSM BAJAJ- KHANDSA GURGAON-(SP)</v>
      </c>
      <c r="G150" s="26" t="str">
        <f>Sheet1!O150</f>
        <v>1nNUUalGOlMWDdYbk6V0hbfrM7YklXBY-gP0UjcjGIBo</v>
      </c>
      <c r="H150" s="26" t="str">
        <f>Sheet1!AV150</f>
        <v/>
      </c>
      <c r="I150" s="26" t="str">
        <f>Sheet1!AW150</f>
        <v/>
      </c>
      <c r="J150" s="26" t="str">
        <f>Sheet1!P150</f>
        <v>Dealer</v>
      </c>
      <c r="K150" s="26" t="str">
        <f>Sheet1!AZ150</f>
        <v>No</v>
      </c>
      <c r="L150" s="26" t="str">
        <f>Sheet1!BA150</f>
        <v>No</v>
      </c>
      <c r="M150" s="26" t="str">
        <f>Sheet1!BB150</f>
        <v>No</v>
      </c>
      <c r="N150" s="26">
        <f>Sheet1!BC150</f>
        <v>0</v>
      </c>
    </row>
    <row r="151">
      <c r="A151" s="25" t="str">
        <f>(Sheet1!A151)</f>
        <v>1Gr4Dqm3VC_aFirTVGJtSHZmd3Y6Hkd8pWAN1HsALU_o</v>
      </c>
      <c r="B151" s="25" t="str">
        <f>(Sheet1!B151)</f>
        <v>Jay Kumar Arun Kumar Hero - Meerut</v>
      </c>
      <c r="C151" s="26">
        <f>'Balance Sheet'!$DX151</f>
        <v>-1119264</v>
      </c>
      <c r="D151" s="26">
        <f>'Old Combined Balance Sheet'!A151 + 'Balance Sheet - FGI Insurance -'!CF151</f>
        <v>0</v>
      </c>
      <c r="E151" s="26">
        <f t="shared" si="1"/>
        <v>-1119264</v>
      </c>
      <c r="F151" s="26" t="str">
        <f>Sheet1!N151</f>
        <v>Jay Kumar Arun Kumar Hero - Meerut</v>
      </c>
      <c r="G151" s="26" t="str">
        <f>Sheet1!O151</f>
        <v>1Gr4Dqm3VC_aFirTVGJtSHZmd3Y6Hkd8pWAN1HsALU_o</v>
      </c>
      <c r="H151" s="26" t="str">
        <f>Sheet1!AV151</f>
        <v/>
      </c>
      <c r="I151" s="26" t="str">
        <f>Sheet1!AW151</f>
        <v/>
      </c>
      <c r="J151" s="26" t="str">
        <f>Sheet1!P151</f>
        <v>Dealer</v>
      </c>
      <c r="K151" s="26" t="str">
        <f>Sheet1!AZ151</f>
        <v>Yes</v>
      </c>
      <c r="L151" s="26" t="str">
        <f>Sheet1!BA151</f>
        <v>No</v>
      </c>
      <c r="M151" s="26" t="str">
        <f>Sheet1!BB151</f>
        <v>No</v>
      </c>
      <c r="N151" s="26">
        <f>Sheet1!BC151</f>
        <v>0</v>
      </c>
    </row>
    <row r="152">
      <c r="A152" s="25" t="str">
        <f>(Sheet1!A152)</f>
        <v>1lgZm4ATdvS3q8SH9cQmTsfbYjc0IuVfsbWILI4aQOtw</v>
      </c>
      <c r="B152" s="25" t="str">
        <f>(Sheet1!B152)</f>
        <v>CHAUDHARY MOTORS- KHURJA</v>
      </c>
      <c r="C152" s="26">
        <f>'Balance Sheet'!$DX152</f>
        <v>0</v>
      </c>
      <c r="D152" s="26">
        <f>'Old Combined Balance Sheet'!A152 + 'Balance Sheet - FGI Insurance -'!CF152</f>
        <v>0</v>
      </c>
      <c r="E152" s="26">
        <f t="shared" si="1"/>
        <v>0</v>
      </c>
      <c r="F152" s="26" t="str">
        <f>Sheet1!N152</f>
        <v>CHAUDHARY MOTORS- KHURJA</v>
      </c>
      <c r="G152" s="26" t="str">
        <f>Sheet1!O152</f>
        <v>1lgZm4ATdvS3q8SH9cQmTsfbYjc0IuVfsbWILI4aQOtw</v>
      </c>
      <c r="H152" s="26" t="str">
        <f>Sheet1!AV152</f>
        <v/>
      </c>
      <c r="I152" s="26" t="str">
        <f>Sheet1!AW152</f>
        <v/>
      </c>
      <c r="J152" s="26" t="str">
        <f>Sheet1!P152</f>
        <v>Dealer</v>
      </c>
      <c r="K152" s="26" t="str">
        <f>Sheet1!AZ152</f>
        <v>No</v>
      </c>
      <c r="L152" s="26" t="str">
        <f>Sheet1!BA152</f>
        <v>No</v>
      </c>
      <c r="M152" s="26" t="str">
        <f>Sheet1!BB152</f>
        <v>No</v>
      </c>
      <c r="N152" s="26">
        <f>Sheet1!BC152</f>
        <v>0</v>
      </c>
    </row>
    <row r="153">
      <c r="A153" s="25" t="str">
        <f>(Sheet1!A153)</f>
        <v>1pWj6JXfCN2O_M_9nR2upI3ud3_mfmIWPPdWUgAgAe9Y</v>
      </c>
      <c r="B153" s="25" t="str">
        <f>(Sheet1!B153)</f>
        <v>KUNDAN HERO- PUNE</v>
      </c>
      <c r="C153" s="26">
        <f>'Balance Sheet'!$DX153</f>
        <v>968</v>
      </c>
      <c r="D153" s="26">
        <f>'Old Combined Balance Sheet'!A153 + 'Balance Sheet - FGI Insurance -'!CF153</f>
        <v>0</v>
      </c>
      <c r="E153" s="26">
        <f t="shared" si="1"/>
        <v>968</v>
      </c>
      <c r="F153" s="26" t="str">
        <f>Sheet1!N153</f>
        <v>KUNDAN HERO- PUNE</v>
      </c>
      <c r="G153" s="26" t="str">
        <f>Sheet1!O153</f>
        <v>1pWj6JXfCN2O_M_9nR2upI3ud3_mfmIWPPdWUgAgAe9Y</v>
      </c>
      <c r="H153" s="26" t="str">
        <f>Sheet1!AV153</f>
        <v/>
      </c>
      <c r="I153" s="26" t="str">
        <f>Sheet1!AW153</f>
        <v/>
      </c>
      <c r="J153" s="26" t="str">
        <f>Sheet1!P153</f>
        <v>Dealer</v>
      </c>
      <c r="K153" s="26" t="str">
        <f>Sheet1!AZ153</f>
        <v>No</v>
      </c>
      <c r="L153" s="26" t="str">
        <f>Sheet1!BA153</f>
        <v>No</v>
      </c>
      <c r="M153" s="26" t="str">
        <f>Sheet1!BB153</f>
        <v>No</v>
      </c>
      <c r="N153" s="26">
        <f>Sheet1!BC153</f>
        <v>0</v>
      </c>
    </row>
    <row r="154">
      <c r="A154" s="25" t="str">
        <f>(Sheet1!A154)</f>
        <v>12HJShHGOf09kSf0pLTPVE9xJIZSZJH5W8y2DhvGtYRU</v>
      </c>
      <c r="B154" s="25" t="str">
        <f>(Sheet1!B154)</f>
        <v>Badar Motors - Sambhal</v>
      </c>
      <c r="C154" s="26">
        <f>'Balance Sheet'!$DX154</f>
        <v>89.96</v>
      </c>
      <c r="D154" s="26">
        <f>'Old Combined Balance Sheet'!A154 + 'Balance Sheet - FGI Insurance -'!CF154</f>
        <v>0</v>
      </c>
      <c r="E154" s="26">
        <f t="shared" si="1"/>
        <v>89.96</v>
      </c>
      <c r="F154" s="26" t="str">
        <f>Sheet1!N154</f>
        <v>Badar Motors - Sambhal</v>
      </c>
      <c r="G154" s="26" t="str">
        <f>Sheet1!O154</f>
        <v>12HJShHGOf09kSf0pLTPVE9xJIZSZJH5W8y2DhvGtYRU</v>
      </c>
      <c r="H154" s="26" t="str">
        <f>Sheet1!AV154</f>
        <v/>
      </c>
      <c r="I154" s="26" t="str">
        <f>Sheet1!AW154</f>
        <v/>
      </c>
      <c r="J154" s="26" t="str">
        <f>Sheet1!P154</f>
        <v>Dealer</v>
      </c>
      <c r="K154" s="26" t="str">
        <f>Sheet1!AZ154</f>
        <v>Yes</v>
      </c>
      <c r="L154" s="26" t="str">
        <f>Sheet1!BA154</f>
        <v>No</v>
      </c>
      <c r="M154" s="26" t="str">
        <f>Sheet1!BB154</f>
        <v>No</v>
      </c>
      <c r="N154" s="26">
        <f>Sheet1!BC154</f>
        <v>0</v>
      </c>
    </row>
    <row r="155">
      <c r="A155" s="25" t="str">
        <f>(Sheet1!A155)</f>
        <v>1TMTMDBTSLXzi0POas5HDprui-sp3TCVvRYWE8buap-0</v>
      </c>
      <c r="B155" s="25" t="str">
        <f>(Sheet1!B155)</f>
        <v>Chandra Automobiles - Faizabad</v>
      </c>
      <c r="C155" s="26">
        <f>'Balance Sheet'!$DX155</f>
        <v>-218348</v>
      </c>
      <c r="D155" s="26">
        <f>'Old Combined Balance Sheet'!A155 + 'Balance Sheet - FGI Insurance -'!CF155</f>
        <v>0</v>
      </c>
      <c r="E155" s="26">
        <f t="shared" si="1"/>
        <v>-218348</v>
      </c>
      <c r="F155" s="26" t="str">
        <f>Sheet1!N155</f>
        <v>Chandra Automobiles - Faizabad</v>
      </c>
      <c r="G155" s="26" t="str">
        <f>Sheet1!O155</f>
        <v>1TMTMDBTSLXzi0POas5HDprui-sp3TCVvRYWE8buap-0</v>
      </c>
      <c r="H155" s="26" t="str">
        <f>Sheet1!AV155</f>
        <v/>
      </c>
      <c r="I155" s="26" t="str">
        <f>Sheet1!AW155</f>
        <v/>
      </c>
      <c r="J155" s="26" t="str">
        <f>Sheet1!P155</f>
        <v>Dealer</v>
      </c>
      <c r="K155" s="26" t="str">
        <f>Sheet1!AZ155</f>
        <v>Yes</v>
      </c>
      <c r="L155" s="26" t="str">
        <f>Sheet1!BA155</f>
        <v>No</v>
      </c>
      <c r="M155" s="26" t="str">
        <f>Sheet1!BB155</f>
        <v>No</v>
      </c>
      <c r="N155" s="26">
        <f>Sheet1!BC155</f>
        <v>0</v>
      </c>
    </row>
    <row r="156">
      <c r="A156" s="25" t="str">
        <f>(Sheet1!A156)</f>
        <v>1yeu1sNSbb2j8YGtFyG1D4WLawBmqXJv51bLIGiQ9gJs</v>
      </c>
      <c r="B156" s="25" t="str">
        <f>(Sheet1!B156)</f>
        <v>GANPATI AUTOMOBILE-DEORIA</v>
      </c>
      <c r="C156" s="26">
        <f>'Balance Sheet'!$DX156</f>
        <v>-1590006</v>
      </c>
      <c r="D156" s="26">
        <f>'Old Combined Balance Sheet'!A156 + 'Balance Sheet - FGI Insurance -'!CF156</f>
        <v>0</v>
      </c>
      <c r="E156" s="26">
        <f t="shared" si="1"/>
        <v>-1590006</v>
      </c>
      <c r="F156" s="26" t="str">
        <f>Sheet1!N156</f>
        <v>GANPATI AUTOMOBILE-DEORIA</v>
      </c>
      <c r="G156" s="26" t="str">
        <f>Sheet1!O156</f>
        <v>1yeu1sNSbb2j8YGtFyG1D4WLawBmqXJv51bLIGiQ9gJs</v>
      </c>
      <c r="H156" s="26" t="str">
        <f>Sheet1!AV156</f>
        <v/>
      </c>
      <c r="I156" s="26" t="str">
        <f>Sheet1!AW156</f>
        <v/>
      </c>
      <c r="J156" s="26" t="str">
        <f>Sheet1!P156</f>
        <v>Dealer</v>
      </c>
      <c r="K156" s="26" t="str">
        <f>Sheet1!AZ156</f>
        <v>Yes</v>
      </c>
      <c r="L156" s="26" t="str">
        <f>Sheet1!BA156</f>
        <v>No</v>
      </c>
      <c r="M156" s="26" t="str">
        <f>Sheet1!BB156</f>
        <v>No</v>
      </c>
      <c r="N156" s="26">
        <f>Sheet1!BC156</f>
        <v>0</v>
      </c>
    </row>
    <row r="157">
      <c r="A157" s="25" t="str">
        <f>(Sheet1!A157)</f>
        <v>1ujz4e03ajQcNujiybbh9kWwlqBz9h70rMo6I6wAh-WI</v>
      </c>
      <c r="B157" s="25" t="str">
        <f>(Sheet1!B157)</f>
        <v>Golden Enterprises - Shikohabad</v>
      </c>
      <c r="C157" s="26">
        <f>'Balance Sheet'!$DX157</f>
        <v>-990</v>
      </c>
      <c r="D157" s="26">
        <f>'Old Combined Balance Sheet'!A157 + 'Balance Sheet - FGI Insurance -'!CF157</f>
        <v>0</v>
      </c>
      <c r="E157" s="26">
        <f t="shared" si="1"/>
        <v>-990</v>
      </c>
      <c r="F157" s="26" t="str">
        <f>Sheet1!N157</f>
        <v>Golden Enterprises - Shikohabad</v>
      </c>
      <c r="G157" s="26" t="str">
        <f>Sheet1!O157</f>
        <v>1ujz4e03ajQcNujiybbh9kWwlqBz9h70rMo6I6wAh-WI</v>
      </c>
      <c r="H157" s="26" t="str">
        <f>Sheet1!AV157</f>
        <v/>
      </c>
      <c r="I157" s="26" t="str">
        <f>Sheet1!AW157</f>
        <v/>
      </c>
      <c r="J157" s="26" t="str">
        <f>Sheet1!P157</f>
        <v>Dealer</v>
      </c>
      <c r="K157" s="26" t="str">
        <f>Sheet1!AZ157</f>
        <v>No</v>
      </c>
      <c r="L157" s="26" t="str">
        <f>Sheet1!BA157</f>
        <v>No</v>
      </c>
      <c r="M157" s="26" t="str">
        <f>Sheet1!BB157</f>
        <v>No</v>
      </c>
      <c r="N157" s="26">
        <f>Sheet1!BC157</f>
        <v>0</v>
      </c>
    </row>
    <row r="158">
      <c r="A158" s="25" t="str">
        <f>(Sheet1!A158)</f>
        <v>1L9RtM1bzB4DA93tD_IGwUFHY3tNGdFYoNpultJI5GgQ</v>
      </c>
      <c r="B158" s="25" t="str">
        <f>(Sheet1!B158)</f>
        <v>Sushil automobiles - Basti</v>
      </c>
      <c r="C158" s="26">
        <f>'Balance Sheet'!$DX158</f>
        <v>-168944</v>
      </c>
      <c r="D158" s="26">
        <f>'Old Combined Balance Sheet'!A158 + 'Balance Sheet - FGI Insurance -'!CF158</f>
        <v>0</v>
      </c>
      <c r="E158" s="26">
        <f t="shared" si="1"/>
        <v>-168944</v>
      </c>
      <c r="F158" s="26" t="str">
        <f>Sheet1!N158</f>
        <v>Sushil automobiles - Basti</v>
      </c>
      <c r="G158" s="26" t="str">
        <f>Sheet1!O158</f>
        <v>1L9RtM1bzB4DA93tD_IGwUFHY3tNGdFYoNpultJI5GgQ</v>
      </c>
      <c r="H158" s="26" t="str">
        <f>Sheet1!AV158</f>
        <v/>
      </c>
      <c r="I158" s="26" t="str">
        <f>Sheet1!AW158</f>
        <v/>
      </c>
      <c r="J158" s="26" t="str">
        <f>Sheet1!P158</f>
        <v>Dealer</v>
      </c>
      <c r="K158" s="26" t="str">
        <f>Sheet1!AZ158</f>
        <v>Yes</v>
      </c>
      <c r="L158" s="26" t="str">
        <f>Sheet1!BA158</f>
        <v>No</v>
      </c>
      <c r="M158" s="26" t="str">
        <f>Sheet1!BB158</f>
        <v>No</v>
      </c>
      <c r="N158" s="26">
        <f>Sheet1!BC158</f>
        <v>0</v>
      </c>
    </row>
    <row r="159">
      <c r="A159" s="25" t="str">
        <f>(Sheet1!A159)</f>
        <v>1BqR_Ok1XKiMbwmdK26aLR_BYoeEJpv9mAZfv_Tb9vx4</v>
      </c>
      <c r="B159" s="25" t="str">
        <f>(Sheet1!B159)</f>
        <v>Concept Automobile - Hardoi</v>
      </c>
      <c r="C159" s="26">
        <f>'Balance Sheet'!$DX159</f>
        <v>0</v>
      </c>
      <c r="D159" s="26">
        <f>'Old Combined Balance Sheet'!A159 + 'Balance Sheet - FGI Insurance -'!CF159</f>
        <v>0</v>
      </c>
      <c r="E159" s="26">
        <f t="shared" si="1"/>
        <v>0</v>
      </c>
      <c r="F159" s="26" t="str">
        <f>Sheet1!N159</f>
        <v>Concept Automobile - Hardoi</v>
      </c>
      <c r="G159" s="26" t="str">
        <f>Sheet1!O159</f>
        <v>1BqR_Ok1XKiMbwmdK26aLR_BYoeEJpv9mAZfv_Tb9vx4</v>
      </c>
      <c r="H159" s="26" t="str">
        <f>Sheet1!AV159</f>
        <v/>
      </c>
      <c r="I159" s="26" t="str">
        <f>Sheet1!AW159</f>
        <v/>
      </c>
      <c r="J159" s="26" t="str">
        <f>Sheet1!P159</f>
        <v>Dealer</v>
      </c>
      <c r="K159" s="26" t="str">
        <f>Sheet1!AZ159</f>
        <v>No</v>
      </c>
      <c r="L159" s="26" t="str">
        <f>Sheet1!BA159</f>
        <v>No</v>
      </c>
      <c r="M159" s="26" t="str">
        <f>Sheet1!BB159</f>
        <v>No</v>
      </c>
      <c r="N159" s="26">
        <f>Sheet1!BC159</f>
        <v>0</v>
      </c>
    </row>
    <row r="160">
      <c r="A160" s="25" t="str">
        <f>(Sheet1!A160)</f>
        <v>1Pe7FzdsQsobTnfMtw8AFR97wsuAbRapZxNXhDErhL0Q</v>
      </c>
      <c r="B160" s="25" t="str">
        <f>(Sheet1!B160)</f>
        <v>OCEANIC TVS - Ahmedabad</v>
      </c>
      <c r="C160" s="26">
        <f>'Balance Sheet'!$DX160</f>
        <v>0</v>
      </c>
      <c r="D160" s="26">
        <f>'Old Combined Balance Sheet'!A160 + 'Balance Sheet - FGI Insurance -'!CF160</f>
        <v>0</v>
      </c>
      <c r="E160" s="26">
        <f t="shared" si="1"/>
        <v>0</v>
      </c>
      <c r="F160" s="26" t="str">
        <f>Sheet1!N160</f>
        <v>OCEANIC TVS - Ahmedabad</v>
      </c>
      <c r="G160" s="26" t="str">
        <f>Sheet1!O160</f>
        <v>1Pe7FzdsQsobTnfMtw8AFR97wsuAbRapZxNXhDErhL0Q</v>
      </c>
      <c r="H160" s="26" t="str">
        <f>Sheet1!AV160</f>
        <v/>
      </c>
      <c r="I160" s="26" t="str">
        <f>Sheet1!AW160</f>
        <v/>
      </c>
      <c r="J160" s="26" t="str">
        <f>Sheet1!P160</f>
        <v>Dealer</v>
      </c>
      <c r="K160" s="26" t="str">
        <f>Sheet1!AZ160</f>
        <v>No</v>
      </c>
      <c r="L160" s="26" t="str">
        <f>Sheet1!BA160</f>
        <v>No</v>
      </c>
      <c r="M160" s="26" t="str">
        <f>Sheet1!BB160</f>
        <v>No</v>
      </c>
      <c r="N160" s="26">
        <f>Sheet1!BC160</f>
        <v>0</v>
      </c>
    </row>
    <row r="161">
      <c r="A161" s="25" t="str">
        <f>(Sheet1!A161)</f>
        <v>1424BF0G1OZasQ2pfFa99AWqhw7W1Y3ykkj8Wf5aSWWc</v>
      </c>
      <c r="B161" s="25" t="str">
        <f>(Sheet1!B161)</f>
        <v>GOKULAUTOWORLD - AHMEDABAD</v>
      </c>
      <c r="C161" s="26">
        <f>'Balance Sheet'!$DX161</f>
        <v>171.83</v>
      </c>
      <c r="D161" s="26">
        <f>'Old Combined Balance Sheet'!A161 + 'Balance Sheet - FGI Insurance -'!CF161</f>
        <v>0</v>
      </c>
      <c r="E161" s="26">
        <f t="shared" si="1"/>
        <v>171.83</v>
      </c>
      <c r="F161" s="26" t="str">
        <f>Sheet1!N161</f>
        <v>GOKULAUTOWORLD - AHMEDABAD</v>
      </c>
      <c r="G161" s="26" t="str">
        <f>Sheet1!O161</f>
        <v>1424BF0G1OZasQ2pfFa99AWqhw7W1Y3ykkj8Wf5aSWWc</v>
      </c>
      <c r="H161" s="26" t="str">
        <f>Sheet1!AV161</f>
        <v/>
      </c>
      <c r="I161" s="26" t="str">
        <f>Sheet1!AW161</f>
        <v/>
      </c>
      <c r="J161" s="26" t="str">
        <f>Sheet1!P161</f>
        <v>Dealer</v>
      </c>
      <c r="K161" s="26" t="str">
        <f>Sheet1!AZ161</f>
        <v>No</v>
      </c>
      <c r="L161" s="26" t="str">
        <f>Sheet1!BA161</f>
        <v>No</v>
      </c>
      <c r="M161" s="26" t="str">
        <f>Sheet1!BB161</f>
        <v>No</v>
      </c>
      <c r="N161" s="26">
        <f>Sheet1!BC161</f>
        <v>0</v>
      </c>
    </row>
    <row r="162">
      <c r="A162" s="25" t="str">
        <f>(Sheet1!A162)</f>
        <v>1TMacegY-Sk7pr6CF_YiZtnxppf8kQ29DX8ZSzN8Nba0</v>
      </c>
      <c r="B162" s="25" t="str">
        <f>(Sheet1!B162)</f>
        <v>YASH AUTOMOBILES-PUNE</v>
      </c>
      <c r="C162" s="26">
        <f>'Balance Sheet'!$DX162</f>
        <v>-35588.6</v>
      </c>
      <c r="D162" s="26">
        <f>'Old Combined Balance Sheet'!A162 + 'Balance Sheet - FGI Insurance -'!CF162</f>
        <v>0</v>
      </c>
      <c r="E162" s="26">
        <f t="shared" si="1"/>
        <v>-35588.6</v>
      </c>
      <c r="F162" s="26" t="str">
        <f>Sheet1!N162</f>
        <v>YASH AUTOMOBILES-PUNE</v>
      </c>
      <c r="G162" s="26" t="str">
        <f>Sheet1!O162</f>
        <v>1TMacegY-Sk7pr6CF_YiZtnxppf8kQ29DX8ZSzN8Nba0</v>
      </c>
      <c r="H162" s="26" t="str">
        <f>Sheet1!AV162</f>
        <v/>
      </c>
      <c r="I162" s="26" t="str">
        <f>Sheet1!AW162</f>
        <v/>
      </c>
      <c r="J162" s="26" t="str">
        <f>Sheet1!P162</f>
        <v>Dealer</v>
      </c>
      <c r="K162" s="26" t="str">
        <f>Sheet1!AZ162</f>
        <v>Yes</v>
      </c>
      <c r="L162" s="26" t="str">
        <f>Sheet1!BA162</f>
        <v>No</v>
      </c>
      <c r="M162" s="26" t="str">
        <f>Sheet1!BB162</f>
        <v>No</v>
      </c>
      <c r="N162" s="26">
        <f>Sheet1!BC162</f>
        <v>0</v>
      </c>
    </row>
    <row r="163">
      <c r="A163" s="25" t="str">
        <f>(Sheet1!A163)</f>
        <v>1kMvgnwSkK4p35wcMsguAxORW1vQe7W1vnlmFj46sMCo</v>
      </c>
      <c r="B163" s="25" t="str">
        <f>(Sheet1!B163)</f>
        <v>KOTHARI WHEEL- PUNE</v>
      </c>
      <c r="C163" s="26">
        <f>'Balance Sheet'!$DX163</f>
        <v>-8947</v>
      </c>
      <c r="D163" s="26">
        <f>'Old Combined Balance Sheet'!A163 + 'Balance Sheet - FGI Insurance -'!CF163</f>
        <v>0</v>
      </c>
      <c r="E163" s="26">
        <f t="shared" si="1"/>
        <v>-8947</v>
      </c>
      <c r="F163" s="26" t="str">
        <f>Sheet1!N163</f>
        <v>KOTHARI WHEEL- PUNE</v>
      </c>
      <c r="G163" s="26" t="str">
        <f>Sheet1!O163</f>
        <v>1kMvgnwSkK4p35wcMsguAxORW1vQe7W1vnlmFj46sMCo</v>
      </c>
      <c r="H163" s="26" t="str">
        <f>Sheet1!AV163</f>
        <v/>
      </c>
      <c r="I163" s="26" t="str">
        <f>Sheet1!AW163</f>
        <v/>
      </c>
      <c r="J163" s="26" t="str">
        <f>Sheet1!P163</f>
        <v>Dealer</v>
      </c>
      <c r="K163" s="26" t="str">
        <f>Sheet1!AZ163</f>
        <v>No</v>
      </c>
      <c r="L163" s="26" t="str">
        <f>Sheet1!BA163</f>
        <v>No</v>
      </c>
      <c r="M163" s="26" t="str">
        <f>Sheet1!BB163</f>
        <v>No</v>
      </c>
      <c r="N163" s="26">
        <f>Sheet1!BC163</f>
        <v>0</v>
      </c>
    </row>
    <row r="164">
      <c r="A164" s="25" t="str">
        <f>(Sheet1!A164)</f>
        <v>1876RfsSjY4efSikG9YDGUWajbPv924bhaJa0AJLdD8E</v>
      </c>
      <c r="B164" s="25" t="str">
        <f>(Sheet1!B164)</f>
        <v>Shree Durga Motors Counter 1 - Sikandrabad</v>
      </c>
      <c r="C164" s="26">
        <f>'Balance Sheet'!$DX164</f>
        <v>0</v>
      </c>
      <c r="D164" s="26">
        <f>'Old Combined Balance Sheet'!A164 + 'Balance Sheet - FGI Insurance -'!CF164</f>
        <v>0</v>
      </c>
      <c r="E164" s="26">
        <f t="shared" si="1"/>
        <v>0</v>
      </c>
      <c r="F164" s="26" t="str">
        <f>Sheet1!N164</f>
        <v>Shri Durga Motors</v>
      </c>
      <c r="G164" s="26" t="str">
        <f>Sheet1!O164</f>
        <v>1LnxzSZR-Hn1GFJEM91CqSDi8yQ1-11OqyVT04QUkFAM</v>
      </c>
      <c r="H164" s="26" t="str">
        <f>Sheet1!AV164</f>
        <v/>
      </c>
      <c r="I164" s="26" t="str">
        <f>Sheet1!AW164</f>
        <v/>
      </c>
      <c r="J164" s="26" t="str">
        <f>Sheet1!P164</f>
        <v>Sub Dealer</v>
      </c>
      <c r="K164" s="26" t="str">
        <f>Sheet1!AZ164</f>
        <v>No</v>
      </c>
      <c r="L164" s="26" t="str">
        <f>Sheet1!BA164</f>
        <v>No</v>
      </c>
      <c r="M164" s="26" t="str">
        <f>Sheet1!BB164</f>
        <v>No</v>
      </c>
      <c r="N164" s="26">
        <f>Sheet1!BC164</f>
        <v>0</v>
      </c>
    </row>
    <row r="165">
      <c r="A165" s="25" t="str">
        <f>(Sheet1!A165)</f>
        <v>1U0Ayati-OdaXS_d4dcZK-B_eN6wBy_dqoN1Vmk0t45Y</v>
      </c>
      <c r="B165" s="25" t="str">
        <f>(Sheet1!B165)</f>
        <v>Umar Nisar Automobiles - Gulaothi</v>
      </c>
      <c r="C165" s="26">
        <f>'Balance Sheet'!$DX165</f>
        <v>0</v>
      </c>
      <c r="D165" s="26">
        <f>'Old Combined Balance Sheet'!A165 + 'Balance Sheet - FGI Insurance -'!CF165</f>
        <v>0</v>
      </c>
      <c r="E165" s="26">
        <f t="shared" si="1"/>
        <v>0</v>
      </c>
      <c r="F165" s="26" t="str">
        <f>Sheet1!N165</f>
        <v>Shri Durga Motors</v>
      </c>
      <c r="G165" s="26" t="str">
        <f>Sheet1!O165</f>
        <v>1LnxzSZR-Hn1GFJEM91CqSDi8yQ1-11OqyVT04QUkFAM</v>
      </c>
      <c r="H165" s="26" t="str">
        <f>Sheet1!AV165</f>
        <v/>
      </c>
      <c r="I165" s="26" t="str">
        <f>Sheet1!AW165</f>
        <v/>
      </c>
      <c r="J165" s="26" t="str">
        <f>Sheet1!P165</f>
        <v>Sub Dealer</v>
      </c>
      <c r="K165" s="26" t="str">
        <f>Sheet1!AZ165</f>
        <v>No</v>
      </c>
      <c r="L165" s="26" t="str">
        <f>Sheet1!BA165</f>
        <v>No</v>
      </c>
      <c r="M165" s="26" t="str">
        <f>Sheet1!BB165</f>
        <v>No</v>
      </c>
      <c r="N165" s="26">
        <f>Sheet1!BC165</f>
        <v>0</v>
      </c>
    </row>
    <row r="166">
      <c r="A166" s="25" t="str">
        <f>(Sheet1!A166)</f>
        <v>1zei1ne3QpSt186ff-L2PaKoV0maqqSe-91NIiwTBSko</v>
      </c>
      <c r="B166" s="25" t="str">
        <f>(Sheet1!B166)</f>
        <v>Agrawal Motors (SDM) - Siyana</v>
      </c>
      <c r="C166" s="26">
        <f>'Balance Sheet'!$DX166</f>
        <v>0</v>
      </c>
      <c r="D166" s="26">
        <f>'Old Combined Balance Sheet'!A166 + 'Balance Sheet - FGI Insurance -'!CF166</f>
        <v>0</v>
      </c>
      <c r="E166" s="26">
        <f t="shared" si="1"/>
        <v>0</v>
      </c>
      <c r="F166" s="26" t="str">
        <f>Sheet1!N166</f>
        <v>Shri Durga Motors</v>
      </c>
      <c r="G166" s="26" t="str">
        <f>Sheet1!O166</f>
        <v>1LnxzSZR-Hn1GFJEM91CqSDi8yQ1-11OqyVT04QUkFAM</v>
      </c>
      <c r="H166" s="26" t="str">
        <f>Sheet1!AV166</f>
        <v/>
      </c>
      <c r="I166" s="26" t="str">
        <f>Sheet1!AW166</f>
        <v/>
      </c>
      <c r="J166" s="26" t="str">
        <f>Sheet1!P166</f>
        <v>Sub Dealer</v>
      </c>
      <c r="K166" s="26" t="str">
        <f>Sheet1!AZ166</f>
        <v>No</v>
      </c>
      <c r="L166" s="26" t="str">
        <f>Sheet1!BA166</f>
        <v>No</v>
      </c>
      <c r="M166" s="26" t="str">
        <f>Sheet1!BB166</f>
        <v>No</v>
      </c>
      <c r="N166" s="26">
        <f>Sheet1!BC166</f>
        <v>0</v>
      </c>
    </row>
    <row r="167">
      <c r="A167" s="25" t="str">
        <f>(Sheet1!A167)</f>
        <v>1EqLBGhhw88ePbxTSdniMo_of3cuMUNJduNtdzPonF7w</v>
      </c>
      <c r="B167" s="25" t="str">
        <f>(Sheet1!B167)</f>
        <v>SHREE SAI AUTOMOBILE</v>
      </c>
      <c r="C167" s="26">
        <f>'Balance Sheet'!$DX167</f>
        <v>42801.4</v>
      </c>
      <c r="D167" s="26">
        <f>'Old Combined Balance Sheet'!A167 + 'Balance Sheet - FGI Insurance -'!CF167</f>
        <v>0</v>
      </c>
      <c r="E167" s="26">
        <f t="shared" si="1"/>
        <v>42801.4</v>
      </c>
      <c r="F167" s="26" t="str">
        <f>Sheet1!N167</f>
        <v>SHREE SAI AUTOMOBILE</v>
      </c>
      <c r="G167" s="26" t="str">
        <f>Sheet1!O167</f>
        <v>1EqLBGhhw88ePbxTSdniMo_of3cuMUNJduNtdzPonF7w</v>
      </c>
      <c r="H167" s="26" t="str">
        <f>Sheet1!AV167</f>
        <v/>
      </c>
      <c r="I167" s="26" t="str">
        <f>Sheet1!AW167</f>
        <v/>
      </c>
      <c r="J167" s="26" t="str">
        <f>Sheet1!P167</f>
        <v>Dealer</v>
      </c>
      <c r="K167" s="26" t="str">
        <f>Sheet1!AZ167</f>
        <v>No</v>
      </c>
      <c r="L167" s="26" t="str">
        <f>Sheet1!BA167</f>
        <v>No</v>
      </c>
      <c r="M167" s="26" t="str">
        <f>Sheet1!BB167</f>
        <v>No</v>
      </c>
      <c r="N167" s="26">
        <f>Sheet1!BC167</f>
        <v>0</v>
      </c>
    </row>
    <row r="168">
      <c r="A168" s="25" t="str">
        <f>(Sheet1!A168)</f>
        <v>1O_YH7HeoRy08ymR5SENYSag175TzKlknDTuYKpt1BUk</v>
      </c>
      <c r="B168" s="25" t="str">
        <f>(Sheet1!B168)</f>
        <v>Aditya Kapil</v>
      </c>
      <c r="C168" s="26">
        <f>'Balance Sheet'!$DX168</f>
        <v>0</v>
      </c>
      <c r="D168" s="26">
        <f>'Old Combined Balance Sheet'!A168 + 'Balance Sheet - FGI Insurance -'!CF168</f>
        <v>0</v>
      </c>
      <c r="E168" s="26">
        <f t="shared" si="1"/>
        <v>0</v>
      </c>
      <c r="F168" s="26" t="str">
        <f>Sheet1!N168</f>
        <v>Aditya Kapil</v>
      </c>
      <c r="G168" s="26" t="str">
        <f>Sheet1!O168</f>
        <v>1O_YH7HeoRy08ymR5SENYSag175TzKlknDTuYKpt1BUk</v>
      </c>
      <c r="H168" s="26" t="str">
        <f>Sheet1!AV168</f>
        <v/>
      </c>
      <c r="I168" s="26" t="str">
        <f>Sheet1!AW168</f>
        <v/>
      </c>
      <c r="J168" s="26" t="str">
        <f>Sheet1!P168</f>
        <v>Dealer</v>
      </c>
      <c r="K168" s="26" t="str">
        <f>Sheet1!AZ168</f>
        <v>No</v>
      </c>
      <c r="L168" s="26" t="str">
        <f>Sheet1!BA168</f>
        <v>No</v>
      </c>
      <c r="M168" s="26" t="str">
        <f>Sheet1!BB168</f>
        <v>No</v>
      </c>
      <c r="N168" s="26">
        <f>Sheet1!BC168</f>
        <v>0</v>
      </c>
    </row>
    <row r="169">
      <c r="A169" s="25" t="str">
        <f>(Sheet1!A169)</f>
        <v>1B-m4X6iF3jRLf0ddVMd8f7C-8pwyVJ8yhSFcm_mYOvk</v>
      </c>
      <c r="B169" s="25" t="str">
        <f>(Sheet1!B169)</f>
        <v>LAXMI MOTORS- DEORIA(GAD)</v>
      </c>
      <c r="C169" s="26">
        <f>'Balance Sheet'!$DX169</f>
        <v>-993122</v>
      </c>
      <c r="D169" s="26">
        <f>'Old Combined Balance Sheet'!A169 + 'Balance Sheet - FGI Insurance -'!CF169</f>
        <v>0</v>
      </c>
      <c r="E169" s="26">
        <f t="shared" si="1"/>
        <v>-993122</v>
      </c>
      <c r="F169" s="26" t="str">
        <f>Sheet1!N169</f>
        <v>LAXMI MOTORS- DEORIA(GAD)</v>
      </c>
      <c r="G169" s="26" t="str">
        <f>Sheet1!O169</f>
        <v>1B-m4X6iF3jRLf0ddVMd8f7C-8pwyVJ8yhSFcm_mYOvk</v>
      </c>
      <c r="H169" s="26" t="str">
        <f>Sheet1!AV169</f>
        <v/>
      </c>
      <c r="I169" s="26" t="str">
        <f>Sheet1!AW169</f>
        <v/>
      </c>
      <c r="J169" s="26" t="str">
        <f>Sheet1!P169</f>
        <v>Dealer</v>
      </c>
      <c r="K169" s="26" t="str">
        <f>Sheet1!AZ169</f>
        <v>Yes</v>
      </c>
      <c r="L169" s="26" t="str">
        <f>Sheet1!BA169</f>
        <v>No</v>
      </c>
      <c r="M169" s="26" t="str">
        <f>Sheet1!BB169</f>
        <v>No</v>
      </c>
      <c r="N169" s="26">
        <f>Sheet1!BC169</f>
        <v>0</v>
      </c>
    </row>
    <row r="170">
      <c r="A170" s="25" t="str">
        <f>(Sheet1!A170)</f>
        <v>13Q6lXJAgG-rKIYYEKfXUKjvucEdoR4-WM0JvV0evp2A</v>
      </c>
      <c r="B170" s="25" t="str">
        <f>(Sheet1!B170)</f>
        <v>PREMA HONDA-MAHENDRU</v>
      </c>
      <c r="C170" s="26">
        <f>'Balance Sheet'!$DX170</f>
        <v>0</v>
      </c>
      <c r="D170" s="26">
        <f>'Old Combined Balance Sheet'!A170 + 'Balance Sheet - FGI Insurance -'!CF170</f>
        <v>0</v>
      </c>
      <c r="E170" s="26">
        <f t="shared" si="1"/>
        <v>0</v>
      </c>
      <c r="F170" s="26" t="str">
        <f>Sheet1!N170</f>
        <v>PREMA HONDA- BIHAR(SN)</v>
      </c>
      <c r="G170" s="26" t="str">
        <f>Sheet1!O170</f>
        <v>1eWL9qs4gF2hDOrao950bttsqaQjvqYNOwOArak2wAWY</v>
      </c>
      <c r="H170" s="26" t="str">
        <f>Sheet1!AV170</f>
        <v/>
      </c>
      <c r="I170" s="26" t="str">
        <f>Sheet1!AW170</f>
        <v/>
      </c>
      <c r="J170" s="26" t="str">
        <f>Sheet1!P170</f>
        <v>Sub Dealer</v>
      </c>
      <c r="K170" s="26" t="str">
        <f>Sheet1!AZ170</f>
        <v>No</v>
      </c>
      <c r="L170" s="26" t="str">
        <f>Sheet1!BA170</f>
        <v>No</v>
      </c>
      <c r="M170" s="26" t="str">
        <f>Sheet1!BB170</f>
        <v>No</v>
      </c>
      <c r="N170" s="26">
        <f>Sheet1!BC170</f>
        <v>0</v>
      </c>
    </row>
    <row r="171">
      <c r="A171" s="25" t="str">
        <f>(Sheet1!A171)</f>
        <v>1kKJQREB-gMUjjfvkNJBZGf8b6FppISEs2byO4uZriFc</v>
      </c>
      <c r="B171" s="25" t="str">
        <f>(Sheet1!B171)</f>
        <v>Navya Motors - Gorakhpur</v>
      </c>
      <c r="C171" s="26">
        <f>'Balance Sheet'!$DX171</f>
        <v>103726</v>
      </c>
      <c r="D171" s="26">
        <f>'Old Combined Balance Sheet'!A171 + 'Balance Sheet - FGI Insurance -'!CF171</f>
        <v>0</v>
      </c>
      <c r="E171" s="26">
        <f t="shared" si="1"/>
        <v>103726</v>
      </c>
      <c r="F171" s="26" t="str">
        <f>Sheet1!N171</f>
        <v>Navya Motors - Gorakhpur</v>
      </c>
      <c r="G171" s="26" t="str">
        <f>Sheet1!O171</f>
        <v>1kKJQREB-gMUjjfvkNJBZGf8b6FppISEs2byO4uZriFc</v>
      </c>
      <c r="H171" s="26" t="str">
        <f>Sheet1!AV171</f>
        <v/>
      </c>
      <c r="I171" s="26" t="str">
        <f>Sheet1!AW171</f>
        <v/>
      </c>
      <c r="J171" s="26" t="str">
        <f>Sheet1!P171</f>
        <v>Dealer</v>
      </c>
      <c r="K171" s="26" t="str">
        <f>Sheet1!AZ171</f>
        <v>No</v>
      </c>
      <c r="L171" s="26" t="str">
        <f>Sheet1!BA171</f>
        <v>No</v>
      </c>
      <c r="M171" s="26" t="str">
        <f>Sheet1!BB171</f>
        <v>No</v>
      </c>
      <c r="N171" s="26">
        <f>Sheet1!BC171</f>
        <v>0</v>
      </c>
    </row>
    <row r="172">
      <c r="A172" s="25" t="str">
        <f>(Sheet1!A172)</f>
        <v>1unvzt24PL_Fl_Wbl-5lHzYEhCzCxGGtlN9oHLIhnpPw</v>
      </c>
      <c r="B172" s="25" t="str">
        <f>(Sheet1!B172)</f>
        <v>Srivastava Automobiles - Lalitpur</v>
      </c>
      <c r="C172" s="26">
        <f>'Balance Sheet'!$DX172</f>
        <v>0</v>
      </c>
      <c r="D172" s="26">
        <f>'Old Combined Balance Sheet'!A172 + 'Balance Sheet - FGI Insurance -'!CF172</f>
        <v>0</v>
      </c>
      <c r="E172" s="26">
        <f t="shared" si="1"/>
        <v>0</v>
      </c>
      <c r="F172" s="26" t="str">
        <f>Sheet1!N172</f>
        <v>Srivastava Automobiles - Lalitpur</v>
      </c>
      <c r="G172" s="26" t="str">
        <f>Sheet1!O172</f>
        <v>1unvzt24PL_Fl_Wbl-5lHzYEhCzCxGGtlN9oHLIhnpPw</v>
      </c>
      <c r="H172" s="26" t="str">
        <f>Sheet1!AV172</f>
        <v/>
      </c>
      <c r="I172" s="26" t="str">
        <f>Sheet1!AW172</f>
        <v/>
      </c>
      <c r="J172" s="26" t="str">
        <f>Sheet1!P172</f>
        <v>Dealer</v>
      </c>
      <c r="K172" s="26" t="str">
        <f>Sheet1!AZ172</f>
        <v>No</v>
      </c>
      <c r="L172" s="26" t="str">
        <f>Sheet1!BA172</f>
        <v>No</v>
      </c>
      <c r="M172" s="26" t="str">
        <f>Sheet1!BB172</f>
        <v>No</v>
      </c>
      <c r="N172" s="26">
        <f>Sheet1!BC172</f>
        <v>0</v>
      </c>
    </row>
    <row r="173">
      <c r="A173" s="25" t="str">
        <f>(Sheet1!A173)</f>
        <v>1_UtGSoyOsljQXvmry7gfXGYwjwEjQbghQQGZebnq45M</v>
      </c>
      <c r="B173" s="25" t="str">
        <f>(Sheet1!B173)</f>
        <v>Modern Auto Agency - Bettiah</v>
      </c>
      <c r="C173" s="26">
        <f>'Balance Sheet'!$DX173</f>
        <v>-363766</v>
      </c>
      <c r="D173" s="26">
        <f>'Old Combined Balance Sheet'!A173 + 'Balance Sheet - FGI Insurance -'!CF173</f>
        <v>0</v>
      </c>
      <c r="E173" s="26">
        <f t="shared" si="1"/>
        <v>-363766</v>
      </c>
      <c r="F173" s="26" t="str">
        <f>Sheet1!N173</f>
        <v>Modern Auto Agency - Bettiah</v>
      </c>
      <c r="G173" s="26" t="str">
        <f>Sheet1!O173</f>
        <v>1_UtGSoyOsljQXvmry7gfXGYwjwEjQbghQQGZebnq45M</v>
      </c>
      <c r="H173" s="26" t="str">
        <f>Sheet1!AV173</f>
        <v/>
      </c>
      <c r="I173" s="26" t="str">
        <f>Sheet1!AW173</f>
        <v/>
      </c>
      <c r="J173" s="26" t="str">
        <f>Sheet1!P173</f>
        <v>Dealer</v>
      </c>
      <c r="K173" s="26" t="str">
        <f>Sheet1!AZ173</f>
        <v>Yes</v>
      </c>
      <c r="L173" s="26" t="str">
        <f>Sheet1!BA173</f>
        <v>No</v>
      </c>
      <c r="M173" s="26" t="str">
        <f>Sheet1!BB173</f>
        <v>No</v>
      </c>
      <c r="N173" s="26">
        <f>Sheet1!BC173</f>
        <v>0</v>
      </c>
    </row>
    <row r="174">
      <c r="A174" s="25" t="str">
        <f>(Sheet1!A174)</f>
        <v>1NEcDRVp7-BhxvyRG6JkeAHZpznEr-vKt291CED4WZPk</v>
      </c>
      <c r="B174" s="25" t="str">
        <f>(Sheet1!B174)</f>
        <v>Bal Mukund Hero - Etah</v>
      </c>
      <c r="C174" s="26">
        <f>'Balance Sheet'!$DX174</f>
        <v>1540</v>
      </c>
      <c r="D174" s="26">
        <f>'Old Combined Balance Sheet'!A174 + 'Balance Sheet - FGI Insurance -'!CF174</f>
        <v>0</v>
      </c>
      <c r="E174" s="26">
        <f t="shared" si="1"/>
        <v>1540</v>
      </c>
      <c r="F174" s="26" t="str">
        <f>Sheet1!N174</f>
        <v>Bal Mukund Hero - Etah</v>
      </c>
      <c r="G174" s="26" t="str">
        <f>Sheet1!O174</f>
        <v>1NEcDRVp7-BhxvyRG6JkeAHZpznEr-vKt291CED4WZPk</v>
      </c>
      <c r="H174" s="26" t="str">
        <f>Sheet1!AV174</f>
        <v/>
      </c>
      <c r="I174" s="26" t="str">
        <f>Sheet1!AW174</f>
        <v/>
      </c>
      <c r="J174" s="26" t="str">
        <f>Sheet1!P174</f>
        <v>Dealer</v>
      </c>
      <c r="K174" s="26" t="str">
        <f>Sheet1!AZ174</f>
        <v>Yes</v>
      </c>
      <c r="L174" s="26" t="str">
        <f>Sheet1!BA174</f>
        <v>No</v>
      </c>
      <c r="M174" s="26" t="str">
        <f>Sheet1!BB174</f>
        <v>No</v>
      </c>
      <c r="N174" s="26">
        <f>Sheet1!BC174</f>
        <v>0</v>
      </c>
    </row>
    <row r="175">
      <c r="A175" s="25" t="str">
        <f>(Sheet1!A175)</f>
        <v>1DVpSm5a7kKqZxFgDUdJBRIcgAuTZosRKDnkmPEIdEG4</v>
      </c>
      <c r="B175" s="25" t="str">
        <f>(Sheet1!B175)</f>
        <v>MAHESH MOTORS - DINAJPUR</v>
      </c>
      <c r="C175" s="26">
        <f>'Balance Sheet'!$DX175</f>
        <v>17228.91</v>
      </c>
      <c r="D175" s="26">
        <f>'Old Combined Balance Sheet'!A175 + 'Balance Sheet - FGI Insurance -'!CF175</f>
        <v>0</v>
      </c>
      <c r="E175" s="26">
        <f t="shared" si="1"/>
        <v>17228.91</v>
      </c>
      <c r="F175" s="26" t="str">
        <f>Sheet1!N175</f>
        <v>MAHESH MOTORS - DINAJPUR</v>
      </c>
      <c r="G175" s="26" t="str">
        <f>Sheet1!O175</f>
        <v>1DVpSm5a7kKqZxFgDUdJBRIcgAuTZosRKDnkmPEIdEG4</v>
      </c>
      <c r="H175" s="26" t="str">
        <f>Sheet1!AV175</f>
        <v/>
      </c>
      <c r="I175" s="26" t="str">
        <f>Sheet1!AW175</f>
        <v/>
      </c>
      <c r="J175" s="26" t="str">
        <f>Sheet1!P175</f>
        <v>Dealer</v>
      </c>
      <c r="K175" s="26" t="str">
        <f>Sheet1!AZ175</f>
        <v>No</v>
      </c>
      <c r="L175" s="26" t="str">
        <f>Sheet1!BA175</f>
        <v>No</v>
      </c>
      <c r="M175" s="26" t="str">
        <f>Sheet1!BB175</f>
        <v>No</v>
      </c>
      <c r="N175" s="26">
        <f>Sheet1!BC175</f>
        <v>0</v>
      </c>
    </row>
    <row r="176">
      <c r="A176" s="25" t="str">
        <f>(Sheet1!A176)</f>
        <v>1oQVPfd8k9NkVTkQGOHRAq_y-oNhBZ1Ssb0pUJIc1AnM</v>
      </c>
      <c r="B176" s="25" t="str">
        <f>(Sheet1!B176)</f>
        <v>Standard Auto Agency - Bahraich</v>
      </c>
      <c r="C176" s="26">
        <f>'Balance Sheet'!$DX176</f>
        <v>0</v>
      </c>
      <c r="D176" s="26">
        <f>'Old Combined Balance Sheet'!A176 + 'Balance Sheet - FGI Insurance -'!CF176</f>
        <v>0</v>
      </c>
      <c r="E176" s="26">
        <f t="shared" si="1"/>
        <v>0</v>
      </c>
      <c r="F176" s="26" t="str">
        <f>Sheet1!N176</f>
        <v>Standard Auto Agency - Bahraich</v>
      </c>
      <c r="G176" s="26" t="str">
        <f>Sheet1!O176</f>
        <v>1oQVPfd8k9NkVTkQGOHRAq_y-oNhBZ1Ssb0pUJIc1AnM</v>
      </c>
      <c r="H176" s="26" t="str">
        <f>Sheet1!AV176</f>
        <v/>
      </c>
      <c r="I176" s="26" t="str">
        <f>Sheet1!AW176</f>
        <v/>
      </c>
      <c r="J176" s="26" t="str">
        <f>Sheet1!P176</f>
        <v>Dealer</v>
      </c>
      <c r="K176" s="26" t="str">
        <f>Sheet1!AZ176</f>
        <v>No</v>
      </c>
      <c r="L176" s="26" t="str">
        <f>Sheet1!BA176</f>
        <v>No</v>
      </c>
      <c r="M176" s="26" t="str">
        <f>Sheet1!BB176</f>
        <v>No</v>
      </c>
      <c r="N176" s="26">
        <f>Sheet1!BC176</f>
        <v>0</v>
      </c>
    </row>
    <row r="177">
      <c r="A177" s="25" t="str">
        <f>(Sheet1!A177)</f>
        <v>1MZSuDBhj6MvXnyvchodYUa5X-Tmx0AyJTkxlHAAvtro</v>
      </c>
      <c r="B177" s="25" t="str">
        <f>(Sheet1!B177)</f>
        <v>Krishna &amp; Company - Bahraich</v>
      </c>
      <c r="C177" s="26">
        <f>'Balance Sheet'!$DX177</f>
        <v>0</v>
      </c>
      <c r="D177" s="26">
        <f>'Old Combined Balance Sheet'!A177 + 'Balance Sheet - FGI Insurance -'!CF177</f>
        <v>0</v>
      </c>
      <c r="E177" s="26">
        <f t="shared" si="1"/>
        <v>0</v>
      </c>
      <c r="F177" s="26" t="str">
        <f>Sheet1!N177</f>
        <v>Krishna &amp; Company - Bahraich</v>
      </c>
      <c r="G177" s="26" t="str">
        <f>Sheet1!O177</f>
        <v>1MZSuDBhj6MvXnyvchodYUa5X-Tmx0AyJTkxlHAAvtro</v>
      </c>
      <c r="H177" s="26" t="str">
        <f>Sheet1!AV177</f>
        <v/>
      </c>
      <c r="I177" s="26" t="str">
        <f>Sheet1!AW177</f>
        <v/>
      </c>
      <c r="J177" s="26" t="str">
        <f>Sheet1!P177</f>
        <v>Dealer</v>
      </c>
      <c r="K177" s="26" t="str">
        <f>Sheet1!AZ177</f>
        <v>No</v>
      </c>
      <c r="L177" s="26" t="str">
        <f>Sheet1!BA177</f>
        <v>No</v>
      </c>
      <c r="M177" s="26" t="str">
        <f>Sheet1!BB177</f>
        <v>No</v>
      </c>
      <c r="N177" s="26">
        <f>Sheet1!BC177</f>
        <v>0</v>
      </c>
    </row>
    <row r="178">
      <c r="A178" s="25" t="str">
        <f>(Sheet1!A178)</f>
        <v>1F-qgo65nyduysDsu4OiPqLBtjm1sTnysGmg4Ke93FbU</v>
      </c>
      <c r="B178" s="25" t="str">
        <f>(Sheet1!B178)</f>
        <v>Shri Narain auto</v>
      </c>
      <c r="C178" s="26">
        <f>'Balance Sheet'!$DX178</f>
        <v>71.84</v>
      </c>
      <c r="D178" s="26">
        <f>'Old Combined Balance Sheet'!A178 + 'Balance Sheet - FGI Insurance -'!CF178</f>
        <v>0</v>
      </c>
      <c r="E178" s="26">
        <f t="shared" si="1"/>
        <v>71.84</v>
      </c>
      <c r="F178" s="26" t="str">
        <f>Sheet1!N178</f>
        <v>Shri Narain auto</v>
      </c>
      <c r="G178" s="26" t="str">
        <f>Sheet1!O178</f>
        <v>1F-qgo65nyduysDsu4OiPqLBtjm1sTnysGmg4Ke93FbU</v>
      </c>
      <c r="H178" s="26" t="str">
        <f>Sheet1!AV178</f>
        <v/>
      </c>
      <c r="I178" s="26" t="str">
        <f>Sheet1!AW178</f>
        <v/>
      </c>
      <c r="J178" s="26" t="str">
        <f>Sheet1!P178</f>
        <v>Dealer</v>
      </c>
      <c r="K178" s="26" t="str">
        <f>Sheet1!AZ178</f>
        <v>No</v>
      </c>
      <c r="L178" s="26" t="str">
        <f>Sheet1!BA178</f>
        <v>No</v>
      </c>
      <c r="M178" s="26" t="str">
        <f>Sheet1!BB178</f>
        <v>No</v>
      </c>
      <c r="N178" s="26">
        <f>Sheet1!BC178</f>
        <v>0</v>
      </c>
    </row>
    <row r="179">
      <c r="A179" s="25" t="str">
        <f>(Sheet1!A179)</f>
        <v>1rHOrl-RR_wmvN1hR6qvRLwO5p4_e081st6veS3SDnKk</v>
      </c>
      <c r="B179" s="25" t="str">
        <f>(Sheet1!B179)</f>
        <v>AGARWAL HERO SITAPUR</v>
      </c>
      <c r="C179" s="26">
        <f>'Balance Sheet'!$DX179</f>
        <v>-1619.7</v>
      </c>
      <c r="D179" s="26">
        <f>'Old Combined Balance Sheet'!A179 + 'Balance Sheet - FGI Insurance -'!CF179</f>
        <v>0</v>
      </c>
      <c r="E179" s="26">
        <f t="shared" si="1"/>
        <v>-1619.7</v>
      </c>
      <c r="F179" s="26" t="str">
        <f>Sheet1!N179</f>
        <v>AGARWAL HERO SITAPUR</v>
      </c>
      <c r="G179" s="26" t="str">
        <f>Sheet1!O179</f>
        <v>1rHOrl-RR_wmvN1hR6qvRLwO5p4_e081st6veS3SDnKk</v>
      </c>
      <c r="H179" s="26" t="str">
        <f>Sheet1!AV179</f>
        <v/>
      </c>
      <c r="I179" s="26" t="str">
        <f>Sheet1!AW179</f>
        <v/>
      </c>
      <c r="J179" s="26" t="str">
        <f>Sheet1!P179</f>
        <v>Dealer</v>
      </c>
      <c r="K179" s="26" t="str">
        <f>Sheet1!AZ179</f>
        <v>No</v>
      </c>
      <c r="L179" s="26" t="str">
        <f>Sheet1!BA179</f>
        <v>No</v>
      </c>
      <c r="M179" s="26" t="str">
        <f>Sheet1!BB179</f>
        <v>No</v>
      </c>
      <c r="N179" s="26">
        <f>Sheet1!BC179</f>
        <v>0</v>
      </c>
    </row>
    <row r="180">
      <c r="A180" s="25" t="str">
        <f>(Sheet1!A180)</f>
        <v>15if03Q4YLoDcHi2HznX5QBpY6yQHJPDyifJKxRYKV-8</v>
      </c>
      <c r="B180" s="25" t="str">
        <f>(Sheet1!B180)</f>
        <v>SATKAR HONDA - RUDRAPUR</v>
      </c>
      <c r="C180" s="26">
        <f>'Balance Sheet'!$DX180</f>
        <v>-16354.64</v>
      </c>
      <c r="D180" s="26">
        <f>'Old Combined Balance Sheet'!A180 + 'Balance Sheet - FGI Insurance -'!CF180</f>
        <v>0</v>
      </c>
      <c r="E180" s="26">
        <f t="shared" si="1"/>
        <v>-16354.64</v>
      </c>
      <c r="F180" s="26" t="str">
        <f>Sheet1!N180</f>
        <v>SATKAR HONDA - RUDRAPUR</v>
      </c>
      <c r="G180" s="26" t="str">
        <f>Sheet1!O180</f>
        <v>15if03Q4YLoDcHi2HznX5QBpY6yQHJPDyifJKxRYKV-8</v>
      </c>
      <c r="H180" s="26" t="str">
        <f>Sheet1!AV180</f>
        <v/>
      </c>
      <c r="I180" s="26" t="str">
        <f>Sheet1!AW180</f>
        <v/>
      </c>
      <c r="J180" s="26" t="str">
        <f>Sheet1!P180</f>
        <v>Dealer</v>
      </c>
      <c r="K180" s="26" t="str">
        <f>Sheet1!AZ180</f>
        <v>Yes</v>
      </c>
      <c r="L180" s="26" t="str">
        <f>Sheet1!BA180</f>
        <v>No</v>
      </c>
      <c r="M180" s="26" t="str">
        <f>Sheet1!BB180</f>
        <v>No</v>
      </c>
      <c r="N180" s="26">
        <f>Sheet1!BC180</f>
        <v>0</v>
      </c>
    </row>
    <row r="181">
      <c r="A181" s="25" t="str">
        <f>(Sheet1!A181)</f>
        <v>1Bn0dgc_QYbF664LnJPJT-IEcqhx5gMA1AtzkRyd3ZGA</v>
      </c>
      <c r="B181" s="25" t="str">
        <f>(Sheet1!B181)</f>
        <v>Jai Automobiles - Akbarpur</v>
      </c>
      <c r="C181" s="26">
        <f>'Balance Sheet'!$DX181</f>
        <v>-1670</v>
      </c>
      <c r="D181" s="26">
        <f>'Old Combined Balance Sheet'!A181 + 'Balance Sheet - FGI Insurance -'!CF181</f>
        <v>0</v>
      </c>
      <c r="E181" s="26">
        <f t="shared" si="1"/>
        <v>-1670</v>
      </c>
      <c r="F181" s="26" t="str">
        <f>Sheet1!N181</f>
        <v>Jai Automobiles - Akbarpur</v>
      </c>
      <c r="G181" s="26" t="str">
        <f>Sheet1!O181</f>
        <v>1Bn0dgc_QYbF664LnJPJT-IEcqhx5gMA1AtzkRyd3ZGA</v>
      </c>
      <c r="H181" s="26" t="str">
        <f>Sheet1!AV181</f>
        <v/>
      </c>
      <c r="I181" s="26" t="str">
        <f>Sheet1!AW181</f>
        <v/>
      </c>
      <c r="J181" s="26" t="str">
        <f>Sheet1!P181</f>
        <v>Dealer</v>
      </c>
      <c r="K181" s="26" t="str">
        <f>Sheet1!AZ181</f>
        <v>Yes</v>
      </c>
      <c r="L181" s="26" t="str">
        <f>Sheet1!BA181</f>
        <v>No</v>
      </c>
      <c r="M181" s="26" t="str">
        <f>Sheet1!BB181</f>
        <v>No</v>
      </c>
      <c r="N181" s="26">
        <f>Sheet1!BC181</f>
        <v>0</v>
      </c>
    </row>
    <row r="182">
      <c r="A182" s="25" t="str">
        <f>(Sheet1!A182)</f>
        <v>1VIUqOp_UXFVjhTtvQswmqJ7NEi8nkGyfHAoJPy-wvSA</v>
      </c>
      <c r="B182" s="25" t="str">
        <f>(Sheet1!B182)</f>
        <v>Kamal Hero - Gonda</v>
      </c>
      <c r="C182" s="26">
        <f>'Balance Sheet'!$DX182</f>
        <v>6152</v>
      </c>
      <c r="D182" s="26">
        <f>'Old Combined Balance Sheet'!A182 + 'Balance Sheet - FGI Insurance -'!CF182</f>
        <v>0</v>
      </c>
      <c r="E182" s="26">
        <f t="shared" si="1"/>
        <v>6152</v>
      </c>
      <c r="F182" s="26" t="str">
        <f>Sheet1!N182</f>
        <v>Kamal Hero - Gonda</v>
      </c>
      <c r="G182" s="26" t="str">
        <f>Sheet1!O182</f>
        <v>1VIUqOp_UXFVjhTtvQswmqJ7NEi8nkGyfHAoJPy-wvSA</v>
      </c>
      <c r="H182" s="26" t="str">
        <f>Sheet1!AV182</f>
        <v/>
      </c>
      <c r="I182" s="26" t="str">
        <f>Sheet1!AW182</f>
        <v/>
      </c>
      <c r="J182" s="26" t="str">
        <f>Sheet1!P182</f>
        <v>Dealer</v>
      </c>
      <c r="K182" s="26" t="str">
        <f>Sheet1!AZ182</f>
        <v>No</v>
      </c>
      <c r="L182" s="26" t="str">
        <f>Sheet1!BA182</f>
        <v>No</v>
      </c>
      <c r="M182" s="26" t="str">
        <f>Sheet1!BB182</f>
        <v>No</v>
      </c>
      <c r="N182" s="26">
        <f>Sheet1!BC182</f>
        <v>0</v>
      </c>
    </row>
    <row r="183">
      <c r="A183" s="25" t="str">
        <f>(Sheet1!A183)</f>
        <v>1n7-iUzN79cdRZqVwntVYXRPOJ2BUYBkTQu6jF4vKAdE</v>
      </c>
      <c r="B183" s="25" t="str">
        <f>(Sheet1!B183)</f>
        <v>D D S Motors - Gonda</v>
      </c>
      <c r="C183" s="26">
        <f>'Balance Sheet'!$DX183</f>
        <v>0</v>
      </c>
      <c r="D183" s="26">
        <f>'Old Combined Balance Sheet'!A183 + 'Balance Sheet - FGI Insurance -'!CF183</f>
        <v>0</v>
      </c>
      <c r="E183" s="26">
        <f t="shared" si="1"/>
        <v>0</v>
      </c>
      <c r="F183" s="26" t="str">
        <f>Sheet1!N183</f>
        <v>D D S Motors - Gonda</v>
      </c>
      <c r="G183" s="26" t="str">
        <f>Sheet1!O183</f>
        <v>1n7-iUzN79cdRZqVwntVYXRPOJ2BUYBkTQu6jF4vKAdE</v>
      </c>
      <c r="H183" s="26" t="str">
        <f>Sheet1!AV183</f>
        <v/>
      </c>
      <c r="I183" s="26" t="str">
        <f>Sheet1!AW183</f>
        <v/>
      </c>
      <c r="J183" s="26" t="str">
        <f>Sheet1!P183</f>
        <v>Dealer</v>
      </c>
      <c r="K183" s="26" t="str">
        <f>Sheet1!AZ183</f>
        <v>No</v>
      </c>
      <c r="L183" s="26" t="str">
        <f>Sheet1!BA183</f>
        <v>No</v>
      </c>
      <c r="M183" s="26" t="str">
        <f>Sheet1!BB183</f>
        <v>No</v>
      </c>
      <c r="N183" s="26">
        <f>Sheet1!BC183</f>
        <v>0</v>
      </c>
    </row>
    <row r="184">
      <c r="A184" s="25" t="str">
        <f>(Sheet1!A184)</f>
        <v>1hlnCiW64Y7uZNVOj2ewyfTULbWj1dUaXX2rUREx8W8o</v>
      </c>
      <c r="B184" s="25" t="str">
        <f>(Sheet1!B184)</f>
        <v>Asha Motor - Kannauj</v>
      </c>
      <c r="C184" s="26">
        <f>'Balance Sheet'!$DX184</f>
        <v>-18360</v>
      </c>
      <c r="D184" s="26">
        <f>'Old Combined Balance Sheet'!A184 + 'Balance Sheet - FGI Insurance -'!CF184</f>
        <v>0</v>
      </c>
      <c r="E184" s="26">
        <f t="shared" si="1"/>
        <v>-18360</v>
      </c>
      <c r="F184" s="26" t="str">
        <f>Sheet1!N184</f>
        <v>Asha Motor - Kannauj</v>
      </c>
      <c r="G184" s="26" t="str">
        <f>Sheet1!O184</f>
        <v>1hlnCiW64Y7uZNVOj2ewyfTULbWj1dUaXX2rUREx8W8o</v>
      </c>
      <c r="H184" s="26" t="str">
        <f>Sheet1!AV184</f>
        <v/>
      </c>
      <c r="I184" s="26" t="str">
        <f>Sheet1!AW184</f>
        <v/>
      </c>
      <c r="J184" s="26" t="str">
        <f>Sheet1!P184</f>
        <v>Dealer</v>
      </c>
      <c r="K184" s="26" t="str">
        <f>Sheet1!AZ184</f>
        <v>Yes</v>
      </c>
      <c r="L184" s="26" t="str">
        <f>Sheet1!BA184</f>
        <v>No</v>
      </c>
      <c r="M184" s="26" t="str">
        <f>Sheet1!BB184</f>
        <v>No</v>
      </c>
      <c r="N184" s="26">
        <f>Sheet1!BC184</f>
        <v>0</v>
      </c>
    </row>
    <row r="185">
      <c r="A185" s="25" t="str">
        <f>(Sheet1!A185)</f>
        <v>1qVCbO1-x1wvM0-NhcEVhkvWdoKy0Q9zezj6PELJNkXM</v>
      </c>
      <c r="B185" s="25" t="str">
        <f>(Sheet1!B185)</f>
        <v>NEELAM AUTOMOBILES (MAA) - NARKATIAGANJ</v>
      </c>
      <c r="C185" s="26">
        <f>'Balance Sheet'!$DX185</f>
        <v>0</v>
      </c>
      <c r="D185" s="26">
        <f>'Old Combined Balance Sheet'!A185 + 'Balance Sheet - FGI Insurance -'!CF185</f>
        <v>0</v>
      </c>
      <c r="E185" s="26">
        <f t="shared" si="1"/>
        <v>0</v>
      </c>
      <c r="F185" s="26" t="str">
        <f>Sheet1!N185</f>
        <v>Modern Auto Agency - Bettiah</v>
      </c>
      <c r="G185" s="26" t="str">
        <f>Sheet1!O185</f>
        <v>1_UtGSoyOsljQXvmry7gfXGYwjwEjQbghQQGZebnq45M</v>
      </c>
      <c r="H185" s="26" t="str">
        <f>Sheet1!AV185</f>
        <v/>
      </c>
      <c r="I185" s="26" t="str">
        <f>Sheet1!AW185</f>
        <v/>
      </c>
      <c r="J185" s="26" t="str">
        <f>Sheet1!P185</f>
        <v>Sub Dealer</v>
      </c>
      <c r="K185" s="26" t="str">
        <f>Sheet1!AZ185</f>
        <v>Yes</v>
      </c>
      <c r="L185" s="26" t="str">
        <f>Sheet1!BA185</f>
        <v>No</v>
      </c>
      <c r="M185" s="26" t="str">
        <f>Sheet1!BB185</f>
        <v>No</v>
      </c>
      <c r="N185" s="26">
        <f>Sheet1!BC185</f>
        <v>0</v>
      </c>
    </row>
    <row r="186">
      <c r="A186" s="25" t="str">
        <f>(Sheet1!A186)</f>
        <v>1UyyiO2ozt9UX5AJamlEvIX5j825tQ-SAIIQCdxpAP0Y</v>
      </c>
      <c r="B186" s="25" t="str">
        <f>(Sheet1!B186)</f>
        <v>VINAY AUTO AGENCY (MAA) - BAGAHA</v>
      </c>
      <c r="C186" s="26">
        <f>'Balance Sheet'!$DX186</f>
        <v>0</v>
      </c>
      <c r="D186" s="26">
        <f>'Old Combined Balance Sheet'!A186 + 'Balance Sheet - FGI Insurance -'!CF186</f>
        <v>0</v>
      </c>
      <c r="E186" s="26">
        <f t="shared" si="1"/>
        <v>0</v>
      </c>
      <c r="F186" s="26" t="str">
        <f>Sheet1!N186</f>
        <v>Modern Auto Agency - Bettiah</v>
      </c>
      <c r="G186" s="26" t="str">
        <f>Sheet1!O186</f>
        <v>1_UtGSoyOsljQXvmry7gfXGYwjwEjQbghQQGZebnq45M</v>
      </c>
      <c r="H186" s="26" t="str">
        <f>Sheet1!AV186</f>
        <v/>
      </c>
      <c r="I186" s="26" t="str">
        <f>Sheet1!AW186</f>
        <v/>
      </c>
      <c r="J186" s="26" t="str">
        <f>Sheet1!P186</f>
        <v>Sub Dealer</v>
      </c>
      <c r="K186" s="26" t="str">
        <f>Sheet1!AZ186</f>
        <v>Yes</v>
      </c>
      <c r="L186" s="26" t="str">
        <f>Sheet1!BA186</f>
        <v>No</v>
      </c>
      <c r="M186" s="26" t="str">
        <f>Sheet1!BB186</f>
        <v>No</v>
      </c>
      <c r="N186" s="26">
        <f>Sheet1!BC186</f>
        <v>0</v>
      </c>
    </row>
    <row r="187">
      <c r="A187" s="25" t="str">
        <f>(Sheet1!A187)</f>
        <v>18-Jt-1hSQWeUmfNImHZoIB1DJTVR1SDzcs7QHsFc8IQ</v>
      </c>
      <c r="B187" s="25" t="str">
        <f>(Sheet1!B187)</f>
        <v>MILAN AUTO AGENCY (MAA) - RAMNAGAR</v>
      </c>
      <c r="C187" s="26">
        <f>'Balance Sheet'!$DX187</f>
        <v>0</v>
      </c>
      <c r="D187" s="26">
        <f>'Old Combined Balance Sheet'!A187 + 'Balance Sheet - FGI Insurance -'!CF187</f>
        <v>0</v>
      </c>
      <c r="E187" s="26">
        <f t="shared" si="1"/>
        <v>0</v>
      </c>
      <c r="F187" s="26" t="str">
        <f>Sheet1!N187</f>
        <v>Modern Auto Agency - Bettiah</v>
      </c>
      <c r="G187" s="26" t="str">
        <f>Sheet1!O187</f>
        <v>1_UtGSoyOsljQXvmry7gfXGYwjwEjQbghQQGZebnq45M</v>
      </c>
      <c r="H187" s="26" t="str">
        <f>Sheet1!AV187</f>
        <v/>
      </c>
      <c r="I187" s="26" t="str">
        <f>Sheet1!AW187</f>
        <v/>
      </c>
      <c r="J187" s="26" t="str">
        <f>Sheet1!P187</f>
        <v>Sub Dealer</v>
      </c>
      <c r="K187" s="26" t="str">
        <f>Sheet1!AZ187</f>
        <v>Yes</v>
      </c>
      <c r="L187" s="26" t="str">
        <f>Sheet1!BA187</f>
        <v>No</v>
      </c>
      <c r="M187" s="26" t="str">
        <f>Sheet1!BB187</f>
        <v>No</v>
      </c>
      <c r="N187" s="26">
        <f>Sheet1!BC187</f>
        <v>0</v>
      </c>
    </row>
    <row r="188">
      <c r="A188" s="25" t="str">
        <f>(Sheet1!A188)</f>
        <v>1HM8WbBnHpHB3rDjfMfy58j7gi_pEy5b2nEqGnoGP7mk</v>
      </c>
      <c r="B188" s="25" t="str">
        <f>(Sheet1!B188)</f>
        <v>SHAKTI AUTOMOBILES (MAA) - JAGDISHPUR</v>
      </c>
      <c r="C188" s="26">
        <f>'Balance Sheet'!$DX188</f>
        <v>0</v>
      </c>
      <c r="D188" s="26">
        <f>'Old Combined Balance Sheet'!A188 + 'Balance Sheet - FGI Insurance -'!CF188</f>
        <v>0</v>
      </c>
      <c r="E188" s="26">
        <f t="shared" si="1"/>
        <v>0</v>
      </c>
      <c r="F188" s="26" t="str">
        <f>Sheet1!N188</f>
        <v>Modern Auto Agency - Bettiah</v>
      </c>
      <c r="G188" s="26" t="str">
        <f>Sheet1!O188</f>
        <v>1_UtGSoyOsljQXvmry7gfXGYwjwEjQbghQQGZebnq45M</v>
      </c>
      <c r="H188" s="26" t="str">
        <f>Sheet1!AV188</f>
        <v/>
      </c>
      <c r="I188" s="26" t="str">
        <f>Sheet1!AW188</f>
        <v/>
      </c>
      <c r="J188" s="26" t="str">
        <f>Sheet1!P188</f>
        <v>Sub Dealer</v>
      </c>
      <c r="K188" s="26" t="str">
        <f>Sheet1!AZ188</f>
        <v>Yes</v>
      </c>
      <c r="L188" s="26" t="str">
        <f>Sheet1!BA188</f>
        <v>No</v>
      </c>
      <c r="M188" s="26" t="str">
        <f>Sheet1!BB188</f>
        <v>No</v>
      </c>
      <c r="N188" s="26">
        <f>Sheet1!BC188</f>
        <v>0</v>
      </c>
    </row>
    <row r="189">
      <c r="A189" s="25" t="str">
        <f>(Sheet1!A189)</f>
        <v>1qxwsz8bKbkgF_CUEIo4wHtKWUOmG5XLVsTe2BNqwe-U</v>
      </c>
      <c r="B189" s="25" t="str">
        <f>(Sheet1!B189)</f>
        <v>OM HERO AGENCY (MAA) - LAURIYA</v>
      </c>
      <c r="C189" s="26">
        <f>'Balance Sheet'!$DX189</f>
        <v>0</v>
      </c>
      <c r="D189" s="26">
        <f>'Old Combined Balance Sheet'!A189 + 'Balance Sheet - FGI Insurance -'!CF189</f>
        <v>0</v>
      </c>
      <c r="E189" s="26">
        <f t="shared" si="1"/>
        <v>0</v>
      </c>
      <c r="F189" s="26" t="str">
        <f>Sheet1!N189</f>
        <v>Modern Auto Agency - Bettiah</v>
      </c>
      <c r="G189" s="26" t="str">
        <f>Sheet1!O189</f>
        <v>1_UtGSoyOsljQXvmry7gfXGYwjwEjQbghQQGZebnq45M</v>
      </c>
      <c r="H189" s="26" t="str">
        <f>Sheet1!AV189</f>
        <v/>
      </c>
      <c r="I189" s="26" t="str">
        <f>Sheet1!AW189</f>
        <v/>
      </c>
      <c r="J189" s="26" t="str">
        <f>Sheet1!P189</f>
        <v>Sub Dealer</v>
      </c>
      <c r="K189" s="26" t="str">
        <f>Sheet1!AZ189</f>
        <v>Yes</v>
      </c>
      <c r="L189" s="26" t="str">
        <f>Sheet1!BA189</f>
        <v>No</v>
      </c>
      <c r="M189" s="26" t="str">
        <f>Sheet1!BB189</f>
        <v>No</v>
      </c>
      <c r="N189" s="26">
        <f>Sheet1!BC189</f>
        <v>0</v>
      </c>
    </row>
    <row r="190">
      <c r="A190" s="25" t="str">
        <f>(Sheet1!A190)</f>
        <v>1Q8U3Jj55bW7tNWEEYKak-6r3JRnqYxwcO8TnGV4lF2I</v>
      </c>
      <c r="B190" s="25" t="str">
        <f>(Sheet1!B190)</f>
        <v>LAXMI ENTERPRISES (MAA) - HARNATAR</v>
      </c>
      <c r="C190" s="26">
        <f>'Balance Sheet'!$DX190</f>
        <v>0</v>
      </c>
      <c r="D190" s="26">
        <f>'Old Combined Balance Sheet'!A190 + 'Balance Sheet - FGI Insurance -'!CF190</f>
        <v>0</v>
      </c>
      <c r="E190" s="26">
        <f t="shared" si="1"/>
        <v>0</v>
      </c>
      <c r="F190" s="26" t="str">
        <f>Sheet1!N190</f>
        <v>Modern Auto Agency - Bettiah</v>
      </c>
      <c r="G190" s="26" t="str">
        <f>Sheet1!O190</f>
        <v>1_UtGSoyOsljQXvmry7gfXGYwjwEjQbghQQGZebnq45M</v>
      </c>
      <c r="H190" s="26" t="str">
        <f>Sheet1!AV190</f>
        <v/>
      </c>
      <c r="I190" s="26" t="str">
        <f>Sheet1!AW190</f>
        <v/>
      </c>
      <c r="J190" s="26" t="str">
        <f>Sheet1!P190</f>
        <v>Sub Dealer</v>
      </c>
      <c r="K190" s="26" t="str">
        <f>Sheet1!AZ190</f>
        <v>Yes</v>
      </c>
      <c r="L190" s="26" t="str">
        <f>Sheet1!BA190</f>
        <v>No</v>
      </c>
      <c r="M190" s="26" t="str">
        <f>Sheet1!BB190</f>
        <v>No</v>
      </c>
      <c r="N190" s="26">
        <f>Sheet1!BC190</f>
        <v>0</v>
      </c>
    </row>
    <row r="191">
      <c r="A191" s="25" t="str">
        <f>(Sheet1!A191)</f>
        <v>1DNYx1_npboOhtIjFO3-v0kReMiQ0lrIDMiGeLHlNEsA</v>
      </c>
      <c r="B191" s="25" t="str">
        <f>(Sheet1!B191)</f>
        <v>GUPTA AUTO AGENCY (MAA) - TAMKUHA</v>
      </c>
      <c r="C191" s="26">
        <f>'Balance Sheet'!$DX191</f>
        <v>0</v>
      </c>
      <c r="D191" s="26">
        <f>'Old Combined Balance Sheet'!A191 + 'Balance Sheet - FGI Insurance -'!CF191</f>
        <v>0</v>
      </c>
      <c r="E191" s="26">
        <f t="shared" si="1"/>
        <v>0</v>
      </c>
      <c r="F191" s="26" t="str">
        <f>Sheet1!N191</f>
        <v>Modern Auto Agency - Bettiah</v>
      </c>
      <c r="G191" s="26" t="str">
        <f>Sheet1!O191</f>
        <v>1_UtGSoyOsljQXvmry7gfXGYwjwEjQbghQQGZebnq45M</v>
      </c>
      <c r="H191" s="26" t="str">
        <f>Sheet1!AV191</f>
        <v/>
      </c>
      <c r="I191" s="26" t="str">
        <f>Sheet1!AW191</f>
        <v/>
      </c>
      <c r="J191" s="26" t="str">
        <f>Sheet1!P191</f>
        <v>Sub Dealer</v>
      </c>
      <c r="K191" s="26" t="str">
        <f>Sheet1!AZ191</f>
        <v>Yes</v>
      </c>
      <c r="L191" s="26" t="str">
        <f>Sheet1!BA191</f>
        <v>No</v>
      </c>
      <c r="M191" s="26" t="str">
        <f>Sheet1!BB191</f>
        <v>No</v>
      </c>
      <c r="N191" s="26">
        <f>Sheet1!BC191</f>
        <v>0</v>
      </c>
    </row>
    <row r="192">
      <c r="A192" s="25" t="str">
        <f>(Sheet1!A192)</f>
        <v>1U6sajfm4sKb9dpl7fnhhnc14-rNO99jD48Fg5iEe_MM</v>
      </c>
      <c r="B192" s="25" t="str">
        <f>(Sheet1!B192)</f>
        <v>SHIV HERO AGENCY (MAA) - JAMUNIA</v>
      </c>
      <c r="C192" s="26">
        <f>'Balance Sheet'!$DX192</f>
        <v>0</v>
      </c>
      <c r="D192" s="26">
        <f>'Old Combined Balance Sheet'!A192 + 'Balance Sheet - FGI Insurance -'!CF192</f>
        <v>0</v>
      </c>
      <c r="E192" s="26">
        <f t="shared" si="1"/>
        <v>0</v>
      </c>
      <c r="F192" s="26" t="str">
        <f>Sheet1!N192</f>
        <v>Modern Auto Agency - Bettiah</v>
      </c>
      <c r="G192" s="26" t="str">
        <f>Sheet1!O192</f>
        <v>1_UtGSoyOsljQXvmry7gfXGYwjwEjQbghQQGZebnq45M</v>
      </c>
      <c r="H192" s="26" t="str">
        <f>Sheet1!AV192</f>
        <v/>
      </c>
      <c r="I192" s="26" t="str">
        <f>Sheet1!AW192</f>
        <v/>
      </c>
      <c r="J192" s="26" t="str">
        <f>Sheet1!P192</f>
        <v>Sub Dealer</v>
      </c>
      <c r="K192" s="26" t="str">
        <f>Sheet1!AZ192</f>
        <v>Yes</v>
      </c>
      <c r="L192" s="26" t="str">
        <f>Sheet1!BA192</f>
        <v>No</v>
      </c>
      <c r="M192" s="26" t="str">
        <f>Sheet1!BB192</f>
        <v>No</v>
      </c>
      <c r="N192" s="26">
        <f>Sheet1!BC192</f>
        <v>0</v>
      </c>
    </row>
    <row r="193">
      <c r="A193" s="25" t="str">
        <f>(Sheet1!A193)</f>
        <v>1a9gtQ7HlAwL1VT97lzul59hlYqscXYdQ7Sg85wtHL40</v>
      </c>
      <c r="B193" s="25" t="str">
        <f>(Sheet1!B193)</f>
        <v>NEW LAXMI AUTOMOBILES (MAA) - MAINATAND</v>
      </c>
      <c r="C193" s="26">
        <f>'Balance Sheet'!$DX193</f>
        <v>0</v>
      </c>
      <c r="D193" s="26">
        <f>'Old Combined Balance Sheet'!A193 + 'Balance Sheet - FGI Insurance -'!CF193</f>
        <v>0</v>
      </c>
      <c r="E193" s="26">
        <f t="shared" si="1"/>
        <v>0</v>
      </c>
      <c r="F193" s="26" t="str">
        <f>Sheet1!N193</f>
        <v>Modern Auto Agency - Bettiah</v>
      </c>
      <c r="G193" s="26" t="str">
        <f>Sheet1!O193</f>
        <v>1_UtGSoyOsljQXvmry7gfXGYwjwEjQbghQQGZebnq45M</v>
      </c>
      <c r="H193" s="26" t="str">
        <f>Sheet1!AV193</f>
        <v/>
      </c>
      <c r="I193" s="26" t="str">
        <f>Sheet1!AW193</f>
        <v/>
      </c>
      <c r="J193" s="26" t="str">
        <f>Sheet1!P193</f>
        <v>Sub Dealer</v>
      </c>
      <c r="K193" s="26" t="str">
        <f>Sheet1!AZ193</f>
        <v>Yes</v>
      </c>
      <c r="L193" s="26" t="str">
        <f>Sheet1!BA193</f>
        <v>No</v>
      </c>
      <c r="M193" s="26" t="str">
        <f>Sheet1!BB193</f>
        <v>No</v>
      </c>
      <c r="N193" s="26">
        <f>Sheet1!BC193</f>
        <v>0</v>
      </c>
    </row>
    <row r="194">
      <c r="A194" s="25" t="str">
        <f>(Sheet1!A194)</f>
        <v>18hibfOdBkTwP70jRUUH2L7OgAiquBXCXX9EqLpop6DM</v>
      </c>
      <c r="B194" s="25" t="str">
        <f>(Sheet1!B194)</f>
        <v>BALAJI AUTOMOBILES (MAA) - CHANPATIA</v>
      </c>
      <c r="C194" s="26">
        <f>'Balance Sheet'!$DX194</f>
        <v>0</v>
      </c>
      <c r="D194" s="26">
        <f>'Old Combined Balance Sheet'!A194 + 'Balance Sheet - FGI Insurance -'!CF194</f>
        <v>0</v>
      </c>
      <c r="E194" s="26">
        <f t="shared" si="1"/>
        <v>0</v>
      </c>
      <c r="F194" s="26" t="str">
        <f>Sheet1!N194</f>
        <v>Modern Auto Agency - Bettiah</v>
      </c>
      <c r="G194" s="26" t="str">
        <f>Sheet1!O194</f>
        <v>1_UtGSoyOsljQXvmry7gfXGYwjwEjQbghQQGZebnq45M</v>
      </c>
      <c r="H194" s="26" t="str">
        <f>Sheet1!AV194</f>
        <v/>
      </c>
      <c r="I194" s="26" t="str">
        <f>Sheet1!AW194</f>
        <v/>
      </c>
      <c r="J194" s="26" t="str">
        <f>Sheet1!P194</f>
        <v>Sub Dealer</v>
      </c>
      <c r="K194" s="26" t="str">
        <f>Sheet1!AZ194</f>
        <v>Yes</v>
      </c>
      <c r="L194" s="26" t="str">
        <f>Sheet1!BA194</f>
        <v>No</v>
      </c>
      <c r="M194" s="26" t="str">
        <f>Sheet1!BB194</f>
        <v>No</v>
      </c>
      <c r="N194" s="26">
        <f>Sheet1!BC194</f>
        <v>0</v>
      </c>
    </row>
    <row r="195">
      <c r="A195" s="25" t="str">
        <f>(Sheet1!A195)</f>
        <v>1tv7cW1HkpPnyDwBqxX4e63ihXTxB7vNx36c1SO0c8cw</v>
      </c>
      <c r="B195" s="25" t="str">
        <f>(Sheet1!B195)</f>
        <v>MAA KALI AUTOMOBILES (MAA) - CHAUTARWA</v>
      </c>
      <c r="C195" s="26">
        <f>'Balance Sheet'!$DX195</f>
        <v>0</v>
      </c>
      <c r="D195" s="26">
        <f>'Old Combined Balance Sheet'!A195 + 'Balance Sheet - FGI Insurance -'!CF195</f>
        <v>0</v>
      </c>
      <c r="E195" s="26">
        <f t="shared" si="1"/>
        <v>0</v>
      </c>
      <c r="F195" s="26" t="str">
        <f>Sheet1!N195</f>
        <v>Modern Auto Agency - Bettiah</v>
      </c>
      <c r="G195" s="26" t="str">
        <f>Sheet1!O195</f>
        <v>1_UtGSoyOsljQXvmry7gfXGYwjwEjQbghQQGZebnq45M</v>
      </c>
      <c r="H195" s="26" t="str">
        <f>Sheet1!AV195</f>
        <v/>
      </c>
      <c r="I195" s="26" t="str">
        <f>Sheet1!AW195</f>
        <v/>
      </c>
      <c r="J195" s="26" t="str">
        <f>Sheet1!P195</f>
        <v>Sub Dealer</v>
      </c>
      <c r="K195" s="26" t="str">
        <f>Sheet1!AZ195</f>
        <v>Yes</v>
      </c>
      <c r="L195" s="26" t="str">
        <f>Sheet1!BA195</f>
        <v>No</v>
      </c>
      <c r="M195" s="26" t="str">
        <f>Sheet1!BB195</f>
        <v>No</v>
      </c>
      <c r="N195" s="26">
        <f>Sheet1!BC195</f>
        <v>0</v>
      </c>
    </row>
    <row r="196">
      <c r="A196" s="25" t="str">
        <f>(Sheet1!A196)</f>
        <v>1WQ0DX77J6m33SoaG5bV3EujIyD1Rwgu2cjhAGxkklkQ</v>
      </c>
      <c r="B196" s="25" t="str">
        <f>(Sheet1!B196)</f>
        <v>EMIRATES AUTO AGENCY (MAA) - SEMRA</v>
      </c>
      <c r="C196" s="26">
        <f>'Balance Sheet'!$DX196</f>
        <v>0</v>
      </c>
      <c r="D196" s="26">
        <f>'Old Combined Balance Sheet'!A196 + 'Balance Sheet - FGI Insurance -'!CF196</f>
        <v>0</v>
      </c>
      <c r="E196" s="26">
        <f t="shared" si="1"/>
        <v>0</v>
      </c>
      <c r="F196" s="26" t="str">
        <f>Sheet1!N196</f>
        <v>Modern Auto Agency - Bettiah</v>
      </c>
      <c r="G196" s="26" t="str">
        <f>Sheet1!O196</f>
        <v>1_UtGSoyOsljQXvmry7gfXGYwjwEjQbghQQGZebnq45M</v>
      </c>
      <c r="H196" s="26" t="str">
        <f>Sheet1!AV196</f>
        <v/>
      </c>
      <c r="I196" s="26" t="str">
        <f>Sheet1!AW196</f>
        <v/>
      </c>
      <c r="J196" s="26" t="str">
        <f>Sheet1!P196</f>
        <v>Sub Dealer</v>
      </c>
      <c r="K196" s="26" t="str">
        <f>Sheet1!AZ196</f>
        <v>Yes</v>
      </c>
      <c r="L196" s="26" t="str">
        <f>Sheet1!BA196</f>
        <v>No</v>
      </c>
      <c r="M196" s="26" t="str">
        <f>Sheet1!BB196</f>
        <v>No</v>
      </c>
      <c r="N196" s="26">
        <f>Sheet1!BC196</f>
        <v>0</v>
      </c>
    </row>
    <row r="197">
      <c r="A197" s="25" t="str">
        <f>(Sheet1!A197)</f>
        <v>10TnasMBGApJv5zXBkEcyf7wGKAliCEb2pmIfKVexScs</v>
      </c>
      <c r="B197" s="25" t="str">
        <f>(Sheet1!B197)</f>
        <v>Mayank Automobiles - Muzaffarpur</v>
      </c>
      <c r="C197" s="26">
        <f>'Balance Sheet'!$DX197</f>
        <v>-119.83</v>
      </c>
      <c r="D197" s="26">
        <f>'Old Combined Balance Sheet'!A197 + 'Balance Sheet - FGI Insurance -'!CF197</f>
        <v>0</v>
      </c>
      <c r="E197" s="26">
        <f t="shared" si="1"/>
        <v>-119.83</v>
      </c>
      <c r="F197" s="26" t="str">
        <f>Sheet1!N197</f>
        <v>Mayank Automobiles - Muzaffarpur</v>
      </c>
      <c r="G197" s="26" t="str">
        <f>Sheet1!O197</f>
        <v>10TnasMBGApJv5zXBkEcyf7wGKAliCEb2pmIfKVexScs</v>
      </c>
      <c r="H197" s="26" t="str">
        <f>Sheet1!AV197</f>
        <v/>
      </c>
      <c r="I197" s="26" t="str">
        <f>Sheet1!AW197</f>
        <v/>
      </c>
      <c r="J197" s="26" t="str">
        <f>Sheet1!P197</f>
        <v>Dealer</v>
      </c>
      <c r="K197" s="26" t="str">
        <f>Sheet1!AZ197</f>
        <v>No</v>
      </c>
      <c r="L197" s="26" t="str">
        <f>Sheet1!BA197</f>
        <v>No</v>
      </c>
      <c r="M197" s="26" t="str">
        <f>Sheet1!BB197</f>
        <v>No</v>
      </c>
      <c r="N197" s="26">
        <f>Sheet1!BC197</f>
        <v>0</v>
      </c>
    </row>
    <row r="198">
      <c r="A198" s="25" t="str">
        <f>(Sheet1!A198)</f>
        <v>1xdioECnPW5B9Jx1lGE6BzQBP3X2De1AEBtF29NVixH0</v>
      </c>
      <c r="B198" s="25" t="str">
        <f>(Sheet1!B198)</f>
        <v>Vishwakarma Automobiles - Muzaffarpur</v>
      </c>
      <c r="C198" s="26">
        <f>'Balance Sheet'!$DX198</f>
        <v>0.31</v>
      </c>
      <c r="D198" s="26">
        <f>'Old Combined Balance Sheet'!A198 + 'Balance Sheet - FGI Insurance -'!CF198</f>
        <v>0</v>
      </c>
      <c r="E198" s="26">
        <f t="shared" si="1"/>
        <v>0.31</v>
      </c>
      <c r="F198" s="26" t="str">
        <f>Sheet1!N198</f>
        <v>Vishwakarma Automobiles - Muzaffarpur</v>
      </c>
      <c r="G198" s="26" t="str">
        <f>Sheet1!O198</f>
        <v>1xdioECnPW5B9Jx1lGE6BzQBP3X2De1AEBtF29NVixH0</v>
      </c>
      <c r="H198" s="26" t="str">
        <f>Sheet1!AV198</f>
        <v/>
      </c>
      <c r="I198" s="26" t="str">
        <f>Sheet1!AW198</f>
        <v/>
      </c>
      <c r="J198" s="26" t="str">
        <f>Sheet1!P198</f>
        <v>Dealer</v>
      </c>
      <c r="K198" s="26" t="str">
        <f>Sheet1!AZ198</f>
        <v>No</v>
      </c>
      <c r="L198" s="26" t="str">
        <f>Sheet1!BA198</f>
        <v>No</v>
      </c>
      <c r="M198" s="26" t="str">
        <f>Sheet1!BB198</f>
        <v>No</v>
      </c>
      <c r="N198" s="26">
        <f>Sheet1!BC198</f>
        <v>0</v>
      </c>
    </row>
    <row r="199">
      <c r="A199" s="25" t="str">
        <f>(Sheet1!A199)</f>
        <v>1DoydwShLxFhj9cTyIaVm15blnPqnJh7zHTdoUs01LN8</v>
      </c>
      <c r="B199" s="25" t="str">
        <f>(Sheet1!B199)</f>
        <v>SVR MOTORS - RAICHUR</v>
      </c>
      <c r="C199" s="26">
        <f>'Balance Sheet'!$DX199</f>
        <v>0</v>
      </c>
      <c r="D199" s="26">
        <f>'Old Combined Balance Sheet'!A199 + 'Balance Sheet - FGI Insurance -'!CF199</f>
        <v>0</v>
      </c>
      <c r="E199" s="26">
        <f t="shared" si="1"/>
        <v>0</v>
      </c>
      <c r="F199" s="26" t="str">
        <f>Sheet1!N199</f>
        <v>Vidhi Trading</v>
      </c>
      <c r="G199" s="26" t="str">
        <f>Sheet1!O199</f>
        <v>1RYX1vfvY0jbK-8SlRPLYU11dr-HUe2ntxj5PumL7c0I</v>
      </c>
      <c r="H199" s="26" t="str">
        <f>Sheet1!AV199</f>
        <v/>
      </c>
      <c r="I199" s="26" t="str">
        <f>Sheet1!AW199</f>
        <v/>
      </c>
      <c r="J199" s="26" t="str">
        <f>Sheet1!P199</f>
        <v>Sub Dealer</v>
      </c>
      <c r="K199" s="26" t="str">
        <f>Sheet1!AZ199</f>
        <v>No</v>
      </c>
      <c r="L199" s="26" t="str">
        <f>Sheet1!BA199</f>
        <v>No</v>
      </c>
      <c r="M199" s="26" t="str">
        <f>Sheet1!BB199</f>
        <v>No</v>
      </c>
      <c r="N199" s="26">
        <f>Sheet1!BC199</f>
        <v>0</v>
      </c>
    </row>
    <row r="200">
      <c r="A200" s="25" t="str">
        <f>(Sheet1!A200)</f>
        <v>1vLaBz74ueKQC05BDHxZbKK6goeX4KXIwd6Tvp-pl8Zg</v>
      </c>
      <c r="B200" s="25" t="str">
        <f>(Sheet1!B200)</f>
        <v>Mahesh Motor 1 - Dinajpur</v>
      </c>
      <c r="C200" s="26">
        <f>'Balance Sheet'!$DX200</f>
        <v>0</v>
      </c>
      <c r="D200" s="26">
        <f>'Old Combined Balance Sheet'!A200 + 'Balance Sheet - FGI Insurance -'!CF200</f>
        <v>0</v>
      </c>
      <c r="E200" s="26">
        <f t="shared" si="1"/>
        <v>0</v>
      </c>
      <c r="F200" s="26" t="str">
        <f>Sheet1!N200</f>
        <v>MAHESH MOTORS - DINAJPUR</v>
      </c>
      <c r="G200" s="26" t="str">
        <f>Sheet1!O200</f>
        <v>1DVpSm5a7kKqZxFgDUdJBRIcgAuTZosRKDnkmPEIdEG4</v>
      </c>
      <c r="H200" s="26" t="str">
        <f>Sheet1!AV200</f>
        <v/>
      </c>
      <c r="I200" s="26" t="str">
        <f>Sheet1!AW200</f>
        <v/>
      </c>
      <c r="J200" s="26" t="str">
        <f>Sheet1!P200</f>
        <v>Sub Dealer</v>
      </c>
      <c r="K200" s="26" t="str">
        <f>Sheet1!AZ200</f>
        <v>No</v>
      </c>
      <c r="L200" s="26" t="str">
        <f>Sheet1!BA200</f>
        <v>No</v>
      </c>
      <c r="M200" s="26" t="str">
        <f>Sheet1!BB200</f>
        <v>No</v>
      </c>
      <c r="N200" s="26">
        <f>Sheet1!BC200</f>
        <v>0</v>
      </c>
    </row>
    <row r="201">
      <c r="A201" s="25" t="str">
        <f>(Sheet1!A201)</f>
        <v>1rhJaBBEzbkggfETTk-DY2S-cRSFPRY-RoZp0bXmjg2U</v>
      </c>
      <c r="B201" s="25" t="str">
        <f>(Sheet1!B201)</f>
        <v>Mahesh Motor 2 - Dinajpur</v>
      </c>
      <c r="C201" s="26">
        <f>'Balance Sheet'!$DX201</f>
        <v>0</v>
      </c>
      <c r="D201" s="26">
        <f>'Old Combined Balance Sheet'!A201 + 'Balance Sheet - FGI Insurance -'!CF201</f>
        <v>0</v>
      </c>
      <c r="E201" s="26">
        <f t="shared" si="1"/>
        <v>0</v>
      </c>
      <c r="F201" s="26" t="str">
        <f>Sheet1!N201</f>
        <v>MAHESH MOTORS - DINAJPUR</v>
      </c>
      <c r="G201" s="26" t="str">
        <f>Sheet1!O201</f>
        <v>1DVpSm5a7kKqZxFgDUdJBRIcgAuTZosRKDnkmPEIdEG4</v>
      </c>
      <c r="H201" s="26" t="str">
        <f>Sheet1!AV201</f>
        <v/>
      </c>
      <c r="I201" s="26" t="str">
        <f>Sheet1!AW201</f>
        <v/>
      </c>
      <c r="J201" s="26" t="str">
        <f>Sheet1!P201</f>
        <v>Sub Dealer</v>
      </c>
      <c r="K201" s="26" t="str">
        <f>Sheet1!AZ201</f>
        <v>No</v>
      </c>
      <c r="L201" s="26" t="str">
        <f>Sheet1!BA201</f>
        <v>No</v>
      </c>
      <c r="M201" s="26" t="str">
        <f>Sheet1!BB201</f>
        <v>No</v>
      </c>
      <c r="N201" s="26">
        <f>Sheet1!BC201</f>
        <v>0</v>
      </c>
    </row>
    <row r="202">
      <c r="A202" s="25" t="str">
        <f>(Sheet1!A202)</f>
        <v>1HiDqUYA_MPU2cm2LpWmxJaCWOO7QBi_JoETCkTl7vPU</v>
      </c>
      <c r="B202" s="25" t="str">
        <f>(Sheet1!B202)</f>
        <v>Mahesh Motor 3 - Dinajpur</v>
      </c>
      <c r="C202" s="26">
        <f>'Balance Sheet'!$DX202</f>
        <v>0</v>
      </c>
      <c r="D202" s="26">
        <f>'Old Combined Balance Sheet'!A202 + 'Balance Sheet - FGI Insurance -'!CF202</f>
        <v>0</v>
      </c>
      <c r="E202" s="26">
        <f t="shared" si="1"/>
        <v>0</v>
      </c>
      <c r="F202" s="26" t="str">
        <f>Sheet1!N202</f>
        <v>MAHESH MOTORS - DINAJPUR</v>
      </c>
      <c r="G202" s="26" t="str">
        <f>Sheet1!O202</f>
        <v>1DVpSm5a7kKqZxFgDUdJBRIcgAuTZosRKDnkmPEIdEG4</v>
      </c>
      <c r="H202" s="26" t="str">
        <f>Sheet1!AV202</f>
        <v/>
      </c>
      <c r="I202" s="26" t="str">
        <f>Sheet1!AW202</f>
        <v/>
      </c>
      <c r="J202" s="26" t="str">
        <f>Sheet1!P202</f>
        <v>Sub Dealer</v>
      </c>
      <c r="K202" s="26" t="str">
        <f>Sheet1!AZ202</f>
        <v>No</v>
      </c>
      <c r="L202" s="26" t="str">
        <f>Sheet1!BA202</f>
        <v>No</v>
      </c>
      <c r="M202" s="26" t="str">
        <f>Sheet1!BB202</f>
        <v>No</v>
      </c>
      <c r="N202" s="26">
        <f>Sheet1!BC202</f>
        <v>0</v>
      </c>
    </row>
    <row r="203">
      <c r="A203" s="25" t="str">
        <f>(Sheet1!A203)</f>
        <v>1u5nlK89DUKbohumNTMcU9oOnhT7__c91_mu2iHHIxhk</v>
      </c>
      <c r="B203" s="25" t="str">
        <f>(Sheet1!B203)</f>
        <v>Tiwari Automobiles(AM) - Chhibramau</v>
      </c>
      <c r="C203" s="26">
        <f>'Balance Sheet'!$DX203</f>
        <v>0</v>
      </c>
      <c r="D203" s="26">
        <f>'Old Combined Balance Sheet'!A203 + 'Balance Sheet - FGI Insurance -'!CF203</f>
        <v>0</v>
      </c>
      <c r="E203" s="26">
        <f t="shared" si="1"/>
        <v>0</v>
      </c>
      <c r="F203" s="26" t="str">
        <f>Sheet1!N203</f>
        <v>Asha Motor - Kannauj</v>
      </c>
      <c r="G203" s="26" t="str">
        <f>Sheet1!O203</f>
        <v>1hlnCiW64Y7uZNVOj2ewyfTULbWj1dUaXX2rUREx8W8o</v>
      </c>
      <c r="H203" s="26" t="str">
        <f>Sheet1!AV203</f>
        <v/>
      </c>
      <c r="I203" s="26" t="str">
        <f>Sheet1!AW203</f>
        <v/>
      </c>
      <c r="J203" s="26" t="str">
        <f>Sheet1!P203</f>
        <v>Sub Dealer</v>
      </c>
      <c r="K203" s="26" t="str">
        <f>Sheet1!AZ203</f>
        <v>Yes</v>
      </c>
      <c r="L203" s="26" t="str">
        <f>Sheet1!BA203</f>
        <v>No</v>
      </c>
      <c r="M203" s="26" t="str">
        <f>Sheet1!BB203</f>
        <v>No</v>
      </c>
      <c r="N203" s="26">
        <f>Sheet1!BC203</f>
        <v>0</v>
      </c>
    </row>
    <row r="204">
      <c r="A204" s="25" t="str">
        <f>(Sheet1!A204)</f>
        <v>1Enun10TuqDjmYI19mcuHneCrMiJ9pWK970R1I3IYu50</v>
      </c>
      <c r="B204" s="25" t="str">
        <f>(Sheet1!B204)</f>
        <v>Shanu Motors(AM) - Saurikh</v>
      </c>
      <c r="C204" s="26">
        <f>'Balance Sheet'!$DX204</f>
        <v>0</v>
      </c>
      <c r="D204" s="26">
        <f>'Old Combined Balance Sheet'!A204 + 'Balance Sheet - FGI Insurance -'!CF204</f>
        <v>0</v>
      </c>
      <c r="E204" s="26">
        <f t="shared" si="1"/>
        <v>0</v>
      </c>
      <c r="F204" s="26" t="str">
        <f>Sheet1!N204</f>
        <v>Asha Motor - Kannauj</v>
      </c>
      <c r="G204" s="26" t="str">
        <f>Sheet1!O204</f>
        <v>1hlnCiW64Y7uZNVOj2ewyfTULbWj1dUaXX2rUREx8W8o</v>
      </c>
      <c r="H204" s="26" t="str">
        <f>Sheet1!AV204</f>
        <v/>
      </c>
      <c r="I204" s="26" t="str">
        <f>Sheet1!AW204</f>
        <v/>
      </c>
      <c r="J204" s="26" t="str">
        <f>Sheet1!P204</f>
        <v>Sub Dealer</v>
      </c>
      <c r="K204" s="26" t="str">
        <f>Sheet1!AZ204</f>
        <v>Yes</v>
      </c>
      <c r="L204" s="26" t="str">
        <f>Sheet1!BA204</f>
        <v>No</v>
      </c>
      <c r="M204" s="26" t="str">
        <f>Sheet1!BB204</f>
        <v>No</v>
      </c>
      <c r="N204" s="26">
        <f>Sheet1!BC204</f>
        <v>0</v>
      </c>
    </row>
    <row r="205">
      <c r="A205" s="25" t="str">
        <f>(Sheet1!A205)</f>
        <v>1t2jvG-avz320SBpAYKAjPj-BB8Kp974TQ1yfGetbst8</v>
      </c>
      <c r="B205" s="25" t="str">
        <f>(Sheet1!B205)</f>
        <v>Tirwa Motors(AM) - Tirwa</v>
      </c>
      <c r="C205" s="26">
        <f>'Balance Sheet'!$DX205</f>
        <v>0</v>
      </c>
      <c r="D205" s="26">
        <f>'Old Combined Balance Sheet'!A205 + 'Balance Sheet - FGI Insurance -'!CF205</f>
        <v>0</v>
      </c>
      <c r="E205" s="26">
        <f t="shared" si="1"/>
        <v>0</v>
      </c>
      <c r="F205" s="26" t="str">
        <f>Sheet1!N205</f>
        <v>Asha Motor - Kannauj</v>
      </c>
      <c r="G205" s="26" t="str">
        <f>Sheet1!O205</f>
        <v>1hlnCiW64Y7uZNVOj2ewyfTULbWj1dUaXX2rUREx8W8o</v>
      </c>
      <c r="H205" s="26" t="str">
        <f>Sheet1!AV205</f>
        <v/>
      </c>
      <c r="I205" s="26" t="str">
        <f>Sheet1!AW205</f>
        <v/>
      </c>
      <c r="J205" s="26" t="str">
        <f>Sheet1!P205</f>
        <v>Sub Dealer</v>
      </c>
      <c r="K205" s="26" t="str">
        <f>Sheet1!AZ205</f>
        <v>Yes</v>
      </c>
      <c r="L205" s="26" t="str">
        <f>Sheet1!BA205</f>
        <v>No</v>
      </c>
      <c r="M205" s="26" t="str">
        <f>Sheet1!BB205</f>
        <v>No</v>
      </c>
      <c r="N205" s="26">
        <f>Sheet1!BC205</f>
        <v>0</v>
      </c>
    </row>
    <row r="206">
      <c r="A206" s="25" t="str">
        <f>(Sheet1!A206)</f>
        <v>1bfmIig1fGVakKR5J49ypp9KG-WRhILBb521RabDqaq4</v>
      </c>
      <c r="B206" s="25" t="str">
        <f>(Sheet1!B206)</f>
        <v>Ganesh Motors(AM) - Thathiya</v>
      </c>
      <c r="C206" s="26">
        <f>'Balance Sheet'!$DX206</f>
        <v>0</v>
      </c>
      <c r="D206" s="26">
        <f>'Old Combined Balance Sheet'!A206 + 'Balance Sheet - FGI Insurance -'!CF206</f>
        <v>0</v>
      </c>
      <c r="E206" s="26">
        <f t="shared" si="1"/>
        <v>0</v>
      </c>
      <c r="F206" s="26" t="str">
        <f>Sheet1!N206</f>
        <v>Asha Motor - Kannauj</v>
      </c>
      <c r="G206" s="26" t="str">
        <f>Sheet1!O206</f>
        <v>1hlnCiW64Y7uZNVOj2ewyfTULbWj1dUaXX2rUREx8W8o</v>
      </c>
      <c r="H206" s="26" t="str">
        <f>Sheet1!AV206</f>
        <v/>
      </c>
      <c r="I206" s="26" t="str">
        <f>Sheet1!AW206</f>
        <v/>
      </c>
      <c r="J206" s="26" t="str">
        <f>Sheet1!P206</f>
        <v>Sub Dealer</v>
      </c>
      <c r="K206" s="26" t="str">
        <f>Sheet1!AZ206</f>
        <v>Yes</v>
      </c>
      <c r="L206" s="26" t="str">
        <f>Sheet1!BA206</f>
        <v>No</v>
      </c>
      <c r="M206" s="26" t="str">
        <f>Sheet1!BB206</f>
        <v>No</v>
      </c>
      <c r="N206" s="26">
        <f>Sheet1!BC206</f>
        <v>0</v>
      </c>
    </row>
    <row r="207">
      <c r="A207" s="25" t="str">
        <f>(Sheet1!A207)</f>
        <v>17IHK48lZbcBlgGAJSiVd_55rLbshhnkDVBqTU63zg3g</v>
      </c>
      <c r="B207" s="25" t="str">
        <f>(Sheet1!B207)</f>
        <v>Balaji Autowheels(AM) - Nademau</v>
      </c>
      <c r="C207" s="26">
        <f>'Balance Sheet'!$DX207</f>
        <v>0</v>
      </c>
      <c r="D207" s="26">
        <f>'Old Combined Balance Sheet'!A207 + 'Balance Sheet - FGI Insurance -'!CF207</f>
        <v>0</v>
      </c>
      <c r="E207" s="26">
        <f t="shared" si="1"/>
        <v>0</v>
      </c>
      <c r="F207" s="26" t="str">
        <f>Sheet1!N207</f>
        <v>Asha Motor - Kannauj</v>
      </c>
      <c r="G207" s="26" t="str">
        <f>Sheet1!O207</f>
        <v>1hlnCiW64Y7uZNVOj2ewyfTULbWj1dUaXX2rUREx8W8o</v>
      </c>
      <c r="H207" s="26" t="str">
        <f>Sheet1!AV207</f>
        <v/>
      </c>
      <c r="I207" s="26" t="str">
        <f>Sheet1!AW207</f>
        <v/>
      </c>
      <c r="J207" s="26" t="str">
        <f>Sheet1!P207</f>
        <v>Sub Dealer</v>
      </c>
      <c r="K207" s="26" t="str">
        <f>Sheet1!AZ207</f>
        <v>Yes</v>
      </c>
      <c r="L207" s="26" t="str">
        <f>Sheet1!BA207</f>
        <v>No</v>
      </c>
      <c r="M207" s="26" t="str">
        <f>Sheet1!BB207</f>
        <v>No</v>
      </c>
      <c r="N207" s="26">
        <f>Sheet1!BC207</f>
        <v>0</v>
      </c>
    </row>
    <row r="208">
      <c r="A208" s="25" t="str">
        <f>(Sheet1!A208)</f>
        <v>1brGGXYNO7p4ye7lOi0GBEPWtsN031lP69rhfRORc5eg</v>
      </c>
      <c r="B208" s="25" t="str">
        <f>(Sheet1!B208)</f>
        <v>Shubhi Motors(AM) - Umarda</v>
      </c>
      <c r="C208" s="26">
        <f>'Balance Sheet'!$DX208</f>
        <v>0</v>
      </c>
      <c r="D208" s="26">
        <f>'Old Combined Balance Sheet'!A208 + 'Balance Sheet - FGI Insurance -'!CF208</f>
        <v>0</v>
      </c>
      <c r="E208" s="26">
        <f t="shared" si="1"/>
        <v>0</v>
      </c>
      <c r="F208" s="26" t="str">
        <f>Sheet1!N208</f>
        <v>Asha Motor - Kannauj</v>
      </c>
      <c r="G208" s="26" t="str">
        <f>Sheet1!O208</f>
        <v>1hlnCiW64Y7uZNVOj2ewyfTULbWj1dUaXX2rUREx8W8o</v>
      </c>
      <c r="H208" s="26" t="str">
        <f>Sheet1!AV208</f>
        <v/>
      </c>
      <c r="I208" s="26" t="str">
        <f>Sheet1!AW208</f>
        <v/>
      </c>
      <c r="J208" s="26" t="str">
        <f>Sheet1!P208</f>
        <v>Sub Dealer</v>
      </c>
      <c r="K208" s="26" t="str">
        <f>Sheet1!AZ208</f>
        <v>Yes</v>
      </c>
      <c r="L208" s="26" t="str">
        <f>Sheet1!BA208</f>
        <v>No</v>
      </c>
      <c r="M208" s="26" t="str">
        <f>Sheet1!BB208</f>
        <v>No</v>
      </c>
      <c r="N208" s="26">
        <f>Sheet1!BC208</f>
        <v>0</v>
      </c>
    </row>
    <row r="209">
      <c r="A209" s="25" t="str">
        <f>(Sheet1!A209)</f>
        <v>1_xXDhPc2zYZ10fr1h3mfn-L73eXsLjI78QDoo4z-PJk</v>
      </c>
      <c r="B209" s="25" t="str">
        <f>(Sheet1!B209)</f>
        <v>SM Motors(AM) - Sakrawa</v>
      </c>
      <c r="C209" s="26">
        <f>'Balance Sheet'!$DX209</f>
        <v>0</v>
      </c>
      <c r="D209" s="26">
        <f>'Old Combined Balance Sheet'!A209 + 'Balance Sheet - FGI Insurance -'!CF209</f>
        <v>0</v>
      </c>
      <c r="E209" s="26">
        <f t="shared" si="1"/>
        <v>0</v>
      </c>
      <c r="F209" s="26" t="str">
        <f>Sheet1!N209</f>
        <v>Asha Motor - Kannauj</v>
      </c>
      <c r="G209" s="26" t="str">
        <f>Sheet1!O209</f>
        <v>1hlnCiW64Y7uZNVOj2ewyfTULbWj1dUaXX2rUREx8W8o</v>
      </c>
      <c r="H209" s="26" t="str">
        <f>Sheet1!AV209</f>
        <v/>
      </c>
      <c r="I209" s="26" t="str">
        <f>Sheet1!AW209</f>
        <v/>
      </c>
      <c r="J209" s="26" t="str">
        <f>Sheet1!P209</f>
        <v>Sub Dealer</v>
      </c>
      <c r="K209" s="26" t="str">
        <f>Sheet1!AZ209</f>
        <v>Yes</v>
      </c>
      <c r="L209" s="26" t="str">
        <f>Sheet1!BA209</f>
        <v>No</v>
      </c>
      <c r="M209" s="26" t="str">
        <f>Sheet1!BB209</f>
        <v>No</v>
      </c>
      <c r="N209" s="26">
        <f>Sheet1!BC209</f>
        <v>0</v>
      </c>
    </row>
    <row r="210">
      <c r="A210" s="25" t="str">
        <f>(Sheet1!A210)</f>
        <v>1OzQsznHYYDF5b9H7Egq-41PQKlWLvAn0FP2aFBNQa-s</v>
      </c>
      <c r="B210" s="25" t="str">
        <f>(Sheet1!B210)</f>
        <v>Sri Venkkateshwara(VT) - Raichur</v>
      </c>
      <c r="C210" s="26">
        <f>'Balance Sheet'!$DX210</f>
        <v>0</v>
      </c>
      <c r="D210" s="26">
        <f>'Old Combined Balance Sheet'!A210 + 'Balance Sheet - FGI Insurance -'!CF210</f>
        <v>0</v>
      </c>
      <c r="E210" s="26">
        <f t="shared" si="1"/>
        <v>0</v>
      </c>
      <c r="F210" s="26" t="str">
        <f>Sheet1!N210</f>
        <v>Vidhi Trading</v>
      </c>
      <c r="G210" s="26" t="str">
        <f>Sheet1!O210</f>
        <v>1RYX1vfvY0jbK-8SlRPLYU11dr-HUe2ntxj5PumL7c0I</v>
      </c>
      <c r="H210" s="26" t="str">
        <f>Sheet1!AV210</f>
        <v/>
      </c>
      <c r="I210" s="26" t="str">
        <f>Sheet1!AW210</f>
        <v/>
      </c>
      <c r="J210" s="26" t="str">
        <f>Sheet1!P210</f>
        <v>Sub Dealer</v>
      </c>
      <c r="K210" s="26" t="str">
        <f>Sheet1!AZ210</f>
        <v>No</v>
      </c>
      <c r="L210" s="26" t="str">
        <f>Sheet1!BA210</f>
        <v>No</v>
      </c>
      <c r="M210" s="26" t="str">
        <f>Sheet1!BB210</f>
        <v>No</v>
      </c>
      <c r="N210" s="26">
        <f>Sheet1!BC210</f>
        <v>0</v>
      </c>
    </row>
    <row r="211">
      <c r="A211" s="25" t="str">
        <f>(Sheet1!A211)</f>
        <v>11KI2mOYZ4I9wDgZ2By8zUkmcvYLaWDOUT2Ivww0nVBM</v>
      </c>
      <c r="B211" s="25" t="str">
        <f>(Sheet1!B211)</f>
        <v>Shree Balaji Bajaj Showroom(VT) - Raichur</v>
      </c>
      <c r="C211" s="26">
        <f>'Balance Sheet'!$DX211</f>
        <v>310.2</v>
      </c>
      <c r="D211" s="26">
        <f>'Old Combined Balance Sheet'!A211 + 'Balance Sheet - FGI Insurance -'!CF211</f>
        <v>0</v>
      </c>
      <c r="E211" s="26">
        <f t="shared" si="1"/>
        <v>310.2</v>
      </c>
      <c r="F211" s="26" t="str">
        <f>Sheet1!N211</f>
        <v>Vidhi Trading</v>
      </c>
      <c r="G211" s="26" t="str">
        <f>Sheet1!O211</f>
        <v>1RYX1vfvY0jbK-8SlRPLYU11dr-HUe2ntxj5PumL7c0I</v>
      </c>
      <c r="H211" s="26" t="str">
        <f>Sheet1!AV211</f>
        <v/>
      </c>
      <c r="I211" s="26" t="str">
        <f>Sheet1!AW211</f>
        <v/>
      </c>
      <c r="J211" s="26" t="str">
        <f>Sheet1!P211</f>
        <v>Sub Dealer</v>
      </c>
      <c r="K211" s="26" t="str">
        <f>Sheet1!AZ211</f>
        <v>No</v>
      </c>
      <c r="L211" s="26" t="str">
        <f>Sheet1!BA211</f>
        <v>No</v>
      </c>
      <c r="M211" s="26" t="str">
        <f>Sheet1!BB211</f>
        <v>No</v>
      </c>
      <c r="N211" s="26">
        <f>Sheet1!BC211</f>
        <v>0</v>
      </c>
    </row>
    <row r="212">
      <c r="A212" s="25" t="str">
        <f>(Sheet1!A212)</f>
        <v>1UEfgxxulqp3XdpHhzd5wSRwLxDHVUpADNPLxS1b2Hvo</v>
      </c>
      <c r="B212" s="25" t="str">
        <f>(Sheet1!B212)</f>
        <v>Mayank TEST</v>
      </c>
      <c r="C212" s="26">
        <f>'Balance Sheet'!$DX212</f>
        <v>0</v>
      </c>
      <c r="D212" s="26">
        <f>'Old Combined Balance Sheet'!A212 + 'Balance Sheet - FGI Insurance -'!CF212</f>
        <v>0</v>
      </c>
      <c r="E212" s="26">
        <f t="shared" si="1"/>
        <v>0</v>
      </c>
      <c r="F212" s="26" t="str">
        <f>Sheet1!N212</f>
        <v>MPS</v>
      </c>
      <c r="G212" s="26" t="str">
        <f>Sheet1!O212</f>
        <v>1ClXh28BQwwGN7Q42xt0Dc8b_R_3jweBItLcbwVq3Rj0</v>
      </c>
      <c r="H212" s="26" t="str">
        <f>Sheet1!AV212</f>
        <v/>
      </c>
      <c r="I212" s="26" t="str">
        <f>Sheet1!AW212</f>
        <v/>
      </c>
      <c r="J212" s="26" t="str">
        <f>Sheet1!P212</f>
        <v>Sub Dealer</v>
      </c>
      <c r="K212" s="26" t="str">
        <f>Sheet1!AZ212</f>
        <v>Yes</v>
      </c>
      <c r="L212" s="26" t="str">
        <f>Sheet1!BA212</f>
        <v>Yes</v>
      </c>
      <c r="M212" s="26" t="str">
        <f>Sheet1!BB212</f>
        <v>No</v>
      </c>
      <c r="N212" s="26">
        <f>Sheet1!BC212</f>
        <v>0</v>
      </c>
    </row>
    <row r="213">
      <c r="A213" s="25" t="str">
        <f>(Sheet1!A213)</f>
        <v>1GSsoBjWtxEEY9Oe4QB_zfBq2Y31JMCHYWDUPZcHZ4Is</v>
      </c>
      <c r="B213" s="25" t="str">
        <f>(Sheet1!B213)</f>
        <v>Begusarai Auto Agencies - Begusarai</v>
      </c>
      <c r="C213" s="26">
        <f>'Balance Sheet'!$DX213</f>
        <v>1036.1</v>
      </c>
      <c r="D213" s="26">
        <f>'Old Combined Balance Sheet'!A213 + 'Balance Sheet - FGI Insurance -'!CF213</f>
        <v>0</v>
      </c>
      <c r="E213" s="26">
        <f t="shared" si="1"/>
        <v>1036.1</v>
      </c>
      <c r="F213" s="26" t="str">
        <f>Sheet1!N213</f>
        <v>Begusarai Auto Agencies - Begusarai</v>
      </c>
      <c r="G213" s="26" t="str">
        <f>Sheet1!O213</f>
        <v>1GSsoBjWtxEEY9Oe4QB_zfBq2Y31JMCHYWDUPZcHZ4Is</v>
      </c>
      <c r="H213" s="26" t="str">
        <f>Sheet1!AV213</f>
        <v/>
      </c>
      <c r="I213" s="26" t="str">
        <f>Sheet1!AW213</f>
        <v/>
      </c>
      <c r="J213" s="26" t="str">
        <f>Sheet1!P213</f>
        <v>Dealer</v>
      </c>
      <c r="K213" s="26" t="str">
        <f>Sheet1!AZ213</f>
        <v>No</v>
      </c>
      <c r="L213" s="26" t="str">
        <f>Sheet1!BA213</f>
        <v>No</v>
      </c>
      <c r="M213" s="26" t="str">
        <f>Sheet1!BB213</f>
        <v>No</v>
      </c>
      <c r="N213" s="26">
        <f>Sheet1!BC213</f>
        <v>0</v>
      </c>
    </row>
    <row r="214">
      <c r="A214" s="25" t="str">
        <f>(Sheet1!A214)</f>
        <v>1cVGXbO2lp52NndvygvM_F7Cqcy0EMGxzT1ZUlpTQeiI</v>
      </c>
      <c r="B214" s="25" t="str">
        <f>(Sheet1!B214)</f>
        <v>BARABANKI MOTORS</v>
      </c>
      <c r="C214" s="26">
        <f>'Balance Sheet'!$DX214</f>
        <v>34710</v>
      </c>
      <c r="D214" s="26">
        <f>'Old Combined Balance Sheet'!A214 + 'Balance Sheet - FGI Insurance -'!CF214</f>
        <v>0</v>
      </c>
      <c r="E214" s="26">
        <f t="shared" si="1"/>
        <v>34710</v>
      </c>
      <c r="F214" s="26" t="str">
        <f>Sheet1!N214</f>
        <v>BARABANKI MOTORS</v>
      </c>
      <c r="G214" s="26" t="str">
        <f>Sheet1!O214</f>
        <v>1cVGXbO2lp52NndvygvM_F7Cqcy0EMGxzT1ZUlpTQeiI</v>
      </c>
      <c r="H214" s="26" t="str">
        <f>Sheet1!AV214</f>
        <v/>
      </c>
      <c r="I214" s="26" t="str">
        <f>Sheet1!AW214</f>
        <v/>
      </c>
      <c r="J214" s="26" t="str">
        <f>Sheet1!P214</f>
        <v>Dealer</v>
      </c>
      <c r="K214" s="26" t="str">
        <f>Sheet1!AZ214</f>
        <v>No</v>
      </c>
      <c r="L214" s="26" t="str">
        <f>Sheet1!BA214</f>
        <v>No</v>
      </c>
      <c r="M214" s="26" t="str">
        <f>Sheet1!BB214</f>
        <v>No</v>
      </c>
      <c r="N214" s="26">
        <f>Sheet1!BC214</f>
        <v>0</v>
      </c>
    </row>
    <row r="215">
      <c r="A215" s="25" t="str">
        <f>(Sheet1!A215)</f>
        <v>189IwjZKbhxdfpCM3_XZAiWsKnV1TiiKuwuI8GFe4AH0</v>
      </c>
      <c r="B215" s="25" t="str">
        <f>(Sheet1!B215)</f>
        <v>Bombay Automobiles- RAEBARELI</v>
      </c>
      <c r="C215" s="26">
        <f>'Balance Sheet'!$DX215</f>
        <v>1170</v>
      </c>
      <c r="D215" s="26">
        <f>'Old Combined Balance Sheet'!A215 + 'Balance Sheet - FGI Insurance -'!CF215</f>
        <v>0</v>
      </c>
      <c r="E215" s="26">
        <f t="shared" si="1"/>
        <v>1170</v>
      </c>
      <c r="F215" s="26" t="str">
        <f>Sheet1!N215</f>
        <v>Bombay Automobiles- RAEBARELI</v>
      </c>
      <c r="G215" s="26" t="str">
        <f>Sheet1!O215</f>
        <v>189IwjZKbhxdfpCM3_XZAiWsKnV1TiiKuwuI8GFe4AH0</v>
      </c>
      <c r="H215" s="26" t="str">
        <f>Sheet1!AV215</f>
        <v/>
      </c>
      <c r="I215" s="26" t="str">
        <f>Sheet1!AW215</f>
        <v/>
      </c>
      <c r="J215" s="26" t="str">
        <f>Sheet1!P215</f>
        <v>Dealer</v>
      </c>
      <c r="K215" s="26" t="str">
        <f>Sheet1!AZ215</f>
        <v>No</v>
      </c>
      <c r="L215" s="26" t="str">
        <f>Sheet1!BA215</f>
        <v>No</v>
      </c>
      <c r="M215" s="26" t="str">
        <f>Sheet1!BB215</f>
        <v>No</v>
      </c>
      <c r="N215" s="26">
        <f>Sheet1!BC215</f>
        <v>0</v>
      </c>
    </row>
    <row r="216">
      <c r="A216" s="25" t="str">
        <f>(Sheet1!A216)</f>
        <v>10FVvx9Av8wfEkk7tdoP2PF6PtATj8pRZnm-XwFei7iM</v>
      </c>
      <c r="B216" s="25" t="str">
        <f>(Sheet1!B216)</f>
        <v>A.K Automobile(AM) - Taligram</v>
      </c>
      <c r="C216" s="26">
        <f>'Balance Sheet'!$DX216</f>
        <v>0</v>
      </c>
      <c r="D216" s="26">
        <f>'Old Combined Balance Sheet'!A216 + 'Balance Sheet - FGI Insurance -'!CF216</f>
        <v>0</v>
      </c>
      <c r="E216" s="26">
        <f t="shared" si="1"/>
        <v>0</v>
      </c>
      <c r="F216" s="26" t="str">
        <f>Sheet1!N216</f>
        <v>Asha Motor - Kannauj</v>
      </c>
      <c r="G216" s="26" t="str">
        <f>Sheet1!O216</f>
        <v>1hlnCiW64Y7uZNVOj2ewyfTULbWj1dUaXX2rUREx8W8o</v>
      </c>
      <c r="H216" s="26" t="str">
        <f>Sheet1!AV216</f>
        <v/>
      </c>
      <c r="I216" s="26" t="str">
        <f>Sheet1!AW216</f>
        <v/>
      </c>
      <c r="J216" s="26" t="str">
        <f>Sheet1!P216</f>
        <v>Sub Dealer</v>
      </c>
      <c r="K216" s="26" t="str">
        <f>Sheet1!AZ216</f>
        <v>Yes</v>
      </c>
      <c r="L216" s="26" t="str">
        <f>Sheet1!BA216</f>
        <v>No</v>
      </c>
      <c r="M216" s="26" t="str">
        <f>Sheet1!BB216</f>
        <v>No</v>
      </c>
      <c r="N216" s="26">
        <f>Sheet1!BC216</f>
        <v>0</v>
      </c>
    </row>
    <row r="217">
      <c r="A217" s="25" t="str">
        <f>(Sheet1!A217)</f>
        <v>19J_y8BUN9RSe9TTg9cxKYBBv29Tfi7RwvKo8Va7MJRQ</v>
      </c>
      <c r="B217" s="25" t="str">
        <f>(Sheet1!B217)</f>
        <v>Kshitij Auto Wheelers - Mirzapur</v>
      </c>
      <c r="C217" s="26">
        <f>'Balance Sheet'!$DX217</f>
        <v>15242</v>
      </c>
      <c r="D217" s="26">
        <f>'Old Combined Balance Sheet'!A217 + 'Balance Sheet - FGI Insurance -'!CF217</f>
        <v>0</v>
      </c>
      <c r="E217" s="26">
        <f t="shared" si="1"/>
        <v>15242</v>
      </c>
      <c r="F217" s="26" t="str">
        <f>Sheet1!N217</f>
        <v>Kshitij Auto Wheelers - Mirzapur</v>
      </c>
      <c r="G217" s="26" t="str">
        <f>Sheet1!O217</f>
        <v>19J_y8BUN9RSe9TTg9cxKYBBv29Tfi7RwvKo8Va7MJRQ</v>
      </c>
      <c r="H217" s="26" t="str">
        <f>Sheet1!AV217</f>
        <v/>
      </c>
      <c r="I217" s="26" t="str">
        <f>Sheet1!AW217</f>
        <v/>
      </c>
      <c r="J217" s="26" t="str">
        <f>Sheet1!P217</f>
        <v>Dealer</v>
      </c>
      <c r="K217" s="26" t="str">
        <f>Sheet1!AZ217</f>
        <v>Yes</v>
      </c>
      <c r="L217" s="26" t="str">
        <f>Sheet1!BA217</f>
        <v>No</v>
      </c>
      <c r="M217" s="26" t="str">
        <f>Sheet1!BB217</f>
        <v>No</v>
      </c>
      <c r="N217" s="26">
        <f>Sheet1!BC217</f>
        <v>0</v>
      </c>
    </row>
    <row r="218">
      <c r="A218" s="25" t="str">
        <f>(Sheet1!A218)</f>
        <v>1pIkLTEq99ZID0V0k8H0hOFXZDJQMaAoy2fsIol-e81k</v>
      </c>
      <c r="B218" s="25" t="str">
        <f>(Sheet1!B218)</f>
        <v>NITIN MATANHELIA - GORAKHPUR</v>
      </c>
      <c r="C218" s="26">
        <f>'Balance Sheet'!$DX218</f>
        <v>13990</v>
      </c>
      <c r="D218" s="26">
        <f>'Old Combined Balance Sheet'!A218 + 'Balance Sheet - FGI Insurance -'!CF218</f>
        <v>0</v>
      </c>
      <c r="E218" s="26">
        <f t="shared" si="1"/>
        <v>13990</v>
      </c>
      <c r="F218" s="26" t="str">
        <f>Sheet1!N218</f>
        <v>NITIN MATANHELIA - GORAKHPUR</v>
      </c>
      <c r="G218" s="26" t="str">
        <f>Sheet1!O218</f>
        <v>1pIkLTEq99ZID0V0k8H0hOFXZDJQMaAoy2fsIol-e81k</v>
      </c>
      <c r="H218" s="26" t="str">
        <f>Sheet1!AV218</f>
        <v/>
      </c>
      <c r="I218" s="26" t="str">
        <f>Sheet1!AW218</f>
        <v/>
      </c>
      <c r="J218" s="26" t="str">
        <f>Sheet1!P218</f>
        <v>Dealer</v>
      </c>
      <c r="K218" s="26" t="str">
        <f>Sheet1!AZ218</f>
        <v>Yes</v>
      </c>
      <c r="L218" s="26" t="str">
        <f>Sheet1!BA218</f>
        <v>No</v>
      </c>
      <c r="M218" s="26" t="str">
        <f>Sheet1!BB218</f>
        <v>No</v>
      </c>
      <c r="N218" s="26">
        <f>Sheet1!BC218</f>
        <v>0</v>
      </c>
    </row>
    <row r="219">
      <c r="A219" s="25" t="str">
        <f>(Sheet1!A219)</f>
        <v>15TCKogSV6eLWZg1o0BLy9c__at_HGv_nwylQpiLk1k0</v>
      </c>
      <c r="B219" s="25" t="str">
        <f>(Sheet1!B219)</f>
        <v>Shivam Automobile - Chakia</v>
      </c>
      <c r="C219" s="26">
        <f>'Balance Sheet'!$DX219</f>
        <v>0</v>
      </c>
      <c r="D219" s="26">
        <f>'Old Combined Balance Sheet'!A219 + 'Balance Sheet - FGI Insurance -'!CF219</f>
        <v>0</v>
      </c>
      <c r="E219" s="26">
        <f t="shared" si="1"/>
        <v>0</v>
      </c>
      <c r="F219" s="26" t="str">
        <f>Sheet1!N219</f>
        <v>Shivam Automobile - Chakia</v>
      </c>
      <c r="G219" s="26" t="str">
        <f>Sheet1!O219</f>
        <v>15TCKogSV6eLWZg1o0BLy9c__at_HGv_nwylQpiLk1k0</v>
      </c>
      <c r="H219" s="26" t="str">
        <f>Sheet1!AV219</f>
        <v/>
      </c>
      <c r="I219" s="26" t="str">
        <f>Sheet1!AW219</f>
        <v/>
      </c>
      <c r="J219" s="26" t="str">
        <f>Sheet1!P219</f>
        <v>Dealer</v>
      </c>
      <c r="K219" s="26" t="str">
        <f>Sheet1!AZ219</f>
        <v>No</v>
      </c>
      <c r="L219" s="26" t="str">
        <f>Sheet1!BA219</f>
        <v>No</v>
      </c>
      <c r="M219" s="26" t="str">
        <f>Sheet1!BB219</f>
        <v>No</v>
      </c>
      <c r="N219" s="26">
        <f>Sheet1!BC219</f>
        <v>0</v>
      </c>
    </row>
    <row r="220">
      <c r="A220" s="25" t="str">
        <f>(Sheet1!A220)</f>
        <v>1IW00YIJovrtt6A8q0p0zoi4iwBPaPgOVnZqjzOz5yP0</v>
      </c>
      <c r="B220" s="25" t="str">
        <f>(Sheet1!B220)</f>
        <v>SHYAM MOTORS - FATEHPUR</v>
      </c>
      <c r="C220" s="26">
        <f>'Balance Sheet'!$DX220</f>
        <v>40</v>
      </c>
      <c r="D220" s="26">
        <f>'Old Combined Balance Sheet'!A220 + 'Balance Sheet - FGI Insurance -'!CF220</f>
        <v>0</v>
      </c>
      <c r="E220" s="26">
        <f t="shared" si="1"/>
        <v>40</v>
      </c>
      <c r="F220" s="26" t="str">
        <f>Sheet1!N220</f>
        <v>SHYAM MOTORS - FATEHPUR</v>
      </c>
      <c r="G220" s="26" t="str">
        <f>Sheet1!O220</f>
        <v>1IW00YIJovrtt6A8q0p0zoi4iwBPaPgOVnZqjzOz5yP0</v>
      </c>
      <c r="H220" s="26" t="str">
        <f>Sheet1!AV220</f>
        <v/>
      </c>
      <c r="I220" s="26" t="str">
        <f>Sheet1!AW220</f>
        <v/>
      </c>
      <c r="J220" s="26" t="str">
        <f>Sheet1!P220</f>
        <v>Dealer</v>
      </c>
      <c r="K220" s="26" t="str">
        <f>Sheet1!AZ220</f>
        <v>No</v>
      </c>
      <c r="L220" s="26" t="str">
        <f>Sheet1!BA220</f>
        <v>No</v>
      </c>
      <c r="M220" s="26" t="str">
        <f>Sheet1!BB220</f>
        <v>No</v>
      </c>
      <c r="N220" s="26">
        <f>Sheet1!BC220</f>
        <v>0</v>
      </c>
    </row>
    <row r="221">
      <c r="A221" s="25" t="str">
        <f>(Sheet1!A221)</f>
        <v>1WXvYHRsq58CQOMiTQW5jz_Rk7VXZzJwGsE9DYysdKio</v>
      </c>
      <c r="B221" s="25" t="str">
        <f>(Sheet1!B221)</f>
        <v>Goel Motors - Lucknow</v>
      </c>
      <c r="C221" s="26">
        <f>'Balance Sheet'!$DX221</f>
        <v>-24500</v>
      </c>
      <c r="D221" s="26">
        <f>'Old Combined Balance Sheet'!A221 + 'Balance Sheet - FGI Insurance -'!CF221</f>
        <v>0</v>
      </c>
      <c r="E221" s="26">
        <f t="shared" si="1"/>
        <v>-24500</v>
      </c>
      <c r="F221" s="26" t="str">
        <f>Sheet1!N221</f>
        <v>Goel Motors - Lucknow</v>
      </c>
      <c r="G221" s="26" t="str">
        <f>Sheet1!O221</f>
        <v>1WXvYHRsq58CQOMiTQW5jz_Rk7VXZzJwGsE9DYysdKio</v>
      </c>
      <c r="H221" s="26" t="str">
        <f>Sheet1!AV221</f>
        <v/>
      </c>
      <c r="I221" s="26" t="str">
        <f>Sheet1!AW221</f>
        <v/>
      </c>
      <c r="J221" s="26" t="str">
        <f>Sheet1!P221</f>
        <v>Dealer</v>
      </c>
      <c r="K221" s="26" t="str">
        <f>Sheet1!AZ221</f>
        <v>Yes</v>
      </c>
      <c r="L221" s="26" t="str">
        <f>Sheet1!BA221</f>
        <v>No</v>
      </c>
      <c r="M221" s="26" t="str">
        <f>Sheet1!BB221</f>
        <v>No</v>
      </c>
      <c r="N221" s="26">
        <f>Sheet1!BC221</f>
        <v>0</v>
      </c>
    </row>
    <row r="222">
      <c r="A222" s="25" t="str">
        <f>(Sheet1!A222)</f>
        <v>1Y48WevU4dZlpN_oRadqFSD4ED20x97CYUdeAzWdn3go</v>
      </c>
      <c r="B222" s="25" t="str">
        <f>(Sheet1!B222)</f>
        <v>Mahalaxmi TVS- AHEMDABAD</v>
      </c>
      <c r="C222" s="26">
        <f>'Balance Sheet'!$DX222</f>
        <v>10527</v>
      </c>
      <c r="D222" s="26">
        <f>'Old Combined Balance Sheet'!A222 + 'Balance Sheet - FGI Insurance -'!CF222</f>
        <v>0</v>
      </c>
      <c r="E222" s="26">
        <f t="shared" si="1"/>
        <v>10527</v>
      </c>
      <c r="F222" s="26" t="str">
        <f>Sheet1!N222</f>
        <v>Mahalaxmi TVS- AHEMDABAD</v>
      </c>
      <c r="G222" s="26" t="str">
        <f>Sheet1!O222</f>
        <v>1Y48WevU4dZlpN_oRadqFSD4ED20x97CYUdeAzWdn3go</v>
      </c>
      <c r="H222" s="26" t="str">
        <f>Sheet1!AV222</f>
        <v/>
      </c>
      <c r="I222" s="26" t="str">
        <f>Sheet1!AW222</f>
        <v/>
      </c>
      <c r="J222" s="26" t="str">
        <f>Sheet1!P222</f>
        <v>Dealer</v>
      </c>
      <c r="K222" s="26" t="str">
        <f>Sheet1!AZ222</f>
        <v>No</v>
      </c>
      <c r="L222" s="26" t="str">
        <f>Sheet1!BA222</f>
        <v>No</v>
      </c>
      <c r="M222" s="26" t="str">
        <f>Sheet1!BB222</f>
        <v>No</v>
      </c>
      <c r="N222" s="26">
        <f>Sheet1!BC222</f>
        <v>0</v>
      </c>
    </row>
    <row r="223">
      <c r="A223" s="25" t="str">
        <f>(Sheet1!A223)</f>
        <v>1iBXH7o4SHrOUcyupGINEY029YtS1MVzDOPaqJv2RrfU</v>
      </c>
      <c r="B223" s="25" t="str">
        <f>(Sheet1!B223)</f>
        <v>MADAN AUTO AGENCY - LAURIYA</v>
      </c>
      <c r="C223" s="26">
        <f>'Balance Sheet'!$DX223</f>
        <v>0</v>
      </c>
      <c r="D223" s="26">
        <f>'Old Combined Balance Sheet'!A223 + 'Balance Sheet - FGI Insurance -'!CF223</f>
        <v>0</v>
      </c>
      <c r="E223" s="26">
        <f t="shared" si="1"/>
        <v>0</v>
      </c>
      <c r="F223" s="26" t="str">
        <f>Sheet1!N223</f>
        <v>Modern Auto Agency - Bettiah</v>
      </c>
      <c r="G223" s="26" t="str">
        <f>Sheet1!O223</f>
        <v>1_UtGSoyOsljQXvmry7gfXGYwjwEjQbghQQGZebnq45M</v>
      </c>
      <c r="H223" s="26" t="str">
        <f>Sheet1!AV223</f>
        <v/>
      </c>
      <c r="I223" s="26" t="str">
        <f>Sheet1!AW223</f>
        <v/>
      </c>
      <c r="J223" s="26" t="str">
        <f>Sheet1!P223</f>
        <v>Sub Dealer</v>
      </c>
      <c r="K223" s="26" t="str">
        <f>Sheet1!AZ223</f>
        <v>Yes</v>
      </c>
      <c r="L223" s="26" t="str">
        <f>Sheet1!BA223</f>
        <v>No</v>
      </c>
      <c r="M223" s="26" t="str">
        <f>Sheet1!BB223</f>
        <v>No</v>
      </c>
      <c r="N223" s="26">
        <f>Sheet1!BC223</f>
        <v>0</v>
      </c>
    </row>
    <row r="224">
      <c r="A224" s="25" t="str">
        <f>(Sheet1!A224)</f>
        <v>1JAbS28NFmfJxZrsQ7twsfzmqCme35J_wqOELlcNcX1c</v>
      </c>
      <c r="B224" s="25" t="str">
        <f>(Sheet1!B224)</f>
        <v>STALLIONZ TVS - AHMEDABAD</v>
      </c>
      <c r="C224" s="26">
        <f>'Balance Sheet'!$DX224</f>
        <v>3169.6</v>
      </c>
      <c r="D224" s="26">
        <f>'Old Combined Balance Sheet'!A224 + 'Balance Sheet - FGI Insurance -'!CF224</f>
        <v>0</v>
      </c>
      <c r="E224" s="26">
        <f t="shared" si="1"/>
        <v>3169.6</v>
      </c>
      <c r="F224" s="26" t="str">
        <f>Sheet1!N224</f>
        <v>STALLIONZ TVS - AHMEDABAD</v>
      </c>
      <c r="G224" s="26" t="str">
        <f>Sheet1!O224</f>
        <v>1JAbS28NFmfJxZrsQ7twsfzmqCme35J_wqOELlcNcX1c</v>
      </c>
      <c r="H224" s="26" t="str">
        <f>Sheet1!AV224</f>
        <v/>
      </c>
      <c r="I224" s="26" t="str">
        <f>Sheet1!AW224</f>
        <v/>
      </c>
      <c r="J224" s="26" t="str">
        <f>Sheet1!P224</f>
        <v>Dealer</v>
      </c>
      <c r="K224" s="26" t="str">
        <f>Sheet1!AZ224</f>
        <v>No</v>
      </c>
      <c r="L224" s="26" t="str">
        <f>Sheet1!BA224</f>
        <v>No</v>
      </c>
      <c r="M224" s="26" t="str">
        <f>Sheet1!BB224</f>
        <v>No</v>
      </c>
      <c r="N224" s="26">
        <f>Sheet1!BC224</f>
        <v>0</v>
      </c>
    </row>
    <row r="225">
      <c r="A225" s="25" t="str">
        <f>(Sheet1!A225)</f>
        <v>1KROhijYRp4JJHg6qMghouwiu3FhY0i9nzQ4icP6smio</v>
      </c>
      <c r="B225" s="25" t="str">
        <f>(Sheet1!B225)</f>
        <v>SAI HERO-UDGIR</v>
      </c>
      <c r="C225" s="26">
        <f>'Balance Sheet'!$DX225</f>
        <v>0</v>
      </c>
      <c r="D225" s="26">
        <f>'Old Combined Balance Sheet'!A225 + 'Balance Sheet - FGI Insurance -'!CF225</f>
        <v>0</v>
      </c>
      <c r="E225" s="26">
        <f t="shared" si="1"/>
        <v>0</v>
      </c>
      <c r="F225" s="26" t="str">
        <f>Sheet1!N225</f>
        <v>SAI HERO-UDGIR</v>
      </c>
      <c r="G225" s="26" t="str">
        <f>Sheet1!O225</f>
        <v>1KROhijYRp4JJHg6qMghouwiu3FhY0i9nzQ4icP6smio</v>
      </c>
      <c r="H225" s="26" t="str">
        <f>Sheet1!AV225</f>
        <v/>
      </c>
      <c r="I225" s="26" t="str">
        <f>Sheet1!AW225</f>
        <v/>
      </c>
      <c r="J225" s="26" t="str">
        <f>Sheet1!P225</f>
        <v>Dealer</v>
      </c>
      <c r="K225" s="26" t="str">
        <f>Sheet1!AZ225</f>
        <v>No</v>
      </c>
      <c r="L225" s="26" t="str">
        <f>Sheet1!BA225</f>
        <v>No</v>
      </c>
      <c r="M225" s="26" t="str">
        <f>Sheet1!BB225</f>
        <v>No</v>
      </c>
      <c r="N225" s="26">
        <f>Sheet1!BC225</f>
        <v>0</v>
      </c>
    </row>
    <row r="226">
      <c r="A226" s="25" t="str">
        <f>(Sheet1!A226)</f>
        <v>1nEeaFhAsFkti6A1RQlVCs8bVVDbn1HO5_E8Nv2sncWw</v>
      </c>
      <c r="B226" s="25" t="str">
        <f>(Sheet1!B226)</f>
        <v>Mahalaxmi TVS-ISANPUR</v>
      </c>
      <c r="C226" s="26">
        <f>'Balance Sheet'!$DX226</f>
        <v>0</v>
      </c>
      <c r="D226" s="26">
        <f>'Old Combined Balance Sheet'!A226 + 'Balance Sheet - FGI Insurance -'!CF226</f>
        <v>0</v>
      </c>
      <c r="E226" s="26">
        <f t="shared" si="1"/>
        <v>0</v>
      </c>
      <c r="F226" s="26" t="str">
        <f>Sheet1!N226</f>
        <v>Mahalaxmi TVS- AHEMDABAD</v>
      </c>
      <c r="G226" s="26" t="str">
        <f>Sheet1!O226</f>
        <v>1Y48WevU4dZlpN_oRadqFSD4ED20x97CYUdeAzWdn3go</v>
      </c>
      <c r="H226" s="26" t="str">
        <f>Sheet1!AV226</f>
        <v/>
      </c>
      <c r="I226" s="26" t="str">
        <f>Sheet1!AW226</f>
        <v/>
      </c>
      <c r="J226" s="26" t="str">
        <f>Sheet1!P226</f>
        <v>Sub Dealer</v>
      </c>
      <c r="K226" s="26" t="str">
        <f>Sheet1!AZ226</f>
        <v>No</v>
      </c>
      <c r="L226" s="26" t="str">
        <f>Sheet1!BA226</f>
        <v>No</v>
      </c>
      <c r="M226" s="26" t="str">
        <f>Sheet1!BB226</f>
        <v>No</v>
      </c>
      <c r="N226" s="26">
        <f>Sheet1!BC226</f>
        <v>0</v>
      </c>
    </row>
    <row r="227">
      <c r="A227" s="25" t="str">
        <f>(Sheet1!A227)</f>
        <v>1IMcQqxHRw8US8te4fBVvZW4P02L-zmWAO8h94QGx7Eg</v>
      </c>
      <c r="B227" s="25" t="str">
        <f>(Sheet1!B227)</f>
        <v>MAHALAXMI TVS-ODHAV</v>
      </c>
      <c r="C227" s="26">
        <f>'Balance Sheet'!$DX227</f>
        <v>0</v>
      </c>
      <c r="D227" s="26">
        <f>'Old Combined Balance Sheet'!A227 + 'Balance Sheet - FGI Insurance -'!CF227</f>
        <v>0</v>
      </c>
      <c r="E227" s="26">
        <f t="shared" si="1"/>
        <v>0</v>
      </c>
      <c r="F227" s="26" t="str">
        <f>Sheet1!N227</f>
        <v>Mahalaxmi TVS- AHEMDABAD</v>
      </c>
      <c r="G227" s="26" t="str">
        <f>Sheet1!O227</f>
        <v>1Y48WevU4dZlpN_oRadqFSD4ED20x97CYUdeAzWdn3go</v>
      </c>
      <c r="H227" s="26" t="str">
        <f>Sheet1!AV227</f>
        <v/>
      </c>
      <c r="I227" s="26" t="str">
        <f>Sheet1!AW227</f>
        <v/>
      </c>
      <c r="J227" s="26" t="str">
        <f>Sheet1!P227</f>
        <v>Sub Dealer</v>
      </c>
      <c r="K227" s="26" t="str">
        <f>Sheet1!AZ227</f>
        <v>No</v>
      </c>
      <c r="L227" s="26" t="str">
        <f>Sheet1!BA227</f>
        <v>No</v>
      </c>
      <c r="M227" s="26" t="str">
        <f>Sheet1!BB227</f>
        <v>No</v>
      </c>
      <c r="N227" s="26">
        <f>Sheet1!BC227</f>
        <v>0</v>
      </c>
    </row>
    <row r="228">
      <c r="A228" s="25" t="str">
        <f>(Sheet1!A228)</f>
        <v>1adAGJVvFi0F-pwP4fXxBabggqbrsou9iy1He5MQkXp4</v>
      </c>
      <c r="B228" s="25" t="str">
        <f>(Sheet1!B228)</f>
        <v>Janta Automobiles - Sariswa</v>
      </c>
      <c r="C228" s="26">
        <f>'Balance Sheet'!$DX228</f>
        <v>0</v>
      </c>
      <c r="D228" s="26">
        <f>'Old Combined Balance Sheet'!A228 + 'Balance Sheet - FGI Insurance -'!CF228</f>
        <v>0</v>
      </c>
      <c r="E228" s="26">
        <f t="shared" si="1"/>
        <v>0</v>
      </c>
      <c r="F228" s="26" t="str">
        <f>Sheet1!N228</f>
        <v>Modern Auto Agency - Bettiah</v>
      </c>
      <c r="G228" s="26" t="str">
        <f>Sheet1!O228</f>
        <v>1_UtGSoyOsljQXvmry7gfXGYwjwEjQbghQQGZebnq45M</v>
      </c>
      <c r="H228" s="26" t="str">
        <f>Sheet1!AV228</f>
        <v/>
      </c>
      <c r="I228" s="26" t="str">
        <f>Sheet1!AW228</f>
        <v/>
      </c>
      <c r="J228" s="26" t="str">
        <f>Sheet1!P228</f>
        <v>Sub Dealer</v>
      </c>
      <c r="K228" s="26" t="str">
        <f>Sheet1!AZ228</f>
        <v>Yes</v>
      </c>
      <c r="L228" s="26" t="str">
        <f>Sheet1!BA228</f>
        <v>No</v>
      </c>
      <c r="M228" s="26" t="str">
        <f>Sheet1!BB228</f>
        <v>No</v>
      </c>
      <c r="N228" s="26">
        <f>Sheet1!BC228</f>
        <v>0</v>
      </c>
    </row>
    <row r="229">
      <c r="A229" s="26" t="str">
        <f>(Sheet1!A229)</f>
        <v>15uhTTh3U4NtU7dtogFOcc_qPQ7_1_JO1RNn9VV2M20o</v>
      </c>
      <c r="B229" s="26" t="str">
        <f>(Sheet1!B229)</f>
        <v>SHYAM BIHARI AUTO-CHANDOS</v>
      </c>
      <c r="C229" s="26">
        <f>'Balance Sheet'!$DX229</f>
        <v>0</v>
      </c>
      <c r="D229" s="26">
        <f>'Old Combined Balance Sheet'!A229 + 'Balance Sheet - FGI Insurance -'!CF229</f>
        <v>0</v>
      </c>
      <c r="E229" s="26">
        <f t="shared" si="1"/>
        <v>0</v>
      </c>
      <c r="F229" s="26" t="str">
        <f>Sheet1!N229</f>
        <v>Vikas Autowheels</v>
      </c>
      <c r="G229" s="26" t="str">
        <f>Sheet1!O229</f>
        <v>1944RLX7T1M23YXRXYoMnJ6nD_bKLldQXRpFRA0rDLvg</v>
      </c>
      <c r="H229" s="26" t="str">
        <f>Sheet1!AV229</f>
        <v/>
      </c>
      <c r="I229" s="26" t="str">
        <f>Sheet1!AW229</f>
        <v/>
      </c>
      <c r="J229" s="26" t="str">
        <f>Sheet1!P229</f>
        <v>Sub Dealer</v>
      </c>
      <c r="K229" s="26" t="str">
        <f>Sheet1!AZ229</f>
        <v>Yes</v>
      </c>
      <c r="L229" s="26" t="str">
        <f>Sheet1!BA229</f>
        <v>No</v>
      </c>
      <c r="M229" s="26" t="str">
        <f>Sheet1!BB229</f>
        <v>No</v>
      </c>
      <c r="N229" s="26">
        <f>Sheet1!BC229</f>
        <v>0</v>
      </c>
    </row>
    <row r="230">
      <c r="A230" s="26" t="str">
        <f>(Sheet1!A230)</f>
        <v>1TMoK3EazfL-7jZ93zmbRweRcJH2sH5eJ2ciO7ryiDaU</v>
      </c>
      <c r="B230" s="26" t="str">
        <f>(Sheet1!B230)</f>
        <v>JADON MOTORS-GABHANA</v>
      </c>
      <c r="C230" s="26">
        <f>'Balance Sheet'!$DX230</f>
        <v>0</v>
      </c>
      <c r="D230" s="26">
        <f>'Old Combined Balance Sheet'!A230 + 'Balance Sheet - FGI Insurance -'!CF230</f>
        <v>0</v>
      </c>
      <c r="E230" s="26">
        <f t="shared" si="1"/>
        <v>0</v>
      </c>
      <c r="F230" s="26" t="str">
        <f>Sheet1!N230</f>
        <v>Vikas Autowheels</v>
      </c>
      <c r="G230" s="26" t="str">
        <f>Sheet1!O230</f>
        <v>1944RLX7T1M23YXRXYoMnJ6nD_bKLldQXRpFRA0rDLvg</v>
      </c>
      <c r="H230" s="26" t="str">
        <f>Sheet1!AV230</f>
        <v/>
      </c>
      <c r="I230" s="26" t="str">
        <f>Sheet1!AW230</f>
        <v/>
      </c>
      <c r="J230" s="26" t="str">
        <f>Sheet1!P230</f>
        <v>Sub Dealer</v>
      </c>
      <c r="K230" s="26" t="str">
        <f>Sheet1!AZ230</f>
        <v>Yes</v>
      </c>
      <c r="L230" s="26" t="str">
        <f>Sheet1!BA230</f>
        <v>No</v>
      </c>
      <c r="M230" s="26" t="str">
        <f>Sheet1!BB230</f>
        <v>No</v>
      </c>
      <c r="N230" s="26">
        <f>Sheet1!BC230</f>
        <v>0</v>
      </c>
    </row>
    <row r="231">
      <c r="A231" s="26" t="str">
        <f>(Sheet1!A231)</f>
        <v>19-6IeElMwTssF4aorJkfA7Hy5Pfa62mHkj31T_xKwZg</v>
      </c>
      <c r="B231" s="26" t="str">
        <f>(Sheet1!B231)</f>
        <v>VIJAY AGENCY(AAA) - Aligarh</v>
      </c>
      <c r="C231" s="26">
        <f>'Balance Sheet'!$DX231</f>
        <v>0</v>
      </c>
      <c r="D231" s="26">
        <f>'Old Combined Balance Sheet'!A231 + 'Balance Sheet - FGI Insurance -'!CF231</f>
        <v>0</v>
      </c>
      <c r="E231" s="26">
        <f t="shared" si="1"/>
        <v>0</v>
      </c>
      <c r="F231" s="26" t="str">
        <f>Sheet1!N231</f>
        <v>AAA</v>
      </c>
      <c r="G231" s="26" t="str">
        <f>Sheet1!O231</f>
        <v>1AjVyIHPgPw3jscNmkTH1qzR2RokK5FZaJLjeNfOiYAA</v>
      </c>
      <c r="H231" s="26" t="str">
        <f>Sheet1!AV231</f>
        <v/>
      </c>
      <c r="I231" s="26" t="str">
        <f>Sheet1!AW231</f>
        <v/>
      </c>
      <c r="J231" s="26" t="str">
        <f>Sheet1!P231</f>
        <v>Sub Dealer</v>
      </c>
      <c r="K231" s="26" t="str">
        <f>Sheet1!AZ231</f>
        <v>No</v>
      </c>
      <c r="L231" s="26" t="str">
        <f>Sheet1!BA231</f>
        <v>No</v>
      </c>
      <c r="M231" s="26" t="str">
        <f>Sheet1!BB231</f>
        <v>No</v>
      </c>
      <c r="N231" s="26">
        <f>Sheet1!BC231</f>
        <v>0</v>
      </c>
    </row>
    <row r="232">
      <c r="A232" s="26" t="str">
        <f>(Sheet1!A232)</f>
        <v>1IvhNiO_rNg1IV2ApA-e8TfjWXV5sahUvtIFjbiqS99s</v>
      </c>
      <c r="B232" s="26" t="str">
        <f>(Sheet1!B232)</f>
        <v>Shivay Motors (AAA) - Vijaygarh</v>
      </c>
      <c r="C232" s="26">
        <f>'Balance Sheet'!$DX232</f>
        <v>0</v>
      </c>
      <c r="D232" s="26">
        <f>'Old Combined Balance Sheet'!A232 + 'Balance Sheet - FGI Insurance -'!CF232</f>
        <v>0</v>
      </c>
      <c r="E232" s="26">
        <f t="shared" si="1"/>
        <v>0</v>
      </c>
      <c r="F232" s="26" t="str">
        <f>Sheet1!N232</f>
        <v>AAA</v>
      </c>
      <c r="G232" s="26" t="str">
        <f>Sheet1!O232</f>
        <v>1AjVyIHPgPw3jscNmkTH1qzR2RokK5FZaJLjeNfOiYAA</v>
      </c>
      <c r="H232" s="26" t="str">
        <f>Sheet1!AV232</f>
        <v/>
      </c>
      <c r="I232" s="26" t="str">
        <f>Sheet1!AW232</f>
        <v/>
      </c>
      <c r="J232" s="26" t="str">
        <f>Sheet1!P232</f>
        <v>Sub Dealer</v>
      </c>
      <c r="K232" s="26" t="str">
        <f>Sheet1!AZ232</f>
        <v>No</v>
      </c>
      <c r="L232" s="26" t="str">
        <f>Sheet1!BA232</f>
        <v>No</v>
      </c>
      <c r="M232" s="26" t="str">
        <f>Sheet1!BB232</f>
        <v>No</v>
      </c>
      <c r="N232" s="26">
        <f>Sheet1!BC232</f>
        <v>0</v>
      </c>
    </row>
    <row r="233">
      <c r="A233" s="26" t="str">
        <f>(Sheet1!A233)</f>
        <v>1kRyPQWS9rBO-hWXuMRpK-o-u45enSa2VVTYNekPb4kk</v>
      </c>
      <c r="B233" s="26" t="str">
        <f>(Sheet1!B233)</f>
        <v>PASHANKAR AUTO- PUNE</v>
      </c>
      <c r="C233" s="26">
        <f>'Balance Sheet'!$DX233</f>
        <v>-91866.76</v>
      </c>
      <c r="D233" s="26">
        <f>'Old Combined Balance Sheet'!A233 + 'Balance Sheet - FGI Insurance -'!CF233</f>
        <v>0</v>
      </c>
      <c r="E233" s="26">
        <f t="shared" si="1"/>
        <v>-91866.76</v>
      </c>
      <c r="F233" s="26" t="str">
        <f>Sheet1!N233</f>
        <v>PASHANKAR AUTO- PUNE</v>
      </c>
      <c r="G233" s="26" t="str">
        <f>Sheet1!O233</f>
        <v>1kRyPQWS9rBO-hWXuMRpK-o-u45enSa2VVTYNekPb4kk</v>
      </c>
      <c r="H233" s="26" t="str">
        <f>Sheet1!AV233</f>
        <v/>
      </c>
      <c r="I233" s="26" t="str">
        <f>Sheet1!AW233</f>
        <v/>
      </c>
      <c r="J233" s="26" t="str">
        <f>Sheet1!P233</f>
        <v>Dealer</v>
      </c>
      <c r="K233" s="26" t="str">
        <f>Sheet1!AZ233</f>
        <v>Yes</v>
      </c>
      <c r="L233" s="26" t="str">
        <f>Sheet1!BA233</f>
        <v>No</v>
      </c>
      <c r="M233" s="26" t="str">
        <f>Sheet1!BB233</f>
        <v>No</v>
      </c>
      <c r="N233" s="26">
        <f>Sheet1!BC233</f>
        <v>0</v>
      </c>
    </row>
    <row r="234">
      <c r="A234" s="26" t="str">
        <f>(Sheet1!A234)</f>
        <v>1R0uwjETF80Vss8P2a0gSsIF2iqphq4WIGrUlHbCVjKw</v>
      </c>
      <c r="B234" s="26" t="str">
        <f>(Sheet1!B234)</f>
        <v>VTECH TVS- AHMEDABAD</v>
      </c>
      <c r="C234" s="26">
        <f>'Balance Sheet'!$DX234</f>
        <v>929.6</v>
      </c>
      <c r="D234" s="26">
        <f>'Old Combined Balance Sheet'!A234 + 'Balance Sheet - FGI Insurance -'!CF234</f>
        <v>0</v>
      </c>
      <c r="E234" s="26">
        <f t="shared" si="1"/>
        <v>929.6</v>
      </c>
      <c r="F234" s="26" t="str">
        <f>Sheet1!N234</f>
        <v>VTECH TVS- AHMEDABAD</v>
      </c>
      <c r="G234" s="26" t="str">
        <f>Sheet1!O234</f>
        <v>1R0uwjETF80Vss8P2a0gSsIF2iqphq4WIGrUlHbCVjKw</v>
      </c>
      <c r="H234" s="26" t="str">
        <f>Sheet1!AV234</f>
        <v/>
      </c>
      <c r="I234" s="26" t="str">
        <f>Sheet1!AW234</f>
        <v/>
      </c>
      <c r="J234" s="26" t="str">
        <f>Sheet1!P234</f>
        <v>Dealer</v>
      </c>
      <c r="K234" s="26" t="str">
        <f>Sheet1!AZ234</f>
        <v>No</v>
      </c>
      <c r="L234" s="26" t="str">
        <f>Sheet1!BA234</f>
        <v>No</v>
      </c>
      <c r="M234" s="26" t="str">
        <f>Sheet1!BB234</f>
        <v>No</v>
      </c>
      <c r="N234" s="26">
        <f>Sheet1!BC234</f>
        <v>0</v>
      </c>
    </row>
    <row r="235">
      <c r="A235" s="26" t="str">
        <f>(Sheet1!A235)</f>
        <v>1rmVM0JAH6j1YGKR-ibbU8XL4IHeTiP7sO3zo1VitOis</v>
      </c>
      <c r="B235" s="26" t="str">
        <f>(Sheet1!B235)</f>
        <v>Tirupati Motors (AAA) - Akarabad</v>
      </c>
      <c r="C235" s="26">
        <f>'Balance Sheet'!$DX235</f>
        <v>0</v>
      </c>
      <c r="D235" s="26">
        <f>'Old Combined Balance Sheet'!A235 + 'Balance Sheet - FGI Insurance -'!CF235</f>
        <v>0</v>
      </c>
      <c r="E235" s="26">
        <f t="shared" si="1"/>
        <v>0</v>
      </c>
      <c r="F235" s="26" t="str">
        <f>Sheet1!N235</f>
        <v>AAA</v>
      </c>
      <c r="G235" s="26" t="str">
        <f>Sheet1!O235</f>
        <v>1AjVyIHPgPw3jscNmkTH1qzR2RokK5FZaJLjeNfOiYAA</v>
      </c>
      <c r="H235" s="26" t="str">
        <f>Sheet1!AV235</f>
        <v/>
      </c>
      <c r="I235" s="26" t="str">
        <f>Sheet1!AW235</f>
        <v/>
      </c>
      <c r="J235" s="26" t="str">
        <f>Sheet1!P235</f>
        <v>Sub Dealer</v>
      </c>
      <c r="K235" s="26" t="str">
        <f>Sheet1!AZ235</f>
        <v>No</v>
      </c>
      <c r="L235" s="26" t="str">
        <f>Sheet1!BA235</f>
        <v>No</v>
      </c>
      <c r="M235" s="26" t="str">
        <f>Sheet1!BB235</f>
        <v>No</v>
      </c>
      <c r="N235" s="26">
        <f>Sheet1!BC235</f>
        <v>0</v>
      </c>
    </row>
    <row r="236">
      <c r="A236" s="26" t="str">
        <f>(Sheet1!A236)</f>
        <v>1_uE35CAqnGldLOvxOd9EuBeNaRXa3FdEC-O8GGHnflo</v>
      </c>
      <c r="B236" s="26" t="str">
        <f>(Sheet1!B236)</f>
        <v>Deepak automobile (AAA) - Alampur</v>
      </c>
      <c r="C236" s="26">
        <f>'Balance Sheet'!$DX236</f>
        <v>0</v>
      </c>
      <c r="D236" s="26">
        <f>'Old Combined Balance Sheet'!A236 + 'Balance Sheet - FGI Insurance -'!CF236</f>
        <v>0</v>
      </c>
      <c r="E236" s="26">
        <f t="shared" si="1"/>
        <v>0</v>
      </c>
      <c r="F236" s="26" t="str">
        <f>Sheet1!N236</f>
        <v>AAA</v>
      </c>
      <c r="G236" s="26" t="str">
        <f>Sheet1!O236</f>
        <v>1AjVyIHPgPw3jscNmkTH1qzR2RokK5FZaJLjeNfOiYAA</v>
      </c>
      <c r="H236" s="26" t="str">
        <f>Sheet1!AV236</f>
        <v/>
      </c>
      <c r="I236" s="26" t="str">
        <f>Sheet1!AW236</f>
        <v/>
      </c>
      <c r="J236" s="26" t="str">
        <f>Sheet1!P236</f>
        <v>Sub Dealer</v>
      </c>
      <c r="K236" s="26" t="str">
        <f>Sheet1!AZ236</f>
        <v>No</v>
      </c>
      <c r="L236" s="26" t="str">
        <f>Sheet1!BA236</f>
        <v>No</v>
      </c>
      <c r="M236" s="26" t="str">
        <f>Sheet1!BB236</f>
        <v>No</v>
      </c>
      <c r="N236" s="26">
        <f>Sheet1!BC236</f>
        <v>0</v>
      </c>
    </row>
    <row r="237">
      <c r="A237" s="26" t="str">
        <f>(Sheet1!A237)</f>
        <v>1gvaMszi7LB0Gn6vUIkvOZFAnvJ4lHvDAQ1gAHX-11Zk</v>
      </c>
      <c r="B237" s="26" t="str">
        <f>(Sheet1!B237)</f>
        <v>Mahadev auto mobiles (AAA) - Jawan</v>
      </c>
      <c r="C237" s="26">
        <f>'Balance Sheet'!$DX237</f>
        <v>0</v>
      </c>
      <c r="D237" s="26">
        <f>'Old Combined Balance Sheet'!A237 + 'Balance Sheet - FGI Insurance -'!CF237</f>
        <v>0</v>
      </c>
      <c r="E237" s="26">
        <f t="shared" si="1"/>
        <v>0</v>
      </c>
      <c r="F237" s="26" t="str">
        <f>Sheet1!N237</f>
        <v>AAA</v>
      </c>
      <c r="G237" s="26" t="str">
        <f>Sheet1!O237</f>
        <v>1AjVyIHPgPw3jscNmkTH1qzR2RokK5FZaJLjeNfOiYAA</v>
      </c>
      <c r="H237" s="26" t="str">
        <f>Sheet1!AV237</f>
        <v/>
      </c>
      <c r="I237" s="26" t="str">
        <f>Sheet1!AW237</f>
        <v/>
      </c>
      <c r="J237" s="26" t="str">
        <f>Sheet1!P237</f>
        <v>Sub Dealer</v>
      </c>
      <c r="K237" s="26" t="str">
        <f>Sheet1!AZ237</f>
        <v>No</v>
      </c>
      <c r="L237" s="26" t="str">
        <f>Sheet1!BA237</f>
        <v>No</v>
      </c>
      <c r="M237" s="26" t="str">
        <f>Sheet1!BB237</f>
        <v>No</v>
      </c>
      <c r="N237" s="26">
        <f>Sheet1!BC237</f>
        <v>0</v>
      </c>
    </row>
    <row r="238">
      <c r="A238" s="26" t="str">
        <f>(Sheet1!A238)</f>
        <v>1uBXS8-e96xatYz1I0NwbT3MoqNyeJMLj5QciM0dVzK4</v>
      </c>
      <c r="B238" s="26" t="str">
        <f>(Sheet1!B238)</f>
        <v>Shiv Shyam (AAA) - Gorai </v>
      </c>
      <c r="C238" s="26">
        <f>'Balance Sheet'!$DX238</f>
        <v>0</v>
      </c>
      <c r="D238" s="26">
        <f>'Old Combined Balance Sheet'!A238 + 'Balance Sheet - FGI Insurance -'!CF238</f>
        <v>0</v>
      </c>
      <c r="E238" s="26">
        <f t="shared" si="1"/>
        <v>0</v>
      </c>
      <c r="F238" s="26" t="str">
        <f>Sheet1!N238</f>
        <v>AAA</v>
      </c>
      <c r="G238" s="26" t="str">
        <f>Sheet1!O238</f>
        <v>1AjVyIHPgPw3jscNmkTH1qzR2RokK5FZaJLjeNfOiYAA</v>
      </c>
      <c r="H238" s="26" t="str">
        <f>Sheet1!AV238</f>
        <v/>
      </c>
      <c r="I238" s="26" t="str">
        <f>Sheet1!AW238</f>
        <v/>
      </c>
      <c r="J238" s="26" t="str">
        <f>Sheet1!P238</f>
        <v>Sub Dealer</v>
      </c>
      <c r="K238" s="26" t="str">
        <f>Sheet1!AZ238</f>
        <v>No</v>
      </c>
      <c r="L238" s="26" t="str">
        <f>Sheet1!BA238</f>
        <v>No</v>
      </c>
      <c r="M238" s="26" t="str">
        <f>Sheet1!BB238</f>
        <v>No</v>
      </c>
      <c r="N238" s="26">
        <f>Sheet1!BC238</f>
        <v>0</v>
      </c>
    </row>
    <row r="239">
      <c r="A239" s="26" t="str">
        <f>(Sheet1!A239)</f>
        <v>15jnPMaEu2_OeDOATlNJjrJBvmq3ePhgdLWGBHROQJbo</v>
      </c>
      <c r="B239" s="26" t="str">
        <f>(Sheet1!B239)</f>
        <v>PASHANKAR AUTO- PUNE(SD)</v>
      </c>
      <c r="C239" s="26">
        <f>'Balance Sheet'!$DX239</f>
        <v>0</v>
      </c>
      <c r="D239" s="26">
        <f>'Old Combined Balance Sheet'!A239 + 'Balance Sheet - FGI Insurance -'!CF239</f>
        <v>0</v>
      </c>
      <c r="E239" s="26">
        <f t="shared" si="1"/>
        <v>0</v>
      </c>
      <c r="F239" s="26" t="str">
        <f>Sheet1!N239</f>
        <v>PASHANKAR AUTO- PUNE</v>
      </c>
      <c r="G239" s="26" t="str">
        <f>Sheet1!O239</f>
        <v>1kRyPQWS9rBO-hWXuMRpK-o-u45enSa2VVTYNekPb4kk</v>
      </c>
      <c r="H239" s="26" t="str">
        <f>Sheet1!AV239</f>
        <v/>
      </c>
      <c r="I239" s="26" t="str">
        <f>Sheet1!AW239</f>
        <v/>
      </c>
      <c r="J239" s="26" t="str">
        <f>Sheet1!P239</f>
        <v>Sub Dealer</v>
      </c>
      <c r="K239" s="26" t="str">
        <f>Sheet1!AZ239</f>
        <v>Yes</v>
      </c>
      <c r="L239" s="26" t="str">
        <f>Sheet1!BA239</f>
        <v>No</v>
      </c>
      <c r="M239" s="26" t="str">
        <f>Sheet1!BB239</f>
        <v>No</v>
      </c>
      <c r="N239" s="26">
        <f>Sheet1!BC239</f>
        <v>0</v>
      </c>
    </row>
    <row r="240">
      <c r="A240" s="26" t="str">
        <f>(Sheet1!A240)</f>
        <v>1D3-RH4t-FdI5s6mabxVe_emj1BWZlSPFuf3stfCzc8s</v>
      </c>
      <c r="B240" s="26" t="str">
        <f>(Sheet1!B240)</f>
        <v>M.L. MOTORS (KH) -  Gonda</v>
      </c>
      <c r="C240" s="26">
        <f>'Balance Sheet'!$DX240</f>
        <v>0</v>
      </c>
      <c r="D240" s="26">
        <f>'Old Combined Balance Sheet'!A240 + 'Balance Sheet - FGI Insurance -'!CF240</f>
        <v>0</v>
      </c>
      <c r="E240" s="26">
        <f t="shared" si="1"/>
        <v>0</v>
      </c>
      <c r="F240" s="26" t="str">
        <f>Sheet1!N240</f>
        <v>Kamal Hero - Gonda</v>
      </c>
      <c r="G240" s="26" t="str">
        <f>Sheet1!O240</f>
        <v>1VIUqOp_UXFVjhTtvQswmqJ7NEi8nkGyfHAoJPy-wvSA</v>
      </c>
      <c r="H240" s="26" t="str">
        <f>Sheet1!AV240</f>
        <v/>
      </c>
      <c r="I240" s="26" t="str">
        <f>Sheet1!AW240</f>
        <v/>
      </c>
      <c r="J240" s="26" t="str">
        <f>Sheet1!P240</f>
        <v>Sub Dealer</v>
      </c>
      <c r="K240" s="26" t="str">
        <f>Sheet1!AZ240</f>
        <v>No</v>
      </c>
      <c r="L240" s="26" t="str">
        <f>Sheet1!BA240</f>
        <v>No</v>
      </c>
      <c r="M240" s="26" t="str">
        <f>Sheet1!BB240</f>
        <v>No</v>
      </c>
      <c r="N240" s="26">
        <f>Sheet1!BC240</f>
        <v>0</v>
      </c>
    </row>
    <row r="241">
      <c r="A241" s="26" t="str">
        <f>(Sheet1!A241)</f>
        <v>1uNRBa-tQr-tK4ljePvXpBlFQNtLdUR6FKNphcYBf9iY</v>
      </c>
      <c r="B241" s="26" t="str">
        <f>(Sheet1!B241)</f>
        <v>BRIJ NEW CPA - MATHURA</v>
      </c>
      <c r="C241" s="26">
        <f>'Balance Sheet'!$DX241</f>
        <v>0</v>
      </c>
      <c r="D241" s="26">
        <f>'Old Combined Balance Sheet'!A241 + 'Balance Sheet - FGI Insurance -'!CF241</f>
        <v>0</v>
      </c>
      <c r="E241" s="26">
        <f t="shared" si="1"/>
        <v>0</v>
      </c>
      <c r="F241" s="26" t="str">
        <f>Sheet1!N241</f>
        <v>Brij Biwheelers</v>
      </c>
      <c r="G241" s="26" t="str">
        <f>Sheet1!O241</f>
        <v>1ytBGcO8tIze81xKkAa9lWDcflthsPL6SuADAXbhmuwA</v>
      </c>
      <c r="H241" s="26" t="str">
        <f>Sheet1!AV241</f>
        <v/>
      </c>
      <c r="I241" s="26" t="str">
        <f>Sheet1!AW241</f>
        <v/>
      </c>
      <c r="J241" s="26" t="str">
        <f>Sheet1!P241</f>
        <v>Sub Dealer</v>
      </c>
      <c r="K241" s="26" t="str">
        <f>Sheet1!AZ241</f>
        <v>No</v>
      </c>
      <c r="L241" s="26" t="str">
        <f>Sheet1!BA241</f>
        <v>No</v>
      </c>
      <c r="M241" s="26" t="str">
        <f>Sheet1!BB241</f>
        <v>No</v>
      </c>
      <c r="N241" s="26">
        <f>Sheet1!BC241</f>
        <v>0</v>
      </c>
    </row>
    <row r="242">
      <c r="A242" s="26" t="str">
        <f>(Sheet1!A242)</f>
        <v>1WZ3iIAbNB5bzglH4XYG8P38qAiheukTawTpLVIGfqb8</v>
      </c>
      <c r="B242" s="26" t="str">
        <f>(Sheet1!B242)</f>
        <v>GAURAV SHARMA (BBW)- SONKH</v>
      </c>
      <c r="C242" s="26">
        <f>'Balance Sheet'!$DX242</f>
        <v>0</v>
      </c>
      <c r="D242" s="26">
        <f>'Old Combined Balance Sheet'!A242 + 'Balance Sheet - FGI Insurance -'!CF242</f>
        <v>0</v>
      </c>
      <c r="E242" s="26">
        <f t="shared" si="1"/>
        <v>0</v>
      </c>
      <c r="F242" s="26" t="str">
        <f>Sheet1!N242</f>
        <v>Brij Biwheelers</v>
      </c>
      <c r="G242" s="26" t="str">
        <f>Sheet1!O242</f>
        <v>1ytBGcO8tIze81xKkAa9lWDcflthsPL6SuADAXbhmuwA</v>
      </c>
      <c r="H242" s="26" t="str">
        <f>Sheet1!AV242</f>
        <v/>
      </c>
      <c r="I242" s="26" t="str">
        <f>Sheet1!AW242</f>
        <v/>
      </c>
      <c r="J242" s="26" t="str">
        <f>Sheet1!P242</f>
        <v>Sub Dealer</v>
      </c>
      <c r="K242" s="26" t="str">
        <f>Sheet1!AZ242</f>
        <v>No</v>
      </c>
      <c r="L242" s="26" t="str">
        <f>Sheet1!BA242</f>
        <v>No</v>
      </c>
      <c r="M242" s="26" t="str">
        <f>Sheet1!BB242</f>
        <v>No</v>
      </c>
      <c r="N242" s="26">
        <f>Sheet1!BC242</f>
        <v>0</v>
      </c>
    </row>
    <row r="243">
      <c r="A243" s="26" t="str">
        <f>(Sheet1!A243)</f>
        <v>1N2nhUlQIv8rArpkobd5RsjT5bHurvDy7GgSqr-hveAE</v>
      </c>
      <c r="B243" s="26" t="str">
        <f>(Sheet1!B243)</f>
        <v>MADAR AUTOMOBILE - CHAURE BAZAR</v>
      </c>
      <c r="C243" s="26">
        <f>'Balance Sheet'!$DX243</f>
        <v>0</v>
      </c>
      <c r="D243" s="26">
        <f>'Old Combined Balance Sheet'!A243 + 'Balance Sheet - FGI Insurance -'!CF243</f>
        <v>0</v>
      </c>
      <c r="E243" s="26">
        <f t="shared" si="1"/>
        <v>0</v>
      </c>
      <c r="F243" s="26" t="str">
        <f>Sheet1!N243</f>
        <v>Vanshadi Motors - Faizabad</v>
      </c>
      <c r="G243" s="26" t="str">
        <f>Sheet1!O243</f>
        <v>1S2YNz2hsIyDIwT68EF1VR8O-D7oanl9HQJpcApwJPG4</v>
      </c>
      <c r="H243" s="26" t="str">
        <f>Sheet1!AV243</f>
        <v/>
      </c>
      <c r="I243" s="26" t="str">
        <f>Sheet1!AW243</f>
        <v/>
      </c>
      <c r="J243" s="26" t="str">
        <f>Sheet1!P243</f>
        <v>Sub Dealer</v>
      </c>
      <c r="K243" s="26" t="str">
        <f>Sheet1!AZ243</f>
        <v>Yes</v>
      </c>
      <c r="L243" s="26" t="str">
        <f>Sheet1!BA243</f>
        <v>No</v>
      </c>
      <c r="M243" s="26" t="str">
        <f>Sheet1!BB243</f>
        <v>No</v>
      </c>
      <c r="N243" s="26">
        <f>Sheet1!BC243</f>
        <v>0</v>
      </c>
    </row>
    <row r="244">
      <c r="A244" s="26" t="str">
        <f>(Sheet1!A244)</f>
        <v>1kGb6hrNJXovJfW0VYZrNJI9HEgnPDMsvnJUI4qK6La4</v>
      </c>
      <c r="B244" s="26" t="str">
        <f>(Sheet1!B244)</f>
        <v>V.K MOTORS (VM)- BADAGAON</v>
      </c>
      <c r="C244" s="26">
        <f>'Balance Sheet'!$DX244</f>
        <v>0</v>
      </c>
      <c r="D244" s="26">
        <f>'Old Combined Balance Sheet'!A244 + 'Balance Sheet - FGI Insurance -'!CF244</f>
        <v>0</v>
      </c>
      <c r="E244" s="26">
        <f t="shared" si="1"/>
        <v>0</v>
      </c>
      <c r="F244" s="26" t="str">
        <f>Sheet1!N244</f>
        <v>Vanshadi Motors - Faizabad</v>
      </c>
      <c r="G244" s="26" t="str">
        <f>Sheet1!O244</f>
        <v>1S2YNz2hsIyDIwT68EF1VR8O-D7oanl9HQJpcApwJPG4</v>
      </c>
      <c r="H244" s="26" t="str">
        <f>Sheet1!AV244</f>
        <v/>
      </c>
      <c r="I244" s="26" t="str">
        <f>Sheet1!AW244</f>
        <v/>
      </c>
      <c r="J244" s="26" t="str">
        <f>Sheet1!P244</f>
        <v>Sub Dealer</v>
      </c>
      <c r="K244" s="26" t="str">
        <f>Sheet1!AZ244</f>
        <v>Yes</v>
      </c>
      <c r="L244" s="26" t="str">
        <f>Sheet1!BA244</f>
        <v>No</v>
      </c>
      <c r="M244" s="26" t="str">
        <f>Sheet1!BB244</f>
        <v>No</v>
      </c>
      <c r="N244" s="26">
        <f>Sheet1!BC244</f>
        <v>0</v>
      </c>
    </row>
    <row r="245">
      <c r="A245" s="26" t="str">
        <f>(Sheet1!A245)</f>
        <v>10eOuCid3doBRgqrYrW2izRAjuevQTzEFfL_e1Msg9_c</v>
      </c>
      <c r="B245" s="26" t="str">
        <f>(Sheet1!B245)</f>
        <v>AGARWAL AUTO SALES(CA) - RUDAULI</v>
      </c>
      <c r="C245" s="26">
        <f>'Balance Sheet'!$DX245</f>
        <v>0</v>
      </c>
      <c r="D245" s="26">
        <f>'Old Combined Balance Sheet'!A245 + 'Balance Sheet - FGI Insurance -'!CF245</f>
        <v>0</v>
      </c>
      <c r="E245" s="26">
        <f t="shared" si="1"/>
        <v>0</v>
      </c>
      <c r="F245" s="26" t="str">
        <f>Sheet1!N245</f>
        <v>Chandra Automobiles - Faizabad</v>
      </c>
      <c r="G245" s="26" t="str">
        <f>Sheet1!O245</f>
        <v>1TMTMDBTSLXzi0POas5HDprui-sp3TCVvRYWE8buap-0</v>
      </c>
      <c r="H245" s="26" t="str">
        <f>Sheet1!AV245</f>
        <v/>
      </c>
      <c r="I245" s="26" t="str">
        <f>Sheet1!AW245</f>
        <v/>
      </c>
      <c r="J245" s="26" t="str">
        <f>Sheet1!P245</f>
        <v>Sub Dealer</v>
      </c>
      <c r="K245" s="26" t="str">
        <f>Sheet1!AZ245</f>
        <v>Yes</v>
      </c>
      <c r="L245" s="26" t="str">
        <f>Sheet1!BA245</f>
        <v>No</v>
      </c>
      <c r="M245" s="26" t="str">
        <f>Sheet1!BB245</f>
        <v>No</v>
      </c>
      <c r="N245" s="26">
        <f>Sheet1!BC245</f>
        <v>0</v>
      </c>
    </row>
    <row r="246">
      <c r="A246" s="26" t="str">
        <f>(Sheet1!A246)</f>
        <v>1OENaFEyiGUoyWg7ywU3cmqippkCDyzCnmx9kypMk5Cc</v>
      </c>
      <c r="B246" s="26" t="str">
        <f>(Sheet1!B246)</f>
        <v>ASIA AUTOMOBILES (CA) - KUMAR GANJ</v>
      </c>
      <c r="C246" s="26">
        <f>'Balance Sheet'!$DX246</f>
        <v>0</v>
      </c>
      <c r="D246" s="26">
        <f>'Old Combined Balance Sheet'!A246 + 'Balance Sheet - FGI Insurance -'!CF246</f>
        <v>0</v>
      </c>
      <c r="E246" s="26">
        <f t="shared" si="1"/>
        <v>0</v>
      </c>
      <c r="F246" s="26" t="str">
        <f>Sheet1!N246</f>
        <v>Chandra Automobiles - Faizabad</v>
      </c>
      <c r="G246" s="26" t="str">
        <f>Sheet1!O246</f>
        <v>1TMTMDBTSLXzi0POas5HDprui-sp3TCVvRYWE8buap-0</v>
      </c>
      <c r="H246" s="26" t="str">
        <f>Sheet1!AV246</f>
        <v/>
      </c>
      <c r="I246" s="26" t="str">
        <f>Sheet1!AW246</f>
        <v/>
      </c>
      <c r="J246" s="26" t="str">
        <f>Sheet1!P246</f>
        <v>Sub Dealer</v>
      </c>
      <c r="K246" s="26" t="str">
        <f>Sheet1!AZ246</f>
        <v>Yes</v>
      </c>
      <c r="L246" s="26" t="str">
        <f>Sheet1!BA246</f>
        <v>No</v>
      </c>
      <c r="M246" s="26" t="str">
        <f>Sheet1!BB246</f>
        <v>No</v>
      </c>
      <c r="N246" s="26">
        <f>Sheet1!BC246</f>
        <v>0</v>
      </c>
    </row>
    <row r="247">
      <c r="A247" s="26" t="str">
        <f>(Sheet1!A247)</f>
        <v>159YPitGIgsrUYgelmfjtenQTfG48TpPtKkSuINSG0gc</v>
      </c>
      <c r="B247" s="26" t="str">
        <f>(Sheet1!B247)</f>
        <v>GUPTA AUTO SALES(CA) - SUJAGANJ</v>
      </c>
      <c r="C247" s="26">
        <f>'Balance Sheet'!$DX247</f>
        <v>0</v>
      </c>
      <c r="D247" s="26">
        <f>'Old Combined Balance Sheet'!A247 + 'Balance Sheet - FGI Insurance -'!CF247</f>
        <v>0</v>
      </c>
      <c r="E247" s="26">
        <f t="shared" si="1"/>
        <v>0</v>
      </c>
      <c r="F247" s="26" t="str">
        <f>Sheet1!N247</f>
        <v>Chandra Automobiles - Faizabad</v>
      </c>
      <c r="G247" s="26" t="str">
        <f>Sheet1!O247</f>
        <v>1TMTMDBTSLXzi0POas5HDprui-sp3TCVvRYWE8buap-0</v>
      </c>
      <c r="H247" s="26" t="str">
        <f>Sheet1!AV247</f>
        <v/>
      </c>
      <c r="I247" s="26" t="str">
        <f>Sheet1!AW247</f>
        <v/>
      </c>
      <c r="J247" s="26" t="str">
        <f>Sheet1!P247</f>
        <v>Sub Dealer</v>
      </c>
      <c r="K247" s="26" t="str">
        <f>Sheet1!AZ247</f>
        <v>Yes</v>
      </c>
      <c r="L247" s="26" t="str">
        <f>Sheet1!BA247</f>
        <v>No</v>
      </c>
      <c r="M247" s="26" t="str">
        <f>Sheet1!BB247</f>
        <v>No</v>
      </c>
      <c r="N247" s="26">
        <f>Sheet1!BC247</f>
        <v>0</v>
      </c>
    </row>
    <row r="248">
      <c r="A248" s="26" t="str">
        <f>(Sheet1!A248)</f>
        <v>1JVjJRde0atJYfSJfEseKCQhdqjcP24_d1-09TphqSpA</v>
      </c>
      <c r="B248" s="26" t="str">
        <f>(Sheet1!B248)</f>
        <v>MAWAIEE AUTOSALES(CA) - RAUZAGAON</v>
      </c>
      <c r="C248" s="26">
        <f>'Balance Sheet'!$DX248</f>
        <v>0</v>
      </c>
      <c r="D248" s="26">
        <f>'Old Combined Balance Sheet'!A248 + 'Balance Sheet - FGI Insurance -'!CF248</f>
        <v>0</v>
      </c>
      <c r="E248" s="26">
        <f t="shared" si="1"/>
        <v>0</v>
      </c>
      <c r="F248" s="26" t="str">
        <f>Sheet1!N248</f>
        <v>Chandra Automobiles - Faizabad</v>
      </c>
      <c r="G248" s="26" t="str">
        <f>Sheet1!O248</f>
        <v>1TMTMDBTSLXzi0POas5HDprui-sp3TCVvRYWE8buap-0</v>
      </c>
      <c r="H248" s="26" t="str">
        <f>Sheet1!AV248</f>
        <v/>
      </c>
      <c r="I248" s="26" t="str">
        <f>Sheet1!AW248</f>
        <v/>
      </c>
      <c r="J248" s="26" t="str">
        <f>Sheet1!P248</f>
        <v>Sub Dealer</v>
      </c>
      <c r="K248" s="26" t="str">
        <f>Sheet1!AZ248</f>
        <v>Yes</v>
      </c>
      <c r="L248" s="26" t="str">
        <f>Sheet1!BA248</f>
        <v>No</v>
      </c>
      <c r="M248" s="26" t="str">
        <f>Sheet1!BB248</f>
        <v>No</v>
      </c>
      <c r="N248" s="26">
        <f>Sheet1!BC248</f>
        <v>0</v>
      </c>
    </row>
    <row r="249">
      <c r="A249" s="26" t="str">
        <f>(Sheet1!A249)</f>
        <v>1HhuPJCqA1nYQYw-vxTr9qoSA3wtg7ifzyfbJykuK79E</v>
      </c>
      <c r="B249" s="26" t="str">
        <f>(Sheet1!B249)</f>
        <v>RADHEY AUTOMOBILES (CA) - BIKAPUR</v>
      </c>
      <c r="C249" s="26">
        <f>'Balance Sheet'!$DX249</f>
        <v>0</v>
      </c>
      <c r="D249" s="26">
        <f>'Old Combined Balance Sheet'!A249 + 'Balance Sheet - FGI Insurance -'!CF249</f>
        <v>0</v>
      </c>
      <c r="E249" s="26">
        <f t="shared" si="1"/>
        <v>0</v>
      </c>
      <c r="F249" s="26" t="str">
        <f>Sheet1!N249</f>
        <v>Chandra Automobiles - Faizabad</v>
      </c>
      <c r="G249" s="26" t="str">
        <f>Sheet1!O249</f>
        <v>1TMTMDBTSLXzi0POas5HDprui-sp3TCVvRYWE8buap-0</v>
      </c>
      <c r="H249" s="26" t="str">
        <f>Sheet1!AV249</f>
        <v/>
      </c>
      <c r="I249" s="26" t="str">
        <f>Sheet1!AW249</f>
        <v/>
      </c>
      <c r="J249" s="26" t="str">
        <f>Sheet1!P249</f>
        <v>Sub Dealer</v>
      </c>
      <c r="K249" s="26" t="str">
        <f>Sheet1!AZ249</f>
        <v>Yes</v>
      </c>
      <c r="L249" s="26" t="str">
        <f>Sheet1!BA249</f>
        <v>No</v>
      </c>
      <c r="M249" s="26" t="str">
        <f>Sheet1!BB249</f>
        <v>No</v>
      </c>
      <c r="N249" s="26">
        <f>Sheet1!BC249</f>
        <v>0</v>
      </c>
    </row>
    <row r="250">
      <c r="A250" s="26" t="str">
        <f>(Sheet1!A250)</f>
        <v>17sBaqChbGSOQK_DIkRnUGicSgCSUWKTJKT6g-HiL9uY</v>
      </c>
      <c r="B250" s="26" t="str">
        <f>(Sheet1!B250)</f>
        <v>SHREE AUTOSALES (CA) - GAOSAIGANJ</v>
      </c>
      <c r="C250" s="26">
        <f>'Balance Sheet'!$DX250</f>
        <v>0</v>
      </c>
      <c r="D250" s="26">
        <f>'Old Combined Balance Sheet'!A250 + 'Balance Sheet - FGI Insurance -'!CF250</f>
        <v>0</v>
      </c>
      <c r="E250" s="26">
        <f t="shared" si="1"/>
        <v>0</v>
      </c>
      <c r="F250" s="26" t="str">
        <f>Sheet1!N250</f>
        <v>Chandra Automobiles - Faizabad</v>
      </c>
      <c r="G250" s="26" t="str">
        <f>Sheet1!O250</f>
        <v>1TMTMDBTSLXzi0POas5HDprui-sp3TCVvRYWE8buap-0</v>
      </c>
      <c r="H250" s="26" t="str">
        <f>Sheet1!AV250</f>
        <v/>
      </c>
      <c r="I250" s="26" t="str">
        <f>Sheet1!AW250</f>
        <v/>
      </c>
      <c r="J250" s="26" t="str">
        <f>Sheet1!P250</f>
        <v>Sub Dealer</v>
      </c>
      <c r="K250" s="26" t="str">
        <f>Sheet1!AZ250</f>
        <v>Yes</v>
      </c>
      <c r="L250" s="26" t="str">
        <f>Sheet1!BA250</f>
        <v>No</v>
      </c>
      <c r="M250" s="26" t="str">
        <f>Sheet1!BB250</f>
        <v>No</v>
      </c>
      <c r="N250" s="26">
        <f>Sheet1!BC250</f>
        <v>0</v>
      </c>
    </row>
    <row r="251">
      <c r="A251" s="26" t="str">
        <f>(Sheet1!A251)</f>
        <v>1VTFWB6Hw6EUp6TdZoOlRcBVDxwR_k4LX_ysjQi3ijbA</v>
      </c>
      <c r="B251" s="26" t="str">
        <f>(Sheet1!B251)</f>
        <v>SIYARAM AUTOMOBILES(CA) - HAIDARGANJ BAZAR</v>
      </c>
      <c r="C251" s="26">
        <f>'Balance Sheet'!$DX251</f>
        <v>0</v>
      </c>
      <c r="D251" s="26">
        <f>'Old Combined Balance Sheet'!A251 + 'Balance Sheet - FGI Insurance -'!CF251</f>
        <v>0</v>
      </c>
      <c r="E251" s="26">
        <f t="shared" si="1"/>
        <v>0</v>
      </c>
      <c r="F251" s="26" t="str">
        <f>Sheet1!N251</f>
        <v>Chandra Automobiles - Faizabad</v>
      </c>
      <c r="G251" s="26" t="str">
        <f>Sheet1!O251</f>
        <v>1TMTMDBTSLXzi0POas5HDprui-sp3TCVvRYWE8buap-0</v>
      </c>
      <c r="H251" s="26" t="str">
        <f>Sheet1!AV251</f>
        <v/>
      </c>
      <c r="I251" s="26" t="str">
        <f>Sheet1!AW251</f>
        <v/>
      </c>
      <c r="J251" s="26" t="str">
        <f>Sheet1!P251</f>
        <v>Sub Dealer</v>
      </c>
      <c r="K251" s="26" t="str">
        <f>Sheet1!AZ251</f>
        <v>Yes</v>
      </c>
      <c r="L251" s="26" t="str">
        <f>Sheet1!BA251</f>
        <v>No</v>
      </c>
      <c r="M251" s="26" t="str">
        <f>Sheet1!BB251</f>
        <v>No</v>
      </c>
      <c r="N251" s="26">
        <f>Sheet1!BC251</f>
        <v>0</v>
      </c>
    </row>
    <row r="252">
      <c r="A252" s="26" t="str">
        <f>(Sheet1!A252)</f>
        <v>1SSzUIjRsBuOQW-kzcJRcEuyLwfZTtwgEZNTVqimPXRM</v>
      </c>
      <c r="B252" s="26" t="str">
        <f>(Sheet1!B252)</f>
        <v>YADAV AUTOSALES (CA) - BABA BAZAR</v>
      </c>
      <c r="C252" s="26">
        <f>'Balance Sheet'!$DX252</f>
        <v>0</v>
      </c>
      <c r="D252" s="26">
        <f>'Old Combined Balance Sheet'!A252 + 'Balance Sheet - FGI Insurance -'!CF252</f>
        <v>0</v>
      </c>
      <c r="E252" s="26">
        <f t="shared" si="1"/>
        <v>0</v>
      </c>
      <c r="F252" s="26" t="str">
        <f>Sheet1!N252</f>
        <v>Chandra Automobiles - Faizabad</v>
      </c>
      <c r="G252" s="26" t="str">
        <f>Sheet1!O252</f>
        <v>1TMTMDBTSLXzi0POas5HDprui-sp3TCVvRYWE8buap-0</v>
      </c>
      <c r="H252" s="26" t="str">
        <f>Sheet1!AV252</f>
        <v/>
      </c>
      <c r="I252" s="26" t="str">
        <f>Sheet1!AW252</f>
        <v/>
      </c>
      <c r="J252" s="26" t="str">
        <f>Sheet1!P252</f>
        <v>Sub Dealer</v>
      </c>
      <c r="K252" s="26" t="str">
        <f>Sheet1!AZ252</f>
        <v>Yes</v>
      </c>
      <c r="L252" s="26" t="str">
        <f>Sheet1!BA252</f>
        <v>No</v>
      </c>
      <c r="M252" s="26" t="str">
        <f>Sheet1!BB252</f>
        <v>No</v>
      </c>
      <c r="N252" s="26">
        <f>Sheet1!BC252</f>
        <v>0</v>
      </c>
    </row>
    <row r="253">
      <c r="A253" s="26" t="str">
        <f>(Sheet1!A253)</f>
        <v>1osOyuHF4zURKwQBQVId__BAxFL3ovjDFMAESaHNUzcw</v>
      </c>
      <c r="B253" s="26" t="str">
        <f>(Sheet1!B253)</f>
        <v>GURU AUTO (MA) - AGSAULI</v>
      </c>
      <c r="C253" s="26">
        <f>'Balance Sheet'!$DX253</f>
        <v>0</v>
      </c>
      <c r="D253" s="26">
        <f>'Old Combined Balance Sheet'!A253 + 'Balance Sheet - FGI Insurance -'!CF253</f>
        <v>0</v>
      </c>
      <c r="E253" s="26">
        <f t="shared" si="1"/>
        <v>0</v>
      </c>
      <c r="F253" s="26" t="str">
        <f>Sheet1!N253</f>
        <v>Maharaja Autoworld</v>
      </c>
      <c r="G253" s="26" t="str">
        <f>Sheet1!O253</f>
        <v>1mkGLSaVL5-IAXKq9KqXFgJH64Li9oMA9V0u_seCn1jg</v>
      </c>
      <c r="H253" s="26" t="str">
        <f>Sheet1!AV253</f>
        <v/>
      </c>
      <c r="I253" s="26" t="str">
        <f>Sheet1!AW253</f>
        <v/>
      </c>
      <c r="J253" s="26" t="str">
        <f>Sheet1!P253</f>
        <v>Sub Dealer</v>
      </c>
      <c r="K253" s="26" t="str">
        <f>Sheet1!AZ253</f>
        <v>No</v>
      </c>
      <c r="L253" s="26" t="str">
        <f>Sheet1!BA253</f>
        <v>No</v>
      </c>
      <c r="M253" s="26" t="str">
        <f>Sheet1!BB253</f>
        <v>No</v>
      </c>
      <c r="N253" s="26">
        <f>Sheet1!BC253</f>
        <v>0</v>
      </c>
    </row>
    <row r="254">
      <c r="A254" s="26" t="str">
        <f>(Sheet1!A254)</f>
        <v>1jBLj7YlO7RVCF75qSzQ559wmnPniOl1ikS8tNuHDQd0</v>
      </c>
      <c r="B254" s="26" t="str">
        <f>(Sheet1!B254)</f>
        <v>SAGAR AUTOMOBILES (MAW) - MURSAN</v>
      </c>
      <c r="C254" s="26">
        <f>'Balance Sheet'!$DX254</f>
        <v>0</v>
      </c>
      <c r="D254" s="26">
        <f>'Old Combined Balance Sheet'!A254 + 'Balance Sheet - FGI Insurance -'!CF254</f>
        <v>0</v>
      </c>
      <c r="E254" s="26">
        <f t="shared" si="1"/>
        <v>0</v>
      </c>
      <c r="F254" s="26" t="str">
        <f>Sheet1!N254</f>
        <v>Maharaja Autoworld</v>
      </c>
      <c r="G254" s="26" t="str">
        <f>Sheet1!O254</f>
        <v>1mkGLSaVL5-IAXKq9KqXFgJH64Li9oMA9V0u_seCn1jg</v>
      </c>
      <c r="H254" s="26" t="str">
        <f>Sheet1!AV254</f>
        <v/>
      </c>
      <c r="I254" s="26" t="str">
        <f>Sheet1!AW254</f>
        <v/>
      </c>
      <c r="J254" s="26" t="str">
        <f>Sheet1!P254</f>
        <v>Sub Dealer</v>
      </c>
      <c r="K254" s="26" t="str">
        <f>Sheet1!AZ254</f>
        <v>No</v>
      </c>
      <c r="L254" s="26" t="str">
        <f>Sheet1!BA254</f>
        <v>No</v>
      </c>
      <c r="M254" s="26" t="str">
        <f>Sheet1!BB254</f>
        <v>No</v>
      </c>
      <c r="N254" s="26">
        <f>Sheet1!BC254</f>
        <v>0</v>
      </c>
    </row>
    <row r="255">
      <c r="A255" s="26" t="str">
        <f>(Sheet1!A255)</f>
        <v>15WvTCHWZ7k40lgk7ekOThzqz2K_9MGli20N9iYkrug0</v>
      </c>
      <c r="B255" s="26" t="str">
        <f>(Sheet1!B255)</f>
        <v>KWALITY MOTORS (MAW) - SASNI</v>
      </c>
      <c r="C255" s="26">
        <f>'Balance Sheet'!$DX255</f>
        <v>0</v>
      </c>
      <c r="D255" s="26">
        <f>'Old Combined Balance Sheet'!A255 + 'Balance Sheet - FGI Insurance -'!CF255</f>
        <v>0</v>
      </c>
      <c r="E255" s="26">
        <f t="shared" si="1"/>
        <v>0</v>
      </c>
      <c r="F255" s="26" t="str">
        <f>Sheet1!N255</f>
        <v>Maharaja Autoworld</v>
      </c>
      <c r="G255" s="26" t="str">
        <f>Sheet1!O255</f>
        <v>1mkGLSaVL5-IAXKq9KqXFgJH64Li9oMA9V0u_seCn1jg</v>
      </c>
      <c r="H255" s="26" t="str">
        <f>Sheet1!AV255</f>
        <v/>
      </c>
      <c r="I255" s="26" t="str">
        <f>Sheet1!AW255</f>
        <v/>
      </c>
      <c r="J255" s="26" t="str">
        <f>Sheet1!P255</f>
        <v>Sub Dealer</v>
      </c>
      <c r="K255" s="26" t="str">
        <f>Sheet1!AZ255</f>
        <v>No</v>
      </c>
      <c r="L255" s="26" t="str">
        <f>Sheet1!BA255</f>
        <v>No</v>
      </c>
      <c r="M255" s="26" t="str">
        <f>Sheet1!BB255</f>
        <v>No</v>
      </c>
      <c r="N255" s="26">
        <f>Sheet1!BC255</f>
        <v>0</v>
      </c>
    </row>
    <row r="256">
      <c r="A256" s="26" t="str">
        <f>(Sheet1!A256)</f>
        <v>1zWSCvcfPxAcr86Cn-xiLCzYM42hDpWaMzqQvGvc-Ojw</v>
      </c>
      <c r="B256" s="26" t="str">
        <f>(Sheet1!B256)</f>
        <v>ZEESHAN AUTOMOBILES (CA) - SOHAWAL</v>
      </c>
      <c r="C256" s="26">
        <f>'Balance Sheet'!$DX256</f>
        <v>0</v>
      </c>
      <c r="D256" s="26">
        <f>'Old Combined Balance Sheet'!A256 + 'Balance Sheet - FGI Insurance -'!CF256</f>
        <v>0</v>
      </c>
      <c r="E256" s="26">
        <f t="shared" si="1"/>
        <v>0</v>
      </c>
      <c r="F256" s="26" t="str">
        <f>Sheet1!N256</f>
        <v>Chandra Automobiles - Faizabad</v>
      </c>
      <c r="G256" s="26" t="str">
        <f>Sheet1!O256</f>
        <v>1TMTMDBTSLXzi0POas5HDprui-sp3TCVvRYWE8buap-0</v>
      </c>
      <c r="H256" s="26" t="str">
        <f>Sheet1!AV256</f>
        <v/>
      </c>
      <c r="I256" s="26" t="str">
        <f>Sheet1!AW256</f>
        <v/>
      </c>
      <c r="J256" s="26" t="str">
        <f>Sheet1!P256</f>
        <v>Sub Dealer</v>
      </c>
      <c r="K256" s="26" t="str">
        <f>Sheet1!AZ256</f>
        <v>Yes</v>
      </c>
      <c r="L256" s="26" t="str">
        <f>Sheet1!BA256</f>
        <v>No</v>
      </c>
      <c r="M256" s="26" t="str">
        <f>Sheet1!BB256</f>
        <v>No</v>
      </c>
      <c r="N256" s="26">
        <f>Sheet1!BC256</f>
        <v>0</v>
      </c>
    </row>
    <row r="257">
      <c r="A257" s="26" t="str">
        <f>(Sheet1!A257)</f>
        <v>1tYhmR4lNj1YHeqiigs35s15UxKEVLcMXrnIYSlOkRQk</v>
      </c>
      <c r="B257" s="26" t="str">
        <f>(Sheet1!B257)</f>
        <v>SANDEEP HERO (VA) - INAYAT NAGAR</v>
      </c>
      <c r="C257" s="26">
        <f>'Balance Sheet'!$DX257</f>
        <v>0</v>
      </c>
      <c r="D257" s="26">
        <f>'Old Combined Balance Sheet'!A257 + 'Balance Sheet - FGI Insurance -'!CF257</f>
        <v>0</v>
      </c>
      <c r="E257" s="26">
        <f t="shared" si="1"/>
        <v>0</v>
      </c>
      <c r="F257" s="26" t="str">
        <f>Sheet1!N257</f>
        <v>Vanshadi Motors - Faizabad</v>
      </c>
      <c r="G257" s="26" t="str">
        <f>Sheet1!O257</f>
        <v>1S2YNz2hsIyDIwT68EF1VR8O-D7oanl9HQJpcApwJPG4</v>
      </c>
      <c r="H257" s="26" t="str">
        <f>Sheet1!AV257</f>
        <v/>
      </c>
      <c r="I257" s="26" t="str">
        <f>Sheet1!AW257</f>
        <v/>
      </c>
      <c r="J257" s="26" t="str">
        <f>Sheet1!P257</f>
        <v>Sub Dealer</v>
      </c>
      <c r="K257" s="26" t="str">
        <f>Sheet1!AZ257</f>
        <v>Yes</v>
      </c>
      <c r="L257" s="26" t="str">
        <f>Sheet1!BA257</f>
        <v>No</v>
      </c>
      <c r="M257" s="26" t="str">
        <f>Sheet1!BB257</f>
        <v>No</v>
      </c>
      <c r="N257" s="26">
        <f>Sheet1!BC257</f>
        <v>0</v>
      </c>
    </row>
    <row r="258">
      <c r="A258" s="26" t="str">
        <f>(Sheet1!A258)</f>
        <v>1oG8KJLWAlMywHu47lg3UpNHq7GaTnmFRLHM1WnMwroU</v>
      </c>
      <c r="B258" s="26" t="str">
        <f>(Sheet1!B258)</f>
        <v>RAHUL AUTOSALES (VA) - LALUWA PUR</v>
      </c>
      <c r="C258" s="26">
        <f>'Balance Sheet'!$DX258</f>
        <v>0</v>
      </c>
      <c r="D258" s="26">
        <f>'Old Combined Balance Sheet'!A258 + 'Balance Sheet - FGI Insurance -'!CF258</f>
        <v>0</v>
      </c>
      <c r="E258" s="26">
        <f t="shared" si="1"/>
        <v>0</v>
      </c>
      <c r="F258" s="26" t="str">
        <f>Sheet1!N258</f>
        <v>Vanshadi Motors - Faizabad</v>
      </c>
      <c r="G258" s="26" t="str">
        <f>Sheet1!O258</f>
        <v>1S2YNz2hsIyDIwT68EF1VR8O-D7oanl9HQJpcApwJPG4</v>
      </c>
      <c r="H258" s="26" t="str">
        <f>Sheet1!AV258</f>
        <v/>
      </c>
      <c r="I258" s="26" t="str">
        <f>Sheet1!AW258</f>
        <v/>
      </c>
      <c r="J258" s="26" t="str">
        <f>Sheet1!P258</f>
        <v>Sub Dealer</v>
      </c>
      <c r="K258" s="26" t="str">
        <f>Sheet1!AZ258</f>
        <v>Yes</v>
      </c>
      <c r="L258" s="26" t="str">
        <f>Sheet1!BA258</f>
        <v>No</v>
      </c>
      <c r="M258" s="26" t="str">
        <f>Sheet1!BB258</f>
        <v>No</v>
      </c>
      <c r="N258" s="26">
        <f>Sheet1!BC258</f>
        <v>0</v>
      </c>
    </row>
    <row r="259">
      <c r="A259" s="26" t="str">
        <f>(Sheet1!A259)</f>
        <v>18YeFXhbwOry3OVJYZRIqhn6Omyqh0U-ahQsWUD0TmFQ</v>
      </c>
      <c r="B259" s="26" t="str">
        <f>(Sheet1!B259)</f>
        <v>SILVER WHEELS - KANPUR</v>
      </c>
      <c r="C259" s="26">
        <f>'Balance Sheet'!$DX259</f>
        <v>-8261.42</v>
      </c>
      <c r="D259" s="26">
        <f>'Old Combined Balance Sheet'!A259 + 'Balance Sheet - FGI Insurance -'!CF259</f>
        <v>0</v>
      </c>
      <c r="E259" s="26">
        <f t="shared" si="1"/>
        <v>-8261.42</v>
      </c>
      <c r="F259" s="26" t="str">
        <f>Sheet1!N259</f>
        <v>SILVER WHEELS - KANPUR</v>
      </c>
      <c r="G259" s="26" t="str">
        <f>Sheet1!O259</f>
        <v>18YeFXhbwOry3OVJYZRIqhn6Omyqh0U-ahQsWUD0TmFQ</v>
      </c>
      <c r="H259" s="26" t="str">
        <f>Sheet1!AV259</f>
        <v/>
      </c>
      <c r="I259" s="26" t="str">
        <f>Sheet1!AW259</f>
        <v/>
      </c>
      <c r="J259" s="26" t="str">
        <f>Sheet1!P259</f>
        <v>Dealer</v>
      </c>
      <c r="K259" s="26" t="str">
        <f>Sheet1!AZ259</f>
        <v>Yes</v>
      </c>
      <c r="L259" s="26" t="str">
        <f>Sheet1!BA259</f>
        <v>No</v>
      </c>
      <c r="M259" s="26" t="str">
        <f>Sheet1!BB259</f>
        <v>No</v>
      </c>
      <c r="N259" s="26">
        <f>Sheet1!BC259</f>
        <v>0</v>
      </c>
    </row>
    <row r="260">
      <c r="A260" s="26" t="str">
        <f>(Sheet1!A260)</f>
        <v>1i7nD8aYC6tcitvs73AUebjtv4kfapAZjbotnlncyi9w</v>
      </c>
      <c r="B260" s="26" t="str">
        <f>(Sheet1!B260)</f>
        <v>SARASWATI MOTORS - PRAYAGRAJ</v>
      </c>
      <c r="C260" s="26">
        <f>'Balance Sheet'!$DX260</f>
        <v>0</v>
      </c>
      <c r="D260" s="26">
        <f>'Old Combined Balance Sheet'!A260 + 'Balance Sheet - FGI Insurance -'!CF260</f>
        <v>0</v>
      </c>
      <c r="E260" s="26">
        <f t="shared" si="1"/>
        <v>0</v>
      </c>
      <c r="F260" s="26" t="str">
        <f>Sheet1!N260</f>
        <v>SARASWATI MOTORS - PRAYAGRAJ</v>
      </c>
      <c r="G260" s="26" t="str">
        <f>Sheet1!O260</f>
        <v>1i7nD8aYC6tcitvs73AUebjtv4kfapAZjbotnlncyi9w</v>
      </c>
      <c r="H260" s="26" t="str">
        <f>Sheet1!AV260</f>
        <v/>
      </c>
      <c r="I260" s="26" t="str">
        <f>Sheet1!AW260</f>
        <v/>
      </c>
      <c r="J260" s="26" t="str">
        <f>Sheet1!P260</f>
        <v>Dealer</v>
      </c>
      <c r="K260" s="26" t="str">
        <f>Sheet1!AZ260</f>
        <v>No</v>
      </c>
      <c r="L260" s="26" t="str">
        <f>Sheet1!BA260</f>
        <v>No</v>
      </c>
      <c r="M260" s="26" t="str">
        <f>Sheet1!BB260</f>
        <v>No</v>
      </c>
      <c r="N260" s="26">
        <f>Sheet1!BC260</f>
        <v>0</v>
      </c>
    </row>
    <row r="261">
      <c r="A261" s="26" t="str">
        <f>(Sheet1!A261)</f>
        <v>1yvgpH1Hw8bnf4lrnmBAiOKNDWfY-irs2VtrGdI62N3w</v>
      </c>
      <c r="B261" s="26" t="str">
        <f>(Sheet1!B261)</f>
        <v>Mongold World Hero(VAW) - Khair</v>
      </c>
      <c r="C261" s="26">
        <f>'Balance Sheet'!$DX261</f>
        <v>0</v>
      </c>
      <c r="D261" s="26">
        <f>'Old Combined Balance Sheet'!A261 + 'Balance Sheet - FGI Insurance -'!CF261</f>
        <v>0</v>
      </c>
      <c r="E261" s="26">
        <f t="shared" si="1"/>
        <v>0</v>
      </c>
      <c r="F261" s="26" t="str">
        <f>Sheet1!N261</f>
        <v>Vikas Autowheels</v>
      </c>
      <c r="G261" s="26" t="str">
        <f>Sheet1!O261</f>
        <v>1944RLX7T1M23YXRXYoMnJ6nD_bKLldQXRpFRA0rDLvg</v>
      </c>
      <c r="H261" s="26" t="str">
        <f>Sheet1!AV261</f>
        <v/>
      </c>
      <c r="I261" s="26" t="str">
        <f>Sheet1!AW261</f>
        <v/>
      </c>
      <c r="J261" s="26" t="str">
        <f>Sheet1!P261</f>
        <v>Sub Dealer</v>
      </c>
      <c r="K261" s="26" t="str">
        <f>Sheet1!AZ261</f>
        <v>Yes</v>
      </c>
      <c r="L261" s="26" t="str">
        <f>Sheet1!BA261</f>
        <v>No</v>
      </c>
      <c r="M261" s="26" t="str">
        <f>Sheet1!BB261</f>
        <v>No</v>
      </c>
      <c r="N261" s="26">
        <f>Sheet1!BC261</f>
        <v>0</v>
      </c>
    </row>
    <row r="262">
      <c r="A262" s="26" t="str">
        <f>(Sheet1!A262)</f>
        <v>14mB4gV5ERRUfHqgfkG9Y3k4vrKZM_vGy769D96a1XRs</v>
      </c>
      <c r="B262" s="26" t="str">
        <f>(Sheet1!B262)</f>
        <v>SHIV GANGA AUTOMOBILES  - DELHI</v>
      </c>
      <c r="C262" s="26">
        <f>'Balance Sheet'!$DX262</f>
        <v>6750000</v>
      </c>
      <c r="D262" s="26">
        <f>'Old Combined Balance Sheet'!A262 + 'Balance Sheet - FGI Insurance -'!CF262</f>
        <v>-6738779.86</v>
      </c>
      <c r="E262" s="26">
        <f t="shared" si="1"/>
        <v>11220.14</v>
      </c>
      <c r="F262" s="26" t="str">
        <f>Sheet1!N262</f>
        <v>SHIV GANGA AUTOMOBILES  - DELHI</v>
      </c>
      <c r="G262" s="26" t="str">
        <f>Sheet1!O262</f>
        <v>14mB4gV5ERRUfHqgfkG9Y3k4vrKZM_vGy769D96a1XRs</v>
      </c>
      <c r="H262" s="26" t="str">
        <f>Sheet1!AV262</f>
        <v/>
      </c>
      <c r="I262" s="26" t="str">
        <f>Sheet1!AW262</f>
        <v/>
      </c>
      <c r="J262" s="26" t="str">
        <f>Sheet1!P262</f>
        <v>Dealer</v>
      </c>
      <c r="K262" s="26" t="str">
        <f>Sheet1!AZ262</f>
        <v>No</v>
      </c>
      <c r="L262" s="26" t="str">
        <f>Sheet1!BA262</f>
        <v>Yes</v>
      </c>
      <c r="M262" s="26" t="str">
        <f>Sheet1!BB262</f>
        <v>Yes</v>
      </c>
      <c r="N262" s="26">
        <f>Sheet1!BC262</f>
        <v>0</v>
      </c>
    </row>
    <row r="263">
      <c r="A263" s="26" t="str">
        <f>(Sheet1!A263)</f>
        <v>1mwtInypGX68IAfrIujI69hhRfhbAPm5uMzQxz3Da4FQ</v>
      </c>
      <c r="B263" s="26" t="str">
        <f>(Sheet1!B263)</f>
        <v>Lucky Automobiles(MAA) - Nautan</v>
      </c>
      <c r="C263" s="26">
        <f>'Balance Sheet'!$DX263</f>
        <v>0</v>
      </c>
      <c r="D263" s="26">
        <f>'Old Combined Balance Sheet'!A263 + 'Balance Sheet - FGI Insurance -'!CF263</f>
        <v>0</v>
      </c>
      <c r="E263" s="26">
        <f t="shared" si="1"/>
        <v>0</v>
      </c>
      <c r="F263" s="26" t="str">
        <f>Sheet1!N263</f>
        <v>Modern Auto Agency - Bettiah</v>
      </c>
      <c r="G263" s="26" t="str">
        <f>Sheet1!O263</f>
        <v>1_UtGSoyOsljQXvmry7gfXGYwjwEjQbghQQGZebnq45M</v>
      </c>
      <c r="H263" s="26" t="str">
        <f>Sheet1!AV263</f>
        <v/>
      </c>
      <c r="I263" s="26" t="str">
        <f>Sheet1!AW263</f>
        <v/>
      </c>
      <c r="J263" s="26" t="str">
        <f>Sheet1!P263</f>
        <v>Sub Dealer</v>
      </c>
      <c r="K263" s="26" t="str">
        <f>Sheet1!AZ263</f>
        <v>Yes</v>
      </c>
      <c r="L263" s="26" t="str">
        <f>Sheet1!BA263</f>
        <v>No</v>
      </c>
      <c r="M263" s="26" t="str">
        <f>Sheet1!BB263</f>
        <v>No</v>
      </c>
      <c r="N263" s="26">
        <f>Sheet1!BC263</f>
        <v>0</v>
      </c>
    </row>
    <row r="264">
      <c r="A264" s="26" t="str">
        <f>(Sheet1!A264)</f>
        <v>1kYYRjA4wQJoSt6FzyKeD92_dgOOGuQjkf6AWpDP6NFo</v>
      </c>
      <c r="B264" s="26" t="str">
        <f>(Sheet1!B264)</f>
        <v>Jyoti Hero Agency(MAA) - Jagdishpur</v>
      </c>
      <c r="C264" s="26">
        <f>'Balance Sheet'!$DX264</f>
        <v>0</v>
      </c>
      <c r="D264" s="26">
        <f>'Old Combined Balance Sheet'!A264 + 'Balance Sheet - FGI Insurance -'!CF264</f>
        <v>0</v>
      </c>
      <c r="E264" s="26">
        <f t="shared" si="1"/>
        <v>0</v>
      </c>
      <c r="F264" s="26" t="str">
        <f>Sheet1!N264</f>
        <v>Modern Auto Agency - Bettiah</v>
      </c>
      <c r="G264" s="26" t="str">
        <f>Sheet1!O264</f>
        <v>1_UtGSoyOsljQXvmry7gfXGYwjwEjQbghQQGZebnq45M</v>
      </c>
      <c r="H264" s="26" t="str">
        <f>Sheet1!AV264</f>
        <v/>
      </c>
      <c r="I264" s="26" t="str">
        <f>Sheet1!AW264</f>
        <v/>
      </c>
      <c r="J264" s="26" t="str">
        <f>Sheet1!P264</f>
        <v>Sub Dealer</v>
      </c>
      <c r="K264" s="26" t="str">
        <f>Sheet1!AZ264</f>
        <v>Yes</v>
      </c>
      <c r="L264" s="26" t="str">
        <f>Sheet1!BA264</f>
        <v>No</v>
      </c>
      <c r="M264" s="26" t="str">
        <f>Sheet1!BB264</f>
        <v>No</v>
      </c>
      <c r="N264" s="26">
        <f>Sheet1!BC264</f>
        <v>0</v>
      </c>
    </row>
    <row r="265">
      <c r="A265" s="26" t="str">
        <f>(Sheet1!A265)</f>
        <v>1LTIwWSogdMZBmad9vycGhuGyAwmeSg8ug5WYA6jHDdw</v>
      </c>
      <c r="B265" s="26" t="str">
        <f>(Sheet1!B265)</f>
        <v>SHRI GURUKRIPA-MORNA(SBH)</v>
      </c>
      <c r="C265" s="26">
        <f>'Balance Sheet'!$DX265</f>
        <v>0</v>
      </c>
      <c r="D265" s="26">
        <f>'Old Combined Balance Sheet'!A265 + 'Balance Sheet - FGI Insurance -'!CF265</f>
        <v>0</v>
      </c>
      <c r="E265" s="26">
        <f t="shared" si="1"/>
        <v>0</v>
      </c>
      <c r="F265" s="26" t="str">
        <f>Sheet1!N265</f>
        <v>Shri Balaji Hero - Muzaffarnagar</v>
      </c>
      <c r="G265" s="26" t="str">
        <f>Sheet1!O265</f>
        <v>1qJGCYN0EdS2nWGXVYAHwXqSjiLE2C95anQkkbLONbKQ</v>
      </c>
      <c r="H265" s="26" t="str">
        <f>Sheet1!AV265</f>
        <v/>
      </c>
      <c r="I265" s="26" t="str">
        <f>Sheet1!AW265</f>
        <v/>
      </c>
      <c r="J265" s="26" t="str">
        <f>Sheet1!P265</f>
        <v>Sub Dealer</v>
      </c>
      <c r="K265" s="26" t="str">
        <f>Sheet1!AZ265</f>
        <v>Yes</v>
      </c>
      <c r="L265" s="26" t="str">
        <f>Sheet1!BA265</f>
        <v>No</v>
      </c>
      <c r="M265" s="26" t="str">
        <f>Sheet1!BB265</f>
        <v>No</v>
      </c>
      <c r="N265" s="26">
        <f>Sheet1!BC265</f>
        <v>0</v>
      </c>
    </row>
    <row r="266">
      <c r="A266" s="26" t="str">
        <f>(Sheet1!A266)</f>
        <v>1g0qiuDcnbyBi-CYwlfpEUrOj5boKaQ0D16LWou5stMc</v>
      </c>
      <c r="B266" s="26" t="str">
        <f>(Sheet1!B266)</f>
        <v> VINAYAK AUTOMOBILES-TITAWI(SBH)</v>
      </c>
      <c r="C266" s="26">
        <f>'Balance Sheet'!$DX266</f>
        <v>0</v>
      </c>
      <c r="D266" s="26">
        <f>'Old Combined Balance Sheet'!A266 + 'Balance Sheet - FGI Insurance -'!CF266</f>
        <v>0</v>
      </c>
      <c r="E266" s="26">
        <f t="shared" si="1"/>
        <v>0</v>
      </c>
      <c r="F266" s="26" t="str">
        <f>Sheet1!N266</f>
        <v>Shri Balaji Hero - Muzaffarnagar</v>
      </c>
      <c r="G266" s="26" t="str">
        <f>Sheet1!O266</f>
        <v>1qJGCYN0EdS2nWGXVYAHwXqSjiLE2C95anQkkbLONbKQ</v>
      </c>
      <c r="H266" s="26" t="str">
        <f>Sheet1!AV266</f>
        <v/>
      </c>
      <c r="I266" s="26" t="str">
        <f>Sheet1!AW266</f>
        <v/>
      </c>
      <c r="J266" s="26" t="str">
        <f>Sheet1!P266</f>
        <v>Sub Dealer</v>
      </c>
      <c r="K266" s="26" t="str">
        <f>Sheet1!AZ266</f>
        <v>Yes</v>
      </c>
      <c r="L266" s="26" t="str">
        <f>Sheet1!BA266</f>
        <v>No</v>
      </c>
      <c r="M266" s="26" t="str">
        <f>Sheet1!BB266</f>
        <v>No</v>
      </c>
      <c r="N266" s="26">
        <f>Sheet1!BC266</f>
        <v>0</v>
      </c>
    </row>
    <row r="267">
      <c r="A267" s="26" t="str">
        <f>(Sheet1!A267)</f>
        <v>11f9wtVFkWuND5MycjAQF0s33JyN2F1jC8n_ilAvNXUE</v>
      </c>
      <c r="B267" s="26" t="str">
        <f>(Sheet1!B267)</f>
        <v>Om moters (AAA) - Jalali</v>
      </c>
      <c r="C267" s="26">
        <f>'Balance Sheet'!$DX267</f>
        <v>0</v>
      </c>
      <c r="D267" s="26">
        <f>'Old Combined Balance Sheet'!A267 + 'Balance Sheet - FGI Insurance -'!CF267</f>
        <v>0</v>
      </c>
      <c r="E267" s="26">
        <f t="shared" si="1"/>
        <v>0</v>
      </c>
      <c r="F267" s="26" t="str">
        <f>Sheet1!N267</f>
        <v>AAA</v>
      </c>
      <c r="G267" s="26" t="str">
        <f>Sheet1!O267</f>
        <v>1AjVyIHPgPw3jscNmkTH1qzR2RokK5FZaJLjeNfOiYAA</v>
      </c>
      <c r="H267" s="26" t="str">
        <f>Sheet1!AV267</f>
        <v/>
      </c>
      <c r="I267" s="26" t="str">
        <f>Sheet1!AW267</f>
        <v/>
      </c>
      <c r="J267" s="26" t="str">
        <f>Sheet1!P267</f>
        <v>Sub Dealer</v>
      </c>
      <c r="K267" s="26" t="str">
        <f>Sheet1!AZ267</f>
        <v>No</v>
      </c>
      <c r="L267" s="26" t="str">
        <f>Sheet1!BA267</f>
        <v>No</v>
      </c>
      <c r="M267" s="26" t="str">
        <f>Sheet1!BB267</f>
        <v>No</v>
      </c>
      <c r="N267" s="26">
        <f>Sheet1!BC267</f>
        <v>0</v>
      </c>
    </row>
    <row r="268">
      <c r="A268" s="26" t="str">
        <f>(Sheet1!A268)</f>
        <v>1-MGz10ueHtF28FBo7G_OHqG8elKH6byTXmsAdLd1HwQ</v>
      </c>
      <c r="B268" s="26" t="str">
        <f>(Sheet1!B268)</f>
        <v>AAA Counter - Bada gaon</v>
      </c>
      <c r="C268" s="26">
        <f>'Balance Sheet'!$DX268</f>
        <v>0</v>
      </c>
      <c r="D268" s="26">
        <f>'Old Combined Balance Sheet'!A268 + 'Balance Sheet - FGI Insurance -'!CF268</f>
        <v>0</v>
      </c>
      <c r="E268" s="26">
        <f t="shared" si="1"/>
        <v>0</v>
      </c>
      <c r="F268" s="26" t="str">
        <f>Sheet1!N268</f>
        <v>AAA</v>
      </c>
      <c r="G268" s="26" t="str">
        <f>Sheet1!O268</f>
        <v>1AjVyIHPgPw3jscNmkTH1qzR2RokK5FZaJLjeNfOiYAA</v>
      </c>
      <c r="H268" s="26" t="str">
        <f>Sheet1!AV268</f>
        <v/>
      </c>
      <c r="I268" s="26" t="str">
        <f>Sheet1!AW268</f>
        <v/>
      </c>
      <c r="J268" s="26" t="str">
        <f>Sheet1!P268</f>
        <v>Sub Dealer</v>
      </c>
      <c r="K268" s="26" t="str">
        <f>Sheet1!AZ268</f>
        <v>No</v>
      </c>
      <c r="L268" s="26" t="str">
        <f>Sheet1!BA268</f>
        <v>No</v>
      </c>
      <c r="M268" s="26" t="str">
        <f>Sheet1!BB268</f>
        <v>No</v>
      </c>
      <c r="N268" s="26">
        <f>Sheet1!BC268</f>
        <v>0</v>
      </c>
    </row>
    <row r="269">
      <c r="A269" s="26" t="str">
        <f>(Sheet1!A269)</f>
        <v>1Ql_6BdBcHGAyITSZt1pNUK3bW54CzeThIBXr7aH7K3Y</v>
      </c>
      <c r="B269" s="26" t="str">
        <f>(Sheet1!B269)</f>
        <v>Gupta Automobiles - Padrauna</v>
      </c>
      <c r="C269" s="26">
        <f>'Balance Sheet'!$DX269</f>
        <v>236139.25</v>
      </c>
      <c r="D269" s="26">
        <f>'Old Combined Balance Sheet'!A269 + 'Balance Sheet - FGI Insurance -'!CF269</f>
        <v>0</v>
      </c>
      <c r="E269" s="26">
        <f t="shared" si="1"/>
        <v>236139.25</v>
      </c>
      <c r="F269" s="26" t="str">
        <f>Sheet1!N269</f>
        <v>Gupta Automobiles - Padrauna</v>
      </c>
      <c r="G269" s="26" t="str">
        <f>Sheet1!O269</f>
        <v>1Ql_6BdBcHGAyITSZt1pNUK3bW54CzeThIBXr7aH7K3Y</v>
      </c>
      <c r="H269" s="26" t="str">
        <f>Sheet1!AV269</f>
        <v/>
      </c>
      <c r="I269" s="26" t="str">
        <f>Sheet1!AW269</f>
        <v/>
      </c>
      <c r="J269" s="26" t="str">
        <f>Sheet1!P269</f>
        <v>Dealer</v>
      </c>
      <c r="K269" s="26" t="str">
        <f>Sheet1!AZ269</f>
        <v>No</v>
      </c>
      <c r="L269" s="26" t="str">
        <f>Sheet1!BA269</f>
        <v>No</v>
      </c>
      <c r="M269" s="26" t="str">
        <f>Sheet1!BB269</f>
        <v>No</v>
      </c>
      <c r="N269" s="26">
        <f>Sheet1!BC269</f>
        <v>0</v>
      </c>
    </row>
    <row r="270">
      <c r="A270" s="26" t="str">
        <f>(Sheet1!A270)</f>
        <v>1T9TOPNccEkZyvcMjs5_ErkZRFNoV3A33YcZPKCnjNeI</v>
      </c>
      <c r="B270" s="26" t="str">
        <f>(Sheet1!B270)</f>
        <v>VAISHNO MOTORS - JHUGAWA</v>
      </c>
      <c r="C270" s="26">
        <f>'Balance Sheet'!$DX270</f>
        <v>19309.95</v>
      </c>
      <c r="D270" s="26">
        <f>'Old Combined Balance Sheet'!A270 + 'Balance Sheet - FGI Insurance -'!CF270</f>
        <v>0</v>
      </c>
      <c r="E270" s="26">
        <f t="shared" si="1"/>
        <v>19309.95</v>
      </c>
      <c r="F270" s="26" t="str">
        <f>Sheet1!N270</f>
        <v>VAISHNO MOTORS - JHUGAWA</v>
      </c>
      <c r="G270" s="26" t="str">
        <f>Sheet1!O270</f>
        <v>1T9TOPNccEkZyvcMjs5_ErkZRFNoV3A33YcZPKCnjNeI</v>
      </c>
      <c r="H270" s="26" t="str">
        <f>Sheet1!AV270</f>
        <v/>
      </c>
      <c r="I270" s="26" t="str">
        <f>Sheet1!AW270</f>
        <v/>
      </c>
      <c r="J270" s="26" t="str">
        <f>Sheet1!P270</f>
        <v>Dealer</v>
      </c>
      <c r="K270" s="26" t="str">
        <f>Sheet1!AZ270</f>
        <v>No</v>
      </c>
      <c r="L270" s="26" t="str">
        <f>Sheet1!BA270</f>
        <v>No</v>
      </c>
      <c r="M270" s="26" t="str">
        <f>Sheet1!BB270</f>
        <v>No</v>
      </c>
      <c r="N270" s="26">
        <f>Sheet1!BC270</f>
        <v>0</v>
      </c>
    </row>
    <row r="271">
      <c r="A271" s="26" t="str">
        <f>(Sheet1!A271)</f>
        <v>1XA3IU40iudWqjc-iMpo4sIeP_Jq8_MOSk2H-xzRtlHA</v>
      </c>
      <c r="B271" s="26" t="str">
        <f>(Sheet1!B271)</f>
        <v>Gupta automobiles(GA)- Ramkola road</v>
      </c>
      <c r="C271" s="26">
        <f>'Balance Sheet'!$DX271</f>
        <v>0</v>
      </c>
      <c r="D271" s="26">
        <f>'Old Combined Balance Sheet'!A271 + 'Balance Sheet - FGI Insurance -'!CF271</f>
        <v>0</v>
      </c>
      <c r="E271" s="26">
        <f t="shared" si="1"/>
        <v>0</v>
      </c>
      <c r="F271" s="26" t="str">
        <f>Sheet1!N271</f>
        <v>Gupta Automobiles - Padrauna</v>
      </c>
      <c r="G271" s="26" t="str">
        <f>Sheet1!O271</f>
        <v>1Ql_6BdBcHGAyITSZt1pNUK3bW54CzeThIBXr7aH7K3Y</v>
      </c>
      <c r="H271" s="26" t="str">
        <f>Sheet1!AV271</f>
        <v/>
      </c>
      <c r="I271" s="26" t="str">
        <f>Sheet1!AW271</f>
        <v/>
      </c>
      <c r="J271" s="26" t="str">
        <f>Sheet1!P271</f>
        <v>Sub Dealer</v>
      </c>
      <c r="K271" s="26" t="str">
        <f>Sheet1!AZ271</f>
        <v>No</v>
      </c>
      <c r="L271" s="26" t="str">
        <f>Sheet1!BA271</f>
        <v>No</v>
      </c>
      <c r="M271" s="26" t="str">
        <f>Sheet1!BB271</f>
        <v>No</v>
      </c>
      <c r="N271" s="26">
        <f>Sheet1!BC271</f>
        <v>0</v>
      </c>
    </row>
    <row r="272">
      <c r="A272" s="26" t="str">
        <f>(Sheet1!A272)</f>
        <v>1xdBmlu3NG6ftZ2So7cKWCZU08O5EvzyDf43msSPJABE</v>
      </c>
      <c r="B272" s="26" t="str">
        <f>(Sheet1!B272)</f>
        <v>Shri Guru Motors (GA) - PAKADIYAR BAZAR</v>
      </c>
      <c r="C272" s="26">
        <f>'Balance Sheet'!$DX272</f>
        <v>0</v>
      </c>
      <c r="D272" s="26">
        <f>'Old Combined Balance Sheet'!A272 + 'Balance Sheet - FGI Insurance -'!CF272</f>
        <v>0</v>
      </c>
      <c r="E272" s="26">
        <f t="shared" si="1"/>
        <v>0</v>
      </c>
      <c r="F272" s="26" t="str">
        <f>Sheet1!N272</f>
        <v>Gupta Automobiles - Padrauna</v>
      </c>
      <c r="G272" s="26" t="str">
        <f>Sheet1!O272</f>
        <v>1Ql_6BdBcHGAyITSZt1pNUK3bW54CzeThIBXr7aH7K3Y</v>
      </c>
      <c r="H272" s="26" t="str">
        <f>Sheet1!AV272</f>
        <v/>
      </c>
      <c r="I272" s="26" t="str">
        <f>Sheet1!AW272</f>
        <v/>
      </c>
      <c r="J272" s="26" t="str">
        <f>Sheet1!P272</f>
        <v>Sub Dealer</v>
      </c>
      <c r="K272" s="26" t="str">
        <f>Sheet1!AZ272</f>
        <v>No</v>
      </c>
      <c r="L272" s="26" t="str">
        <f>Sheet1!BA272</f>
        <v>No</v>
      </c>
      <c r="M272" s="26" t="str">
        <f>Sheet1!BB272</f>
        <v>No</v>
      </c>
      <c r="N272" s="26">
        <f>Sheet1!BC272</f>
        <v>0</v>
      </c>
    </row>
    <row r="273">
      <c r="A273" s="26" t="str">
        <f>(Sheet1!A273)</f>
        <v>1_5VG-F35BWYeavx2Egt3_WJsCY1xhX1lyqQW8SX-6Tg</v>
      </c>
      <c r="B273" s="26" t="str">
        <f>(Sheet1!B273)</f>
        <v>SINGLA AGENCIES- BADARPUR</v>
      </c>
      <c r="C273" s="26">
        <f>'Balance Sheet'!$DX273</f>
        <v>0</v>
      </c>
      <c r="D273" s="26">
        <f>'Old Combined Balance Sheet'!A273 + 'Balance Sheet - FGI Insurance -'!CF273</f>
        <v>0</v>
      </c>
      <c r="E273" s="26">
        <f t="shared" si="1"/>
        <v>0</v>
      </c>
      <c r="F273" s="26" t="str">
        <f>Sheet1!N273</f>
        <v>SINGLA AGENCIES- BADARPUR</v>
      </c>
      <c r="G273" s="26" t="str">
        <f>Sheet1!O273</f>
        <v>1_5VG-F35BWYeavx2Egt3_WJsCY1xhX1lyqQW8SX-6Tg</v>
      </c>
      <c r="H273" s="26" t="str">
        <f>Sheet1!AV273</f>
        <v/>
      </c>
      <c r="I273" s="26" t="str">
        <f>Sheet1!AW273</f>
        <v/>
      </c>
      <c r="J273" s="26" t="str">
        <f>Sheet1!P273</f>
        <v>Dealer</v>
      </c>
      <c r="K273" s="26" t="str">
        <f>Sheet1!AZ273</f>
        <v>No</v>
      </c>
      <c r="L273" s="26" t="str">
        <f>Sheet1!BA273</f>
        <v>No</v>
      </c>
      <c r="M273" s="26" t="str">
        <f>Sheet1!BB273</f>
        <v>No</v>
      </c>
      <c r="N273" s="26">
        <f>Sheet1!BC273</f>
        <v>0</v>
      </c>
    </row>
    <row r="274">
      <c r="A274" s="26" t="str">
        <f>(Sheet1!A274)</f>
        <v>19pAMM1ODD7HC9W7d0aVqaU20HF154F5SEq_JiEg9FBM</v>
      </c>
      <c r="B274" s="26" t="str">
        <f>(Sheet1!B274)</f>
        <v>J k Motors (GA) - Mansoorganj </v>
      </c>
      <c r="C274" s="26">
        <f>'Balance Sheet'!$DX274</f>
        <v>0</v>
      </c>
      <c r="D274" s="26">
        <f>'Old Combined Balance Sheet'!A274 + 'Balance Sheet - FGI Insurance -'!CF274</f>
        <v>0</v>
      </c>
      <c r="E274" s="26">
        <f t="shared" si="1"/>
        <v>0</v>
      </c>
      <c r="F274" s="26" t="str">
        <f>Sheet1!N274</f>
        <v>Gupta Automobiles - Padrauna</v>
      </c>
      <c r="G274" s="26" t="str">
        <f>Sheet1!O274</f>
        <v>1Ql_6BdBcHGAyITSZt1pNUK3bW54CzeThIBXr7aH7K3Y</v>
      </c>
      <c r="H274" s="26" t="str">
        <f>Sheet1!AV274</f>
        <v/>
      </c>
      <c r="I274" s="26" t="str">
        <f>Sheet1!AW274</f>
        <v/>
      </c>
      <c r="J274" s="26" t="str">
        <f>Sheet1!P274</f>
        <v>Sub Dealer</v>
      </c>
      <c r="K274" s="26" t="str">
        <f>Sheet1!AZ274</f>
        <v>No</v>
      </c>
      <c r="L274" s="26" t="str">
        <f>Sheet1!BA274</f>
        <v>No</v>
      </c>
      <c r="M274" s="26" t="str">
        <f>Sheet1!BB274</f>
        <v>No</v>
      </c>
      <c r="N274" s="26">
        <f>Sheet1!BC274</f>
        <v>0</v>
      </c>
    </row>
    <row r="275">
      <c r="A275" s="26" t="str">
        <f>(Sheet1!A275)</f>
        <v>1mc_8vM2cvVxFaLxhqehg3pn4kwEVbCwCJJWsBRw5SJA</v>
      </c>
      <c r="B275" s="26" t="str">
        <f>(Sheet1!B275)</f>
        <v>Singla Agencies-Sangam vihar-(SAB)</v>
      </c>
      <c r="C275" s="26">
        <f>'Balance Sheet'!$DX275</f>
        <v>0</v>
      </c>
      <c r="D275" s="26">
        <f>'Old Combined Balance Sheet'!A275 + 'Balance Sheet - FGI Insurance -'!CF275</f>
        <v>0</v>
      </c>
      <c r="E275" s="26">
        <f t="shared" si="1"/>
        <v>0</v>
      </c>
      <c r="F275" s="26" t="str">
        <f>Sheet1!N275</f>
        <v>SINGLA AGENCIES- BADARPUR</v>
      </c>
      <c r="G275" s="26" t="str">
        <f>Sheet1!O275</f>
        <v>1_5VG-F35BWYeavx2Egt3_WJsCY1xhX1lyqQW8SX-6Tg</v>
      </c>
      <c r="H275" s="26" t="str">
        <f>Sheet1!AV275</f>
        <v/>
      </c>
      <c r="I275" s="26" t="str">
        <f>Sheet1!AW275</f>
        <v/>
      </c>
      <c r="J275" s="26" t="str">
        <f>Sheet1!P275</f>
        <v>Sub Dealer</v>
      </c>
      <c r="K275" s="26" t="str">
        <f>Sheet1!AZ275</f>
        <v>No</v>
      </c>
      <c r="L275" s="26" t="str">
        <f>Sheet1!BA275</f>
        <v>No</v>
      </c>
      <c r="M275" s="26" t="str">
        <f>Sheet1!BB275</f>
        <v>No</v>
      </c>
      <c r="N275" s="26">
        <f>Sheet1!BC275</f>
        <v>0</v>
      </c>
    </row>
    <row r="276">
      <c r="A276" s="26" t="str">
        <f>(Sheet1!A276)</f>
        <v>1OSf6HUPm5hUkqeVhhPHbTNPPdXQV5R9xQcrIw2sZ88s</v>
      </c>
      <c r="B276" s="26" t="str">
        <f>(Sheet1!B276)</f>
        <v>Krishna Motors-Madanpur Khadar-(SAB)</v>
      </c>
      <c r="C276" s="26">
        <f>'Balance Sheet'!$DX276</f>
        <v>0</v>
      </c>
      <c r="D276" s="26">
        <f>'Old Combined Balance Sheet'!A276 + 'Balance Sheet - FGI Insurance -'!CF276</f>
        <v>0</v>
      </c>
      <c r="E276" s="26">
        <f t="shared" si="1"/>
        <v>0</v>
      </c>
      <c r="F276" s="26" t="str">
        <f>Sheet1!N276</f>
        <v>SINGLA AGENCIES- BADARPUR</v>
      </c>
      <c r="G276" s="26" t="str">
        <f>Sheet1!O276</f>
        <v>1_5VG-F35BWYeavx2Egt3_WJsCY1xhX1lyqQW8SX-6Tg</v>
      </c>
      <c r="H276" s="26" t="str">
        <f>Sheet1!AV276</f>
        <v/>
      </c>
      <c r="I276" s="26" t="str">
        <f>Sheet1!AW276</f>
        <v/>
      </c>
      <c r="J276" s="26" t="str">
        <f>Sheet1!P276</f>
        <v>Sub Dealer</v>
      </c>
      <c r="K276" s="26" t="str">
        <f>Sheet1!AZ276</f>
        <v>No</v>
      </c>
      <c r="L276" s="26" t="str">
        <f>Sheet1!BA276</f>
        <v>No</v>
      </c>
      <c r="M276" s="26" t="str">
        <f>Sheet1!BB276</f>
        <v>No</v>
      </c>
      <c r="N276" s="26">
        <f>Sheet1!BC276</f>
        <v>0</v>
      </c>
    </row>
    <row r="277">
      <c r="A277" s="26" t="str">
        <f>(Sheet1!A277)</f>
        <v>1_NK5IeBBhUwOkOG5CiLqBmnSrAsMKt3Ny0Eyc48kmrA</v>
      </c>
      <c r="B277" s="26" t="str">
        <f>(Sheet1!B277)</f>
        <v>Singla Motors-JAITPUR- (SAB)</v>
      </c>
      <c r="C277" s="26">
        <f>'Balance Sheet'!$DX277</f>
        <v>0</v>
      </c>
      <c r="D277" s="26">
        <f>'Old Combined Balance Sheet'!A277 + 'Balance Sheet - FGI Insurance -'!CF277</f>
        <v>0</v>
      </c>
      <c r="E277" s="26">
        <f t="shared" si="1"/>
        <v>0</v>
      </c>
      <c r="F277" s="26" t="str">
        <f>Sheet1!N277</f>
        <v>SINGLA AGENCIES- BADARPUR</v>
      </c>
      <c r="G277" s="26" t="str">
        <f>Sheet1!O277</f>
        <v>1_5VG-F35BWYeavx2Egt3_WJsCY1xhX1lyqQW8SX-6Tg</v>
      </c>
      <c r="H277" s="26" t="str">
        <f>Sheet1!AV277</f>
        <v/>
      </c>
      <c r="I277" s="26" t="str">
        <f>Sheet1!AW277</f>
        <v/>
      </c>
      <c r="J277" s="26" t="str">
        <f>Sheet1!P277</f>
        <v>Sub Dealer</v>
      </c>
      <c r="K277" s="26" t="str">
        <f>Sheet1!AZ277</f>
        <v>No</v>
      </c>
      <c r="L277" s="26" t="str">
        <f>Sheet1!BA277</f>
        <v>No</v>
      </c>
      <c r="M277" s="26" t="str">
        <f>Sheet1!BB277</f>
        <v>No</v>
      </c>
      <c r="N277" s="26">
        <f>Sheet1!BC277</f>
        <v>0</v>
      </c>
    </row>
    <row r="278">
      <c r="A278" s="26" t="str">
        <f>(Sheet1!A278)</f>
        <v>1QOJhpGMdUnxjEHflCyBx-7AgAkJDocYTlbeJzELOi9U</v>
      </c>
      <c r="B278" s="26" t="str">
        <f>(Sheet1!B278)</f>
        <v>Singla Auto Need- Pandav nagar- (SAB)</v>
      </c>
      <c r="C278" s="26">
        <f>'Balance Sheet'!$DX278</f>
        <v>0</v>
      </c>
      <c r="D278" s="26">
        <f>'Old Combined Balance Sheet'!A278 + 'Balance Sheet - FGI Insurance -'!CF278</f>
        <v>0</v>
      </c>
      <c r="E278" s="26">
        <f t="shared" si="1"/>
        <v>0</v>
      </c>
      <c r="F278" s="26" t="str">
        <f>Sheet1!N278</f>
        <v>SINGLA AGENCIES- BADARPUR</v>
      </c>
      <c r="G278" s="26" t="str">
        <f>Sheet1!O278</f>
        <v>1_5VG-F35BWYeavx2Egt3_WJsCY1xhX1lyqQW8SX-6Tg</v>
      </c>
      <c r="H278" s="26" t="str">
        <f>Sheet1!AV278</f>
        <v/>
      </c>
      <c r="I278" s="26" t="str">
        <f>Sheet1!AW278</f>
        <v/>
      </c>
      <c r="J278" s="26" t="str">
        <f>Sheet1!P278</f>
        <v>Sub Dealer</v>
      </c>
      <c r="K278" s="26" t="str">
        <f>Sheet1!AZ278</f>
        <v>No</v>
      </c>
      <c r="L278" s="26" t="str">
        <f>Sheet1!BA278</f>
        <v>No</v>
      </c>
      <c r="M278" s="26" t="str">
        <f>Sheet1!BB278</f>
        <v>No</v>
      </c>
      <c r="N278" s="26">
        <f>Sheet1!BC278</f>
        <v>0</v>
      </c>
    </row>
    <row r="279">
      <c r="A279" s="26" t="str">
        <f>(Sheet1!A279)</f>
        <v>1Pl3xCS8yRV5PgPEBDpSJ_TjqRSqKz0udLYEAfWnXS6o</v>
      </c>
      <c r="B279" s="26" t="str">
        <f>(Sheet1!B279)</f>
        <v>Yash Automobiles (GA) - Salemgarh</v>
      </c>
      <c r="C279" s="26">
        <f>'Balance Sheet'!$DX279</f>
        <v>0</v>
      </c>
      <c r="D279" s="26">
        <f>'Old Combined Balance Sheet'!A279 + 'Balance Sheet - FGI Insurance -'!CF279</f>
        <v>0</v>
      </c>
      <c r="E279" s="26">
        <f t="shared" si="1"/>
        <v>0</v>
      </c>
      <c r="F279" s="26" t="str">
        <f>Sheet1!N279</f>
        <v>Gupta Automobiles - Padrauna</v>
      </c>
      <c r="G279" s="26" t="str">
        <f>Sheet1!O279</f>
        <v>1Ql_6BdBcHGAyITSZt1pNUK3bW54CzeThIBXr7aH7K3Y</v>
      </c>
      <c r="H279" s="26" t="str">
        <f>Sheet1!AV279</f>
        <v/>
      </c>
      <c r="I279" s="26" t="str">
        <f>Sheet1!AW279</f>
        <v/>
      </c>
      <c r="J279" s="26" t="str">
        <f>Sheet1!P279</f>
        <v>Sub Dealer</v>
      </c>
      <c r="K279" s="26" t="str">
        <f>Sheet1!AZ279</f>
        <v>No</v>
      </c>
      <c r="L279" s="26" t="str">
        <f>Sheet1!BA279</f>
        <v>No</v>
      </c>
      <c r="M279" s="26" t="str">
        <f>Sheet1!BB279</f>
        <v>No</v>
      </c>
      <c r="N279" s="26">
        <f>Sheet1!BC279</f>
        <v>0</v>
      </c>
    </row>
    <row r="280">
      <c r="A280" s="26" t="str">
        <f>(Sheet1!A280)</f>
        <v>1MwGB4NlbAA1sDO4RNS9Gt7hcxUDE9RrGsbtMfLGnXmc</v>
      </c>
      <c r="B280" s="26" t="str">
        <f>(Sheet1!B280)</f>
        <v>Rishabh Motors (GA) - SEORAHI</v>
      </c>
      <c r="C280" s="26">
        <f>'Balance Sheet'!$DX280</f>
        <v>0</v>
      </c>
      <c r="D280" s="26">
        <f>'Old Combined Balance Sheet'!A280 + 'Balance Sheet - FGI Insurance -'!CF280</f>
        <v>0</v>
      </c>
      <c r="E280" s="26">
        <f t="shared" si="1"/>
        <v>0</v>
      </c>
      <c r="F280" s="26" t="str">
        <f>Sheet1!N280</f>
        <v>Gupta Automobiles - Padrauna</v>
      </c>
      <c r="G280" s="26" t="str">
        <f>Sheet1!O280</f>
        <v>1Ql_6BdBcHGAyITSZt1pNUK3bW54CzeThIBXr7aH7K3Y</v>
      </c>
      <c r="H280" s="26" t="str">
        <f>Sheet1!AV280</f>
        <v/>
      </c>
      <c r="I280" s="26" t="str">
        <f>Sheet1!AW280</f>
        <v/>
      </c>
      <c r="J280" s="26" t="str">
        <f>Sheet1!P280</f>
        <v>Sub Dealer</v>
      </c>
      <c r="K280" s="26" t="str">
        <f>Sheet1!AZ280</f>
        <v>No</v>
      </c>
      <c r="L280" s="26" t="str">
        <f>Sheet1!BA280</f>
        <v>No</v>
      </c>
      <c r="M280" s="26" t="str">
        <f>Sheet1!BB280</f>
        <v>No</v>
      </c>
      <c r="N280" s="26">
        <f>Sheet1!BC280</f>
        <v>0</v>
      </c>
    </row>
    <row r="281">
      <c r="A281" s="26" t="str">
        <f>(Sheet1!A281)</f>
        <v>1_OiNFW1L4uli0OUd47a3WJ8Vi8oF4ELvOE04d55Bxu8</v>
      </c>
      <c r="B281" s="26" t="str">
        <f>(Sheet1!B281)</f>
        <v>Aditya Automobiles (GA) - Khadda</v>
      </c>
      <c r="C281" s="26">
        <f>'Balance Sheet'!$DX281</f>
        <v>0</v>
      </c>
      <c r="D281" s="26">
        <f>'Old Combined Balance Sheet'!A281 + 'Balance Sheet - FGI Insurance -'!CF281</f>
        <v>0</v>
      </c>
      <c r="E281" s="26">
        <f t="shared" si="1"/>
        <v>0</v>
      </c>
      <c r="F281" s="26" t="str">
        <f>Sheet1!N281</f>
        <v>Gupta Automobiles - Padrauna</v>
      </c>
      <c r="G281" s="26" t="str">
        <f>Sheet1!O281</f>
        <v>1Ql_6BdBcHGAyITSZt1pNUK3bW54CzeThIBXr7aH7K3Y</v>
      </c>
      <c r="H281" s="26" t="str">
        <f>Sheet1!AV281</f>
        <v/>
      </c>
      <c r="I281" s="26" t="str">
        <f>Sheet1!AW281</f>
        <v/>
      </c>
      <c r="J281" s="26" t="str">
        <f>Sheet1!P281</f>
        <v>Sub Dealer</v>
      </c>
      <c r="K281" s="26" t="str">
        <f>Sheet1!AZ281</f>
        <v>No</v>
      </c>
      <c r="L281" s="26" t="str">
        <f>Sheet1!BA281</f>
        <v>No</v>
      </c>
      <c r="M281" s="26" t="str">
        <f>Sheet1!BB281</f>
        <v>No</v>
      </c>
      <c r="N281" s="26">
        <f>Sheet1!BC281</f>
        <v>0</v>
      </c>
    </row>
    <row r="282">
      <c r="A282" s="26" t="str">
        <f>(Sheet1!A282)</f>
        <v>1exeGOWVXOAcHuO2L4B0HTiLTrOKeCzbSH5QoO_nqQeA</v>
      </c>
      <c r="B282" s="26" t="str">
        <f>(Sheet1!B282)</f>
        <v>Madheshiya Automobile (GA) - Kaptanganj</v>
      </c>
      <c r="C282" s="26">
        <f>'Balance Sheet'!$DX282</f>
        <v>0</v>
      </c>
      <c r="D282" s="26">
        <f>'Old Combined Balance Sheet'!A282 + 'Balance Sheet - FGI Insurance -'!CF282</f>
        <v>0</v>
      </c>
      <c r="E282" s="26">
        <f t="shared" si="1"/>
        <v>0</v>
      </c>
      <c r="F282" s="26" t="str">
        <f>Sheet1!N282</f>
        <v>Gupta Automobiles - Padrauna</v>
      </c>
      <c r="G282" s="26" t="str">
        <f>Sheet1!O282</f>
        <v>1Ql_6BdBcHGAyITSZt1pNUK3bW54CzeThIBXr7aH7K3Y</v>
      </c>
      <c r="H282" s="26" t="str">
        <f>Sheet1!AV282</f>
        <v/>
      </c>
      <c r="I282" s="26" t="str">
        <f>Sheet1!AW282</f>
        <v/>
      </c>
      <c r="J282" s="26" t="str">
        <f>Sheet1!P282</f>
        <v>Sub Dealer</v>
      </c>
      <c r="K282" s="26" t="str">
        <f>Sheet1!AZ282</f>
        <v>No</v>
      </c>
      <c r="L282" s="26" t="str">
        <f>Sheet1!BA282</f>
        <v>No</v>
      </c>
      <c r="M282" s="26" t="str">
        <f>Sheet1!BB282</f>
        <v>No</v>
      </c>
      <c r="N282" s="26">
        <f>Sheet1!BC282</f>
        <v>0</v>
      </c>
    </row>
    <row r="283">
      <c r="A283" s="26" t="str">
        <f>(Sheet1!A283)</f>
        <v>1j6kSc9K8tCblFNSj_E0V1RN6vamZO2mUImuRcmAEmTA</v>
      </c>
      <c r="B283" s="26" t="str">
        <f>(Sheet1!B283)</f>
        <v>Gautam Automobiles (GA) - Bodarwar</v>
      </c>
      <c r="C283" s="26">
        <f>'Balance Sheet'!$DX283</f>
        <v>0</v>
      </c>
      <c r="D283" s="26">
        <f>'Old Combined Balance Sheet'!A283 + 'Balance Sheet - FGI Insurance -'!CF283</f>
        <v>0</v>
      </c>
      <c r="E283" s="26">
        <f t="shared" si="1"/>
        <v>0</v>
      </c>
      <c r="F283" s="26" t="str">
        <f>Sheet1!N283</f>
        <v>Gupta Automobiles - Padrauna</v>
      </c>
      <c r="G283" s="26" t="str">
        <f>Sheet1!O283</f>
        <v>1Ql_6BdBcHGAyITSZt1pNUK3bW54CzeThIBXr7aH7K3Y</v>
      </c>
      <c r="H283" s="26" t="str">
        <f>Sheet1!AV283</f>
        <v/>
      </c>
      <c r="I283" s="26" t="str">
        <f>Sheet1!AW283</f>
        <v/>
      </c>
      <c r="J283" s="26" t="str">
        <f>Sheet1!P283</f>
        <v>Sub Dealer</v>
      </c>
      <c r="K283" s="26" t="str">
        <f>Sheet1!AZ283</f>
        <v>No</v>
      </c>
      <c r="L283" s="26" t="str">
        <f>Sheet1!BA283</f>
        <v>No</v>
      </c>
      <c r="M283" s="26" t="str">
        <f>Sheet1!BB283</f>
        <v>No</v>
      </c>
      <c r="N283" s="26">
        <f>Sheet1!BC283</f>
        <v>0</v>
      </c>
    </row>
    <row r="284">
      <c r="A284" s="26" t="str">
        <f>(Sheet1!A284)</f>
        <v>1fv8dWFkW6b7Hzi-3JpJOz2oZJtF8mmvQvdvX2JWmNEQ</v>
      </c>
      <c r="B284" s="26" t="str">
        <f>(Sheet1!B284)</f>
        <v>Ditya Automobiles - Samaur Bazar</v>
      </c>
      <c r="C284" s="26">
        <f>'Balance Sheet'!$DX284</f>
        <v>0</v>
      </c>
      <c r="D284" s="26">
        <f>'Old Combined Balance Sheet'!A284 + 'Balance Sheet - FGI Insurance -'!CF284</f>
        <v>0</v>
      </c>
      <c r="E284" s="26">
        <f t="shared" si="1"/>
        <v>0</v>
      </c>
      <c r="F284" s="26" t="str">
        <f>Sheet1!N284</f>
        <v>Gupta Automobiles - Padrauna</v>
      </c>
      <c r="G284" s="26" t="str">
        <f>Sheet1!O284</f>
        <v>1Ql_6BdBcHGAyITSZt1pNUK3bW54CzeThIBXr7aH7K3Y</v>
      </c>
      <c r="H284" s="26" t="str">
        <f>Sheet1!AV284</f>
        <v/>
      </c>
      <c r="I284" s="26" t="str">
        <f>Sheet1!AW284</f>
        <v/>
      </c>
      <c r="J284" s="26" t="str">
        <f>Sheet1!P284</f>
        <v>Sub Dealer</v>
      </c>
      <c r="K284" s="26" t="str">
        <f>Sheet1!AZ284</f>
        <v>No</v>
      </c>
      <c r="L284" s="26" t="str">
        <f>Sheet1!BA284</f>
        <v>No</v>
      </c>
      <c r="M284" s="26" t="str">
        <f>Sheet1!BB284</f>
        <v>No</v>
      </c>
      <c r="N284" s="26">
        <f>Sheet1!BC284</f>
        <v>0</v>
      </c>
    </row>
    <row r="285">
      <c r="A285" s="26" t="str">
        <f>(Sheet1!A285)</f>
        <v>1W3-jZjI2u0tVYh2hYKl3zGL5m_jhz5IRzXYj0clftmM</v>
      </c>
      <c r="B285" s="26" t="str">
        <f>(Sheet1!B285)</f>
        <v>Shiv Automobiles (GA) - Sukrauli</v>
      </c>
      <c r="C285" s="26">
        <f>'Balance Sheet'!$DX285</f>
        <v>0</v>
      </c>
      <c r="D285" s="26">
        <f>'Old Combined Balance Sheet'!A285 + 'Balance Sheet - FGI Insurance -'!CF285</f>
        <v>0</v>
      </c>
      <c r="E285" s="26">
        <f t="shared" si="1"/>
        <v>0</v>
      </c>
      <c r="F285" s="26" t="str">
        <f>Sheet1!N285</f>
        <v>Gupta Automobiles - Padrauna</v>
      </c>
      <c r="G285" s="26" t="str">
        <f>Sheet1!O285</f>
        <v>1Ql_6BdBcHGAyITSZt1pNUK3bW54CzeThIBXr7aH7K3Y</v>
      </c>
      <c r="H285" s="26" t="str">
        <f>Sheet1!AV285</f>
        <v/>
      </c>
      <c r="I285" s="26" t="str">
        <f>Sheet1!AW285</f>
        <v/>
      </c>
      <c r="J285" s="26" t="str">
        <f>Sheet1!P285</f>
        <v>Sub Dealer</v>
      </c>
      <c r="K285" s="26" t="str">
        <f>Sheet1!AZ285</f>
        <v>No</v>
      </c>
      <c r="L285" s="26" t="str">
        <f>Sheet1!BA285</f>
        <v>No</v>
      </c>
      <c r="M285" s="26" t="str">
        <f>Sheet1!BB285</f>
        <v>No</v>
      </c>
      <c r="N285" s="26">
        <f>Sheet1!BC285</f>
        <v>0</v>
      </c>
    </row>
    <row r="286">
      <c r="A286" s="26" t="str">
        <f>(Sheet1!A286)</f>
        <v>1Rt3N-j0r2Em5s4csoiyfu2dZgRIzx0sNXUWimr9m_U4</v>
      </c>
      <c r="B286" s="26" t="str">
        <f>(Sheet1!B286)</f>
        <v>Kanha Motors (GA) - Captainganj</v>
      </c>
      <c r="C286" s="26">
        <f>'Balance Sheet'!$DX286</f>
        <v>0</v>
      </c>
      <c r="D286" s="26">
        <f>'Old Combined Balance Sheet'!A286 + 'Balance Sheet - FGI Insurance -'!CF286</f>
        <v>0</v>
      </c>
      <c r="E286" s="26">
        <f t="shared" si="1"/>
        <v>0</v>
      </c>
      <c r="F286" s="26" t="str">
        <f>Sheet1!N286</f>
        <v>Gupta Automobiles - Padrauna</v>
      </c>
      <c r="G286" s="26" t="str">
        <f>Sheet1!O286</f>
        <v>1Ql_6BdBcHGAyITSZt1pNUK3bW54CzeThIBXr7aH7K3Y</v>
      </c>
      <c r="H286" s="26" t="str">
        <f>Sheet1!AV286</f>
        <v/>
      </c>
      <c r="I286" s="26" t="str">
        <f>Sheet1!AW286</f>
        <v/>
      </c>
      <c r="J286" s="26" t="str">
        <f>Sheet1!P286</f>
        <v>Sub Dealer</v>
      </c>
      <c r="K286" s="26" t="str">
        <f>Sheet1!AZ286</f>
        <v>No</v>
      </c>
      <c r="L286" s="26" t="str">
        <f>Sheet1!BA286</f>
        <v>No</v>
      </c>
      <c r="M286" s="26" t="str">
        <f>Sheet1!BB286</f>
        <v>No</v>
      </c>
      <c r="N286" s="26">
        <f>Sheet1!BC286</f>
        <v>0</v>
      </c>
    </row>
    <row r="287">
      <c r="A287" s="26" t="str">
        <f>(Sheet1!A287)</f>
        <v>1D0bYz3VnU-VHJIxa-b_ygaVix-3eTTISmRnDDIWBdUM</v>
      </c>
      <c r="B287" s="26" t="str">
        <f>(Sheet1!B287)</f>
        <v>Bhudev Gupta (GA) - DUDAHI</v>
      </c>
      <c r="C287" s="26">
        <f>'Balance Sheet'!$DX287</f>
        <v>0</v>
      </c>
      <c r="D287" s="26">
        <f>'Old Combined Balance Sheet'!A287 + 'Balance Sheet - FGI Insurance -'!CF287</f>
        <v>0</v>
      </c>
      <c r="E287" s="26">
        <f t="shared" si="1"/>
        <v>0</v>
      </c>
      <c r="F287" s="26" t="str">
        <f>Sheet1!N287</f>
        <v>Gupta Automobiles - Padrauna</v>
      </c>
      <c r="G287" s="26" t="str">
        <f>Sheet1!O287</f>
        <v>1Ql_6BdBcHGAyITSZt1pNUK3bW54CzeThIBXr7aH7K3Y</v>
      </c>
      <c r="H287" s="26" t="str">
        <f>Sheet1!AV287</f>
        <v/>
      </c>
      <c r="I287" s="26" t="str">
        <f>Sheet1!AW287</f>
        <v/>
      </c>
      <c r="J287" s="26" t="str">
        <f>Sheet1!P287</f>
        <v>Sub Dealer</v>
      </c>
      <c r="K287" s="26" t="str">
        <f>Sheet1!AZ287</f>
        <v>No</v>
      </c>
      <c r="L287" s="26" t="str">
        <f>Sheet1!BA287</f>
        <v>No</v>
      </c>
      <c r="M287" s="26" t="str">
        <f>Sheet1!BB287</f>
        <v>No</v>
      </c>
      <c r="N287" s="26">
        <f>Sheet1!BC287</f>
        <v>0</v>
      </c>
    </row>
    <row r="288">
      <c r="A288" s="26" t="str">
        <f>(Sheet1!A288)</f>
        <v>1iS0OzsOEgzLoPMX6_hFFZoxQvPZH07oslA_7etrLuZw</v>
      </c>
      <c r="B288" s="26" t="str">
        <f>(Sheet1!B288)</f>
        <v>SHREE KHADKA G AUTO- AHMEDABAD</v>
      </c>
      <c r="C288" s="26">
        <f>'Balance Sheet'!$DX288</f>
        <v>-1123.6</v>
      </c>
      <c r="D288" s="26">
        <f>'Old Combined Balance Sheet'!A288 + 'Balance Sheet - FGI Insurance -'!CF288</f>
        <v>0</v>
      </c>
      <c r="E288" s="26">
        <f t="shared" si="1"/>
        <v>-1123.6</v>
      </c>
      <c r="F288" s="26" t="str">
        <f>Sheet1!N288</f>
        <v>SHREE KHADKA G AUTO- AHMEDABAD</v>
      </c>
      <c r="G288" s="26" t="str">
        <f>Sheet1!O288</f>
        <v>1iS0OzsOEgzLoPMX6_hFFZoxQvPZH07oslA_7etrLuZw</v>
      </c>
      <c r="H288" s="26" t="str">
        <f>Sheet1!AV288</f>
        <v/>
      </c>
      <c r="I288" s="26" t="str">
        <f>Sheet1!AW288</f>
        <v/>
      </c>
      <c r="J288" s="26" t="str">
        <f>Sheet1!P288</f>
        <v>Dealer</v>
      </c>
      <c r="K288" s="26" t="str">
        <f>Sheet1!AZ288</f>
        <v>No</v>
      </c>
      <c r="L288" s="26" t="str">
        <f>Sheet1!BA288</f>
        <v>No</v>
      </c>
      <c r="M288" s="26" t="str">
        <f>Sheet1!BB288</f>
        <v>No</v>
      </c>
      <c r="N288" s="26">
        <f>Sheet1!BC288</f>
        <v>0</v>
      </c>
    </row>
    <row r="289">
      <c r="A289" s="26" t="str">
        <f>(Sheet1!A289)</f>
        <v>1FBjXAE1-KKWRluxAeSNXWWc03DBWHZmw6NQIaZREyIU</v>
      </c>
      <c r="B289" s="26" t="str">
        <f>(Sheet1!B289)</f>
        <v>Singh Motor (GA) - Ahirauli Bazar</v>
      </c>
      <c r="C289" s="26">
        <f>'Balance Sheet'!$DX289</f>
        <v>0</v>
      </c>
      <c r="D289" s="26">
        <f>'Old Combined Balance Sheet'!A289 + 'Balance Sheet - FGI Insurance -'!CF289</f>
        <v>0</v>
      </c>
      <c r="E289" s="26">
        <f t="shared" si="1"/>
        <v>0</v>
      </c>
      <c r="F289" s="26" t="str">
        <f>Sheet1!N289</f>
        <v>Gupta Automobiles - Padrauna</v>
      </c>
      <c r="G289" s="26" t="str">
        <f>Sheet1!O289</f>
        <v>1Ql_6BdBcHGAyITSZt1pNUK3bW54CzeThIBXr7aH7K3Y</v>
      </c>
      <c r="H289" s="26" t="str">
        <f>Sheet1!AV289</f>
        <v/>
      </c>
      <c r="I289" s="26" t="str">
        <f>Sheet1!AW289</f>
        <v/>
      </c>
      <c r="J289" s="26" t="str">
        <f>Sheet1!P289</f>
        <v>Sub Dealer</v>
      </c>
      <c r="K289" s="26" t="str">
        <f>Sheet1!AZ289</f>
        <v>No</v>
      </c>
      <c r="L289" s="26" t="str">
        <f>Sheet1!BA289</f>
        <v>No</v>
      </c>
      <c r="M289" s="26" t="str">
        <f>Sheet1!BB289</f>
        <v>No</v>
      </c>
      <c r="N289" s="26">
        <f>Sheet1!BC289</f>
        <v>0</v>
      </c>
    </row>
    <row r="290">
      <c r="A290" s="26" t="str">
        <f>(Sheet1!A290)</f>
        <v>1uBiAsC5-HA2hRNcQGD_6Mpaq6LmZNpNtQhdpeLcD4Yg</v>
      </c>
      <c r="B290" s="26" t="str">
        <f>(Sheet1!B290)</f>
        <v>Laxmi Automobiles (GA) - Badhu Chauraha</v>
      </c>
      <c r="C290" s="26">
        <f>'Balance Sheet'!$DX290</f>
        <v>0</v>
      </c>
      <c r="D290" s="26">
        <f>'Old Combined Balance Sheet'!A290 + 'Balance Sheet - FGI Insurance -'!CF290</f>
        <v>0</v>
      </c>
      <c r="E290" s="26">
        <f t="shared" si="1"/>
        <v>0</v>
      </c>
      <c r="F290" s="26" t="str">
        <f>Sheet1!N290</f>
        <v>Gupta Automobiles - Padrauna</v>
      </c>
      <c r="G290" s="26" t="str">
        <f>Sheet1!O290</f>
        <v>1Ql_6BdBcHGAyITSZt1pNUK3bW54CzeThIBXr7aH7K3Y</v>
      </c>
      <c r="H290" s="26" t="str">
        <f>Sheet1!AV290</f>
        <v/>
      </c>
      <c r="I290" s="26" t="str">
        <f>Sheet1!AW290</f>
        <v/>
      </c>
      <c r="J290" s="26" t="str">
        <f>Sheet1!P290</f>
        <v>Sub Dealer</v>
      </c>
      <c r="K290" s="26" t="str">
        <f>Sheet1!AZ290</f>
        <v>No</v>
      </c>
      <c r="L290" s="26" t="str">
        <f>Sheet1!BA290</f>
        <v>No</v>
      </c>
      <c r="M290" s="26" t="str">
        <f>Sheet1!BB290</f>
        <v>No</v>
      </c>
      <c r="N290" s="26">
        <f>Sheet1!BC290</f>
        <v>0</v>
      </c>
    </row>
    <row r="291">
      <c r="A291" s="26" t="str">
        <f>(Sheet1!A291)</f>
        <v>1bhPjaQq-g1jDtXoW8RLurTGLJE_d2uN5NupwulpULrs</v>
      </c>
      <c r="B291" s="26" t="str">
        <f>(Sheet1!B291)</f>
        <v>Sunil Motors (GA) - Inderpur</v>
      </c>
      <c r="C291" s="26">
        <f>'Balance Sheet'!$DX291</f>
        <v>0</v>
      </c>
      <c r="D291" s="26">
        <f>'Old Combined Balance Sheet'!A291 + 'Balance Sheet - FGI Insurance -'!CF291</f>
        <v>0</v>
      </c>
      <c r="E291" s="26">
        <f t="shared" si="1"/>
        <v>0</v>
      </c>
      <c r="F291" s="26" t="str">
        <f>Sheet1!N291</f>
        <v>Gupta Automobiles - Padrauna</v>
      </c>
      <c r="G291" s="26" t="str">
        <f>Sheet1!O291</f>
        <v>1Ql_6BdBcHGAyITSZt1pNUK3bW54CzeThIBXr7aH7K3Y</v>
      </c>
      <c r="H291" s="26" t="str">
        <f>Sheet1!AV291</f>
        <v/>
      </c>
      <c r="I291" s="26" t="str">
        <f>Sheet1!AW291</f>
        <v/>
      </c>
      <c r="J291" s="26" t="str">
        <f>Sheet1!P291</f>
        <v>Sub Dealer</v>
      </c>
      <c r="K291" s="26" t="str">
        <f>Sheet1!AZ291</f>
        <v>No</v>
      </c>
      <c r="L291" s="26" t="str">
        <f>Sheet1!BA291</f>
        <v>No</v>
      </c>
      <c r="M291" s="26" t="str">
        <f>Sheet1!BB291</f>
        <v>No</v>
      </c>
      <c r="N291" s="26">
        <f>Sheet1!BC291</f>
        <v>0</v>
      </c>
    </row>
    <row r="292">
      <c r="A292" s="26" t="str">
        <f>(Sheet1!A292)</f>
        <v>1xFID_8JlzSrxrXeYVgdRqij29QdUPwj9WI5dysI9CDw</v>
      </c>
      <c r="B292" s="26" t="str">
        <f>(Sheet1!B292)</f>
        <v>Samar Automobiles- Dudahi</v>
      </c>
      <c r="C292" s="26">
        <f>'Balance Sheet'!$DX292</f>
        <v>0</v>
      </c>
      <c r="D292" s="26">
        <f>'Old Combined Balance Sheet'!A292 + 'Balance Sheet - FGI Insurance -'!CF292</f>
        <v>0</v>
      </c>
      <c r="E292" s="26">
        <f t="shared" si="1"/>
        <v>0</v>
      </c>
      <c r="F292" s="26" t="str">
        <f>Sheet1!N292</f>
        <v>Gupta Automobiles - Padrauna</v>
      </c>
      <c r="G292" s="26" t="str">
        <f>Sheet1!O292</f>
        <v>1Ql_6BdBcHGAyITSZt1pNUK3bW54CzeThIBXr7aH7K3Y</v>
      </c>
      <c r="H292" s="26" t="str">
        <f>Sheet1!AV292</f>
        <v/>
      </c>
      <c r="I292" s="26" t="str">
        <f>Sheet1!AW292</f>
        <v/>
      </c>
      <c r="J292" s="26" t="str">
        <f>Sheet1!P292</f>
        <v>Sub Dealer</v>
      </c>
      <c r="K292" s="26" t="str">
        <f>Sheet1!AZ292</f>
        <v>No</v>
      </c>
      <c r="L292" s="26" t="str">
        <f>Sheet1!BA292</f>
        <v>No</v>
      </c>
      <c r="M292" s="26" t="str">
        <f>Sheet1!BB292</f>
        <v>No</v>
      </c>
      <c r="N292" s="26">
        <f>Sheet1!BC292</f>
        <v>0</v>
      </c>
    </row>
    <row r="293">
      <c r="A293" s="26" t="str">
        <f>(Sheet1!A293)</f>
        <v>1X_m6RcHqFfcQ7cuPRVFGEfC7_tgNzz3k2sBzk-y5Lho</v>
      </c>
      <c r="B293" s="26" t="str">
        <f>(Sheet1!B293)</f>
        <v>Krishna Automobile - Mathauli bazar</v>
      </c>
      <c r="C293" s="26">
        <f>'Balance Sheet'!$DX293</f>
        <v>0</v>
      </c>
      <c r="D293" s="26">
        <f>'Old Combined Balance Sheet'!A293 + 'Balance Sheet - FGI Insurance -'!CF293</f>
        <v>0</v>
      </c>
      <c r="E293" s="26">
        <f t="shared" si="1"/>
        <v>0</v>
      </c>
      <c r="F293" s="26" t="str">
        <f>Sheet1!N293</f>
        <v>Gupta Automobiles - Padrauna</v>
      </c>
      <c r="G293" s="26" t="str">
        <f>Sheet1!O293</f>
        <v>1Ql_6BdBcHGAyITSZt1pNUK3bW54CzeThIBXr7aH7K3Y</v>
      </c>
      <c r="H293" s="26" t="str">
        <f>Sheet1!AV293</f>
        <v/>
      </c>
      <c r="I293" s="26" t="str">
        <f>Sheet1!AW293</f>
        <v/>
      </c>
      <c r="J293" s="26" t="str">
        <f>Sheet1!P293</f>
        <v>Sub Dealer</v>
      </c>
      <c r="K293" s="26" t="str">
        <f>Sheet1!AZ293</f>
        <v>No</v>
      </c>
      <c r="L293" s="26" t="str">
        <f>Sheet1!BA293</f>
        <v>No</v>
      </c>
      <c r="M293" s="26" t="str">
        <f>Sheet1!BB293</f>
        <v>No</v>
      </c>
      <c r="N293" s="26">
        <f>Sheet1!BC293</f>
        <v>0</v>
      </c>
    </row>
    <row r="294">
      <c r="A294" s="26" t="str">
        <f>(Sheet1!A294)</f>
        <v>1x38XOM-VqTgqoXTPjpnyXIiMMrMalrJof7768QJp3LU</v>
      </c>
      <c r="B294" s="26" t="str">
        <f>(Sheet1!B294)</f>
        <v>KATKAM HONDA-KAMMAM</v>
      </c>
      <c r="C294" s="26">
        <f>'Balance Sheet'!$DX294</f>
        <v>0</v>
      </c>
      <c r="D294" s="26">
        <f>'Old Combined Balance Sheet'!A294 + 'Balance Sheet - FGI Insurance -'!CF294</f>
        <v>0</v>
      </c>
      <c r="E294" s="26">
        <f t="shared" si="1"/>
        <v>0</v>
      </c>
      <c r="F294" s="26" t="str">
        <f>Sheet1!N294</f>
        <v>KATKAM HONDA-KAMMAM</v>
      </c>
      <c r="G294" s="26" t="str">
        <f>Sheet1!O294</f>
        <v>1x38XOM-VqTgqoXTPjpnyXIiMMrMalrJof7768QJp3LU</v>
      </c>
      <c r="H294" s="26" t="str">
        <f>Sheet1!AV294</f>
        <v/>
      </c>
      <c r="I294" s="26" t="str">
        <f>Sheet1!AW294</f>
        <v/>
      </c>
      <c r="J294" s="26" t="str">
        <f>Sheet1!P294</f>
        <v>Dealer</v>
      </c>
      <c r="K294" s="26" t="str">
        <f>Sheet1!AZ294</f>
        <v>No</v>
      </c>
      <c r="L294" s="26" t="str">
        <f>Sheet1!BA294</f>
        <v>No</v>
      </c>
      <c r="M294" s="26" t="str">
        <f>Sheet1!BB294</f>
        <v>No</v>
      </c>
      <c r="N294" s="26">
        <f>Sheet1!BC294</f>
        <v>0</v>
      </c>
    </row>
    <row r="295">
      <c r="A295" s="26" t="str">
        <f>(Sheet1!A295)</f>
        <v>1JCRksT80QgKH0ah33tn7at3md6-Y1gqZnHoR-f94zj4</v>
      </c>
      <c r="B295" s="26" t="str">
        <f>(Sheet1!B295)</f>
        <v>SHREE VASHU AUTOMOBILES-CHARTHAWAL(SBH)</v>
      </c>
      <c r="C295" s="26">
        <f>'Balance Sheet'!$DX295</f>
        <v>0</v>
      </c>
      <c r="D295" s="26">
        <f>'Old Combined Balance Sheet'!A295 + 'Balance Sheet - FGI Insurance -'!CF295</f>
        <v>0</v>
      </c>
      <c r="E295" s="26">
        <f t="shared" si="1"/>
        <v>0</v>
      </c>
      <c r="F295" s="26" t="str">
        <f>Sheet1!N295</f>
        <v>Shri Balaji Hero - Muzaffarnagar</v>
      </c>
      <c r="G295" s="26" t="str">
        <f>Sheet1!O295</f>
        <v>1qJGCYN0EdS2nWGXVYAHwXqSjiLE2C95anQkkbLONbKQ</v>
      </c>
      <c r="H295" s="26" t="str">
        <f>Sheet1!AV295</f>
        <v/>
      </c>
      <c r="I295" s="26" t="str">
        <f>Sheet1!AW295</f>
        <v/>
      </c>
      <c r="J295" s="26" t="str">
        <f>Sheet1!P295</f>
        <v>Sub Dealer</v>
      </c>
      <c r="K295" s="26" t="str">
        <f>Sheet1!AZ295</f>
        <v>Yes</v>
      </c>
      <c r="L295" s="26" t="str">
        <f>Sheet1!BA295</f>
        <v>No</v>
      </c>
      <c r="M295" s="26" t="str">
        <f>Sheet1!BB295</f>
        <v>No</v>
      </c>
      <c r="N295" s="26">
        <f>Sheet1!BC295</f>
        <v>0</v>
      </c>
    </row>
    <row r="296">
      <c r="A296" s="26" t="str">
        <f>(Sheet1!A296)</f>
        <v>1050xuIkuCwbciPjL7NYnIQd49nor1NbjSoUBzXpeVrU</v>
      </c>
      <c r="B296" s="26" t="str">
        <f>(Sheet1!B296)</f>
        <v>ARC HERO- MAHIPALPUR</v>
      </c>
      <c r="C296" s="26">
        <f>'Balance Sheet'!$DX296</f>
        <v>3565900</v>
      </c>
      <c r="D296" s="26">
        <f>'Old Combined Balance Sheet'!A296 + 'Balance Sheet - FGI Insurance -'!CF296</f>
        <v>-3546821.76</v>
      </c>
      <c r="E296" s="26">
        <f t="shared" si="1"/>
        <v>19078.24</v>
      </c>
      <c r="F296" s="26" t="str">
        <f>Sheet1!N296</f>
        <v>ARC HERO- MAHIPALPUR</v>
      </c>
      <c r="G296" s="26" t="str">
        <f>Sheet1!O296</f>
        <v>1050xuIkuCwbciPjL7NYnIQd49nor1NbjSoUBzXpeVrU</v>
      </c>
      <c r="H296" s="26" t="str">
        <f>Sheet1!AV296</f>
        <v/>
      </c>
      <c r="I296" s="26" t="str">
        <f>Sheet1!AW296</f>
        <v/>
      </c>
      <c r="J296" s="26" t="str">
        <f>Sheet1!P296</f>
        <v>Dealer</v>
      </c>
      <c r="K296" s="26" t="str">
        <f>Sheet1!AZ296</f>
        <v>No</v>
      </c>
      <c r="L296" s="26" t="str">
        <f>Sheet1!BA296</f>
        <v>No</v>
      </c>
      <c r="M296" s="26" t="str">
        <f>Sheet1!BB296</f>
        <v>Yes</v>
      </c>
      <c r="N296" s="26">
        <f>Sheet1!BC296</f>
        <v>0</v>
      </c>
    </row>
    <row r="297">
      <c r="A297" s="26" t="str">
        <f>(Sheet1!A297)</f>
        <v>1m8ka1AbXWO0NCwbciwxi-1DtNMMJX9mIx0hIP9BLnJE</v>
      </c>
      <c r="B297" s="26" t="str">
        <f>(Sheet1!B297)</f>
        <v>ARC HERO-JAMIA</v>
      </c>
      <c r="C297" s="26">
        <f>'Balance Sheet'!$DX297</f>
        <v>0</v>
      </c>
      <c r="D297" s="26">
        <f>'Old Combined Balance Sheet'!A297 + 'Balance Sheet - FGI Insurance -'!CF297</f>
        <v>0</v>
      </c>
      <c r="E297" s="26">
        <f t="shared" si="1"/>
        <v>0</v>
      </c>
      <c r="F297" s="26" t="str">
        <f>Sheet1!N297</f>
        <v>ARC HERO- MAHIPALPUR</v>
      </c>
      <c r="G297" s="26" t="str">
        <f>Sheet1!O297</f>
        <v>1050xuIkuCwbciPjL7NYnIQd49nor1NbjSoUBzXpeVrU</v>
      </c>
      <c r="H297" s="26" t="str">
        <f>Sheet1!AV297</f>
        <v/>
      </c>
      <c r="I297" s="26" t="str">
        <f>Sheet1!AW297</f>
        <v/>
      </c>
      <c r="J297" s="26" t="str">
        <f>Sheet1!P297</f>
        <v>Sub Dealer</v>
      </c>
      <c r="K297" s="26" t="str">
        <f>Sheet1!AZ297</f>
        <v>No</v>
      </c>
      <c r="L297" s="26" t="str">
        <f>Sheet1!BA297</f>
        <v>No</v>
      </c>
      <c r="M297" s="26" t="str">
        <f>Sheet1!BB297</f>
        <v>Yes</v>
      </c>
      <c r="N297" s="26">
        <f>Sheet1!BC297</f>
        <v>0</v>
      </c>
    </row>
    <row r="298">
      <c r="A298" s="26" t="str">
        <f>(Sheet1!A298)</f>
        <v>1Y1uTCqiydc9ymgUi-hDKL8MeygYhztvO_MOLfvO2Xgs</v>
      </c>
      <c r="B298" s="26" t="str">
        <f>(Sheet1!B298)</f>
        <v>ARC-ASHRAM</v>
      </c>
      <c r="C298" s="26">
        <f>'Balance Sheet'!$DX298</f>
        <v>0</v>
      </c>
      <c r="D298" s="26">
        <f>'Old Combined Balance Sheet'!A298 + 'Balance Sheet - FGI Insurance -'!CF298</f>
        <v>0</v>
      </c>
      <c r="E298" s="26">
        <f t="shared" si="1"/>
        <v>0</v>
      </c>
      <c r="F298" s="26" t="str">
        <f>Sheet1!N298</f>
        <v>ARC HERO- MAHIPALPUR</v>
      </c>
      <c r="G298" s="26" t="str">
        <f>Sheet1!O298</f>
        <v>1050xuIkuCwbciPjL7NYnIQd49nor1NbjSoUBzXpeVrU</v>
      </c>
      <c r="H298" s="26" t="str">
        <f>Sheet1!AV298</f>
        <v/>
      </c>
      <c r="I298" s="26" t="str">
        <f>Sheet1!AW298</f>
        <v/>
      </c>
      <c r="J298" s="26" t="str">
        <f>Sheet1!P298</f>
        <v>Sub Dealer</v>
      </c>
      <c r="K298" s="26" t="str">
        <f>Sheet1!AZ298</f>
        <v>No</v>
      </c>
      <c r="L298" s="26" t="str">
        <f>Sheet1!BA298</f>
        <v>No</v>
      </c>
      <c r="M298" s="26" t="str">
        <f>Sheet1!BB298</f>
        <v>Yes</v>
      </c>
      <c r="N298" s="26">
        <f>Sheet1!BC298</f>
        <v>0</v>
      </c>
    </row>
    <row r="299">
      <c r="A299" s="26" t="str">
        <f>(Sheet1!A299)</f>
        <v>1g1XusipIkc3ou5jV0CF6g9OQKAO43--ZjNw2cfWuCJ4</v>
      </c>
      <c r="B299" s="26" t="str">
        <f>(Sheet1!B299)</f>
        <v>Mahesh Motor 4 - Dinajpur</v>
      </c>
      <c r="C299" s="26">
        <f>'Balance Sheet'!$DX299</f>
        <v>0</v>
      </c>
      <c r="D299" s="26">
        <f>'Old Combined Balance Sheet'!A299 + 'Balance Sheet - FGI Insurance -'!CF299</f>
        <v>0</v>
      </c>
      <c r="E299" s="26">
        <f t="shared" si="1"/>
        <v>0</v>
      </c>
      <c r="F299" s="26" t="str">
        <f>Sheet1!N299</f>
        <v>MAHESH MOTORS - DINAJPUR</v>
      </c>
      <c r="G299" s="26" t="str">
        <f>Sheet1!O299</f>
        <v>1DVpSm5a7kKqZxFgDUdJBRIcgAuTZosRKDnkmPEIdEG4</v>
      </c>
      <c r="H299" s="26" t="str">
        <f>Sheet1!AV299</f>
        <v/>
      </c>
      <c r="I299" s="26" t="str">
        <f>Sheet1!AW299</f>
        <v/>
      </c>
      <c r="J299" s="26" t="str">
        <f>Sheet1!P299</f>
        <v>Sub Dealer</v>
      </c>
      <c r="K299" s="26" t="str">
        <f>Sheet1!AZ299</f>
        <v>No</v>
      </c>
      <c r="L299" s="26" t="str">
        <f>Sheet1!BA299</f>
        <v>No</v>
      </c>
      <c r="M299" s="26" t="str">
        <f>Sheet1!BB299</f>
        <v>No</v>
      </c>
      <c r="N299" s="26">
        <f>Sheet1!BC299</f>
        <v>0</v>
      </c>
    </row>
    <row r="300">
      <c r="A300" s="26" t="str">
        <f>(Sheet1!A300)</f>
        <v>1t4c7ZP0L47Ls9dLmRsXxx1BWFwfzKxl5pOAYpj31jXc</v>
      </c>
      <c r="B300" s="26" t="str">
        <f>(Sheet1!B300)</f>
        <v>Dev Automobile (VAW) - Gonda</v>
      </c>
      <c r="C300" s="26">
        <f>'Balance Sheet'!$DX300</f>
        <v>0</v>
      </c>
      <c r="D300" s="26">
        <f>'Old Combined Balance Sheet'!A300 + 'Balance Sheet - FGI Insurance -'!CF300</f>
        <v>0</v>
      </c>
      <c r="E300" s="26">
        <f t="shared" si="1"/>
        <v>0</v>
      </c>
      <c r="F300" s="26" t="str">
        <f>Sheet1!N300</f>
        <v>Vikas Autowheels</v>
      </c>
      <c r="G300" s="26" t="str">
        <f>Sheet1!O300</f>
        <v>1944RLX7T1M23YXRXYoMnJ6nD_bKLldQXRpFRA0rDLvg</v>
      </c>
      <c r="H300" s="26" t="str">
        <f>Sheet1!AV300</f>
        <v/>
      </c>
      <c r="I300" s="26" t="str">
        <f>Sheet1!AW300</f>
        <v/>
      </c>
      <c r="J300" s="26" t="str">
        <f>Sheet1!P300</f>
        <v>Sub Dealer</v>
      </c>
      <c r="K300" s="26" t="str">
        <f>Sheet1!AZ300</f>
        <v>Yes</v>
      </c>
      <c r="L300" s="26" t="str">
        <f>Sheet1!BA300</f>
        <v>No</v>
      </c>
      <c r="M300" s="26" t="str">
        <f>Sheet1!BB300</f>
        <v>No</v>
      </c>
      <c r="N300" s="26">
        <f>Sheet1!BC300</f>
        <v>0</v>
      </c>
    </row>
    <row r="301">
      <c r="A301" s="26" t="str">
        <f>(Sheet1!A301)</f>
        <v>1AN8rkD7i89vzJPwM9ksH3k-2XvTRN_Wg3aS0QeJ0a2I</v>
      </c>
      <c r="B301" s="26" t="str">
        <f>(Sheet1!B301)</f>
        <v>PASHUPATI HERO - ADCHINI</v>
      </c>
      <c r="C301" s="26">
        <f>'Balance Sheet'!$DX301</f>
        <v>90000</v>
      </c>
      <c r="D301" s="26">
        <f>'Old Combined Balance Sheet'!A301 + 'Balance Sheet - FGI Insurance -'!CF301</f>
        <v>-36420.14</v>
      </c>
      <c r="E301" s="26">
        <f>C301 + D301</f>
        <v>53579.86</v>
      </c>
      <c r="F301" s="26" t="str">
        <f>Sheet1!N301</f>
        <v>PASHUPATI HERO - ADCHINI</v>
      </c>
      <c r="G301" s="26" t="str">
        <f>Sheet1!O301</f>
        <v>1AN8rkD7i89vzJPwM9ksH3k-2XvTRN_Wg3aS0QeJ0a2I</v>
      </c>
      <c r="H301" s="26" t="str">
        <f>Sheet1!AV301</f>
        <v/>
      </c>
      <c r="I301" s="26" t="str">
        <f>Sheet1!AW301</f>
        <v/>
      </c>
      <c r="J301" s="26" t="str">
        <f>Sheet1!P301</f>
        <v>Dealer</v>
      </c>
      <c r="K301" s="26" t="str">
        <f>Sheet1!AZ301</f>
        <v>No</v>
      </c>
      <c r="L301" s="26" t="str">
        <f>Sheet1!BA301</f>
        <v>No</v>
      </c>
      <c r="M301" s="26" t="str">
        <f>Sheet1!BB301</f>
        <v>Yes</v>
      </c>
      <c r="N301" s="26">
        <f>Sheet1!BC301</f>
        <v>0</v>
      </c>
    </row>
    <row r="302">
      <c r="A302" s="26" t="str">
        <f>(Sheet1!A302)</f>
        <v>1wvUK5nYC39vfuy54L8M4AdPHlr4l9KiUbThaTK6U6x8</v>
      </c>
      <c r="B302" s="26" t="str">
        <f>(Sheet1!B302)</f>
        <v>PASHUPATI HERO- DEOLI</v>
      </c>
      <c r="C302" s="26">
        <f>'Balance Sheet'!$DX302</f>
        <v>0</v>
      </c>
      <c r="D302" s="26">
        <f>'Old Combined Balance Sheet'!A302 + 'Balance Sheet - FGI Insurance -'!CF302</f>
        <v>0</v>
      </c>
      <c r="E302" s="26">
        <f t="shared" ref="E302:E365" si="2">$C302 + $D302</f>
        <v>0</v>
      </c>
      <c r="F302" s="26" t="str">
        <f>Sheet1!N302</f>
        <v>PASHUPATI HERO - ADCHINI</v>
      </c>
      <c r="G302" s="26" t="str">
        <f>Sheet1!O302</f>
        <v>1AN8rkD7i89vzJPwM9ksH3k-2XvTRN_Wg3aS0QeJ0a2I</v>
      </c>
      <c r="H302" s="26" t="str">
        <f>Sheet1!AV302</f>
        <v/>
      </c>
      <c r="I302" s="26" t="str">
        <f>Sheet1!AW302</f>
        <v/>
      </c>
      <c r="J302" s="26" t="str">
        <f>Sheet1!P302</f>
        <v>Sub Dealer</v>
      </c>
      <c r="K302" s="26" t="str">
        <f>Sheet1!AZ302</f>
        <v>No</v>
      </c>
      <c r="L302" s="26" t="str">
        <f>Sheet1!BA302</f>
        <v>No</v>
      </c>
      <c r="M302" s="26" t="str">
        <f>Sheet1!BB302</f>
        <v>Yes</v>
      </c>
      <c r="N302" s="26">
        <f>Sheet1!BC302</f>
        <v>0</v>
      </c>
    </row>
    <row r="303">
      <c r="A303" s="26" t="str">
        <f>(Sheet1!A303)</f>
        <v>1L4bmBANLoZzaH3L_g0lUkCl9uqLxMUm5AXoNn34pTXE</v>
      </c>
      <c r="B303" s="26" t="str">
        <f>(Sheet1!B303)</f>
        <v>ETGO MOTORS - NOIDA</v>
      </c>
      <c r="C303" s="26">
        <f>'Balance Sheet'!$DX303</f>
        <v>738.08</v>
      </c>
      <c r="D303" s="26">
        <f>'Old Combined Balance Sheet'!A303 + 'Balance Sheet - FGI Insurance -'!CF303</f>
        <v>0</v>
      </c>
      <c r="E303" s="26">
        <f t="shared" si="2"/>
        <v>738.08</v>
      </c>
      <c r="F303" s="26" t="str">
        <f>Sheet1!N303</f>
        <v>ETGO MOTORS - NOIDA</v>
      </c>
      <c r="G303" s="26" t="str">
        <f>Sheet1!O303</f>
        <v>1L4bmBANLoZzaH3L_g0lUkCl9uqLxMUm5AXoNn34pTXE</v>
      </c>
      <c r="H303" s="26" t="str">
        <f>Sheet1!AV303</f>
        <v/>
      </c>
      <c r="I303" s="26" t="str">
        <f>Sheet1!AW303</f>
        <v/>
      </c>
      <c r="J303" s="26" t="str">
        <f>Sheet1!P303</f>
        <v>Dealer</v>
      </c>
      <c r="K303" s="26" t="str">
        <f>Sheet1!AZ303</f>
        <v>No</v>
      </c>
      <c r="L303" s="26" t="str">
        <f>Sheet1!BA303</f>
        <v>No</v>
      </c>
      <c r="M303" s="26" t="str">
        <f>Sheet1!BB303</f>
        <v>No</v>
      </c>
      <c r="N303" s="26">
        <f>Sheet1!BC303</f>
        <v>0</v>
      </c>
    </row>
    <row r="304">
      <c r="A304" s="26" t="str">
        <f>(Sheet1!A304)</f>
        <v>1bezs_AiyqeyfyAOe26bbRn8gMLTreFaNwbIZJkQdpqE</v>
      </c>
      <c r="B304" s="26" t="str">
        <f>(Sheet1!B304)</f>
        <v>ANANT AUTOMOBILES(KHB) - BULANDSHAHAR</v>
      </c>
      <c r="C304" s="26">
        <f>'Balance Sheet'!$DX304</f>
        <v>0</v>
      </c>
      <c r="D304" s="26">
        <f>'Old Combined Balance Sheet'!A304 + 'Balance Sheet - FGI Insurance -'!CF304</f>
        <v>0</v>
      </c>
      <c r="E304" s="26">
        <f t="shared" si="2"/>
        <v>0</v>
      </c>
      <c r="F304" s="26" t="str">
        <f>Sheet1!N304</f>
        <v>Krishna Hero - Bulandshahr</v>
      </c>
      <c r="G304" s="26" t="str">
        <f>Sheet1!O304</f>
        <v>1mX_ZCiMgVCd3AONQ2zBbbc9wQ6Mlj2RvmkSWdpWht-8</v>
      </c>
      <c r="H304" s="26" t="str">
        <f>Sheet1!AV304</f>
        <v/>
      </c>
      <c r="I304" s="26" t="str">
        <f>Sheet1!AW304</f>
        <v/>
      </c>
      <c r="J304" s="26" t="str">
        <f>Sheet1!P304</f>
        <v>Sub Dealer</v>
      </c>
      <c r="K304" s="26" t="str">
        <f>Sheet1!AZ304</f>
        <v>Yes</v>
      </c>
      <c r="L304" s="26" t="str">
        <f>Sheet1!BA304</f>
        <v>No</v>
      </c>
      <c r="M304" s="26" t="str">
        <f>Sheet1!BB304</f>
        <v>No</v>
      </c>
      <c r="N304" s="26">
        <f>Sheet1!BC304</f>
        <v>0</v>
      </c>
    </row>
    <row r="305">
      <c r="A305" s="26" t="str">
        <f>(Sheet1!A305)</f>
        <v>1rxceCPc4ChTPFerx6ZXVu45MWGLeEOukTie7Dj7H2lI</v>
      </c>
      <c r="B305" s="26" t="str">
        <f>(Sheet1!B305)</f>
        <v>JAI DURGA AUTOMOBILES - LAL KUAN</v>
      </c>
      <c r="C305" s="26">
        <f>'Balance Sheet'!$DX305</f>
        <v>190</v>
      </c>
      <c r="D305" s="26">
        <f>'Old Combined Balance Sheet'!A305 + 'Balance Sheet - FGI Insurance -'!CF305</f>
        <v>0</v>
      </c>
      <c r="E305" s="26">
        <f t="shared" si="2"/>
        <v>190</v>
      </c>
      <c r="F305" s="26" t="str">
        <f>Sheet1!N305</f>
        <v>JAI DURGA AUTOMOBILES - LAL KUAN</v>
      </c>
      <c r="G305" s="26" t="str">
        <f>Sheet1!O305</f>
        <v>1rxceCPc4ChTPFerx6ZXVu45MWGLeEOukTie7Dj7H2lI</v>
      </c>
      <c r="H305" s="26" t="str">
        <f>Sheet1!AV305</f>
        <v/>
      </c>
      <c r="I305" s="26" t="str">
        <f>Sheet1!AW305</f>
        <v/>
      </c>
      <c r="J305" s="26" t="str">
        <f>Sheet1!P305</f>
        <v>Dealer</v>
      </c>
      <c r="K305" s="26" t="str">
        <f>Sheet1!AZ305</f>
        <v>No</v>
      </c>
      <c r="L305" s="26" t="str">
        <f>Sheet1!BA305</f>
        <v>No</v>
      </c>
      <c r="M305" s="26" t="str">
        <f>Sheet1!BB305</f>
        <v>No</v>
      </c>
      <c r="N305" s="26">
        <f>Sheet1!BC305</f>
        <v>0</v>
      </c>
    </row>
    <row r="306">
      <c r="A306" s="26" t="str">
        <f>(Sheet1!A306)</f>
        <v>1LVNRMyRyFnfxu6UwLDnFcaHRPwib_izj4XjkxL7ErVk</v>
      </c>
      <c r="B306" s="26" t="str">
        <f>(Sheet1!B306)</f>
        <v>RAINBOW AUTOMOBILES - VAISHALI BIHAR</v>
      </c>
      <c r="C306" s="26">
        <f>'Balance Sheet'!$DX306</f>
        <v>0</v>
      </c>
      <c r="D306" s="26">
        <f>'Old Combined Balance Sheet'!A306 + 'Balance Sheet - FGI Insurance -'!CF306</f>
        <v>0</v>
      </c>
      <c r="E306" s="26">
        <f t="shared" si="2"/>
        <v>0</v>
      </c>
      <c r="F306" s="26" t="str">
        <f>Sheet1!N306</f>
        <v>RAINBOW AUTOMOBILES - VAISHALI BIHAR</v>
      </c>
      <c r="G306" s="26" t="str">
        <f>Sheet1!O306</f>
        <v>1LVNRMyRyFnfxu6UwLDnFcaHRPwib_izj4XjkxL7ErVk</v>
      </c>
      <c r="H306" s="26" t="str">
        <f>Sheet1!AV306</f>
        <v/>
      </c>
      <c r="I306" s="26" t="str">
        <f>Sheet1!AW306</f>
        <v/>
      </c>
      <c r="J306" s="26" t="str">
        <f>Sheet1!P306</f>
        <v>Dealer</v>
      </c>
      <c r="K306" s="26" t="str">
        <f>Sheet1!AZ306</f>
        <v>No</v>
      </c>
      <c r="L306" s="26" t="str">
        <f>Sheet1!BA306</f>
        <v>No</v>
      </c>
      <c r="M306" s="26" t="str">
        <f>Sheet1!BB306</f>
        <v>Yes</v>
      </c>
      <c r="N306" s="26">
        <f>Sheet1!BC306</f>
        <v>0</v>
      </c>
    </row>
    <row r="307">
      <c r="A307" s="26" t="str">
        <f>(Sheet1!A307)</f>
        <v>1QcwlmexfHIgCbHqzkOQkbRw_BUu-91jWceUcx2050FE</v>
      </c>
      <c r="B307" s="26" t="str">
        <f>(Sheet1!B307)</f>
        <v>Sunil Ji Honda - Firozabad</v>
      </c>
      <c r="C307" s="26">
        <f>'Balance Sheet'!$DX307</f>
        <v>2348</v>
      </c>
      <c r="D307" s="26">
        <f>'Old Combined Balance Sheet'!A307 + 'Balance Sheet - FGI Insurance -'!CF307</f>
        <v>0</v>
      </c>
      <c r="E307" s="26">
        <f t="shared" si="2"/>
        <v>2348</v>
      </c>
      <c r="F307" s="26" t="str">
        <f>Sheet1!N307</f>
        <v>Sunil Ji Honda - Firozabad</v>
      </c>
      <c r="G307" s="26" t="str">
        <f>Sheet1!O307</f>
        <v>1QcwlmexfHIgCbHqzkOQkbRw_BUu-91jWceUcx2050FE</v>
      </c>
      <c r="H307" s="26" t="str">
        <f>Sheet1!AV307</f>
        <v/>
      </c>
      <c r="I307" s="26" t="str">
        <f>Sheet1!AW307</f>
        <v/>
      </c>
      <c r="J307" s="26" t="str">
        <f>Sheet1!P307</f>
        <v>Dealer</v>
      </c>
      <c r="K307" s="26" t="str">
        <f>Sheet1!AZ307</f>
        <v>No</v>
      </c>
      <c r="L307" s="26" t="str">
        <f>Sheet1!BA307</f>
        <v>No</v>
      </c>
      <c r="M307" s="26" t="str">
        <f>Sheet1!BB307</f>
        <v>No</v>
      </c>
      <c r="N307" s="26">
        <f>Sheet1!BC307</f>
        <v>0</v>
      </c>
    </row>
    <row r="308">
      <c r="A308" s="26" t="str">
        <f>(Sheet1!A308)</f>
        <v>1LnJ5zdvl1b_4zru0KcAtzT52jepIWcNiSYQkH8Ytlsg</v>
      </c>
      <c r="B308" s="26" t="str">
        <f>(Sheet1!B308)</f>
        <v>JAI DURGA AUTOMOBILES - KICHHA</v>
      </c>
      <c r="C308" s="26">
        <f>'Balance Sheet'!$DX308</f>
        <v>7704</v>
      </c>
      <c r="D308" s="26">
        <f>'Old Combined Balance Sheet'!A308 + 'Balance Sheet - FGI Insurance -'!CF308</f>
        <v>0</v>
      </c>
      <c r="E308" s="26">
        <f t="shared" si="2"/>
        <v>7704</v>
      </c>
      <c r="F308" s="26" t="str">
        <f>Sheet1!N308</f>
        <v>JAI DURGA AUTOMOBILES - LAL KUAN</v>
      </c>
      <c r="G308" s="26" t="str">
        <f>Sheet1!O308</f>
        <v>1rxceCPc4ChTPFerx6ZXVu45MWGLeEOukTie7Dj7H2lI</v>
      </c>
      <c r="H308" s="26" t="str">
        <f>Sheet1!AV308</f>
        <v/>
      </c>
      <c r="I308" s="26" t="str">
        <f>Sheet1!AW308</f>
        <v/>
      </c>
      <c r="J308" s="26" t="str">
        <f>Sheet1!P308</f>
        <v>Sub Dealer</v>
      </c>
      <c r="K308" s="26" t="str">
        <f>Sheet1!AZ308</f>
        <v>No</v>
      </c>
      <c r="L308" s="26" t="str">
        <f>Sheet1!BA308</f>
        <v>No</v>
      </c>
      <c r="M308" s="26" t="str">
        <f>Sheet1!BB308</f>
        <v>No</v>
      </c>
      <c r="N308" s="26">
        <f>Sheet1!BC308</f>
        <v>0</v>
      </c>
    </row>
    <row r="309">
      <c r="A309" s="26" t="str">
        <f>(Sheet1!A309)</f>
        <v>1c4UpmPaXbD24g9f1d-SG1J5R0Bs6d07micvtytMfukg</v>
      </c>
      <c r="B309" s="26" t="str">
        <f>(Sheet1!B309)</f>
        <v>GOPAL AUTOMOBIE- NAJIBABAD</v>
      </c>
      <c r="C309" s="26">
        <f>'Balance Sheet'!$DX309</f>
        <v>0</v>
      </c>
      <c r="D309" s="26">
        <f>'Old Combined Balance Sheet'!A309 + 'Balance Sheet - FGI Insurance -'!CF309</f>
        <v>0</v>
      </c>
      <c r="E309" s="26">
        <f t="shared" si="2"/>
        <v>0</v>
      </c>
      <c r="F309" s="26" t="str">
        <f>Sheet1!N309</f>
        <v>GOPAL AUTOMOBIE- NAJIBABAD</v>
      </c>
      <c r="G309" s="26" t="str">
        <f>Sheet1!O309</f>
        <v>1c4UpmPaXbD24g9f1d-SG1J5R0Bs6d07micvtytMfukg</v>
      </c>
      <c r="H309" s="26" t="str">
        <f>Sheet1!AV309</f>
        <v/>
      </c>
      <c r="I309" s="26" t="str">
        <f>Sheet1!AW309</f>
        <v/>
      </c>
      <c r="J309" s="26" t="str">
        <f>Sheet1!P309</f>
        <v>Dealer</v>
      </c>
      <c r="K309" s="26" t="str">
        <f>Sheet1!AZ309</f>
        <v>No</v>
      </c>
      <c r="L309" s="26" t="str">
        <f>Sheet1!BA309</f>
        <v>No</v>
      </c>
      <c r="M309" s="26" t="str">
        <f>Sheet1!BB309</f>
        <v>No</v>
      </c>
      <c r="N309" s="26">
        <f>Sheet1!BC309</f>
        <v>0</v>
      </c>
    </row>
    <row r="310">
      <c r="A310" s="26" t="str">
        <f>(Sheet1!A310)</f>
        <v>1nZkPZljbrv92nXg4QV5T4xeYzH3TvoYL_aCP-Dxrz3U</v>
      </c>
      <c r="B310" s="26" t="str">
        <f>(Sheet1!B310)</f>
        <v>EKAM TVS- PANCHKULA</v>
      </c>
      <c r="C310" s="26">
        <f>'Balance Sheet'!$DX310</f>
        <v>0</v>
      </c>
      <c r="D310" s="26">
        <f>'Old Combined Balance Sheet'!A310 + 'Balance Sheet - FGI Insurance -'!CF310</f>
        <v>0</v>
      </c>
      <c r="E310" s="26">
        <f t="shared" si="2"/>
        <v>0</v>
      </c>
      <c r="F310" s="26" t="str">
        <f>Sheet1!N310</f>
        <v>EKAM TVS- PANCHKULA</v>
      </c>
      <c r="G310" s="26" t="str">
        <f>Sheet1!O310</f>
        <v>1nZkPZljbrv92nXg4QV5T4xeYzH3TvoYL_aCP-Dxrz3U</v>
      </c>
      <c r="H310" s="26" t="str">
        <f>Sheet1!AV310</f>
        <v/>
      </c>
      <c r="I310" s="26" t="str">
        <f>Sheet1!AW310</f>
        <v/>
      </c>
      <c r="J310" s="26" t="str">
        <f>Sheet1!P310</f>
        <v>Dealer</v>
      </c>
      <c r="K310" s="26" t="str">
        <f>Sheet1!AZ310</f>
        <v>No</v>
      </c>
      <c r="L310" s="26" t="str">
        <f>Sheet1!BA310</f>
        <v>No</v>
      </c>
      <c r="M310" s="26" t="str">
        <f>Sheet1!BB310</f>
        <v>Yes</v>
      </c>
      <c r="N310" s="26">
        <f>Sheet1!BC310</f>
        <v>0</v>
      </c>
    </row>
    <row r="311">
      <c r="A311" s="26" t="str">
        <f>(Sheet1!A311)</f>
        <v>10WPh_WCplOI3MhoycaJcKr3lYMretoJR3ta-W3F9m_c</v>
      </c>
      <c r="B311" s="26" t="str">
        <f>(Sheet1!B311)</f>
        <v>SANSAAR HONDA- HARIDWAR</v>
      </c>
      <c r="C311" s="26">
        <f>'Balance Sheet'!$DX311</f>
        <v>5000</v>
      </c>
      <c r="D311" s="26">
        <f>'Old Combined Balance Sheet'!A311 + 'Balance Sheet - FGI Insurance -'!CF311</f>
        <v>0</v>
      </c>
      <c r="E311" s="26">
        <f t="shared" si="2"/>
        <v>5000</v>
      </c>
      <c r="F311" s="26" t="str">
        <f>Sheet1!N311</f>
        <v>SANSAAR HONDA- HARIDWAR</v>
      </c>
      <c r="G311" s="26" t="str">
        <f>Sheet1!O311</f>
        <v>10WPh_WCplOI3MhoycaJcKr3lYMretoJR3ta-W3F9m_c</v>
      </c>
      <c r="H311" s="26" t="str">
        <f>Sheet1!AV311</f>
        <v/>
      </c>
      <c r="I311" s="26" t="str">
        <f>Sheet1!AW311</f>
        <v/>
      </c>
      <c r="J311" s="26" t="str">
        <f>Sheet1!P311</f>
        <v>Dealer</v>
      </c>
      <c r="K311" s="26" t="str">
        <f>Sheet1!AZ311</f>
        <v>No</v>
      </c>
      <c r="L311" s="26" t="str">
        <f>Sheet1!BA311</f>
        <v>No</v>
      </c>
      <c r="M311" s="26" t="str">
        <f>Sheet1!BB311</f>
        <v>No</v>
      </c>
      <c r="N311" s="26">
        <f>Sheet1!BC311</f>
        <v>0</v>
      </c>
    </row>
    <row r="312">
      <c r="A312" s="26" t="str">
        <f>(Sheet1!A312)</f>
        <v>1Ymh97cWP9AVJD4TFdCUxIgPTHzjxbv5sRAkjPizS2d8</v>
      </c>
      <c r="B312" s="26" t="str">
        <f>(Sheet1!B312)</f>
        <v>TWIN CITY -KHANNA</v>
      </c>
      <c r="C312" s="26">
        <f>'Balance Sheet'!$DX312</f>
        <v>5485.52</v>
      </c>
      <c r="D312" s="26">
        <f>'Old Combined Balance Sheet'!A312 + 'Balance Sheet - FGI Insurance -'!CF312</f>
        <v>0</v>
      </c>
      <c r="E312" s="26">
        <f t="shared" si="2"/>
        <v>5485.52</v>
      </c>
      <c r="F312" s="26" t="str">
        <f>Sheet1!N312</f>
        <v>TWIN CITY -KHANNA</v>
      </c>
      <c r="G312" s="26" t="str">
        <f>Sheet1!O312</f>
        <v>1Ymh97cWP9AVJD4TFdCUxIgPTHzjxbv5sRAkjPizS2d8</v>
      </c>
      <c r="H312" s="26" t="str">
        <f>Sheet1!AV312</f>
        <v/>
      </c>
      <c r="I312" s="26" t="str">
        <f>Sheet1!AW312</f>
        <v/>
      </c>
      <c r="J312" s="26" t="str">
        <f>Sheet1!P312</f>
        <v>Dealer</v>
      </c>
      <c r="K312" s="26" t="str">
        <f>Sheet1!AZ312</f>
        <v>No</v>
      </c>
      <c r="L312" s="26" t="str">
        <f>Sheet1!BA312</f>
        <v>No</v>
      </c>
      <c r="M312" s="26" t="str">
        <f>Sheet1!BB312</f>
        <v>No</v>
      </c>
      <c r="N312" s="26">
        <f>Sheet1!BC312</f>
        <v>0</v>
      </c>
    </row>
    <row r="313">
      <c r="A313" s="26" t="str">
        <f>(Sheet1!A313)</f>
        <v>1EeVOkHOYV7m-TXPjCFcVuyRfOfG243WHv6SdA9sNNrA</v>
      </c>
      <c r="B313" s="26" t="str">
        <f>(Sheet1!B313)</f>
        <v>PREM AUTO - HARIDWAR</v>
      </c>
      <c r="C313" s="26">
        <f>'Balance Sheet'!$DX313</f>
        <v>0</v>
      </c>
      <c r="D313" s="26">
        <f>'Old Combined Balance Sheet'!A313 + 'Balance Sheet - FGI Insurance -'!CF313</f>
        <v>0</v>
      </c>
      <c r="E313" s="26">
        <f t="shared" si="2"/>
        <v>0</v>
      </c>
      <c r="F313" s="26" t="str">
        <f>Sheet1!N313</f>
        <v>PREM AUTO - HARIDWAR</v>
      </c>
      <c r="G313" s="26" t="str">
        <f>Sheet1!O313</f>
        <v>1EeVOkHOYV7m-TXPjCFcVuyRfOfG243WHv6SdA9sNNrA</v>
      </c>
      <c r="H313" s="26" t="str">
        <f>Sheet1!AV313</f>
        <v/>
      </c>
      <c r="I313" s="26" t="str">
        <f>Sheet1!AW313</f>
        <v/>
      </c>
      <c r="J313" s="26" t="str">
        <f>Sheet1!P313</f>
        <v>Dealer</v>
      </c>
      <c r="K313" s="26" t="str">
        <f>Sheet1!AZ313</f>
        <v>No</v>
      </c>
      <c r="L313" s="26" t="str">
        <f>Sheet1!BA313</f>
        <v>No</v>
      </c>
      <c r="M313" s="26" t="str">
        <f>Sheet1!BB313</f>
        <v>No</v>
      </c>
      <c r="N313" s="26">
        <f>Sheet1!BC313</f>
        <v>0</v>
      </c>
    </row>
    <row r="314">
      <c r="A314" s="26" t="str">
        <f>(Sheet1!A314)</f>
        <v>1HFkcA0tba7UnCoWEw5R4dohMFqwhpltBBsuWOiWeruA</v>
      </c>
      <c r="B314" s="26" t="str">
        <f>(Sheet1!B314)</f>
        <v>LAKHVINDRA KASHIPUR</v>
      </c>
      <c r="C314" s="26">
        <f>'Balance Sheet'!$DX314</f>
        <v>0</v>
      </c>
      <c r="D314" s="26">
        <f>'Old Combined Balance Sheet'!A314 + 'Balance Sheet - FGI Insurance -'!CF314</f>
        <v>0</v>
      </c>
      <c r="E314" s="26">
        <f t="shared" si="2"/>
        <v>0</v>
      </c>
      <c r="F314" s="26" t="str">
        <f>Sheet1!N314</f>
        <v>LAKHVINDRA KASHIPUR</v>
      </c>
      <c r="G314" s="26" t="str">
        <f>Sheet1!O314</f>
        <v>1HFkcA0tba7UnCoWEw5R4dohMFqwhpltBBsuWOiWeruA</v>
      </c>
      <c r="H314" s="26" t="str">
        <f>Sheet1!AV314</f>
        <v/>
      </c>
      <c r="I314" s="26" t="str">
        <f>Sheet1!AW314</f>
        <v/>
      </c>
      <c r="J314" s="26" t="str">
        <f>Sheet1!P314</f>
        <v>Dealer</v>
      </c>
      <c r="K314" s="26" t="str">
        <f>Sheet1!AZ314</f>
        <v>No</v>
      </c>
      <c r="L314" s="26" t="str">
        <f>Sheet1!BA314</f>
        <v>No</v>
      </c>
      <c r="M314" s="26" t="str">
        <f>Sheet1!BB314</f>
        <v>No</v>
      </c>
      <c r="N314" s="26">
        <f>Sheet1!BC314</f>
        <v>0</v>
      </c>
    </row>
    <row r="315">
      <c r="A315" s="26" t="str">
        <f>(Sheet1!A315)</f>
        <v>1F9NONXieHjy77H-04YnZVq6s_JxwTeglgZrjTuG8YVo</v>
      </c>
      <c r="B315" s="26" t="str">
        <f>(Sheet1!B315)</f>
        <v>INDER HONDA-KASHIPUR</v>
      </c>
      <c r="C315" s="26">
        <f>'Balance Sheet'!$DX315</f>
        <v>3371.6</v>
      </c>
      <c r="D315" s="26">
        <f>'Old Combined Balance Sheet'!A315 + 'Balance Sheet - FGI Insurance -'!CF315</f>
        <v>0</v>
      </c>
      <c r="E315" s="26">
        <f t="shared" si="2"/>
        <v>3371.6</v>
      </c>
      <c r="F315" s="26" t="str">
        <f>Sheet1!N315</f>
        <v>INDER HONDA-KASHIPUR</v>
      </c>
      <c r="G315" s="26" t="str">
        <f>Sheet1!O315</f>
        <v>1F9NONXieHjy77H-04YnZVq6s_JxwTeglgZrjTuG8YVo</v>
      </c>
      <c r="H315" s="26" t="str">
        <f>Sheet1!AV315</f>
        <v/>
      </c>
      <c r="I315" s="26" t="str">
        <f>Sheet1!AW315</f>
        <v/>
      </c>
      <c r="J315" s="26" t="str">
        <f>Sheet1!P315</f>
        <v>Dealer</v>
      </c>
      <c r="K315" s="26" t="str">
        <f>Sheet1!AZ315</f>
        <v>No</v>
      </c>
      <c r="L315" s="26" t="str">
        <f>Sheet1!BA315</f>
        <v>No</v>
      </c>
      <c r="M315" s="26" t="str">
        <f>Sheet1!BB315</f>
        <v>No</v>
      </c>
      <c r="N315" s="26">
        <f>Sheet1!BC315</f>
        <v>0</v>
      </c>
    </row>
    <row r="316">
      <c r="A316" s="26" t="str">
        <f>(Sheet1!A316)</f>
        <v>1-ndxJp3oX17jCcSgSWUUGvqzyoVAJHZBrfGcG-qChjg</v>
      </c>
      <c r="B316" s="26" t="str">
        <f>(Sheet1!B316)</f>
        <v>KHADKA G AUTOMOBILE- AHMEDABAD</v>
      </c>
      <c r="C316" s="26">
        <f>'Balance Sheet'!$DX316</f>
        <v>0</v>
      </c>
      <c r="D316" s="26">
        <f>'Old Combined Balance Sheet'!A316 + 'Balance Sheet - FGI Insurance -'!CF316</f>
        <v>0</v>
      </c>
      <c r="E316" s="26">
        <f t="shared" si="2"/>
        <v>0</v>
      </c>
      <c r="F316" s="26" t="str">
        <f>Sheet1!N316</f>
        <v>KHADKA G AUTOMOBILE- AHMEDABAD</v>
      </c>
      <c r="G316" s="26" t="str">
        <f>Sheet1!O316</f>
        <v>1-ndxJp3oX17jCcSgSWUUGvqzyoVAJHZBrfGcG-qChjg</v>
      </c>
      <c r="H316" s="26" t="str">
        <f>Sheet1!AV316</f>
        <v/>
      </c>
      <c r="I316" s="26" t="str">
        <f>Sheet1!AW316</f>
        <v/>
      </c>
      <c r="J316" s="26" t="str">
        <f>Sheet1!P316</f>
        <v>Dealer</v>
      </c>
      <c r="K316" s="26" t="str">
        <f>Sheet1!AZ316</f>
        <v>No</v>
      </c>
      <c r="L316" s="26" t="str">
        <f>Sheet1!BA316</f>
        <v>No</v>
      </c>
      <c r="M316" s="26" t="str">
        <f>Sheet1!BB316</f>
        <v>No</v>
      </c>
      <c r="N316" s="26">
        <f>Sheet1!BC316</f>
        <v>0</v>
      </c>
    </row>
    <row r="317">
      <c r="A317" s="26" t="str">
        <f>(Sheet1!A317)</f>
        <v>1HzstXOBJIBMFHwYm7RpvmCIhHH60rtXQ81VHl3OF7OM</v>
      </c>
      <c r="B317" s="26" t="str">
        <f>(Sheet1!B317)</f>
        <v>SHIVANI MOTORS- ALLAHABAD</v>
      </c>
      <c r="C317" s="26">
        <f>'Balance Sheet'!$DX317</f>
        <v>30490</v>
      </c>
      <c r="D317" s="26">
        <f>'Old Combined Balance Sheet'!A317 + 'Balance Sheet - FGI Insurance -'!CF317</f>
        <v>0</v>
      </c>
      <c r="E317" s="26">
        <f t="shared" si="2"/>
        <v>30490</v>
      </c>
      <c r="F317" s="26" t="str">
        <f>Sheet1!N317</f>
        <v>SHIVANI MOTORS- ALLAHABAD</v>
      </c>
      <c r="G317" s="26" t="str">
        <f>Sheet1!O317</f>
        <v>1HzstXOBJIBMFHwYm7RpvmCIhHH60rtXQ81VHl3OF7OM</v>
      </c>
      <c r="H317" s="26" t="str">
        <f>Sheet1!AV317</f>
        <v/>
      </c>
      <c r="I317" s="26" t="str">
        <f>Sheet1!AW317</f>
        <v/>
      </c>
      <c r="J317" s="26" t="str">
        <f>Sheet1!P317</f>
        <v>Dealer</v>
      </c>
      <c r="K317" s="26" t="str">
        <f>Sheet1!AZ317</f>
        <v>No</v>
      </c>
      <c r="L317" s="26" t="str">
        <f>Sheet1!BA317</f>
        <v>No</v>
      </c>
      <c r="M317" s="26" t="str">
        <f>Sheet1!BB317</f>
        <v>No</v>
      </c>
      <c r="N317" s="26">
        <f>Sheet1!BC317</f>
        <v>0</v>
      </c>
    </row>
    <row r="318">
      <c r="A318" s="26" t="str">
        <f>(Sheet1!A318)</f>
        <v>1YAU91TFMaYFp0IiAMJOnSMw_yeIgNk_GdChvblrhYL8</v>
      </c>
      <c r="B318" s="26" t="str">
        <f>(Sheet1!B318)</f>
        <v>A.R.C.C- HERO(SMA)</v>
      </c>
      <c r="C318" s="26">
        <f>'Balance Sheet'!$DX318</f>
        <v>5524.4</v>
      </c>
      <c r="D318" s="26">
        <f>'Old Combined Balance Sheet'!A318 + 'Balance Sheet - FGI Insurance -'!CF318</f>
        <v>0</v>
      </c>
      <c r="E318" s="26">
        <f t="shared" si="2"/>
        <v>5524.4</v>
      </c>
      <c r="F318" s="26" t="str">
        <f>Sheet1!N318</f>
        <v>SHIVANI MOTORS- ALLAHABAD</v>
      </c>
      <c r="G318" s="26" t="str">
        <f>Sheet1!O318</f>
        <v>1HzstXOBJIBMFHwYm7RpvmCIhHH60rtXQ81VHl3OF7OM</v>
      </c>
      <c r="H318" s="26" t="str">
        <f>Sheet1!AV318</f>
        <v/>
      </c>
      <c r="I318" s="26" t="str">
        <f>Sheet1!AW318</f>
        <v/>
      </c>
      <c r="J318" s="26" t="str">
        <f>Sheet1!P318</f>
        <v>Sub Dealer</v>
      </c>
      <c r="K318" s="26" t="str">
        <f>Sheet1!AZ318</f>
        <v>No</v>
      </c>
      <c r="L318" s="26" t="str">
        <f>Sheet1!BA318</f>
        <v>No</v>
      </c>
      <c r="M318" s="26" t="str">
        <f>Sheet1!BB318</f>
        <v>No</v>
      </c>
      <c r="N318" s="26">
        <f>Sheet1!BC318</f>
        <v>0</v>
      </c>
    </row>
    <row r="319">
      <c r="A319" s="26" t="str">
        <f>(Sheet1!A319)</f>
        <v>1Sp6RBtw1AwI4BO_kbbFsvxWE7hmnjkkWSF-2QuN4NUM</v>
      </c>
      <c r="B319" s="26" t="str">
        <f>(Sheet1!B319)</f>
        <v>AMBER MOTORS--HERO-(SMA)</v>
      </c>
      <c r="C319" s="26">
        <f>'Balance Sheet'!$DX319</f>
        <v>0</v>
      </c>
      <c r="D319" s="26">
        <f>'Old Combined Balance Sheet'!A319 + 'Balance Sheet - FGI Insurance -'!CF319</f>
        <v>0</v>
      </c>
      <c r="E319" s="26">
        <f t="shared" si="2"/>
        <v>0</v>
      </c>
      <c r="F319" s="26" t="str">
        <f>Sheet1!N319</f>
        <v>SHIVANI MOTORS- ALLAHABAD</v>
      </c>
      <c r="G319" s="26" t="str">
        <f>Sheet1!O319</f>
        <v>1HzstXOBJIBMFHwYm7RpvmCIhHH60rtXQ81VHl3OF7OM</v>
      </c>
      <c r="H319" s="26" t="str">
        <f>Sheet1!AV319</f>
        <v/>
      </c>
      <c r="I319" s="26" t="str">
        <f>Sheet1!AW319</f>
        <v/>
      </c>
      <c r="J319" s="26" t="str">
        <f>Sheet1!P319</f>
        <v>Sub Dealer</v>
      </c>
      <c r="K319" s="26" t="str">
        <f>Sheet1!AZ319</f>
        <v>No</v>
      </c>
      <c r="L319" s="26" t="str">
        <f>Sheet1!BA319</f>
        <v>No</v>
      </c>
      <c r="M319" s="26" t="str">
        <f>Sheet1!BB319</f>
        <v>No</v>
      </c>
      <c r="N319" s="26">
        <f>Sheet1!BC319</f>
        <v>0</v>
      </c>
    </row>
    <row r="320">
      <c r="A320" s="26" t="str">
        <f>(Sheet1!A320)</f>
        <v>12q3xzc4QnJvovb5WwDYonjwLc2kiwxvpEYShhfp6tf4</v>
      </c>
      <c r="B320" s="26" t="str">
        <f>(Sheet1!B320)</f>
        <v>Metro Motors- Narela(MMR)</v>
      </c>
      <c r="C320" s="26">
        <f>'Balance Sheet'!$DX320</f>
        <v>1000000</v>
      </c>
      <c r="D320" s="26">
        <f>'Old Combined Balance Sheet'!A320 + 'Balance Sheet - FGI Insurance -'!CF320</f>
        <v>-999581.9</v>
      </c>
      <c r="E320" s="26">
        <f t="shared" si="2"/>
        <v>418.1</v>
      </c>
      <c r="F320" s="26" t="str">
        <f>Sheet1!N320</f>
        <v>Metro Motors- Narela(MMR)</v>
      </c>
      <c r="G320" s="26" t="str">
        <f>Sheet1!O320</f>
        <v>12q3xzc4QnJvovb5WwDYonjwLc2kiwxvpEYShhfp6tf4</v>
      </c>
      <c r="H320" s="26" t="str">
        <f>Sheet1!AV320</f>
        <v/>
      </c>
      <c r="I320" s="26" t="str">
        <f>Sheet1!AW320</f>
        <v/>
      </c>
      <c r="J320" s="26" t="str">
        <f>Sheet1!P320</f>
        <v>Dealer</v>
      </c>
      <c r="K320" s="26" t="str">
        <f>Sheet1!AZ320</f>
        <v>No</v>
      </c>
      <c r="L320" s="26" t="str">
        <f>Sheet1!BA320</f>
        <v>No</v>
      </c>
      <c r="M320" s="26" t="str">
        <f>Sheet1!BB320</f>
        <v>Yes</v>
      </c>
      <c r="N320" s="26">
        <f>Sheet1!BC320</f>
        <v>0</v>
      </c>
    </row>
    <row r="321">
      <c r="A321" s="26" t="str">
        <f>(Sheet1!A321)</f>
        <v>12Iga9HLmHF1C_B28Sz49zBPBKFPy_vA2jBForRuUnjc</v>
      </c>
      <c r="B321" s="26" t="str">
        <f>(Sheet1!B321)</f>
        <v>JANTA MOTORS (VM) - KUSHINAGAR</v>
      </c>
      <c r="C321" s="26">
        <f>'Balance Sheet'!$DX321</f>
        <v>0</v>
      </c>
      <c r="D321" s="26">
        <f>'Old Combined Balance Sheet'!A321 + 'Balance Sheet - FGI Insurance -'!CF321</f>
        <v>0</v>
      </c>
      <c r="E321" s="26">
        <f t="shared" si="2"/>
        <v>0</v>
      </c>
      <c r="F321" s="26" t="str">
        <f>Sheet1!N321</f>
        <v>VAISHNO MOTORS - JHUGAWA</v>
      </c>
      <c r="G321" s="26" t="str">
        <f>Sheet1!O321</f>
        <v>1T9TOPNccEkZyvcMjs5_ErkZRFNoV3A33YcZPKCnjNeI</v>
      </c>
      <c r="H321" s="26" t="str">
        <f>Sheet1!AV321</f>
        <v/>
      </c>
      <c r="I321" s="26" t="str">
        <f>Sheet1!AW321</f>
        <v/>
      </c>
      <c r="J321" s="26" t="str">
        <f>Sheet1!P321</f>
        <v>Sub Dealer</v>
      </c>
      <c r="K321" s="26" t="str">
        <f>Sheet1!AZ321</f>
        <v>No</v>
      </c>
      <c r="L321" s="26" t="str">
        <f>Sheet1!BA321</f>
        <v>No</v>
      </c>
      <c r="M321" s="26" t="str">
        <f>Sheet1!BB321</f>
        <v>No</v>
      </c>
      <c r="N321" s="26">
        <f>Sheet1!BC321</f>
        <v>0</v>
      </c>
    </row>
    <row r="322">
      <c r="A322" s="26" t="str">
        <f>(Sheet1!A322)</f>
        <v>1HsbszineZ8va458kuZefN1vGO1MrkT5vTk2Vpv1-Znw</v>
      </c>
      <c r="B322" s="26" t="str">
        <f>(Sheet1!B322)</f>
        <v>S S MOTORS(VM) - KUSHINAGAR</v>
      </c>
      <c r="C322" s="26">
        <f>'Balance Sheet'!$DX322</f>
        <v>0</v>
      </c>
      <c r="D322" s="26">
        <f>'Old Combined Balance Sheet'!A322 + 'Balance Sheet - FGI Insurance -'!CF322</f>
        <v>0</v>
      </c>
      <c r="E322" s="26">
        <f t="shared" si="2"/>
        <v>0</v>
      </c>
      <c r="F322" s="26" t="str">
        <f>Sheet1!N322</f>
        <v>VAISHNO MOTORS - JHUGAWA</v>
      </c>
      <c r="G322" s="26" t="str">
        <f>Sheet1!O322</f>
        <v>1T9TOPNccEkZyvcMjs5_ErkZRFNoV3A33YcZPKCnjNeI</v>
      </c>
      <c r="H322" s="26" t="str">
        <f>Sheet1!AV322</f>
        <v/>
      </c>
      <c r="I322" s="26" t="str">
        <f>Sheet1!AW322</f>
        <v/>
      </c>
      <c r="J322" s="26" t="str">
        <f>Sheet1!P322</f>
        <v>Sub Dealer</v>
      </c>
      <c r="K322" s="26" t="str">
        <f>Sheet1!AZ322</f>
        <v>No</v>
      </c>
      <c r="L322" s="26" t="str">
        <f>Sheet1!BA322</f>
        <v>No</v>
      </c>
      <c r="M322" s="26" t="str">
        <f>Sheet1!BB322</f>
        <v>No</v>
      </c>
      <c r="N322" s="26">
        <f>Sheet1!BC322</f>
        <v>0</v>
      </c>
    </row>
    <row r="323">
      <c r="A323" s="26" t="str">
        <f>(Sheet1!A323)</f>
        <v>1V_fMo1qdnu3csZ89JNIghSxO3e0-gG5YDEzRqHF_0Wk</v>
      </c>
      <c r="B323" s="26" t="str">
        <f>(Sheet1!B323)</f>
        <v>C.K.R MOTORS (VM) - KUSHINAGAR</v>
      </c>
      <c r="C323" s="26">
        <f>'Balance Sheet'!$DX323</f>
        <v>0</v>
      </c>
      <c r="D323" s="26">
        <f>'Old Combined Balance Sheet'!A323 + 'Balance Sheet - FGI Insurance -'!CF323</f>
        <v>0</v>
      </c>
      <c r="E323" s="26">
        <f t="shared" si="2"/>
        <v>0</v>
      </c>
      <c r="F323" s="26" t="str">
        <f>Sheet1!N323</f>
        <v>VAISHNO MOTORS - JHUGAWA</v>
      </c>
      <c r="G323" s="26" t="str">
        <f>Sheet1!O323</f>
        <v>1T9TOPNccEkZyvcMjs5_ErkZRFNoV3A33YcZPKCnjNeI</v>
      </c>
      <c r="H323" s="26" t="str">
        <f>Sheet1!AV323</f>
        <v/>
      </c>
      <c r="I323" s="26" t="str">
        <f>Sheet1!AW323</f>
        <v/>
      </c>
      <c r="J323" s="26" t="str">
        <f>Sheet1!P323</f>
        <v>Sub Dealer</v>
      </c>
      <c r="K323" s="26" t="str">
        <f>Sheet1!AZ323</f>
        <v>No</v>
      </c>
      <c r="L323" s="26" t="str">
        <f>Sheet1!BA323</f>
        <v>No</v>
      </c>
      <c r="M323" s="26" t="str">
        <f>Sheet1!BB323</f>
        <v>No</v>
      </c>
      <c r="N323" s="26">
        <f>Sheet1!BC323</f>
        <v>0</v>
      </c>
    </row>
    <row r="324">
      <c r="A324" s="26" t="str">
        <f>(Sheet1!A324)</f>
        <v>1widHkGzeFIwrSJjcgWI00dRaKCvRfPAM7fIXW9w6sfc</v>
      </c>
      <c r="B324" s="26" t="str">
        <f>(Sheet1!B324)</f>
        <v>GOLU AUTOMOBILE (VM) - KUSHINAGAR</v>
      </c>
      <c r="C324" s="26">
        <f>'Balance Sheet'!$DX324</f>
        <v>0</v>
      </c>
      <c r="D324" s="26">
        <f>'Old Combined Balance Sheet'!A324 + 'Balance Sheet - FGI Insurance -'!CF324</f>
        <v>0</v>
      </c>
      <c r="E324" s="26">
        <f t="shared" si="2"/>
        <v>0</v>
      </c>
      <c r="F324" s="26" t="str">
        <f>Sheet1!N324</f>
        <v>VAISHNO MOTORS - JHUGAWA</v>
      </c>
      <c r="G324" s="26" t="str">
        <f>Sheet1!O324</f>
        <v>1T9TOPNccEkZyvcMjs5_ErkZRFNoV3A33YcZPKCnjNeI</v>
      </c>
      <c r="H324" s="26" t="str">
        <f>Sheet1!AV324</f>
        <v/>
      </c>
      <c r="I324" s="26" t="str">
        <f>Sheet1!AW324</f>
        <v/>
      </c>
      <c r="J324" s="26" t="str">
        <f>Sheet1!P324</f>
        <v>Sub Dealer</v>
      </c>
      <c r="K324" s="26" t="str">
        <f>Sheet1!AZ324</f>
        <v>No</v>
      </c>
      <c r="L324" s="26" t="str">
        <f>Sheet1!BA324</f>
        <v>No</v>
      </c>
      <c r="M324" s="26" t="str">
        <f>Sheet1!BB324</f>
        <v>No</v>
      </c>
      <c r="N324" s="26">
        <f>Sheet1!BC324</f>
        <v>0</v>
      </c>
    </row>
    <row r="325">
      <c r="A325" s="26" t="str">
        <f>(Sheet1!A325)</f>
        <v>16tjO40jnriUy06QB22S0NR8Wknhx9T0lcBH_yEqsZIw</v>
      </c>
      <c r="B325" s="26" t="str">
        <f>(Sheet1!B325)</f>
        <v>TANUSHKA HERO- GWALIOR</v>
      </c>
      <c r="C325" s="26">
        <f>'Balance Sheet'!$DX325</f>
        <v>13433.46</v>
      </c>
      <c r="D325" s="26">
        <f>'Old Combined Balance Sheet'!A325 + 'Balance Sheet - FGI Insurance -'!CF325</f>
        <v>0</v>
      </c>
      <c r="E325" s="26">
        <f t="shared" si="2"/>
        <v>13433.46</v>
      </c>
      <c r="F325" s="26" t="str">
        <f>Sheet1!N325</f>
        <v>TANUSHKA HERO- GWALIOR</v>
      </c>
      <c r="G325" s="26" t="str">
        <f>Sheet1!O325</f>
        <v>16tjO40jnriUy06QB22S0NR8Wknhx9T0lcBH_yEqsZIw</v>
      </c>
      <c r="H325" s="26" t="str">
        <f>Sheet1!AV325</f>
        <v/>
      </c>
      <c r="I325" s="26" t="str">
        <f>Sheet1!AW325</f>
        <v/>
      </c>
      <c r="J325" s="26" t="str">
        <f>Sheet1!P325</f>
        <v>Dealer</v>
      </c>
      <c r="K325" s="26" t="str">
        <f>Sheet1!AZ325</f>
        <v>No</v>
      </c>
      <c r="L325" s="26" t="str">
        <f>Sheet1!BA325</f>
        <v>No</v>
      </c>
      <c r="M325" s="26" t="str">
        <f>Sheet1!BB325</f>
        <v>No</v>
      </c>
      <c r="N325" s="26">
        <f>Sheet1!BC325</f>
        <v>0</v>
      </c>
    </row>
    <row r="326">
      <c r="A326" s="26" t="str">
        <f>(Sheet1!A326)</f>
        <v>1D40bKySVAERErGis9rDO7LQ53qmdU5GNEz2GXvuNXng</v>
      </c>
      <c r="B326" s="26" t="str">
        <f>(Sheet1!B326)</f>
        <v>BABA AUTOMOBILES- SHAJAPUR</v>
      </c>
      <c r="C326" s="26">
        <f>'Balance Sheet'!$DX326</f>
        <v>199.68</v>
      </c>
      <c r="D326" s="26">
        <f>'Old Combined Balance Sheet'!A326 + 'Balance Sheet - FGI Insurance -'!CF326</f>
        <v>0</v>
      </c>
      <c r="E326" s="26">
        <f t="shared" si="2"/>
        <v>199.68</v>
      </c>
      <c r="F326" s="26" t="str">
        <f>Sheet1!N326</f>
        <v>BABA AUTOMOBILES- SHAJAPUR</v>
      </c>
      <c r="G326" s="26" t="str">
        <f>Sheet1!O326</f>
        <v>1D40bKySVAERErGis9rDO7LQ53qmdU5GNEz2GXvuNXng</v>
      </c>
      <c r="H326" s="26" t="str">
        <f>Sheet1!AV326</f>
        <v/>
      </c>
      <c r="I326" s="26" t="str">
        <f>Sheet1!AW326</f>
        <v/>
      </c>
      <c r="J326" s="26" t="str">
        <f>Sheet1!P326</f>
        <v>Dealer</v>
      </c>
      <c r="K326" s="26" t="str">
        <f>Sheet1!AZ326</f>
        <v>No</v>
      </c>
      <c r="L326" s="26" t="str">
        <f>Sheet1!BA326</f>
        <v>No</v>
      </c>
      <c r="M326" s="26" t="str">
        <f>Sheet1!BB326</f>
        <v>No</v>
      </c>
      <c r="N326" s="26">
        <f>Sheet1!BC326</f>
        <v>0</v>
      </c>
    </row>
    <row r="327">
      <c r="A327" s="26" t="str">
        <f>(Sheet1!A327)</f>
        <v>1kOPQVkAO_ArTU1kAd_VKRa8mVwn2PXu0IkpU2xQgvUI</v>
      </c>
      <c r="B327" s="26" t="str">
        <f>(Sheet1!B327)</f>
        <v>Kapil Vashist Test</v>
      </c>
      <c r="C327" s="26">
        <f>'Balance Sheet'!$DX327</f>
        <v>0</v>
      </c>
      <c r="D327" s="26">
        <f>'Old Combined Balance Sheet'!A327 + 'Balance Sheet - FGI Insurance -'!CF327</f>
        <v>0</v>
      </c>
      <c r="E327" s="26">
        <f t="shared" si="2"/>
        <v>0</v>
      </c>
      <c r="F327" s="26" t="str">
        <f>Sheet1!N327</f>
        <v>MPS</v>
      </c>
      <c r="G327" s="26" t="str">
        <f>Sheet1!O327</f>
        <v>1ClXh28BQwwGN7Q42xt0Dc8b_R_3jweBItLcbwVq3Rj0</v>
      </c>
      <c r="H327" s="26" t="str">
        <f>Sheet1!AV327</f>
        <v/>
      </c>
      <c r="I327" s="26" t="str">
        <f>Sheet1!AW327</f>
        <v/>
      </c>
      <c r="J327" s="26" t="str">
        <f>Sheet1!P327</f>
        <v>Sub Dealer</v>
      </c>
      <c r="K327" s="26" t="str">
        <f>Sheet1!AZ327</f>
        <v>Yes</v>
      </c>
      <c r="L327" s="26" t="str">
        <f>Sheet1!BA327</f>
        <v>No</v>
      </c>
      <c r="M327" s="26" t="str">
        <f>Sheet1!BB327</f>
        <v>No</v>
      </c>
      <c r="N327" s="26">
        <f>Sheet1!BC327</f>
        <v>0</v>
      </c>
    </row>
    <row r="328">
      <c r="A328" s="26" t="str">
        <f>(Sheet1!A328)</f>
        <v>1mxT1doFWSIKC49QGKrgrgC6fUkICfT4DLlAcSQC9Pc4</v>
      </c>
      <c r="B328" s="26" t="str">
        <f>(Sheet1!B328)</f>
        <v>KSHIPRA HERO-UJJAIN</v>
      </c>
      <c r="C328" s="26">
        <f>'Balance Sheet'!$DX328</f>
        <v>5480</v>
      </c>
      <c r="D328" s="26">
        <f>'Old Combined Balance Sheet'!A328 + 'Balance Sheet - FGI Insurance -'!CF328</f>
        <v>0</v>
      </c>
      <c r="E328" s="26">
        <f t="shared" si="2"/>
        <v>5480</v>
      </c>
      <c r="F328" s="26" t="str">
        <f>Sheet1!N328</f>
        <v>KSHIPRA HERO-UJJAIN</v>
      </c>
      <c r="G328" s="26" t="str">
        <f>Sheet1!O328</f>
        <v>1mxT1doFWSIKC49QGKrgrgC6fUkICfT4DLlAcSQC9Pc4</v>
      </c>
      <c r="H328" s="26" t="str">
        <f>Sheet1!AV328</f>
        <v/>
      </c>
      <c r="I328" s="26" t="str">
        <f>Sheet1!AW328</f>
        <v/>
      </c>
      <c r="J328" s="26" t="str">
        <f>Sheet1!P328</f>
        <v>Dealer</v>
      </c>
      <c r="K328" s="26" t="str">
        <f>Sheet1!AZ328</f>
        <v>No</v>
      </c>
      <c r="L328" s="26" t="str">
        <f>Sheet1!BA328</f>
        <v>No</v>
      </c>
      <c r="M328" s="26" t="str">
        <f>Sheet1!BB328</f>
        <v>No</v>
      </c>
      <c r="N328" s="26">
        <f>Sheet1!BC328</f>
        <v>0</v>
      </c>
    </row>
    <row r="329">
      <c r="A329" s="26" t="str">
        <f>(Sheet1!A329)</f>
        <v>1Glot5DmufEUxf7sEoY2RAdbIWFVDuW2SHPtNIbHYEdc</v>
      </c>
      <c r="B329" s="26" t="str">
        <f>(Sheet1!B329)</f>
        <v>UPPER INDIA -DELHI</v>
      </c>
      <c r="C329" s="26">
        <f>'Balance Sheet'!$DX329</f>
        <v>376000</v>
      </c>
      <c r="D329" s="26">
        <f>'Old Combined Balance Sheet'!A329 + 'Balance Sheet - FGI Insurance -'!CF329</f>
        <v>-371929.2</v>
      </c>
      <c r="E329" s="26">
        <f t="shared" si="2"/>
        <v>4070.8</v>
      </c>
      <c r="F329" s="26" t="str">
        <f>Sheet1!N329</f>
        <v>UPPER INDIA -DELHI</v>
      </c>
      <c r="G329" s="26" t="str">
        <f>Sheet1!O329</f>
        <v>1Glot5DmufEUxf7sEoY2RAdbIWFVDuW2SHPtNIbHYEdc</v>
      </c>
      <c r="H329" s="26" t="str">
        <f>Sheet1!AV329</f>
        <v/>
      </c>
      <c r="I329" s="26" t="str">
        <f>Sheet1!AW329</f>
        <v/>
      </c>
      <c r="J329" s="26" t="str">
        <f>Sheet1!P329</f>
        <v>Dealer</v>
      </c>
      <c r="K329" s="26" t="str">
        <f>Sheet1!AZ329</f>
        <v>No</v>
      </c>
      <c r="L329" s="26" t="str">
        <f>Sheet1!BA329</f>
        <v>No</v>
      </c>
      <c r="M329" s="26" t="str">
        <f>Sheet1!BB329</f>
        <v>Yes</v>
      </c>
      <c r="N329" s="26">
        <f>Sheet1!BC329</f>
        <v>0</v>
      </c>
    </row>
    <row r="330">
      <c r="A330" s="26" t="str">
        <f>(Sheet1!A330)</f>
        <v>1KWrdiOy0dFeVUlvkflxUZSwfdTKjD2WtnSGQxGgKBiw</v>
      </c>
      <c r="B330" s="26" t="str">
        <f>(Sheet1!B330)</f>
        <v>NAKODA AUTOMOBILES- JHABUA</v>
      </c>
      <c r="C330" s="26">
        <f>'Balance Sheet'!$DX330</f>
        <v>7222.24</v>
      </c>
      <c r="D330" s="26">
        <f>'Old Combined Balance Sheet'!A330 + 'Balance Sheet - FGI Insurance -'!CF330</f>
        <v>0</v>
      </c>
      <c r="E330" s="26">
        <f t="shared" si="2"/>
        <v>7222.24</v>
      </c>
      <c r="F330" s="26" t="str">
        <f>Sheet1!N330</f>
        <v>NAKODA AUTOMOBILES- JHABUA</v>
      </c>
      <c r="G330" s="26" t="str">
        <f>Sheet1!O330</f>
        <v>1KWrdiOy0dFeVUlvkflxUZSwfdTKjD2WtnSGQxGgKBiw</v>
      </c>
      <c r="H330" s="26" t="str">
        <f>Sheet1!AV330</f>
        <v/>
      </c>
      <c r="I330" s="26" t="str">
        <f>Sheet1!AW330</f>
        <v/>
      </c>
      <c r="J330" s="26" t="str">
        <f>Sheet1!P330</f>
        <v>Dealer</v>
      </c>
      <c r="K330" s="26" t="str">
        <f>Sheet1!AZ330</f>
        <v>No</v>
      </c>
      <c r="L330" s="26" t="str">
        <f>Sheet1!BA330</f>
        <v>No</v>
      </c>
      <c r="M330" s="26" t="str">
        <f>Sheet1!BB330</f>
        <v>No</v>
      </c>
      <c r="N330" s="26">
        <f>Sheet1!BC330</f>
        <v>0</v>
      </c>
    </row>
    <row r="331">
      <c r="A331" s="26" t="str">
        <f>(Sheet1!A331)</f>
        <v>16Y3kc7OuouK5OrrRt3JjXIhTWz_IEXjAkD1IjXmm9J8</v>
      </c>
      <c r="B331" s="26" t="str">
        <f>(Sheet1!B331)</f>
        <v>SHREE LAXMINARAYAN AUTOMOBILES-DAHOD</v>
      </c>
      <c r="C331" s="26">
        <f>'Balance Sheet'!$DX331</f>
        <v>0</v>
      </c>
      <c r="D331" s="26">
        <f>'Old Combined Balance Sheet'!A331 + 'Balance Sheet - FGI Insurance -'!CF331</f>
        <v>0</v>
      </c>
      <c r="E331" s="26">
        <f t="shared" si="2"/>
        <v>0</v>
      </c>
      <c r="F331" s="26" t="str">
        <f>Sheet1!N331</f>
        <v>SHREE LAXMINARAYAN AUTOMOBILES-DAHOD</v>
      </c>
      <c r="G331" s="26" t="str">
        <f>Sheet1!O331</f>
        <v>16Y3kc7OuouK5OrrRt3JjXIhTWz_IEXjAkD1IjXmm9J8</v>
      </c>
      <c r="H331" s="26" t="str">
        <f>Sheet1!AV331</f>
        <v/>
      </c>
      <c r="I331" s="26" t="str">
        <f>Sheet1!AW331</f>
        <v/>
      </c>
      <c r="J331" s="26" t="str">
        <f>Sheet1!P331</f>
        <v>Dealer</v>
      </c>
      <c r="K331" s="26" t="str">
        <f>Sheet1!AZ331</f>
        <v>No</v>
      </c>
      <c r="L331" s="26" t="str">
        <f>Sheet1!BA331</f>
        <v>No</v>
      </c>
      <c r="M331" s="26" t="str">
        <f>Sheet1!BB331</f>
        <v>No</v>
      </c>
      <c r="N331" s="26">
        <f>Sheet1!BC331</f>
        <v>0</v>
      </c>
    </row>
    <row r="332">
      <c r="A332" s="26" t="str">
        <f>(Sheet1!A332)</f>
        <v>1Z0RLxeDSU2deGe-M9N2_xaGVhFQVJm_tASIMLykuH6Q</v>
      </c>
      <c r="B332" s="26" t="str">
        <f>(Sheet1!B332)</f>
        <v>APPLE HONDA- VADODARA</v>
      </c>
      <c r="C332" s="26">
        <f>'Balance Sheet'!$DX332</f>
        <v>6.64</v>
      </c>
      <c r="D332" s="26">
        <f>'Old Combined Balance Sheet'!A332 + 'Balance Sheet - FGI Insurance -'!CF332</f>
        <v>0</v>
      </c>
      <c r="E332" s="26">
        <f t="shared" si="2"/>
        <v>6.64</v>
      </c>
      <c r="F332" s="26" t="str">
        <f>Sheet1!N332</f>
        <v>APPLE HONDA- VADODARA</v>
      </c>
      <c r="G332" s="26" t="str">
        <f>Sheet1!O332</f>
        <v>1Z0RLxeDSU2deGe-M9N2_xaGVhFQVJm_tASIMLykuH6Q</v>
      </c>
      <c r="H332" s="26" t="str">
        <f>Sheet1!AV332</f>
        <v/>
      </c>
      <c r="I332" s="26" t="str">
        <f>Sheet1!AW332</f>
        <v/>
      </c>
      <c r="J332" s="26" t="str">
        <f>Sheet1!P332</f>
        <v>Dealer</v>
      </c>
      <c r="K332" s="26" t="str">
        <f>Sheet1!AZ332</f>
        <v>No</v>
      </c>
      <c r="L332" s="26" t="str">
        <f>Sheet1!BA332</f>
        <v>No</v>
      </c>
      <c r="M332" s="26" t="str">
        <f>Sheet1!BB332</f>
        <v>No</v>
      </c>
      <c r="N332" s="26">
        <f>Sheet1!BC332</f>
        <v>0</v>
      </c>
    </row>
    <row r="333">
      <c r="A333" s="26" t="str">
        <f>(Sheet1!A333)</f>
        <v>1yvsl28_lUG4aa66iIPEwfNrCt2m4Np6IsUERJv8hjf4</v>
      </c>
      <c r="B333" s="26" t="str">
        <f>(Sheet1!B333)</f>
        <v>UTTAM MOTORS- Neemuch</v>
      </c>
      <c r="C333" s="26">
        <f>'Balance Sheet'!$DX333</f>
        <v>270</v>
      </c>
      <c r="D333" s="26">
        <f>'Old Combined Balance Sheet'!A333 + 'Balance Sheet - FGI Insurance -'!CF333</f>
        <v>0</v>
      </c>
      <c r="E333" s="26">
        <f t="shared" si="2"/>
        <v>270</v>
      </c>
      <c r="F333" s="26" t="str">
        <f>Sheet1!N333</f>
        <v>UTTAM MOTORS- Neemuch</v>
      </c>
      <c r="G333" s="26" t="str">
        <f>Sheet1!O333</f>
        <v>1yvsl28_lUG4aa66iIPEwfNrCt2m4Np6IsUERJv8hjf4</v>
      </c>
      <c r="H333" s="26" t="str">
        <f>Sheet1!AV333</f>
        <v/>
      </c>
      <c r="I333" s="26" t="str">
        <f>Sheet1!AW333</f>
        <v/>
      </c>
      <c r="J333" s="26" t="str">
        <f>Sheet1!P333</f>
        <v>Dealer</v>
      </c>
      <c r="K333" s="26" t="str">
        <f>Sheet1!AZ333</f>
        <v>No</v>
      </c>
      <c r="L333" s="26" t="str">
        <f>Sheet1!BA333</f>
        <v>No</v>
      </c>
      <c r="M333" s="26" t="str">
        <f>Sheet1!BB333</f>
        <v>No</v>
      </c>
      <c r="N333" s="26">
        <f>Sheet1!BC333</f>
        <v>0</v>
      </c>
    </row>
    <row r="334">
      <c r="A334" s="26" t="str">
        <f>(Sheet1!A334)</f>
        <v>1e3aaOiXSZCQrn6e8SubsYYbeE8N1r6f9D083h9kT6V4</v>
      </c>
      <c r="B334" s="26" t="str">
        <f>(Sheet1!B334)</f>
        <v>Jaydeep Auto - Vadodra</v>
      </c>
      <c r="C334" s="26">
        <f>'Balance Sheet'!$DX334</f>
        <v>456.8</v>
      </c>
      <c r="D334" s="26">
        <f>'Old Combined Balance Sheet'!A334 + 'Balance Sheet - FGI Insurance -'!CF334</f>
        <v>0</v>
      </c>
      <c r="E334" s="26">
        <f t="shared" si="2"/>
        <v>456.8</v>
      </c>
      <c r="F334" s="26" t="str">
        <f>Sheet1!N334</f>
        <v>Jaydeep Auto - Vadodra</v>
      </c>
      <c r="G334" s="26" t="str">
        <f>Sheet1!O334</f>
        <v>1e3aaOiXSZCQrn6e8SubsYYbeE8N1r6f9D083h9kT6V4</v>
      </c>
      <c r="H334" s="26" t="str">
        <f>Sheet1!AV334</f>
        <v/>
      </c>
      <c r="I334" s="26" t="str">
        <f>Sheet1!AW334</f>
        <v/>
      </c>
      <c r="J334" s="26" t="str">
        <f>Sheet1!P334</f>
        <v>Dealer</v>
      </c>
      <c r="K334" s="26" t="str">
        <f>Sheet1!AZ334</f>
        <v>No</v>
      </c>
      <c r="L334" s="26" t="str">
        <f>Sheet1!BA334</f>
        <v>No</v>
      </c>
      <c r="M334" s="26" t="str">
        <f>Sheet1!BB334</f>
        <v>No</v>
      </c>
      <c r="N334" s="26">
        <f>Sheet1!BC334</f>
        <v>0</v>
      </c>
    </row>
    <row r="335">
      <c r="A335" s="26" t="str">
        <f>(Sheet1!A335)</f>
        <v>1r0KUrXS28gDx7-fgD3zjnrel7PaC3KXGiEtHPv0wv_M</v>
      </c>
      <c r="B335" s="26" t="str">
        <f>(Sheet1!B335)</f>
        <v>PAL ENTERPRISE- VIDISHA</v>
      </c>
      <c r="C335" s="26">
        <f>'Balance Sheet'!$DX335</f>
        <v>8260</v>
      </c>
      <c r="D335" s="26">
        <f>'Old Combined Balance Sheet'!A335 + 'Balance Sheet - FGI Insurance -'!CF335</f>
        <v>0</v>
      </c>
      <c r="E335" s="26">
        <f t="shared" si="2"/>
        <v>8260</v>
      </c>
      <c r="F335" s="26" t="str">
        <f>Sheet1!N335</f>
        <v>PAL ENTERPRISE- VIDISHA</v>
      </c>
      <c r="G335" s="26" t="str">
        <f>Sheet1!O335</f>
        <v>1r0KUrXS28gDx7-fgD3zjnrel7PaC3KXGiEtHPv0wv_M</v>
      </c>
      <c r="H335" s="26" t="str">
        <f>Sheet1!AV335</f>
        <v/>
      </c>
      <c r="I335" s="26" t="str">
        <f>Sheet1!AW335</f>
        <v/>
      </c>
      <c r="J335" s="26" t="str">
        <f>Sheet1!P335</f>
        <v>Dealer</v>
      </c>
      <c r="K335" s="26" t="str">
        <f>Sheet1!AZ335</f>
        <v>No</v>
      </c>
      <c r="L335" s="26" t="str">
        <f>Sheet1!BA335</f>
        <v>No</v>
      </c>
      <c r="M335" s="26" t="str">
        <f>Sheet1!BB335</f>
        <v>No</v>
      </c>
      <c r="N335" s="26">
        <f>Sheet1!BC335</f>
        <v>0</v>
      </c>
    </row>
    <row r="336">
      <c r="A336" s="26" t="str">
        <f>(Sheet1!A336)</f>
        <v>1BMhoyJRK7DCg_LO256ufPw72_BuKa1iu3f1v8JCofH0</v>
      </c>
      <c r="B336" s="26" t="str">
        <f>(Sheet1!B336)</f>
        <v>North Bihar Agro Agencies</v>
      </c>
      <c r="C336" s="26">
        <f>'Balance Sheet'!$DX336</f>
        <v>8881.7</v>
      </c>
      <c r="D336" s="26">
        <f>'Old Combined Balance Sheet'!A336 + 'Balance Sheet - FGI Insurance -'!CF336</f>
        <v>0</v>
      </c>
      <c r="E336" s="26">
        <f t="shared" si="2"/>
        <v>8881.7</v>
      </c>
      <c r="F336" s="26" t="str">
        <f>Sheet1!N336</f>
        <v>North Bihar Agro Agencies</v>
      </c>
      <c r="G336" s="26" t="str">
        <f>Sheet1!O336</f>
        <v>1BMhoyJRK7DCg_LO256ufPw72_BuKa1iu3f1v8JCofH0</v>
      </c>
      <c r="H336" s="26" t="str">
        <f>Sheet1!AV336</f>
        <v/>
      </c>
      <c r="I336" s="26" t="str">
        <f>Sheet1!AW336</f>
        <v/>
      </c>
      <c r="J336" s="26" t="str">
        <f>Sheet1!P336</f>
        <v>Dealer</v>
      </c>
      <c r="K336" s="26" t="str">
        <f>Sheet1!AZ336</f>
        <v>No</v>
      </c>
      <c r="L336" s="26" t="str">
        <f>Sheet1!BA336</f>
        <v>No</v>
      </c>
      <c r="M336" s="26" t="str">
        <f>Sheet1!BB336</f>
        <v>No</v>
      </c>
      <c r="N336" s="26">
        <f>Sheet1!BC336</f>
        <v>0</v>
      </c>
    </row>
    <row r="337">
      <c r="A337" s="26" t="str">
        <f>(Sheet1!A337)</f>
        <v>1SFJDdnhDWiLN-lR4hWAV93N4rK3ge8yCJzFkfHhJbDU</v>
      </c>
      <c r="B337" s="26" t="str">
        <f>(Sheet1!B337)</f>
        <v>AWADH AUTOMOBILES (GA) - CHHITAUNI</v>
      </c>
      <c r="C337" s="26">
        <f>'Balance Sheet'!$DX337</f>
        <v>0</v>
      </c>
      <c r="D337" s="26">
        <f>'Old Combined Balance Sheet'!A337 + 'Balance Sheet - FGI Insurance -'!CF337</f>
        <v>0</v>
      </c>
      <c r="E337" s="26">
        <f t="shared" si="2"/>
        <v>0</v>
      </c>
      <c r="F337" s="26" t="str">
        <f>Sheet1!N337</f>
        <v>Gupta Automobiles - Padrauna</v>
      </c>
      <c r="G337" s="26" t="str">
        <f>Sheet1!O337</f>
        <v>1Ql_6BdBcHGAyITSZt1pNUK3bW54CzeThIBXr7aH7K3Y</v>
      </c>
      <c r="H337" s="26" t="str">
        <f>Sheet1!AV337</f>
        <v/>
      </c>
      <c r="I337" s="26" t="str">
        <f>Sheet1!AW337</f>
        <v/>
      </c>
      <c r="J337" s="26" t="str">
        <f>Sheet1!P337</f>
        <v>Sub Dealer</v>
      </c>
      <c r="K337" s="26" t="str">
        <f>Sheet1!AZ337</f>
        <v>No</v>
      </c>
      <c r="L337" s="26" t="str">
        <f>Sheet1!BA337</f>
        <v>No</v>
      </c>
      <c r="M337" s="26" t="str">
        <f>Sheet1!BB337</f>
        <v>No</v>
      </c>
      <c r="N337" s="26">
        <f>Sheet1!BC337</f>
        <v>0</v>
      </c>
    </row>
    <row r="338">
      <c r="A338" s="26" t="str">
        <f>(Sheet1!A338)</f>
        <v>1LVFmg-oYUYvWwI6u3WOnpzEWG7hGErkioBifgg4ml3c</v>
      </c>
      <c r="B338" s="26" t="str">
        <f>(Sheet1!B338)</f>
        <v>J.M Motors- Forbesganj</v>
      </c>
      <c r="C338" s="26">
        <f>'Balance Sheet'!$DX338</f>
        <v>2648</v>
      </c>
      <c r="D338" s="26">
        <f>'Old Combined Balance Sheet'!A338 + 'Balance Sheet - FGI Insurance -'!CF338</f>
        <v>0</v>
      </c>
      <c r="E338" s="26">
        <f t="shared" si="2"/>
        <v>2648</v>
      </c>
      <c r="F338" s="26" t="str">
        <f>Sheet1!N338</f>
        <v>J.M Motors- Forbesganj</v>
      </c>
      <c r="G338" s="26" t="str">
        <f>Sheet1!O338</f>
        <v>1LVFmg-oYUYvWwI6u3WOnpzEWG7hGErkioBifgg4ml3c</v>
      </c>
      <c r="H338" s="26" t="str">
        <f>Sheet1!AV338</f>
        <v/>
      </c>
      <c r="I338" s="26" t="str">
        <f>Sheet1!AW338</f>
        <v/>
      </c>
      <c r="J338" s="26" t="str">
        <f>Sheet1!P338</f>
        <v>Dealer</v>
      </c>
      <c r="K338" s="26" t="str">
        <f>Sheet1!AZ338</f>
        <v>No</v>
      </c>
      <c r="L338" s="26" t="str">
        <f>Sheet1!BA338</f>
        <v>No</v>
      </c>
      <c r="M338" s="26" t="str">
        <f>Sheet1!BB338</f>
        <v>No</v>
      </c>
      <c r="N338" s="26">
        <f>Sheet1!BC338</f>
        <v>0</v>
      </c>
    </row>
    <row r="339">
      <c r="A339" s="26" t="str">
        <f>(Sheet1!A339)</f>
        <v>1fHCHQnIWmfXqP4jwi-agXjfK1q2zM0BUeG3fwB0qApc</v>
      </c>
      <c r="B339" s="26" t="str">
        <f>(Sheet1!B339)</f>
        <v>Mahabir Automobiles -Sultanpur</v>
      </c>
      <c r="C339" s="26">
        <f>'Balance Sheet'!$DX339</f>
        <v>46564</v>
      </c>
      <c r="D339" s="26">
        <f>'Old Combined Balance Sheet'!A339 + 'Balance Sheet - FGI Insurance -'!CF339</f>
        <v>0</v>
      </c>
      <c r="E339" s="26">
        <f t="shared" si="2"/>
        <v>46564</v>
      </c>
      <c r="F339" s="26" t="str">
        <f>Sheet1!N339</f>
        <v>Mahabir Automobiles -Sultanpur</v>
      </c>
      <c r="G339" s="26" t="str">
        <f>Sheet1!O339</f>
        <v>1fHCHQnIWmfXqP4jwi-agXjfK1q2zM0BUeG3fwB0qApc</v>
      </c>
      <c r="H339" s="26" t="str">
        <f>Sheet1!AV339</f>
        <v/>
      </c>
      <c r="I339" s="26" t="str">
        <f>Sheet1!AW339</f>
        <v/>
      </c>
      <c r="J339" s="26" t="str">
        <f>Sheet1!P339</f>
        <v>Dealer</v>
      </c>
      <c r="K339" s="26" t="str">
        <f>Sheet1!AZ339</f>
        <v>No</v>
      </c>
      <c r="L339" s="26" t="str">
        <f>Sheet1!BA339</f>
        <v>No</v>
      </c>
      <c r="M339" s="26" t="str">
        <f>Sheet1!BB339</f>
        <v>No</v>
      </c>
      <c r="N339" s="26">
        <f>Sheet1!BC339</f>
        <v>0</v>
      </c>
    </row>
    <row r="340">
      <c r="A340" s="26" t="str">
        <f>(Sheet1!A340)</f>
        <v>1q0ZY1YodurXjGSqWho0k_uF6nV5Cwr8l1g1rbo_fC4Y</v>
      </c>
      <c r="B340" s="26" t="str">
        <f>(Sheet1!B340)</f>
        <v>SHIVAM HERO- GORAKHPUR</v>
      </c>
      <c r="C340" s="26">
        <f>'Balance Sheet'!$DX340</f>
        <v>0</v>
      </c>
      <c r="D340" s="26">
        <f>'Old Combined Balance Sheet'!A340 + 'Balance Sheet - FGI Insurance -'!CF340</f>
        <v>0</v>
      </c>
      <c r="E340" s="26">
        <f t="shared" si="2"/>
        <v>0</v>
      </c>
      <c r="F340" s="26" t="str">
        <f>Sheet1!N340</f>
        <v>NITIN MATANHELIA - GORAKHPUR</v>
      </c>
      <c r="G340" s="26" t="str">
        <f>Sheet1!O340</f>
        <v>1pIkLTEq99ZID0V0k8H0hOFXZDJQMaAoy2fsIol-e81k</v>
      </c>
      <c r="H340" s="26" t="str">
        <f>Sheet1!AV340</f>
        <v/>
      </c>
      <c r="I340" s="26" t="str">
        <f>Sheet1!AW340</f>
        <v/>
      </c>
      <c r="J340" s="26" t="str">
        <f>Sheet1!P340</f>
        <v>Sub Dealer</v>
      </c>
      <c r="K340" s="26" t="str">
        <f>Sheet1!AZ340</f>
        <v>No</v>
      </c>
      <c r="L340" s="26" t="str">
        <f>Sheet1!BA340</f>
        <v>No</v>
      </c>
      <c r="M340" s="26" t="str">
        <f>Sheet1!BB340</f>
        <v>No</v>
      </c>
      <c r="N340" s="26">
        <f>Sheet1!BC340</f>
        <v>0</v>
      </c>
    </row>
    <row r="341">
      <c r="A341" s="26" t="str">
        <f>(Sheet1!A341)</f>
        <v>1bfx7eMh4Ac2mO8jnga0N0Mq4i3FWPf37yxKEAzBtjPM</v>
      </c>
      <c r="B341" s="26" t="str">
        <f>(Sheet1!B341)</f>
        <v>D P MOTORS 2 - GORAKHPUR</v>
      </c>
      <c r="C341" s="26">
        <f>'Balance Sheet'!$DX341</f>
        <v>0</v>
      </c>
      <c r="D341" s="26">
        <f>'Old Combined Balance Sheet'!A341 + 'Balance Sheet - FGI Insurance -'!CF341</f>
        <v>0</v>
      </c>
      <c r="E341" s="26">
        <f t="shared" si="2"/>
        <v>0</v>
      </c>
      <c r="F341" s="26" t="str">
        <f>Sheet1!N341</f>
        <v>NITIN MATANHELIA - GORAKHPUR</v>
      </c>
      <c r="G341" s="26" t="str">
        <f>Sheet1!O341</f>
        <v>1pIkLTEq99ZID0V0k8H0hOFXZDJQMaAoy2fsIol-e81k</v>
      </c>
      <c r="H341" s="26" t="str">
        <f>Sheet1!AV341</f>
        <v/>
      </c>
      <c r="I341" s="26" t="str">
        <f>Sheet1!AW341</f>
        <v/>
      </c>
      <c r="J341" s="26" t="str">
        <f>Sheet1!P341</f>
        <v>Sub Dealer</v>
      </c>
      <c r="K341" s="26" t="str">
        <f>Sheet1!AZ341</f>
        <v>No</v>
      </c>
      <c r="L341" s="26" t="str">
        <f>Sheet1!BA341</f>
        <v>No</v>
      </c>
      <c r="M341" s="26" t="str">
        <f>Sheet1!BB341</f>
        <v>No</v>
      </c>
      <c r="N341" s="26">
        <f>Sheet1!BC341</f>
        <v>0</v>
      </c>
    </row>
    <row r="342">
      <c r="A342" s="26" t="str">
        <f>(Sheet1!A342)</f>
        <v>1Bgq0uJUKdFTQouDxCzlEEpEbjOG76Fl_PVNJNSPhG8Y</v>
      </c>
      <c r="B342" s="26" t="str">
        <f>(Sheet1!B342)</f>
        <v>KANHAIYA MOTORS- BHADARUGANJ</v>
      </c>
      <c r="C342" s="26">
        <f>'Balance Sheet'!$DX342</f>
        <v>232</v>
      </c>
      <c r="D342" s="26">
        <f>'Old Combined Balance Sheet'!A342 + 'Balance Sheet - FGI Insurance -'!CF342</f>
        <v>0</v>
      </c>
      <c r="E342" s="26">
        <f t="shared" si="2"/>
        <v>232</v>
      </c>
      <c r="F342" s="26" t="str">
        <f>Sheet1!N342</f>
        <v>KANHAIYA MOTORS- BHADARUGANJ</v>
      </c>
      <c r="G342" s="26" t="str">
        <f>Sheet1!O342</f>
        <v>1Bgq0uJUKdFTQouDxCzlEEpEbjOG76Fl_PVNJNSPhG8Y</v>
      </c>
      <c r="H342" s="26" t="str">
        <f>Sheet1!AV342</f>
        <v/>
      </c>
      <c r="I342" s="26" t="str">
        <f>Sheet1!AW342</f>
        <v/>
      </c>
      <c r="J342" s="26" t="str">
        <f>Sheet1!P342</f>
        <v>Dealer</v>
      </c>
      <c r="K342" s="26" t="str">
        <f>Sheet1!AZ342</f>
        <v>No</v>
      </c>
      <c r="L342" s="26" t="str">
        <f>Sheet1!BA342</f>
        <v>No</v>
      </c>
      <c r="M342" s="26" t="str">
        <f>Sheet1!BB342</f>
        <v>No</v>
      </c>
      <c r="N342" s="26">
        <f>Sheet1!BC342</f>
        <v>0</v>
      </c>
    </row>
    <row r="343">
      <c r="A343" s="26" t="str">
        <f>(Sheet1!A343)</f>
        <v>1QVBShIrTLBej8s_qXhBmCICNAN5JsR5KakezwfMLZV0</v>
      </c>
      <c r="B343" s="26" t="str">
        <f>(Sheet1!B343)</f>
        <v>ANAS MOTORS- SUPAUL</v>
      </c>
      <c r="C343" s="26">
        <f>'Balance Sheet'!$DX343</f>
        <v>14933.3</v>
      </c>
      <c r="D343" s="26">
        <f>'Old Combined Balance Sheet'!A343 + 'Balance Sheet - FGI Insurance -'!CF343</f>
        <v>0</v>
      </c>
      <c r="E343" s="26">
        <f t="shared" si="2"/>
        <v>14933.3</v>
      </c>
      <c r="F343" s="26" t="str">
        <f>Sheet1!N343</f>
        <v>ANAS MOTORS- SUPAUL</v>
      </c>
      <c r="G343" s="26" t="str">
        <f>Sheet1!O343</f>
        <v>1QVBShIrTLBej8s_qXhBmCICNAN5JsR5KakezwfMLZV0</v>
      </c>
      <c r="H343" s="26" t="str">
        <f>Sheet1!AV343</f>
        <v/>
      </c>
      <c r="I343" s="26" t="str">
        <f>Sheet1!AW343</f>
        <v/>
      </c>
      <c r="J343" s="26" t="str">
        <f>Sheet1!P343</f>
        <v>Dealer</v>
      </c>
      <c r="K343" s="26" t="str">
        <f>Sheet1!AZ343</f>
        <v>No</v>
      </c>
      <c r="L343" s="26" t="str">
        <f>Sheet1!BA343</f>
        <v>No</v>
      </c>
      <c r="M343" s="26" t="str">
        <f>Sheet1!BB343</f>
        <v>No</v>
      </c>
      <c r="N343" s="26">
        <f>Sheet1!BC343</f>
        <v>0</v>
      </c>
    </row>
    <row r="344">
      <c r="A344" s="26" t="str">
        <f>(Sheet1!A344)</f>
        <v>1lHqETbIH4pLQdUL2QQgIDownEvMU9QozqqnIMcLSCfg</v>
      </c>
      <c r="B344" s="26" t="str">
        <f>(Sheet1!B344)</f>
        <v>SHRI RAM AUTOMOBILES - HATPIPLIYA</v>
      </c>
      <c r="C344" s="26">
        <f>'Balance Sheet'!$DX344</f>
        <v>2568.98</v>
      </c>
      <c r="D344" s="26">
        <f>'Old Combined Balance Sheet'!A344 + 'Balance Sheet - FGI Insurance -'!CF344</f>
        <v>0</v>
      </c>
      <c r="E344" s="26">
        <f t="shared" si="2"/>
        <v>2568.98</v>
      </c>
      <c r="F344" s="26" t="str">
        <f>Sheet1!N344</f>
        <v>SHRI RAM AUTOMOBILES - HATPIPLIYA</v>
      </c>
      <c r="G344" s="26" t="str">
        <f>Sheet1!O344</f>
        <v>1lHqETbIH4pLQdUL2QQgIDownEvMU9QozqqnIMcLSCfg</v>
      </c>
      <c r="H344" s="26" t="str">
        <f>Sheet1!AV344</f>
        <v/>
      </c>
      <c r="I344" s="26" t="str">
        <f>Sheet1!AW344</f>
        <v/>
      </c>
      <c r="J344" s="26" t="str">
        <f>Sheet1!P344</f>
        <v>Dealer</v>
      </c>
      <c r="K344" s="26" t="str">
        <f>Sheet1!AZ344</f>
        <v>No</v>
      </c>
      <c r="L344" s="26" t="str">
        <f>Sheet1!BA344</f>
        <v>No</v>
      </c>
      <c r="M344" s="26" t="str">
        <f>Sheet1!BB344</f>
        <v>No</v>
      </c>
      <c r="N344" s="26">
        <f>Sheet1!BC344</f>
        <v>0</v>
      </c>
    </row>
    <row r="345">
      <c r="A345" s="26" t="str">
        <f>(Sheet1!A345)</f>
        <v>1igxhDrZmAR4XaBSU0Vyrw9LNbKLoFuELF4hEOFDqD9M</v>
      </c>
      <c r="B345" s="26" t="str">
        <f>(Sheet1!B345)</f>
        <v>KHAGARIA AUTO AGENCY- KHAGARIA</v>
      </c>
      <c r="C345" s="26">
        <f>'Balance Sheet'!$DX345</f>
        <v>220</v>
      </c>
      <c r="D345" s="26">
        <f>'Old Combined Balance Sheet'!A345 + 'Balance Sheet - FGI Insurance -'!CF345</f>
        <v>0</v>
      </c>
      <c r="E345" s="26">
        <f t="shared" si="2"/>
        <v>220</v>
      </c>
      <c r="F345" s="26" t="str">
        <f>Sheet1!N345</f>
        <v>KHAGARIA AUTO AGENCY- KHAGARIA</v>
      </c>
      <c r="G345" s="26" t="str">
        <f>Sheet1!O345</f>
        <v>1igxhDrZmAR4XaBSU0Vyrw9LNbKLoFuELF4hEOFDqD9M</v>
      </c>
      <c r="H345" s="26" t="str">
        <f>Sheet1!AV345</f>
        <v/>
      </c>
      <c r="I345" s="26" t="str">
        <f>Sheet1!AW345</f>
        <v/>
      </c>
      <c r="J345" s="26" t="str">
        <f>Sheet1!P345</f>
        <v>Dealer</v>
      </c>
      <c r="K345" s="26" t="str">
        <f>Sheet1!AZ345</f>
        <v>No</v>
      </c>
      <c r="L345" s="26" t="str">
        <f>Sheet1!BA345</f>
        <v>No</v>
      </c>
      <c r="M345" s="26" t="str">
        <f>Sheet1!BB345</f>
        <v>No</v>
      </c>
      <c r="N345" s="26">
        <f>Sheet1!BC345</f>
        <v>0</v>
      </c>
    </row>
    <row r="346">
      <c r="A346" s="26" t="str">
        <f>(Sheet1!A346)</f>
        <v>1_-Np_EbJqeVZ8B325ImuW6uakkiS-qdfsGdlzPQkB_o</v>
      </c>
      <c r="B346" s="26" t="str">
        <f>(Sheet1!B346)</f>
        <v>Unique Motors (ANS) -Madhepura </v>
      </c>
      <c r="C346" s="26">
        <f>'Balance Sheet'!$DX346</f>
        <v>0</v>
      </c>
      <c r="D346" s="26">
        <f>'Old Combined Balance Sheet'!A346 + 'Balance Sheet - FGI Insurance -'!CF346</f>
        <v>0</v>
      </c>
      <c r="E346" s="26">
        <f t="shared" si="2"/>
        <v>0</v>
      </c>
      <c r="F346" s="26" t="str">
        <f>Sheet1!N346</f>
        <v>ANAS MOTORS- SUPAUL</v>
      </c>
      <c r="G346" s="26" t="str">
        <f>Sheet1!O346</f>
        <v>1QVBShIrTLBej8s_qXhBmCICNAN5JsR5KakezwfMLZV0</v>
      </c>
      <c r="H346" s="26" t="str">
        <f>Sheet1!AV346</f>
        <v/>
      </c>
      <c r="I346" s="26" t="str">
        <f>Sheet1!AW346</f>
        <v/>
      </c>
      <c r="J346" s="26" t="str">
        <f>Sheet1!P346</f>
        <v>Sub Dealer</v>
      </c>
      <c r="K346" s="26" t="str">
        <f>Sheet1!AZ346</f>
        <v>No</v>
      </c>
      <c r="L346" s="26" t="str">
        <f>Sheet1!BA346</f>
        <v>No</v>
      </c>
      <c r="M346" s="26" t="str">
        <f>Sheet1!BB346</f>
        <v>No</v>
      </c>
      <c r="N346" s="26">
        <f>Sheet1!BC346</f>
        <v>0</v>
      </c>
    </row>
    <row r="347">
      <c r="A347" s="26" t="str">
        <f>(Sheet1!A347)</f>
        <v>1ijZUuNYW1E8zpyUwJzSL5TYbwYKb9s-saRb04DNVH0s</v>
      </c>
      <c r="B347" s="26" t="str">
        <f>(Sheet1!B347)</f>
        <v>Unique Motors (ANS) - Saharsa</v>
      </c>
      <c r="C347" s="26">
        <f>'Balance Sheet'!$DX347</f>
        <v>0</v>
      </c>
      <c r="D347" s="26">
        <f>'Old Combined Balance Sheet'!A347 + 'Balance Sheet - FGI Insurance -'!CF347</f>
        <v>0</v>
      </c>
      <c r="E347" s="26">
        <f t="shared" si="2"/>
        <v>0</v>
      </c>
      <c r="F347" s="26" t="str">
        <f>Sheet1!N347</f>
        <v>ANAS MOTORS- SUPAUL</v>
      </c>
      <c r="G347" s="26" t="str">
        <f>Sheet1!O347</f>
        <v>1QVBShIrTLBej8s_qXhBmCICNAN5JsR5KakezwfMLZV0</v>
      </c>
      <c r="H347" s="26" t="str">
        <f>Sheet1!AV347</f>
        <v/>
      </c>
      <c r="I347" s="26" t="str">
        <f>Sheet1!AW347</f>
        <v/>
      </c>
      <c r="J347" s="26" t="str">
        <f>Sheet1!P347</f>
        <v>Sub Dealer</v>
      </c>
      <c r="K347" s="26" t="str">
        <f>Sheet1!AZ347</f>
        <v>No</v>
      </c>
      <c r="L347" s="26" t="str">
        <f>Sheet1!BA347</f>
        <v>No</v>
      </c>
      <c r="M347" s="26" t="str">
        <f>Sheet1!BB347</f>
        <v>No</v>
      </c>
      <c r="N347" s="26">
        <f>Sheet1!BC347</f>
        <v>0</v>
      </c>
    </row>
    <row r="348">
      <c r="A348" s="26" t="str">
        <f>(Sheet1!A348)</f>
        <v>1OmbiJkLdWoT3pUPafzGjcE6RP8KNKayDMZiTcehiZhY</v>
      </c>
      <c r="B348" s="26" t="str">
        <f>(Sheet1!B348)</f>
        <v>Autobikes (ANS) - Murliganj </v>
      </c>
      <c r="C348" s="26">
        <f>'Balance Sheet'!$DX348</f>
        <v>0</v>
      </c>
      <c r="D348" s="26">
        <f>'Old Combined Balance Sheet'!A348 + 'Balance Sheet - FGI Insurance -'!CF348</f>
        <v>0</v>
      </c>
      <c r="E348" s="26">
        <f t="shared" si="2"/>
        <v>0</v>
      </c>
      <c r="F348" s="26" t="str">
        <f>Sheet1!N348</f>
        <v>ANAS MOTORS- SUPAUL</v>
      </c>
      <c r="G348" s="26" t="str">
        <f>Sheet1!O348</f>
        <v>1QVBShIrTLBej8s_qXhBmCICNAN5JsR5KakezwfMLZV0</v>
      </c>
      <c r="H348" s="26" t="str">
        <f>Sheet1!AV348</f>
        <v/>
      </c>
      <c r="I348" s="26" t="str">
        <f>Sheet1!AW348</f>
        <v/>
      </c>
      <c r="J348" s="26" t="str">
        <f>Sheet1!P348</f>
        <v>Sub Dealer</v>
      </c>
      <c r="K348" s="26" t="str">
        <f>Sheet1!AZ348</f>
        <v>No</v>
      </c>
      <c r="L348" s="26" t="str">
        <f>Sheet1!BA348</f>
        <v>No</v>
      </c>
      <c r="M348" s="26" t="str">
        <f>Sheet1!BB348</f>
        <v>No</v>
      </c>
      <c r="N348" s="26">
        <f>Sheet1!BC348</f>
        <v>0</v>
      </c>
    </row>
    <row r="349">
      <c r="A349" s="26" t="str">
        <f>(Sheet1!A349)</f>
        <v>14l8FM3O22akR8Zv19TVsq4w4zJQUjB8fnfZsvPRyvqM</v>
      </c>
      <c r="B349" s="26" t="str">
        <f>(Sheet1!B349)</f>
        <v>Autoplaza (ANS) -Simrahi </v>
      </c>
      <c r="C349" s="26">
        <f>'Balance Sheet'!$DX349</f>
        <v>0</v>
      </c>
      <c r="D349" s="26">
        <f>'Old Combined Balance Sheet'!A349 + 'Balance Sheet - FGI Insurance -'!CF349</f>
        <v>0</v>
      </c>
      <c r="E349" s="26">
        <f t="shared" si="2"/>
        <v>0</v>
      </c>
      <c r="F349" s="26" t="str">
        <f>Sheet1!N349</f>
        <v>ANAS MOTORS- SUPAUL</v>
      </c>
      <c r="G349" s="26" t="str">
        <f>Sheet1!O349</f>
        <v>1QVBShIrTLBej8s_qXhBmCICNAN5JsR5KakezwfMLZV0</v>
      </c>
      <c r="H349" s="26" t="str">
        <f>Sheet1!AV349</f>
        <v/>
      </c>
      <c r="I349" s="26" t="str">
        <f>Sheet1!AW349</f>
        <v/>
      </c>
      <c r="J349" s="26" t="str">
        <f>Sheet1!P349</f>
        <v>Sub Dealer</v>
      </c>
      <c r="K349" s="26" t="str">
        <f>Sheet1!AZ349</f>
        <v>No</v>
      </c>
      <c r="L349" s="26" t="str">
        <f>Sheet1!BA349</f>
        <v>No</v>
      </c>
      <c r="M349" s="26" t="str">
        <f>Sheet1!BB349</f>
        <v>No</v>
      </c>
      <c r="N349" s="26">
        <f>Sheet1!BC349</f>
        <v>0</v>
      </c>
    </row>
    <row r="350">
      <c r="A350" s="26" t="str">
        <f>(Sheet1!A350)</f>
        <v>15UOdwT--s7Zl9Su2K5mgFsbjsO9NxCbTdpJ5AlQkVMM</v>
      </c>
      <c r="B350" s="26" t="str">
        <f>(Sheet1!B350)</f>
        <v>KHURANA MOTORS- DEWAS</v>
      </c>
      <c r="C350" s="26">
        <f>'Balance Sheet'!$DX350</f>
        <v>8599.04</v>
      </c>
      <c r="D350" s="26">
        <f>'Old Combined Balance Sheet'!A350 + 'Balance Sheet - FGI Insurance -'!CF350</f>
        <v>0</v>
      </c>
      <c r="E350" s="26">
        <f t="shared" si="2"/>
        <v>8599.04</v>
      </c>
      <c r="F350" s="26" t="str">
        <f>Sheet1!N350</f>
        <v>KHURANA MOTORS- DEWAS</v>
      </c>
      <c r="G350" s="26" t="str">
        <f>Sheet1!O350</f>
        <v>15UOdwT--s7Zl9Su2K5mgFsbjsO9NxCbTdpJ5AlQkVMM</v>
      </c>
      <c r="H350" s="26" t="str">
        <f>Sheet1!AV350</f>
        <v/>
      </c>
      <c r="I350" s="26" t="str">
        <f>Sheet1!AW350</f>
        <v/>
      </c>
      <c r="J350" s="26" t="str">
        <f>Sheet1!P350</f>
        <v>Dealer</v>
      </c>
      <c r="K350" s="26" t="str">
        <f>Sheet1!AZ350</f>
        <v>No</v>
      </c>
      <c r="L350" s="26" t="str">
        <f>Sheet1!BA350</f>
        <v>No</v>
      </c>
      <c r="M350" s="26" t="str">
        <f>Sheet1!BB350</f>
        <v>No</v>
      </c>
      <c r="N350" s="26">
        <f>Sheet1!BC350</f>
        <v>0</v>
      </c>
    </row>
    <row r="351">
      <c r="A351" s="26" t="str">
        <f>(Sheet1!A351)</f>
        <v>19TIXHN68VS31AYbvTLVgoT7ur3ACdybUa6Tgr2NssIw</v>
      </c>
      <c r="B351" s="26" t="str">
        <f>(Sheet1!B351)</f>
        <v>KISHAN AUTOMOBILE- (MA)</v>
      </c>
      <c r="C351" s="26">
        <f>'Balance Sheet'!$DX351</f>
        <v>0</v>
      </c>
      <c r="D351" s="26">
        <f>'Old Combined Balance Sheet'!A351 + 'Balance Sheet - FGI Insurance -'!CF351</f>
        <v>0</v>
      </c>
      <c r="E351" s="26">
        <f t="shared" si="2"/>
        <v>0</v>
      </c>
      <c r="F351" s="26" t="str">
        <f>Sheet1!N351</f>
        <v>Mahabir Automobiles -Sultanpur</v>
      </c>
      <c r="G351" s="26" t="str">
        <f>Sheet1!O351</f>
        <v>1fHCHQnIWmfXqP4jwi-agXjfK1q2zM0BUeG3fwB0qApc</v>
      </c>
      <c r="H351" s="26" t="str">
        <f>Sheet1!AV351</f>
        <v/>
      </c>
      <c r="I351" s="26" t="str">
        <f>Sheet1!AW351</f>
        <v/>
      </c>
      <c r="J351" s="26" t="str">
        <f>Sheet1!P351</f>
        <v>Sub Dealer</v>
      </c>
      <c r="K351" s="26" t="str">
        <f>Sheet1!AZ351</f>
        <v>No</v>
      </c>
      <c r="L351" s="26" t="str">
        <f>Sheet1!BA351</f>
        <v>No</v>
      </c>
      <c r="M351" s="26" t="str">
        <f>Sheet1!BB351</f>
        <v>No</v>
      </c>
      <c r="N351" s="26">
        <f>Sheet1!BC351</f>
        <v>0</v>
      </c>
    </row>
    <row r="352">
      <c r="A352" s="26" t="str">
        <f>(Sheet1!A352)</f>
        <v>1pgLMvBNo6E9kbkAnv0QBIhYBBR1IrW1G6mYv4sWfOmc</v>
      </c>
      <c r="B352" s="26" t="str">
        <f>(Sheet1!B352)</f>
        <v>KISANSKB-(MA)</v>
      </c>
      <c r="C352" s="26">
        <f>'Balance Sheet'!$DX352</f>
        <v>0</v>
      </c>
      <c r="D352" s="26">
        <f>'Old Combined Balance Sheet'!A352 + 'Balance Sheet - FGI Insurance -'!CF352</f>
        <v>0</v>
      </c>
      <c r="E352" s="26">
        <f t="shared" si="2"/>
        <v>0</v>
      </c>
      <c r="F352" s="26" t="str">
        <f>Sheet1!N352</f>
        <v>Mahabir Automobiles -Sultanpur</v>
      </c>
      <c r="G352" s="26" t="str">
        <f>Sheet1!O352</f>
        <v>1fHCHQnIWmfXqP4jwi-agXjfK1q2zM0BUeG3fwB0qApc</v>
      </c>
      <c r="H352" s="26" t="str">
        <f>Sheet1!AV352</f>
        <v/>
      </c>
      <c r="I352" s="26" t="str">
        <f>Sheet1!AW352</f>
        <v/>
      </c>
      <c r="J352" s="26" t="str">
        <f>Sheet1!P352</f>
        <v>Sub Dealer</v>
      </c>
      <c r="K352" s="26" t="str">
        <f>Sheet1!AZ352</f>
        <v>No</v>
      </c>
      <c r="L352" s="26" t="str">
        <f>Sheet1!BA352</f>
        <v>No</v>
      </c>
      <c r="M352" s="26" t="str">
        <f>Sheet1!BB352</f>
        <v>No</v>
      </c>
      <c r="N352" s="26">
        <f>Sheet1!BC352</f>
        <v>0</v>
      </c>
    </row>
    <row r="353">
      <c r="A353" s="26" t="str">
        <f>(Sheet1!A353)</f>
        <v>1_wqbP8y90HVN-akJ64Qqd1i2hjJPFweXimmLRe7vvbg</v>
      </c>
      <c r="B353" s="26" t="str">
        <f>(Sheet1!B353)</f>
        <v>Kanha automobiles-Baldirai(MA)</v>
      </c>
      <c r="C353" s="26">
        <f>'Balance Sheet'!$DX353</f>
        <v>0</v>
      </c>
      <c r="D353" s="26">
        <f>'Old Combined Balance Sheet'!A353 + 'Balance Sheet - FGI Insurance -'!CF353</f>
        <v>0</v>
      </c>
      <c r="E353" s="26">
        <f t="shared" si="2"/>
        <v>0</v>
      </c>
      <c r="F353" s="26" t="str">
        <f>Sheet1!N353</f>
        <v>Mahabir Automobiles -Sultanpur</v>
      </c>
      <c r="G353" s="26" t="str">
        <f>Sheet1!O353</f>
        <v>1fHCHQnIWmfXqP4jwi-agXjfK1q2zM0BUeG3fwB0qApc</v>
      </c>
      <c r="H353" s="26" t="str">
        <f>Sheet1!AV353</f>
        <v/>
      </c>
      <c r="I353" s="26" t="str">
        <f>Sheet1!AW353</f>
        <v/>
      </c>
      <c r="J353" s="26" t="str">
        <f>Sheet1!P353</f>
        <v>Sub Dealer</v>
      </c>
      <c r="K353" s="26" t="str">
        <f>Sheet1!AZ353</f>
        <v>No</v>
      </c>
      <c r="L353" s="26" t="str">
        <f>Sheet1!BA353</f>
        <v>No</v>
      </c>
      <c r="M353" s="26" t="str">
        <f>Sheet1!BB353</f>
        <v>No</v>
      </c>
      <c r="N353" s="26">
        <f>Sheet1!BC353</f>
        <v>0</v>
      </c>
    </row>
    <row r="354">
      <c r="A354" s="26" t="str">
        <f>(Sheet1!A354)</f>
        <v>19NDu3EYtq9wEdW_s5MHQnnQjuWO6F7LAEyvadXaaoHg</v>
      </c>
      <c r="B354" s="26" t="str">
        <f>(Sheet1!B354)</f>
        <v>Sharan automobiles-Wallipur(MA)</v>
      </c>
      <c r="C354" s="26">
        <f>'Balance Sheet'!$DX354</f>
        <v>0</v>
      </c>
      <c r="D354" s="26">
        <f>'Old Combined Balance Sheet'!A354 + 'Balance Sheet - FGI Insurance -'!CF354</f>
        <v>0</v>
      </c>
      <c r="E354" s="26">
        <f t="shared" si="2"/>
        <v>0</v>
      </c>
      <c r="F354" s="26" t="str">
        <f>Sheet1!N354</f>
        <v>Mahabir Automobiles -Sultanpur</v>
      </c>
      <c r="G354" s="26" t="str">
        <f>Sheet1!O354</f>
        <v>1fHCHQnIWmfXqP4jwi-agXjfK1q2zM0BUeG3fwB0qApc</v>
      </c>
      <c r="H354" s="26" t="str">
        <f>Sheet1!AV354</f>
        <v/>
      </c>
      <c r="I354" s="26" t="str">
        <f>Sheet1!AW354</f>
        <v/>
      </c>
      <c r="J354" s="26" t="str">
        <f>Sheet1!P354</f>
        <v>Sub Dealer</v>
      </c>
      <c r="K354" s="26" t="str">
        <f>Sheet1!AZ354</f>
        <v>No</v>
      </c>
      <c r="L354" s="26" t="str">
        <f>Sheet1!BA354</f>
        <v>No</v>
      </c>
      <c r="M354" s="26" t="str">
        <f>Sheet1!BB354</f>
        <v>No</v>
      </c>
      <c r="N354" s="26">
        <f>Sheet1!BC354</f>
        <v>0</v>
      </c>
    </row>
    <row r="355">
      <c r="A355" s="26" t="str">
        <f>(Sheet1!A355)</f>
        <v>1KUr1bjytPw-Vpy-d3SSzwdi3dOB5ZCQ6mJezbdLS4wo</v>
      </c>
      <c r="B355" s="26" t="str">
        <f>(Sheet1!B355)</f>
        <v>Hind Automobiles-Munsiganj(MA)</v>
      </c>
      <c r="C355" s="26">
        <f>'Balance Sheet'!$DX355</f>
        <v>0</v>
      </c>
      <c r="D355" s="26">
        <f>'Old Combined Balance Sheet'!A355 + 'Balance Sheet - FGI Insurance -'!CF355</f>
        <v>0</v>
      </c>
      <c r="E355" s="26">
        <f t="shared" si="2"/>
        <v>0</v>
      </c>
      <c r="F355" s="26" t="str">
        <f>Sheet1!N355</f>
        <v>Mahabir Automobiles -Sultanpur</v>
      </c>
      <c r="G355" s="26" t="str">
        <f>Sheet1!O355</f>
        <v>1fHCHQnIWmfXqP4jwi-agXjfK1q2zM0BUeG3fwB0qApc</v>
      </c>
      <c r="H355" s="26" t="str">
        <f>Sheet1!AV355</f>
        <v/>
      </c>
      <c r="I355" s="26" t="str">
        <f>Sheet1!AW355</f>
        <v/>
      </c>
      <c r="J355" s="26" t="str">
        <f>Sheet1!P355</f>
        <v>Sub Dealer</v>
      </c>
      <c r="K355" s="26" t="str">
        <f>Sheet1!AZ355</f>
        <v>No</v>
      </c>
      <c r="L355" s="26" t="str">
        <f>Sheet1!BA355</f>
        <v>No</v>
      </c>
      <c r="M355" s="26" t="str">
        <f>Sheet1!BB355</f>
        <v>No</v>
      </c>
      <c r="N355" s="26">
        <f>Sheet1!BC355</f>
        <v>0</v>
      </c>
    </row>
    <row r="356">
      <c r="A356" s="26" t="str">
        <f>(Sheet1!A356)</f>
        <v>1tTA5e4_FfYUM4c7CROCUCMKoFZEqa0MTF7qor1K6Di4</v>
      </c>
      <c r="B356" s="26" t="str">
        <f>(Sheet1!B356)</f>
        <v>Haji Saleemuddin Automobiles (BA) - Sahawar</v>
      </c>
      <c r="C356" s="26">
        <f>'Balance Sheet'!$DX356</f>
        <v>0</v>
      </c>
      <c r="D356" s="26">
        <f>'Old Combined Balance Sheet'!A356 + 'Balance Sheet - FGI Insurance -'!CF356</f>
        <v>0</v>
      </c>
      <c r="E356" s="26">
        <f t="shared" si="2"/>
        <v>0</v>
      </c>
      <c r="F356" s="26" t="str">
        <f>Sheet1!N356</f>
        <v>Bharat Auto - Kasganj</v>
      </c>
      <c r="G356" s="26" t="str">
        <f>Sheet1!O356</f>
        <v>14s_HeeebHqLRTUCX5FSlJ3K7aiTvnkajbPMefm6jg1M</v>
      </c>
      <c r="H356" s="26" t="str">
        <f>Sheet1!AV356</f>
        <v/>
      </c>
      <c r="I356" s="26" t="str">
        <f>Sheet1!AW356</f>
        <v/>
      </c>
      <c r="J356" s="26" t="str">
        <f>Sheet1!P356</f>
        <v>Sub Dealer</v>
      </c>
      <c r="K356" s="26" t="str">
        <f>Sheet1!AZ356</f>
        <v>No</v>
      </c>
      <c r="L356" s="26" t="str">
        <f>Sheet1!BA356</f>
        <v>No</v>
      </c>
      <c r="M356" s="26" t="str">
        <f>Sheet1!BB356</f>
        <v>No</v>
      </c>
      <c r="N356" s="26">
        <f>Sheet1!BC356</f>
        <v>0</v>
      </c>
    </row>
    <row r="357">
      <c r="A357" s="26" t="str">
        <f>(Sheet1!A357)</f>
        <v>1zpjD0n2MDMpnv6d3XmAb2OMfLjhiWI0P_3JnMudl7oI</v>
      </c>
      <c r="B357" s="26" t="str">
        <f>(Sheet1!B357)</f>
        <v>BHARAT HERO - ISLAMPUR</v>
      </c>
      <c r="C357" s="26">
        <f>'Balance Sheet'!$DX357</f>
        <v>3777.7</v>
      </c>
      <c r="D357" s="26">
        <f>'Old Combined Balance Sheet'!A357 + 'Balance Sheet - FGI Insurance -'!CF357</f>
        <v>0</v>
      </c>
      <c r="E357" s="26">
        <f t="shared" si="2"/>
        <v>3777.7</v>
      </c>
      <c r="F357" s="26" t="str">
        <f>Sheet1!N357</f>
        <v>BHARAT HERO - ISLAMPUR</v>
      </c>
      <c r="G357" s="26" t="str">
        <f>Sheet1!O357</f>
        <v>1zpjD0n2MDMpnv6d3XmAb2OMfLjhiWI0P_3JnMudl7oI</v>
      </c>
      <c r="H357" s="26" t="str">
        <f>Sheet1!AV357</f>
        <v/>
      </c>
      <c r="I357" s="26" t="str">
        <f>Sheet1!AW357</f>
        <v/>
      </c>
      <c r="J357" s="26" t="str">
        <f>Sheet1!P357</f>
        <v>Dealer</v>
      </c>
      <c r="K357" s="26" t="str">
        <f>Sheet1!AZ357</f>
        <v>No</v>
      </c>
      <c r="L357" s="26" t="str">
        <f>Sheet1!BA357</f>
        <v>No</v>
      </c>
      <c r="M357" s="26" t="str">
        <f>Sheet1!BB357</f>
        <v>No</v>
      </c>
      <c r="N357" s="26">
        <f>Sheet1!BC357</f>
        <v>0</v>
      </c>
    </row>
    <row r="358">
      <c r="A358" s="26" t="str">
        <f>(Sheet1!A358)</f>
        <v>1jfpEW8cuuUihhL5SOgSGnhE6g038H7_TOjUmP2QGajY</v>
      </c>
      <c r="B358" s="26" t="str">
        <f>(Sheet1!B358)</f>
        <v>ZUMMERWALA TVS- VADODRA</v>
      </c>
      <c r="C358" s="26">
        <f>'Balance Sheet'!$DX358</f>
        <v>1405</v>
      </c>
      <c r="D358" s="26">
        <f>'Old Combined Balance Sheet'!A358 + 'Balance Sheet - FGI Insurance -'!CF358</f>
        <v>0</v>
      </c>
      <c r="E358" s="26">
        <f t="shared" si="2"/>
        <v>1405</v>
      </c>
      <c r="F358" s="26" t="str">
        <f>Sheet1!N358</f>
        <v>ZUMMERWALA TVS- VADODRA</v>
      </c>
      <c r="G358" s="26" t="str">
        <f>Sheet1!O358</f>
        <v>1jfpEW8cuuUihhL5SOgSGnhE6g038H7_TOjUmP2QGajY</v>
      </c>
      <c r="H358" s="26" t="str">
        <f>Sheet1!AV358</f>
        <v/>
      </c>
      <c r="I358" s="26" t="str">
        <f>Sheet1!AW358</f>
        <v/>
      </c>
      <c r="J358" s="26" t="str">
        <f>Sheet1!P358</f>
        <v>Dealer</v>
      </c>
      <c r="K358" s="26" t="str">
        <f>Sheet1!AZ358</f>
        <v>No</v>
      </c>
      <c r="L358" s="26" t="str">
        <f>Sheet1!BA358</f>
        <v>No</v>
      </c>
      <c r="M358" s="26" t="str">
        <f>Sheet1!BB358</f>
        <v>No</v>
      </c>
      <c r="N358" s="26">
        <f>Sheet1!BC358</f>
        <v>0</v>
      </c>
    </row>
    <row r="359">
      <c r="A359" s="26" t="str">
        <f>(Sheet1!A359)</f>
        <v>1DQYkbRSa6wFMMmm22_BiLeCMnUHyYyz8B4ypIjKAxsI</v>
      </c>
      <c r="B359" s="26" t="str">
        <f>(Sheet1!B359)</f>
        <v>VINAYAK MOTORS (GA) - SAMAUR</v>
      </c>
      <c r="C359" s="26">
        <f>'Balance Sheet'!$DX359</f>
        <v>0</v>
      </c>
      <c r="D359" s="26">
        <f>'Old Combined Balance Sheet'!A359 + 'Balance Sheet - FGI Insurance -'!CF359</f>
        <v>0</v>
      </c>
      <c r="E359" s="26">
        <f t="shared" si="2"/>
        <v>0</v>
      </c>
      <c r="F359" s="26" t="str">
        <f>Sheet1!N359</f>
        <v>Gupta Automobiles - Padrauna</v>
      </c>
      <c r="G359" s="26" t="str">
        <f>Sheet1!O359</f>
        <v>1Ql_6BdBcHGAyITSZt1pNUK3bW54CzeThIBXr7aH7K3Y</v>
      </c>
      <c r="H359" s="26" t="str">
        <f>Sheet1!AV359</f>
        <v/>
      </c>
      <c r="I359" s="26" t="str">
        <f>Sheet1!AW359</f>
        <v/>
      </c>
      <c r="J359" s="26" t="str">
        <f>Sheet1!P359</f>
        <v>Sub Dealer</v>
      </c>
      <c r="K359" s="26" t="str">
        <f>Sheet1!AZ359</f>
        <v>No</v>
      </c>
      <c r="L359" s="26" t="str">
        <f>Sheet1!BA359</f>
        <v>No</v>
      </c>
      <c r="M359" s="26" t="str">
        <f>Sheet1!BB359</f>
        <v>No</v>
      </c>
      <c r="N359" s="26">
        <f>Sheet1!BC359</f>
        <v>0</v>
      </c>
    </row>
    <row r="360">
      <c r="A360" s="26" t="str">
        <f>(Sheet1!A360)</f>
        <v>1fMAoCtyh4vodLMi1U0F_zWZwZ5rFDaCBLM-jtJs7o0I</v>
      </c>
      <c r="B360" s="26" t="str">
        <f>(Sheet1!B360)</f>
        <v>SHYAM AUTOMOBILES (GA) - Jataha Road Bhairoganj bajar</v>
      </c>
      <c r="C360" s="26">
        <f>'Balance Sheet'!$DX360</f>
        <v>0</v>
      </c>
      <c r="D360" s="26" t="str">
        <f>'Balance Sheet - FGI Insurance'!$BX360</f>
        <v/>
      </c>
      <c r="E360" s="26">
        <f t="shared" si="2"/>
        <v>0</v>
      </c>
      <c r="F360" s="26" t="str">
        <f>Sheet1!N360</f>
        <v>Gupta Automobiles - Padrauna</v>
      </c>
      <c r="G360" s="26" t="str">
        <f>Sheet1!O360</f>
        <v>1Ql_6BdBcHGAyITSZt1pNUK3bW54CzeThIBXr7aH7K3Y</v>
      </c>
      <c r="H360" s="26" t="str">
        <f>Sheet1!AV360</f>
        <v/>
      </c>
      <c r="I360" s="26" t="str">
        <f>Sheet1!AW360</f>
        <v/>
      </c>
      <c r="J360" s="26" t="str">
        <f>Sheet1!P360</f>
        <v>Sub Dealer</v>
      </c>
      <c r="K360" s="26" t="str">
        <f>Sheet1!AZ360</f>
        <v>No</v>
      </c>
      <c r="L360" s="26" t="str">
        <f>Sheet1!BA360</f>
        <v>No</v>
      </c>
      <c r="M360" s="26" t="str">
        <f>Sheet1!BB360</f>
        <v>No</v>
      </c>
      <c r="N360" s="26">
        <f>Sheet1!BC360</f>
        <v>0</v>
      </c>
    </row>
    <row r="361">
      <c r="A361" s="26" t="str">
        <f>(Sheet1!A361)</f>
        <v>17-i_J4Fqa8xoYSEn5aPKSTGcpk9iFdx1SsEd6pRjLjw</v>
      </c>
      <c r="B361" s="26" t="str">
        <f>(Sheet1!B361)</f>
        <v>SUMITRA SONS TILHAR ( SSS)</v>
      </c>
      <c r="C361" s="26">
        <f>'Balance Sheet'!$DX361</f>
        <v>0</v>
      </c>
      <c r="D361" s="26" t="str">
        <f>'Balance Sheet - FGI Insurance'!$BX361</f>
        <v/>
      </c>
      <c r="E361" s="26">
        <f t="shared" si="2"/>
        <v>0</v>
      </c>
      <c r="F361" s="26" t="str">
        <f>Sheet1!N361</f>
        <v>Sumitra Sons - Shahajahanpur</v>
      </c>
      <c r="G361" s="26" t="str">
        <f>Sheet1!O361</f>
        <v>11FZlKtFUzBvNAVUVwf1C2KpyoxHhbZTiI7E_EdPr-mg</v>
      </c>
      <c r="H361" s="26" t="str">
        <f>Sheet1!AV361</f>
        <v/>
      </c>
      <c r="I361" s="26" t="str">
        <f>Sheet1!AW361</f>
        <v/>
      </c>
      <c r="J361" s="26" t="str">
        <f>Sheet1!P361</f>
        <v>Sub Dealer</v>
      </c>
      <c r="K361" s="26" t="str">
        <f>Sheet1!AZ361</f>
        <v>No</v>
      </c>
      <c r="L361" s="26" t="str">
        <f>Sheet1!BA361</f>
        <v>No</v>
      </c>
      <c r="M361" s="26" t="str">
        <f>Sheet1!BB361</f>
        <v>No</v>
      </c>
      <c r="N361" s="26">
        <f>Sheet1!BC361</f>
        <v>0</v>
      </c>
    </row>
    <row r="362">
      <c r="A362" s="26" t="str">
        <f>(Sheet1!A362)</f>
        <v>1WtIXh5GrBWalMc8PB3ysoiWCCaU9S6-a-IzQ6nCHe40</v>
      </c>
      <c r="B362" s="26" t="str">
        <f>(Sheet1!B362)</f>
        <v>Darshan sons Roza (SSS)</v>
      </c>
      <c r="C362" s="26">
        <f>'Balance Sheet'!$DX362</f>
        <v>0</v>
      </c>
      <c r="D362" s="26" t="str">
        <f>'Balance Sheet - FGI Insurance'!$BX362</f>
        <v/>
      </c>
      <c r="E362" s="26">
        <f t="shared" si="2"/>
        <v>0</v>
      </c>
      <c r="F362" s="26" t="str">
        <f>Sheet1!N362</f>
        <v>Sumitra Sons - Shahajahanpur</v>
      </c>
      <c r="G362" s="26" t="str">
        <f>Sheet1!O362</f>
        <v>11FZlKtFUzBvNAVUVwf1C2KpyoxHhbZTiI7E_EdPr-mg</v>
      </c>
      <c r="H362" s="26" t="str">
        <f>Sheet1!AV362</f>
        <v/>
      </c>
      <c r="I362" s="26" t="str">
        <f>Sheet1!AW362</f>
        <v/>
      </c>
      <c r="J362" s="26" t="str">
        <f>Sheet1!P362</f>
        <v>Sub Dealer</v>
      </c>
      <c r="K362" s="26" t="str">
        <f>Sheet1!AZ362</f>
        <v>No</v>
      </c>
      <c r="L362" s="26" t="str">
        <f>Sheet1!BA362</f>
        <v>No</v>
      </c>
      <c r="M362" s="26" t="str">
        <f>Sheet1!BB362</f>
        <v>No</v>
      </c>
      <c r="N362" s="26">
        <f>Sheet1!BC362</f>
        <v>0</v>
      </c>
    </row>
    <row r="363">
      <c r="A363" s="26" t="str">
        <f>(Sheet1!A363)</f>
        <v>1mcnBZEebWnvF0roguMy0NFJRLZnkCfEaD9uh5qnfKo8</v>
      </c>
      <c r="B363" s="26" t="str">
        <f>(Sheet1!B363)</f>
        <v>SUMITRA SONS WORKSHOP (SSS)</v>
      </c>
      <c r="C363" s="26">
        <f>'Balance Sheet'!$DX363</f>
        <v>0</v>
      </c>
      <c r="D363" s="26" t="str">
        <f>'Balance Sheet - FGI Insurance'!$BX363</f>
        <v/>
      </c>
      <c r="E363" s="26">
        <f t="shared" si="2"/>
        <v>0</v>
      </c>
      <c r="F363" s="26" t="str">
        <f>Sheet1!N363</f>
        <v>Sumitra Sons - Shahajahanpur</v>
      </c>
      <c r="G363" s="26" t="str">
        <f>Sheet1!O363</f>
        <v>11FZlKtFUzBvNAVUVwf1C2KpyoxHhbZTiI7E_EdPr-mg</v>
      </c>
      <c r="H363" s="26" t="str">
        <f>Sheet1!AV363</f>
        <v/>
      </c>
      <c r="I363" s="26" t="str">
        <f>Sheet1!AW363</f>
        <v/>
      </c>
      <c r="J363" s="26" t="str">
        <f>Sheet1!P363</f>
        <v>Sub Dealer</v>
      </c>
      <c r="K363" s="26" t="str">
        <f>Sheet1!AZ363</f>
        <v>No</v>
      </c>
      <c r="L363" s="26" t="str">
        <f>Sheet1!BA363</f>
        <v>No</v>
      </c>
      <c r="M363" s="26" t="str">
        <f>Sheet1!BB363</f>
        <v>No</v>
      </c>
      <c r="N363" s="26">
        <f>Sheet1!BC363</f>
        <v>0</v>
      </c>
    </row>
    <row r="364">
      <c r="A364" s="26" t="str">
        <f>(Sheet1!A364)</f>
        <v>1VORE0_UOf5S1wnSQfC7106jxOHchCIeVIqu4Myti3XM</v>
      </c>
      <c r="B364" s="26" t="str">
        <f>(Sheet1!B364)</f>
        <v>JMV AUTOMOBILES (MA) - ALIGANJ</v>
      </c>
      <c r="C364" s="26">
        <f>'Balance Sheet'!$DX364</f>
        <v>0</v>
      </c>
      <c r="D364" s="26" t="str">
        <f>'Balance Sheet - FGI Insurance'!$BX364</f>
        <v/>
      </c>
      <c r="E364" s="26">
        <f t="shared" si="2"/>
        <v>0</v>
      </c>
      <c r="F364" s="26" t="str">
        <f>Sheet1!N364</f>
        <v>Mahabir Automobiles -Sultanpur</v>
      </c>
      <c r="G364" s="26" t="str">
        <f>Sheet1!O364</f>
        <v>1fHCHQnIWmfXqP4jwi-agXjfK1q2zM0BUeG3fwB0qApc</v>
      </c>
      <c r="H364" s="26" t="str">
        <f>Sheet1!AV364</f>
        <v/>
      </c>
      <c r="I364" s="26" t="str">
        <f>Sheet1!AW364</f>
        <v/>
      </c>
      <c r="J364" s="26" t="str">
        <f>Sheet1!P364</f>
        <v>Sub Dealer</v>
      </c>
      <c r="K364" s="26" t="str">
        <f>Sheet1!AZ364</f>
        <v>No</v>
      </c>
      <c r="L364" s="26" t="str">
        <f>Sheet1!BA364</f>
        <v>No</v>
      </c>
      <c r="M364" s="26" t="str">
        <f>Sheet1!BB364</f>
        <v>No</v>
      </c>
      <c r="N364" s="26">
        <f>Sheet1!BC364</f>
        <v>0</v>
      </c>
    </row>
    <row r="365">
      <c r="A365" s="26" t="str">
        <f>(Sheet1!A365)</f>
        <v>17KbeHPShWeUJUQe1m08N3LECmT7K9fG7E4WgslCRijQ</v>
      </c>
      <c r="B365" s="26" t="str">
        <f>(Sheet1!B365)</f>
        <v>Sanjay Automobiles (SBH)-Kairana</v>
      </c>
      <c r="C365" s="26">
        <f>'Balance Sheet'!$DX365</f>
        <v>0</v>
      </c>
      <c r="D365" s="26" t="str">
        <f>'Balance Sheet - FGI Insurance'!$BX365</f>
        <v/>
      </c>
      <c r="E365" s="26">
        <f t="shared" si="2"/>
        <v>0</v>
      </c>
      <c r="F365" s="26" t="str">
        <f>Sheet1!N365</f>
        <v>Shri Balaji Hero - Muzaffarnagar</v>
      </c>
      <c r="G365" s="26" t="str">
        <f>Sheet1!O365</f>
        <v>1qJGCYN0EdS2nWGXVYAHwXqSjiLE2C95anQkkbLONbKQ</v>
      </c>
      <c r="H365" s="26" t="str">
        <f>Sheet1!AV365</f>
        <v/>
      </c>
      <c r="I365" s="26" t="str">
        <f>Sheet1!AW365</f>
        <v/>
      </c>
      <c r="J365" s="26" t="str">
        <f>Sheet1!P365</f>
        <v>Sub Dealer</v>
      </c>
      <c r="K365" s="26" t="str">
        <f>Sheet1!AZ365</f>
        <v>No</v>
      </c>
      <c r="L365" s="26" t="str">
        <f>Sheet1!BA365</f>
        <v>No</v>
      </c>
      <c r="M365" s="26" t="str">
        <f>Sheet1!BB365</f>
        <v>No</v>
      </c>
      <c r="N365" s="26">
        <f>Sheet1!BC365</f>
        <v>0</v>
      </c>
    </row>
  </sheetData>
  <conditionalFormatting sqref="E2:E366">
    <cfRule type="cellIs" dxfId="0" priority="1" operator="lessThan">
      <formula>0</formula>
    </cfRule>
  </conditionalFormatting>
  <conditionalFormatting sqref="E2:E366">
    <cfRule type="cellIs" dxfId="1" priority="2" operator="equal">
      <formula>0</formula>
    </cfRule>
  </conditionalFormatting>
  <conditionalFormatting sqref="E2:E366">
    <cfRule type="cellIs" dxfId="2" priority="3" operator="greaterThan">
      <formula>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8.0"/>
    <col customWidth="1" min="2" max="2" width="34.75"/>
    <col customWidth="1" min="3" max="3" width="14.0"/>
    <col customWidth="1" hidden="1" min="4" max="4" width="27.75"/>
    <col customWidth="1" min="5" max="5" width="18.13"/>
    <col customWidth="1" min="6" max="6" width="10.38"/>
    <col customWidth="1" hidden="1" min="7" max="7" width="19.13"/>
    <col customWidth="1" hidden="1" min="8" max="8" width="14.0"/>
    <col customWidth="1" min="9" max="9" width="14.5"/>
    <col customWidth="1" min="10" max="10" width="16.5"/>
    <col customWidth="1" min="11" max="11" width="10.5"/>
    <col customWidth="1" hidden="1" min="12" max="12" width="24.38"/>
    <col customWidth="1" hidden="1" min="13" max="13" width="21.0"/>
    <col customWidth="1" min="14" max="14" width="14.63"/>
    <col customWidth="1" min="15" max="16" width="15.75"/>
    <col customWidth="1" hidden="1" min="17" max="18" width="19.88"/>
    <col customWidth="1" min="19" max="20" width="19.88"/>
    <col customWidth="1" min="21" max="21" width="22.38"/>
    <col customWidth="1" hidden="1" min="22" max="23" width="22.38"/>
    <col customWidth="1" min="24" max="24" width="26.38"/>
    <col customWidth="1" min="25" max="25" width="33.88"/>
    <col customWidth="1" min="26" max="26" width="28.0"/>
    <col customWidth="1" hidden="1" min="27" max="28" width="28.0"/>
    <col customWidth="1" min="29" max="29" width="32.0"/>
    <col customWidth="1" min="30" max="31" width="22.75"/>
    <col customWidth="1" hidden="1" min="32" max="33" width="22.75"/>
    <col customWidth="1" min="34" max="34" width="26.75"/>
    <col customWidth="1" min="35" max="36" width="29.0"/>
    <col customWidth="1" hidden="1" min="37" max="38" width="29.0"/>
    <col customWidth="1" min="39" max="39" width="33.13"/>
    <col customWidth="1" min="40" max="41" width="27.0"/>
    <col customWidth="1" hidden="1" min="42" max="43" width="27.0"/>
    <col customWidth="1" min="44" max="44" width="31.13"/>
    <col customWidth="1" min="45" max="45" width="19.5"/>
    <col customWidth="1" min="46" max="46" width="13.63"/>
    <col customWidth="1" hidden="1" min="47" max="47" width="27.5"/>
    <col customWidth="1" hidden="1" min="48" max="48" width="24.0"/>
    <col customWidth="1" min="49" max="49" width="17.63"/>
    <col customWidth="1" min="50" max="50" width="16.38"/>
    <col customWidth="1" min="51" max="51" width="16.5"/>
    <col customWidth="1" hidden="1" min="52" max="53" width="14.13"/>
    <col customWidth="1" min="54" max="54" width="20.63"/>
    <col customWidth="1" min="55" max="56" width="14.13"/>
    <col customWidth="1" hidden="1" min="57" max="58" width="14.13"/>
    <col customWidth="1" min="59" max="61" width="14.13"/>
    <col customWidth="1" hidden="1" min="62" max="63" width="14.13"/>
    <col customWidth="1" min="64" max="64" width="14.13"/>
    <col customWidth="1" hidden="1" min="65" max="89" width="14.13"/>
    <col customWidth="1" min="90" max="90" width="10.75"/>
    <col customWidth="1" min="91" max="91" width="16.5"/>
    <col customWidth="1" min="92" max="92" width="20.75"/>
    <col customWidth="1" min="93" max="93" width="26.0"/>
    <col customWidth="1" min="94" max="94" width="9.63"/>
    <col customWidth="1" min="95" max="95" width="9.5"/>
    <col customWidth="1" min="96" max="96" width="8.88"/>
    <col customWidth="1" min="97" max="97" width="16.5"/>
    <col customWidth="1" hidden="1" min="98" max="98" width="23.75"/>
    <col customWidth="1" hidden="1" min="99" max="100" width="12.38"/>
    <col customWidth="1" min="101" max="101" width="14.75"/>
    <col customWidth="1" min="102" max="102" width="12.25"/>
    <col customWidth="1" min="103" max="103" width="19.0"/>
    <col customWidth="1" min="104" max="104" width="19.13"/>
    <col customWidth="1" min="105" max="105" width="30.5"/>
    <col customWidth="1" min="106" max="106" width="12.25"/>
    <col customWidth="1" min="107" max="108" width="16.88"/>
    <col customWidth="1" min="109" max="109" width="17.75"/>
    <col customWidth="1" min="110" max="110" width="15.0"/>
    <col customWidth="1" hidden="1" min="111" max="111" width="14.38"/>
    <col customWidth="1" hidden="1" min="112" max="112" width="15.13"/>
    <col customWidth="1" hidden="1" min="113" max="113" width="16.5"/>
    <col customWidth="1" hidden="1" min="114" max="115" width="16.88"/>
    <col customWidth="1" hidden="1" min="116" max="116" width="21.88"/>
    <col customWidth="1" hidden="1" min="117" max="117" width="15.13"/>
    <col customWidth="1" hidden="1" min="118" max="123" width="19.88"/>
    <col customWidth="1" min="124" max="124" width="19.88"/>
    <col customWidth="1" min="125" max="125" width="18.13"/>
    <col customWidth="1" min="126" max="126" width="10.13"/>
    <col customWidth="1" min="127" max="127" width="14.0"/>
    <col customWidth="1" min="128" max="128" width="16.63"/>
    <col customWidth="1" min="129" max="129" width="15.75"/>
    <col customWidth="1" min="130" max="130" width="23.75"/>
    <col customWidth="1" min="131" max="131" width="32.88"/>
    <col customWidth="1" min="132" max="132" width="14.5"/>
    <col customWidth="1" min="133" max="133" width="10.0"/>
    <col customWidth="1" min="134" max="134" width="21.13"/>
  </cols>
  <sheetData>
    <row r="1">
      <c r="A1" s="27" t="s">
        <v>0</v>
      </c>
      <c r="B1" s="28" t="s">
        <v>1</v>
      </c>
      <c r="C1" s="27" t="s">
        <v>3712</v>
      </c>
      <c r="D1" s="27" t="s">
        <v>3713</v>
      </c>
      <c r="E1" s="27" t="s">
        <v>3714</v>
      </c>
      <c r="F1" s="27" t="s">
        <v>3715</v>
      </c>
      <c r="G1" s="27" t="s">
        <v>3716</v>
      </c>
      <c r="H1" s="27" t="s">
        <v>3717</v>
      </c>
      <c r="I1" s="27" t="s">
        <v>3718</v>
      </c>
      <c r="J1" s="27" t="s">
        <v>3719</v>
      </c>
      <c r="K1" s="27" t="s">
        <v>3720</v>
      </c>
      <c r="L1" s="27" t="s">
        <v>3721</v>
      </c>
      <c r="M1" s="27" t="s">
        <v>3722</v>
      </c>
      <c r="N1" s="28" t="s">
        <v>3723</v>
      </c>
      <c r="O1" s="27" t="s">
        <v>3724</v>
      </c>
      <c r="P1" s="27" t="s">
        <v>3725</v>
      </c>
      <c r="Q1" s="27" t="s">
        <v>3726</v>
      </c>
      <c r="R1" s="27" t="s">
        <v>3727</v>
      </c>
      <c r="S1" s="27" t="s">
        <v>3728</v>
      </c>
      <c r="T1" s="27" t="s">
        <v>3729</v>
      </c>
      <c r="U1" s="27" t="s">
        <v>3730</v>
      </c>
      <c r="V1" s="27" t="s">
        <v>3731</v>
      </c>
      <c r="W1" s="27" t="s">
        <v>3732</v>
      </c>
      <c r="X1" s="27" t="s">
        <v>3733</v>
      </c>
      <c r="Y1" s="27" t="s">
        <v>3734</v>
      </c>
      <c r="Z1" s="27" t="s">
        <v>3735</v>
      </c>
      <c r="AA1" s="27" t="s">
        <v>3736</v>
      </c>
      <c r="AB1" s="27" t="s">
        <v>3737</v>
      </c>
      <c r="AC1" s="27" t="s">
        <v>3738</v>
      </c>
      <c r="AD1" s="27" t="s">
        <v>3739</v>
      </c>
      <c r="AE1" s="27" t="s">
        <v>3740</v>
      </c>
      <c r="AF1" s="27" t="s">
        <v>3741</v>
      </c>
      <c r="AG1" s="27" t="s">
        <v>3742</v>
      </c>
      <c r="AH1" s="27" t="s">
        <v>3743</v>
      </c>
      <c r="AI1" s="27" t="s">
        <v>3744</v>
      </c>
      <c r="AJ1" s="27" t="s">
        <v>3745</v>
      </c>
      <c r="AK1" s="27" t="s">
        <v>3746</v>
      </c>
      <c r="AL1" s="27" t="s">
        <v>3747</v>
      </c>
      <c r="AM1" s="27" t="s">
        <v>3748</v>
      </c>
      <c r="AN1" s="27" t="s">
        <v>3749</v>
      </c>
      <c r="AO1" s="27" t="s">
        <v>3750</v>
      </c>
      <c r="AP1" s="27" t="s">
        <v>3751</v>
      </c>
      <c r="AQ1" s="27" t="s">
        <v>3752</v>
      </c>
      <c r="AR1" s="27" t="s">
        <v>3753</v>
      </c>
      <c r="AS1" s="27" t="s">
        <v>3754</v>
      </c>
      <c r="AT1" s="27" t="s">
        <v>3755</v>
      </c>
      <c r="AU1" s="27" t="s">
        <v>3756</v>
      </c>
      <c r="AV1" s="27" t="s">
        <v>3757</v>
      </c>
      <c r="AW1" s="27" t="s">
        <v>3758</v>
      </c>
      <c r="AX1" s="27" t="s">
        <v>3759</v>
      </c>
      <c r="AY1" s="27" t="s">
        <v>3760</v>
      </c>
      <c r="AZ1" s="27" t="s">
        <v>3761</v>
      </c>
      <c r="BA1" s="27" t="s">
        <v>3762</v>
      </c>
      <c r="BB1" s="27" t="s">
        <v>3763</v>
      </c>
      <c r="BC1" s="27" t="s">
        <v>3764</v>
      </c>
      <c r="BD1" s="27" t="s">
        <v>3765</v>
      </c>
      <c r="BE1" s="27" t="s">
        <v>3766</v>
      </c>
      <c r="BF1" s="27" t="s">
        <v>3767</v>
      </c>
      <c r="BG1" s="27" t="s">
        <v>3768</v>
      </c>
      <c r="BH1" s="27" t="s">
        <v>3769</v>
      </c>
      <c r="BI1" s="27" t="s">
        <v>3770</v>
      </c>
      <c r="BJ1" s="27" t="s">
        <v>3771</v>
      </c>
      <c r="BK1" s="27" t="s">
        <v>3772</v>
      </c>
      <c r="BL1" s="27" t="s">
        <v>3773</v>
      </c>
      <c r="BM1" s="27" t="s">
        <v>3774</v>
      </c>
      <c r="BN1" s="27" t="s">
        <v>3774</v>
      </c>
      <c r="BO1" s="27" t="s">
        <v>3774</v>
      </c>
      <c r="BP1" s="27" t="s">
        <v>3774</v>
      </c>
      <c r="BQ1" s="27" t="s">
        <v>3774</v>
      </c>
      <c r="BR1" s="27" t="s">
        <v>3774</v>
      </c>
      <c r="BS1" s="27" t="s">
        <v>3774</v>
      </c>
      <c r="BT1" s="27" t="s">
        <v>3774</v>
      </c>
      <c r="BU1" s="27" t="s">
        <v>3774</v>
      </c>
      <c r="BV1" s="27" t="s">
        <v>3774</v>
      </c>
      <c r="BW1" s="27" t="s">
        <v>3774</v>
      </c>
      <c r="BX1" s="27" t="s">
        <v>3774</v>
      </c>
      <c r="BY1" s="27" t="s">
        <v>3774</v>
      </c>
      <c r="BZ1" s="27" t="s">
        <v>3774</v>
      </c>
      <c r="CA1" s="27" t="s">
        <v>3774</v>
      </c>
      <c r="CB1" s="27" t="s">
        <v>3774</v>
      </c>
      <c r="CC1" s="27" t="s">
        <v>3774</v>
      </c>
      <c r="CD1" s="27" t="s">
        <v>3774</v>
      </c>
      <c r="CE1" s="27" t="s">
        <v>3774</v>
      </c>
      <c r="CF1" s="27" t="s">
        <v>3774</v>
      </c>
      <c r="CG1" s="27" t="s">
        <v>3774</v>
      </c>
      <c r="CH1" s="27" t="s">
        <v>3774</v>
      </c>
      <c r="CI1" s="27" t="s">
        <v>3774</v>
      </c>
      <c r="CJ1" s="27" t="s">
        <v>3774</v>
      </c>
      <c r="CK1" s="27" t="s">
        <v>3774</v>
      </c>
      <c r="CL1" s="27" t="s">
        <v>3775</v>
      </c>
      <c r="CM1" s="27" t="s">
        <v>3776</v>
      </c>
      <c r="CN1" s="27" t="s">
        <v>3777</v>
      </c>
      <c r="CO1" s="27" t="s">
        <v>3778</v>
      </c>
      <c r="CP1" s="27" t="s">
        <v>3779</v>
      </c>
      <c r="CQ1" s="27" t="s">
        <v>3780</v>
      </c>
      <c r="CR1" s="27" t="s">
        <v>3781</v>
      </c>
      <c r="CS1" s="27" t="s">
        <v>3782</v>
      </c>
      <c r="CT1" s="27" t="s">
        <v>3783</v>
      </c>
      <c r="CU1" s="27" t="s">
        <v>3784</v>
      </c>
      <c r="CV1" s="27" t="s">
        <v>3785</v>
      </c>
      <c r="CW1" s="27" t="s">
        <v>3786</v>
      </c>
      <c r="CX1" s="27" t="s">
        <v>3787</v>
      </c>
      <c r="CY1" s="27" t="s">
        <v>3788</v>
      </c>
      <c r="CZ1" s="27" t="s">
        <v>3789</v>
      </c>
      <c r="DA1" s="27" t="s">
        <v>3790</v>
      </c>
      <c r="DB1" s="27" t="s">
        <v>3791</v>
      </c>
      <c r="DC1" s="27" t="s">
        <v>3792</v>
      </c>
      <c r="DD1" s="27" t="s">
        <v>3793</v>
      </c>
      <c r="DE1" s="27" t="s">
        <v>3794</v>
      </c>
      <c r="DF1" s="27" t="s">
        <v>3795</v>
      </c>
      <c r="DG1" s="27" t="s">
        <v>3796</v>
      </c>
      <c r="DH1" s="27" t="s">
        <v>3797</v>
      </c>
      <c r="DI1" s="27" t="s">
        <v>3798</v>
      </c>
      <c r="DJ1" s="27" t="s">
        <v>3799</v>
      </c>
      <c r="DK1" s="27" t="s">
        <v>3800</v>
      </c>
      <c r="DL1" s="27" t="s">
        <v>3801</v>
      </c>
      <c r="DM1" s="27" t="s">
        <v>3802</v>
      </c>
      <c r="DN1" s="29" t="s">
        <v>3803</v>
      </c>
      <c r="DO1" s="29" t="s">
        <v>3804</v>
      </c>
      <c r="DP1" s="29" t="s">
        <v>3805</v>
      </c>
      <c r="DQ1" s="29" t="s">
        <v>3806</v>
      </c>
      <c r="DR1" s="29" t="s">
        <v>3807</v>
      </c>
      <c r="DS1" s="29" t="s">
        <v>3808</v>
      </c>
      <c r="DT1" s="27" t="s">
        <v>3809</v>
      </c>
      <c r="DU1" s="27" t="s">
        <v>3810</v>
      </c>
      <c r="DV1" s="27" t="s">
        <v>3811</v>
      </c>
      <c r="DW1" s="27" t="s">
        <v>3812</v>
      </c>
      <c r="DX1" s="27" t="s">
        <v>3813</v>
      </c>
      <c r="DY1" s="27" t="s">
        <v>3814</v>
      </c>
      <c r="DZ1" s="27" t="s">
        <v>3815</v>
      </c>
      <c r="EA1" s="27" t="s">
        <v>13</v>
      </c>
      <c r="EB1" s="27" t="s">
        <v>14</v>
      </c>
      <c r="EC1" s="27" t="s">
        <v>15</v>
      </c>
      <c r="ED1" s="27" t="s">
        <v>3816</v>
      </c>
    </row>
    <row r="2">
      <c r="A2" s="25" t="str">
        <f>(Sheet1!A2)</f>
        <v>1ClXh28BQwwGN7Q42xt0Dc8b_R_3jweBItLcbwVq3Rj0</v>
      </c>
      <c r="B2" s="25" t="str">
        <f>(Sheet1!B2)</f>
        <v>MPS</v>
      </c>
      <c r="C2" s="30" t="s">
        <v>13</v>
      </c>
      <c r="D2" s="30" t="s">
        <v>72</v>
      </c>
      <c r="E2" s="30" t="s">
        <v>3817</v>
      </c>
      <c r="F2" s="31">
        <v>205.0</v>
      </c>
      <c r="G2" s="32" t="s">
        <v>3818</v>
      </c>
      <c r="H2" s="31">
        <v>100.0</v>
      </c>
      <c r="I2" s="33">
        <f>'Old Balance Sheet'!A2 + 'ACPL Calculations - 1.0'!A2 + 'ACPL Calculations - 2.0'!A2</f>
        <v>1</v>
      </c>
      <c r="J2" s="30" t="s">
        <v>3817</v>
      </c>
      <c r="K2" s="31">
        <v>205.0</v>
      </c>
      <c r="L2" s="32" t="s">
        <v>3818</v>
      </c>
      <c r="M2" s="31">
        <v>100.0</v>
      </c>
      <c r="N2" s="33">
        <f>'Old Balance Sheet'!B2 + 'ACPL Calculations - 1.0'!B2 + 'ACPL Calculations - 2.0'!B2</f>
        <v>0</v>
      </c>
      <c r="O2" s="30" t="s">
        <v>3817</v>
      </c>
      <c r="P2" s="31">
        <v>290.0</v>
      </c>
      <c r="Q2" s="32" t="s">
        <v>3818</v>
      </c>
      <c r="R2" s="31">
        <v>100.0</v>
      </c>
      <c r="S2" s="33">
        <f>'Old Balance Sheet'!C2 + 'ACPL Calculations - 1.0'!C2 + 'ACPL Calculations - 2.0'!C2</f>
        <v>3</v>
      </c>
      <c r="T2" s="30" t="s">
        <v>3817</v>
      </c>
      <c r="U2" s="31">
        <v>375.0</v>
      </c>
      <c r="V2" s="32" t="s">
        <v>3818</v>
      </c>
      <c r="W2" s="31">
        <v>100.0</v>
      </c>
      <c r="X2" s="33">
        <f>'Old Balance Sheet'!D2 + 'ACPL Calculations - 1.0'!D2 + 'ACPL Calculations - 2.0'!D2</f>
        <v>0</v>
      </c>
      <c r="Y2" s="30" t="s">
        <v>3817</v>
      </c>
      <c r="Z2" s="31">
        <v>460.0</v>
      </c>
      <c r="AA2" s="32" t="s">
        <v>3818</v>
      </c>
      <c r="AB2" s="31">
        <v>100.0</v>
      </c>
      <c r="AC2" s="33">
        <f>'Old Balance Sheet'!E2 + 'ACPL Calculations - 1.0'!E2 + 'ACPL Calculations - 2.0'!E2</f>
        <v>0</v>
      </c>
      <c r="AD2" s="30" t="s">
        <v>3817</v>
      </c>
      <c r="AE2" s="34">
        <v>838.99</v>
      </c>
      <c r="AF2" s="32" t="s">
        <v>3818</v>
      </c>
      <c r="AG2" s="31">
        <v>100.0</v>
      </c>
      <c r="AH2" s="33">
        <f>'Old Balance Sheet'!F2 + 'ACPL Calculations - 1.0'!F2 + 'ACPL Calculations - 2.0'!F2</f>
        <v>0</v>
      </c>
      <c r="AI2" s="30" t="s">
        <v>3817</v>
      </c>
      <c r="AJ2" s="31">
        <v>375.0</v>
      </c>
      <c r="AK2" s="32" t="s">
        <v>3818</v>
      </c>
      <c r="AL2" s="31">
        <v>100.0</v>
      </c>
      <c r="AM2" s="33">
        <f>'Old Balance Sheet'!G2 + 'ACPL Calculations - 1.0'!G2 + 'ACPL Calculations - 2.0'!G2</f>
        <v>0</v>
      </c>
      <c r="AN2" s="30" t="s">
        <v>3817</v>
      </c>
      <c r="AO2" s="31">
        <v>290.0</v>
      </c>
      <c r="AP2" s="32" t="s">
        <v>3818</v>
      </c>
      <c r="AQ2" s="31">
        <v>100.0</v>
      </c>
      <c r="AR2" s="33">
        <f>'Old Balance Sheet'!H2 + 'ACPL Calculations - 1.0'!H2 + 'ACPL Calculations - 2.0'!H2</f>
        <v>0</v>
      </c>
      <c r="AS2" s="30" t="s">
        <v>3819</v>
      </c>
      <c r="AT2" s="31">
        <v>838.99</v>
      </c>
      <c r="AU2" s="32" t="s">
        <v>3818</v>
      </c>
      <c r="AV2" s="31">
        <v>100.0</v>
      </c>
      <c r="AW2" s="33">
        <f>'Old Balance Sheet'!I2 + 'ACPL Calculations - 1.0'!I2 + 'ACPL Calculations - 2.0'!I2</f>
        <v>0</v>
      </c>
      <c r="AX2" s="30" t="s">
        <v>3817</v>
      </c>
      <c r="AY2" s="31">
        <v>290.0</v>
      </c>
      <c r="AZ2" s="32" t="s">
        <v>3818</v>
      </c>
      <c r="BA2" s="31">
        <v>100.0</v>
      </c>
      <c r="BB2" s="33">
        <f>'Old Balance Sheet'!J2 + 'ACPL Calculations - 1.0'!J2 + 'ACPL Calculations - 2.0'!J2</f>
        <v>0</v>
      </c>
      <c r="BC2" s="30" t="s">
        <v>3817</v>
      </c>
      <c r="BD2" s="31">
        <v>205.0</v>
      </c>
      <c r="BE2" s="32" t="s">
        <v>3818</v>
      </c>
      <c r="BF2" s="31">
        <v>100.0</v>
      </c>
      <c r="BG2" s="33">
        <f>'Old Balance Sheet'!K2 + 'ACPL Calculations - 1.0'!K2 + 'ACPL Calculations - 2.0'!K2</f>
        <v>0</v>
      </c>
      <c r="BH2" s="30" t="s">
        <v>3817</v>
      </c>
      <c r="BI2" s="31">
        <v>205.0</v>
      </c>
      <c r="BJ2" s="32" t="s">
        <v>3818</v>
      </c>
      <c r="BK2" s="31">
        <v>100.0</v>
      </c>
      <c r="BL2" s="33">
        <f>'Old Balance Sheet'!L2 + 'ACPL Calculations - 1.0'!L2 + 'ACPL Calculations - 2.0'!L2</f>
        <v>1</v>
      </c>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f t="shared" ref="CL2:CL359" si="1">I2+N2+S2+X2+AC2+AH2+AM2+AR2+AW2+BB2+BG2+BL2</f>
        <v>5</v>
      </c>
      <c r="CM2" s="33">
        <f>'Old Balance Sheet'!R2 + 'ACPL Calculations - 1.0'!S2 + 'ACPL Calculations - 2.0'!S2</f>
        <v>2216</v>
      </c>
      <c r="CN2" s="33">
        <f>'Old Balance Sheet'!S2 + 'ACPL Calculations - 1.0'!T2 + 'ACPL Calculations - 2.0'!T2</f>
        <v>1025</v>
      </c>
      <c r="CO2" s="33">
        <f t="shared" ref="CO2:CO365" si="2">CN2+CS2</f>
        <v>1363.03</v>
      </c>
      <c r="CP2" s="33">
        <f>'Old Balance Sheet'!T2 + 'ACPL Calculations - 1.0'!V2 + 'ACPL Calculations - 2.0'!V2</f>
        <v>105.56</v>
      </c>
      <c r="CQ2" s="33">
        <f>'Old Balance Sheet'!U2 + 'ACPL Calculations - 1.0'!W2 + 'ACPL Calculations - 2.0'!W2</f>
        <v>105.56</v>
      </c>
      <c r="CR2" s="33">
        <f>'Old Balance Sheet'!V2 + 'ACPL Calculations - 1.0'!X2 + 'ACPL Calculations - 2.0'!X2</f>
        <v>126.91</v>
      </c>
      <c r="CS2" s="33">
        <f t="shared" ref="CS2:CS365" si="3">CP2+CQ2+CR2</f>
        <v>338.03</v>
      </c>
      <c r="CT2" s="35"/>
      <c r="CU2" s="35"/>
      <c r="CV2" s="35"/>
      <c r="CW2" s="36">
        <f>'Old Balance Sheet'!W2 + 'ACPL Calculations - 1.0'!Z2 + 'ACPL Calculations - 2.0'!Z2</f>
        <v>2433.47</v>
      </c>
      <c r="CX2" s="36">
        <f>'Old Balance Sheet'!X2 + 'ACPL Calculations - 1.0'!AA2 + 'ACPL Calculations - 2.0'!AA2</f>
        <v>2225.69</v>
      </c>
      <c r="CY2" s="37">
        <v>0.0</v>
      </c>
      <c r="CZ2" s="38">
        <f>'Old Balance Sheet'!Y2 + 'ACPL Calculations - 1.0'!AB2 + 'ACPL Calculations - 2.0'!AB2</f>
        <v>1442.45</v>
      </c>
      <c r="DA2" s="38">
        <f>'Old Balance Sheet'!Z2 + 'ACPL Calculations - 1.0'!AC2 + 'ACPL Calculations - 2.0'!AC2</f>
        <v>1162.53</v>
      </c>
      <c r="DB2" s="38">
        <f>'Old Balance Sheet'!AA2 + 'ACPL Calculations - 1.0'!AD2 + 'ACPL Calculations - 2.0'!AD2</f>
        <v>72.14</v>
      </c>
      <c r="DC2" s="38">
        <f>'Old Balance Sheet'!AB2 + 'ACPL Calculations - 1.0'!AE2 + 'ACPL Calculations - 2.0'!AE2</f>
        <v>207.78</v>
      </c>
      <c r="DD2" s="38">
        <f t="shared" ref="DD2:DD365" si="4">DC2-DF2+CY2</f>
        <v>207.78</v>
      </c>
      <c r="DE2" s="33">
        <f t="shared" ref="DE2:DE362" si="5">IF(DX2 &gt;= 0,DC2,IF(DC2 &lt;= -DX2,0,SUM(DC2, DX2)))</f>
        <v>0</v>
      </c>
      <c r="DF2" s="35">
        <v>0.0</v>
      </c>
      <c r="DG2" s="35">
        <v>0.0</v>
      </c>
      <c r="DH2" s="35">
        <v>0.0</v>
      </c>
      <c r="DI2" s="35">
        <v>0.0</v>
      </c>
      <c r="DJ2" s="35">
        <v>0.0</v>
      </c>
      <c r="DK2" s="35">
        <v>0.0</v>
      </c>
      <c r="DL2" s="35">
        <v>0.0</v>
      </c>
      <c r="DM2" s="35">
        <v>0.0</v>
      </c>
      <c r="DN2" s="31">
        <v>0.0</v>
      </c>
      <c r="DO2" s="31">
        <v>0.0</v>
      </c>
      <c r="DP2" s="31">
        <v>0.0</v>
      </c>
      <c r="DQ2" s="31">
        <v>0.0</v>
      </c>
      <c r="DR2" s="31">
        <v>0.0</v>
      </c>
      <c r="DS2" s="31">
        <v>0.0</v>
      </c>
      <c r="DT2" s="31">
        <f>'Old Balance Sheet'!AC2</f>
        <v>0</v>
      </c>
      <c r="DU2" s="31">
        <f>DT2 + SUMIFS('Payments Log'!D:D, 'Payments Log'!B:B, A2, 'Payments Log'!L:L, "Approved", 'Payments Log'!M:M, "Credit") + 'Old Balance Sheet'!AD2 - 'Old Balance Sheet'!AC2</f>
        <v>0</v>
      </c>
      <c r="DV2" s="31">
        <f>SUMIFS('Payments Log'!D:D, 'Payments Log'!B:B, A2, 'Payments Log'!L:L, "Approved", 'Payments Log'!M:M, "Adjustment Credit") - SUMIFS('Payments Log'!D:D, 'Payments Log'!B:B, A2, 'Payments Log'!L:L, "Approved", 'Payments Log'!M:M, "Adjustment Debit") + 'Old Balance Sheet'!AE2</f>
        <v>0</v>
      </c>
      <c r="DW2" s="31">
        <f>IF(MAXIFS('Payments Log'!N:N, 'Payments Log'!L:L, "Approved", 'Payments Log'!M:M, "Credit", 'Payments Log'!B:B, A2) &gt; MAXIFS('Payments Log'!N:N, 'Payments Log'!L:L, "Approved", 'Payments Log'!M:M, "Virtual Credit", 'Payments Log'!B:B, A2), 0, SUMIFS('Payments Log'!D:D, 'Payments Log'!N:N, MAXIFS('Payments Log'!N:N, 'Payments Log'!L:L, "Approved", 'Payments Log'!M:M, "Virtual Credit", 'Payments Log'!B:B, A2)))</f>
        <v>0</v>
      </c>
      <c r="DX2" s="33">
        <f t="shared" ref="DX2:DX365" si="6">DU2 - CW2 + DW2 + DV2</f>
        <v>-2433.47</v>
      </c>
      <c r="DY2" s="33">
        <f t="shared" ref="DY2:DY365" si="7">DU2 - CX2 + DV2</f>
        <v>-2225.69</v>
      </c>
      <c r="DZ2" s="33">
        <f t="shared" ref="DZ2:DZ365" si="8">DY2-DF2</f>
        <v>-2225.69</v>
      </c>
      <c r="EA2" s="25" t="str">
        <f>(Sheet1!N2)</f>
        <v>MPS</v>
      </c>
      <c r="EB2" s="25" t="str">
        <f>(Sheet1!O2)</f>
        <v>1ClXh28BQwwGN7Q42xt0Dc8b_R_3jweBItLcbwVq3Rj0</v>
      </c>
      <c r="EC2" s="26" t="str">
        <f>(Sheet1!P2)</f>
        <v>Dealer</v>
      </c>
      <c r="ED2" s="34" t="s">
        <v>13</v>
      </c>
    </row>
    <row r="3">
      <c r="A3" s="25" t="str">
        <f>(Sheet1!A3)</f>
        <v>1ksPRehLH7gfgZpnXgiBGZpTtFA-KHaKr32rTQGuz3WY</v>
      </c>
      <c r="B3" s="25" t="str">
        <f>(Sheet1!B3)</f>
        <v>Globe Agencies</v>
      </c>
      <c r="C3" s="30" t="s">
        <v>13</v>
      </c>
      <c r="D3" s="30" t="s">
        <v>72</v>
      </c>
      <c r="E3" s="30" t="s">
        <v>3820</v>
      </c>
      <c r="F3" s="31">
        <v>205.0</v>
      </c>
      <c r="G3" s="32" t="s">
        <v>3818</v>
      </c>
      <c r="H3" s="31">
        <v>100.0</v>
      </c>
      <c r="I3" s="33">
        <f>'Old Balance Sheet'!A3 + 'ACPL Calculations - 1.0'!A3 + 'ACPL Calculations - 2.0'!A3</f>
        <v>0</v>
      </c>
      <c r="J3" s="30" t="s">
        <v>3820</v>
      </c>
      <c r="K3" s="31">
        <v>205.0</v>
      </c>
      <c r="L3" s="32" t="s">
        <v>3818</v>
      </c>
      <c r="M3" s="31">
        <v>100.0</v>
      </c>
      <c r="N3" s="33">
        <f>'Old Balance Sheet'!B3 + 'ACPL Calculations - 1.0'!B3 + 'ACPL Calculations - 2.0'!B3</f>
        <v>0</v>
      </c>
      <c r="O3" s="30" t="s">
        <v>3820</v>
      </c>
      <c r="P3" s="31">
        <v>290.0</v>
      </c>
      <c r="Q3" s="32" t="s">
        <v>3818</v>
      </c>
      <c r="R3" s="31">
        <v>100.0</v>
      </c>
      <c r="S3" s="33">
        <f>'Old Balance Sheet'!C3 + 'ACPL Calculations - 1.0'!C3 + 'ACPL Calculations - 2.0'!C3</f>
        <v>0</v>
      </c>
      <c r="T3" s="30" t="s">
        <v>3820</v>
      </c>
      <c r="U3" s="31">
        <v>375.0</v>
      </c>
      <c r="V3" s="32" t="s">
        <v>3818</v>
      </c>
      <c r="W3" s="31">
        <v>100.0</v>
      </c>
      <c r="X3" s="33">
        <f>'Old Balance Sheet'!D3 + 'ACPL Calculations - 1.0'!D3 + 'ACPL Calculations - 2.0'!D3</f>
        <v>0</v>
      </c>
      <c r="Y3" s="30" t="s">
        <v>3820</v>
      </c>
      <c r="Z3" s="31">
        <v>460.0</v>
      </c>
      <c r="AA3" s="32" t="s">
        <v>3818</v>
      </c>
      <c r="AB3" s="31">
        <v>100.0</v>
      </c>
      <c r="AC3" s="33">
        <f>'Old Balance Sheet'!E3 + 'ACPL Calculations - 1.0'!E3 + 'ACPL Calculations - 2.0'!E3</f>
        <v>0</v>
      </c>
      <c r="AD3" s="30" t="s">
        <v>3820</v>
      </c>
      <c r="AE3" s="34">
        <v>838.99</v>
      </c>
      <c r="AF3" s="32" t="s">
        <v>3818</v>
      </c>
      <c r="AG3" s="31">
        <v>100.0</v>
      </c>
      <c r="AH3" s="33">
        <f>'Old Balance Sheet'!F3 + 'ACPL Calculations - 1.0'!F3 + 'ACPL Calculations - 2.0'!F3</f>
        <v>0</v>
      </c>
      <c r="AI3" s="30" t="s">
        <v>3820</v>
      </c>
      <c r="AJ3" s="31">
        <v>375.0</v>
      </c>
      <c r="AK3" s="32" t="s">
        <v>3818</v>
      </c>
      <c r="AL3" s="31">
        <v>100.0</v>
      </c>
      <c r="AM3" s="33">
        <f>'Old Balance Sheet'!G3 + 'ACPL Calculations - 1.0'!G3 + 'ACPL Calculations - 2.0'!G3</f>
        <v>0</v>
      </c>
      <c r="AN3" s="30" t="s">
        <v>3820</v>
      </c>
      <c r="AO3" s="31">
        <v>290.0</v>
      </c>
      <c r="AP3" s="32" t="s">
        <v>3818</v>
      </c>
      <c r="AQ3" s="31">
        <v>100.0</v>
      </c>
      <c r="AR3" s="33">
        <f>'Old Balance Sheet'!H3 + 'ACPL Calculations - 1.0'!H3 + 'ACPL Calculations - 2.0'!H3</f>
        <v>0</v>
      </c>
      <c r="AS3" s="30" t="s">
        <v>3819</v>
      </c>
      <c r="AT3" s="31">
        <v>838.99</v>
      </c>
      <c r="AU3" s="32" t="s">
        <v>3818</v>
      </c>
      <c r="AV3" s="31">
        <v>100.0</v>
      </c>
      <c r="AW3" s="33">
        <f>'Old Balance Sheet'!I3 + 'ACPL Calculations - 1.0'!I3 + 'ACPL Calculations - 2.0'!I3</f>
        <v>0</v>
      </c>
      <c r="AX3" s="30" t="s">
        <v>3820</v>
      </c>
      <c r="AY3" s="31">
        <v>290.0</v>
      </c>
      <c r="AZ3" s="32" t="s">
        <v>3818</v>
      </c>
      <c r="BA3" s="31">
        <v>100.0</v>
      </c>
      <c r="BB3" s="33">
        <f>'Old Balance Sheet'!J3 + 'ACPL Calculations - 1.0'!J3 + 'ACPL Calculations - 2.0'!J3</f>
        <v>0</v>
      </c>
      <c r="BC3" s="30" t="s">
        <v>3820</v>
      </c>
      <c r="BD3" s="31">
        <v>205.0</v>
      </c>
      <c r="BE3" s="32" t="s">
        <v>3818</v>
      </c>
      <c r="BF3" s="31">
        <v>100.0</v>
      </c>
      <c r="BG3" s="33">
        <f>'Old Balance Sheet'!K3 + 'ACPL Calculations - 1.0'!K3 + 'ACPL Calculations - 2.0'!K3</f>
        <v>0</v>
      </c>
      <c r="BH3" s="30" t="s">
        <v>3820</v>
      </c>
      <c r="BI3" s="31">
        <v>205.0</v>
      </c>
      <c r="BJ3" s="32" t="s">
        <v>3818</v>
      </c>
      <c r="BK3" s="31">
        <v>100.0</v>
      </c>
      <c r="BL3" s="33">
        <f>'Old Balance Sheet'!L3 + 'ACPL Calculations - 1.0'!L3 + 'ACPL Calculations - 2.0'!L3</f>
        <v>0</v>
      </c>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f t="shared" si="1"/>
        <v>0</v>
      </c>
      <c r="CM3" s="33">
        <f>'Old Balance Sheet'!R3 + 'ACPL Calculations - 1.0'!S3 + 'ACPL Calculations - 2.0'!S3</f>
        <v>0</v>
      </c>
      <c r="CN3" s="33">
        <f>'Old Balance Sheet'!S3 + 'ACPL Calculations - 1.0'!T3 + 'ACPL Calculations - 2.0'!T3</f>
        <v>0</v>
      </c>
      <c r="CO3" s="33">
        <f t="shared" si="2"/>
        <v>0</v>
      </c>
      <c r="CP3" s="33">
        <f>'Old Balance Sheet'!T3 + 'ACPL Calculations - 1.0'!V3 + 'ACPL Calculations - 2.0'!V3</f>
        <v>0</v>
      </c>
      <c r="CQ3" s="33">
        <f>'Old Balance Sheet'!U3 + 'ACPL Calculations - 1.0'!W3 + 'ACPL Calculations - 2.0'!W3</f>
        <v>0</v>
      </c>
      <c r="CR3" s="33">
        <f>'Old Balance Sheet'!V3 + 'ACPL Calculations - 1.0'!X3 + 'ACPL Calculations - 2.0'!X3</f>
        <v>0</v>
      </c>
      <c r="CS3" s="33">
        <f t="shared" si="3"/>
        <v>0</v>
      </c>
      <c r="CT3" s="35"/>
      <c r="CU3" s="35"/>
      <c r="CV3" s="35"/>
      <c r="CW3" s="36">
        <f>'Old Balance Sheet'!W3 + 'ACPL Calculations - 1.0'!Z3 + 'ACPL Calculations - 2.0'!Z3</f>
        <v>0</v>
      </c>
      <c r="CX3" s="36">
        <f>'Old Balance Sheet'!X3 + 'ACPL Calculations - 1.0'!AA3 + 'ACPL Calculations - 2.0'!AA3</f>
        <v>0</v>
      </c>
      <c r="CY3" s="37">
        <v>0.0</v>
      </c>
      <c r="CZ3" s="38">
        <f>'Old Balance Sheet'!Y3 + 'ACPL Calculations - 1.0'!AB3 + 'ACPL Calculations - 2.0'!AB3</f>
        <v>0</v>
      </c>
      <c r="DA3" s="38">
        <f>'Old Balance Sheet'!Z3 + 'ACPL Calculations - 1.0'!AC3 + 'ACPL Calculations - 2.0'!AC3</f>
        <v>0</v>
      </c>
      <c r="DB3" s="38">
        <f>'Old Balance Sheet'!AA3 + 'ACPL Calculations - 1.0'!AD3 + 'ACPL Calculations - 2.0'!AD3</f>
        <v>0</v>
      </c>
      <c r="DC3" s="38">
        <f>'Old Balance Sheet'!AB3 + 'ACPL Calculations - 1.0'!AE3 + 'ACPL Calculations - 2.0'!AE3</f>
        <v>0</v>
      </c>
      <c r="DD3" s="38">
        <f t="shared" si="4"/>
        <v>0</v>
      </c>
      <c r="DE3" s="33">
        <f t="shared" si="5"/>
        <v>0</v>
      </c>
      <c r="DF3" s="35">
        <v>0.0</v>
      </c>
      <c r="DG3" s="35">
        <v>0.0</v>
      </c>
      <c r="DH3" s="35">
        <v>0.0</v>
      </c>
      <c r="DI3" s="35">
        <v>0.0</v>
      </c>
      <c r="DJ3" s="35">
        <v>0.0</v>
      </c>
      <c r="DK3" s="35">
        <v>0.0</v>
      </c>
      <c r="DL3" s="35">
        <v>0.0</v>
      </c>
      <c r="DM3" s="35">
        <v>0.0</v>
      </c>
      <c r="DN3" s="31">
        <v>0.0</v>
      </c>
      <c r="DO3" s="31">
        <v>0.0</v>
      </c>
      <c r="DP3" s="31">
        <v>0.0</v>
      </c>
      <c r="DQ3" s="31">
        <v>0.0</v>
      </c>
      <c r="DR3" s="31">
        <v>0.0</v>
      </c>
      <c r="DS3" s="31">
        <v>0.0</v>
      </c>
      <c r="DT3" s="31">
        <f>'Old Balance Sheet'!AC3</f>
        <v>0</v>
      </c>
      <c r="DU3" s="31">
        <f>DT3 + SUMIFS('Payments Log'!D:D, 'Payments Log'!B:B, A3, 'Payments Log'!L:L, "Approved", 'Payments Log'!M:M, "Credit") + 'Old Balance Sheet'!AD3 - 'Old Balance Sheet'!AC3</f>
        <v>0</v>
      </c>
      <c r="DV3" s="31">
        <f>SUMIFS('Payments Log'!D:D, 'Payments Log'!B:B, A3, 'Payments Log'!L:L, "Approved", 'Payments Log'!M:M, "Adjustment Credit") - SUMIFS('Payments Log'!D:D, 'Payments Log'!B:B, A3, 'Payments Log'!L:L, "Approved", 'Payments Log'!M:M, "Adjustment Debit") + 'Old Balance Sheet'!AE3</f>
        <v>0</v>
      </c>
      <c r="DW3" s="31">
        <f>IF(MAXIFS('Payments Log'!N:N, 'Payments Log'!L:L, "Approved", 'Payments Log'!M:M, "Credit", 'Payments Log'!B:B, A3) &gt; MAXIFS('Payments Log'!N:N, 'Payments Log'!L:L, "Approved", 'Payments Log'!M:M, "Virtual Credit", 'Payments Log'!B:B, A3), 0, SUMIFS('Payments Log'!D:D, 'Payments Log'!N:N, MAXIFS('Payments Log'!N:N, 'Payments Log'!L:L, "Approved", 'Payments Log'!M:M, "Virtual Credit", 'Payments Log'!B:B, A3)))</f>
        <v>0</v>
      </c>
      <c r="DX3" s="33">
        <f t="shared" si="6"/>
        <v>0</v>
      </c>
      <c r="DY3" s="33">
        <f t="shared" si="7"/>
        <v>0</v>
      </c>
      <c r="DZ3" s="33">
        <f t="shared" si="8"/>
        <v>0</v>
      </c>
      <c r="EA3" s="25" t="str">
        <f>(Sheet1!N3)</f>
        <v>Globe Agencies</v>
      </c>
      <c r="EB3" s="25" t="str">
        <f>(Sheet1!O3)</f>
        <v>1ksPRehLH7gfgZpnXgiBGZpTtFA-KHaKr32rTQGuz3WY</v>
      </c>
      <c r="EC3" s="26" t="str">
        <f>(Sheet1!P3)</f>
        <v>Dealer</v>
      </c>
      <c r="ED3" s="34" t="s">
        <v>13</v>
      </c>
    </row>
    <row r="4">
      <c r="A4" s="25" t="str">
        <f>(Sheet1!A4)</f>
        <v>184Y3L-ZLT7vcLiFDItIcLa-18phpzEbgBCBDgt_LGCQ</v>
      </c>
      <c r="B4" s="25" t="str">
        <f>(Sheet1!B4)</f>
        <v>Jain Motorcycle Company</v>
      </c>
      <c r="C4" s="30" t="s">
        <v>13</v>
      </c>
      <c r="D4" s="30" t="s">
        <v>72</v>
      </c>
      <c r="E4" s="30" t="s">
        <v>3820</v>
      </c>
      <c r="F4" s="31">
        <v>160.0</v>
      </c>
      <c r="G4" s="32" t="s">
        <v>3818</v>
      </c>
      <c r="H4" s="31">
        <v>100.0</v>
      </c>
      <c r="I4" s="33">
        <f>'Old Balance Sheet'!A4 + 'ACPL Calculations - 1.0'!A4 + 'ACPL Calculations - 2.0'!A4</f>
        <v>4723</v>
      </c>
      <c r="J4" s="30" t="s">
        <v>3820</v>
      </c>
      <c r="K4" s="31">
        <v>160.0</v>
      </c>
      <c r="L4" s="32" t="s">
        <v>3818</v>
      </c>
      <c r="M4" s="31">
        <v>100.0</v>
      </c>
      <c r="N4" s="33">
        <f>'Old Balance Sheet'!B4 + 'ACPL Calculations - 1.0'!B4 + 'ACPL Calculations - 2.0'!B4</f>
        <v>0</v>
      </c>
      <c r="O4" s="30" t="s">
        <v>3820</v>
      </c>
      <c r="P4" s="31">
        <v>160.0</v>
      </c>
      <c r="Q4" s="32" t="s">
        <v>3818</v>
      </c>
      <c r="R4" s="31">
        <v>100.0</v>
      </c>
      <c r="S4" s="33">
        <f>'Old Balance Sheet'!C4 + 'ACPL Calculations - 1.0'!C4 + 'ACPL Calculations - 2.0'!C4</f>
        <v>0</v>
      </c>
      <c r="T4" s="30" t="s">
        <v>3820</v>
      </c>
      <c r="U4" s="31">
        <v>160.0</v>
      </c>
      <c r="V4" s="32" t="s">
        <v>3818</v>
      </c>
      <c r="W4" s="31">
        <v>100.0</v>
      </c>
      <c r="X4" s="33">
        <f>'Old Balance Sheet'!D4 + 'ACPL Calculations - 1.0'!D4 + 'ACPL Calculations - 2.0'!D4</f>
        <v>2</v>
      </c>
      <c r="Y4" s="30" t="s">
        <v>3820</v>
      </c>
      <c r="Z4" s="31">
        <v>160.0</v>
      </c>
      <c r="AA4" s="32" t="s">
        <v>3818</v>
      </c>
      <c r="AB4" s="31">
        <v>100.0</v>
      </c>
      <c r="AC4" s="33">
        <f>'Old Balance Sheet'!E4 + 'ACPL Calculations - 1.0'!E4 + 'ACPL Calculations - 2.0'!E4</f>
        <v>885</v>
      </c>
      <c r="AD4" s="30" t="s">
        <v>3820</v>
      </c>
      <c r="AE4" s="34">
        <v>838.99</v>
      </c>
      <c r="AF4" s="32" t="s">
        <v>3818</v>
      </c>
      <c r="AG4" s="31">
        <v>100.0</v>
      </c>
      <c r="AH4" s="33">
        <f>'Old Balance Sheet'!F4 + 'ACPL Calculations - 1.0'!F4 + 'ACPL Calculations - 2.0'!F4</f>
        <v>0</v>
      </c>
      <c r="AI4" s="30" t="s">
        <v>3820</v>
      </c>
      <c r="AJ4" s="31">
        <v>160.0</v>
      </c>
      <c r="AK4" s="32" t="s">
        <v>3818</v>
      </c>
      <c r="AL4" s="31">
        <v>100.0</v>
      </c>
      <c r="AM4" s="33">
        <f>'Old Balance Sheet'!G4 + 'ACPL Calculations - 1.0'!G4 + 'ACPL Calculations - 2.0'!G4</f>
        <v>0</v>
      </c>
      <c r="AN4" s="30" t="s">
        <v>3820</v>
      </c>
      <c r="AO4" s="31">
        <v>160.0</v>
      </c>
      <c r="AP4" s="32" t="s">
        <v>3818</v>
      </c>
      <c r="AQ4" s="31">
        <v>100.0</v>
      </c>
      <c r="AR4" s="33">
        <f>'Old Balance Sheet'!H4 + 'ACPL Calculations - 1.0'!H4 + 'ACPL Calculations - 2.0'!H4</f>
        <v>647</v>
      </c>
      <c r="AS4" s="30" t="s">
        <v>3819</v>
      </c>
      <c r="AT4" s="31">
        <v>838.99</v>
      </c>
      <c r="AU4" s="32" t="s">
        <v>3818</v>
      </c>
      <c r="AV4" s="31">
        <v>100.0</v>
      </c>
      <c r="AW4" s="33">
        <f>'Old Balance Sheet'!I4 + 'ACPL Calculations - 1.0'!I4 + 'ACPL Calculations - 2.0'!I4</f>
        <v>0</v>
      </c>
      <c r="AX4" s="30" t="s">
        <v>3820</v>
      </c>
      <c r="AY4" s="31">
        <v>290.0</v>
      </c>
      <c r="AZ4" s="32" t="s">
        <v>3818</v>
      </c>
      <c r="BA4" s="31">
        <v>100.0</v>
      </c>
      <c r="BB4" s="33">
        <f>'Old Balance Sheet'!J4 + 'ACPL Calculations - 1.0'!J4 + 'ACPL Calculations - 2.0'!J4</f>
        <v>0</v>
      </c>
      <c r="BC4" s="30" t="s">
        <v>3820</v>
      </c>
      <c r="BD4" s="31">
        <v>205.0</v>
      </c>
      <c r="BE4" s="32" t="s">
        <v>3818</v>
      </c>
      <c r="BF4" s="31">
        <v>100.0</v>
      </c>
      <c r="BG4" s="33">
        <f>'Old Balance Sheet'!K4 + 'ACPL Calculations - 1.0'!K4 + 'ACPL Calculations - 2.0'!K4</f>
        <v>0</v>
      </c>
      <c r="BH4" s="30" t="s">
        <v>3820</v>
      </c>
      <c r="BI4" s="31">
        <v>205.0</v>
      </c>
      <c r="BJ4" s="32" t="s">
        <v>3818</v>
      </c>
      <c r="BK4" s="31">
        <v>100.0</v>
      </c>
      <c r="BL4" s="33">
        <f>'Old Balance Sheet'!L4 + 'ACPL Calculations - 1.0'!L4 + 'ACPL Calculations - 2.0'!L4</f>
        <v>0</v>
      </c>
      <c r="BM4" s="33"/>
      <c r="BN4" s="33"/>
      <c r="BO4" s="33"/>
      <c r="BP4" s="33"/>
      <c r="BQ4" s="33"/>
      <c r="BR4" s="33"/>
      <c r="BS4" s="33"/>
      <c r="BT4" s="33"/>
      <c r="BU4" s="33"/>
      <c r="BV4" s="33"/>
      <c r="BW4" s="33"/>
      <c r="BX4" s="33"/>
      <c r="BY4" s="33"/>
      <c r="BZ4" s="33"/>
      <c r="CA4" s="33"/>
      <c r="CB4" s="33"/>
      <c r="CC4" s="33"/>
      <c r="CD4" s="33"/>
      <c r="CE4" s="33"/>
      <c r="CF4" s="33"/>
      <c r="CG4" s="33"/>
      <c r="CH4" s="33"/>
      <c r="CI4" s="33"/>
      <c r="CJ4" s="33"/>
      <c r="CK4" s="33"/>
      <c r="CL4" s="33">
        <f t="shared" si="1"/>
        <v>6257</v>
      </c>
      <c r="CM4" s="33">
        <f>'Old Balance Sheet'!R4 + 'ACPL Calculations - 1.0'!S4 + 'ACPL Calculations - 2.0'!S4</f>
        <v>3957352</v>
      </c>
      <c r="CN4" s="33">
        <f>'Old Balance Sheet'!S4 + 'ACPL Calculations - 1.0'!T4 + 'ACPL Calculations - 2.0'!T4</f>
        <v>1033875</v>
      </c>
      <c r="CO4" s="33">
        <f t="shared" si="2"/>
        <v>1637556.5</v>
      </c>
      <c r="CP4" s="33">
        <f>'Old Balance Sheet'!T4 + 'ACPL Calculations - 1.0'!V4 + 'ACPL Calculations - 2.0'!V4</f>
        <v>475.93</v>
      </c>
      <c r="CQ4" s="33">
        <f>'Old Balance Sheet'!U4 + 'ACPL Calculations - 1.0'!W4 + 'ACPL Calculations - 2.0'!W4</f>
        <v>475.93</v>
      </c>
      <c r="CR4" s="33">
        <f>'Old Balance Sheet'!V4 + 'ACPL Calculations - 1.0'!X4 + 'ACPL Calculations - 2.0'!X4</f>
        <v>602729.64</v>
      </c>
      <c r="CS4" s="33">
        <f t="shared" si="3"/>
        <v>603681.5</v>
      </c>
      <c r="CT4" s="35"/>
      <c r="CU4" s="35"/>
      <c r="CV4" s="35"/>
      <c r="CW4" s="36">
        <f>'Old Balance Sheet'!W4 + 'ACPL Calculations - 1.0'!Z4 + 'ACPL Calculations - 2.0'!Z4</f>
        <v>6076784</v>
      </c>
      <c r="CX4" s="36">
        <f>'Old Balance Sheet'!X4 + 'ACPL Calculations - 1.0'!AA4 + 'ACPL Calculations - 2.0'!AA4</f>
        <v>2730501.69</v>
      </c>
      <c r="CY4" s="37">
        <v>0.0</v>
      </c>
      <c r="CZ4" s="38">
        <f>'Old Balance Sheet'!Y4 + 'ACPL Calculations - 1.0'!AB4 + 'ACPL Calculations - 2.0'!AB4</f>
        <v>3458850.88</v>
      </c>
      <c r="DA4" s="38">
        <f>'Old Balance Sheet'!Z4 + 'ACPL Calculations - 1.0'!AC4 + 'ACPL Calculations - 2.0'!AC4</f>
        <v>0</v>
      </c>
      <c r="DB4" s="38">
        <f>'Old Balance Sheet'!AA4 + 'ACPL Calculations - 1.0'!AD4 + 'ACPL Calculations - 2.0'!AD4</f>
        <v>137219.08</v>
      </c>
      <c r="DC4" s="38">
        <f>'Old Balance Sheet'!AB4 + 'ACPL Calculations - 1.0'!AE4 + 'ACPL Calculations - 2.0'!AE4</f>
        <v>3346282.31</v>
      </c>
      <c r="DD4" s="38">
        <f t="shared" si="4"/>
        <v>3346282.31</v>
      </c>
      <c r="DE4" s="33">
        <f t="shared" si="5"/>
        <v>3033912.31</v>
      </c>
      <c r="DF4" s="35">
        <v>0.0</v>
      </c>
      <c r="DG4" s="35">
        <v>0.0</v>
      </c>
      <c r="DH4" s="35">
        <v>0.0</v>
      </c>
      <c r="DI4" s="35">
        <v>0.0</v>
      </c>
      <c r="DJ4" s="35">
        <v>0.0</v>
      </c>
      <c r="DK4" s="35">
        <v>0.0</v>
      </c>
      <c r="DL4" s="35">
        <v>0.0</v>
      </c>
      <c r="DM4" s="35">
        <v>0.0</v>
      </c>
      <c r="DN4" s="31">
        <v>0.0</v>
      </c>
      <c r="DO4" s="31">
        <v>0.0</v>
      </c>
      <c r="DP4" s="31">
        <v>0.0</v>
      </c>
      <c r="DQ4" s="31">
        <v>0.0</v>
      </c>
      <c r="DR4" s="31">
        <v>0.0</v>
      </c>
      <c r="DS4" s="31">
        <v>0.0</v>
      </c>
      <c r="DT4" s="31">
        <f>'Old Balance Sheet'!AC4</f>
        <v>-696110</v>
      </c>
      <c r="DU4" s="31">
        <f>DT4 + SUMIFS('Payments Log'!D:D, 'Payments Log'!B:B, A4, 'Payments Log'!L:L, "Approved", 'Payments Log'!M:M, "Credit") + 'Old Balance Sheet'!AD4 - 'Old Balance Sheet'!AC4</f>
        <v>5764414</v>
      </c>
      <c r="DV4" s="31">
        <f>SUMIFS('Payments Log'!D:D, 'Payments Log'!B:B, A4, 'Payments Log'!L:L, "Approved", 'Payments Log'!M:M, "Adjustment Credit") - SUMIFS('Payments Log'!D:D, 'Payments Log'!B:B, A4, 'Payments Log'!L:L, "Approved", 'Payments Log'!M:M, "Adjustment Debit") + 'Old Balance Sheet'!AE4</f>
        <v>0</v>
      </c>
      <c r="DW4" s="31">
        <f>IF(MAXIFS('Payments Log'!N:N, 'Payments Log'!L:L, "Approved", 'Payments Log'!M:M, "Credit", 'Payments Log'!B:B, A4) &gt; MAXIFS('Payments Log'!N:N, 'Payments Log'!L:L, "Approved", 'Payments Log'!M:M, "Virtual Credit", 'Payments Log'!B:B, A4), 0, SUMIFS('Payments Log'!D:D, 'Payments Log'!N:N, MAXIFS('Payments Log'!N:N, 'Payments Log'!L:L, "Approved", 'Payments Log'!M:M, "Virtual Credit", 'Payments Log'!B:B, A4)))</f>
        <v>0</v>
      </c>
      <c r="DX4" s="33">
        <f t="shared" si="6"/>
        <v>-312370</v>
      </c>
      <c r="DY4" s="33">
        <f t="shared" si="7"/>
        <v>3033912.31</v>
      </c>
      <c r="DZ4" s="33">
        <f t="shared" si="8"/>
        <v>3033912.31</v>
      </c>
      <c r="EA4" s="25" t="str">
        <f>(Sheet1!N4)</f>
        <v>Jain Motorcycle Company</v>
      </c>
      <c r="EB4" s="25" t="str">
        <f>(Sheet1!O4)</f>
        <v>184Y3L-ZLT7vcLiFDItIcLa-18phpzEbgBCBDgt_LGCQ</v>
      </c>
      <c r="EC4" s="26" t="str">
        <f>(Sheet1!P4)</f>
        <v>Dealer</v>
      </c>
      <c r="ED4" s="34" t="s">
        <v>13</v>
      </c>
    </row>
    <row r="5">
      <c r="A5" s="25" t="str">
        <f>(Sheet1!A5)</f>
        <v>1NdxdE379VcEgyTXyFtYxSA9RX1kAZOR0rPt76NDuLUw</v>
      </c>
      <c r="B5" s="25" t="str">
        <f>(Sheet1!B5)</f>
        <v>Solitaire Automotive</v>
      </c>
      <c r="C5" s="30" t="s">
        <v>13</v>
      </c>
      <c r="D5" s="30" t="s">
        <v>72</v>
      </c>
      <c r="E5" s="30" t="s">
        <v>3817</v>
      </c>
      <c r="F5" s="31">
        <v>205.0</v>
      </c>
      <c r="G5" s="32" t="s">
        <v>3818</v>
      </c>
      <c r="H5" s="31">
        <v>100.0</v>
      </c>
      <c r="I5" s="33">
        <f>'Old Balance Sheet'!A5 + 'ACPL Calculations - 1.0'!A5 + 'ACPL Calculations - 2.0'!A5</f>
        <v>0</v>
      </c>
      <c r="J5" s="30" t="s">
        <v>3817</v>
      </c>
      <c r="K5" s="31">
        <v>205.0</v>
      </c>
      <c r="L5" s="32" t="s">
        <v>3818</v>
      </c>
      <c r="M5" s="31">
        <v>100.0</v>
      </c>
      <c r="N5" s="33">
        <f>'Old Balance Sheet'!B5 + 'ACPL Calculations - 1.0'!B5 + 'ACPL Calculations - 2.0'!B5</f>
        <v>0</v>
      </c>
      <c r="O5" s="30" t="s">
        <v>3817</v>
      </c>
      <c r="P5" s="31">
        <v>290.0</v>
      </c>
      <c r="Q5" s="32" t="s">
        <v>3818</v>
      </c>
      <c r="R5" s="31">
        <v>100.0</v>
      </c>
      <c r="S5" s="33">
        <f>'Old Balance Sheet'!C5 + 'ACPL Calculations - 1.0'!C5 + 'ACPL Calculations - 2.0'!C5</f>
        <v>0</v>
      </c>
      <c r="T5" s="30" t="s">
        <v>3817</v>
      </c>
      <c r="U5" s="31">
        <v>375.0</v>
      </c>
      <c r="V5" s="32" t="s">
        <v>3818</v>
      </c>
      <c r="W5" s="31">
        <v>100.0</v>
      </c>
      <c r="X5" s="33">
        <f>'Old Balance Sheet'!D5 + 'ACPL Calculations - 1.0'!D5 + 'ACPL Calculations - 2.0'!D5</f>
        <v>0</v>
      </c>
      <c r="Y5" s="30" t="s">
        <v>3817</v>
      </c>
      <c r="Z5" s="31">
        <v>460.0</v>
      </c>
      <c r="AA5" s="32" t="s">
        <v>3818</v>
      </c>
      <c r="AB5" s="31">
        <v>100.0</v>
      </c>
      <c r="AC5" s="33">
        <f>'Old Balance Sheet'!E5 + 'ACPL Calculations - 1.0'!E5 + 'ACPL Calculations - 2.0'!E5</f>
        <v>0</v>
      </c>
      <c r="AD5" s="30" t="s">
        <v>3817</v>
      </c>
      <c r="AE5" s="34">
        <v>838.99</v>
      </c>
      <c r="AF5" s="32" t="s">
        <v>3818</v>
      </c>
      <c r="AG5" s="31">
        <v>100.0</v>
      </c>
      <c r="AH5" s="33">
        <f>'Old Balance Sheet'!F5 + 'ACPL Calculations - 1.0'!F5 + 'ACPL Calculations - 2.0'!F5</f>
        <v>0</v>
      </c>
      <c r="AI5" s="30" t="s">
        <v>3817</v>
      </c>
      <c r="AJ5" s="31">
        <v>375.0</v>
      </c>
      <c r="AK5" s="32" t="s">
        <v>3818</v>
      </c>
      <c r="AL5" s="31">
        <v>100.0</v>
      </c>
      <c r="AM5" s="33">
        <f>'Old Balance Sheet'!G5 + 'ACPL Calculations - 1.0'!G5 + 'ACPL Calculations - 2.0'!G5</f>
        <v>0</v>
      </c>
      <c r="AN5" s="30" t="s">
        <v>3817</v>
      </c>
      <c r="AO5" s="31">
        <v>290.0</v>
      </c>
      <c r="AP5" s="32" t="s">
        <v>3818</v>
      </c>
      <c r="AQ5" s="31">
        <v>100.0</v>
      </c>
      <c r="AR5" s="33">
        <f>'Old Balance Sheet'!H5 + 'ACPL Calculations - 1.0'!H5 + 'ACPL Calculations - 2.0'!H5</f>
        <v>0</v>
      </c>
      <c r="AS5" s="30" t="s">
        <v>3819</v>
      </c>
      <c r="AT5" s="31">
        <v>838.99</v>
      </c>
      <c r="AU5" s="32" t="s">
        <v>3818</v>
      </c>
      <c r="AV5" s="31">
        <v>100.0</v>
      </c>
      <c r="AW5" s="33">
        <f>'Old Balance Sheet'!I5 + 'ACPL Calculations - 1.0'!I5 + 'ACPL Calculations - 2.0'!I5</f>
        <v>0</v>
      </c>
      <c r="AX5" s="30" t="s">
        <v>3817</v>
      </c>
      <c r="AY5" s="31">
        <v>290.0</v>
      </c>
      <c r="AZ5" s="32" t="s">
        <v>3818</v>
      </c>
      <c r="BA5" s="31">
        <v>100.0</v>
      </c>
      <c r="BB5" s="33">
        <f>'Old Balance Sheet'!J5 + 'ACPL Calculations - 1.0'!J5 + 'ACPL Calculations - 2.0'!J5</f>
        <v>0</v>
      </c>
      <c r="BC5" s="30" t="s">
        <v>3817</v>
      </c>
      <c r="BD5" s="31">
        <v>205.0</v>
      </c>
      <c r="BE5" s="32" t="s">
        <v>3818</v>
      </c>
      <c r="BF5" s="31">
        <v>100.0</v>
      </c>
      <c r="BG5" s="33">
        <f>'Old Balance Sheet'!K5 + 'ACPL Calculations - 1.0'!K5 + 'ACPL Calculations - 2.0'!K5</f>
        <v>0</v>
      </c>
      <c r="BH5" s="30" t="s">
        <v>3817</v>
      </c>
      <c r="BI5" s="31">
        <v>205.0</v>
      </c>
      <c r="BJ5" s="32" t="s">
        <v>3818</v>
      </c>
      <c r="BK5" s="31">
        <v>100.0</v>
      </c>
      <c r="BL5" s="33">
        <f>'Old Balance Sheet'!L5 + 'ACPL Calculations - 1.0'!L5 + 'ACPL Calculations - 2.0'!L5</f>
        <v>0</v>
      </c>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f t="shared" si="1"/>
        <v>0</v>
      </c>
      <c r="CM5" s="33">
        <f>'Old Balance Sheet'!R5 + 'ACPL Calculations - 1.0'!S5 + 'ACPL Calculations - 2.0'!S5</f>
        <v>0</v>
      </c>
      <c r="CN5" s="33">
        <f>'Old Balance Sheet'!S5 + 'ACPL Calculations - 1.0'!T5 + 'ACPL Calculations - 2.0'!T5</f>
        <v>0</v>
      </c>
      <c r="CO5" s="33">
        <f t="shared" si="2"/>
        <v>0</v>
      </c>
      <c r="CP5" s="33">
        <f>'Old Balance Sheet'!T5 + 'ACPL Calculations - 1.0'!V5 + 'ACPL Calculations - 2.0'!V5</f>
        <v>0</v>
      </c>
      <c r="CQ5" s="33">
        <f>'Old Balance Sheet'!U5 + 'ACPL Calculations - 1.0'!W5 + 'ACPL Calculations - 2.0'!W5</f>
        <v>0</v>
      </c>
      <c r="CR5" s="33">
        <f>'Old Balance Sheet'!V5 + 'ACPL Calculations - 1.0'!X5 + 'ACPL Calculations - 2.0'!X5</f>
        <v>0</v>
      </c>
      <c r="CS5" s="33">
        <f t="shared" si="3"/>
        <v>0</v>
      </c>
      <c r="CT5" s="35"/>
      <c r="CU5" s="35"/>
      <c r="CV5" s="35"/>
      <c r="CW5" s="36">
        <f>'Old Balance Sheet'!W5 + 'ACPL Calculations - 1.0'!Z5 + 'ACPL Calculations - 2.0'!Z5</f>
        <v>0</v>
      </c>
      <c r="CX5" s="36">
        <f>'Old Balance Sheet'!X5 + 'ACPL Calculations - 1.0'!AA5 + 'ACPL Calculations - 2.0'!AA5</f>
        <v>0</v>
      </c>
      <c r="CY5" s="37">
        <v>0.0</v>
      </c>
      <c r="CZ5" s="38">
        <f>'Old Balance Sheet'!Y5 + 'ACPL Calculations - 1.0'!AB5 + 'ACPL Calculations - 2.0'!AB5</f>
        <v>0</v>
      </c>
      <c r="DA5" s="38">
        <f>'Old Balance Sheet'!Z5 + 'ACPL Calculations - 1.0'!AC5 + 'ACPL Calculations - 2.0'!AC5</f>
        <v>0</v>
      </c>
      <c r="DB5" s="38">
        <f>'Old Balance Sheet'!AA5 + 'ACPL Calculations - 1.0'!AD5 + 'ACPL Calculations - 2.0'!AD5</f>
        <v>0</v>
      </c>
      <c r="DC5" s="38">
        <f>'Old Balance Sheet'!AB5 + 'ACPL Calculations - 1.0'!AE5 + 'ACPL Calculations - 2.0'!AE5</f>
        <v>0</v>
      </c>
      <c r="DD5" s="38">
        <f t="shared" si="4"/>
        <v>0</v>
      </c>
      <c r="DE5" s="33">
        <f t="shared" si="5"/>
        <v>0</v>
      </c>
      <c r="DF5" s="35">
        <v>0.0</v>
      </c>
      <c r="DG5" s="35">
        <v>0.0</v>
      </c>
      <c r="DH5" s="35">
        <v>0.0</v>
      </c>
      <c r="DI5" s="35">
        <v>0.0</v>
      </c>
      <c r="DJ5" s="35">
        <v>0.0</v>
      </c>
      <c r="DK5" s="35">
        <v>0.0</v>
      </c>
      <c r="DL5" s="35">
        <v>0.0</v>
      </c>
      <c r="DM5" s="35">
        <v>0.0</v>
      </c>
      <c r="DN5" s="31">
        <v>0.0</v>
      </c>
      <c r="DO5" s="31">
        <v>0.0</v>
      </c>
      <c r="DP5" s="31">
        <v>0.0</v>
      </c>
      <c r="DQ5" s="31">
        <v>0.0</v>
      </c>
      <c r="DR5" s="31">
        <v>0.0</v>
      </c>
      <c r="DS5" s="31">
        <v>0.0</v>
      </c>
      <c r="DT5" s="31">
        <f>'Old Balance Sheet'!AC5</f>
        <v>0</v>
      </c>
      <c r="DU5" s="31">
        <f>DT5 + SUMIFS('Payments Log'!D:D, 'Payments Log'!B:B, A5, 'Payments Log'!L:L, "Approved", 'Payments Log'!M:M, "Credit") + 'Old Balance Sheet'!AD5 - 'Old Balance Sheet'!AC5</f>
        <v>0</v>
      </c>
      <c r="DV5" s="31">
        <f>SUMIFS('Payments Log'!D:D, 'Payments Log'!B:B, A5, 'Payments Log'!L:L, "Approved", 'Payments Log'!M:M, "Adjustment Credit") - SUMIFS('Payments Log'!D:D, 'Payments Log'!B:B, A5, 'Payments Log'!L:L, "Approved", 'Payments Log'!M:M, "Adjustment Debit") + 'Old Balance Sheet'!AE5</f>
        <v>0</v>
      </c>
      <c r="DW5" s="31">
        <f>IF(MAXIFS('Payments Log'!N:N, 'Payments Log'!L:L, "Approved", 'Payments Log'!M:M, "Credit", 'Payments Log'!B:B, A5) &gt; MAXIFS('Payments Log'!N:N, 'Payments Log'!L:L, "Approved", 'Payments Log'!M:M, "Virtual Credit", 'Payments Log'!B:B, A5), 0, SUMIFS('Payments Log'!D:D, 'Payments Log'!N:N, MAXIFS('Payments Log'!N:N, 'Payments Log'!L:L, "Approved", 'Payments Log'!M:M, "Virtual Credit", 'Payments Log'!B:B, A5)))</f>
        <v>0</v>
      </c>
      <c r="DX5" s="33">
        <f t="shared" si="6"/>
        <v>0</v>
      </c>
      <c r="DY5" s="33">
        <f t="shared" si="7"/>
        <v>0</v>
      </c>
      <c r="DZ5" s="33">
        <f t="shared" si="8"/>
        <v>0</v>
      </c>
      <c r="EA5" s="25" t="str">
        <f>(Sheet1!N5)</f>
        <v>Solitaire Automotive</v>
      </c>
      <c r="EB5" s="25" t="str">
        <f>(Sheet1!O5)</f>
        <v>1NdxdE379VcEgyTXyFtYxSA9RX1kAZOR0rPt76NDuLUw</v>
      </c>
      <c r="EC5" s="26" t="str">
        <f>(Sheet1!P5)</f>
        <v>Dealer</v>
      </c>
      <c r="ED5" s="34" t="s">
        <v>13</v>
      </c>
    </row>
    <row r="6">
      <c r="A6" s="25" t="str">
        <f>(Sheet1!A6)</f>
        <v>1gG6109tt997RZ0RZOh_BNdEtAIOwUW8ggEowedu-6Ck</v>
      </c>
      <c r="B6" s="25" t="str">
        <f>(Sheet1!B6)</f>
        <v>Asco Motors</v>
      </c>
      <c r="C6" s="30" t="s">
        <v>13</v>
      </c>
      <c r="D6" s="30" t="s">
        <v>72</v>
      </c>
      <c r="E6" s="30" t="s">
        <v>3817</v>
      </c>
      <c r="F6" s="31">
        <v>205.0</v>
      </c>
      <c r="G6" s="32" t="s">
        <v>3818</v>
      </c>
      <c r="H6" s="31">
        <v>100.0</v>
      </c>
      <c r="I6" s="33">
        <f>'Old Balance Sheet'!A6 + 'ACPL Calculations - 1.0'!A6 + 'ACPL Calculations - 2.0'!A6</f>
        <v>0</v>
      </c>
      <c r="J6" s="30" t="s">
        <v>3817</v>
      </c>
      <c r="K6" s="31">
        <v>205.0</v>
      </c>
      <c r="L6" s="32" t="s">
        <v>3818</v>
      </c>
      <c r="M6" s="31">
        <v>100.0</v>
      </c>
      <c r="N6" s="33">
        <f>'Old Balance Sheet'!B6 + 'ACPL Calculations - 1.0'!B6 + 'ACPL Calculations - 2.0'!B6</f>
        <v>0</v>
      </c>
      <c r="O6" s="30" t="s">
        <v>3817</v>
      </c>
      <c r="P6" s="31">
        <v>290.0</v>
      </c>
      <c r="Q6" s="32" t="s">
        <v>3818</v>
      </c>
      <c r="R6" s="31">
        <v>100.0</v>
      </c>
      <c r="S6" s="33">
        <f>'Old Balance Sheet'!C6 + 'ACPL Calculations - 1.0'!C6 + 'ACPL Calculations - 2.0'!C6</f>
        <v>0</v>
      </c>
      <c r="T6" s="30" t="s">
        <v>3817</v>
      </c>
      <c r="U6" s="31">
        <v>375.0</v>
      </c>
      <c r="V6" s="32" t="s">
        <v>3818</v>
      </c>
      <c r="W6" s="31">
        <v>100.0</v>
      </c>
      <c r="X6" s="33">
        <f>'Old Balance Sheet'!D6 + 'ACPL Calculations - 1.0'!D6 + 'ACPL Calculations - 2.0'!D6</f>
        <v>0</v>
      </c>
      <c r="Y6" s="30" t="s">
        <v>3817</v>
      </c>
      <c r="Z6" s="31">
        <v>460.0</v>
      </c>
      <c r="AA6" s="32" t="s">
        <v>3818</v>
      </c>
      <c r="AB6" s="31">
        <v>100.0</v>
      </c>
      <c r="AC6" s="33">
        <f>'Old Balance Sheet'!E6 + 'ACPL Calculations - 1.0'!E6 + 'ACPL Calculations - 2.0'!E6</f>
        <v>0</v>
      </c>
      <c r="AD6" s="30" t="s">
        <v>3817</v>
      </c>
      <c r="AE6" s="34">
        <v>838.99</v>
      </c>
      <c r="AF6" s="32" t="s">
        <v>3818</v>
      </c>
      <c r="AG6" s="31">
        <v>100.0</v>
      </c>
      <c r="AH6" s="33">
        <f>'Old Balance Sheet'!F6 + 'ACPL Calculations - 1.0'!F6 + 'ACPL Calculations - 2.0'!F6</f>
        <v>0</v>
      </c>
      <c r="AI6" s="30" t="s">
        <v>3817</v>
      </c>
      <c r="AJ6" s="31">
        <v>375.0</v>
      </c>
      <c r="AK6" s="32" t="s">
        <v>3818</v>
      </c>
      <c r="AL6" s="31">
        <v>100.0</v>
      </c>
      <c r="AM6" s="33">
        <f>'Old Balance Sheet'!G6 + 'ACPL Calculations - 1.0'!G6 + 'ACPL Calculations - 2.0'!G6</f>
        <v>0</v>
      </c>
      <c r="AN6" s="30" t="s">
        <v>3817</v>
      </c>
      <c r="AO6" s="31">
        <v>290.0</v>
      </c>
      <c r="AP6" s="32" t="s">
        <v>3818</v>
      </c>
      <c r="AQ6" s="31">
        <v>100.0</v>
      </c>
      <c r="AR6" s="33">
        <f>'Old Balance Sheet'!H6 + 'ACPL Calculations - 1.0'!H6 + 'ACPL Calculations - 2.0'!H6</f>
        <v>0</v>
      </c>
      <c r="AS6" s="30" t="s">
        <v>3819</v>
      </c>
      <c r="AT6" s="31">
        <v>838.99</v>
      </c>
      <c r="AU6" s="32" t="s">
        <v>3818</v>
      </c>
      <c r="AV6" s="31">
        <v>100.0</v>
      </c>
      <c r="AW6" s="33">
        <f>'Old Balance Sheet'!I6 + 'ACPL Calculations - 1.0'!I6 + 'ACPL Calculations - 2.0'!I6</f>
        <v>0</v>
      </c>
      <c r="AX6" s="30" t="s">
        <v>3817</v>
      </c>
      <c r="AY6" s="31">
        <v>290.0</v>
      </c>
      <c r="AZ6" s="32" t="s">
        <v>3818</v>
      </c>
      <c r="BA6" s="31">
        <v>100.0</v>
      </c>
      <c r="BB6" s="33">
        <f>'Old Balance Sheet'!J6 + 'ACPL Calculations - 1.0'!J6 + 'ACPL Calculations - 2.0'!J6</f>
        <v>0</v>
      </c>
      <c r="BC6" s="30" t="s">
        <v>3817</v>
      </c>
      <c r="BD6" s="31">
        <v>205.0</v>
      </c>
      <c r="BE6" s="32" t="s">
        <v>3818</v>
      </c>
      <c r="BF6" s="31">
        <v>100.0</v>
      </c>
      <c r="BG6" s="33">
        <f>'Old Balance Sheet'!K6 + 'ACPL Calculations - 1.0'!K6 + 'ACPL Calculations - 2.0'!K6</f>
        <v>0</v>
      </c>
      <c r="BH6" s="30" t="s">
        <v>3817</v>
      </c>
      <c r="BI6" s="31">
        <v>205.0</v>
      </c>
      <c r="BJ6" s="32" t="s">
        <v>3818</v>
      </c>
      <c r="BK6" s="31">
        <v>100.0</v>
      </c>
      <c r="BL6" s="33">
        <f>'Old Balance Sheet'!L6 + 'ACPL Calculations - 1.0'!L6 + 'ACPL Calculations - 2.0'!L6</f>
        <v>0</v>
      </c>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f t="shared" si="1"/>
        <v>0</v>
      </c>
      <c r="CM6" s="33">
        <f>'Old Balance Sheet'!R6 + 'ACPL Calculations - 1.0'!S6 + 'ACPL Calculations - 2.0'!S6</f>
        <v>0</v>
      </c>
      <c r="CN6" s="33">
        <f>'Old Balance Sheet'!S6 + 'ACPL Calculations - 1.0'!T6 + 'ACPL Calculations - 2.0'!T6</f>
        <v>0</v>
      </c>
      <c r="CO6" s="33">
        <f t="shared" si="2"/>
        <v>0</v>
      </c>
      <c r="CP6" s="33">
        <f>'Old Balance Sheet'!T6 + 'ACPL Calculations - 1.0'!V6 + 'ACPL Calculations - 2.0'!V6</f>
        <v>0</v>
      </c>
      <c r="CQ6" s="33">
        <f>'Old Balance Sheet'!U6 + 'ACPL Calculations - 1.0'!W6 + 'ACPL Calculations - 2.0'!W6</f>
        <v>0</v>
      </c>
      <c r="CR6" s="33">
        <f>'Old Balance Sheet'!V6 + 'ACPL Calculations - 1.0'!X6 + 'ACPL Calculations - 2.0'!X6</f>
        <v>0</v>
      </c>
      <c r="CS6" s="33">
        <f t="shared" si="3"/>
        <v>0</v>
      </c>
      <c r="CT6" s="35"/>
      <c r="CU6" s="35"/>
      <c r="CV6" s="35"/>
      <c r="CW6" s="36">
        <f>'Old Balance Sheet'!W6 + 'ACPL Calculations - 1.0'!Z6 + 'ACPL Calculations - 2.0'!Z6</f>
        <v>0</v>
      </c>
      <c r="CX6" s="36">
        <f>'Old Balance Sheet'!X6 + 'ACPL Calculations - 1.0'!AA6 + 'ACPL Calculations - 2.0'!AA6</f>
        <v>0</v>
      </c>
      <c r="CY6" s="37">
        <v>0.0</v>
      </c>
      <c r="CZ6" s="38">
        <f>'Old Balance Sheet'!Y6 + 'ACPL Calculations - 1.0'!AB6 + 'ACPL Calculations - 2.0'!AB6</f>
        <v>0</v>
      </c>
      <c r="DA6" s="38">
        <f>'Old Balance Sheet'!Z6 + 'ACPL Calculations - 1.0'!AC6 + 'ACPL Calculations - 2.0'!AC6</f>
        <v>0</v>
      </c>
      <c r="DB6" s="38">
        <f>'Old Balance Sheet'!AA6 + 'ACPL Calculations - 1.0'!AD6 + 'ACPL Calculations - 2.0'!AD6</f>
        <v>0</v>
      </c>
      <c r="DC6" s="38">
        <f>'Old Balance Sheet'!AB6 + 'ACPL Calculations - 1.0'!AE6 + 'ACPL Calculations - 2.0'!AE6</f>
        <v>0</v>
      </c>
      <c r="DD6" s="38">
        <f t="shared" si="4"/>
        <v>0</v>
      </c>
      <c r="DE6" s="33">
        <f t="shared" si="5"/>
        <v>0</v>
      </c>
      <c r="DF6" s="35">
        <v>0.0</v>
      </c>
      <c r="DG6" s="35">
        <v>0.0</v>
      </c>
      <c r="DH6" s="35">
        <v>0.0</v>
      </c>
      <c r="DI6" s="35">
        <v>0.0</v>
      </c>
      <c r="DJ6" s="35">
        <v>0.0</v>
      </c>
      <c r="DK6" s="35">
        <v>0.0</v>
      </c>
      <c r="DL6" s="35">
        <v>0.0</v>
      </c>
      <c r="DM6" s="35">
        <v>0.0</v>
      </c>
      <c r="DN6" s="31">
        <v>0.0</v>
      </c>
      <c r="DO6" s="31">
        <v>0.0</v>
      </c>
      <c r="DP6" s="31">
        <v>0.0</v>
      </c>
      <c r="DQ6" s="31">
        <v>0.0</v>
      </c>
      <c r="DR6" s="31">
        <v>0.0</v>
      </c>
      <c r="DS6" s="31">
        <v>0.0</v>
      </c>
      <c r="DT6" s="31">
        <f>'Old Balance Sheet'!AC6</f>
        <v>-2068</v>
      </c>
      <c r="DU6" s="31">
        <f>DT6 + SUMIFS('Payments Log'!D:D, 'Payments Log'!B:B, A6, 'Payments Log'!L:L, "Approved", 'Payments Log'!M:M, "Credit") + 'Old Balance Sheet'!AD6 - 'Old Balance Sheet'!AC6</f>
        <v>-2068</v>
      </c>
      <c r="DV6" s="31">
        <f>SUMIFS('Payments Log'!D:D, 'Payments Log'!B:B, A6, 'Payments Log'!L:L, "Approved", 'Payments Log'!M:M, "Adjustment Credit") - SUMIFS('Payments Log'!D:D, 'Payments Log'!B:B, A6, 'Payments Log'!L:L, "Approved", 'Payments Log'!M:M, "Adjustment Debit") + 'Old Balance Sheet'!AE6</f>
        <v>0</v>
      </c>
      <c r="DW6" s="31">
        <f>IF(MAXIFS('Payments Log'!N:N, 'Payments Log'!L:L, "Approved", 'Payments Log'!M:M, "Credit", 'Payments Log'!B:B, A6) &gt; MAXIFS('Payments Log'!N:N, 'Payments Log'!L:L, "Approved", 'Payments Log'!M:M, "Virtual Credit", 'Payments Log'!B:B, A6), 0, SUMIFS('Payments Log'!D:D, 'Payments Log'!N:N, MAXIFS('Payments Log'!N:N, 'Payments Log'!L:L, "Approved", 'Payments Log'!M:M, "Virtual Credit", 'Payments Log'!B:B, A6)))</f>
        <v>0</v>
      </c>
      <c r="DX6" s="33">
        <f t="shared" si="6"/>
        <v>-2068</v>
      </c>
      <c r="DY6" s="33">
        <f t="shared" si="7"/>
        <v>-2068</v>
      </c>
      <c r="DZ6" s="33">
        <f t="shared" si="8"/>
        <v>-2068</v>
      </c>
      <c r="EA6" s="25" t="str">
        <f>(Sheet1!N6)</f>
        <v>Asco Motors</v>
      </c>
      <c r="EB6" s="25" t="str">
        <f>(Sheet1!O6)</f>
        <v>1gG6109tt997RZ0RZOh_BNdEtAIOwUW8ggEowedu-6Ck</v>
      </c>
      <c r="EC6" s="26" t="str">
        <f>(Sheet1!P6)</f>
        <v>Dealer</v>
      </c>
      <c r="ED6" s="34" t="s">
        <v>13</v>
      </c>
    </row>
    <row r="7">
      <c r="A7" s="25" t="str">
        <f>(Sheet1!A7)</f>
        <v>1944RLX7T1M23YXRXYoMnJ6nD_bKLldQXRpFRA0rDLvg</v>
      </c>
      <c r="B7" s="25" t="str">
        <f>(Sheet1!B7)</f>
        <v>Vikas Autowheels</v>
      </c>
      <c r="C7" s="30" t="s">
        <v>13</v>
      </c>
      <c r="D7" s="30" t="s">
        <v>72</v>
      </c>
      <c r="E7" s="30" t="s">
        <v>3820</v>
      </c>
      <c r="F7" s="31">
        <v>170.0</v>
      </c>
      <c r="G7" s="32" t="s">
        <v>3818</v>
      </c>
      <c r="H7" s="31">
        <v>100.0</v>
      </c>
      <c r="I7" s="33">
        <f>'Old Balance Sheet'!A7 + 'ACPL Calculations - 1.0'!A7 + 'ACPL Calculations - 2.0'!A7</f>
        <v>1605</v>
      </c>
      <c r="J7" s="30" t="s">
        <v>3820</v>
      </c>
      <c r="K7" s="31">
        <v>170.0</v>
      </c>
      <c r="L7" s="32" t="s">
        <v>3818</v>
      </c>
      <c r="M7" s="31">
        <v>100.0</v>
      </c>
      <c r="N7" s="33">
        <f>'Old Balance Sheet'!B7 + 'ACPL Calculations - 1.0'!B7 + 'ACPL Calculations - 2.0'!B7</f>
        <v>0</v>
      </c>
      <c r="O7" s="30" t="s">
        <v>3820</v>
      </c>
      <c r="P7" s="31">
        <v>170.0</v>
      </c>
      <c r="Q7" s="32" t="s">
        <v>3818</v>
      </c>
      <c r="R7" s="31">
        <v>100.0</v>
      </c>
      <c r="S7" s="33">
        <f>'Old Balance Sheet'!C7 + 'ACPL Calculations - 1.0'!C7 + 'ACPL Calculations - 2.0'!C7</f>
        <v>0</v>
      </c>
      <c r="T7" s="30" t="s">
        <v>3820</v>
      </c>
      <c r="U7" s="31">
        <v>170.0</v>
      </c>
      <c r="V7" s="32" t="s">
        <v>3818</v>
      </c>
      <c r="W7" s="31">
        <v>100.0</v>
      </c>
      <c r="X7" s="33">
        <f>'Old Balance Sheet'!D7 + 'ACPL Calculations - 1.0'!D7 + 'ACPL Calculations - 2.0'!D7</f>
        <v>0</v>
      </c>
      <c r="Y7" s="30" t="s">
        <v>3820</v>
      </c>
      <c r="Z7" s="31">
        <v>170.0</v>
      </c>
      <c r="AA7" s="32" t="s">
        <v>3818</v>
      </c>
      <c r="AB7" s="31">
        <v>100.0</v>
      </c>
      <c r="AC7" s="33">
        <f>'Old Balance Sheet'!E7 + 'ACPL Calculations - 1.0'!E7 + 'ACPL Calculations - 2.0'!E7</f>
        <v>4332</v>
      </c>
      <c r="AD7" s="30" t="s">
        <v>3820</v>
      </c>
      <c r="AE7" s="34">
        <v>838.99</v>
      </c>
      <c r="AF7" s="32" t="s">
        <v>3818</v>
      </c>
      <c r="AG7" s="31">
        <v>100.0</v>
      </c>
      <c r="AH7" s="33">
        <f>'Old Balance Sheet'!F7 + 'ACPL Calculations - 1.0'!F7 + 'ACPL Calculations - 2.0'!F7</f>
        <v>0</v>
      </c>
      <c r="AI7" s="30" t="s">
        <v>3820</v>
      </c>
      <c r="AJ7" s="31">
        <v>170.0</v>
      </c>
      <c r="AK7" s="32" t="s">
        <v>3818</v>
      </c>
      <c r="AL7" s="31">
        <v>100.0</v>
      </c>
      <c r="AM7" s="33">
        <f>'Old Balance Sheet'!G7 + 'ACPL Calculations - 1.0'!G7 + 'ACPL Calculations - 2.0'!G7</f>
        <v>0</v>
      </c>
      <c r="AN7" s="30" t="s">
        <v>3820</v>
      </c>
      <c r="AO7" s="31">
        <v>170.0</v>
      </c>
      <c r="AP7" s="32" t="s">
        <v>3818</v>
      </c>
      <c r="AQ7" s="31">
        <v>100.0</v>
      </c>
      <c r="AR7" s="33">
        <f>'Old Balance Sheet'!H7 + 'ACPL Calculations - 1.0'!H7 + 'ACPL Calculations - 2.0'!H7</f>
        <v>0</v>
      </c>
      <c r="AS7" s="30" t="s">
        <v>3819</v>
      </c>
      <c r="AT7" s="31">
        <v>838.99</v>
      </c>
      <c r="AU7" s="32" t="s">
        <v>3818</v>
      </c>
      <c r="AV7" s="31">
        <v>100.0</v>
      </c>
      <c r="AW7" s="33">
        <f>'Old Balance Sheet'!I7 + 'ACPL Calculations - 1.0'!I7 + 'ACPL Calculations - 2.0'!I7</f>
        <v>0</v>
      </c>
      <c r="AX7" s="30" t="s">
        <v>3820</v>
      </c>
      <c r="AY7" s="31">
        <v>290.0</v>
      </c>
      <c r="AZ7" s="32" t="s">
        <v>3818</v>
      </c>
      <c r="BA7" s="31">
        <v>100.0</v>
      </c>
      <c r="BB7" s="33">
        <f>'Old Balance Sheet'!J7 + 'ACPL Calculations - 1.0'!J7 + 'ACPL Calculations - 2.0'!J7</f>
        <v>0</v>
      </c>
      <c r="BC7" s="30" t="s">
        <v>3820</v>
      </c>
      <c r="BD7" s="31">
        <v>205.0</v>
      </c>
      <c r="BE7" s="32" t="s">
        <v>3818</v>
      </c>
      <c r="BF7" s="31">
        <v>100.0</v>
      </c>
      <c r="BG7" s="33">
        <f>'Old Balance Sheet'!K7 + 'ACPL Calculations - 1.0'!K7 + 'ACPL Calculations - 2.0'!K7</f>
        <v>0</v>
      </c>
      <c r="BH7" s="30" t="s">
        <v>3820</v>
      </c>
      <c r="BI7" s="31">
        <v>205.0</v>
      </c>
      <c r="BJ7" s="32" t="s">
        <v>3818</v>
      </c>
      <c r="BK7" s="31">
        <v>100.0</v>
      </c>
      <c r="BL7" s="33">
        <f>'Old Balance Sheet'!L7 + 'ACPL Calculations - 1.0'!L7 + 'ACPL Calculations - 2.0'!L7</f>
        <v>0</v>
      </c>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f t="shared" si="1"/>
        <v>5937</v>
      </c>
      <c r="CM7" s="33">
        <f>'Old Balance Sheet'!R7 + 'ACPL Calculations - 1.0'!S7 + 'ACPL Calculations - 2.0'!S7</f>
        <v>8789162</v>
      </c>
      <c r="CN7" s="33">
        <f>'Old Balance Sheet'!S7 + 'ACPL Calculations - 1.0'!T7 + 'ACPL Calculations - 2.0'!T7</f>
        <v>1009290</v>
      </c>
      <c r="CO7" s="33">
        <f t="shared" si="2"/>
        <v>2350001.29</v>
      </c>
      <c r="CP7" s="33">
        <f>'Old Balance Sheet'!T7 + 'ACPL Calculations - 1.0'!V7 + 'ACPL Calculations - 2.0'!V7</f>
        <v>215.84</v>
      </c>
      <c r="CQ7" s="33">
        <f>'Old Balance Sheet'!U7 + 'ACPL Calculations - 1.0'!W7 + 'ACPL Calculations - 2.0'!W7</f>
        <v>215.84</v>
      </c>
      <c r="CR7" s="33">
        <f>'Old Balance Sheet'!V7 + 'ACPL Calculations - 1.0'!X7 + 'ACPL Calculations - 2.0'!X7</f>
        <v>1340279.61</v>
      </c>
      <c r="CS7" s="33">
        <f t="shared" si="3"/>
        <v>1340711.29</v>
      </c>
      <c r="CT7" s="35"/>
      <c r="CU7" s="35"/>
      <c r="CV7" s="35"/>
      <c r="CW7" s="36">
        <f>'Old Balance Sheet'!W7 + 'ACPL Calculations - 1.0'!Z7 + 'ACPL Calculations - 2.0'!Z7</f>
        <v>17419466.59</v>
      </c>
      <c r="CX7" s="36">
        <f>'Old Balance Sheet'!X7 + 'ACPL Calculations - 1.0'!AA7 + 'ACPL Calculations - 2.0'!AA7</f>
        <v>6394687.12</v>
      </c>
      <c r="CY7" s="37">
        <v>0.0</v>
      </c>
      <c r="CZ7" s="38">
        <f>'Old Balance Sheet'!Y7 + 'ACPL Calculations - 1.0'!AB7 + 'ACPL Calculations - 2.0'!AB7</f>
        <v>11605027.32</v>
      </c>
      <c r="DA7" s="38">
        <f>'Old Balance Sheet'!Z7 + 'ACPL Calculations - 1.0'!AC7 + 'ACPL Calculations - 2.0'!AC7</f>
        <v>3587674.41</v>
      </c>
      <c r="DB7" s="38">
        <f>'Old Balance Sheet'!AA7 + 'ACPL Calculations - 1.0'!AD7 + 'ACPL Calculations - 2.0'!AD7</f>
        <v>978880.28</v>
      </c>
      <c r="DC7" s="38">
        <f>'Old Balance Sheet'!AB7 + 'ACPL Calculations - 1.0'!AE7 + 'ACPL Calculations - 2.0'!AE7</f>
        <v>11024779.47</v>
      </c>
      <c r="DD7" s="38">
        <f t="shared" si="4"/>
        <v>11024779.47</v>
      </c>
      <c r="DE7" s="33">
        <f t="shared" si="5"/>
        <v>8300710.88</v>
      </c>
      <c r="DF7" s="35">
        <v>0.0</v>
      </c>
      <c r="DG7" s="35">
        <v>0.0</v>
      </c>
      <c r="DH7" s="35">
        <v>0.0</v>
      </c>
      <c r="DI7" s="35">
        <v>0.0</v>
      </c>
      <c r="DJ7" s="35">
        <v>0.0</v>
      </c>
      <c r="DK7" s="35">
        <v>0.0</v>
      </c>
      <c r="DL7" s="35">
        <v>0.0</v>
      </c>
      <c r="DM7" s="35">
        <v>0.0</v>
      </c>
      <c r="DN7" s="31">
        <v>0.0</v>
      </c>
      <c r="DO7" s="31">
        <v>0.0</v>
      </c>
      <c r="DP7" s="31">
        <v>0.0</v>
      </c>
      <c r="DQ7" s="31">
        <v>0.0</v>
      </c>
      <c r="DR7" s="31">
        <v>0.0</v>
      </c>
      <c r="DS7" s="31">
        <v>0.0</v>
      </c>
      <c r="DT7" s="31">
        <f>'Old Balance Sheet'!AC7</f>
        <v>-135209</v>
      </c>
      <c r="DU7" s="31">
        <f>DT7 + SUMIFS('Payments Log'!D:D, 'Payments Log'!B:B, A7, 'Payments Log'!L:L, "Approved", 'Payments Log'!M:M, "Credit") + 'Old Balance Sheet'!AD7 - 'Old Balance Sheet'!AC7</f>
        <v>10095789</v>
      </c>
      <c r="DV7" s="31">
        <f>SUMIFS('Payments Log'!D:D, 'Payments Log'!B:B, A7, 'Payments Log'!L:L, "Approved", 'Payments Log'!M:M, "Adjustment Credit") - SUMIFS('Payments Log'!D:D, 'Payments Log'!B:B, A7, 'Payments Log'!L:L, "Approved", 'Payments Log'!M:M, "Adjustment Debit") + 'Old Balance Sheet'!AE7</f>
        <v>4599609</v>
      </c>
      <c r="DW7" s="31">
        <f>IF(MAXIFS('Payments Log'!N:N, 'Payments Log'!L:L, "Approved", 'Payments Log'!M:M, "Credit", 'Payments Log'!B:B, A7) &gt; MAXIFS('Payments Log'!N:N, 'Payments Log'!L:L, "Approved", 'Payments Log'!M:M, "Virtual Credit", 'Payments Log'!B:B, A7), 0, SUMIFS('Payments Log'!D:D, 'Payments Log'!N:N, MAXIFS('Payments Log'!N:N, 'Payments Log'!L:L, "Approved", 'Payments Log'!M:M, "Virtual Credit", 'Payments Log'!B:B, A7)))</f>
        <v>0</v>
      </c>
      <c r="DX7" s="33">
        <f t="shared" si="6"/>
        <v>-2724068.59</v>
      </c>
      <c r="DY7" s="33">
        <f t="shared" si="7"/>
        <v>8300710.88</v>
      </c>
      <c r="DZ7" s="33">
        <f t="shared" si="8"/>
        <v>8300710.88</v>
      </c>
      <c r="EA7" s="25" t="str">
        <f>(Sheet1!N7)</f>
        <v>Vikas Autowheels</v>
      </c>
      <c r="EB7" s="25" t="str">
        <f>(Sheet1!O7)</f>
        <v>1944RLX7T1M23YXRXYoMnJ6nD_bKLldQXRpFRA0rDLvg</v>
      </c>
      <c r="EC7" s="26" t="str">
        <f>(Sheet1!P7)</f>
        <v>Dealer</v>
      </c>
      <c r="ED7" s="34" t="s">
        <v>13</v>
      </c>
    </row>
    <row r="8">
      <c r="A8" s="25" t="str">
        <f>(Sheet1!A8)</f>
        <v>150xD2ZWlv_NqqijpFlWWgIoGhpbdGM3zmaQdQAd1q5M</v>
      </c>
      <c r="B8" s="25" t="str">
        <f>(Sheet1!B8)</f>
        <v>Singla Automobiles (Main Branch)</v>
      </c>
      <c r="C8" s="30" t="s">
        <v>13</v>
      </c>
      <c r="D8" s="30" t="s">
        <v>72</v>
      </c>
      <c r="E8" s="30" t="s">
        <v>3819</v>
      </c>
      <c r="F8" s="31">
        <v>205.0</v>
      </c>
      <c r="G8" s="32" t="s">
        <v>3818</v>
      </c>
      <c r="H8" s="31">
        <v>100.0</v>
      </c>
      <c r="I8" s="33">
        <f>'Old Balance Sheet'!A8 + 'ACPL Calculations - 1.0'!A8 + 'ACPL Calculations - 2.0'!A8</f>
        <v>0</v>
      </c>
      <c r="J8" s="30" t="s">
        <v>3819</v>
      </c>
      <c r="K8" s="31">
        <v>205.0</v>
      </c>
      <c r="L8" s="32" t="s">
        <v>3818</v>
      </c>
      <c r="M8" s="31">
        <v>100.0</v>
      </c>
      <c r="N8" s="33">
        <f>'Old Balance Sheet'!B8 + 'ACPL Calculations - 1.0'!B8 + 'ACPL Calculations - 2.0'!B8</f>
        <v>0</v>
      </c>
      <c r="O8" s="30" t="s">
        <v>3819</v>
      </c>
      <c r="P8" s="31">
        <v>290.0</v>
      </c>
      <c r="Q8" s="32" t="s">
        <v>3818</v>
      </c>
      <c r="R8" s="31">
        <v>100.0</v>
      </c>
      <c r="S8" s="33">
        <f>'Old Balance Sheet'!C8 + 'ACPL Calculations - 1.0'!C8 + 'ACPL Calculations - 2.0'!C8</f>
        <v>0</v>
      </c>
      <c r="T8" s="30" t="s">
        <v>3819</v>
      </c>
      <c r="U8" s="31">
        <v>300.0</v>
      </c>
      <c r="V8" s="32" t="s">
        <v>3818</v>
      </c>
      <c r="W8" s="31">
        <v>100.0</v>
      </c>
      <c r="X8" s="33">
        <f>'Old Balance Sheet'!D8 + 'ACPL Calculations - 1.0'!D8 + 'ACPL Calculations - 2.0'!D8</f>
        <v>0</v>
      </c>
      <c r="Y8" s="30" t="s">
        <v>3819</v>
      </c>
      <c r="Z8" s="31">
        <v>300.0</v>
      </c>
      <c r="AA8" s="32" t="s">
        <v>3818</v>
      </c>
      <c r="AB8" s="31">
        <v>100.0</v>
      </c>
      <c r="AC8" s="33">
        <f>'Old Balance Sheet'!E8 + 'ACPL Calculations - 1.0'!E8 + 'ACPL Calculations - 2.0'!E8</f>
        <v>509</v>
      </c>
      <c r="AD8" s="30" t="s">
        <v>3819</v>
      </c>
      <c r="AE8" s="34">
        <v>838.99</v>
      </c>
      <c r="AF8" s="32" t="s">
        <v>3818</v>
      </c>
      <c r="AG8" s="31">
        <v>100.0</v>
      </c>
      <c r="AH8" s="33">
        <f>'Old Balance Sheet'!F8 + 'ACPL Calculations - 1.0'!F8 + 'ACPL Calculations - 2.0'!F8</f>
        <v>0</v>
      </c>
      <c r="AI8" s="30" t="s">
        <v>3819</v>
      </c>
      <c r="AJ8" s="31">
        <v>375.0</v>
      </c>
      <c r="AK8" s="32" t="s">
        <v>3818</v>
      </c>
      <c r="AL8" s="31">
        <v>100.0</v>
      </c>
      <c r="AM8" s="33">
        <f>'Old Balance Sheet'!G8 + 'ACPL Calculations - 1.0'!G8 + 'ACPL Calculations - 2.0'!G8</f>
        <v>0</v>
      </c>
      <c r="AN8" s="30" t="s">
        <v>3819</v>
      </c>
      <c r="AO8" s="31">
        <v>290.0</v>
      </c>
      <c r="AP8" s="32" t="s">
        <v>3818</v>
      </c>
      <c r="AQ8" s="31">
        <v>100.0</v>
      </c>
      <c r="AR8" s="33">
        <f>'Old Balance Sheet'!H8 + 'ACPL Calculations - 1.0'!H8 + 'ACPL Calculations - 2.0'!H8</f>
        <v>0</v>
      </c>
      <c r="AS8" s="30" t="s">
        <v>3819</v>
      </c>
      <c r="AT8" s="31">
        <v>838.99</v>
      </c>
      <c r="AU8" s="32" t="s">
        <v>3818</v>
      </c>
      <c r="AV8" s="31">
        <v>100.0</v>
      </c>
      <c r="AW8" s="33">
        <f>'Old Balance Sheet'!I8 + 'ACPL Calculations - 1.0'!I8 + 'ACPL Calculations - 2.0'!I8</f>
        <v>0</v>
      </c>
      <c r="AX8" s="30" t="s">
        <v>3819</v>
      </c>
      <c r="AY8" s="31">
        <v>290.0</v>
      </c>
      <c r="AZ8" s="32" t="s">
        <v>3818</v>
      </c>
      <c r="BA8" s="31">
        <v>100.0</v>
      </c>
      <c r="BB8" s="33">
        <f>'Old Balance Sheet'!J8 + 'ACPL Calculations - 1.0'!J8 + 'ACPL Calculations - 2.0'!J8</f>
        <v>0</v>
      </c>
      <c r="BC8" s="30" t="s">
        <v>3819</v>
      </c>
      <c r="BD8" s="31">
        <v>205.0</v>
      </c>
      <c r="BE8" s="32" t="s">
        <v>3818</v>
      </c>
      <c r="BF8" s="31">
        <v>100.0</v>
      </c>
      <c r="BG8" s="33">
        <f>'Old Balance Sheet'!K8 + 'ACPL Calculations - 1.0'!K8 + 'ACPL Calculations - 2.0'!K8</f>
        <v>0</v>
      </c>
      <c r="BH8" s="30" t="s">
        <v>3819</v>
      </c>
      <c r="BI8" s="31">
        <v>205.0</v>
      </c>
      <c r="BJ8" s="32" t="s">
        <v>3818</v>
      </c>
      <c r="BK8" s="31">
        <v>100.0</v>
      </c>
      <c r="BL8" s="33">
        <f>'Old Balance Sheet'!L8 + 'ACPL Calculations - 1.0'!L8 + 'ACPL Calculations - 2.0'!L8</f>
        <v>0</v>
      </c>
      <c r="BM8" s="33"/>
      <c r="BN8" s="33"/>
      <c r="BO8" s="33"/>
      <c r="BP8" s="33"/>
      <c r="BQ8" s="33"/>
      <c r="BR8" s="33"/>
      <c r="BS8" s="33"/>
      <c r="BT8" s="33"/>
      <c r="BU8" s="33"/>
      <c r="BV8" s="33"/>
      <c r="BW8" s="33"/>
      <c r="BX8" s="33"/>
      <c r="BY8" s="33"/>
      <c r="BZ8" s="33"/>
      <c r="CA8" s="33"/>
      <c r="CB8" s="33"/>
      <c r="CC8" s="33"/>
      <c r="CD8" s="33"/>
      <c r="CE8" s="33"/>
      <c r="CF8" s="33"/>
      <c r="CG8" s="33"/>
      <c r="CH8" s="33"/>
      <c r="CI8" s="33"/>
      <c r="CJ8" s="33"/>
      <c r="CK8" s="33"/>
      <c r="CL8" s="33">
        <f t="shared" si="1"/>
        <v>509</v>
      </c>
      <c r="CM8" s="33">
        <f>'Old Balance Sheet'!R8 + 'ACPL Calculations - 1.0'!S8 + 'ACPL Calculations - 2.0'!S8</f>
        <v>286154</v>
      </c>
      <c r="CN8" s="33">
        <f>'Old Balance Sheet'!S8 + 'ACPL Calculations - 1.0'!T8 + 'ACPL Calculations - 2.0'!T8</f>
        <v>172220</v>
      </c>
      <c r="CO8" s="33">
        <f t="shared" si="2"/>
        <v>215870.91</v>
      </c>
      <c r="CP8" s="33">
        <f>'Old Balance Sheet'!T8 + 'ACPL Calculations - 1.0'!V8 + 'ACPL Calculations - 2.0'!V8</f>
        <v>54</v>
      </c>
      <c r="CQ8" s="33">
        <f>'Old Balance Sheet'!U8 + 'ACPL Calculations - 1.0'!W8 + 'ACPL Calculations - 2.0'!W8</f>
        <v>54</v>
      </c>
      <c r="CR8" s="33">
        <f>'Old Balance Sheet'!V8 + 'ACPL Calculations - 1.0'!X8 + 'ACPL Calculations - 2.0'!X8</f>
        <v>43542.91</v>
      </c>
      <c r="CS8" s="33">
        <f t="shared" si="3"/>
        <v>43650.91</v>
      </c>
      <c r="CT8" s="35"/>
      <c r="CU8" s="35"/>
      <c r="CV8" s="35"/>
      <c r="CW8" s="36">
        <f>'Old Balance Sheet'!W8 + 'ACPL Calculations - 1.0'!Z8 + 'ACPL Calculations - 2.0'!Z8</f>
        <v>326921.61</v>
      </c>
      <c r="CX8" s="36">
        <f>'Old Balance Sheet'!X8 + 'ACPL Calculations - 1.0'!AA8 + 'ACPL Calculations - 2.0'!AA8</f>
        <v>326921.61</v>
      </c>
      <c r="CY8" s="37">
        <v>0.0</v>
      </c>
      <c r="CZ8" s="38">
        <f>'Old Balance Sheet'!Y8 + 'ACPL Calculations - 1.0'!AB8 + 'ACPL Calculations - 2.0'!AB8</f>
        <v>0</v>
      </c>
      <c r="DA8" s="38">
        <f>'Old Balance Sheet'!Z8 + 'ACPL Calculations - 1.0'!AC8 + 'ACPL Calculations - 2.0'!AC8</f>
        <v>85915.79</v>
      </c>
      <c r="DB8" s="38">
        <f>'Old Balance Sheet'!AA8 + 'ACPL Calculations - 1.0'!AD8 + 'ACPL Calculations - 2.0'!AD8</f>
        <v>9546.49</v>
      </c>
      <c r="DC8" s="38">
        <f>'Old Balance Sheet'!AB8 + 'ACPL Calculations - 1.0'!AE8 + 'ACPL Calculations - 2.0'!AE8</f>
        <v>0</v>
      </c>
      <c r="DD8" s="38">
        <f t="shared" si="4"/>
        <v>0</v>
      </c>
      <c r="DE8" s="33">
        <f t="shared" si="5"/>
        <v>0</v>
      </c>
      <c r="DF8" s="35">
        <v>0.0</v>
      </c>
      <c r="DG8" s="35">
        <v>0.0</v>
      </c>
      <c r="DH8" s="35">
        <v>0.0</v>
      </c>
      <c r="DI8" s="35">
        <v>0.0</v>
      </c>
      <c r="DJ8" s="35">
        <v>0.0</v>
      </c>
      <c r="DK8" s="35">
        <v>0.0</v>
      </c>
      <c r="DL8" s="35">
        <v>0.0</v>
      </c>
      <c r="DM8" s="35">
        <v>0.0</v>
      </c>
      <c r="DN8" s="31">
        <v>0.0</v>
      </c>
      <c r="DO8" s="31">
        <v>0.0</v>
      </c>
      <c r="DP8" s="31">
        <v>0.0</v>
      </c>
      <c r="DQ8" s="31">
        <v>0.0</v>
      </c>
      <c r="DR8" s="31">
        <v>0.0</v>
      </c>
      <c r="DS8" s="31">
        <v>0.0</v>
      </c>
      <c r="DT8" s="31">
        <f>'Old Balance Sheet'!AC8</f>
        <v>-114687</v>
      </c>
      <c r="DU8" s="31">
        <f>DT8 + SUMIFS('Payments Log'!D:D, 'Payments Log'!B:B, A8, 'Payments Log'!L:L, "Approved", 'Payments Log'!M:M, "Credit") + 'Old Balance Sheet'!AD8 - 'Old Balance Sheet'!AC8</f>
        <v>6422313</v>
      </c>
      <c r="DV8" s="31">
        <f>SUMIFS('Payments Log'!D:D, 'Payments Log'!B:B, A8, 'Payments Log'!L:L, "Approved", 'Payments Log'!M:M, "Adjustment Credit") - SUMIFS('Payments Log'!D:D, 'Payments Log'!B:B, A8, 'Payments Log'!L:L, "Approved", 'Payments Log'!M:M, "Adjustment Debit") + 'Old Balance Sheet'!AE8</f>
        <v>448609.11</v>
      </c>
      <c r="DW8" s="31">
        <f>IF(MAXIFS('Payments Log'!N:N, 'Payments Log'!L:L, "Approved", 'Payments Log'!M:M, "Credit", 'Payments Log'!B:B, A8) &gt; MAXIFS('Payments Log'!N:N, 'Payments Log'!L:L, "Approved", 'Payments Log'!M:M, "Virtual Credit", 'Payments Log'!B:B, A8), 0, SUMIFS('Payments Log'!D:D, 'Payments Log'!N:N, MAXIFS('Payments Log'!N:N, 'Payments Log'!L:L, "Approved", 'Payments Log'!M:M, "Virtual Credit", 'Payments Log'!B:B, A8)))</f>
        <v>0</v>
      </c>
      <c r="DX8" s="33">
        <f t="shared" si="6"/>
        <v>6544000.5</v>
      </c>
      <c r="DY8" s="33">
        <f t="shared" si="7"/>
        <v>6544000.5</v>
      </c>
      <c r="DZ8" s="33">
        <f t="shared" si="8"/>
        <v>6544000.5</v>
      </c>
      <c r="EA8" s="25" t="str">
        <f>(Sheet1!N8)</f>
        <v>Singla Automobiles (Main Branch)</v>
      </c>
      <c r="EB8" s="25" t="str">
        <f>(Sheet1!O8)</f>
        <v>150xD2ZWlv_NqqijpFlWWgIoGhpbdGM3zmaQdQAd1q5M</v>
      </c>
      <c r="EC8" s="26" t="str">
        <f>(Sheet1!P8)</f>
        <v>Dealer</v>
      </c>
      <c r="ED8" s="34" t="s">
        <v>13</v>
      </c>
    </row>
    <row r="9">
      <c r="A9" s="25" t="str">
        <f>(Sheet1!A9)</f>
        <v>1MWQVORKrBhvtNepdNE6EH-DkM2hXYvqfa0X-kEKcBAI</v>
      </c>
      <c r="B9" s="25" t="str">
        <f>(Sheet1!B9)</f>
        <v>Singla Automobiles (Rajapuri)</v>
      </c>
      <c r="C9" s="30" t="s">
        <v>13</v>
      </c>
      <c r="D9" s="30" t="s">
        <v>72</v>
      </c>
      <c r="E9" s="30" t="s">
        <v>3819</v>
      </c>
      <c r="F9" s="31">
        <v>205.0</v>
      </c>
      <c r="G9" s="32" t="s">
        <v>3818</v>
      </c>
      <c r="H9" s="31">
        <v>100.0</v>
      </c>
      <c r="I9" s="33">
        <f>'Old Balance Sheet'!A9 + 'ACPL Calculations - 1.0'!A9 + 'ACPL Calculations - 2.0'!A9</f>
        <v>0</v>
      </c>
      <c r="J9" s="30" t="s">
        <v>3819</v>
      </c>
      <c r="K9" s="31">
        <v>205.0</v>
      </c>
      <c r="L9" s="32" t="s">
        <v>3818</v>
      </c>
      <c r="M9" s="31">
        <v>100.0</v>
      </c>
      <c r="N9" s="33">
        <f>'Old Balance Sheet'!B9 + 'ACPL Calculations - 1.0'!B9 + 'ACPL Calculations - 2.0'!B9</f>
        <v>0</v>
      </c>
      <c r="O9" s="30" t="s">
        <v>3819</v>
      </c>
      <c r="P9" s="31">
        <v>290.0</v>
      </c>
      <c r="Q9" s="32" t="s">
        <v>3818</v>
      </c>
      <c r="R9" s="31">
        <v>100.0</v>
      </c>
      <c r="S9" s="33">
        <f>'Old Balance Sheet'!C9 + 'ACPL Calculations - 1.0'!C9 + 'ACPL Calculations - 2.0'!C9</f>
        <v>0</v>
      </c>
      <c r="T9" s="30" t="s">
        <v>3819</v>
      </c>
      <c r="U9" s="31">
        <v>300.0</v>
      </c>
      <c r="V9" s="32" t="s">
        <v>3818</v>
      </c>
      <c r="W9" s="31">
        <v>100.0</v>
      </c>
      <c r="X9" s="33">
        <f>'Old Balance Sheet'!D9 + 'ACPL Calculations - 1.0'!D9 + 'ACPL Calculations - 2.0'!D9</f>
        <v>0</v>
      </c>
      <c r="Y9" s="30" t="s">
        <v>3819</v>
      </c>
      <c r="Z9" s="31">
        <v>300.0</v>
      </c>
      <c r="AA9" s="32" t="s">
        <v>3818</v>
      </c>
      <c r="AB9" s="31">
        <v>100.0</v>
      </c>
      <c r="AC9" s="33">
        <f>'Old Balance Sheet'!E9 + 'ACPL Calculations - 1.0'!E9 + 'ACPL Calculations - 2.0'!E9</f>
        <v>176</v>
      </c>
      <c r="AD9" s="30" t="s">
        <v>3819</v>
      </c>
      <c r="AE9" s="34">
        <v>838.99</v>
      </c>
      <c r="AF9" s="32" t="s">
        <v>3818</v>
      </c>
      <c r="AG9" s="31">
        <v>100.0</v>
      </c>
      <c r="AH9" s="33">
        <f>'Old Balance Sheet'!F9 + 'ACPL Calculations - 1.0'!F9 + 'ACPL Calculations - 2.0'!F9</f>
        <v>0</v>
      </c>
      <c r="AI9" s="30" t="s">
        <v>3819</v>
      </c>
      <c r="AJ9" s="31">
        <v>375.0</v>
      </c>
      <c r="AK9" s="32" t="s">
        <v>3818</v>
      </c>
      <c r="AL9" s="31">
        <v>100.0</v>
      </c>
      <c r="AM9" s="33">
        <f>'Old Balance Sheet'!G9 + 'ACPL Calculations - 1.0'!G9 + 'ACPL Calculations - 2.0'!G9</f>
        <v>0</v>
      </c>
      <c r="AN9" s="30" t="s">
        <v>3819</v>
      </c>
      <c r="AO9" s="31">
        <v>290.0</v>
      </c>
      <c r="AP9" s="32" t="s">
        <v>3818</v>
      </c>
      <c r="AQ9" s="31">
        <v>100.0</v>
      </c>
      <c r="AR9" s="33">
        <f>'Old Balance Sheet'!H9 + 'ACPL Calculations - 1.0'!H9 + 'ACPL Calculations - 2.0'!H9</f>
        <v>0</v>
      </c>
      <c r="AS9" s="30" t="s">
        <v>3819</v>
      </c>
      <c r="AT9" s="31">
        <v>838.99</v>
      </c>
      <c r="AU9" s="32" t="s">
        <v>3818</v>
      </c>
      <c r="AV9" s="31">
        <v>100.0</v>
      </c>
      <c r="AW9" s="33">
        <f>'Old Balance Sheet'!I9 + 'ACPL Calculations - 1.0'!I9 + 'ACPL Calculations - 2.0'!I9</f>
        <v>0</v>
      </c>
      <c r="AX9" s="30" t="s">
        <v>3819</v>
      </c>
      <c r="AY9" s="31">
        <v>290.0</v>
      </c>
      <c r="AZ9" s="32" t="s">
        <v>3818</v>
      </c>
      <c r="BA9" s="31">
        <v>100.0</v>
      </c>
      <c r="BB9" s="33">
        <f>'Old Balance Sheet'!J9 + 'ACPL Calculations - 1.0'!J9 + 'ACPL Calculations - 2.0'!J9</f>
        <v>2</v>
      </c>
      <c r="BC9" s="30" t="s">
        <v>3819</v>
      </c>
      <c r="BD9" s="31">
        <v>205.0</v>
      </c>
      <c r="BE9" s="32" t="s">
        <v>3818</v>
      </c>
      <c r="BF9" s="31">
        <v>100.0</v>
      </c>
      <c r="BG9" s="33">
        <f>'Old Balance Sheet'!K9 + 'ACPL Calculations - 1.0'!K9 + 'ACPL Calculations - 2.0'!K9</f>
        <v>0</v>
      </c>
      <c r="BH9" s="30" t="s">
        <v>3819</v>
      </c>
      <c r="BI9" s="31">
        <v>205.0</v>
      </c>
      <c r="BJ9" s="32" t="s">
        <v>3818</v>
      </c>
      <c r="BK9" s="31">
        <v>100.0</v>
      </c>
      <c r="BL9" s="33">
        <f>'Old Balance Sheet'!L9 + 'ACPL Calculations - 1.0'!L9 + 'ACPL Calculations - 2.0'!L9</f>
        <v>0</v>
      </c>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f t="shared" si="1"/>
        <v>178</v>
      </c>
      <c r="CM9" s="33">
        <f>'Old Balance Sheet'!R9 + 'ACPL Calculations - 1.0'!S9 + 'ACPL Calculations - 2.0'!S9</f>
        <v>89559.4</v>
      </c>
      <c r="CN9" s="33">
        <f>'Old Balance Sheet'!S9 + 'ACPL Calculations - 1.0'!T9 + 'ACPL Calculations - 2.0'!T9</f>
        <v>58340</v>
      </c>
      <c r="CO9" s="33">
        <f t="shared" si="2"/>
        <v>72001.51</v>
      </c>
      <c r="CP9" s="33">
        <f>'Old Balance Sheet'!T9 + 'ACPL Calculations - 1.0'!V9 + 'ACPL Calculations - 2.0'!V9</f>
        <v>0</v>
      </c>
      <c r="CQ9" s="33">
        <f>'Old Balance Sheet'!U9 + 'ACPL Calculations - 1.0'!W9 + 'ACPL Calculations - 2.0'!W9</f>
        <v>0</v>
      </c>
      <c r="CR9" s="33">
        <f>'Old Balance Sheet'!V9 + 'ACPL Calculations - 1.0'!X9 + 'ACPL Calculations - 2.0'!X9</f>
        <v>13661.51</v>
      </c>
      <c r="CS9" s="33">
        <f t="shared" si="3"/>
        <v>13661.51</v>
      </c>
      <c r="CT9" s="35"/>
      <c r="CU9" s="35"/>
      <c r="CV9" s="35"/>
      <c r="CW9" s="36">
        <f>'Old Balance Sheet'!W9 + 'ACPL Calculations - 1.0'!Z9 + 'ACPL Calculations - 2.0'!Z9</f>
        <v>0</v>
      </c>
      <c r="CX9" s="36">
        <f>'Old Balance Sheet'!X9 + 'ACPL Calculations - 1.0'!AA9 + 'ACPL Calculations - 2.0'!AA9</f>
        <v>0</v>
      </c>
      <c r="CY9" s="37">
        <v>0.0</v>
      </c>
      <c r="CZ9" s="38">
        <f>'Old Balance Sheet'!Y9 + 'ACPL Calculations - 1.0'!AB9 + 'ACPL Calculations - 2.0'!AB9</f>
        <v>0</v>
      </c>
      <c r="DA9" s="38">
        <f>'Old Balance Sheet'!Z9 + 'ACPL Calculations - 1.0'!AC9 + 'ACPL Calculations - 2.0'!AC9</f>
        <v>0</v>
      </c>
      <c r="DB9" s="38">
        <f>'Old Balance Sheet'!AA9 + 'ACPL Calculations - 1.0'!AD9 + 'ACPL Calculations - 2.0'!AD9</f>
        <v>0</v>
      </c>
      <c r="DC9" s="38">
        <f>'Old Balance Sheet'!AB9 + 'ACPL Calculations - 1.0'!AE9 + 'ACPL Calculations - 2.0'!AE9</f>
        <v>0</v>
      </c>
      <c r="DD9" s="38">
        <f t="shared" si="4"/>
        <v>0</v>
      </c>
      <c r="DE9" s="33">
        <f t="shared" si="5"/>
        <v>0</v>
      </c>
      <c r="DF9" s="35">
        <v>0.0</v>
      </c>
      <c r="DG9" s="35">
        <v>0.0</v>
      </c>
      <c r="DH9" s="35">
        <v>0.0</v>
      </c>
      <c r="DI9" s="35">
        <v>0.0</v>
      </c>
      <c r="DJ9" s="35">
        <v>0.0</v>
      </c>
      <c r="DK9" s="35">
        <v>0.0</v>
      </c>
      <c r="DL9" s="35">
        <v>0.0</v>
      </c>
      <c r="DM9" s="35">
        <v>0.0</v>
      </c>
      <c r="DN9" s="31">
        <v>0.0</v>
      </c>
      <c r="DO9" s="31">
        <v>0.0</v>
      </c>
      <c r="DP9" s="31">
        <v>0.0</v>
      </c>
      <c r="DQ9" s="31">
        <v>0.0</v>
      </c>
      <c r="DR9" s="31">
        <v>0.0</v>
      </c>
      <c r="DS9" s="31">
        <v>0.0</v>
      </c>
      <c r="DT9" s="31">
        <f>'Old Balance Sheet'!AC9</f>
        <v>0</v>
      </c>
      <c r="DU9" s="31">
        <f>DT9 + SUMIFS('Payments Log'!D:D, 'Payments Log'!B:B, A9, 'Payments Log'!L:L, "Approved", 'Payments Log'!M:M, "Credit") + 'Old Balance Sheet'!AD9 - 'Old Balance Sheet'!AC9</f>
        <v>0</v>
      </c>
      <c r="DV9" s="31">
        <f>SUMIFS('Payments Log'!D:D, 'Payments Log'!B:B, A9, 'Payments Log'!L:L, "Approved", 'Payments Log'!M:M, "Adjustment Credit") - SUMIFS('Payments Log'!D:D, 'Payments Log'!B:B, A9, 'Payments Log'!L:L, "Approved", 'Payments Log'!M:M, "Adjustment Debit") + 'Old Balance Sheet'!AE9</f>
        <v>0</v>
      </c>
      <c r="DW9" s="31">
        <f>IF(MAXIFS('Payments Log'!N:N, 'Payments Log'!L:L, "Approved", 'Payments Log'!M:M, "Credit", 'Payments Log'!B:B, A9) &gt; MAXIFS('Payments Log'!N:N, 'Payments Log'!L:L, "Approved", 'Payments Log'!M:M, "Virtual Credit", 'Payments Log'!B:B, A9), 0, SUMIFS('Payments Log'!D:D, 'Payments Log'!N:N, MAXIFS('Payments Log'!N:N, 'Payments Log'!L:L, "Approved", 'Payments Log'!M:M, "Virtual Credit", 'Payments Log'!B:B, A9)))</f>
        <v>0</v>
      </c>
      <c r="DX9" s="33">
        <f t="shared" si="6"/>
        <v>0</v>
      </c>
      <c r="DY9" s="33">
        <f t="shared" si="7"/>
        <v>0</v>
      </c>
      <c r="DZ9" s="33">
        <f t="shared" si="8"/>
        <v>0</v>
      </c>
      <c r="EA9" s="25" t="str">
        <f>(Sheet1!N9)</f>
        <v>Singla Automobiles (Main Branch)</v>
      </c>
      <c r="EB9" s="25" t="str">
        <f>(Sheet1!O9)</f>
        <v>150xD2ZWlv_NqqijpFlWWgIoGhpbdGM3zmaQdQAd1q5M</v>
      </c>
      <c r="EC9" s="26" t="str">
        <f>(Sheet1!P9)</f>
        <v>Sub Dealer</v>
      </c>
      <c r="ED9" s="34" t="s">
        <v>13</v>
      </c>
    </row>
    <row r="10">
      <c r="A10" s="25" t="str">
        <f>(Sheet1!A10)</f>
        <v>1K2kmTdQ29RE0odqH86t0j8wUvDVWe7UFRs_xfvl5r94</v>
      </c>
      <c r="B10" s="25" t="str">
        <f>(Sheet1!B10)</f>
        <v>Singla Automobiles (C1)</v>
      </c>
      <c r="C10" s="30" t="s">
        <v>13</v>
      </c>
      <c r="D10" s="30" t="s">
        <v>72</v>
      </c>
      <c r="E10" s="30" t="s">
        <v>3819</v>
      </c>
      <c r="F10" s="31">
        <v>205.0</v>
      </c>
      <c r="G10" s="32" t="s">
        <v>3818</v>
      </c>
      <c r="H10" s="31">
        <v>100.0</v>
      </c>
      <c r="I10" s="33">
        <f>'Old Balance Sheet'!A10 + 'ACPL Calculations - 1.0'!A10 + 'ACPL Calculations - 2.0'!A10</f>
        <v>0</v>
      </c>
      <c r="J10" s="30" t="s">
        <v>3819</v>
      </c>
      <c r="K10" s="31">
        <v>205.0</v>
      </c>
      <c r="L10" s="32" t="s">
        <v>3818</v>
      </c>
      <c r="M10" s="31">
        <v>100.0</v>
      </c>
      <c r="N10" s="33">
        <f>'Old Balance Sheet'!B10 + 'ACPL Calculations - 1.0'!B10 + 'ACPL Calculations - 2.0'!B10</f>
        <v>0</v>
      </c>
      <c r="O10" s="30" t="s">
        <v>3819</v>
      </c>
      <c r="P10" s="31">
        <v>290.0</v>
      </c>
      <c r="Q10" s="32" t="s">
        <v>3818</v>
      </c>
      <c r="R10" s="31">
        <v>100.0</v>
      </c>
      <c r="S10" s="33">
        <f>'Old Balance Sheet'!C10 + 'ACPL Calculations - 1.0'!C10 + 'ACPL Calculations - 2.0'!C10</f>
        <v>0</v>
      </c>
      <c r="T10" s="30" t="s">
        <v>3819</v>
      </c>
      <c r="U10" s="31">
        <v>300.0</v>
      </c>
      <c r="V10" s="32" t="s">
        <v>3818</v>
      </c>
      <c r="W10" s="31">
        <v>100.0</v>
      </c>
      <c r="X10" s="33">
        <f>'Old Balance Sheet'!D10 + 'ACPL Calculations - 1.0'!D10 + 'ACPL Calculations - 2.0'!D10</f>
        <v>0</v>
      </c>
      <c r="Y10" s="30" t="s">
        <v>3819</v>
      </c>
      <c r="Z10" s="31">
        <v>300.0</v>
      </c>
      <c r="AA10" s="32" t="s">
        <v>3818</v>
      </c>
      <c r="AB10" s="31">
        <v>100.0</v>
      </c>
      <c r="AC10" s="33">
        <f>'Old Balance Sheet'!E10 + 'ACPL Calculations - 1.0'!E10 + 'ACPL Calculations - 2.0'!E10</f>
        <v>53</v>
      </c>
      <c r="AD10" s="30" t="s">
        <v>3819</v>
      </c>
      <c r="AE10" s="34">
        <v>838.99</v>
      </c>
      <c r="AF10" s="32" t="s">
        <v>3818</v>
      </c>
      <c r="AG10" s="31">
        <v>100.0</v>
      </c>
      <c r="AH10" s="33">
        <f>'Old Balance Sheet'!F10 + 'ACPL Calculations - 1.0'!F10 + 'ACPL Calculations - 2.0'!F10</f>
        <v>0</v>
      </c>
      <c r="AI10" s="30" t="s">
        <v>3819</v>
      </c>
      <c r="AJ10" s="31">
        <v>375.0</v>
      </c>
      <c r="AK10" s="32" t="s">
        <v>3818</v>
      </c>
      <c r="AL10" s="31">
        <v>100.0</v>
      </c>
      <c r="AM10" s="33">
        <f>'Old Balance Sheet'!G10 + 'ACPL Calculations - 1.0'!G10 + 'ACPL Calculations - 2.0'!G10</f>
        <v>0</v>
      </c>
      <c r="AN10" s="30" t="s">
        <v>3819</v>
      </c>
      <c r="AO10" s="31">
        <v>290.0</v>
      </c>
      <c r="AP10" s="32" t="s">
        <v>3818</v>
      </c>
      <c r="AQ10" s="31">
        <v>100.0</v>
      </c>
      <c r="AR10" s="33">
        <f>'Old Balance Sheet'!H10 + 'ACPL Calculations - 1.0'!H10 + 'ACPL Calculations - 2.0'!H10</f>
        <v>0</v>
      </c>
      <c r="AS10" s="30" t="s">
        <v>3819</v>
      </c>
      <c r="AT10" s="31">
        <v>838.99</v>
      </c>
      <c r="AU10" s="32" t="s">
        <v>3818</v>
      </c>
      <c r="AV10" s="31">
        <v>100.0</v>
      </c>
      <c r="AW10" s="33">
        <f>'Old Balance Sheet'!I10 + 'ACPL Calculations - 1.0'!I10 + 'ACPL Calculations - 2.0'!I10</f>
        <v>0</v>
      </c>
      <c r="AX10" s="30" t="s">
        <v>3819</v>
      </c>
      <c r="AY10" s="31">
        <v>290.0</v>
      </c>
      <c r="AZ10" s="32" t="s">
        <v>3818</v>
      </c>
      <c r="BA10" s="31">
        <v>100.0</v>
      </c>
      <c r="BB10" s="33">
        <f>'Old Balance Sheet'!J10 + 'ACPL Calculations - 1.0'!J10 + 'ACPL Calculations - 2.0'!J10</f>
        <v>0</v>
      </c>
      <c r="BC10" s="30" t="s">
        <v>3819</v>
      </c>
      <c r="BD10" s="31">
        <v>205.0</v>
      </c>
      <c r="BE10" s="32" t="s">
        <v>3818</v>
      </c>
      <c r="BF10" s="31">
        <v>100.0</v>
      </c>
      <c r="BG10" s="33">
        <f>'Old Balance Sheet'!K10 + 'ACPL Calculations - 1.0'!K10 + 'ACPL Calculations - 2.0'!K10</f>
        <v>0</v>
      </c>
      <c r="BH10" s="30" t="s">
        <v>3819</v>
      </c>
      <c r="BI10" s="31">
        <v>205.0</v>
      </c>
      <c r="BJ10" s="32" t="s">
        <v>3818</v>
      </c>
      <c r="BK10" s="31">
        <v>100.0</v>
      </c>
      <c r="BL10" s="33">
        <f>'Old Balance Sheet'!L10 + 'ACPL Calculations - 1.0'!L10 + 'ACPL Calculations - 2.0'!L10</f>
        <v>0</v>
      </c>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f t="shared" si="1"/>
        <v>53</v>
      </c>
      <c r="CM10" s="33">
        <f>'Old Balance Sheet'!R10 + 'ACPL Calculations - 1.0'!S10 + 'ACPL Calculations - 2.0'!S10</f>
        <v>22105</v>
      </c>
      <c r="CN10" s="33">
        <f>'Old Balance Sheet'!S10 + 'ACPL Calculations - 1.0'!T10 + 'ACPL Calculations - 2.0'!T10</f>
        <v>16540</v>
      </c>
      <c r="CO10" s="33">
        <f t="shared" si="2"/>
        <v>19911.95</v>
      </c>
      <c r="CP10" s="33">
        <f>'Old Balance Sheet'!T10 + 'ACPL Calculations - 1.0'!V10 + 'ACPL Calculations - 2.0'!V10</f>
        <v>0</v>
      </c>
      <c r="CQ10" s="33">
        <f>'Old Balance Sheet'!U10 + 'ACPL Calculations - 1.0'!W10 + 'ACPL Calculations - 2.0'!W10</f>
        <v>0</v>
      </c>
      <c r="CR10" s="33">
        <f>'Old Balance Sheet'!V10 + 'ACPL Calculations - 1.0'!X10 + 'ACPL Calculations - 2.0'!X10</f>
        <v>3371.95</v>
      </c>
      <c r="CS10" s="33">
        <f t="shared" si="3"/>
        <v>3371.95</v>
      </c>
      <c r="CT10" s="35"/>
      <c r="CU10" s="35"/>
      <c r="CV10" s="35"/>
      <c r="CW10" s="36">
        <f>'Old Balance Sheet'!W10 + 'ACPL Calculations - 1.0'!Z10 + 'ACPL Calculations - 2.0'!Z10</f>
        <v>0</v>
      </c>
      <c r="CX10" s="36">
        <f>'Old Balance Sheet'!X10 + 'ACPL Calculations - 1.0'!AA10 + 'ACPL Calculations - 2.0'!AA10</f>
        <v>0</v>
      </c>
      <c r="CY10" s="37">
        <v>0.0</v>
      </c>
      <c r="CZ10" s="38">
        <f>'Old Balance Sheet'!Y10 + 'ACPL Calculations - 1.0'!AB10 + 'ACPL Calculations - 2.0'!AB10</f>
        <v>0</v>
      </c>
      <c r="DA10" s="38">
        <f>'Old Balance Sheet'!Z10 + 'ACPL Calculations - 1.0'!AC10 + 'ACPL Calculations - 2.0'!AC10</f>
        <v>0</v>
      </c>
      <c r="DB10" s="38">
        <f>'Old Balance Sheet'!AA10 + 'ACPL Calculations - 1.0'!AD10 + 'ACPL Calculations - 2.0'!AD10</f>
        <v>0</v>
      </c>
      <c r="DC10" s="38">
        <f>'Old Balance Sheet'!AB10 + 'ACPL Calculations - 1.0'!AE10 + 'ACPL Calculations - 2.0'!AE10</f>
        <v>0</v>
      </c>
      <c r="DD10" s="38">
        <f t="shared" si="4"/>
        <v>0</v>
      </c>
      <c r="DE10" s="33">
        <f t="shared" si="5"/>
        <v>0</v>
      </c>
      <c r="DF10" s="35">
        <v>0.0</v>
      </c>
      <c r="DG10" s="35">
        <v>0.0</v>
      </c>
      <c r="DH10" s="35">
        <v>0.0</v>
      </c>
      <c r="DI10" s="35">
        <v>0.0</v>
      </c>
      <c r="DJ10" s="35">
        <v>0.0</v>
      </c>
      <c r="DK10" s="35">
        <v>0.0</v>
      </c>
      <c r="DL10" s="35">
        <v>0.0</v>
      </c>
      <c r="DM10" s="35">
        <v>0.0</v>
      </c>
      <c r="DN10" s="31">
        <v>0.0</v>
      </c>
      <c r="DO10" s="31">
        <v>0.0</v>
      </c>
      <c r="DP10" s="31">
        <v>0.0</v>
      </c>
      <c r="DQ10" s="31">
        <v>0.0</v>
      </c>
      <c r="DR10" s="31">
        <v>0.0</v>
      </c>
      <c r="DS10" s="31">
        <v>0.0</v>
      </c>
      <c r="DT10" s="31">
        <f>'Old Balance Sheet'!AC10</f>
        <v>0</v>
      </c>
      <c r="DU10" s="31">
        <f>DT10 + SUMIFS('Payments Log'!D:D, 'Payments Log'!B:B, A10, 'Payments Log'!L:L, "Approved", 'Payments Log'!M:M, "Credit") + 'Old Balance Sheet'!AD10 - 'Old Balance Sheet'!AC10</f>
        <v>0</v>
      </c>
      <c r="DV10" s="31">
        <f>SUMIFS('Payments Log'!D:D, 'Payments Log'!B:B, A10, 'Payments Log'!L:L, "Approved", 'Payments Log'!M:M, "Adjustment Credit") - SUMIFS('Payments Log'!D:D, 'Payments Log'!B:B, A10, 'Payments Log'!L:L, "Approved", 'Payments Log'!M:M, "Adjustment Debit") + 'Old Balance Sheet'!AE10</f>
        <v>0</v>
      </c>
      <c r="DW10" s="31">
        <f>IF(MAXIFS('Payments Log'!N:N, 'Payments Log'!L:L, "Approved", 'Payments Log'!M:M, "Credit", 'Payments Log'!B:B, A10) &gt; MAXIFS('Payments Log'!N:N, 'Payments Log'!L:L, "Approved", 'Payments Log'!M:M, "Virtual Credit", 'Payments Log'!B:B, A10), 0, SUMIFS('Payments Log'!D:D, 'Payments Log'!N:N, MAXIFS('Payments Log'!N:N, 'Payments Log'!L:L, "Approved", 'Payments Log'!M:M, "Virtual Credit", 'Payments Log'!B:B, A10)))</f>
        <v>0</v>
      </c>
      <c r="DX10" s="33">
        <f t="shared" si="6"/>
        <v>0</v>
      </c>
      <c r="DY10" s="33">
        <f t="shared" si="7"/>
        <v>0</v>
      </c>
      <c r="DZ10" s="33">
        <f t="shared" si="8"/>
        <v>0</v>
      </c>
      <c r="EA10" s="25" t="str">
        <f>(Sheet1!N10)</f>
        <v>Singla Automobiles (Main Branch)</v>
      </c>
      <c r="EB10" s="25" t="str">
        <f>(Sheet1!O10)</f>
        <v>150xD2ZWlv_NqqijpFlWWgIoGhpbdGM3zmaQdQAd1q5M</v>
      </c>
      <c r="EC10" s="26" t="str">
        <f>(Sheet1!P10)</f>
        <v>Sub Dealer</v>
      </c>
      <c r="ED10" s="34" t="s">
        <v>13</v>
      </c>
    </row>
    <row r="11">
      <c r="A11" s="25" t="str">
        <f>(Sheet1!A11)</f>
        <v>1z3Kb0ZM3b0cYxMw2eBE8FLNbVZCR8EGVeEjtQyPaoso</v>
      </c>
      <c r="B11" s="25" t="str">
        <f>(Sheet1!B11)</f>
        <v>Singla Automobiles (Samalka)</v>
      </c>
      <c r="C11" s="30" t="s">
        <v>13</v>
      </c>
      <c r="D11" s="30" t="s">
        <v>72</v>
      </c>
      <c r="E11" s="30" t="s">
        <v>3819</v>
      </c>
      <c r="F11" s="31">
        <v>205.0</v>
      </c>
      <c r="G11" s="32" t="s">
        <v>3818</v>
      </c>
      <c r="H11" s="31">
        <v>100.0</v>
      </c>
      <c r="I11" s="33">
        <f>'Old Balance Sheet'!A11 + 'ACPL Calculations - 1.0'!A11 + 'ACPL Calculations - 2.0'!A11</f>
        <v>0</v>
      </c>
      <c r="J11" s="30" t="s">
        <v>3819</v>
      </c>
      <c r="K11" s="31">
        <v>205.0</v>
      </c>
      <c r="L11" s="32" t="s">
        <v>3818</v>
      </c>
      <c r="M11" s="31">
        <v>100.0</v>
      </c>
      <c r="N11" s="33">
        <f>'Old Balance Sheet'!B11 + 'ACPL Calculations - 1.0'!B11 + 'ACPL Calculations - 2.0'!B11</f>
        <v>0</v>
      </c>
      <c r="O11" s="30" t="s">
        <v>3819</v>
      </c>
      <c r="P11" s="31">
        <v>290.0</v>
      </c>
      <c r="Q11" s="32" t="s">
        <v>3818</v>
      </c>
      <c r="R11" s="31">
        <v>100.0</v>
      </c>
      <c r="S11" s="33">
        <f>'Old Balance Sheet'!C11 + 'ACPL Calculations - 1.0'!C11 + 'ACPL Calculations - 2.0'!C11</f>
        <v>0</v>
      </c>
      <c r="T11" s="30" t="s">
        <v>3819</v>
      </c>
      <c r="U11" s="31">
        <v>300.0</v>
      </c>
      <c r="V11" s="32" t="s">
        <v>3818</v>
      </c>
      <c r="W11" s="31">
        <v>100.0</v>
      </c>
      <c r="X11" s="33">
        <f>'Old Balance Sheet'!D11 + 'ACPL Calculations - 1.0'!D11 + 'ACPL Calculations - 2.0'!D11</f>
        <v>0</v>
      </c>
      <c r="Y11" s="30" t="s">
        <v>3819</v>
      </c>
      <c r="Z11" s="31">
        <v>300.0</v>
      </c>
      <c r="AA11" s="32" t="s">
        <v>3818</v>
      </c>
      <c r="AB11" s="31">
        <v>100.0</v>
      </c>
      <c r="AC11" s="33">
        <f>'Old Balance Sheet'!E11 + 'ACPL Calculations - 1.0'!E11 + 'ACPL Calculations - 2.0'!E11</f>
        <v>19</v>
      </c>
      <c r="AD11" s="30" t="s">
        <v>3819</v>
      </c>
      <c r="AE11" s="34">
        <v>838.99</v>
      </c>
      <c r="AF11" s="32" t="s">
        <v>3818</v>
      </c>
      <c r="AG11" s="31">
        <v>100.0</v>
      </c>
      <c r="AH11" s="33">
        <f>'Old Balance Sheet'!F11 + 'ACPL Calculations - 1.0'!F11 + 'ACPL Calculations - 2.0'!F11</f>
        <v>0</v>
      </c>
      <c r="AI11" s="30" t="s">
        <v>3819</v>
      </c>
      <c r="AJ11" s="31">
        <v>375.0</v>
      </c>
      <c r="AK11" s="32" t="s">
        <v>3818</v>
      </c>
      <c r="AL11" s="31">
        <v>100.0</v>
      </c>
      <c r="AM11" s="33">
        <f>'Old Balance Sheet'!G11 + 'ACPL Calculations - 1.0'!G11 + 'ACPL Calculations - 2.0'!G11</f>
        <v>0</v>
      </c>
      <c r="AN11" s="30" t="s">
        <v>3819</v>
      </c>
      <c r="AO11" s="31">
        <v>290.0</v>
      </c>
      <c r="AP11" s="32" t="s">
        <v>3818</v>
      </c>
      <c r="AQ11" s="31">
        <v>100.0</v>
      </c>
      <c r="AR11" s="33">
        <f>'Old Balance Sheet'!H11 + 'ACPL Calculations - 1.0'!H11 + 'ACPL Calculations - 2.0'!H11</f>
        <v>0</v>
      </c>
      <c r="AS11" s="30" t="s">
        <v>3819</v>
      </c>
      <c r="AT11" s="31">
        <v>838.99</v>
      </c>
      <c r="AU11" s="32" t="s">
        <v>3818</v>
      </c>
      <c r="AV11" s="31">
        <v>100.0</v>
      </c>
      <c r="AW11" s="33">
        <f>'Old Balance Sheet'!I11 + 'ACPL Calculations - 1.0'!I11 + 'ACPL Calculations - 2.0'!I11</f>
        <v>0</v>
      </c>
      <c r="AX11" s="30" t="s">
        <v>3819</v>
      </c>
      <c r="AY11" s="31">
        <v>290.0</v>
      </c>
      <c r="AZ11" s="32" t="s">
        <v>3818</v>
      </c>
      <c r="BA11" s="31">
        <v>100.0</v>
      </c>
      <c r="BB11" s="33">
        <f>'Old Balance Sheet'!J11 + 'ACPL Calculations - 1.0'!J11 + 'ACPL Calculations - 2.0'!J11</f>
        <v>0</v>
      </c>
      <c r="BC11" s="30" t="s">
        <v>3819</v>
      </c>
      <c r="BD11" s="31">
        <v>205.0</v>
      </c>
      <c r="BE11" s="32" t="s">
        <v>3818</v>
      </c>
      <c r="BF11" s="31">
        <v>100.0</v>
      </c>
      <c r="BG11" s="33">
        <f>'Old Balance Sheet'!K11 + 'ACPL Calculations - 1.0'!K11 + 'ACPL Calculations - 2.0'!K11</f>
        <v>0</v>
      </c>
      <c r="BH11" s="30" t="s">
        <v>3819</v>
      </c>
      <c r="BI11" s="31">
        <v>205.0</v>
      </c>
      <c r="BJ11" s="32" t="s">
        <v>3818</v>
      </c>
      <c r="BK11" s="31">
        <v>100.0</v>
      </c>
      <c r="BL11" s="33">
        <f>'Old Balance Sheet'!L11 + 'ACPL Calculations - 1.0'!L11 + 'ACPL Calculations - 2.0'!L11</f>
        <v>0</v>
      </c>
      <c r="BM11" s="33"/>
      <c r="BN11" s="33"/>
      <c r="BO11" s="33"/>
      <c r="BP11" s="33"/>
      <c r="BQ11" s="33"/>
      <c r="BR11" s="33"/>
      <c r="BS11" s="33"/>
      <c r="BT11" s="33"/>
      <c r="BU11" s="33"/>
      <c r="BV11" s="33"/>
      <c r="BW11" s="33"/>
      <c r="BX11" s="33"/>
      <c r="BY11" s="33"/>
      <c r="BZ11" s="33"/>
      <c r="CA11" s="33"/>
      <c r="CB11" s="33"/>
      <c r="CC11" s="33"/>
      <c r="CD11" s="33"/>
      <c r="CE11" s="33"/>
      <c r="CF11" s="33"/>
      <c r="CG11" s="33"/>
      <c r="CH11" s="33"/>
      <c r="CI11" s="33"/>
      <c r="CJ11" s="33"/>
      <c r="CK11" s="33"/>
      <c r="CL11" s="33">
        <f t="shared" si="1"/>
        <v>19</v>
      </c>
      <c r="CM11" s="33">
        <f>'Old Balance Sheet'!R11 + 'ACPL Calculations - 1.0'!S11 + 'ACPL Calculations - 2.0'!S11</f>
        <v>15019</v>
      </c>
      <c r="CN11" s="33">
        <f>'Old Balance Sheet'!S11 + 'ACPL Calculations - 1.0'!T11 + 'ACPL Calculations - 2.0'!T11</f>
        <v>7300</v>
      </c>
      <c r="CO11" s="33">
        <f t="shared" si="2"/>
        <v>9591.05</v>
      </c>
      <c r="CP11" s="33">
        <f>'Old Balance Sheet'!T11 + 'ACPL Calculations - 1.0'!V11 + 'ACPL Calculations - 2.0'!V11</f>
        <v>0</v>
      </c>
      <c r="CQ11" s="33">
        <f>'Old Balance Sheet'!U11 + 'ACPL Calculations - 1.0'!W11 + 'ACPL Calculations - 2.0'!W11</f>
        <v>0</v>
      </c>
      <c r="CR11" s="33">
        <f>'Old Balance Sheet'!V11 + 'ACPL Calculations - 1.0'!X11 + 'ACPL Calculations - 2.0'!X11</f>
        <v>2291.05</v>
      </c>
      <c r="CS11" s="33">
        <f t="shared" si="3"/>
        <v>2291.05</v>
      </c>
      <c r="CT11" s="35"/>
      <c r="CU11" s="35"/>
      <c r="CV11" s="35"/>
      <c r="CW11" s="36">
        <f>'Old Balance Sheet'!W11 + 'ACPL Calculations - 1.0'!Z11 + 'ACPL Calculations - 2.0'!Z11</f>
        <v>0</v>
      </c>
      <c r="CX11" s="36">
        <f>'Old Balance Sheet'!X11 + 'ACPL Calculations - 1.0'!AA11 + 'ACPL Calculations - 2.0'!AA11</f>
        <v>0</v>
      </c>
      <c r="CY11" s="37">
        <v>0.0</v>
      </c>
      <c r="CZ11" s="38">
        <f>'Old Balance Sheet'!Y11 + 'ACPL Calculations - 1.0'!AB11 + 'ACPL Calculations - 2.0'!AB11</f>
        <v>0</v>
      </c>
      <c r="DA11" s="38">
        <f>'Old Balance Sheet'!Z11 + 'ACPL Calculations - 1.0'!AC11 + 'ACPL Calculations - 2.0'!AC11</f>
        <v>0</v>
      </c>
      <c r="DB11" s="38">
        <f>'Old Balance Sheet'!AA11 + 'ACPL Calculations - 1.0'!AD11 + 'ACPL Calculations - 2.0'!AD11</f>
        <v>0</v>
      </c>
      <c r="DC11" s="38">
        <f>'Old Balance Sheet'!AB11 + 'ACPL Calculations - 1.0'!AE11 + 'ACPL Calculations - 2.0'!AE11</f>
        <v>0</v>
      </c>
      <c r="DD11" s="38">
        <f t="shared" si="4"/>
        <v>0</v>
      </c>
      <c r="DE11" s="33">
        <f t="shared" si="5"/>
        <v>0</v>
      </c>
      <c r="DF11" s="35">
        <v>0.0</v>
      </c>
      <c r="DG11" s="35">
        <v>0.0</v>
      </c>
      <c r="DH11" s="35">
        <v>0.0</v>
      </c>
      <c r="DI11" s="35">
        <v>0.0</v>
      </c>
      <c r="DJ11" s="35">
        <v>0.0</v>
      </c>
      <c r="DK11" s="35">
        <v>0.0</v>
      </c>
      <c r="DL11" s="35">
        <v>0.0</v>
      </c>
      <c r="DM11" s="35">
        <v>0.0</v>
      </c>
      <c r="DN11" s="31">
        <v>0.0</v>
      </c>
      <c r="DO11" s="31">
        <v>0.0</v>
      </c>
      <c r="DP11" s="31">
        <v>0.0</v>
      </c>
      <c r="DQ11" s="31">
        <v>0.0</v>
      </c>
      <c r="DR11" s="31">
        <v>0.0</v>
      </c>
      <c r="DS11" s="31">
        <v>0.0</v>
      </c>
      <c r="DT11" s="31">
        <f>'Old Balance Sheet'!AC11</f>
        <v>0</v>
      </c>
      <c r="DU11" s="31">
        <f>DT11 + SUMIFS('Payments Log'!D:D, 'Payments Log'!B:B, A11, 'Payments Log'!L:L, "Approved", 'Payments Log'!M:M, "Credit") + 'Old Balance Sheet'!AD11 - 'Old Balance Sheet'!AC11</f>
        <v>0</v>
      </c>
      <c r="DV11" s="31">
        <f>SUMIFS('Payments Log'!D:D, 'Payments Log'!B:B, A11, 'Payments Log'!L:L, "Approved", 'Payments Log'!M:M, "Adjustment Credit") - SUMIFS('Payments Log'!D:D, 'Payments Log'!B:B, A11, 'Payments Log'!L:L, "Approved", 'Payments Log'!M:M, "Adjustment Debit") + 'Old Balance Sheet'!AE11</f>
        <v>0</v>
      </c>
      <c r="DW11" s="31">
        <f>IF(MAXIFS('Payments Log'!N:N, 'Payments Log'!L:L, "Approved", 'Payments Log'!M:M, "Credit", 'Payments Log'!B:B, A11) &gt; MAXIFS('Payments Log'!N:N, 'Payments Log'!L:L, "Approved", 'Payments Log'!M:M, "Virtual Credit", 'Payments Log'!B:B, A11), 0, SUMIFS('Payments Log'!D:D, 'Payments Log'!N:N, MAXIFS('Payments Log'!N:N, 'Payments Log'!L:L, "Approved", 'Payments Log'!M:M, "Virtual Credit", 'Payments Log'!B:B, A11)))</f>
        <v>0</v>
      </c>
      <c r="DX11" s="33">
        <f t="shared" si="6"/>
        <v>0</v>
      </c>
      <c r="DY11" s="33">
        <f t="shared" si="7"/>
        <v>0</v>
      </c>
      <c r="DZ11" s="33">
        <f t="shared" si="8"/>
        <v>0</v>
      </c>
      <c r="EA11" s="25" t="str">
        <f>(Sheet1!N11)</f>
        <v>Singla Automobiles (Main Branch)</v>
      </c>
      <c r="EB11" s="25" t="str">
        <f>(Sheet1!O11)</f>
        <v>150xD2ZWlv_NqqijpFlWWgIoGhpbdGM3zmaQdQAd1q5M</v>
      </c>
      <c r="EC11" s="26" t="str">
        <f>(Sheet1!P11)</f>
        <v>Sub Dealer</v>
      </c>
      <c r="ED11" s="34" t="s">
        <v>13</v>
      </c>
    </row>
    <row r="12">
      <c r="A12" s="25" t="str">
        <f>(Sheet1!A15)</f>
        <v>1ejtSq2pJ5r5wu-kZaMFvJrFblntdYFCvNJnKtYjMVzo</v>
      </c>
      <c r="B12" s="25" t="str">
        <f>(Sheet1!B15)</f>
        <v>Uppal Motors</v>
      </c>
      <c r="C12" s="30" t="s">
        <v>13</v>
      </c>
      <c r="D12" s="30" t="s">
        <v>72</v>
      </c>
      <c r="E12" s="30" t="s">
        <v>3817</v>
      </c>
      <c r="F12" s="31">
        <v>170.0</v>
      </c>
      <c r="G12" s="32" t="s">
        <v>3818</v>
      </c>
      <c r="H12" s="31">
        <v>100.0</v>
      </c>
      <c r="I12" s="33">
        <f>'Old Balance Sheet'!A12 + 'ACPL Calculations - 1.0'!A12 + 'ACPL Calculations - 2.0'!A12</f>
        <v>0</v>
      </c>
      <c r="J12" s="30" t="s">
        <v>3817</v>
      </c>
      <c r="K12" s="31">
        <v>170.0</v>
      </c>
      <c r="L12" s="32" t="s">
        <v>3818</v>
      </c>
      <c r="M12" s="31">
        <v>100.0</v>
      </c>
      <c r="N12" s="33">
        <f>'Old Balance Sheet'!B12 + 'ACPL Calculations - 1.0'!B12 + 'ACPL Calculations - 2.0'!B12</f>
        <v>0</v>
      </c>
      <c r="O12" s="30" t="s">
        <v>3817</v>
      </c>
      <c r="P12" s="31">
        <v>235.0</v>
      </c>
      <c r="Q12" s="32" t="s">
        <v>3818</v>
      </c>
      <c r="R12" s="31">
        <v>100.0</v>
      </c>
      <c r="S12" s="33">
        <f>'Old Balance Sheet'!C12 + 'ACPL Calculations - 1.0'!C12 + 'ACPL Calculations - 2.0'!C12</f>
        <v>0</v>
      </c>
      <c r="T12" s="30" t="s">
        <v>3817</v>
      </c>
      <c r="U12" s="31">
        <v>300.0</v>
      </c>
      <c r="V12" s="32" t="s">
        <v>3818</v>
      </c>
      <c r="W12" s="31">
        <v>100.0</v>
      </c>
      <c r="X12" s="33">
        <f>'Old Balance Sheet'!D12 + 'ACPL Calculations - 1.0'!D12 + 'ACPL Calculations - 2.0'!D12</f>
        <v>0</v>
      </c>
      <c r="Y12" s="30" t="s">
        <v>3817</v>
      </c>
      <c r="Z12" s="31">
        <v>350.0</v>
      </c>
      <c r="AA12" s="32" t="s">
        <v>3818</v>
      </c>
      <c r="AB12" s="31">
        <v>100.0</v>
      </c>
      <c r="AC12" s="33">
        <f>'Old Balance Sheet'!E12 + 'ACPL Calculations - 1.0'!E12 + 'ACPL Calculations - 2.0'!E12</f>
        <v>0</v>
      </c>
      <c r="AD12" s="30" t="s">
        <v>3817</v>
      </c>
      <c r="AE12" s="34">
        <v>838.99</v>
      </c>
      <c r="AF12" s="32" t="s">
        <v>3818</v>
      </c>
      <c r="AG12" s="31">
        <v>100.0</v>
      </c>
      <c r="AH12" s="33">
        <f>'Old Balance Sheet'!F12 + 'ACPL Calculations - 1.0'!F12 + 'ACPL Calculations - 2.0'!F12</f>
        <v>0</v>
      </c>
      <c r="AI12" s="30" t="s">
        <v>3817</v>
      </c>
      <c r="AJ12" s="31">
        <v>300.0</v>
      </c>
      <c r="AK12" s="32" t="s">
        <v>3818</v>
      </c>
      <c r="AL12" s="31">
        <v>100.0</v>
      </c>
      <c r="AM12" s="33">
        <f>'Old Balance Sheet'!G12 + 'ACPL Calculations - 1.0'!G12 + 'ACPL Calculations - 2.0'!G12</f>
        <v>0</v>
      </c>
      <c r="AN12" s="30" t="s">
        <v>3817</v>
      </c>
      <c r="AO12" s="31">
        <v>235.0</v>
      </c>
      <c r="AP12" s="32" t="s">
        <v>3818</v>
      </c>
      <c r="AQ12" s="31">
        <v>100.0</v>
      </c>
      <c r="AR12" s="33">
        <f>'Old Balance Sheet'!H12 + 'ACPL Calculations - 1.0'!H12 + 'ACPL Calculations - 2.0'!H12</f>
        <v>0</v>
      </c>
      <c r="AS12" s="30" t="s">
        <v>3819</v>
      </c>
      <c r="AT12" s="31">
        <v>838.99</v>
      </c>
      <c r="AU12" s="32" t="s">
        <v>3818</v>
      </c>
      <c r="AV12" s="31">
        <v>100.0</v>
      </c>
      <c r="AW12" s="33">
        <f>'Old Balance Sheet'!I12 + 'ACPL Calculations - 1.0'!I12 + 'ACPL Calculations - 2.0'!I12</f>
        <v>0</v>
      </c>
      <c r="AX12" s="30" t="s">
        <v>3817</v>
      </c>
      <c r="AY12" s="31">
        <v>290.0</v>
      </c>
      <c r="AZ12" s="32" t="s">
        <v>3818</v>
      </c>
      <c r="BA12" s="31">
        <v>100.0</v>
      </c>
      <c r="BB12" s="33">
        <f>'Old Balance Sheet'!J12 + 'ACPL Calculations - 1.0'!J12 + 'ACPL Calculations - 2.0'!J12</f>
        <v>0</v>
      </c>
      <c r="BC12" s="30" t="s">
        <v>3817</v>
      </c>
      <c r="BD12" s="31">
        <v>205.0</v>
      </c>
      <c r="BE12" s="32" t="s">
        <v>3818</v>
      </c>
      <c r="BF12" s="31">
        <v>100.0</v>
      </c>
      <c r="BG12" s="33">
        <f>'Old Balance Sheet'!K12 + 'ACPL Calculations - 1.0'!K12 + 'ACPL Calculations - 2.0'!K12</f>
        <v>0</v>
      </c>
      <c r="BH12" s="30" t="s">
        <v>3817</v>
      </c>
      <c r="BI12" s="31">
        <v>205.0</v>
      </c>
      <c r="BJ12" s="32" t="s">
        <v>3818</v>
      </c>
      <c r="BK12" s="31">
        <v>100.0</v>
      </c>
      <c r="BL12" s="33">
        <f>'Old Balance Sheet'!L12 + 'ACPL Calculations - 1.0'!L12 + 'ACPL Calculations - 2.0'!L12</f>
        <v>0</v>
      </c>
      <c r="BM12" s="33"/>
      <c r="BN12" s="33"/>
      <c r="BO12" s="33"/>
      <c r="BP12" s="33"/>
      <c r="BQ12" s="33"/>
      <c r="BR12" s="33"/>
      <c r="BS12" s="33"/>
      <c r="BT12" s="33"/>
      <c r="BU12" s="33"/>
      <c r="BV12" s="33"/>
      <c r="BW12" s="33"/>
      <c r="BX12" s="33"/>
      <c r="BY12" s="33"/>
      <c r="BZ12" s="33"/>
      <c r="CA12" s="33"/>
      <c r="CB12" s="33"/>
      <c r="CC12" s="33"/>
      <c r="CD12" s="33"/>
      <c r="CE12" s="33"/>
      <c r="CF12" s="33"/>
      <c r="CG12" s="33"/>
      <c r="CH12" s="33"/>
      <c r="CI12" s="33"/>
      <c r="CJ12" s="33"/>
      <c r="CK12" s="33"/>
      <c r="CL12" s="33">
        <f t="shared" si="1"/>
        <v>0</v>
      </c>
      <c r="CM12" s="33">
        <f>'Old Balance Sheet'!R12 + 'ACPL Calculations - 1.0'!S12 + 'ACPL Calculations - 2.0'!S12</f>
        <v>0</v>
      </c>
      <c r="CN12" s="33">
        <f>'Old Balance Sheet'!S12 + 'ACPL Calculations - 1.0'!T12 + 'ACPL Calculations - 2.0'!T12</f>
        <v>0</v>
      </c>
      <c r="CO12" s="33">
        <f t="shared" si="2"/>
        <v>0</v>
      </c>
      <c r="CP12" s="33">
        <f>'Old Balance Sheet'!T12 + 'ACPL Calculations - 1.0'!V12 + 'ACPL Calculations - 2.0'!V12</f>
        <v>0</v>
      </c>
      <c r="CQ12" s="33">
        <f>'Old Balance Sheet'!U12 + 'ACPL Calculations - 1.0'!W12 + 'ACPL Calculations - 2.0'!W12</f>
        <v>0</v>
      </c>
      <c r="CR12" s="33">
        <f>'Old Balance Sheet'!V12 + 'ACPL Calculations - 1.0'!X12 + 'ACPL Calculations - 2.0'!X12</f>
        <v>0</v>
      </c>
      <c r="CS12" s="33">
        <f t="shared" si="3"/>
        <v>0</v>
      </c>
      <c r="CT12" s="35"/>
      <c r="CU12" s="35"/>
      <c r="CV12" s="35"/>
      <c r="CW12" s="36">
        <f>'Old Balance Sheet'!W12 + 'ACPL Calculations - 1.0'!Z12 + 'ACPL Calculations - 2.0'!Z12</f>
        <v>0</v>
      </c>
      <c r="CX12" s="36">
        <f>'Old Balance Sheet'!X12 + 'ACPL Calculations - 1.0'!AA12 + 'ACPL Calculations - 2.0'!AA12</f>
        <v>0</v>
      </c>
      <c r="CY12" s="37">
        <v>0.0</v>
      </c>
      <c r="CZ12" s="38">
        <f>'Old Balance Sheet'!Y12 + 'ACPL Calculations - 1.0'!AB12 + 'ACPL Calculations - 2.0'!AB12</f>
        <v>0</v>
      </c>
      <c r="DA12" s="38">
        <f>'Old Balance Sheet'!Z12 + 'ACPL Calculations - 1.0'!AC12 + 'ACPL Calculations - 2.0'!AC12</f>
        <v>0</v>
      </c>
      <c r="DB12" s="38">
        <f>'Old Balance Sheet'!AA12 + 'ACPL Calculations - 1.0'!AD12 + 'ACPL Calculations - 2.0'!AD12</f>
        <v>0</v>
      </c>
      <c r="DC12" s="38">
        <f>'Old Balance Sheet'!AB12 + 'ACPL Calculations - 1.0'!AE12 + 'ACPL Calculations - 2.0'!AE12</f>
        <v>0</v>
      </c>
      <c r="DD12" s="38">
        <f t="shared" si="4"/>
        <v>0</v>
      </c>
      <c r="DE12" s="33">
        <f t="shared" si="5"/>
        <v>0</v>
      </c>
      <c r="DF12" s="35">
        <v>0.0</v>
      </c>
      <c r="DG12" s="35">
        <v>0.0</v>
      </c>
      <c r="DH12" s="35">
        <v>0.0</v>
      </c>
      <c r="DI12" s="35">
        <v>0.0</v>
      </c>
      <c r="DJ12" s="35">
        <v>0.0</v>
      </c>
      <c r="DK12" s="35">
        <v>0.0</v>
      </c>
      <c r="DL12" s="35">
        <v>0.0</v>
      </c>
      <c r="DM12" s="35">
        <v>0.0</v>
      </c>
      <c r="DN12" s="31">
        <v>0.0</v>
      </c>
      <c r="DO12" s="31">
        <v>0.0</v>
      </c>
      <c r="DP12" s="31">
        <v>0.0</v>
      </c>
      <c r="DQ12" s="31">
        <v>0.0</v>
      </c>
      <c r="DR12" s="31">
        <v>0.0</v>
      </c>
      <c r="DS12" s="31">
        <v>0.0</v>
      </c>
      <c r="DT12" s="31">
        <f>'Old Balance Sheet'!AC12</f>
        <v>0</v>
      </c>
      <c r="DU12" s="31">
        <f>DT12 + SUMIFS('Payments Log'!D:D, 'Payments Log'!B:B, A12, 'Payments Log'!L:L, "Approved", 'Payments Log'!M:M, "Credit") + 'Old Balance Sheet'!AD12 - 'Old Balance Sheet'!AC12</f>
        <v>0</v>
      </c>
      <c r="DV12" s="31">
        <f>SUMIFS('Payments Log'!D:D, 'Payments Log'!B:B, A12, 'Payments Log'!L:L, "Approved", 'Payments Log'!M:M, "Adjustment Credit") - SUMIFS('Payments Log'!D:D, 'Payments Log'!B:B, A12, 'Payments Log'!L:L, "Approved", 'Payments Log'!M:M, "Adjustment Debit") + 'Old Balance Sheet'!AE12</f>
        <v>0</v>
      </c>
      <c r="DW12" s="31">
        <f>IF(MAXIFS('Payments Log'!N:N, 'Payments Log'!L:L, "Approved", 'Payments Log'!M:M, "Credit", 'Payments Log'!B:B, A12) &gt; MAXIFS('Payments Log'!N:N, 'Payments Log'!L:L, "Approved", 'Payments Log'!M:M, "Virtual Credit", 'Payments Log'!B:B, A12), 0, SUMIFS('Payments Log'!D:D, 'Payments Log'!N:N, MAXIFS('Payments Log'!N:N, 'Payments Log'!L:L, "Approved", 'Payments Log'!M:M, "Virtual Credit", 'Payments Log'!B:B, A12)))</f>
        <v>0</v>
      </c>
      <c r="DX12" s="33">
        <f t="shared" si="6"/>
        <v>0</v>
      </c>
      <c r="DY12" s="33">
        <f t="shared" si="7"/>
        <v>0</v>
      </c>
      <c r="DZ12" s="33">
        <f t="shared" si="8"/>
        <v>0</v>
      </c>
      <c r="EA12" s="25" t="str">
        <f>(Sheet1!N12)</f>
        <v>ESS AAR Motors - Jhandewalan</v>
      </c>
      <c r="EB12" s="25" t="str">
        <f>(Sheet1!O12)</f>
        <v>1hcMo_yCBmlA1T0WTeHgqUHMnzUUcjAMt7oOG7Fxhs7E</v>
      </c>
      <c r="EC12" s="26" t="str">
        <f>(Sheet1!P12)</f>
        <v>Dealer</v>
      </c>
      <c r="ED12" s="34" t="s">
        <v>13</v>
      </c>
    </row>
    <row r="13">
      <c r="A13" s="25" t="str">
        <f>(Sheet1!A12)</f>
        <v>1hcMo_yCBmlA1T0WTeHgqUHMnzUUcjAMt7oOG7Fxhs7E</v>
      </c>
      <c r="B13" s="25" t="str">
        <f>(Sheet1!B12)</f>
        <v>ESS AAR Motors - Jhandewalan</v>
      </c>
      <c r="C13" s="30" t="s">
        <v>13</v>
      </c>
      <c r="D13" s="30" t="s">
        <v>72</v>
      </c>
      <c r="E13" s="30" t="s">
        <v>3817</v>
      </c>
      <c r="F13" s="31">
        <v>205.0</v>
      </c>
      <c r="G13" s="32" t="s">
        <v>3818</v>
      </c>
      <c r="H13" s="31">
        <v>100.0</v>
      </c>
      <c r="I13" s="33">
        <f>'Old Balance Sheet'!A13 + 'ACPL Calculations - 1.0'!A13 + 'ACPL Calculations - 2.0'!A13</f>
        <v>0</v>
      </c>
      <c r="J13" s="30" t="s">
        <v>3817</v>
      </c>
      <c r="K13" s="31">
        <v>205.0</v>
      </c>
      <c r="L13" s="32" t="s">
        <v>3818</v>
      </c>
      <c r="M13" s="31">
        <v>100.0</v>
      </c>
      <c r="N13" s="33">
        <f>'Old Balance Sheet'!B13 + 'ACPL Calculations - 1.0'!B13 + 'ACPL Calculations - 2.0'!B13</f>
        <v>0</v>
      </c>
      <c r="O13" s="30" t="s">
        <v>3817</v>
      </c>
      <c r="P13" s="31">
        <v>290.0</v>
      </c>
      <c r="Q13" s="32" t="s">
        <v>3818</v>
      </c>
      <c r="R13" s="31">
        <v>100.0</v>
      </c>
      <c r="S13" s="33">
        <f>'Old Balance Sheet'!C13 + 'ACPL Calculations - 1.0'!C13 + 'ACPL Calculations - 2.0'!C13</f>
        <v>0</v>
      </c>
      <c r="T13" s="30" t="s">
        <v>3817</v>
      </c>
      <c r="U13" s="31">
        <v>375.0</v>
      </c>
      <c r="V13" s="32" t="s">
        <v>3818</v>
      </c>
      <c r="W13" s="31">
        <v>100.0</v>
      </c>
      <c r="X13" s="33">
        <f>'Old Balance Sheet'!D13 + 'ACPL Calculations - 1.0'!D13 + 'ACPL Calculations - 2.0'!D13</f>
        <v>0</v>
      </c>
      <c r="Y13" s="30" t="s">
        <v>3817</v>
      </c>
      <c r="Z13" s="31">
        <v>460.0</v>
      </c>
      <c r="AA13" s="32" t="s">
        <v>3818</v>
      </c>
      <c r="AB13" s="31">
        <v>100.0</v>
      </c>
      <c r="AC13" s="33">
        <f>'Old Balance Sheet'!E13 + 'ACPL Calculations - 1.0'!E13 + 'ACPL Calculations - 2.0'!E13</f>
        <v>0</v>
      </c>
      <c r="AD13" s="30" t="s">
        <v>3817</v>
      </c>
      <c r="AE13" s="34">
        <v>838.99</v>
      </c>
      <c r="AF13" s="32" t="s">
        <v>3818</v>
      </c>
      <c r="AG13" s="31">
        <v>100.0</v>
      </c>
      <c r="AH13" s="33">
        <f>'Old Balance Sheet'!F13 + 'ACPL Calculations - 1.0'!F13 + 'ACPL Calculations - 2.0'!F13</f>
        <v>0</v>
      </c>
      <c r="AI13" s="30" t="s">
        <v>3817</v>
      </c>
      <c r="AJ13" s="31">
        <v>375.0</v>
      </c>
      <c r="AK13" s="32" t="s">
        <v>3818</v>
      </c>
      <c r="AL13" s="31">
        <v>100.0</v>
      </c>
      <c r="AM13" s="33">
        <f>'Old Balance Sheet'!G13 + 'ACPL Calculations - 1.0'!G13 + 'ACPL Calculations - 2.0'!G13</f>
        <v>0</v>
      </c>
      <c r="AN13" s="30" t="s">
        <v>3817</v>
      </c>
      <c r="AO13" s="31">
        <v>290.0</v>
      </c>
      <c r="AP13" s="32" t="s">
        <v>3818</v>
      </c>
      <c r="AQ13" s="31">
        <v>100.0</v>
      </c>
      <c r="AR13" s="33">
        <f>'Old Balance Sheet'!H13 + 'ACPL Calculations - 1.0'!H13 + 'ACPL Calculations - 2.0'!H13</f>
        <v>0</v>
      </c>
      <c r="AS13" s="30" t="s">
        <v>3819</v>
      </c>
      <c r="AT13" s="31">
        <v>838.99</v>
      </c>
      <c r="AU13" s="32" t="s">
        <v>3818</v>
      </c>
      <c r="AV13" s="31">
        <v>100.0</v>
      </c>
      <c r="AW13" s="33">
        <f>'Old Balance Sheet'!I13 + 'ACPL Calculations - 1.0'!I13 + 'ACPL Calculations - 2.0'!I13</f>
        <v>0</v>
      </c>
      <c r="AX13" s="30" t="s">
        <v>3817</v>
      </c>
      <c r="AY13" s="31">
        <v>290.0</v>
      </c>
      <c r="AZ13" s="32" t="s">
        <v>3818</v>
      </c>
      <c r="BA13" s="31">
        <v>100.0</v>
      </c>
      <c r="BB13" s="33">
        <f>'Old Balance Sheet'!J13 + 'ACPL Calculations - 1.0'!J13 + 'ACPL Calculations - 2.0'!J13</f>
        <v>0</v>
      </c>
      <c r="BC13" s="30" t="s">
        <v>3817</v>
      </c>
      <c r="BD13" s="31">
        <v>205.0</v>
      </c>
      <c r="BE13" s="32" t="s">
        <v>3818</v>
      </c>
      <c r="BF13" s="31">
        <v>100.0</v>
      </c>
      <c r="BG13" s="33">
        <f>'Old Balance Sheet'!K13 + 'ACPL Calculations - 1.0'!K13 + 'ACPL Calculations - 2.0'!K13</f>
        <v>0</v>
      </c>
      <c r="BH13" s="30" t="s">
        <v>3817</v>
      </c>
      <c r="BI13" s="31">
        <v>205.0</v>
      </c>
      <c r="BJ13" s="32" t="s">
        <v>3818</v>
      </c>
      <c r="BK13" s="31">
        <v>100.0</v>
      </c>
      <c r="BL13" s="33">
        <f>'Old Balance Sheet'!L13 + 'ACPL Calculations - 1.0'!L13 + 'ACPL Calculations - 2.0'!L13</f>
        <v>0</v>
      </c>
      <c r="BM13" s="33"/>
      <c r="BN13" s="33"/>
      <c r="BO13" s="33"/>
      <c r="BP13" s="33"/>
      <c r="BQ13" s="33"/>
      <c r="BR13" s="33"/>
      <c r="BS13" s="33"/>
      <c r="BT13" s="33"/>
      <c r="BU13" s="33"/>
      <c r="BV13" s="33"/>
      <c r="BW13" s="33"/>
      <c r="BX13" s="33"/>
      <c r="BY13" s="33"/>
      <c r="BZ13" s="33"/>
      <c r="CA13" s="33"/>
      <c r="CB13" s="33"/>
      <c r="CC13" s="33"/>
      <c r="CD13" s="33"/>
      <c r="CE13" s="33"/>
      <c r="CF13" s="33"/>
      <c r="CG13" s="33"/>
      <c r="CH13" s="33"/>
      <c r="CI13" s="33"/>
      <c r="CJ13" s="33"/>
      <c r="CK13" s="33"/>
      <c r="CL13" s="33">
        <f t="shared" si="1"/>
        <v>0</v>
      </c>
      <c r="CM13" s="33">
        <f>'Old Balance Sheet'!R13 + 'ACPL Calculations - 1.0'!S13 + 'ACPL Calculations - 2.0'!S13</f>
        <v>0</v>
      </c>
      <c r="CN13" s="33">
        <f>'Old Balance Sheet'!S13 + 'ACPL Calculations - 1.0'!T13 + 'ACPL Calculations - 2.0'!T13</f>
        <v>0</v>
      </c>
      <c r="CO13" s="33">
        <f t="shared" si="2"/>
        <v>0</v>
      </c>
      <c r="CP13" s="33">
        <f>'Old Balance Sheet'!T13 + 'ACPL Calculations - 1.0'!V13 + 'ACPL Calculations - 2.0'!V13</f>
        <v>0</v>
      </c>
      <c r="CQ13" s="33">
        <f>'Old Balance Sheet'!U13 + 'ACPL Calculations - 1.0'!W13 + 'ACPL Calculations - 2.0'!W13</f>
        <v>0</v>
      </c>
      <c r="CR13" s="33">
        <f>'Old Balance Sheet'!V13 + 'ACPL Calculations - 1.0'!X13 + 'ACPL Calculations - 2.0'!X13</f>
        <v>0</v>
      </c>
      <c r="CS13" s="33">
        <f t="shared" si="3"/>
        <v>0</v>
      </c>
      <c r="CT13" s="35"/>
      <c r="CU13" s="35"/>
      <c r="CV13" s="35"/>
      <c r="CW13" s="36">
        <f>'Old Balance Sheet'!W13 + 'ACPL Calculations - 1.0'!Z13 + 'ACPL Calculations - 2.0'!Z13</f>
        <v>0</v>
      </c>
      <c r="CX13" s="36">
        <f>'Old Balance Sheet'!X13 + 'ACPL Calculations - 1.0'!AA13 + 'ACPL Calculations - 2.0'!AA13</f>
        <v>0</v>
      </c>
      <c r="CY13" s="37">
        <v>0.0</v>
      </c>
      <c r="CZ13" s="38">
        <f>'Old Balance Sheet'!Y13 + 'ACPL Calculations - 1.0'!AB13 + 'ACPL Calculations - 2.0'!AB13</f>
        <v>0</v>
      </c>
      <c r="DA13" s="38">
        <f>'Old Balance Sheet'!Z13 + 'ACPL Calculations - 1.0'!AC13 + 'ACPL Calculations - 2.0'!AC13</f>
        <v>0</v>
      </c>
      <c r="DB13" s="38">
        <f>'Old Balance Sheet'!AA13 + 'ACPL Calculations - 1.0'!AD13 + 'ACPL Calculations - 2.0'!AD13</f>
        <v>0</v>
      </c>
      <c r="DC13" s="38">
        <f>'Old Balance Sheet'!AB13 + 'ACPL Calculations - 1.0'!AE13 + 'ACPL Calculations - 2.0'!AE13</f>
        <v>0</v>
      </c>
      <c r="DD13" s="38">
        <f t="shared" si="4"/>
        <v>0</v>
      </c>
      <c r="DE13" s="33">
        <f t="shared" si="5"/>
        <v>0</v>
      </c>
      <c r="DF13" s="35">
        <v>0.0</v>
      </c>
      <c r="DG13" s="35">
        <v>0.0</v>
      </c>
      <c r="DH13" s="35">
        <v>0.0</v>
      </c>
      <c r="DI13" s="35">
        <v>0.0</v>
      </c>
      <c r="DJ13" s="35">
        <v>0.0</v>
      </c>
      <c r="DK13" s="35">
        <v>0.0</v>
      </c>
      <c r="DL13" s="35">
        <v>0.0</v>
      </c>
      <c r="DM13" s="35">
        <v>0.0</v>
      </c>
      <c r="DN13" s="31">
        <v>0.0</v>
      </c>
      <c r="DO13" s="31">
        <v>0.0</v>
      </c>
      <c r="DP13" s="31">
        <v>0.0</v>
      </c>
      <c r="DQ13" s="31">
        <v>0.0</v>
      </c>
      <c r="DR13" s="31">
        <v>0.0</v>
      </c>
      <c r="DS13" s="31">
        <v>0.0</v>
      </c>
      <c r="DT13" s="31">
        <f>'Old Balance Sheet'!AC13</f>
        <v>19360</v>
      </c>
      <c r="DU13" s="31">
        <f>DT13 + SUMIFS('Payments Log'!D:D, 'Payments Log'!B:B, A13, 'Payments Log'!L:L, "Approved", 'Payments Log'!M:M, "Credit") + 'Old Balance Sheet'!AD13 - 'Old Balance Sheet'!AC13</f>
        <v>19360</v>
      </c>
      <c r="DV13" s="31">
        <f>SUMIFS('Payments Log'!D:D, 'Payments Log'!B:B, A13, 'Payments Log'!L:L, "Approved", 'Payments Log'!M:M, "Adjustment Credit") - SUMIFS('Payments Log'!D:D, 'Payments Log'!B:B, A13, 'Payments Log'!L:L, "Approved", 'Payments Log'!M:M, "Adjustment Debit") + 'Old Balance Sheet'!AE13</f>
        <v>0</v>
      </c>
      <c r="DW13" s="31">
        <f>IF(MAXIFS('Payments Log'!N:N, 'Payments Log'!L:L, "Approved", 'Payments Log'!M:M, "Credit", 'Payments Log'!B:B, A13) &gt; MAXIFS('Payments Log'!N:N, 'Payments Log'!L:L, "Approved", 'Payments Log'!M:M, "Virtual Credit", 'Payments Log'!B:B, A13), 0, SUMIFS('Payments Log'!D:D, 'Payments Log'!N:N, MAXIFS('Payments Log'!N:N, 'Payments Log'!L:L, "Approved", 'Payments Log'!M:M, "Virtual Credit", 'Payments Log'!B:B, A13)))</f>
        <v>0</v>
      </c>
      <c r="DX13" s="33">
        <f t="shared" si="6"/>
        <v>19360</v>
      </c>
      <c r="DY13" s="33">
        <f t="shared" si="7"/>
        <v>19360</v>
      </c>
      <c r="DZ13" s="33">
        <f t="shared" si="8"/>
        <v>19360</v>
      </c>
      <c r="EA13" s="25" t="str">
        <f>(Sheet1!N13)</f>
        <v>ESS AAR Motors - Jhandewalan</v>
      </c>
      <c r="EB13" s="25" t="str">
        <f>(Sheet1!O13)</f>
        <v>1hcMo_yCBmlA1T0WTeHgqUHMnzUUcjAMt7oOG7Fxhs7E</v>
      </c>
      <c r="EC13" s="26" t="str">
        <f>(Sheet1!P13)</f>
        <v>Sub Dealer</v>
      </c>
      <c r="ED13" s="34" t="s">
        <v>13</v>
      </c>
    </row>
    <row r="14">
      <c r="A14" s="25" t="str">
        <f>(Sheet1!A13)</f>
        <v>1uSmiJs1JBkFcacaTukzXG8U9ymYsNT0DhKFlj58ZKns</v>
      </c>
      <c r="B14" s="25" t="str">
        <f>(Sheet1!B13)</f>
        <v>ESS AAR Motors - Defence Colony</v>
      </c>
      <c r="C14" s="30" t="s">
        <v>13</v>
      </c>
      <c r="D14" s="30" t="s">
        <v>72</v>
      </c>
      <c r="E14" s="30" t="s">
        <v>3817</v>
      </c>
      <c r="F14" s="31">
        <v>205.0</v>
      </c>
      <c r="G14" s="32" t="s">
        <v>3818</v>
      </c>
      <c r="H14" s="31">
        <v>100.0</v>
      </c>
      <c r="I14" s="33">
        <f>'Old Balance Sheet'!A14 + 'ACPL Calculations - 1.0'!A14 + 'ACPL Calculations - 2.0'!A14</f>
        <v>0</v>
      </c>
      <c r="J14" s="30" t="s">
        <v>3817</v>
      </c>
      <c r="K14" s="31">
        <v>205.0</v>
      </c>
      <c r="L14" s="32" t="s">
        <v>3818</v>
      </c>
      <c r="M14" s="31">
        <v>100.0</v>
      </c>
      <c r="N14" s="33">
        <f>'Old Balance Sheet'!B14 + 'ACPL Calculations - 1.0'!B14 + 'ACPL Calculations - 2.0'!B14</f>
        <v>0</v>
      </c>
      <c r="O14" s="30" t="s">
        <v>3817</v>
      </c>
      <c r="P14" s="31">
        <v>290.0</v>
      </c>
      <c r="Q14" s="32" t="s">
        <v>3818</v>
      </c>
      <c r="R14" s="31">
        <v>100.0</v>
      </c>
      <c r="S14" s="33">
        <f>'Old Balance Sheet'!C14 + 'ACPL Calculations - 1.0'!C14 + 'ACPL Calculations - 2.0'!C14</f>
        <v>0</v>
      </c>
      <c r="T14" s="30" t="s">
        <v>3817</v>
      </c>
      <c r="U14" s="31">
        <v>375.0</v>
      </c>
      <c r="V14" s="32" t="s">
        <v>3818</v>
      </c>
      <c r="W14" s="31">
        <v>100.0</v>
      </c>
      <c r="X14" s="33">
        <f>'Old Balance Sheet'!D14 + 'ACPL Calculations - 1.0'!D14 + 'ACPL Calculations - 2.0'!D14</f>
        <v>0</v>
      </c>
      <c r="Y14" s="30" t="s">
        <v>3817</v>
      </c>
      <c r="Z14" s="31">
        <v>460.0</v>
      </c>
      <c r="AA14" s="32" t="s">
        <v>3818</v>
      </c>
      <c r="AB14" s="31">
        <v>100.0</v>
      </c>
      <c r="AC14" s="33">
        <f>'Old Balance Sheet'!E14 + 'ACPL Calculations - 1.0'!E14 + 'ACPL Calculations - 2.0'!E14</f>
        <v>0</v>
      </c>
      <c r="AD14" s="30" t="s">
        <v>3817</v>
      </c>
      <c r="AE14" s="34">
        <v>838.99</v>
      </c>
      <c r="AF14" s="32" t="s">
        <v>3818</v>
      </c>
      <c r="AG14" s="31">
        <v>100.0</v>
      </c>
      <c r="AH14" s="33">
        <f>'Old Balance Sheet'!F14 + 'ACPL Calculations - 1.0'!F14 + 'ACPL Calculations - 2.0'!F14</f>
        <v>0</v>
      </c>
      <c r="AI14" s="30" t="s">
        <v>3817</v>
      </c>
      <c r="AJ14" s="31">
        <v>375.0</v>
      </c>
      <c r="AK14" s="32" t="s">
        <v>3818</v>
      </c>
      <c r="AL14" s="31">
        <v>100.0</v>
      </c>
      <c r="AM14" s="33">
        <f>'Old Balance Sheet'!G14 + 'ACPL Calculations - 1.0'!G14 + 'ACPL Calculations - 2.0'!G14</f>
        <v>0</v>
      </c>
      <c r="AN14" s="30" t="s">
        <v>3817</v>
      </c>
      <c r="AO14" s="31">
        <v>290.0</v>
      </c>
      <c r="AP14" s="32" t="s">
        <v>3818</v>
      </c>
      <c r="AQ14" s="31">
        <v>100.0</v>
      </c>
      <c r="AR14" s="33">
        <f>'Old Balance Sheet'!H14 + 'ACPL Calculations - 1.0'!H14 + 'ACPL Calculations - 2.0'!H14</f>
        <v>0</v>
      </c>
      <c r="AS14" s="30" t="s">
        <v>3819</v>
      </c>
      <c r="AT14" s="31">
        <v>838.99</v>
      </c>
      <c r="AU14" s="32" t="s">
        <v>3818</v>
      </c>
      <c r="AV14" s="31">
        <v>100.0</v>
      </c>
      <c r="AW14" s="33">
        <f>'Old Balance Sheet'!I14 + 'ACPL Calculations - 1.0'!I14 + 'ACPL Calculations - 2.0'!I14</f>
        <v>0</v>
      </c>
      <c r="AX14" s="30" t="s">
        <v>3817</v>
      </c>
      <c r="AY14" s="31">
        <v>290.0</v>
      </c>
      <c r="AZ14" s="32" t="s">
        <v>3818</v>
      </c>
      <c r="BA14" s="31">
        <v>100.0</v>
      </c>
      <c r="BB14" s="33">
        <f>'Old Balance Sheet'!J14 + 'ACPL Calculations - 1.0'!J14 + 'ACPL Calculations - 2.0'!J14</f>
        <v>0</v>
      </c>
      <c r="BC14" s="30" t="s">
        <v>3817</v>
      </c>
      <c r="BD14" s="31">
        <v>205.0</v>
      </c>
      <c r="BE14" s="32" t="s">
        <v>3818</v>
      </c>
      <c r="BF14" s="31">
        <v>100.0</v>
      </c>
      <c r="BG14" s="33">
        <f>'Old Balance Sheet'!K14 + 'ACPL Calculations - 1.0'!K14 + 'ACPL Calculations - 2.0'!K14</f>
        <v>0</v>
      </c>
      <c r="BH14" s="30" t="s">
        <v>3817</v>
      </c>
      <c r="BI14" s="31">
        <v>205.0</v>
      </c>
      <c r="BJ14" s="32" t="s">
        <v>3818</v>
      </c>
      <c r="BK14" s="31">
        <v>100.0</v>
      </c>
      <c r="BL14" s="33">
        <f>'Old Balance Sheet'!L14 + 'ACPL Calculations - 1.0'!L14 + 'ACPL Calculations - 2.0'!L14</f>
        <v>0</v>
      </c>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f t="shared" si="1"/>
        <v>0</v>
      </c>
      <c r="CM14" s="33">
        <f>'Old Balance Sheet'!R14 + 'ACPL Calculations - 1.0'!S14 + 'ACPL Calculations - 2.0'!S14</f>
        <v>0</v>
      </c>
      <c r="CN14" s="33">
        <f>'Old Balance Sheet'!S14 + 'ACPL Calculations - 1.0'!T14 + 'ACPL Calculations - 2.0'!T14</f>
        <v>0</v>
      </c>
      <c r="CO14" s="33">
        <f t="shared" si="2"/>
        <v>0</v>
      </c>
      <c r="CP14" s="33">
        <f>'Old Balance Sheet'!T14 + 'ACPL Calculations - 1.0'!V14 + 'ACPL Calculations - 2.0'!V14</f>
        <v>0</v>
      </c>
      <c r="CQ14" s="33">
        <f>'Old Balance Sheet'!U14 + 'ACPL Calculations - 1.0'!W14 + 'ACPL Calculations - 2.0'!W14</f>
        <v>0</v>
      </c>
      <c r="CR14" s="33">
        <f>'Old Balance Sheet'!V14 + 'ACPL Calculations - 1.0'!X14 + 'ACPL Calculations - 2.0'!X14</f>
        <v>0</v>
      </c>
      <c r="CS14" s="33">
        <f t="shared" si="3"/>
        <v>0</v>
      </c>
      <c r="CT14" s="35"/>
      <c r="CU14" s="35"/>
      <c r="CV14" s="35"/>
      <c r="CW14" s="36">
        <f>'Old Balance Sheet'!W14 + 'ACPL Calculations - 1.0'!Z14 + 'ACPL Calculations - 2.0'!Z14</f>
        <v>0</v>
      </c>
      <c r="CX14" s="36">
        <f>'Old Balance Sheet'!X14 + 'ACPL Calculations - 1.0'!AA14 + 'ACPL Calculations - 2.0'!AA14</f>
        <v>0</v>
      </c>
      <c r="CY14" s="37">
        <v>0.0</v>
      </c>
      <c r="CZ14" s="38">
        <f>'Old Balance Sheet'!Y14 + 'ACPL Calculations - 1.0'!AB14 + 'ACPL Calculations - 2.0'!AB14</f>
        <v>0</v>
      </c>
      <c r="DA14" s="38">
        <f>'Old Balance Sheet'!Z14 + 'ACPL Calculations - 1.0'!AC14 + 'ACPL Calculations - 2.0'!AC14</f>
        <v>0</v>
      </c>
      <c r="DB14" s="38">
        <f>'Old Balance Sheet'!AA14 + 'ACPL Calculations - 1.0'!AD14 + 'ACPL Calculations - 2.0'!AD14</f>
        <v>0</v>
      </c>
      <c r="DC14" s="38">
        <f>'Old Balance Sheet'!AB14 + 'ACPL Calculations - 1.0'!AE14 + 'ACPL Calculations - 2.0'!AE14</f>
        <v>0</v>
      </c>
      <c r="DD14" s="38">
        <f t="shared" si="4"/>
        <v>0</v>
      </c>
      <c r="DE14" s="33">
        <f t="shared" si="5"/>
        <v>0</v>
      </c>
      <c r="DF14" s="35">
        <v>0.0</v>
      </c>
      <c r="DG14" s="35">
        <v>0.0</v>
      </c>
      <c r="DH14" s="35">
        <v>0.0</v>
      </c>
      <c r="DI14" s="35">
        <v>0.0</v>
      </c>
      <c r="DJ14" s="35">
        <v>0.0</v>
      </c>
      <c r="DK14" s="35">
        <v>0.0</v>
      </c>
      <c r="DL14" s="35">
        <v>0.0</v>
      </c>
      <c r="DM14" s="35">
        <v>0.0</v>
      </c>
      <c r="DN14" s="31">
        <v>0.0</v>
      </c>
      <c r="DO14" s="31">
        <v>0.0</v>
      </c>
      <c r="DP14" s="31">
        <v>0.0</v>
      </c>
      <c r="DQ14" s="31">
        <v>0.0</v>
      </c>
      <c r="DR14" s="31">
        <v>0.0</v>
      </c>
      <c r="DS14" s="31">
        <v>0.0</v>
      </c>
      <c r="DT14" s="31">
        <f>'Old Balance Sheet'!AC14</f>
        <v>0</v>
      </c>
      <c r="DU14" s="31">
        <f>DT14 + SUMIFS('Payments Log'!D:D, 'Payments Log'!B:B, A14, 'Payments Log'!L:L, "Approved", 'Payments Log'!M:M, "Credit") + 'Old Balance Sheet'!AD14 - 'Old Balance Sheet'!AC14</f>
        <v>0</v>
      </c>
      <c r="DV14" s="31">
        <f>SUMIFS('Payments Log'!D:D, 'Payments Log'!B:B, A14, 'Payments Log'!L:L, "Approved", 'Payments Log'!M:M, "Adjustment Credit") - SUMIFS('Payments Log'!D:D, 'Payments Log'!B:B, A14, 'Payments Log'!L:L, "Approved", 'Payments Log'!M:M, "Adjustment Debit") + 'Old Balance Sheet'!AE14</f>
        <v>0</v>
      </c>
      <c r="DW14" s="31">
        <f>IF(MAXIFS('Payments Log'!N:N, 'Payments Log'!L:L, "Approved", 'Payments Log'!M:M, "Credit", 'Payments Log'!B:B, A14) &gt; MAXIFS('Payments Log'!N:N, 'Payments Log'!L:L, "Approved", 'Payments Log'!M:M, "Virtual Credit", 'Payments Log'!B:B, A14), 0, SUMIFS('Payments Log'!D:D, 'Payments Log'!N:N, MAXIFS('Payments Log'!N:N, 'Payments Log'!L:L, "Approved", 'Payments Log'!M:M, "Virtual Credit", 'Payments Log'!B:B, A14)))</f>
        <v>0</v>
      </c>
      <c r="DX14" s="33">
        <f t="shared" si="6"/>
        <v>0</v>
      </c>
      <c r="DY14" s="33">
        <f t="shared" si="7"/>
        <v>0</v>
      </c>
      <c r="DZ14" s="33">
        <f t="shared" si="8"/>
        <v>0</v>
      </c>
      <c r="EA14" s="25" t="str">
        <f>(Sheet1!N14)</f>
        <v>Varshney Auto Sales - Yamaha (MPS)</v>
      </c>
      <c r="EB14" s="25" t="str">
        <f>(Sheet1!O14)</f>
        <v>1ywp9soScACCtKNm18S8bSV9jfI4bUChDWcowZ3Kbzws</v>
      </c>
      <c r="EC14" s="26" t="str">
        <f>(Sheet1!P14)</f>
        <v>Dealer</v>
      </c>
      <c r="ED14" s="34" t="s">
        <v>13</v>
      </c>
    </row>
    <row r="15">
      <c r="A15" s="25" t="str">
        <f>(Sheet1!A14)</f>
        <v>1ywp9soScACCtKNm18S8bSV9jfI4bUChDWcowZ3Kbzws</v>
      </c>
      <c r="B15" s="25" t="str">
        <f>(Sheet1!B14)</f>
        <v>Varshney Auto Sales - Yamaha (MPS)</v>
      </c>
      <c r="C15" s="30" t="s">
        <v>13</v>
      </c>
      <c r="D15" s="30" t="s">
        <v>72</v>
      </c>
      <c r="E15" s="30" t="s">
        <v>3817</v>
      </c>
      <c r="F15" s="31">
        <v>205.0</v>
      </c>
      <c r="G15" s="32" t="s">
        <v>3818</v>
      </c>
      <c r="H15" s="31">
        <v>100.0</v>
      </c>
      <c r="I15" s="33">
        <f>'Old Balance Sheet'!A15 + 'ACPL Calculations - 1.0'!A15 + 'ACPL Calculations - 2.0'!A15</f>
        <v>0</v>
      </c>
      <c r="J15" s="30" t="s">
        <v>3817</v>
      </c>
      <c r="K15" s="31">
        <v>205.0</v>
      </c>
      <c r="L15" s="32" t="s">
        <v>3818</v>
      </c>
      <c r="M15" s="31">
        <v>100.0</v>
      </c>
      <c r="N15" s="33">
        <f>'Old Balance Sheet'!B15 + 'ACPL Calculations - 1.0'!B15 + 'ACPL Calculations - 2.0'!B15</f>
        <v>0</v>
      </c>
      <c r="O15" s="30" t="s">
        <v>3817</v>
      </c>
      <c r="P15" s="31">
        <v>290.0</v>
      </c>
      <c r="Q15" s="32" t="s">
        <v>3818</v>
      </c>
      <c r="R15" s="31">
        <v>100.0</v>
      </c>
      <c r="S15" s="33">
        <f>'Old Balance Sheet'!C15 + 'ACPL Calculations - 1.0'!C15 + 'ACPL Calculations - 2.0'!C15</f>
        <v>0</v>
      </c>
      <c r="T15" s="30" t="s">
        <v>3817</v>
      </c>
      <c r="U15" s="31">
        <v>375.0</v>
      </c>
      <c r="V15" s="32" t="s">
        <v>3818</v>
      </c>
      <c r="W15" s="31">
        <v>100.0</v>
      </c>
      <c r="X15" s="33">
        <f>'Old Balance Sheet'!D15 + 'ACPL Calculations - 1.0'!D15 + 'ACPL Calculations - 2.0'!D15</f>
        <v>0</v>
      </c>
      <c r="Y15" s="30" t="s">
        <v>3817</v>
      </c>
      <c r="Z15" s="31">
        <v>460.0</v>
      </c>
      <c r="AA15" s="32" t="s">
        <v>3818</v>
      </c>
      <c r="AB15" s="31">
        <v>100.0</v>
      </c>
      <c r="AC15" s="33">
        <f>'Old Balance Sheet'!E15 + 'ACPL Calculations - 1.0'!E15 + 'ACPL Calculations - 2.0'!E15</f>
        <v>0</v>
      </c>
      <c r="AD15" s="30" t="s">
        <v>3817</v>
      </c>
      <c r="AE15" s="34">
        <v>838.99</v>
      </c>
      <c r="AF15" s="32" t="s">
        <v>3818</v>
      </c>
      <c r="AG15" s="31">
        <v>100.0</v>
      </c>
      <c r="AH15" s="33">
        <f>'Old Balance Sheet'!F15 + 'ACPL Calculations - 1.0'!F15 + 'ACPL Calculations - 2.0'!F15</f>
        <v>0</v>
      </c>
      <c r="AI15" s="30" t="s">
        <v>3817</v>
      </c>
      <c r="AJ15" s="31">
        <v>375.0</v>
      </c>
      <c r="AK15" s="32" t="s">
        <v>3818</v>
      </c>
      <c r="AL15" s="31">
        <v>100.0</v>
      </c>
      <c r="AM15" s="33">
        <f>'Old Balance Sheet'!G15 + 'ACPL Calculations - 1.0'!G15 + 'ACPL Calculations - 2.0'!G15</f>
        <v>0</v>
      </c>
      <c r="AN15" s="30" t="s">
        <v>3817</v>
      </c>
      <c r="AO15" s="31">
        <v>290.0</v>
      </c>
      <c r="AP15" s="32" t="s">
        <v>3818</v>
      </c>
      <c r="AQ15" s="31">
        <v>100.0</v>
      </c>
      <c r="AR15" s="33">
        <f>'Old Balance Sheet'!H15 + 'ACPL Calculations - 1.0'!H15 + 'ACPL Calculations - 2.0'!H15</f>
        <v>0</v>
      </c>
      <c r="AS15" s="30" t="s">
        <v>3819</v>
      </c>
      <c r="AT15" s="31">
        <v>838.99</v>
      </c>
      <c r="AU15" s="32" t="s">
        <v>3818</v>
      </c>
      <c r="AV15" s="31">
        <v>100.0</v>
      </c>
      <c r="AW15" s="33">
        <f>'Old Balance Sheet'!I15 + 'ACPL Calculations - 1.0'!I15 + 'ACPL Calculations - 2.0'!I15</f>
        <v>0</v>
      </c>
      <c r="AX15" s="30" t="s">
        <v>3817</v>
      </c>
      <c r="AY15" s="31">
        <v>290.0</v>
      </c>
      <c r="AZ15" s="32" t="s">
        <v>3818</v>
      </c>
      <c r="BA15" s="31">
        <v>100.0</v>
      </c>
      <c r="BB15" s="33">
        <f>'Old Balance Sheet'!J15 + 'ACPL Calculations - 1.0'!J15 + 'ACPL Calculations - 2.0'!J15</f>
        <v>0</v>
      </c>
      <c r="BC15" s="30" t="s">
        <v>3817</v>
      </c>
      <c r="BD15" s="31">
        <v>205.0</v>
      </c>
      <c r="BE15" s="32" t="s">
        <v>3818</v>
      </c>
      <c r="BF15" s="31">
        <v>100.0</v>
      </c>
      <c r="BG15" s="33">
        <f>'Old Balance Sheet'!K15 + 'ACPL Calculations - 1.0'!K15 + 'ACPL Calculations - 2.0'!K15</f>
        <v>0</v>
      </c>
      <c r="BH15" s="30" t="s">
        <v>3817</v>
      </c>
      <c r="BI15" s="31">
        <v>205.0</v>
      </c>
      <c r="BJ15" s="32" t="s">
        <v>3818</v>
      </c>
      <c r="BK15" s="31">
        <v>100.0</v>
      </c>
      <c r="BL15" s="33">
        <f>'Old Balance Sheet'!L15 + 'ACPL Calculations - 1.0'!L15 + 'ACPL Calculations - 2.0'!L15</f>
        <v>0</v>
      </c>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f t="shared" si="1"/>
        <v>0</v>
      </c>
      <c r="CM15" s="33">
        <f>'Old Balance Sheet'!R15 + 'ACPL Calculations - 1.0'!S15 + 'ACPL Calculations - 2.0'!S15</f>
        <v>0</v>
      </c>
      <c r="CN15" s="33">
        <f>'Old Balance Sheet'!S15 + 'ACPL Calculations - 1.0'!T15 + 'ACPL Calculations - 2.0'!T15</f>
        <v>0</v>
      </c>
      <c r="CO15" s="33">
        <f t="shared" si="2"/>
        <v>0</v>
      </c>
      <c r="CP15" s="33">
        <f>'Old Balance Sheet'!T15 + 'ACPL Calculations - 1.0'!V15 + 'ACPL Calculations - 2.0'!V15</f>
        <v>0</v>
      </c>
      <c r="CQ15" s="33">
        <f>'Old Balance Sheet'!U15 + 'ACPL Calculations - 1.0'!W15 + 'ACPL Calculations - 2.0'!W15</f>
        <v>0</v>
      </c>
      <c r="CR15" s="33">
        <f>'Old Balance Sheet'!V15 + 'ACPL Calculations - 1.0'!X15 + 'ACPL Calculations - 2.0'!X15</f>
        <v>0</v>
      </c>
      <c r="CS15" s="33">
        <f t="shared" si="3"/>
        <v>0</v>
      </c>
      <c r="CT15" s="35"/>
      <c r="CU15" s="35"/>
      <c r="CV15" s="35"/>
      <c r="CW15" s="36">
        <f>'Old Balance Sheet'!W15 + 'ACPL Calculations - 1.0'!Z15 + 'ACPL Calculations - 2.0'!Z15</f>
        <v>0</v>
      </c>
      <c r="CX15" s="36">
        <f>'Old Balance Sheet'!X15 + 'ACPL Calculations - 1.0'!AA15 + 'ACPL Calculations - 2.0'!AA15</f>
        <v>0</v>
      </c>
      <c r="CY15" s="37">
        <v>0.0</v>
      </c>
      <c r="CZ15" s="38">
        <f>'Old Balance Sheet'!Y15 + 'ACPL Calculations - 1.0'!AB15 + 'ACPL Calculations - 2.0'!AB15</f>
        <v>0</v>
      </c>
      <c r="DA15" s="38">
        <f>'Old Balance Sheet'!Z15 + 'ACPL Calculations - 1.0'!AC15 + 'ACPL Calculations - 2.0'!AC15</f>
        <v>0</v>
      </c>
      <c r="DB15" s="38">
        <f>'Old Balance Sheet'!AA15 + 'ACPL Calculations - 1.0'!AD15 + 'ACPL Calculations - 2.0'!AD15</f>
        <v>0</v>
      </c>
      <c r="DC15" s="38">
        <f>'Old Balance Sheet'!AB15 + 'ACPL Calculations - 1.0'!AE15 + 'ACPL Calculations - 2.0'!AE15</f>
        <v>0</v>
      </c>
      <c r="DD15" s="38">
        <f t="shared" si="4"/>
        <v>0</v>
      </c>
      <c r="DE15" s="33">
        <f t="shared" si="5"/>
        <v>0</v>
      </c>
      <c r="DF15" s="35">
        <v>0.0</v>
      </c>
      <c r="DG15" s="35">
        <v>0.0</v>
      </c>
      <c r="DH15" s="35">
        <v>0.0</v>
      </c>
      <c r="DI15" s="35">
        <v>0.0</v>
      </c>
      <c r="DJ15" s="35">
        <v>0.0</v>
      </c>
      <c r="DK15" s="35">
        <v>0.0</v>
      </c>
      <c r="DL15" s="35">
        <v>0.0</v>
      </c>
      <c r="DM15" s="35">
        <v>0.0</v>
      </c>
      <c r="DN15" s="31">
        <v>0.0</v>
      </c>
      <c r="DO15" s="31">
        <v>0.0</v>
      </c>
      <c r="DP15" s="31">
        <v>0.0</v>
      </c>
      <c r="DQ15" s="31">
        <v>0.0</v>
      </c>
      <c r="DR15" s="31">
        <v>0.0</v>
      </c>
      <c r="DS15" s="31">
        <v>0.0</v>
      </c>
      <c r="DT15" s="31">
        <f>'Old Balance Sheet'!AC15</f>
        <v>-484</v>
      </c>
      <c r="DU15" s="31">
        <f>DT15 + SUMIFS('Payments Log'!D:D, 'Payments Log'!B:B, A15, 'Payments Log'!L:L, "Approved", 'Payments Log'!M:M, "Credit") + 'Old Balance Sheet'!AD15 - 'Old Balance Sheet'!AC15</f>
        <v>-484</v>
      </c>
      <c r="DV15" s="31">
        <f>SUMIFS('Payments Log'!D:D, 'Payments Log'!B:B, A15, 'Payments Log'!L:L, "Approved", 'Payments Log'!M:M, "Adjustment Credit") - SUMIFS('Payments Log'!D:D, 'Payments Log'!B:B, A15, 'Payments Log'!L:L, "Approved", 'Payments Log'!M:M, "Adjustment Debit") + 'Old Balance Sheet'!AE15</f>
        <v>484</v>
      </c>
      <c r="DW15" s="31">
        <f>IF(MAXIFS('Payments Log'!N:N, 'Payments Log'!L:L, "Approved", 'Payments Log'!M:M, "Credit", 'Payments Log'!B:B, A15) &gt; MAXIFS('Payments Log'!N:N, 'Payments Log'!L:L, "Approved", 'Payments Log'!M:M, "Virtual Credit", 'Payments Log'!B:B, A15), 0, SUMIFS('Payments Log'!D:D, 'Payments Log'!N:N, MAXIFS('Payments Log'!N:N, 'Payments Log'!L:L, "Approved", 'Payments Log'!M:M, "Virtual Credit", 'Payments Log'!B:B, A15)))</f>
        <v>0</v>
      </c>
      <c r="DX15" s="33">
        <f t="shared" si="6"/>
        <v>0</v>
      </c>
      <c r="DY15" s="33">
        <f t="shared" si="7"/>
        <v>0</v>
      </c>
      <c r="DZ15" s="33">
        <f t="shared" si="8"/>
        <v>0</v>
      </c>
      <c r="EA15" s="25" t="str">
        <f>(Sheet1!N15)</f>
        <v>Uppal Motors</v>
      </c>
      <c r="EB15" s="25" t="str">
        <f>(Sheet1!O15)</f>
        <v>1ejtSq2pJ5r5wu-kZaMFvJrFblntdYFCvNJnKtYjMVzo</v>
      </c>
      <c r="EC15" s="26" t="str">
        <f>(Sheet1!P15)</f>
        <v>Dealer</v>
      </c>
      <c r="ED15" s="34" t="s">
        <v>13</v>
      </c>
    </row>
    <row r="16">
      <c r="A16" s="25" t="str">
        <f>(Sheet1!A16)</f>
        <v>1RYX1vfvY0jbK-8SlRPLYU11dr-HUe2ntxj5PumL7c0I</v>
      </c>
      <c r="B16" s="25" t="str">
        <f>(Sheet1!B16)</f>
        <v>Vidhi Trading</v>
      </c>
      <c r="C16" s="30" t="s">
        <v>13</v>
      </c>
      <c r="D16" s="30" t="s">
        <v>72</v>
      </c>
      <c r="E16" s="30" t="s">
        <v>3819</v>
      </c>
      <c r="F16" s="31">
        <v>170.0</v>
      </c>
      <c r="G16" s="32" t="s">
        <v>3818</v>
      </c>
      <c r="H16" s="31">
        <v>100.0</v>
      </c>
      <c r="I16" s="33">
        <f>'Old Balance Sheet'!A16 + 'ACPL Calculations - 1.0'!A16 + 'ACPL Calculations - 2.0'!A16</f>
        <v>12</v>
      </c>
      <c r="J16" s="30" t="s">
        <v>3819</v>
      </c>
      <c r="K16" s="31">
        <v>70.0</v>
      </c>
      <c r="L16" s="32" t="s">
        <v>3818</v>
      </c>
      <c r="M16" s="31">
        <v>100.0</v>
      </c>
      <c r="N16" s="33">
        <f>'Old Balance Sheet'!B16 + 'ACPL Calculations - 1.0'!B16 + 'ACPL Calculations - 2.0'!B16</f>
        <v>0</v>
      </c>
      <c r="O16" s="30" t="s">
        <v>3819</v>
      </c>
      <c r="P16" s="31">
        <v>170.0</v>
      </c>
      <c r="Q16" s="32" t="s">
        <v>3818</v>
      </c>
      <c r="R16" s="31">
        <v>100.0</v>
      </c>
      <c r="S16" s="33">
        <f>'Old Balance Sheet'!C16 + 'ACPL Calculations - 1.0'!C16 + 'ACPL Calculations - 2.0'!C16</f>
        <v>0</v>
      </c>
      <c r="T16" s="30" t="s">
        <v>3819</v>
      </c>
      <c r="U16" s="31">
        <v>212.0</v>
      </c>
      <c r="V16" s="32" t="s">
        <v>3818</v>
      </c>
      <c r="W16" s="31">
        <v>100.0</v>
      </c>
      <c r="X16" s="33">
        <f>'Old Balance Sheet'!D16 + 'ACPL Calculations - 1.0'!D16 + 'ACPL Calculations - 2.0'!D16</f>
        <v>0</v>
      </c>
      <c r="Y16" s="30" t="s">
        <v>3819</v>
      </c>
      <c r="Z16" s="31">
        <v>255.0</v>
      </c>
      <c r="AA16" s="32" t="s">
        <v>3818</v>
      </c>
      <c r="AB16" s="31">
        <v>100.0</v>
      </c>
      <c r="AC16" s="33">
        <f>'Old Balance Sheet'!E16 + 'ACPL Calculations - 1.0'!E16 + 'ACPL Calculations - 2.0'!E16</f>
        <v>0</v>
      </c>
      <c r="AD16" s="30" t="s">
        <v>3819</v>
      </c>
      <c r="AE16" s="34">
        <v>838.99</v>
      </c>
      <c r="AF16" s="32" t="s">
        <v>3818</v>
      </c>
      <c r="AG16" s="31">
        <v>100.0</v>
      </c>
      <c r="AH16" s="33">
        <f>'Old Balance Sheet'!F16 + 'ACPL Calculations - 1.0'!F16 + 'ACPL Calculations - 2.0'!F16</f>
        <v>0</v>
      </c>
      <c r="AI16" s="30" t="s">
        <v>3819</v>
      </c>
      <c r="AJ16" s="31">
        <v>212.0</v>
      </c>
      <c r="AK16" s="32" t="s">
        <v>3818</v>
      </c>
      <c r="AL16" s="31">
        <v>100.0</v>
      </c>
      <c r="AM16" s="33">
        <f>'Old Balance Sheet'!G16 + 'ACPL Calculations - 1.0'!G16 + 'ACPL Calculations - 2.0'!G16</f>
        <v>0</v>
      </c>
      <c r="AN16" s="30" t="s">
        <v>3819</v>
      </c>
      <c r="AO16" s="31">
        <v>212.0</v>
      </c>
      <c r="AP16" s="32" t="s">
        <v>3818</v>
      </c>
      <c r="AQ16" s="31">
        <v>100.0</v>
      </c>
      <c r="AR16" s="33">
        <f>'Old Balance Sheet'!H16 + 'ACPL Calculations - 1.0'!H16 + 'ACPL Calculations - 2.0'!H16</f>
        <v>0</v>
      </c>
      <c r="AS16" s="30" t="s">
        <v>3819</v>
      </c>
      <c r="AT16" s="31">
        <v>838.99</v>
      </c>
      <c r="AU16" s="32" t="s">
        <v>3818</v>
      </c>
      <c r="AV16" s="31">
        <v>100.0</v>
      </c>
      <c r="AW16" s="33">
        <f>'Old Balance Sheet'!I16 + 'ACPL Calculations - 1.0'!I16 + 'ACPL Calculations - 2.0'!I16</f>
        <v>0</v>
      </c>
      <c r="AX16" s="30" t="s">
        <v>3819</v>
      </c>
      <c r="AY16" s="31">
        <v>290.0</v>
      </c>
      <c r="AZ16" s="32" t="s">
        <v>3818</v>
      </c>
      <c r="BA16" s="31">
        <v>100.0</v>
      </c>
      <c r="BB16" s="33">
        <f>'Old Balance Sheet'!J16 + 'ACPL Calculations - 1.0'!J16 + 'ACPL Calculations - 2.0'!J16</f>
        <v>0</v>
      </c>
      <c r="BC16" s="30" t="s">
        <v>3819</v>
      </c>
      <c r="BD16" s="31">
        <v>205.0</v>
      </c>
      <c r="BE16" s="32" t="s">
        <v>3818</v>
      </c>
      <c r="BF16" s="31">
        <v>100.0</v>
      </c>
      <c r="BG16" s="33">
        <f>'Old Balance Sheet'!K16 + 'ACPL Calculations - 1.0'!K16 + 'ACPL Calculations - 2.0'!K16</f>
        <v>0</v>
      </c>
      <c r="BH16" s="30" t="s">
        <v>3819</v>
      </c>
      <c r="BI16" s="31">
        <v>205.0</v>
      </c>
      <c r="BJ16" s="32" t="s">
        <v>3818</v>
      </c>
      <c r="BK16" s="31">
        <v>100.0</v>
      </c>
      <c r="BL16" s="33">
        <f>'Old Balance Sheet'!L16 + 'ACPL Calculations - 1.0'!L16 + 'ACPL Calculations - 2.0'!L16</f>
        <v>0</v>
      </c>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3"/>
      <c r="CK16" s="33"/>
      <c r="CL16" s="33">
        <f t="shared" si="1"/>
        <v>12</v>
      </c>
      <c r="CM16" s="33">
        <f>'Old Balance Sheet'!R16 + 'ACPL Calculations - 1.0'!S16 + 'ACPL Calculations - 2.0'!S16</f>
        <v>2407.2</v>
      </c>
      <c r="CN16" s="33">
        <f>'Old Balance Sheet'!S16 + 'ACPL Calculations - 1.0'!T16 + 'ACPL Calculations - 2.0'!T16</f>
        <v>2040</v>
      </c>
      <c r="CO16" s="33">
        <f t="shared" si="2"/>
        <v>2407.2</v>
      </c>
      <c r="CP16" s="33">
        <f>'Old Balance Sheet'!T16 + 'ACPL Calculations - 1.0'!V16 + 'ACPL Calculations - 2.0'!V16</f>
        <v>0</v>
      </c>
      <c r="CQ16" s="33">
        <f>'Old Balance Sheet'!U16 + 'ACPL Calculations - 1.0'!W16 + 'ACPL Calculations - 2.0'!W16</f>
        <v>0</v>
      </c>
      <c r="CR16" s="33">
        <f>'Old Balance Sheet'!V16 + 'ACPL Calculations - 1.0'!X16 + 'ACPL Calculations - 2.0'!X16</f>
        <v>367.2</v>
      </c>
      <c r="CS16" s="33">
        <f t="shared" si="3"/>
        <v>367.2</v>
      </c>
      <c r="CT16" s="35"/>
      <c r="CU16" s="35"/>
      <c r="CV16" s="35"/>
      <c r="CW16" s="36">
        <f>'Old Balance Sheet'!W16 + 'ACPL Calculations - 1.0'!Z16 + 'ACPL Calculations - 2.0'!Z16</f>
        <v>2407.2</v>
      </c>
      <c r="CX16" s="36">
        <f>'Old Balance Sheet'!X16 + 'ACPL Calculations - 1.0'!AA16 + 'ACPL Calculations - 2.0'!AA16</f>
        <v>2407.2</v>
      </c>
      <c r="CY16" s="37">
        <v>0.0</v>
      </c>
      <c r="CZ16" s="38">
        <f>'Old Balance Sheet'!Y16 + 'ACPL Calculations - 1.0'!AB16 + 'ACPL Calculations - 2.0'!AB16</f>
        <v>166.19</v>
      </c>
      <c r="DA16" s="38">
        <f>'Old Balance Sheet'!Z16 + 'ACPL Calculations - 1.0'!AC16 + 'ACPL Calculations - 2.0'!AC16</f>
        <v>0</v>
      </c>
      <c r="DB16" s="38">
        <f>'Old Balance Sheet'!AA16 + 'ACPL Calculations - 1.0'!AD16 + 'ACPL Calculations - 2.0'!AD16</f>
        <v>3.39</v>
      </c>
      <c r="DC16" s="38">
        <f>'Old Balance Sheet'!AB16 + 'ACPL Calculations - 1.0'!AE16 + 'ACPL Calculations - 2.0'!AE16</f>
        <v>166.19</v>
      </c>
      <c r="DD16" s="38">
        <f t="shared" si="4"/>
        <v>166.19</v>
      </c>
      <c r="DE16" s="33">
        <f t="shared" si="5"/>
        <v>166.19</v>
      </c>
      <c r="DF16" s="35">
        <v>0.0</v>
      </c>
      <c r="DG16" s="35">
        <v>0.0</v>
      </c>
      <c r="DH16" s="35">
        <v>0.0</v>
      </c>
      <c r="DI16" s="35">
        <v>0.0</v>
      </c>
      <c r="DJ16" s="35">
        <v>0.0</v>
      </c>
      <c r="DK16" s="35">
        <v>0.0</v>
      </c>
      <c r="DL16" s="35">
        <v>0.0</v>
      </c>
      <c r="DM16" s="35">
        <v>0.0</v>
      </c>
      <c r="DN16" s="31">
        <v>0.0</v>
      </c>
      <c r="DO16" s="31">
        <v>0.0</v>
      </c>
      <c r="DP16" s="31">
        <v>0.0</v>
      </c>
      <c r="DQ16" s="31">
        <v>0.0</v>
      </c>
      <c r="DR16" s="31">
        <v>0.0</v>
      </c>
      <c r="DS16" s="31">
        <v>0.0</v>
      </c>
      <c r="DT16" s="31">
        <f>'Old Balance Sheet'!AC16</f>
        <v>0</v>
      </c>
      <c r="DU16" s="31">
        <f>DT16 + SUMIFS('Payments Log'!D:D, 'Payments Log'!B:B, A16, 'Payments Log'!L:L, "Approved", 'Payments Log'!M:M, "Credit") + 'Old Balance Sheet'!AD16 - 'Old Balance Sheet'!AC16</f>
        <v>2405</v>
      </c>
      <c r="DV16" s="31">
        <f>SUMIFS('Payments Log'!D:D, 'Payments Log'!B:B, A16, 'Payments Log'!L:L, "Approved", 'Payments Log'!M:M, "Adjustment Credit") - SUMIFS('Payments Log'!D:D, 'Payments Log'!B:B, A16, 'Payments Log'!L:L, "Approved", 'Payments Log'!M:M, "Adjustment Debit") + 'Old Balance Sheet'!AE16</f>
        <v>2.2</v>
      </c>
      <c r="DW16" s="31">
        <f>IF(MAXIFS('Payments Log'!N:N, 'Payments Log'!L:L, "Approved", 'Payments Log'!M:M, "Credit", 'Payments Log'!B:B, A16) &gt; MAXIFS('Payments Log'!N:N, 'Payments Log'!L:L, "Approved", 'Payments Log'!M:M, "Virtual Credit", 'Payments Log'!B:B, A16), 0, SUMIFS('Payments Log'!D:D, 'Payments Log'!N:N, MAXIFS('Payments Log'!N:N, 'Payments Log'!L:L, "Approved", 'Payments Log'!M:M, "Virtual Credit", 'Payments Log'!B:B, A16)))</f>
        <v>0</v>
      </c>
      <c r="DX16" s="33">
        <f t="shared" si="6"/>
        <v>0</v>
      </c>
      <c r="DY16" s="33">
        <f t="shared" si="7"/>
        <v>0</v>
      </c>
      <c r="DZ16" s="33">
        <f t="shared" si="8"/>
        <v>0</v>
      </c>
      <c r="EA16" s="25" t="str">
        <f>(Sheet1!N16)</f>
        <v>Vidhi Trading</v>
      </c>
      <c r="EB16" s="25" t="str">
        <f>(Sheet1!O16)</f>
        <v>1RYX1vfvY0jbK-8SlRPLYU11dr-HUe2ntxj5PumL7c0I</v>
      </c>
      <c r="EC16" s="26" t="str">
        <f>(Sheet1!P16)</f>
        <v>Dealer</v>
      </c>
      <c r="ED16" s="34" t="s">
        <v>13</v>
      </c>
    </row>
    <row r="17">
      <c r="A17" s="25" t="str">
        <f>(Sheet1!A17)</f>
        <v>1ju8_gZRiNRn30bHYva0xZCNhV81e9Nwm1ItAYdj4tiU</v>
      </c>
      <c r="B17" s="25" t="str">
        <f>(Sheet1!B17)</f>
        <v>JS</v>
      </c>
      <c r="C17" s="30" t="s">
        <v>13</v>
      </c>
      <c r="D17" s="30" t="s">
        <v>72</v>
      </c>
      <c r="E17" s="30" t="s">
        <v>3817</v>
      </c>
      <c r="F17" s="31">
        <v>205.0</v>
      </c>
      <c r="G17" s="32" t="s">
        <v>3818</v>
      </c>
      <c r="H17" s="31">
        <v>100.0</v>
      </c>
      <c r="I17" s="33">
        <f>'Old Balance Sheet'!A17 + 'ACPL Calculations - 1.0'!A17 + 'ACPL Calculations - 2.0'!A17</f>
        <v>0</v>
      </c>
      <c r="J17" s="30" t="s">
        <v>3817</v>
      </c>
      <c r="K17" s="31">
        <v>205.0</v>
      </c>
      <c r="L17" s="32" t="s">
        <v>3818</v>
      </c>
      <c r="M17" s="31">
        <v>100.0</v>
      </c>
      <c r="N17" s="33">
        <f>'Old Balance Sheet'!B17 + 'ACPL Calculations - 1.0'!B17 + 'ACPL Calculations - 2.0'!B17</f>
        <v>0</v>
      </c>
      <c r="O17" s="30" t="s">
        <v>3817</v>
      </c>
      <c r="P17" s="31">
        <v>290.0</v>
      </c>
      <c r="Q17" s="32" t="s">
        <v>3818</v>
      </c>
      <c r="R17" s="31">
        <v>100.0</v>
      </c>
      <c r="S17" s="33">
        <f>'Old Balance Sheet'!C17 + 'ACPL Calculations - 1.0'!C17 + 'ACPL Calculations - 2.0'!C17</f>
        <v>0</v>
      </c>
      <c r="T17" s="30" t="s">
        <v>3817</v>
      </c>
      <c r="U17" s="31">
        <v>375.0</v>
      </c>
      <c r="V17" s="32" t="s">
        <v>3818</v>
      </c>
      <c r="W17" s="31">
        <v>100.0</v>
      </c>
      <c r="X17" s="33">
        <f>'Old Balance Sheet'!D17 + 'ACPL Calculations - 1.0'!D17 + 'ACPL Calculations - 2.0'!D17</f>
        <v>0</v>
      </c>
      <c r="Y17" s="30" t="s">
        <v>3817</v>
      </c>
      <c r="Z17" s="31">
        <v>460.0</v>
      </c>
      <c r="AA17" s="32" t="s">
        <v>3818</v>
      </c>
      <c r="AB17" s="31">
        <v>100.0</v>
      </c>
      <c r="AC17" s="33">
        <f>'Old Balance Sheet'!E17 + 'ACPL Calculations - 1.0'!E17 + 'ACPL Calculations - 2.0'!E17</f>
        <v>0</v>
      </c>
      <c r="AD17" s="30" t="s">
        <v>3817</v>
      </c>
      <c r="AE17" s="34">
        <v>838.99</v>
      </c>
      <c r="AF17" s="32" t="s">
        <v>3818</v>
      </c>
      <c r="AG17" s="31">
        <v>100.0</v>
      </c>
      <c r="AH17" s="33">
        <f>'Old Balance Sheet'!F17 + 'ACPL Calculations - 1.0'!F17 + 'ACPL Calculations - 2.0'!F17</f>
        <v>0</v>
      </c>
      <c r="AI17" s="30" t="s">
        <v>3817</v>
      </c>
      <c r="AJ17" s="31">
        <v>375.0</v>
      </c>
      <c r="AK17" s="32" t="s">
        <v>3818</v>
      </c>
      <c r="AL17" s="31">
        <v>100.0</v>
      </c>
      <c r="AM17" s="33">
        <f>'Old Balance Sheet'!G17 + 'ACPL Calculations - 1.0'!G17 + 'ACPL Calculations - 2.0'!G17</f>
        <v>0</v>
      </c>
      <c r="AN17" s="30" t="s">
        <v>3817</v>
      </c>
      <c r="AO17" s="31">
        <v>290.0</v>
      </c>
      <c r="AP17" s="32" t="s">
        <v>3818</v>
      </c>
      <c r="AQ17" s="31">
        <v>100.0</v>
      </c>
      <c r="AR17" s="33">
        <f>'Old Balance Sheet'!H17 + 'ACPL Calculations - 1.0'!H17 + 'ACPL Calculations - 2.0'!H17</f>
        <v>0</v>
      </c>
      <c r="AS17" s="30" t="s">
        <v>3819</v>
      </c>
      <c r="AT17" s="31">
        <v>838.99</v>
      </c>
      <c r="AU17" s="32" t="s">
        <v>3818</v>
      </c>
      <c r="AV17" s="31">
        <v>100.0</v>
      </c>
      <c r="AW17" s="33">
        <f>'Old Balance Sheet'!I17 + 'ACPL Calculations - 1.0'!I17 + 'ACPL Calculations - 2.0'!I17</f>
        <v>0</v>
      </c>
      <c r="AX17" s="30" t="s">
        <v>3817</v>
      </c>
      <c r="AY17" s="31">
        <v>290.0</v>
      </c>
      <c r="AZ17" s="32" t="s">
        <v>3818</v>
      </c>
      <c r="BA17" s="31">
        <v>100.0</v>
      </c>
      <c r="BB17" s="33">
        <f>'Old Balance Sheet'!J17 + 'ACPL Calculations - 1.0'!J17 + 'ACPL Calculations - 2.0'!J17</f>
        <v>0</v>
      </c>
      <c r="BC17" s="30" t="s">
        <v>3817</v>
      </c>
      <c r="BD17" s="31">
        <v>205.0</v>
      </c>
      <c r="BE17" s="32" t="s">
        <v>3818</v>
      </c>
      <c r="BF17" s="31">
        <v>100.0</v>
      </c>
      <c r="BG17" s="33">
        <f>'Old Balance Sheet'!K17 + 'ACPL Calculations - 1.0'!K17 + 'ACPL Calculations - 2.0'!K17</f>
        <v>0</v>
      </c>
      <c r="BH17" s="30" t="s">
        <v>3817</v>
      </c>
      <c r="BI17" s="31">
        <v>205.0</v>
      </c>
      <c r="BJ17" s="32" t="s">
        <v>3818</v>
      </c>
      <c r="BK17" s="31">
        <v>100.0</v>
      </c>
      <c r="BL17" s="33">
        <f>'Old Balance Sheet'!L17 + 'ACPL Calculations - 1.0'!L17 + 'ACPL Calculations - 2.0'!L17</f>
        <v>0</v>
      </c>
      <c r="BM17" s="33"/>
      <c r="BN17" s="33"/>
      <c r="BO17" s="33"/>
      <c r="BP17" s="33"/>
      <c r="BQ17" s="33"/>
      <c r="BR17" s="33"/>
      <c r="BS17" s="33"/>
      <c r="BT17" s="33"/>
      <c r="BU17" s="33"/>
      <c r="BV17" s="33"/>
      <c r="BW17" s="33"/>
      <c r="BX17" s="33"/>
      <c r="BY17" s="33"/>
      <c r="BZ17" s="33"/>
      <c r="CA17" s="33"/>
      <c r="CB17" s="33"/>
      <c r="CC17" s="33"/>
      <c r="CD17" s="33"/>
      <c r="CE17" s="33"/>
      <c r="CF17" s="33"/>
      <c r="CG17" s="33"/>
      <c r="CH17" s="33"/>
      <c r="CI17" s="33"/>
      <c r="CJ17" s="33"/>
      <c r="CK17" s="33"/>
      <c r="CL17" s="33">
        <f t="shared" si="1"/>
        <v>0</v>
      </c>
      <c r="CM17" s="33">
        <f>'Old Balance Sheet'!R17 + 'ACPL Calculations - 1.0'!S17 + 'ACPL Calculations - 2.0'!S17</f>
        <v>0</v>
      </c>
      <c r="CN17" s="33">
        <f>'Old Balance Sheet'!S17 + 'ACPL Calculations - 1.0'!T17 + 'ACPL Calculations - 2.0'!T17</f>
        <v>0</v>
      </c>
      <c r="CO17" s="33">
        <f t="shared" si="2"/>
        <v>0</v>
      </c>
      <c r="CP17" s="33">
        <f>'Old Balance Sheet'!T17 + 'ACPL Calculations - 1.0'!V17 + 'ACPL Calculations - 2.0'!V17</f>
        <v>0</v>
      </c>
      <c r="CQ17" s="33">
        <f>'Old Balance Sheet'!U17 + 'ACPL Calculations - 1.0'!W17 + 'ACPL Calculations - 2.0'!W17</f>
        <v>0</v>
      </c>
      <c r="CR17" s="33">
        <f>'Old Balance Sheet'!V17 + 'ACPL Calculations - 1.0'!X17 + 'ACPL Calculations - 2.0'!X17</f>
        <v>0</v>
      </c>
      <c r="CS17" s="33">
        <f t="shared" si="3"/>
        <v>0</v>
      </c>
      <c r="CT17" s="35"/>
      <c r="CU17" s="35"/>
      <c r="CV17" s="35"/>
      <c r="CW17" s="36">
        <f>'Old Balance Sheet'!W17 + 'ACPL Calculations - 1.0'!Z17 + 'ACPL Calculations - 2.0'!Z17</f>
        <v>0</v>
      </c>
      <c r="CX17" s="36">
        <f>'Old Balance Sheet'!X17 + 'ACPL Calculations - 1.0'!AA17 + 'ACPL Calculations - 2.0'!AA17</f>
        <v>0</v>
      </c>
      <c r="CY17" s="37">
        <v>0.0</v>
      </c>
      <c r="CZ17" s="38">
        <f>'Old Balance Sheet'!Y17 + 'ACPL Calculations - 1.0'!AB17 + 'ACPL Calculations - 2.0'!AB17</f>
        <v>0</v>
      </c>
      <c r="DA17" s="38">
        <f>'Old Balance Sheet'!Z17 + 'ACPL Calculations - 1.0'!AC17 + 'ACPL Calculations - 2.0'!AC17</f>
        <v>0</v>
      </c>
      <c r="DB17" s="38">
        <f>'Old Balance Sheet'!AA17 + 'ACPL Calculations - 1.0'!AD17 + 'ACPL Calculations - 2.0'!AD17</f>
        <v>0</v>
      </c>
      <c r="DC17" s="38">
        <f>'Old Balance Sheet'!AB17 + 'ACPL Calculations - 1.0'!AE17 + 'ACPL Calculations - 2.0'!AE17</f>
        <v>0</v>
      </c>
      <c r="DD17" s="38">
        <f t="shared" si="4"/>
        <v>0</v>
      </c>
      <c r="DE17" s="33">
        <f t="shared" si="5"/>
        <v>0</v>
      </c>
      <c r="DF17" s="35">
        <v>0.0</v>
      </c>
      <c r="DG17" s="35">
        <v>0.0</v>
      </c>
      <c r="DH17" s="35">
        <v>0.0</v>
      </c>
      <c r="DI17" s="35">
        <v>0.0</v>
      </c>
      <c r="DJ17" s="35">
        <v>0.0</v>
      </c>
      <c r="DK17" s="35">
        <v>0.0</v>
      </c>
      <c r="DL17" s="35">
        <v>0.0</v>
      </c>
      <c r="DM17" s="35">
        <v>0.0</v>
      </c>
      <c r="DN17" s="31">
        <v>0.0</v>
      </c>
      <c r="DO17" s="31">
        <v>0.0</v>
      </c>
      <c r="DP17" s="31">
        <v>0.0</v>
      </c>
      <c r="DQ17" s="31">
        <v>0.0</v>
      </c>
      <c r="DR17" s="31">
        <v>0.0</v>
      </c>
      <c r="DS17" s="31">
        <v>0.0</v>
      </c>
      <c r="DT17" s="31">
        <f>'Old Balance Sheet'!AC17</f>
        <v>1936</v>
      </c>
      <c r="DU17" s="31">
        <f>DT17 + SUMIFS('Payments Log'!D:D, 'Payments Log'!B:B, A17, 'Payments Log'!L:L, "Approved", 'Payments Log'!M:M, "Credit") + 'Old Balance Sheet'!AD17 - 'Old Balance Sheet'!AC17</f>
        <v>1936</v>
      </c>
      <c r="DV17" s="31">
        <f>SUMIFS('Payments Log'!D:D, 'Payments Log'!B:B, A17, 'Payments Log'!L:L, "Approved", 'Payments Log'!M:M, "Adjustment Credit") - SUMIFS('Payments Log'!D:D, 'Payments Log'!B:B, A17, 'Payments Log'!L:L, "Approved", 'Payments Log'!M:M, "Adjustment Debit") + 'Old Balance Sheet'!AE17</f>
        <v>0</v>
      </c>
      <c r="DW17" s="31">
        <f>IF(MAXIFS('Payments Log'!N:N, 'Payments Log'!L:L, "Approved", 'Payments Log'!M:M, "Credit", 'Payments Log'!B:B, A17) &gt; MAXIFS('Payments Log'!N:N, 'Payments Log'!L:L, "Approved", 'Payments Log'!M:M, "Virtual Credit", 'Payments Log'!B:B, A17), 0, SUMIFS('Payments Log'!D:D, 'Payments Log'!N:N, MAXIFS('Payments Log'!N:N, 'Payments Log'!L:L, "Approved", 'Payments Log'!M:M, "Virtual Credit", 'Payments Log'!B:B, A17)))</f>
        <v>0</v>
      </c>
      <c r="DX17" s="33">
        <f t="shared" si="6"/>
        <v>1936</v>
      </c>
      <c r="DY17" s="33">
        <f t="shared" si="7"/>
        <v>1936</v>
      </c>
      <c r="DZ17" s="33">
        <f t="shared" si="8"/>
        <v>1936</v>
      </c>
      <c r="EA17" s="25" t="str">
        <f>(Sheet1!N17)</f>
        <v>JS</v>
      </c>
      <c r="EB17" s="25" t="str">
        <f>(Sheet1!O17)</f>
        <v>1ju8_gZRiNRn30bHYva0xZCNhV81e9Nwm1ItAYdj4tiU</v>
      </c>
      <c r="EC17" s="26" t="str">
        <f>(Sheet1!P17)</f>
        <v>Dealer</v>
      </c>
      <c r="ED17" s="34" t="s">
        <v>13</v>
      </c>
    </row>
    <row r="18">
      <c r="A18" s="25" t="str">
        <f>(Sheet1!A18)</f>
        <v>1fb4oZhqM5iGS888M6X7merPGQRxnlGglIXz2Xntr8zg</v>
      </c>
      <c r="B18" s="25" t="str">
        <f>(Sheet1!B18)</f>
        <v>Mongold World Hero</v>
      </c>
      <c r="C18" s="30" t="s">
        <v>13</v>
      </c>
      <c r="D18" s="30" t="s">
        <v>72</v>
      </c>
      <c r="E18" s="30" t="s">
        <v>3817</v>
      </c>
      <c r="F18" s="31">
        <v>205.0</v>
      </c>
      <c r="G18" s="32" t="s">
        <v>3818</v>
      </c>
      <c r="H18" s="31">
        <v>100.0</v>
      </c>
      <c r="I18" s="33">
        <f>'Old Balance Sheet'!A18 + 'ACPL Calculations - 1.0'!A18 + 'ACPL Calculations - 2.0'!A18</f>
        <v>0</v>
      </c>
      <c r="J18" s="30" t="s">
        <v>3817</v>
      </c>
      <c r="K18" s="31">
        <v>205.0</v>
      </c>
      <c r="L18" s="32" t="s">
        <v>3818</v>
      </c>
      <c r="M18" s="31">
        <v>100.0</v>
      </c>
      <c r="N18" s="33">
        <f>'Old Balance Sheet'!B18 + 'ACPL Calculations - 1.0'!B18 + 'ACPL Calculations - 2.0'!B18</f>
        <v>0</v>
      </c>
      <c r="O18" s="30" t="s">
        <v>3817</v>
      </c>
      <c r="P18" s="31">
        <v>290.0</v>
      </c>
      <c r="Q18" s="32" t="s">
        <v>3818</v>
      </c>
      <c r="R18" s="31">
        <v>100.0</v>
      </c>
      <c r="S18" s="33">
        <f>'Old Balance Sheet'!C18 + 'ACPL Calculations - 1.0'!C18 + 'ACPL Calculations - 2.0'!C18</f>
        <v>0</v>
      </c>
      <c r="T18" s="30" t="s">
        <v>3817</v>
      </c>
      <c r="U18" s="31">
        <v>375.0</v>
      </c>
      <c r="V18" s="32" t="s">
        <v>3818</v>
      </c>
      <c r="W18" s="31">
        <v>100.0</v>
      </c>
      <c r="X18" s="33">
        <f>'Old Balance Sheet'!D18 + 'ACPL Calculations - 1.0'!D18 + 'ACPL Calculations - 2.0'!D18</f>
        <v>0</v>
      </c>
      <c r="Y18" s="30" t="s">
        <v>3817</v>
      </c>
      <c r="Z18" s="31">
        <v>460.0</v>
      </c>
      <c r="AA18" s="32" t="s">
        <v>3818</v>
      </c>
      <c r="AB18" s="31">
        <v>100.0</v>
      </c>
      <c r="AC18" s="33">
        <f>'Old Balance Sheet'!E18 + 'ACPL Calculations - 1.0'!E18 + 'ACPL Calculations - 2.0'!E18</f>
        <v>0</v>
      </c>
      <c r="AD18" s="30" t="s">
        <v>3817</v>
      </c>
      <c r="AE18" s="34">
        <v>838.99</v>
      </c>
      <c r="AF18" s="32" t="s">
        <v>3818</v>
      </c>
      <c r="AG18" s="31">
        <v>100.0</v>
      </c>
      <c r="AH18" s="33">
        <f>'Old Balance Sheet'!F18 + 'ACPL Calculations - 1.0'!F18 + 'ACPL Calculations - 2.0'!F18</f>
        <v>0</v>
      </c>
      <c r="AI18" s="30" t="s">
        <v>3817</v>
      </c>
      <c r="AJ18" s="31">
        <v>375.0</v>
      </c>
      <c r="AK18" s="32" t="s">
        <v>3818</v>
      </c>
      <c r="AL18" s="31">
        <v>100.0</v>
      </c>
      <c r="AM18" s="33">
        <f>'Old Balance Sheet'!G18 + 'ACPL Calculations - 1.0'!G18 + 'ACPL Calculations - 2.0'!G18</f>
        <v>0</v>
      </c>
      <c r="AN18" s="30" t="s">
        <v>3817</v>
      </c>
      <c r="AO18" s="31">
        <v>290.0</v>
      </c>
      <c r="AP18" s="32" t="s">
        <v>3818</v>
      </c>
      <c r="AQ18" s="31">
        <v>100.0</v>
      </c>
      <c r="AR18" s="33">
        <f>'Old Balance Sheet'!H18 + 'ACPL Calculations - 1.0'!H18 + 'ACPL Calculations - 2.0'!H18</f>
        <v>0</v>
      </c>
      <c r="AS18" s="30" t="s">
        <v>3819</v>
      </c>
      <c r="AT18" s="31">
        <v>838.99</v>
      </c>
      <c r="AU18" s="32" t="s">
        <v>3818</v>
      </c>
      <c r="AV18" s="31">
        <v>100.0</v>
      </c>
      <c r="AW18" s="33">
        <f>'Old Balance Sheet'!I18 + 'ACPL Calculations - 1.0'!I18 + 'ACPL Calculations - 2.0'!I18</f>
        <v>0</v>
      </c>
      <c r="AX18" s="30" t="s">
        <v>3817</v>
      </c>
      <c r="AY18" s="31">
        <v>290.0</v>
      </c>
      <c r="AZ18" s="32" t="s">
        <v>3818</v>
      </c>
      <c r="BA18" s="31">
        <v>100.0</v>
      </c>
      <c r="BB18" s="33">
        <f>'Old Balance Sheet'!J18 + 'ACPL Calculations - 1.0'!J18 + 'ACPL Calculations - 2.0'!J18</f>
        <v>0</v>
      </c>
      <c r="BC18" s="30" t="s">
        <v>3817</v>
      </c>
      <c r="BD18" s="31">
        <v>205.0</v>
      </c>
      <c r="BE18" s="32" t="s">
        <v>3818</v>
      </c>
      <c r="BF18" s="31">
        <v>100.0</v>
      </c>
      <c r="BG18" s="33">
        <f>'Old Balance Sheet'!K18 + 'ACPL Calculations - 1.0'!K18 + 'ACPL Calculations - 2.0'!K18</f>
        <v>0</v>
      </c>
      <c r="BH18" s="30" t="s">
        <v>3817</v>
      </c>
      <c r="BI18" s="31">
        <v>205.0</v>
      </c>
      <c r="BJ18" s="32" t="s">
        <v>3818</v>
      </c>
      <c r="BK18" s="31">
        <v>100.0</v>
      </c>
      <c r="BL18" s="33">
        <f>'Old Balance Sheet'!L18 + 'ACPL Calculations - 1.0'!L18 + 'ACPL Calculations - 2.0'!L18</f>
        <v>0</v>
      </c>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f t="shared" si="1"/>
        <v>0</v>
      </c>
      <c r="CM18" s="33">
        <f>'Old Balance Sheet'!R18 + 'ACPL Calculations - 1.0'!S18 + 'ACPL Calculations - 2.0'!S18</f>
        <v>0</v>
      </c>
      <c r="CN18" s="33">
        <f>'Old Balance Sheet'!S18 + 'ACPL Calculations - 1.0'!T18 + 'ACPL Calculations - 2.0'!T18</f>
        <v>0</v>
      </c>
      <c r="CO18" s="33">
        <f t="shared" si="2"/>
        <v>0</v>
      </c>
      <c r="CP18" s="33">
        <f>'Old Balance Sheet'!T18 + 'ACPL Calculations - 1.0'!V18 + 'ACPL Calculations - 2.0'!V18</f>
        <v>0</v>
      </c>
      <c r="CQ18" s="33">
        <f>'Old Balance Sheet'!U18 + 'ACPL Calculations - 1.0'!W18 + 'ACPL Calculations - 2.0'!W18</f>
        <v>0</v>
      </c>
      <c r="CR18" s="33">
        <f>'Old Balance Sheet'!V18 + 'ACPL Calculations - 1.0'!X18 + 'ACPL Calculations - 2.0'!X18</f>
        <v>0</v>
      </c>
      <c r="CS18" s="33">
        <f t="shared" si="3"/>
        <v>0</v>
      </c>
      <c r="CT18" s="35"/>
      <c r="CU18" s="35"/>
      <c r="CV18" s="35"/>
      <c r="CW18" s="36">
        <f>'Old Balance Sheet'!W18 + 'ACPL Calculations - 1.0'!Z18 + 'ACPL Calculations - 2.0'!Z18</f>
        <v>0</v>
      </c>
      <c r="CX18" s="36">
        <f>'Old Balance Sheet'!X18 + 'ACPL Calculations - 1.0'!AA18 + 'ACPL Calculations - 2.0'!AA18</f>
        <v>0</v>
      </c>
      <c r="CY18" s="37">
        <v>0.0</v>
      </c>
      <c r="CZ18" s="38">
        <f>'Old Balance Sheet'!Y18 + 'ACPL Calculations - 1.0'!AB18 + 'ACPL Calculations - 2.0'!AB18</f>
        <v>0</v>
      </c>
      <c r="DA18" s="38">
        <f>'Old Balance Sheet'!Z18 + 'ACPL Calculations - 1.0'!AC18 + 'ACPL Calculations - 2.0'!AC18</f>
        <v>0</v>
      </c>
      <c r="DB18" s="38">
        <f>'Old Balance Sheet'!AA18 + 'ACPL Calculations - 1.0'!AD18 + 'ACPL Calculations - 2.0'!AD18</f>
        <v>0</v>
      </c>
      <c r="DC18" s="38">
        <f>'Old Balance Sheet'!AB18 + 'ACPL Calculations - 1.0'!AE18 + 'ACPL Calculations - 2.0'!AE18</f>
        <v>0</v>
      </c>
      <c r="DD18" s="38">
        <f t="shared" si="4"/>
        <v>0</v>
      </c>
      <c r="DE18" s="33">
        <f t="shared" si="5"/>
        <v>0</v>
      </c>
      <c r="DF18" s="35">
        <v>0.0</v>
      </c>
      <c r="DG18" s="35">
        <v>0.0</v>
      </c>
      <c r="DH18" s="35">
        <v>0.0</v>
      </c>
      <c r="DI18" s="35">
        <v>0.0</v>
      </c>
      <c r="DJ18" s="35">
        <v>0.0</v>
      </c>
      <c r="DK18" s="35">
        <v>0.0</v>
      </c>
      <c r="DL18" s="35">
        <v>0.0</v>
      </c>
      <c r="DM18" s="35">
        <v>0.0</v>
      </c>
      <c r="DN18" s="31">
        <v>0.0</v>
      </c>
      <c r="DO18" s="31">
        <v>0.0</v>
      </c>
      <c r="DP18" s="31">
        <v>0.0</v>
      </c>
      <c r="DQ18" s="31">
        <v>0.0</v>
      </c>
      <c r="DR18" s="31">
        <v>0.0</v>
      </c>
      <c r="DS18" s="31">
        <v>0.0</v>
      </c>
      <c r="DT18" s="31">
        <f>'Old Balance Sheet'!AC18</f>
        <v>-3376</v>
      </c>
      <c r="DU18" s="31">
        <f>DT18 + SUMIFS('Payments Log'!D:D, 'Payments Log'!B:B, A18, 'Payments Log'!L:L, "Approved", 'Payments Log'!M:M, "Credit") + 'Old Balance Sheet'!AD18 - 'Old Balance Sheet'!AC18</f>
        <v>-3376</v>
      </c>
      <c r="DV18" s="31">
        <f>SUMIFS('Payments Log'!D:D, 'Payments Log'!B:B, A18, 'Payments Log'!L:L, "Approved", 'Payments Log'!M:M, "Adjustment Credit") - SUMIFS('Payments Log'!D:D, 'Payments Log'!B:B, A18, 'Payments Log'!L:L, "Approved", 'Payments Log'!M:M, "Adjustment Debit") + 'Old Balance Sheet'!AE18</f>
        <v>0</v>
      </c>
      <c r="DW18" s="31">
        <f>IF(MAXIFS('Payments Log'!N:N, 'Payments Log'!L:L, "Approved", 'Payments Log'!M:M, "Credit", 'Payments Log'!B:B, A18) &gt; MAXIFS('Payments Log'!N:N, 'Payments Log'!L:L, "Approved", 'Payments Log'!M:M, "Virtual Credit", 'Payments Log'!B:B, A18), 0, SUMIFS('Payments Log'!D:D, 'Payments Log'!N:N, MAXIFS('Payments Log'!N:N, 'Payments Log'!L:L, "Approved", 'Payments Log'!M:M, "Virtual Credit", 'Payments Log'!B:B, A18)))</f>
        <v>0</v>
      </c>
      <c r="DX18" s="33">
        <f t="shared" si="6"/>
        <v>-3376</v>
      </c>
      <c r="DY18" s="33">
        <f t="shared" si="7"/>
        <v>-3376</v>
      </c>
      <c r="DZ18" s="33">
        <f t="shared" si="8"/>
        <v>-3376</v>
      </c>
      <c r="EA18" s="25" t="str">
        <f>(Sheet1!N18)</f>
        <v>Mongold World Hero</v>
      </c>
      <c r="EB18" s="25" t="str">
        <f>(Sheet1!O18)</f>
        <v>1fb4oZhqM5iGS888M6X7merPGQRxnlGglIXz2Xntr8zg</v>
      </c>
      <c r="EC18" s="26" t="str">
        <f>(Sheet1!P18)</f>
        <v>Dealer</v>
      </c>
      <c r="ED18" s="34" t="s">
        <v>13</v>
      </c>
    </row>
    <row r="19">
      <c r="A19" s="25" t="str">
        <f>(Sheet1!A19)</f>
        <v>1xzNzUpRuyZzl8DSwrt-yCan_GYtxqCgVm5i_XkKZrso</v>
      </c>
      <c r="B19" s="25" t="str">
        <f>(Sheet1!B19)</f>
        <v>Metro Motors - Rohini</v>
      </c>
      <c r="C19" s="30" t="s">
        <v>13</v>
      </c>
      <c r="D19" s="30" t="s">
        <v>72</v>
      </c>
      <c r="E19" s="30" t="s">
        <v>3820</v>
      </c>
      <c r="F19" s="31">
        <v>205.0</v>
      </c>
      <c r="G19" s="32" t="s">
        <v>3818</v>
      </c>
      <c r="H19" s="31">
        <v>100.0</v>
      </c>
      <c r="I19" s="33">
        <f>'Old Balance Sheet'!A19 + 'ACPL Calculations - 1.0'!A19 + 'ACPL Calculations - 2.0'!A19</f>
        <v>0</v>
      </c>
      <c r="J19" s="30" t="s">
        <v>3820</v>
      </c>
      <c r="K19" s="31">
        <v>205.0</v>
      </c>
      <c r="L19" s="32" t="s">
        <v>3818</v>
      </c>
      <c r="M19" s="31">
        <v>100.0</v>
      </c>
      <c r="N19" s="33">
        <f>'Old Balance Sheet'!B19 + 'ACPL Calculations - 1.0'!B19 + 'ACPL Calculations - 2.0'!B19</f>
        <v>0</v>
      </c>
      <c r="O19" s="30" t="s">
        <v>3820</v>
      </c>
      <c r="P19" s="31">
        <v>290.0</v>
      </c>
      <c r="Q19" s="32" t="s">
        <v>3818</v>
      </c>
      <c r="R19" s="31">
        <v>100.0</v>
      </c>
      <c r="S19" s="33">
        <f>'Old Balance Sheet'!C19 + 'ACPL Calculations - 1.0'!C19 + 'ACPL Calculations - 2.0'!C19</f>
        <v>0</v>
      </c>
      <c r="T19" s="30" t="s">
        <v>3820</v>
      </c>
      <c r="U19" s="31">
        <v>375.0</v>
      </c>
      <c r="V19" s="32" t="s">
        <v>3818</v>
      </c>
      <c r="W19" s="31">
        <v>100.0</v>
      </c>
      <c r="X19" s="33">
        <f>'Old Balance Sheet'!D19 + 'ACPL Calculations - 1.0'!D19 + 'ACPL Calculations - 2.0'!D19</f>
        <v>0</v>
      </c>
      <c r="Y19" s="30" t="s">
        <v>3820</v>
      </c>
      <c r="Z19" s="31">
        <v>400.0</v>
      </c>
      <c r="AA19" s="32" t="s">
        <v>3818</v>
      </c>
      <c r="AB19" s="31">
        <v>100.0</v>
      </c>
      <c r="AC19" s="33">
        <f>'Old Balance Sheet'!E19 + 'ACPL Calculations - 1.0'!E19 + 'ACPL Calculations - 2.0'!E19</f>
        <v>812</v>
      </c>
      <c r="AD19" s="30" t="s">
        <v>3820</v>
      </c>
      <c r="AE19" s="34">
        <v>838.99</v>
      </c>
      <c r="AF19" s="32" t="s">
        <v>3818</v>
      </c>
      <c r="AG19" s="31">
        <v>100.0</v>
      </c>
      <c r="AH19" s="33">
        <f>'Old Balance Sheet'!F19 + 'ACPL Calculations - 1.0'!F19 + 'ACPL Calculations - 2.0'!F19</f>
        <v>0</v>
      </c>
      <c r="AI19" s="30" t="s">
        <v>3820</v>
      </c>
      <c r="AJ19" s="31">
        <v>375.0</v>
      </c>
      <c r="AK19" s="32" t="s">
        <v>3818</v>
      </c>
      <c r="AL19" s="31">
        <v>100.0</v>
      </c>
      <c r="AM19" s="33">
        <f>'Old Balance Sheet'!G19 + 'ACPL Calculations - 1.0'!G19 + 'ACPL Calculations - 2.0'!G19</f>
        <v>0</v>
      </c>
      <c r="AN19" s="30" t="s">
        <v>3820</v>
      </c>
      <c r="AO19" s="31">
        <v>290.0</v>
      </c>
      <c r="AP19" s="32" t="s">
        <v>3818</v>
      </c>
      <c r="AQ19" s="31">
        <v>100.0</v>
      </c>
      <c r="AR19" s="33">
        <f>'Old Balance Sheet'!H19 + 'ACPL Calculations - 1.0'!H19 + 'ACPL Calculations - 2.0'!H19</f>
        <v>0</v>
      </c>
      <c r="AS19" s="30" t="s">
        <v>3819</v>
      </c>
      <c r="AT19" s="31">
        <v>838.99</v>
      </c>
      <c r="AU19" s="32" t="s">
        <v>3818</v>
      </c>
      <c r="AV19" s="31">
        <v>100.0</v>
      </c>
      <c r="AW19" s="33">
        <f>'Old Balance Sheet'!I19 + 'ACPL Calculations - 1.0'!I19 + 'ACPL Calculations - 2.0'!I19</f>
        <v>0</v>
      </c>
      <c r="AX19" s="30" t="s">
        <v>3820</v>
      </c>
      <c r="AY19" s="31">
        <v>290.0</v>
      </c>
      <c r="AZ19" s="32" t="s">
        <v>3818</v>
      </c>
      <c r="BA19" s="31">
        <v>100.0</v>
      </c>
      <c r="BB19" s="33">
        <f>'Old Balance Sheet'!J19 + 'ACPL Calculations - 1.0'!J19 + 'ACPL Calculations - 2.0'!J19</f>
        <v>0</v>
      </c>
      <c r="BC19" s="30" t="s">
        <v>3820</v>
      </c>
      <c r="BD19" s="31">
        <v>205.0</v>
      </c>
      <c r="BE19" s="32" t="s">
        <v>3818</v>
      </c>
      <c r="BF19" s="31">
        <v>100.0</v>
      </c>
      <c r="BG19" s="33">
        <f>'Old Balance Sheet'!K19 + 'ACPL Calculations - 1.0'!K19 + 'ACPL Calculations - 2.0'!K19</f>
        <v>0</v>
      </c>
      <c r="BH19" s="30" t="s">
        <v>3820</v>
      </c>
      <c r="BI19" s="31">
        <v>205.0</v>
      </c>
      <c r="BJ19" s="32" t="s">
        <v>3818</v>
      </c>
      <c r="BK19" s="31">
        <v>100.0</v>
      </c>
      <c r="BL19" s="33">
        <f>'Old Balance Sheet'!L19 + 'ACPL Calculations - 1.0'!L19 + 'ACPL Calculations - 2.0'!L19</f>
        <v>0</v>
      </c>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f t="shared" si="1"/>
        <v>812</v>
      </c>
      <c r="CM19" s="33">
        <f>'Old Balance Sheet'!R19 + 'ACPL Calculations - 1.0'!S19 + 'ACPL Calculations - 2.0'!S19</f>
        <v>1164576</v>
      </c>
      <c r="CN19" s="33">
        <f>'Old Balance Sheet'!S19 + 'ACPL Calculations - 1.0'!T19 + 'ACPL Calculations - 2.0'!T19</f>
        <v>324800</v>
      </c>
      <c r="CO19" s="33">
        <f t="shared" si="2"/>
        <v>502447.7</v>
      </c>
      <c r="CP19" s="33">
        <f>'Old Balance Sheet'!T19 + 'ACPL Calculations - 1.0'!V19 + 'ACPL Calculations - 2.0'!V19</f>
        <v>0</v>
      </c>
      <c r="CQ19" s="33">
        <f>'Old Balance Sheet'!U19 + 'ACPL Calculations - 1.0'!W19 + 'ACPL Calculations - 2.0'!W19</f>
        <v>0</v>
      </c>
      <c r="CR19" s="33">
        <f>'Old Balance Sheet'!V19 + 'ACPL Calculations - 1.0'!X19 + 'ACPL Calculations - 2.0'!X19</f>
        <v>177647.7</v>
      </c>
      <c r="CS19" s="33">
        <f t="shared" si="3"/>
        <v>177647.7</v>
      </c>
      <c r="CT19" s="35"/>
      <c r="CU19" s="35"/>
      <c r="CV19" s="35"/>
      <c r="CW19" s="36">
        <f>'Old Balance Sheet'!W19 + 'ACPL Calculations - 1.0'!Z19 + 'ACPL Calculations - 2.0'!Z19</f>
        <v>1164576</v>
      </c>
      <c r="CX19" s="36">
        <f>'Old Balance Sheet'!X19 + 'ACPL Calculations - 1.0'!AA19 + 'ACPL Calculations - 2.0'!AA19</f>
        <v>522870.06</v>
      </c>
      <c r="CY19" s="37">
        <v>0.0</v>
      </c>
      <c r="CZ19" s="38">
        <f>'Old Balance Sheet'!Y19 + 'ACPL Calculations - 1.0'!AB19 + 'ACPL Calculations - 2.0'!AB19</f>
        <v>653672.43</v>
      </c>
      <c r="DA19" s="38">
        <f>'Old Balance Sheet'!Z19 + 'ACPL Calculations - 1.0'!AC19 + 'ACPL Calculations - 2.0'!AC19</f>
        <v>0</v>
      </c>
      <c r="DB19" s="38">
        <f>'Old Balance Sheet'!AA19 + 'ACPL Calculations - 1.0'!AD19 + 'ACPL Calculations - 2.0'!AD19</f>
        <v>20423.16</v>
      </c>
      <c r="DC19" s="38">
        <f>'Old Balance Sheet'!AB19 + 'ACPL Calculations - 1.0'!AE19 + 'ACPL Calculations - 2.0'!AE19</f>
        <v>641705.94</v>
      </c>
      <c r="DD19" s="38">
        <f t="shared" si="4"/>
        <v>641705.94</v>
      </c>
      <c r="DE19" s="33">
        <f t="shared" si="5"/>
        <v>641705.94</v>
      </c>
      <c r="DF19" s="35">
        <v>0.0</v>
      </c>
      <c r="DG19" s="35">
        <v>0.0</v>
      </c>
      <c r="DH19" s="35">
        <v>0.0</v>
      </c>
      <c r="DI19" s="35">
        <v>0.0</v>
      </c>
      <c r="DJ19" s="35">
        <v>0.0</v>
      </c>
      <c r="DK19" s="35">
        <v>0.0</v>
      </c>
      <c r="DL19" s="35">
        <v>0.0</v>
      </c>
      <c r="DM19" s="35">
        <v>0.0</v>
      </c>
      <c r="DN19" s="31">
        <v>0.0</v>
      </c>
      <c r="DO19" s="31">
        <v>0.0</v>
      </c>
      <c r="DP19" s="31">
        <v>0.0</v>
      </c>
      <c r="DQ19" s="31">
        <v>0.0</v>
      </c>
      <c r="DR19" s="31">
        <v>0.0</v>
      </c>
      <c r="DS19" s="31">
        <v>0.0</v>
      </c>
      <c r="DT19" s="31">
        <f>'Old Balance Sheet'!AC19</f>
        <v>-132970</v>
      </c>
      <c r="DU19" s="31">
        <f>DT19 + SUMIFS('Payments Log'!D:D, 'Payments Log'!B:B, A19, 'Payments Log'!L:L, "Approved", 'Payments Log'!M:M, "Credit") + 'Old Balance Sheet'!AD19 - 'Old Balance Sheet'!AC19</f>
        <v>1223881</v>
      </c>
      <c r="DV19" s="31">
        <f>SUMIFS('Payments Log'!D:D, 'Payments Log'!B:B, A19, 'Payments Log'!L:L, "Approved", 'Payments Log'!M:M, "Adjustment Credit") - SUMIFS('Payments Log'!D:D, 'Payments Log'!B:B, A19, 'Payments Log'!L:L, "Approved", 'Payments Log'!M:M, "Adjustment Debit") + 'Old Balance Sheet'!AE19</f>
        <v>-59305</v>
      </c>
      <c r="DW19" s="31">
        <f>IF(MAXIFS('Payments Log'!N:N, 'Payments Log'!L:L, "Approved", 'Payments Log'!M:M, "Credit", 'Payments Log'!B:B, A19) &gt; MAXIFS('Payments Log'!N:N, 'Payments Log'!L:L, "Approved", 'Payments Log'!M:M, "Virtual Credit", 'Payments Log'!B:B, A19), 0, SUMIFS('Payments Log'!D:D, 'Payments Log'!N:N, MAXIFS('Payments Log'!N:N, 'Payments Log'!L:L, "Approved", 'Payments Log'!M:M, "Virtual Credit", 'Payments Log'!B:B, A19)))</f>
        <v>0</v>
      </c>
      <c r="DX19" s="33">
        <f t="shared" si="6"/>
        <v>0</v>
      </c>
      <c r="DY19" s="33">
        <f t="shared" si="7"/>
        <v>641705.94</v>
      </c>
      <c r="DZ19" s="33">
        <f t="shared" si="8"/>
        <v>641705.94</v>
      </c>
      <c r="EA19" s="25" t="str">
        <f>(Sheet1!N19)</f>
        <v>Metro Motors - Rohini</v>
      </c>
      <c r="EB19" s="25" t="str">
        <f>(Sheet1!O19)</f>
        <v>1xzNzUpRuyZzl8DSwrt-yCan_GYtxqCgVm5i_XkKZrso</v>
      </c>
      <c r="EC19" s="26" t="str">
        <f>(Sheet1!P19)</f>
        <v>Dealer</v>
      </c>
      <c r="ED19" s="34" t="s">
        <v>13</v>
      </c>
    </row>
    <row r="20">
      <c r="A20" s="25" t="str">
        <f>(Sheet1!A20)</f>
        <v>1aig_7rzTvnQej6pxtLbGhfZNPUH2VLzHk2NHcxmPOhg</v>
      </c>
      <c r="B20" s="25" t="str">
        <f>(Sheet1!B20)</f>
        <v>Singla Auto Agencies (Noida)</v>
      </c>
      <c r="C20" s="30" t="s">
        <v>13</v>
      </c>
      <c r="D20" s="30" t="s">
        <v>72</v>
      </c>
      <c r="E20" s="30" t="s">
        <v>3820</v>
      </c>
      <c r="F20" s="31">
        <v>170.0</v>
      </c>
      <c r="G20" s="32" t="s">
        <v>3818</v>
      </c>
      <c r="H20" s="31">
        <v>100.0</v>
      </c>
      <c r="I20" s="33">
        <f>'Old Balance Sheet'!A20 + 'ACPL Calculations - 1.0'!A20 + 'ACPL Calculations - 2.0'!A20</f>
        <v>0</v>
      </c>
      <c r="J20" s="30" t="s">
        <v>3820</v>
      </c>
      <c r="K20" s="31">
        <v>170.0</v>
      </c>
      <c r="L20" s="32" t="s">
        <v>3818</v>
      </c>
      <c r="M20" s="31">
        <v>100.0</v>
      </c>
      <c r="N20" s="33">
        <f>'Old Balance Sheet'!B20 + 'ACPL Calculations - 1.0'!B20 + 'ACPL Calculations - 2.0'!B20</f>
        <v>0</v>
      </c>
      <c r="O20" s="30" t="s">
        <v>3820</v>
      </c>
      <c r="P20" s="31">
        <v>170.0</v>
      </c>
      <c r="Q20" s="32" t="s">
        <v>3818</v>
      </c>
      <c r="R20" s="31">
        <v>100.0</v>
      </c>
      <c r="S20" s="33">
        <f>'Old Balance Sheet'!C20 + 'ACPL Calculations - 1.0'!C20 + 'ACPL Calculations - 2.0'!C20</f>
        <v>0</v>
      </c>
      <c r="T20" s="30" t="s">
        <v>3820</v>
      </c>
      <c r="U20" s="31">
        <v>170.0</v>
      </c>
      <c r="V20" s="32" t="s">
        <v>3818</v>
      </c>
      <c r="W20" s="31">
        <v>100.0</v>
      </c>
      <c r="X20" s="33">
        <f>'Old Balance Sheet'!D20 + 'ACPL Calculations - 1.0'!D20 + 'ACPL Calculations - 2.0'!D20</f>
        <v>0</v>
      </c>
      <c r="Y20" s="30" t="s">
        <v>3820</v>
      </c>
      <c r="Z20" s="31">
        <v>170.0</v>
      </c>
      <c r="AA20" s="32" t="s">
        <v>3818</v>
      </c>
      <c r="AB20" s="31">
        <v>100.0</v>
      </c>
      <c r="AC20" s="33">
        <f>'Old Balance Sheet'!E20 + 'ACPL Calculations - 1.0'!E20 + 'ACPL Calculations - 2.0'!E20</f>
        <v>0</v>
      </c>
      <c r="AD20" s="30" t="s">
        <v>3820</v>
      </c>
      <c r="AE20" s="34">
        <v>838.99</v>
      </c>
      <c r="AF20" s="32" t="s">
        <v>3818</v>
      </c>
      <c r="AG20" s="31">
        <v>100.0</v>
      </c>
      <c r="AH20" s="33">
        <f>'Old Balance Sheet'!F20 + 'ACPL Calculations - 1.0'!F20 + 'ACPL Calculations - 2.0'!F20</f>
        <v>0</v>
      </c>
      <c r="AI20" s="30" t="s">
        <v>3820</v>
      </c>
      <c r="AJ20" s="31">
        <v>375.0</v>
      </c>
      <c r="AK20" s="32" t="s">
        <v>3818</v>
      </c>
      <c r="AL20" s="31">
        <v>100.0</v>
      </c>
      <c r="AM20" s="33">
        <f>'Old Balance Sheet'!G20 + 'ACPL Calculations - 1.0'!G20 + 'ACPL Calculations - 2.0'!G20</f>
        <v>0</v>
      </c>
      <c r="AN20" s="30" t="s">
        <v>3820</v>
      </c>
      <c r="AO20" s="31">
        <v>290.0</v>
      </c>
      <c r="AP20" s="32" t="s">
        <v>3818</v>
      </c>
      <c r="AQ20" s="31">
        <v>100.0</v>
      </c>
      <c r="AR20" s="33">
        <f>'Old Balance Sheet'!H20 + 'ACPL Calculations - 1.0'!H20 + 'ACPL Calculations - 2.0'!H20</f>
        <v>0</v>
      </c>
      <c r="AS20" s="30" t="s">
        <v>3819</v>
      </c>
      <c r="AT20" s="31">
        <v>838.99</v>
      </c>
      <c r="AU20" s="32" t="s">
        <v>3818</v>
      </c>
      <c r="AV20" s="31">
        <v>100.0</v>
      </c>
      <c r="AW20" s="33">
        <f>'Old Balance Sheet'!I20 + 'ACPL Calculations - 1.0'!I20 + 'ACPL Calculations - 2.0'!I20</f>
        <v>0</v>
      </c>
      <c r="AX20" s="30" t="s">
        <v>3820</v>
      </c>
      <c r="AY20" s="31">
        <v>290.0</v>
      </c>
      <c r="AZ20" s="32" t="s">
        <v>3818</v>
      </c>
      <c r="BA20" s="31">
        <v>100.0</v>
      </c>
      <c r="BB20" s="33">
        <f>'Old Balance Sheet'!J20 + 'ACPL Calculations - 1.0'!J20 + 'ACPL Calculations - 2.0'!J20</f>
        <v>0</v>
      </c>
      <c r="BC20" s="30" t="s">
        <v>3820</v>
      </c>
      <c r="BD20" s="31">
        <v>205.0</v>
      </c>
      <c r="BE20" s="32" t="s">
        <v>3818</v>
      </c>
      <c r="BF20" s="31">
        <v>100.0</v>
      </c>
      <c r="BG20" s="33">
        <f>'Old Balance Sheet'!K20 + 'ACPL Calculations - 1.0'!K20 + 'ACPL Calculations - 2.0'!K20</f>
        <v>0</v>
      </c>
      <c r="BH20" s="30" t="s">
        <v>3820</v>
      </c>
      <c r="BI20" s="31">
        <v>205.0</v>
      </c>
      <c r="BJ20" s="32" t="s">
        <v>3818</v>
      </c>
      <c r="BK20" s="31">
        <v>100.0</v>
      </c>
      <c r="BL20" s="33">
        <f>'Old Balance Sheet'!L20 + 'ACPL Calculations - 1.0'!L20 + 'ACPL Calculations - 2.0'!L20</f>
        <v>0</v>
      </c>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f t="shared" si="1"/>
        <v>0</v>
      </c>
      <c r="CM20" s="33">
        <f>'Old Balance Sheet'!R20 + 'ACPL Calculations - 1.0'!S20 + 'ACPL Calculations - 2.0'!S20</f>
        <v>0</v>
      </c>
      <c r="CN20" s="33">
        <f>'Old Balance Sheet'!S20 + 'ACPL Calculations - 1.0'!T20 + 'ACPL Calculations - 2.0'!T20</f>
        <v>0</v>
      </c>
      <c r="CO20" s="33">
        <f t="shared" si="2"/>
        <v>0</v>
      </c>
      <c r="CP20" s="33">
        <f>'Old Balance Sheet'!T20 + 'ACPL Calculations - 1.0'!V20 + 'ACPL Calculations - 2.0'!V20</f>
        <v>0</v>
      </c>
      <c r="CQ20" s="33">
        <f>'Old Balance Sheet'!U20 + 'ACPL Calculations - 1.0'!W20 + 'ACPL Calculations - 2.0'!W20</f>
        <v>0</v>
      </c>
      <c r="CR20" s="33">
        <f>'Old Balance Sheet'!V20 + 'ACPL Calculations - 1.0'!X20 + 'ACPL Calculations - 2.0'!X20</f>
        <v>0</v>
      </c>
      <c r="CS20" s="33">
        <f t="shared" si="3"/>
        <v>0</v>
      </c>
      <c r="CT20" s="35"/>
      <c r="CU20" s="35"/>
      <c r="CV20" s="35"/>
      <c r="CW20" s="36">
        <f>'Old Balance Sheet'!W20 + 'ACPL Calculations - 1.0'!Z20 + 'ACPL Calculations - 2.0'!Z20</f>
        <v>0</v>
      </c>
      <c r="CX20" s="36">
        <f>'Old Balance Sheet'!X20 + 'ACPL Calculations - 1.0'!AA20 + 'ACPL Calculations - 2.0'!AA20</f>
        <v>0</v>
      </c>
      <c r="CY20" s="37">
        <v>0.0</v>
      </c>
      <c r="CZ20" s="38">
        <f>'Old Balance Sheet'!Y20 + 'ACPL Calculations - 1.0'!AB20 + 'ACPL Calculations - 2.0'!AB20</f>
        <v>0</v>
      </c>
      <c r="DA20" s="38">
        <f>'Old Balance Sheet'!Z20 + 'ACPL Calculations - 1.0'!AC20 + 'ACPL Calculations - 2.0'!AC20</f>
        <v>0</v>
      </c>
      <c r="DB20" s="38">
        <f>'Old Balance Sheet'!AA20 + 'ACPL Calculations - 1.0'!AD20 + 'ACPL Calculations - 2.0'!AD20</f>
        <v>0</v>
      </c>
      <c r="DC20" s="38">
        <f>'Old Balance Sheet'!AB20 + 'ACPL Calculations - 1.0'!AE20 + 'ACPL Calculations - 2.0'!AE20</f>
        <v>0</v>
      </c>
      <c r="DD20" s="38">
        <f t="shared" si="4"/>
        <v>0</v>
      </c>
      <c r="DE20" s="33">
        <f t="shared" si="5"/>
        <v>0</v>
      </c>
      <c r="DF20" s="35">
        <v>0.0</v>
      </c>
      <c r="DG20" s="35">
        <v>0.0</v>
      </c>
      <c r="DH20" s="35">
        <v>0.0</v>
      </c>
      <c r="DI20" s="35">
        <v>0.0</v>
      </c>
      <c r="DJ20" s="35">
        <v>0.0</v>
      </c>
      <c r="DK20" s="35">
        <v>0.0</v>
      </c>
      <c r="DL20" s="35">
        <v>0.0</v>
      </c>
      <c r="DM20" s="35">
        <v>0.0</v>
      </c>
      <c r="DN20" s="31">
        <v>0.0</v>
      </c>
      <c r="DO20" s="31">
        <v>0.0</v>
      </c>
      <c r="DP20" s="31">
        <v>0.0</v>
      </c>
      <c r="DQ20" s="31">
        <v>0.0</v>
      </c>
      <c r="DR20" s="31">
        <v>0.0</v>
      </c>
      <c r="DS20" s="31">
        <v>0.0</v>
      </c>
      <c r="DT20" s="31">
        <f>'Old Balance Sheet'!AC20</f>
        <v>-578043</v>
      </c>
      <c r="DU20" s="31">
        <f>DT20 + SUMIFS('Payments Log'!D:D, 'Payments Log'!B:B, A20, 'Payments Log'!L:L, "Approved", 'Payments Log'!M:M, "Credit") + 'Old Balance Sheet'!AD20 - 'Old Balance Sheet'!AC20</f>
        <v>6039</v>
      </c>
      <c r="DV20" s="31">
        <f>SUMIFS('Payments Log'!D:D, 'Payments Log'!B:B, A20, 'Payments Log'!L:L, "Approved", 'Payments Log'!M:M, "Adjustment Credit") - SUMIFS('Payments Log'!D:D, 'Payments Log'!B:B, A20, 'Payments Log'!L:L, "Approved", 'Payments Log'!M:M, "Adjustment Debit") + 'Old Balance Sheet'!AE20</f>
        <v>0</v>
      </c>
      <c r="DW20" s="31">
        <f>IF(MAXIFS('Payments Log'!N:N, 'Payments Log'!L:L, "Approved", 'Payments Log'!M:M, "Credit", 'Payments Log'!B:B, A20) &gt; MAXIFS('Payments Log'!N:N, 'Payments Log'!L:L, "Approved", 'Payments Log'!M:M, "Virtual Credit", 'Payments Log'!B:B, A20), 0, SUMIFS('Payments Log'!D:D, 'Payments Log'!N:N, MAXIFS('Payments Log'!N:N, 'Payments Log'!L:L, "Approved", 'Payments Log'!M:M, "Virtual Credit", 'Payments Log'!B:B, A20)))</f>
        <v>0</v>
      </c>
      <c r="DX20" s="33">
        <f t="shared" si="6"/>
        <v>6039</v>
      </c>
      <c r="DY20" s="33">
        <f t="shared" si="7"/>
        <v>6039</v>
      </c>
      <c r="DZ20" s="33">
        <f t="shared" si="8"/>
        <v>6039</v>
      </c>
      <c r="EA20" s="25" t="str">
        <f>(Sheet1!N20)</f>
        <v>Singla Auto Agencies (Noida)</v>
      </c>
      <c r="EB20" s="25" t="str">
        <f>(Sheet1!O20)</f>
        <v>1aig_7rzTvnQej6pxtLbGhfZNPUH2VLzHk2NHcxmPOhg</v>
      </c>
      <c r="EC20" s="26" t="str">
        <f>(Sheet1!P20)</f>
        <v>Dealer</v>
      </c>
      <c r="ED20" s="34" t="s">
        <v>13</v>
      </c>
    </row>
    <row r="21">
      <c r="A21" s="25" t="str">
        <f>(Sheet1!A21)</f>
        <v>1Q3uII698FTgwSsGljmJBRy3Pnf7HltUwjiLdE7gTk3E</v>
      </c>
      <c r="B21" s="25" t="str">
        <f>(Sheet1!B21)</f>
        <v>Singla Auto Agencies (Chapraulla)</v>
      </c>
      <c r="C21" s="30" t="s">
        <v>13</v>
      </c>
      <c r="D21" s="30" t="s">
        <v>72</v>
      </c>
      <c r="E21" s="30" t="s">
        <v>3820</v>
      </c>
      <c r="F21" s="31">
        <v>170.0</v>
      </c>
      <c r="G21" s="32" t="s">
        <v>3818</v>
      </c>
      <c r="H21" s="31">
        <v>100.0</v>
      </c>
      <c r="I21" s="33">
        <f>'Old Balance Sheet'!A21 + 'ACPL Calculations - 1.0'!A21 + 'ACPL Calculations - 2.0'!A21</f>
        <v>0</v>
      </c>
      <c r="J21" s="30" t="s">
        <v>3820</v>
      </c>
      <c r="K21" s="31">
        <v>170.0</v>
      </c>
      <c r="L21" s="32" t="s">
        <v>3818</v>
      </c>
      <c r="M21" s="31">
        <v>100.0</v>
      </c>
      <c r="N21" s="33">
        <f>'Old Balance Sheet'!B21 + 'ACPL Calculations - 1.0'!B21 + 'ACPL Calculations - 2.0'!B21</f>
        <v>0</v>
      </c>
      <c r="O21" s="30" t="s">
        <v>3820</v>
      </c>
      <c r="P21" s="31">
        <v>170.0</v>
      </c>
      <c r="Q21" s="32" t="s">
        <v>3818</v>
      </c>
      <c r="R21" s="31">
        <v>100.0</v>
      </c>
      <c r="S21" s="33">
        <f>'Old Balance Sheet'!C21 + 'ACPL Calculations - 1.0'!C21 + 'ACPL Calculations - 2.0'!C21</f>
        <v>0</v>
      </c>
      <c r="T21" s="30" t="s">
        <v>3820</v>
      </c>
      <c r="U21" s="31">
        <v>170.0</v>
      </c>
      <c r="V21" s="32" t="s">
        <v>3818</v>
      </c>
      <c r="W21" s="31">
        <v>100.0</v>
      </c>
      <c r="X21" s="33">
        <f>'Old Balance Sheet'!D21 + 'ACPL Calculations - 1.0'!D21 + 'ACPL Calculations - 2.0'!D21</f>
        <v>0</v>
      </c>
      <c r="Y21" s="30" t="s">
        <v>3820</v>
      </c>
      <c r="Z21" s="31">
        <v>170.0</v>
      </c>
      <c r="AA21" s="32" t="s">
        <v>3818</v>
      </c>
      <c r="AB21" s="31">
        <v>100.0</v>
      </c>
      <c r="AC21" s="33">
        <f>'Old Balance Sheet'!E21 + 'ACPL Calculations - 1.0'!E21 + 'ACPL Calculations - 2.0'!E21</f>
        <v>0</v>
      </c>
      <c r="AD21" s="30" t="s">
        <v>3820</v>
      </c>
      <c r="AE21" s="34">
        <v>838.99</v>
      </c>
      <c r="AF21" s="32" t="s">
        <v>3818</v>
      </c>
      <c r="AG21" s="31">
        <v>100.0</v>
      </c>
      <c r="AH21" s="33">
        <f>'Old Balance Sheet'!F21 + 'ACPL Calculations - 1.0'!F21 + 'ACPL Calculations - 2.0'!F21</f>
        <v>0</v>
      </c>
      <c r="AI21" s="30" t="s">
        <v>3820</v>
      </c>
      <c r="AJ21" s="31">
        <v>375.0</v>
      </c>
      <c r="AK21" s="32" t="s">
        <v>3818</v>
      </c>
      <c r="AL21" s="31">
        <v>100.0</v>
      </c>
      <c r="AM21" s="33">
        <f>'Old Balance Sheet'!G21 + 'ACPL Calculations - 1.0'!G21 + 'ACPL Calculations - 2.0'!G21</f>
        <v>0</v>
      </c>
      <c r="AN21" s="30" t="s">
        <v>3820</v>
      </c>
      <c r="AO21" s="31">
        <v>290.0</v>
      </c>
      <c r="AP21" s="32" t="s">
        <v>3818</v>
      </c>
      <c r="AQ21" s="31">
        <v>100.0</v>
      </c>
      <c r="AR21" s="33">
        <f>'Old Balance Sheet'!H21 + 'ACPL Calculations - 1.0'!H21 + 'ACPL Calculations - 2.0'!H21</f>
        <v>0</v>
      </c>
      <c r="AS21" s="30" t="s">
        <v>3819</v>
      </c>
      <c r="AT21" s="31">
        <v>838.99</v>
      </c>
      <c r="AU21" s="32" t="s">
        <v>3818</v>
      </c>
      <c r="AV21" s="31">
        <v>100.0</v>
      </c>
      <c r="AW21" s="33">
        <f>'Old Balance Sheet'!I21 + 'ACPL Calculations - 1.0'!I21 + 'ACPL Calculations - 2.0'!I21</f>
        <v>0</v>
      </c>
      <c r="AX21" s="30" t="s">
        <v>3820</v>
      </c>
      <c r="AY21" s="31">
        <v>290.0</v>
      </c>
      <c r="AZ21" s="32" t="s">
        <v>3818</v>
      </c>
      <c r="BA21" s="31">
        <v>100.0</v>
      </c>
      <c r="BB21" s="33">
        <f>'Old Balance Sheet'!J21 + 'ACPL Calculations - 1.0'!J21 + 'ACPL Calculations - 2.0'!J21</f>
        <v>0</v>
      </c>
      <c r="BC21" s="30" t="s">
        <v>3820</v>
      </c>
      <c r="BD21" s="31">
        <v>205.0</v>
      </c>
      <c r="BE21" s="32" t="s">
        <v>3818</v>
      </c>
      <c r="BF21" s="31">
        <v>100.0</v>
      </c>
      <c r="BG21" s="33">
        <f>'Old Balance Sheet'!K21 + 'ACPL Calculations - 1.0'!K21 + 'ACPL Calculations - 2.0'!K21</f>
        <v>0</v>
      </c>
      <c r="BH21" s="30" t="s">
        <v>3820</v>
      </c>
      <c r="BI21" s="31">
        <v>205.0</v>
      </c>
      <c r="BJ21" s="32" t="s">
        <v>3818</v>
      </c>
      <c r="BK21" s="31">
        <v>100.0</v>
      </c>
      <c r="BL21" s="33">
        <f>'Old Balance Sheet'!L21 + 'ACPL Calculations - 1.0'!L21 + 'ACPL Calculations - 2.0'!L21</f>
        <v>0</v>
      </c>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f t="shared" si="1"/>
        <v>0</v>
      </c>
      <c r="CM21" s="33">
        <f>'Old Balance Sheet'!R21 + 'ACPL Calculations - 1.0'!S21 + 'ACPL Calculations - 2.0'!S21</f>
        <v>0</v>
      </c>
      <c r="CN21" s="33">
        <f>'Old Balance Sheet'!S21 + 'ACPL Calculations - 1.0'!T21 + 'ACPL Calculations - 2.0'!T21</f>
        <v>0</v>
      </c>
      <c r="CO21" s="33">
        <f t="shared" si="2"/>
        <v>0</v>
      </c>
      <c r="CP21" s="33">
        <f>'Old Balance Sheet'!T21 + 'ACPL Calculations - 1.0'!V21 + 'ACPL Calculations - 2.0'!V21</f>
        <v>0</v>
      </c>
      <c r="CQ21" s="33">
        <f>'Old Balance Sheet'!U21 + 'ACPL Calculations - 1.0'!W21 + 'ACPL Calculations - 2.0'!W21</f>
        <v>0</v>
      </c>
      <c r="CR21" s="33">
        <f>'Old Balance Sheet'!V21 + 'ACPL Calculations - 1.0'!X21 + 'ACPL Calculations - 2.0'!X21</f>
        <v>0</v>
      </c>
      <c r="CS21" s="33">
        <f t="shared" si="3"/>
        <v>0</v>
      </c>
      <c r="CT21" s="35"/>
      <c r="CU21" s="35"/>
      <c r="CV21" s="35"/>
      <c r="CW21" s="36">
        <f>'Old Balance Sheet'!W21 + 'ACPL Calculations - 1.0'!Z21 + 'ACPL Calculations - 2.0'!Z21</f>
        <v>0</v>
      </c>
      <c r="CX21" s="36">
        <f>'Old Balance Sheet'!X21 + 'ACPL Calculations - 1.0'!AA21 + 'ACPL Calculations - 2.0'!AA21</f>
        <v>0</v>
      </c>
      <c r="CY21" s="37">
        <v>0.0</v>
      </c>
      <c r="CZ21" s="38">
        <f>'Old Balance Sheet'!Y21 + 'ACPL Calculations - 1.0'!AB21 + 'ACPL Calculations - 2.0'!AB21</f>
        <v>0</v>
      </c>
      <c r="DA21" s="38">
        <f>'Old Balance Sheet'!Z21 + 'ACPL Calculations - 1.0'!AC21 + 'ACPL Calculations - 2.0'!AC21</f>
        <v>0</v>
      </c>
      <c r="DB21" s="38">
        <f>'Old Balance Sheet'!AA21 + 'ACPL Calculations - 1.0'!AD21 + 'ACPL Calculations - 2.0'!AD21</f>
        <v>0</v>
      </c>
      <c r="DC21" s="38">
        <f>'Old Balance Sheet'!AB21 + 'ACPL Calculations - 1.0'!AE21 + 'ACPL Calculations - 2.0'!AE21</f>
        <v>0</v>
      </c>
      <c r="DD21" s="38">
        <f t="shared" si="4"/>
        <v>0</v>
      </c>
      <c r="DE21" s="33">
        <f t="shared" si="5"/>
        <v>0</v>
      </c>
      <c r="DF21" s="35">
        <v>0.0</v>
      </c>
      <c r="DG21" s="35">
        <v>0.0</v>
      </c>
      <c r="DH21" s="35">
        <v>0.0</v>
      </c>
      <c r="DI21" s="35">
        <v>0.0</v>
      </c>
      <c r="DJ21" s="35">
        <v>0.0</v>
      </c>
      <c r="DK21" s="35">
        <v>0.0</v>
      </c>
      <c r="DL21" s="35">
        <v>0.0</v>
      </c>
      <c r="DM21" s="35">
        <v>0.0</v>
      </c>
      <c r="DN21" s="31">
        <v>0.0</v>
      </c>
      <c r="DO21" s="31">
        <v>0.0</v>
      </c>
      <c r="DP21" s="31">
        <v>0.0</v>
      </c>
      <c r="DQ21" s="31">
        <v>0.0</v>
      </c>
      <c r="DR21" s="31">
        <v>0.0</v>
      </c>
      <c r="DS21" s="31">
        <v>0.0</v>
      </c>
      <c r="DT21" s="31">
        <f>'Old Balance Sheet'!AC21</f>
        <v>0</v>
      </c>
      <c r="DU21" s="31">
        <f>DT21 + SUMIFS('Payments Log'!D:D, 'Payments Log'!B:B, A21, 'Payments Log'!L:L, "Approved", 'Payments Log'!M:M, "Credit") + 'Old Balance Sheet'!AD21 - 'Old Balance Sheet'!AC21</f>
        <v>0</v>
      </c>
      <c r="DV21" s="31">
        <f>SUMIFS('Payments Log'!D:D, 'Payments Log'!B:B, A21, 'Payments Log'!L:L, "Approved", 'Payments Log'!M:M, "Adjustment Credit") - SUMIFS('Payments Log'!D:D, 'Payments Log'!B:B, A21, 'Payments Log'!L:L, "Approved", 'Payments Log'!M:M, "Adjustment Debit") + 'Old Balance Sheet'!AE21</f>
        <v>0</v>
      </c>
      <c r="DW21" s="31">
        <f>IF(MAXIFS('Payments Log'!N:N, 'Payments Log'!L:L, "Approved", 'Payments Log'!M:M, "Credit", 'Payments Log'!B:B, A21) &gt; MAXIFS('Payments Log'!N:N, 'Payments Log'!L:L, "Approved", 'Payments Log'!M:M, "Virtual Credit", 'Payments Log'!B:B, A21), 0, SUMIFS('Payments Log'!D:D, 'Payments Log'!N:N, MAXIFS('Payments Log'!N:N, 'Payments Log'!L:L, "Approved", 'Payments Log'!M:M, "Virtual Credit", 'Payments Log'!B:B, A21)))</f>
        <v>0</v>
      </c>
      <c r="DX21" s="33">
        <f t="shared" si="6"/>
        <v>0</v>
      </c>
      <c r="DY21" s="33">
        <f t="shared" si="7"/>
        <v>0</v>
      </c>
      <c r="DZ21" s="33">
        <f t="shared" si="8"/>
        <v>0</v>
      </c>
      <c r="EA21" s="25" t="str">
        <f>(Sheet1!N21)</f>
        <v>Singla Auto Agencies (Noida)</v>
      </c>
      <c r="EB21" s="25" t="str">
        <f>(Sheet1!O21)</f>
        <v>1aig_7rzTvnQej6pxtLbGhfZNPUH2VLzHk2NHcxmPOhg</v>
      </c>
      <c r="EC21" s="26" t="str">
        <f>(Sheet1!P21)</f>
        <v>Sub Dealer</v>
      </c>
      <c r="ED21" s="34" t="s">
        <v>13</v>
      </c>
    </row>
    <row r="22">
      <c r="A22" s="25" t="str">
        <f>(Sheet1!A22)</f>
        <v>1vUFSLp9ap8UTFwG791bhTrhPizHEeVuDln11hfH1j4w</v>
      </c>
      <c r="B22" s="25" t="str">
        <f>(Sheet1!B22)</f>
        <v>Singla Auto Agencies (Dadri)</v>
      </c>
      <c r="C22" s="30" t="s">
        <v>13</v>
      </c>
      <c r="D22" s="30" t="s">
        <v>72</v>
      </c>
      <c r="E22" s="30" t="s">
        <v>3820</v>
      </c>
      <c r="F22" s="31">
        <v>170.0</v>
      </c>
      <c r="G22" s="32" t="s">
        <v>3818</v>
      </c>
      <c r="H22" s="31">
        <v>100.0</v>
      </c>
      <c r="I22" s="33">
        <f>'Old Balance Sheet'!A22 + 'ACPL Calculations - 1.0'!A22 + 'ACPL Calculations - 2.0'!A22</f>
        <v>0</v>
      </c>
      <c r="J22" s="30" t="s">
        <v>3820</v>
      </c>
      <c r="K22" s="31">
        <v>170.0</v>
      </c>
      <c r="L22" s="32" t="s">
        <v>3818</v>
      </c>
      <c r="M22" s="31">
        <v>100.0</v>
      </c>
      <c r="N22" s="33">
        <f>'Old Balance Sheet'!B22 + 'ACPL Calculations - 1.0'!B22 + 'ACPL Calculations - 2.0'!B22</f>
        <v>0</v>
      </c>
      <c r="O22" s="30" t="s">
        <v>3820</v>
      </c>
      <c r="P22" s="31">
        <v>170.0</v>
      </c>
      <c r="Q22" s="32" t="s">
        <v>3818</v>
      </c>
      <c r="R22" s="31">
        <v>100.0</v>
      </c>
      <c r="S22" s="33">
        <f>'Old Balance Sheet'!C22 + 'ACPL Calculations - 1.0'!C22 + 'ACPL Calculations - 2.0'!C22</f>
        <v>0</v>
      </c>
      <c r="T22" s="30" t="s">
        <v>3820</v>
      </c>
      <c r="U22" s="31">
        <v>170.0</v>
      </c>
      <c r="V22" s="32" t="s">
        <v>3818</v>
      </c>
      <c r="W22" s="31">
        <v>100.0</v>
      </c>
      <c r="X22" s="33">
        <f>'Old Balance Sheet'!D22 + 'ACPL Calculations - 1.0'!D22 + 'ACPL Calculations - 2.0'!D22</f>
        <v>0</v>
      </c>
      <c r="Y22" s="30" t="s">
        <v>3820</v>
      </c>
      <c r="Z22" s="31">
        <v>170.0</v>
      </c>
      <c r="AA22" s="32" t="s">
        <v>3818</v>
      </c>
      <c r="AB22" s="31">
        <v>100.0</v>
      </c>
      <c r="AC22" s="33">
        <f>'Old Balance Sheet'!E22 + 'ACPL Calculations - 1.0'!E22 + 'ACPL Calculations - 2.0'!E22</f>
        <v>0</v>
      </c>
      <c r="AD22" s="30" t="s">
        <v>3820</v>
      </c>
      <c r="AE22" s="34">
        <v>838.99</v>
      </c>
      <c r="AF22" s="32" t="s">
        <v>3818</v>
      </c>
      <c r="AG22" s="31">
        <v>100.0</v>
      </c>
      <c r="AH22" s="33">
        <f>'Old Balance Sheet'!F22 + 'ACPL Calculations - 1.0'!F22 + 'ACPL Calculations - 2.0'!F22</f>
        <v>0</v>
      </c>
      <c r="AI22" s="30" t="s">
        <v>3820</v>
      </c>
      <c r="AJ22" s="31">
        <v>375.0</v>
      </c>
      <c r="AK22" s="32" t="s">
        <v>3818</v>
      </c>
      <c r="AL22" s="31">
        <v>100.0</v>
      </c>
      <c r="AM22" s="33">
        <f>'Old Balance Sheet'!G22 + 'ACPL Calculations - 1.0'!G22 + 'ACPL Calculations - 2.0'!G22</f>
        <v>0</v>
      </c>
      <c r="AN22" s="30" t="s">
        <v>3820</v>
      </c>
      <c r="AO22" s="31">
        <v>290.0</v>
      </c>
      <c r="AP22" s="32" t="s">
        <v>3818</v>
      </c>
      <c r="AQ22" s="31">
        <v>100.0</v>
      </c>
      <c r="AR22" s="33">
        <f>'Old Balance Sheet'!H22 + 'ACPL Calculations - 1.0'!H22 + 'ACPL Calculations - 2.0'!H22</f>
        <v>0</v>
      </c>
      <c r="AS22" s="30" t="s">
        <v>3819</v>
      </c>
      <c r="AT22" s="31">
        <v>838.99</v>
      </c>
      <c r="AU22" s="32" t="s">
        <v>3818</v>
      </c>
      <c r="AV22" s="31">
        <v>100.0</v>
      </c>
      <c r="AW22" s="33">
        <f>'Old Balance Sheet'!I22 + 'ACPL Calculations - 1.0'!I22 + 'ACPL Calculations - 2.0'!I22</f>
        <v>0</v>
      </c>
      <c r="AX22" s="30" t="s">
        <v>3820</v>
      </c>
      <c r="AY22" s="31">
        <v>290.0</v>
      </c>
      <c r="AZ22" s="32" t="s">
        <v>3818</v>
      </c>
      <c r="BA22" s="31">
        <v>100.0</v>
      </c>
      <c r="BB22" s="33">
        <f>'Old Balance Sheet'!J22 + 'ACPL Calculations - 1.0'!J22 + 'ACPL Calculations - 2.0'!J22</f>
        <v>0</v>
      </c>
      <c r="BC22" s="30" t="s">
        <v>3820</v>
      </c>
      <c r="BD22" s="31">
        <v>205.0</v>
      </c>
      <c r="BE22" s="32" t="s">
        <v>3818</v>
      </c>
      <c r="BF22" s="31">
        <v>100.0</v>
      </c>
      <c r="BG22" s="33">
        <f>'Old Balance Sheet'!K22 + 'ACPL Calculations - 1.0'!K22 + 'ACPL Calculations - 2.0'!K22</f>
        <v>0</v>
      </c>
      <c r="BH22" s="30" t="s">
        <v>3820</v>
      </c>
      <c r="BI22" s="31">
        <v>205.0</v>
      </c>
      <c r="BJ22" s="32" t="s">
        <v>3818</v>
      </c>
      <c r="BK22" s="31">
        <v>100.0</v>
      </c>
      <c r="BL22" s="33">
        <f>'Old Balance Sheet'!L22 + 'ACPL Calculations - 1.0'!L22 + 'ACPL Calculations - 2.0'!L22</f>
        <v>0</v>
      </c>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f t="shared" si="1"/>
        <v>0</v>
      </c>
      <c r="CM22" s="33">
        <f>'Old Balance Sheet'!R22 + 'ACPL Calculations - 1.0'!S22 + 'ACPL Calculations - 2.0'!S22</f>
        <v>0</v>
      </c>
      <c r="CN22" s="33">
        <f>'Old Balance Sheet'!S22 + 'ACPL Calculations - 1.0'!T22 + 'ACPL Calculations - 2.0'!T22</f>
        <v>0</v>
      </c>
      <c r="CO22" s="33">
        <f t="shared" si="2"/>
        <v>0</v>
      </c>
      <c r="CP22" s="33">
        <f>'Old Balance Sheet'!T22 + 'ACPL Calculations - 1.0'!V22 + 'ACPL Calculations - 2.0'!V22</f>
        <v>0</v>
      </c>
      <c r="CQ22" s="33">
        <f>'Old Balance Sheet'!U22 + 'ACPL Calculations - 1.0'!W22 + 'ACPL Calculations - 2.0'!W22</f>
        <v>0</v>
      </c>
      <c r="CR22" s="33">
        <f>'Old Balance Sheet'!V22 + 'ACPL Calculations - 1.0'!X22 + 'ACPL Calculations - 2.0'!X22</f>
        <v>0</v>
      </c>
      <c r="CS22" s="33">
        <f t="shared" si="3"/>
        <v>0</v>
      </c>
      <c r="CT22" s="35"/>
      <c r="CU22" s="35"/>
      <c r="CV22" s="35"/>
      <c r="CW22" s="36">
        <f>'Old Balance Sheet'!W22 + 'ACPL Calculations - 1.0'!Z22 + 'ACPL Calculations - 2.0'!Z22</f>
        <v>0</v>
      </c>
      <c r="CX22" s="36">
        <f>'Old Balance Sheet'!X22 + 'ACPL Calculations - 1.0'!AA22 + 'ACPL Calculations - 2.0'!AA22</f>
        <v>0</v>
      </c>
      <c r="CY22" s="37">
        <v>0.0</v>
      </c>
      <c r="CZ22" s="38">
        <f>'Old Balance Sheet'!Y22 + 'ACPL Calculations - 1.0'!AB22 + 'ACPL Calculations - 2.0'!AB22</f>
        <v>0</v>
      </c>
      <c r="DA22" s="38">
        <f>'Old Balance Sheet'!Z22 + 'ACPL Calculations - 1.0'!AC22 + 'ACPL Calculations - 2.0'!AC22</f>
        <v>0</v>
      </c>
      <c r="DB22" s="38">
        <f>'Old Balance Sheet'!AA22 + 'ACPL Calculations - 1.0'!AD22 + 'ACPL Calculations - 2.0'!AD22</f>
        <v>0</v>
      </c>
      <c r="DC22" s="38">
        <f>'Old Balance Sheet'!AB22 + 'ACPL Calculations - 1.0'!AE22 + 'ACPL Calculations - 2.0'!AE22</f>
        <v>0</v>
      </c>
      <c r="DD22" s="38">
        <f t="shared" si="4"/>
        <v>0</v>
      </c>
      <c r="DE22" s="33">
        <f t="shared" si="5"/>
        <v>0</v>
      </c>
      <c r="DF22" s="35">
        <v>0.0</v>
      </c>
      <c r="DG22" s="35">
        <v>0.0</v>
      </c>
      <c r="DH22" s="35">
        <v>0.0</v>
      </c>
      <c r="DI22" s="35">
        <v>0.0</v>
      </c>
      <c r="DJ22" s="35">
        <v>0.0</v>
      </c>
      <c r="DK22" s="35">
        <v>0.0</v>
      </c>
      <c r="DL22" s="35">
        <v>0.0</v>
      </c>
      <c r="DM22" s="35">
        <v>0.0</v>
      </c>
      <c r="DN22" s="31">
        <v>0.0</v>
      </c>
      <c r="DO22" s="31">
        <v>0.0</v>
      </c>
      <c r="DP22" s="31">
        <v>0.0</v>
      </c>
      <c r="DQ22" s="31">
        <v>0.0</v>
      </c>
      <c r="DR22" s="31">
        <v>0.0</v>
      </c>
      <c r="DS22" s="31">
        <v>0.0</v>
      </c>
      <c r="DT22" s="31">
        <f>'Old Balance Sheet'!AC22</f>
        <v>0</v>
      </c>
      <c r="DU22" s="31">
        <f>DT22 + SUMIFS('Payments Log'!D:D, 'Payments Log'!B:B, A22, 'Payments Log'!L:L, "Approved", 'Payments Log'!M:M, "Credit") + 'Old Balance Sheet'!AD22 - 'Old Balance Sheet'!AC22</f>
        <v>0</v>
      </c>
      <c r="DV22" s="31">
        <f>SUMIFS('Payments Log'!D:D, 'Payments Log'!B:B, A22, 'Payments Log'!L:L, "Approved", 'Payments Log'!M:M, "Adjustment Credit") - SUMIFS('Payments Log'!D:D, 'Payments Log'!B:B, A22, 'Payments Log'!L:L, "Approved", 'Payments Log'!M:M, "Adjustment Debit") + 'Old Balance Sheet'!AE22</f>
        <v>0</v>
      </c>
      <c r="DW22" s="31">
        <f>IF(MAXIFS('Payments Log'!N:N, 'Payments Log'!L:L, "Approved", 'Payments Log'!M:M, "Credit", 'Payments Log'!B:B, A22) &gt; MAXIFS('Payments Log'!N:N, 'Payments Log'!L:L, "Approved", 'Payments Log'!M:M, "Virtual Credit", 'Payments Log'!B:B, A22), 0, SUMIFS('Payments Log'!D:D, 'Payments Log'!N:N, MAXIFS('Payments Log'!N:N, 'Payments Log'!L:L, "Approved", 'Payments Log'!M:M, "Virtual Credit", 'Payments Log'!B:B, A22)))</f>
        <v>0</v>
      </c>
      <c r="DX22" s="33">
        <f t="shared" si="6"/>
        <v>0</v>
      </c>
      <c r="DY22" s="33">
        <f t="shared" si="7"/>
        <v>0</v>
      </c>
      <c r="DZ22" s="33">
        <f t="shared" si="8"/>
        <v>0</v>
      </c>
      <c r="EA22" s="25" t="str">
        <f>(Sheet1!N22)</f>
        <v>Singla Auto Agencies (Noida)</v>
      </c>
      <c r="EB22" s="25" t="str">
        <f>(Sheet1!O22)</f>
        <v>1aig_7rzTvnQej6pxtLbGhfZNPUH2VLzHk2NHcxmPOhg</v>
      </c>
      <c r="EC22" s="26" t="str">
        <f>(Sheet1!P22)</f>
        <v>Sub Dealer</v>
      </c>
      <c r="ED22" s="34" t="s">
        <v>13</v>
      </c>
    </row>
    <row r="23">
      <c r="A23" s="25" t="str">
        <f>(Sheet1!A23)</f>
        <v>1RySEyS05cXvVcjfIhWh9Hhv1aLw7DmuiSqcsr3PfWVo</v>
      </c>
      <c r="B23" s="25" t="str">
        <f>(Sheet1!B23)</f>
        <v>Atmaram HERO</v>
      </c>
      <c r="C23" s="30" t="s">
        <v>13</v>
      </c>
      <c r="D23" s="30" t="s">
        <v>72</v>
      </c>
      <c r="E23" s="30" t="s">
        <v>3820</v>
      </c>
      <c r="F23" s="31">
        <v>170.0</v>
      </c>
      <c r="G23" s="32" t="s">
        <v>3818</v>
      </c>
      <c r="H23" s="31">
        <v>100.0</v>
      </c>
      <c r="I23" s="33">
        <f>'Old Balance Sheet'!A23 + 'ACPL Calculations - 1.0'!A23 + 'ACPL Calculations - 2.0'!A23</f>
        <v>2781</v>
      </c>
      <c r="J23" s="30" t="s">
        <v>3820</v>
      </c>
      <c r="K23" s="31">
        <v>170.0</v>
      </c>
      <c r="L23" s="32" t="s">
        <v>3818</v>
      </c>
      <c r="M23" s="31">
        <v>100.0</v>
      </c>
      <c r="N23" s="33">
        <f>'Old Balance Sheet'!B23 + 'ACPL Calculations - 1.0'!B23 + 'ACPL Calculations - 2.0'!B23</f>
        <v>0</v>
      </c>
      <c r="O23" s="30" t="s">
        <v>3820</v>
      </c>
      <c r="P23" s="31">
        <v>170.0</v>
      </c>
      <c r="Q23" s="32" t="s">
        <v>3818</v>
      </c>
      <c r="R23" s="31">
        <v>100.0</v>
      </c>
      <c r="S23" s="33">
        <f>'Old Balance Sheet'!C23 + 'ACPL Calculations - 1.0'!C23 + 'ACPL Calculations - 2.0'!C23</f>
        <v>20</v>
      </c>
      <c r="T23" s="30" t="s">
        <v>3820</v>
      </c>
      <c r="U23" s="31">
        <v>170.0</v>
      </c>
      <c r="V23" s="32" t="s">
        <v>3818</v>
      </c>
      <c r="W23" s="31">
        <v>100.0</v>
      </c>
      <c r="X23" s="33">
        <f>'Old Balance Sheet'!D23 + 'ACPL Calculations - 1.0'!D23 + 'ACPL Calculations - 2.0'!D23</f>
        <v>0</v>
      </c>
      <c r="Y23" s="30" t="s">
        <v>3820</v>
      </c>
      <c r="Z23" s="31">
        <v>170.0</v>
      </c>
      <c r="AA23" s="32" t="s">
        <v>3818</v>
      </c>
      <c r="AB23" s="31">
        <v>100.0</v>
      </c>
      <c r="AC23" s="33">
        <f>'Old Balance Sheet'!E23 + 'ACPL Calculations - 1.0'!E23 + 'ACPL Calculations - 2.0'!E23</f>
        <v>989</v>
      </c>
      <c r="AD23" s="30" t="s">
        <v>3820</v>
      </c>
      <c r="AE23" s="34">
        <v>838.99</v>
      </c>
      <c r="AF23" s="32" t="s">
        <v>3818</v>
      </c>
      <c r="AG23" s="31">
        <v>100.0</v>
      </c>
      <c r="AH23" s="33">
        <f>'Old Balance Sheet'!F23 + 'ACPL Calculations - 1.0'!F23 + 'ACPL Calculations - 2.0'!F23</f>
        <v>0</v>
      </c>
      <c r="AI23" s="30" t="s">
        <v>3820</v>
      </c>
      <c r="AJ23" s="31">
        <v>170.0</v>
      </c>
      <c r="AK23" s="32" t="s">
        <v>3818</v>
      </c>
      <c r="AL23" s="31">
        <v>100.0</v>
      </c>
      <c r="AM23" s="33">
        <f>'Old Balance Sheet'!G23 + 'ACPL Calculations - 1.0'!G23 + 'ACPL Calculations - 2.0'!G23</f>
        <v>0</v>
      </c>
      <c r="AN23" s="30" t="s">
        <v>3820</v>
      </c>
      <c r="AO23" s="31">
        <v>170.0</v>
      </c>
      <c r="AP23" s="32" t="s">
        <v>3818</v>
      </c>
      <c r="AQ23" s="31">
        <v>100.0</v>
      </c>
      <c r="AR23" s="33">
        <f>'Old Balance Sheet'!H23 + 'ACPL Calculations - 1.0'!H23 + 'ACPL Calculations - 2.0'!H23</f>
        <v>0</v>
      </c>
      <c r="AS23" s="30" t="s">
        <v>3819</v>
      </c>
      <c r="AT23" s="31">
        <v>838.99</v>
      </c>
      <c r="AU23" s="32" t="s">
        <v>3818</v>
      </c>
      <c r="AV23" s="31">
        <v>100.0</v>
      </c>
      <c r="AW23" s="33">
        <f>'Old Balance Sheet'!I23 + 'ACPL Calculations - 1.0'!I23 + 'ACPL Calculations - 2.0'!I23</f>
        <v>0</v>
      </c>
      <c r="AX23" s="30" t="s">
        <v>3820</v>
      </c>
      <c r="AY23" s="31">
        <v>170.0</v>
      </c>
      <c r="AZ23" s="32" t="s">
        <v>3818</v>
      </c>
      <c r="BA23" s="31">
        <v>100.0</v>
      </c>
      <c r="BB23" s="33">
        <f>'Old Balance Sheet'!J23 + 'ACPL Calculations - 1.0'!J23 + 'ACPL Calculations - 2.0'!J23</f>
        <v>0</v>
      </c>
      <c r="BC23" s="30" t="s">
        <v>3820</v>
      </c>
      <c r="BD23" s="31">
        <v>170.0</v>
      </c>
      <c r="BE23" s="32" t="s">
        <v>3818</v>
      </c>
      <c r="BF23" s="31">
        <v>100.0</v>
      </c>
      <c r="BG23" s="33">
        <f>'Old Balance Sheet'!K23 + 'ACPL Calculations - 1.0'!K23 + 'ACPL Calculations - 2.0'!K23</f>
        <v>0</v>
      </c>
      <c r="BH23" s="30" t="s">
        <v>3820</v>
      </c>
      <c r="BI23" s="31">
        <v>205.0</v>
      </c>
      <c r="BJ23" s="32" t="s">
        <v>3818</v>
      </c>
      <c r="BK23" s="31">
        <v>100.0</v>
      </c>
      <c r="BL23" s="33">
        <f>'Old Balance Sheet'!L23 + 'ACPL Calculations - 1.0'!L23 + 'ACPL Calculations - 2.0'!L23</f>
        <v>0</v>
      </c>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f t="shared" si="1"/>
        <v>3790</v>
      </c>
      <c r="CM23" s="33">
        <f>'Old Balance Sheet'!R23 + 'ACPL Calculations - 1.0'!S23 + 'ACPL Calculations - 2.0'!S23</f>
        <v>2440152</v>
      </c>
      <c r="CN23" s="33">
        <f>'Old Balance Sheet'!S23 + 'ACPL Calculations - 1.0'!T23 + 'ACPL Calculations - 2.0'!T23</f>
        <v>967940</v>
      </c>
      <c r="CO23" s="33">
        <f t="shared" si="2"/>
        <v>1340164.03</v>
      </c>
      <c r="CP23" s="33">
        <f>'Old Balance Sheet'!T23 + 'ACPL Calculations - 1.0'!V23 + 'ACPL Calculations - 2.0'!V23</f>
        <v>0</v>
      </c>
      <c r="CQ23" s="33">
        <f>'Old Balance Sheet'!U23 + 'ACPL Calculations - 1.0'!W23 + 'ACPL Calculations - 2.0'!W23</f>
        <v>0</v>
      </c>
      <c r="CR23" s="33">
        <f>'Old Balance Sheet'!V23 + 'ACPL Calculations - 1.0'!X23 + 'ACPL Calculations - 2.0'!X23</f>
        <v>372224.03</v>
      </c>
      <c r="CS23" s="33">
        <f t="shared" si="3"/>
        <v>372224.03</v>
      </c>
      <c r="CT23" s="35"/>
      <c r="CU23" s="35"/>
      <c r="CV23" s="35"/>
      <c r="CW23" s="36">
        <f>'Old Balance Sheet'!W23 + 'ACPL Calculations - 1.0'!Z23 + 'ACPL Calculations - 2.0'!Z23</f>
        <v>2439762</v>
      </c>
      <c r="CX23" s="36">
        <f>'Old Balance Sheet'!X23 + 'ACPL Calculations - 1.0'!AA23 + 'ACPL Calculations - 2.0'!AA23</f>
        <v>1390318.1</v>
      </c>
      <c r="CY23" s="37">
        <v>0.0</v>
      </c>
      <c r="CZ23" s="38">
        <f>'Old Balance Sheet'!Y23 + 'ACPL Calculations - 1.0'!AB23 + 'ACPL Calculations - 2.0'!AB23</f>
        <v>1096749.35</v>
      </c>
      <c r="DA23" s="38">
        <f>'Old Balance Sheet'!Z23 + 'ACPL Calculations - 1.0'!AC23 + 'ACPL Calculations - 2.0'!AC23</f>
        <v>0</v>
      </c>
      <c r="DB23" s="38">
        <f>'Old Balance Sheet'!AA23 + 'ACPL Calculations - 1.0'!AD23 + 'ACPL Calculations - 2.0'!AD23</f>
        <v>50386.33</v>
      </c>
      <c r="DC23" s="38">
        <f>'Old Balance Sheet'!AB23 + 'ACPL Calculations - 1.0'!AE23 + 'ACPL Calculations - 2.0'!AE23</f>
        <v>1049443.9</v>
      </c>
      <c r="DD23" s="38">
        <f t="shared" si="4"/>
        <v>1049443.9</v>
      </c>
      <c r="DE23" s="33">
        <f t="shared" si="5"/>
        <v>958523.9</v>
      </c>
      <c r="DF23" s="35">
        <v>0.0</v>
      </c>
      <c r="DG23" s="35">
        <v>0.0</v>
      </c>
      <c r="DH23" s="35">
        <v>0.0</v>
      </c>
      <c r="DI23" s="35">
        <v>0.0</v>
      </c>
      <c r="DJ23" s="35">
        <v>0.0</v>
      </c>
      <c r="DK23" s="35">
        <v>0.0</v>
      </c>
      <c r="DL23" s="35">
        <v>0.0</v>
      </c>
      <c r="DM23" s="35">
        <v>0.0</v>
      </c>
      <c r="DN23" s="31">
        <v>0.0</v>
      </c>
      <c r="DO23" s="31">
        <v>0.0</v>
      </c>
      <c r="DP23" s="31">
        <v>0.0</v>
      </c>
      <c r="DQ23" s="31">
        <v>0.0</v>
      </c>
      <c r="DR23" s="31">
        <v>0.0</v>
      </c>
      <c r="DS23" s="31">
        <v>0.0</v>
      </c>
      <c r="DT23" s="31">
        <f>'Old Balance Sheet'!AC23</f>
        <v>-20210</v>
      </c>
      <c r="DU23" s="31">
        <f>DT23 + SUMIFS('Payments Log'!D:D, 'Payments Log'!B:B, A23, 'Payments Log'!L:L, "Approved", 'Payments Log'!M:M, "Credit") + 'Old Balance Sheet'!AD23 - 'Old Balance Sheet'!AC23</f>
        <v>2348842</v>
      </c>
      <c r="DV23" s="31">
        <f>SUMIFS('Payments Log'!D:D, 'Payments Log'!B:B, A23, 'Payments Log'!L:L, "Approved", 'Payments Log'!M:M, "Adjustment Credit") - SUMIFS('Payments Log'!D:D, 'Payments Log'!B:B, A23, 'Payments Log'!L:L, "Approved", 'Payments Log'!M:M, "Adjustment Debit") + 'Old Balance Sheet'!AE23</f>
        <v>0</v>
      </c>
      <c r="DW23" s="31">
        <f>IF(MAXIFS('Payments Log'!N:N, 'Payments Log'!L:L, "Approved", 'Payments Log'!M:M, "Credit", 'Payments Log'!B:B, A23) &gt; MAXIFS('Payments Log'!N:N, 'Payments Log'!L:L, "Approved", 'Payments Log'!M:M, "Virtual Credit", 'Payments Log'!B:B, A23), 0, SUMIFS('Payments Log'!D:D, 'Payments Log'!N:N, MAXIFS('Payments Log'!N:N, 'Payments Log'!L:L, "Approved", 'Payments Log'!M:M, "Virtual Credit", 'Payments Log'!B:B, A23)))</f>
        <v>0</v>
      </c>
      <c r="DX23" s="33">
        <f t="shared" si="6"/>
        <v>-90920</v>
      </c>
      <c r="DY23" s="33">
        <f t="shared" si="7"/>
        <v>958523.9</v>
      </c>
      <c r="DZ23" s="33">
        <f t="shared" si="8"/>
        <v>958523.9</v>
      </c>
      <c r="EA23" s="25" t="str">
        <f>(Sheet1!N23)</f>
        <v>Atmaram HERO</v>
      </c>
      <c r="EB23" s="25" t="str">
        <f>(Sheet1!O23)</f>
        <v>1RySEyS05cXvVcjfIhWh9Hhv1aLw7DmuiSqcsr3PfWVo</v>
      </c>
      <c r="EC23" s="26" t="str">
        <f>(Sheet1!P23)</f>
        <v>Dealer</v>
      </c>
      <c r="ED23" s="34" t="s">
        <v>13</v>
      </c>
    </row>
    <row r="24">
      <c r="A24" s="25" t="str">
        <f>(Sheet1!A24)</f>
        <v>1mkGLSaVL5-IAXKq9KqXFgJH64Li9oMA9V0u_seCn1jg</v>
      </c>
      <c r="B24" s="25" t="str">
        <f>(Sheet1!B24)</f>
        <v>Maharaja Autoworld</v>
      </c>
      <c r="C24" s="30" t="s">
        <v>13</v>
      </c>
      <c r="D24" s="30" t="s">
        <v>72</v>
      </c>
      <c r="E24" s="30" t="s">
        <v>3820</v>
      </c>
      <c r="F24" s="31">
        <v>170.0</v>
      </c>
      <c r="G24" s="32" t="s">
        <v>3818</v>
      </c>
      <c r="H24" s="31">
        <v>100.0</v>
      </c>
      <c r="I24" s="33">
        <f>'Old Balance Sheet'!A24 + 'ACPL Calculations - 1.0'!A24 + 'ACPL Calculations - 2.0'!A24</f>
        <v>991</v>
      </c>
      <c r="J24" s="30" t="s">
        <v>3820</v>
      </c>
      <c r="K24" s="31">
        <v>170.0</v>
      </c>
      <c r="L24" s="32" t="s">
        <v>3818</v>
      </c>
      <c r="M24" s="31">
        <v>100.0</v>
      </c>
      <c r="N24" s="33">
        <f>'Old Balance Sheet'!B24 + 'ACPL Calculations - 1.0'!B24 + 'ACPL Calculations - 2.0'!B24</f>
        <v>0</v>
      </c>
      <c r="O24" s="30" t="s">
        <v>3820</v>
      </c>
      <c r="P24" s="31">
        <v>170.0</v>
      </c>
      <c r="Q24" s="32" t="s">
        <v>3818</v>
      </c>
      <c r="R24" s="31">
        <v>100.0</v>
      </c>
      <c r="S24" s="33">
        <f>'Old Balance Sheet'!C24 + 'ACPL Calculations - 1.0'!C24 + 'ACPL Calculations - 2.0'!C24</f>
        <v>0</v>
      </c>
      <c r="T24" s="30" t="s">
        <v>3820</v>
      </c>
      <c r="U24" s="31">
        <v>170.0</v>
      </c>
      <c r="V24" s="32" t="s">
        <v>3818</v>
      </c>
      <c r="W24" s="31">
        <v>100.0</v>
      </c>
      <c r="X24" s="33">
        <f>'Old Balance Sheet'!D24 + 'ACPL Calculations - 1.0'!D24 + 'ACPL Calculations - 2.0'!D24</f>
        <v>0</v>
      </c>
      <c r="Y24" s="30" t="s">
        <v>3820</v>
      </c>
      <c r="Z24" s="31">
        <v>170.0</v>
      </c>
      <c r="AA24" s="32" t="s">
        <v>3818</v>
      </c>
      <c r="AB24" s="31">
        <v>100.0</v>
      </c>
      <c r="AC24" s="33">
        <f>'Old Balance Sheet'!E24 + 'ACPL Calculations - 1.0'!E24 + 'ACPL Calculations - 2.0'!E24</f>
        <v>3116</v>
      </c>
      <c r="AD24" s="30" t="s">
        <v>3820</v>
      </c>
      <c r="AE24" s="34">
        <v>838.99</v>
      </c>
      <c r="AF24" s="32" t="s">
        <v>3818</v>
      </c>
      <c r="AG24" s="31">
        <v>100.0</v>
      </c>
      <c r="AH24" s="33">
        <f>'Old Balance Sheet'!F24 + 'ACPL Calculations - 1.0'!F24 + 'ACPL Calculations - 2.0'!F24</f>
        <v>0</v>
      </c>
      <c r="AI24" s="30" t="s">
        <v>3820</v>
      </c>
      <c r="AJ24" s="31">
        <v>170.0</v>
      </c>
      <c r="AK24" s="32" t="s">
        <v>3818</v>
      </c>
      <c r="AL24" s="31">
        <v>100.0</v>
      </c>
      <c r="AM24" s="33">
        <f>'Old Balance Sheet'!G24 + 'ACPL Calculations - 1.0'!G24 + 'ACPL Calculations - 2.0'!G24</f>
        <v>0</v>
      </c>
      <c r="AN24" s="30" t="s">
        <v>3820</v>
      </c>
      <c r="AO24" s="31">
        <v>170.0</v>
      </c>
      <c r="AP24" s="32" t="s">
        <v>3818</v>
      </c>
      <c r="AQ24" s="31">
        <v>100.0</v>
      </c>
      <c r="AR24" s="33">
        <f>'Old Balance Sheet'!H24 + 'ACPL Calculations - 1.0'!H24 + 'ACPL Calculations - 2.0'!H24</f>
        <v>0</v>
      </c>
      <c r="AS24" s="30" t="s">
        <v>3819</v>
      </c>
      <c r="AT24" s="31">
        <v>838.99</v>
      </c>
      <c r="AU24" s="32" t="s">
        <v>3818</v>
      </c>
      <c r="AV24" s="31">
        <v>100.0</v>
      </c>
      <c r="AW24" s="33">
        <f>'Old Balance Sheet'!I24 + 'ACPL Calculations - 1.0'!I24 + 'ACPL Calculations - 2.0'!I24</f>
        <v>0</v>
      </c>
      <c r="AX24" s="30" t="s">
        <v>3820</v>
      </c>
      <c r="AY24" s="31">
        <v>170.0</v>
      </c>
      <c r="AZ24" s="32" t="s">
        <v>3818</v>
      </c>
      <c r="BA24" s="31">
        <v>100.0</v>
      </c>
      <c r="BB24" s="33">
        <f>'Old Balance Sheet'!J24 + 'ACPL Calculations - 1.0'!J24 + 'ACPL Calculations - 2.0'!J24</f>
        <v>0</v>
      </c>
      <c r="BC24" s="30" t="s">
        <v>3820</v>
      </c>
      <c r="BD24" s="31">
        <v>170.0</v>
      </c>
      <c r="BE24" s="32" t="s">
        <v>3818</v>
      </c>
      <c r="BF24" s="31">
        <v>100.0</v>
      </c>
      <c r="BG24" s="33">
        <f>'Old Balance Sheet'!K24 + 'ACPL Calculations - 1.0'!K24 + 'ACPL Calculations - 2.0'!K24</f>
        <v>0</v>
      </c>
      <c r="BH24" s="30" t="s">
        <v>3820</v>
      </c>
      <c r="BI24" s="31">
        <v>170.0</v>
      </c>
      <c r="BJ24" s="32" t="s">
        <v>3818</v>
      </c>
      <c r="BK24" s="31">
        <v>100.0</v>
      </c>
      <c r="BL24" s="33">
        <f>'Old Balance Sheet'!L24 + 'ACPL Calculations - 1.0'!L24 + 'ACPL Calculations - 2.0'!L24</f>
        <v>0</v>
      </c>
      <c r="BM24" s="33"/>
      <c r="BN24" s="33"/>
      <c r="BO24" s="33"/>
      <c r="BP24" s="33"/>
      <c r="BQ24" s="33"/>
      <c r="BR24" s="33"/>
      <c r="BS24" s="33"/>
      <c r="BT24" s="33"/>
      <c r="BU24" s="33"/>
      <c r="BV24" s="33"/>
      <c r="BW24" s="33"/>
      <c r="BX24" s="33"/>
      <c r="BY24" s="33"/>
      <c r="BZ24" s="33"/>
      <c r="CA24" s="33"/>
      <c r="CB24" s="33"/>
      <c r="CC24" s="33"/>
      <c r="CD24" s="33"/>
      <c r="CE24" s="33"/>
      <c r="CF24" s="33"/>
      <c r="CG24" s="33"/>
      <c r="CH24" s="33"/>
      <c r="CI24" s="33"/>
      <c r="CJ24" s="33"/>
      <c r="CK24" s="33"/>
      <c r="CL24" s="33">
        <f t="shared" si="1"/>
        <v>4107</v>
      </c>
      <c r="CM24" s="33">
        <f>'Old Balance Sheet'!R24 + 'ACPL Calculations - 1.0'!S24 + 'ACPL Calculations - 2.0'!S24</f>
        <v>6230453</v>
      </c>
      <c r="CN24" s="33">
        <f>'Old Balance Sheet'!S24 + 'ACPL Calculations - 1.0'!T24 + 'ACPL Calculations - 2.0'!T24</f>
        <v>1051195</v>
      </c>
      <c r="CO24" s="33">
        <f t="shared" si="2"/>
        <v>2001598.31</v>
      </c>
      <c r="CP24" s="33">
        <f>'Old Balance Sheet'!T24 + 'ACPL Calculations - 1.0'!V24 + 'ACPL Calculations - 2.0'!V24</f>
        <v>33.71</v>
      </c>
      <c r="CQ24" s="33">
        <f>'Old Balance Sheet'!U24 + 'ACPL Calculations - 1.0'!W24 + 'ACPL Calculations - 2.0'!W24</f>
        <v>33.71</v>
      </c>
      <c r="CR24" s="33">
        <f>'Old Balance Sheet'!V24 + 'ACPL Calculations - 1.0'!X24 + 'ACPL Calculations - 2.0'!X24</f>
        <v>950335.89</v>
      </c>
      <c r="CS24" s="33">
        <f t="shared" si="3"/>
        <v>950403.31</v>
      </c>
      <c r="CT24" s="35"/>
      <c r="CU24" s="35"/>
      <c r="CV24" s="35"/>
      <c r="CW24" s="36">
        <f>'Old Balance Sheet'!W24 + 'ACPL Calculations - 1.0'!Z24 + 'ACPL Calculations - 2.0'!Z24</f>
        <v>8521203</v>
      </c>
      <c r="CX24" s="36">
        <f>'Old Balance Sheet'!X24 + 'ACPL Calculations - 1.0'!AA24 + 'ACPL Calculations - 2.0'!AA24</f>
        <v>2846499.15</v>
      </c>
      <c r="CY24" s="37">
        <v>0.0</v>
      </c>
      <c r="CZ24" s="38">
        <f>'Old Balance Sheet'!Y24 + 'ACPL Calculations - 1.0'!AB24 + 'ACPL Calculations - 2.0'!AB24</f>
        <v>5919970.53</v>
      </c>
      <c r="DA24" s="38">
        <f>'Old Balance Sheet'!Z24 + 'ACPL Calculations - 1.0'!AC24 + 'ACPL Calculations - 2.0'!AC24</f>
        <v>0</v>
      </c>
      <c r="DB24" s="38">
        <f>'Old Balance Sheet'!AA24 + 'ACPL Calculations - 1.0'!AD24 + 'ACPL Calculations - 2.0'!AD24</f>
        <v>265975.46</v>
      </c>
      <c r="DC24" s="38">
        <f>'Old Balance Sheet'!AB24 + 'ACPL Calculations - 1.0'!AE24 + 'ACPL Calculations - 2.0'!AE24</f>
        <v>5674703.85</v>
      </c>
      <c r="DD24" s="38">
        <f t="shared" si="4"/>
        <v>5674703.85</v>
      </c>
      <c r="DE24" s="33">
        <f t="shared" si="5"/>
        <v>5674703.85</v>
      </c>
      <c r="DF24" s="35">
        <v>0.0</v>
      </c>
      <c r="DG24" s="35">
        <v>0.0</v>
      </c>
      <c r="DH24" s="35">
        <v>0.0</v>
      </c>
      <c r="DI24" s="35">
        <v>0.0</v>
      </c>
      <c r="DJ24" s="35">
        <v>0.0</v>
      </c>
      <c r="DK24" s="35">
        <v>0.0</v>
      </c>
      <c r="DL24" s="35">
        <v>0.0</v>
      </c>
      <c r="DM24" s="35">
        <v>0.0</v>
      </c>
      <c r="DN24" s="31">
        <v>0.0</v>
      </c>
      <c r="DO24" s="31">
        <v>0.0</v>
      </c>
      <c r="DP24" s="31">
        <v>0.0</v>
      </c>
      <c r="DQ24" s="31">
        <v>0.0</v>
      </c>
      <c r="DR24" s="31">
        <v>0.0</v>
      </c>
      <c r="DS24" s="31">
        <v>0.0</v>
      </c>
      <c r="DT24" s="31">
        <f>'Old Balance Sheet'!AC24</f>
        <v>-96151</v>
      </c>
      <c r="DU24" s="31">
        <f>DT24 + SUMIFS('Payments Log'!D:D, 'Payments Log'!B:B, A24, 'Payments Log'!L:L, "Approved", 'Payments Log'!M:M, "Credit") + 'Old Balance Sheet'!AD24 - 'Old Balance Sheet'!AC24</f>
        <v>8237312</v>
      </c>
      <c r="DV24" s="31">
        <f>SUMIFS('Payments Log'!D:D, 'Payments Log'!B:B, A24, 'Payments Log'!L:L, "Approved", 'Payments Log'!M:M, "Adjustment Credit") - SUMIFS('Payments Log'!D:D, 'Payments Log'!B:B, A24, 'Payments Log'!L:L, "Approved", 'Payments Log'!M:M, "Adjustment Debit") + 'Old Balance Sheet'!AE24</f>
        <v>524435</v>
      </c>
      <c r="DW24" s="31">
        <f>IF(MAXIFS('Payments Log'!N:N, 'Payments Log'!L:L, "Approved", 'Payments Log'!M:M, "Credit", 'Payments Log'!B:B, A24) &gt; MAXIFS('Payments Log'!N:N, 'Payments Log'!L:L, "Approved", 'Payments Log'!M:M, "Virtual Credit", 'Payments Log'!B:B, A24), 0, SUMIFS('Payments Log'!D:D, 'Payments Log'!N:N, MAXIFS('Payments Log'!N:N, 'Payments Log'!L:L, "Approved", 'Payments Log'!M:M, "Virtual Credit", 'Payments Log'!B:B, A24)))</f>
        <v>0</v>
      </c>
      <c r="DX24" s="33">
        <f t="shared" si="6"/>
        <v>240544</v>
      </c>
      <c r="DY24" s="33">
        <f t="shared" si="7"/>
        <v>5915247.85</v>
      </c>
      <c r="DZ24" s="33">
        <f t="shared" si="8"/>
        <v>5915247.85</v>
      </c>
      <c r="EA24" s="25" t="str">
        <f>(Sheet1!N24)</f>
        <v>Maharaja Autoworld</v>
      </c>
      <c r="EB24" s="25" t="str">
        <f>(Sheet1!O24)</f>
        <v>1mkGLSaVL5-IAXKq9KqXFgJH64Li9oMA9V0u_seCn1jg</v>
      </c>
      <c r="EC24" s="26" t="str">
        <f>(Sheet1!P24)</f>
        <v>Dealer</v>
      </c>
      <c r="ED24" s="34" t="s">
        <v>13</v>
      </c>
    </row>
    <row r="25">
      <c r="A25" s="25" t="str">
        <f>(Sheet1!A25)</f>
        <v>1zcLyE9iYZSiWbBeptOlHKDUHdbuB0nnxanzAjCJdWSI</v>
      </c>
      <c r="B25" s="25" t="str">
        <f>(Sheet1!B25)</f>
        <v>G.S.TVS</v>
      </c>
      <c r="C25" s="30" t="s">
        <v>13</v>
      </c>
      <c r="D25" s="30" t="s">
        <v>72</v>
      </c>
      <c r="E25" s="30" t="s">
        <v>3817</v>
      </c>
      <c r="F25" s="31">
        <v>205.0</v>
      </c>
      <c r="G25" s="32" t="s">
        <v>3818</v>
      </c>
      <c r="H25" s="31">
        <v>100.0</v>
      </c>
      <c r="I25" s="33">
        <f>'Old Balance Sheet'!A25 + 'ACPL Calculations - 1.0'!A25 + 'ACPL Calculations - 2.0'!A25</f>
        <v>0</v>
      </c>
      <c r="J25" s="30" t="s">
        <v>3817</v>
      </c>
      <c r="K25" s="31">
        <v>205.0</v>
      </c>
      <c r="L25" s="32" t="s">
        <v>3818</v>
      </c>
      <c r="M25" s="31">
        <v>100.0</v>
      </c>
      <c r="N25" s="33">
        <f>'Old Balance Sheet'!B25 + 'ACPL Calculations - 1.0'!B25 + 'ACPL Calculations - 2.0'!B25</f>
        <v>0</v>
      </c>
      <c r="O25" s="30" t="s">
        <v>3817</v>
      </c>
      <c r="P25" s="31">
        <v>290.0</v>
      </c>
      <c r="Q25" s="32" t="s">
        <v>3818</v>
      </c>
      <c r="R25" s="31">
        <v>100.0</v>
      </c>
      <c r="S25" s="33">
        <f>'Old Balance Sheet'!C25 + 'ACPL Calculations - 1.0'!C25 + 'ACPL Calculations - 2.0'!C25</f>
        <v>0</v>
      </c>
      <c r="T25" s="30" t="s">
        <v>3817</v>
      </c>
      <c r="U25" s="31">
        <v>375.0</v>
      </c>
      <c r="V25" s="32" t="s">
        <v>3818</v>
      </c>
      <c r="W25" s="31">
        <v>100.0</v>
      </c>
      <c r="X25" s="33">
        <f>'Old Balance Sheet'!D25 + 'ACPL Calculations - 1.0'!D25 + 'ACPL Calculations - 2.0'!D25</f>
        <v>0</v>
      </c>
      <c r="Y25" s="30" t="s">
        <v>3817</v>
      </c>
      <c r="Z25" s="31">
        <v>460.0</v>
      </c>
      <c r="AA25" s="32" t="s">
        <v>3818</v>
      </c>
      <c r="AB25" s="31">
        <v>100.0</v>
      </c>
      <c r="AC25" s="33">
        <f>'Old Balance Sheet'!E25 + 'ACPL Calculations - 1.0'!E25 + 'ACPL Calculations - 2.0'!E25</f>
        <v>0</v>
      </c>
      <c r="AD25" s="30" t="s">
        <v>3817</v>
      </c>
      <c r="AE25" s="34">
        <v>838.99</v>
      </c>
      <c r="AF25" s="32" t="s">
        <v>3818</v>
      </c>
      <c r="AG25" s="31">
        <v>100.0</v>
      </c>
      <c r="AH25" s="33">
        <f>'Old Balance Sheet'!F25 + 'ACPL Calculations - 1.0'!F25 + 'ACPL Calculations - 2.0'!F25</f>
        <v>0</v>
      </c>
      <c r="AI25" s="30" t="s">
        <v>3817</v>
      </c>
      <c r="AJ25" s="31">
        <v>375.0</v>
      </c>
      <c r="AK25" s="32" t="s">
        <v>3818</v>
      </c>
      <c r="AL25" s="31">
        <v>100.0</v>
      </c>
      <c r="AM25" s="33">
        <f>'Old Balance Sheet'!G25 + 'ACPL Calculations - 1.0'!G25 + 'ACPL Calculations - 2.0'!G25</f>
        <v>0</v>
      </c>
      <c r="AN25" s="30" t="s">
        <v>3817</v>
      </c>
      <c r="AO25" s="31">
        <v>290.0</v>
      </c>
      <c r="AP25" s="32" t="s">
        <v>3818</v>
      </c>
      <c r="AQ25" s="31">
        <v>100.0</v>
      </c>
      <c r="AR25" s="33">
        <f>'Old Balance Sheet'!H25 + 'ACPL Calculations - 1.0'!H25 + 'ACPL Calculations - 2.0'!H25</f>
        <v>0</v>
      </c>
      <c r="AS25" s="30" t="s">
        <v>3819</v>
      </c>
      <c r="AT25" s="31">
        <v>838.99</v>
      </c>
      <c r="AU25" s="32" t="s">
        <v>3818</v>
      </c>
      <c r="AV25" s="31">
        <v>100.0</v>
      </c>
      <c r="AW25" s="33">
        <f>'Old Balance Sheet'!I25 + 'ACPL Calculations - 1.0'!I25 + 'ACPL Calculations - 2.0'!I25</f>
        <v>0</v>
      </c>
      <c r="AX25" s="30" t="s">
        <v>3817</v>
      </c>
      <c r="AY25" s="31">
        <v>290.0</v>
      </c>
      <c r="AZ25" s="32" t="s">
        <v>3818</v>
      </c>
      <c r="BA25" s="31">
        <v>100.0</v>
      </c>
      <c r="BB25" s="33">
        <f>'Old Balance Sheet'!J25 + 'ACPL Calculations - 1.0'!J25 + 'ACPL Calculations - 2.0'!J25</f>
        <v>0</v>
      </c>
      <c r="BC25" s="30" t="s">
        <v>3817</v>
      </c>
      <c r="BD25" s="31">
        <v>205.0</v>
      </c>
      <c r="BE25" s="32" t="s">
        <v>3818</v>
      </c>
      <c r="BF25" s="31">
        <v>100.0</v>
      </c>
      <c r="BG25" s="33">
        <f>'Old Balance Sheet'!K25 + 'ACPL Calculations - 1.0'!K25 + 'ACPL Calculations - 2.0'!K25</f>
        <v>0</v>
      </c>
      <c r="BH25" s="30" t="s">
        <v>3817</v>
      </c>
      <c r="BI25" s="31">
        <v>205.0</v>
      </c>
      <c r="BJ25" s="32" t="s">
        <v>3818</v>
      </c>
      <c r="BK25" s="31">
        <v>100.0</v>
      </c>
      <c r="BL25" s="33">
        <f>'Old Balance Sheet'!L25 + 'ACPL Calculations - 1.0'!L25 + 'ACPL Calculations - 2.0'!L25</f>
        <v>0</v>
      </c>
      <c r="BM25" s="33"/>
      <c r="BN25" s="33"/>
      <c r="BO25" s="33"/>
      <c r="BP25" s="33"/>
      <c r="BQ25" s="33"/>
      <c r="BR25" s="33"/>
      <c r="BS25" s="33"/>
      <c r="BT25" s="33"/>
      <c r="BU25" s="33"/>
      <c r="BV25" s="33"/>
      <c r="BW25" s="33"/>
      <c r="BX25" s="33"/>
      <c r="BY25" s="33"/>
      <c r="BZ25" s="33"/>
      <c r="CA25" s="33"/>
      <c r="CB25" s="33"/>
      <c r="CC25" s="33"/>
      <c r="CD25" s="33"/>
      <c r="CE25" s="33"/>
      <c r="CF25" s="33"/>
      <c r="CG25" s="33"/>
      <c r="CH25" s="33"/>
      <c r="CI25" s="33"/>
      <c r="CJ25" s="33"/>
      <c r="CK25" s="33"/>
      <c r="CL25" s="33">
        <f t="shared" si="1"/>
        <v>0</v>
      </c>
      <c r="CM25" s="33">
        <f>'Old Balance Sheet'!R25 + 'ACPL Calculations - 1.0'!S25 + 'ACPL Calculations - 2.0'!S25</f>
        <v>0</v>
      </c>
      <c r="CN25" s="33">
        <f>'Old Balance Sheet'!S25 + 'ACPL Calculations - 1.0'!T25 + 'ACPL Calculations - 2.0'!T25</f>
        <v>0</v>
      </c>
      <c r="CO25" s="33">
        <f t="shared" si="2"/>
        <v>0</v>
      </c>
      <c r="CP25" s="33">
        <f>'Old Balance Sheet'!T25 + 'ACPL Calculations - 1.0'!V25 + 'ACPL Calculations - 2.0'!V25</f>
        <v>0</v>
      </c>
      <c r="CQ25" s="33">
        <f>'Old Balance Sheet'!U25 + 'ACPL Calculations - 1.0'!W25 + 'ACPL Calculations - 2.0'!W25</f>
        <v>0</v>
      </c>
      <c r="CR25" s="33">
        <f>'Old Balance Sheet'!V25 + 'ACPL Calculations - 1.0'!X25 + 'ACPL Calculations - 2.0'!X25</f>
        <v>0</v>
      </c>
      <c r="CS25" s="33">
        <f t="shared" si="3"/>
        <v>0</v>
      </c>
      <c r="CT25" s="35"/>
      <c r="CU25" s="35"/>
      <c r="CV25" s="35"/>
      <c r="CW25" s="36">
        <f>'Old Balance Sheet'!W25 + 'ACPL Calculations - 1.0'!Z25 + 'ACPL Calculations - 2.0'!Z25</f>
        <v>0</v>
      </c>
      <c r="CX25" s="36">
        <f>'Old Balance Sheet'!X25 + 'ACPL Calculations - 1.0'!AA25 + 'ACPL Calculations - 2.0'!AA25</f>
        <v>0</v>
      </c>
      <c r="CY25" s="37">
        <v>0.0</v>
      </c>
      <c r="CZ25" s="38">
        <f>'Old Balance Sheet'!Y25 + 'ACPL Calculations - 1.0'!AB25 + 'ACPL Calculations - 2.0'!AB25</f>
        <v>0</v>
      </c>
      <c r="DA25" s="38">
        <f>'Old Balance Sheet'!Z25 + 'ACPL Calculations - 1.0'!AC25 + 'ACPL Calculations - 2.0'!AC25</f>
        <v>0</v>
      </c>
      <c r="DB25" s="38">
        <f>'Old Balance Sheet'!AA25 + 'ACPL Calculations - 1.0'!AD25 + 'ACPL Calculations - 2.0'!AD25</f>
        <v>0</v>
      </c>
      <c r="DC25" s="38">
        <f>'Old Balance Sheet'!AB25 + 'ACPL Calculations - 1.0'!AE25 + 'ACPL Calculations - 2.0'!AE25</f>
        <v>0</v>
      </c>
      <c r="DD25" s="38">
        <f t="shared" si="4"/>
        <v>0</v>
      </c>
      <c r="DE25" s="33">
        <f t="shared" si="5"/>
        <v>0</v>
      </c>
      <c r="DF25" s="35">
        <v>0.0</v>
      </c>
      <c r="DG25" s="35">
        <v>0.0</v>
      </c>
      <c r="DH25" s="35">
        <v>0.0</v>
      </c>
      <c r="DI25" s="35">
        <v>0.0</v>
      </c>
      <c r="DJ25" s="35">
        <v>0.0</v>
      </c>
      <c r="DK25" s="35">
        <v>0.0</v>
      </c>
      <c r="DL25" s="35">
        <v>0.0</v>
      </c>
      <c r="DM25" s="35">
        <v>0.0</v>
      </c>
      <c r="DN25" s="31">
        <v>0.0</v>
      </c>
      <c r="DO25" s="31">
        <v>0.0</v>
      </c>
      <c r="DP25" s="31">
        <v>0.0</v>
      </c>
      <c r="DQ25" s="31">
        <v>0.0</v>
      </c>
      <c r="DR25" s="31">
        <v>0.0</v>
      </c>
      <c r="DS25" s="31">
        <v>0.0</v>
      </c>
      <c r="DT25" s="31">
        <f>'Old Balance Sheet'!AC25</f>
        <v>0</v>
      </c>
      <c r="DU25" s="31">
        <f>DT25 + SUMIFS('Payments Log'!D:D, 'Payments Log'!B:B, A25, 'Payments Log'!L:L, "Approved", 'Payments Log'!M:M, "Credit") + 'Old Balance Sheet'!AD25 - 'Old Balance Sheet'!AC25</f>
        <v>0</v>
      </c>
      <c r="DV25" s="31">
        <f>SUMIFS('Payments Log'!D:D, 'Payments Log'!B:B, A25, 'Payments Log'!L:L, "Approved", 'Payments Log'!M:M, "Adjustment Credit") - SUMIFS('Payments Log'!D:D, 'Payments Log'!B:B, A25, 'Payments Log'!L:L, "Approved", 'Payments Log'!M:M, "Adjustment Debit") + 'Old Balance Sheet'!AE25</f>
        <v>0</v>
      </c>
      <c r="DW25" s="31">
        <f>IF(MAXIFS('Payments Log'!N:N, 'Payments Log'!L:L, "Approved", 'Payments Log'!M:M, "Credit", 'Payments Log'!B:B, A25) &gt; MAXIFS('Payments Log'!N:N, 'Payments Log'!L:L, "Approved", 'Payments Log'!M:M, "Virtual Credit", 'Payments Log'!B:B, A25), 0, SUMIFS('Payments Log'!D:D, 'Payments Log'!N:N, MAXIFS('Payments Log'!N:N, 'Payments Log'!L:L, "Approved", 'Payments Log'!M:M, "Virtual Credit", 'Payments Log'!B:B, A25)))</f>
        <v>0</v>
      </c>
      <c r="DX25" s="33">
        <f t="shared" si="6"/>
        <v>0</v>
      </c>
      <c r="DY25" s="33">
        <f t="shared" si="7"/>
        <v>0</v>
      </c>
      <c r="DZ25" s="33">
        <f t="shared" si="8"/>
        <v>0</v>
      </c>
      <c r="EA25" s="25" t="str">
        <f>(Sheet1!N25)</f>
        <v>G.S.TVS</v>
      </c>
      <c r="EB25" s="25" t="str">
        <f>(Sheet1!O25)</f>
        <v>1zcLyE9iYZSiWbBeptOlHKDUHdbuB0nnxanzAjCJdWSI</v>
      </c>
      <c r="EC25" s="26" t="str">
        <f>(Sheet1!P25)</f>
        <v>Dealer</v>
      </c>
      <c r="ED25" s="34" t="s">
        <v>13</v>
      </c>
    </row>
    <row r="26">
      <c r="A26" s="25" t="str">
        <f>(Sheet1!A26)</f>
        <v>1LnxzSZR-Hn1GFJEM91CqSDi8yQ1-11OqyVT04QUkFAM</v>
      </c>
      <c r="B26" s="25" t="str">
        <f>(Sheet1!B26)</f>
        <v>Shri Durga Motors</v>
      </c>
      <c r="C26" s="30" t="s">
        <v>13</v>
      </c>
      <c r="D26" s="30" t="s">
        <v>72</v>
      </c>
      <c r="E26" s="30" t="s">
        <v>3817</v>
      </c>
      <c r="F26" s="31">
        <v>205.0</v>
      </c>
      <c r="G26" s="32" t="s">
        <v>3818</v>
      </c>
      <c r="H26" s="31">
        <v>100.0</v>
      </c>
      <c r="I26" s="33">
        <f>'Old Balance Sheet'!A26 + 'ACPL Calculations - 1.0'!A26 + 'ACPL Calculations - 2.0'!A26</f>
        <v>0</v>
      </c>
      <c r="J26" s="30" t="s">
        <v>3817</v>
      </c>
      <c r="K26" s="31">
        <v>205.0</v>
      </c>
      <c r="L26" s="32" t="s">
        <v>3818</v>
      </c>
      <c r="M26" s="31">
        <v>100.0</v>
      </c>
      <c r="N26" s="33">
        <f>'Old Balance Sheet'!B26 + 'ACPL Calculations - 1.0'!B26 + 'ACPL Calculations - 2.0'!B26</f>
        <v>0</v>
      </c>
      <c r="O26" s="30" t="s">
        <v>3817</v>
      </c>
      <c r="P26" s="31">
        <v>290.0</v>
      </c>
      <c r="Q26" s="32" t="s">
        <v>3818</v>
      </c>
      <c r="R26" s="31">
        <v>100.0</v>
      </c>
      <c r="S26" s="33">
        <f>'Old Balance Sheet'!C26 + 'ACPL Calculations - 1.0'!C26 + 'ACPL Calculations - 2.0'!C26</f>
        <v>0</v>
      </c>
      <c r="T26" s="30" t="s">
        <v>3817</v>
      </c>
      <c r="U26" s="31">
        <v>375.0</v>
      </c>
      <c r="V26" s="32" t="s">
        <v>3818</v>
      </c>
      <c r="W26" s="31">
        <v>100.0</v>
      </c>
      <c r="X26" s="33">
        <f>'Old Balance Sheet'!D26 + 'ACPL Calculations - 1.0'!D26 + 'ACPL Calculations - 2.0'!D26</f>
        <v>0</v>
      </c>
      <c r="Y26" s="30" t="s">
        <v>3817</v>
      </c>
      <c r="Z26" s="31">
        <v>460.0</v>
      </c>
      <c r="AA26" s="32" t="s">
        <v>3818</v>
      </c>
      <c r="AB26" s="31">
        <v>100.0</v>
      </c>
      <c r="AC26" s="33">
        <f>'Old Balance Sheet'!E26 + 'ACPL Calculations - 1.0'!E26 + 'ACPL Calculations - 2.0'!E26</f>
        <v>2317</v>
      </c>
      <c r="AD26" s="30" t="s">
        <v>3817</v>
      </c>
      <c r="AE26" s="34">
        <v>838.99</v>
      </c>
      <c r="AF26" s="32" t="s">
        <v>3818</v>
      </c>
      <c r="AG26" s="31">
        <v>100.0</v>
      </c>
      <c r="AH26" s="33">
        <f>'Old Balance Sheet'!F26 + 'ACPL Calculations - 1.0'!F26 + 'ACPL Calculations - 2.0'!F26</f>
        <v>0</v>
      </c>
      <c r="AI26" s="30" t="s">
        <v>3817</v>
      </c>
      <c r="AJ26" s="31">
        <v>375.0</v>
      </c>
      <c r="AK26" s="32" t="s">
        <v>3818</v>
      </c>
      <c r="AL26" s="31">
        <v>100.0</v>
      </c>
      <c r="AM26" s="33">
        <f>'Old Balance Sheet'!G26 + 'ACPL Calculations - 1.0'!G26 + 'ACPL Calculations - 2.0'!G26</f>
        <v>0</v>
      </c>
      <c r="AN26" s="30" t="s">
        <v>3817</v>
      </c>
      <c r="AO26" s="31">
        <v>290.0</v>
      </c>
      <c r="AP26" s="32" t="s">
        <v>3818</v>
      </c>
      <c r="AQ26" s="31">
        <v>100.0</v>
      </c>
      <c r="AR26" s="33">
        <f>'Old Balance Sheet'!H26 + 'ACPL Calculations - 1.0'!H26 + 'ACPL Calculations - 2.0'!H26</f>
        <v>0</v>
      </c>
      <c r="AS26" s="30" t="s">
        <v>3819</v>
      </c>
      <c r="AT26" s="31">
        <v>838.99</v>
      </c>
      <c r="AU26" s="32" t="s">
        <v>3818</v>
      </c>
      <c r="AV26" s="31">
        <v>100.0</v>
      </c>
      <c r="AW26" s="33">
        <f>'Old Balance Sheet'!I26 + 'ACPL Calculations - 1.0'!I26 + 'ACPL Calculations - 2.0'!I26</f>
        <v>0</v>
      </c>
      <c r="AX26" s="30" t="s">
        <v>3817</v>
      </c>
      <c r="AY26" s="31">
        <v>290.0</v>
      </c>
      <c r="AZ26" s="32" t="s">
        <v>3818</v>
      </c>
      <c r="BA26" s="31">
        <v>100.0</v>
      </c>
      <c r="BB26" s="33">
        <f>'Old Balance Sheet'!J26 + 'ACPL Calculations - 1.0'!J26 + 'ACPL Calculations - 2.0'!J26</f>
        <v>0</v>
      </c>
      <c r="BC26" s="30" t="s">
        <v>3817</v>
      </c>
      <c r="BD26" s="31">
        <v>205.0</v>
      </c>
      <c r="BE26" s="32" t="s">
        <v>3818</v>
      </c>
      <c r="BF26" s="31">
        <v>100.0</v>
      </c>
      <c r="BG26" s="33">
        <f>'Old Balance Sheet'!K26 + 'ACPL Calculations - 1.0'!K26 + 'ACPL Calculations - 2.0'!K26</f>
        <v>0</v>
      </c>
      <c r="BH26" s="30" t="s">
        <v>3817</v>
      </c>
      <c r="BI26" s="31">
        <v>205.0</v>
      </c>
      <c r="BJ26" s="32" t="s">
        <v>3818</v>
      </c>
      <c r="BK26" s="31">
        <v>100.0</v>
      </c>
      <c r="BL26" s="33">
        <f>'Old Balance Sheet'!L26 + 'ACPL Calculations - 1.0'!L26 + 'ACPL Calculations - 2.0'!L26</f>
        <v>0</v>
      </c>
      <c r="BM26" s="33"/>
      <c r="BN26" s="33"/>
      <c r="BO26" s="33"/>
      <c r="BP26" s="33"/>
      <c r="BQ26" s="33"/>
      <c r="BR26" s="33"/>
      <c r="BS26" s="33"/>
      <c r="BT26" s="33"/>
      <c r="BU26" s="33"/>
      <c r="BV26" s="33"/>
      <c r="BW26" s="33"/>
      <c r="BX26" s="33"/>
      <c r="BY26" s="33"/>
      <c r="BZ26" s="33"/>
      <c r="CA26" s="33"/>
      <c r="CB26" s="33"/>
      <c r="CC26" s="33"/>
      <c r="CD26" s="33"/>
      <c r="CE26" s="33"/>
      <c r="CF26" s="33"/>
      <c r="CG26" s="33"/>
      <c r="CH26" s="33"/>
      <c r="CI26" s="33"/>
      <c r="CJ26" s="33"/>
      <c r="CK26" s="33"/>
      <c r="CL26" s="33">
        <f t="shared" si="1"/>
        <v>2317</v>
      </c>
      <c r="CM26" s="33">
        <f>'Old Balance Sheet'!R26 + 'ACPL Calculations - 1.0'!S26 + 'ACPL Calculations - 2.0'!S26</f>
        <v>3457230</v>
      </c>
      <c r="CN26" s="33">
        <f>'Old Balance Sheet'!S26 + 'ACPL Calculations - 1.0'!T26 + 'ACPL Calculations - 2.0'!T26</f>
        <v>1065820</v>
      </c>
      <c r="CO26" s="33">
        <f t="shared" si="2"/>
        <v>1593198.33</v>
      </c>
      <c r="CP26" s="33">
        <f>'Old Balance Sheet'!T26 + 'ACPL Calculations - 1.0'!V26 + 'ACPL Calculations - 2.0'!V26</f>
        <v>0</v>
      </c>
      <c r="CQ26" s="33">
        <f>'Old Balance Sheet'!U26 + 'ACPL Calculations - 1.0'!W26 + 'ACPL Calculations - 2.0'!W26</f>
        <v>0</v>
      </c>
      <c r="CR26" s="33">
        <f>'Old Balance Sheet'!V26 + 'ACPL Calculations - 1.0'!X26 + 'ACPL Calculations - 2.0'!X26</f>
        <v>527378.33</v>
      </c>
      <c r="CS26" s="33">
        <f t="shared" si="3"/>
        <v>527378.33</v>
      </c>
      <c r="CT26" s="35"/>
      <c r="CU26" s="35"/>
      <c r="CV26" s="35"/>
      <c r="CW26" s="36">
        <f>'Old Balance Sheet'!W26 + 'ACPL Calculations - 1.0'!Z26 + 'ACPL Calculations - 2.0'!Z26</f>
        <v>2691946.82</v>
      </c>
      <c r="CX26" s="36">
        <f>'Old Balance Sheet'!X26 + 'ACPL Calculations - 1.0'!AA26 + 'ACPL Calculations - 2.0'!AA26</f>
        <v>1671027.95</v>
      </c>
      <c r="CY26" s="37">
        <v>0.0</v>
      </c>
      <c r="CZ26" s="38">
        <f>'Old Balance Sheet'!Y26 + 'ACPL Calculations - 1.0'!AB26 + 'ACPL Calculations - 2.0'!AB26</f>
        <v>1853783.12</v>
      </c>
      <c r="DA26" s="38">
        <f>'Old Balance Sheet'!Z26 + 'ACPL Calculations - 1.0'!AC26 + 'ACPL Calculations - 2.0'!AC26</f>
        <v>765283.18</v>
      </c>
      <c r="DB26" s="38">
        <f>'Old Balance Sheet'!AA26 + 'ACPL Calculations - 1.0'!AD26 + 'ACPL Calculations - 2.0'!AD26</f>
        <v>77829.62</v>
      </c>
      <c r="DC26" s="38">
        <f>'Old Balance Sheet'!AB26 + 'ACPL Calculations - 1.0'!AE26 + 'ACPL Calculations - 2.0'!AE26</f>
        <v>1020918.87</v>
      </c>
      <c r="DD26" s="38">
        <f t="shared" si="4"/>
        <v>1020918.87</v>
      </c>
      <c r="DE26" s="33">
        <f t="shared" si="5"/>
        <v>1020918.87</v>
      </c>
      <c r="DF26" s="35">
        <v>0.0</v>
      </c>
      <c r="DG26" s="35">
        <v>0.0</v>
      </c>
      <c r="DH26" s="35">
        <v>0.0</v>
      </c>
      <c r="DI26" s="35">
        <v>0.0</v>
      </c>
      <c r="DJ26" s="35">
        <v>0.0</v>
      </c>
      <c r="DK26" s="35">
        <v>0.0</v>
      </c>
      <c r="DL26" s="35">
        <v>0.0</v>
      </c>
      <c r="DM26" s="35">
        <v>0.0</v>
      </c>
      <c r="DN26" s="31">
        <v>0.0</v>
      </c>
      <c r="DO26" s="31">
        <v>0.0</v>
      </c>
      <c r="DP26" s="31">
        <v>0.0</v>
      </c>
      <c r="DQ26" s="31">
        <v>0.0</v>
      </c>
      <c r="DR26" s="31">
        <v>0.0</v>
      </c>
      <c r="DS26" s="31">
        <v>0.0</v>
      </c>
      <c r="DT26" s="31">
        <f>'Old Balance Sheet'!AC26</f>
        <v>-143368</v>
      </c>
      <c r="DU26" s="31">
        <f>DT26 + SUMIFS('Payments Log'!D:D, 'Payments Log'!B:B, A26, 'Payments Log'!L:L, "Approved", 'Payments Log'!M:M, "Credit") + 'Old Balance Sheet'!AD26 - 'Old Balance Sheet'!AC26</f>
        <v>2756632</v>
      </c>
      <c r="DV26" s="31">
        <f>SUMIFS('Payments Log'!D:D, 'Payments Log'!B:B, A26, 'Payments Log'!L:L, "Approved", 'Payments Log'!M:M, "Adjustment Credit") - SUMIFS('Payments Log'!D:D, 'Payments Log'!B:B, A26, 'Payments Log'!L:L, "Approved", 'Payments Log'!M:M, "Adjustment Debit") + 'Old Balance Sheet'!AE26</f>
        <v>0</v>
      </c>
      <c r="DW26" s="31">
        <f>IF(MAXIFS('Payments Log'!N:N, 'Payments Log'!L:L, "Approved", 'Payments Log'!M:M, "Credit", 'Payments Log'!B:B, A26) &gt; MAXIFS('Payments Log'!N:N, 'Payments Log'!L:L, "Approved", 'Payments Log'!M:M, "Virtual Credit", 'Payments Log'!B:B, A26), 0, SUMIFS('Payments Log'!D:D, 'Payments Log'!N:N, MAXIFS('Payments Log'!N:N, 'Payments Log'!L:L, "Approved", 'Payments Log'!M:M, "Virtual Credit", 'Payments Log'!B:B, A26)))</f>
        <v>0</v>
      </c>
      <c r="DX26" s="33">
        <f t="shared" si="6"/>
        <v>64685.18</v>
      </c>
      <c r="DY26" s="33">
        <f t="shared" si="7"/>
        <v>1085604.05</v>
      </c>
      <c r="DZ26" s="33">
        <f t="shared" si="8"/>
        <v>1085604.05</v>
      </c>
      <c r="EA26" s="25" t="str">
        <f>(Sheet1!N26)</f>
        <v>Shri Durga Motors</v>
      </c>
      <c r="EB26" s="25" t="str">
        <f>(Sheet1!O26)</f>
        <v>1LnxzSZR-Hn1GFJEM91CqSDi8yQ1-11OqyVT04QUkFAM</v>
      </c>
      <c r="EC26" s="26" t="str">
        <f>(Sheet1!P26)</f>
        <v>Dealer</v>
      </c>
      <c r="ED26" s="34" t="s">
        <v>13</v>
      </c>
    </row>
    <row r="27">
      <c r="A27" s="25" t="str">
        <f>(Sheet1!A27)</f>
        <v>1ytBGcO8tIze81xKkAa9lWDcflthsPL6SuADAXbhmuwA</v>
      </c>
      <c r="B27" s="25" t="str">
        <f>(Sheet1!B27)</f>
        <v>Brij Biwheelers</v>
      </c>
      <c r="C27" s="30" t="s">
        <v>13</v>
      </c>
      <c r="D27" s="30" t="s">
        <v>72</v>
      </c>
      <c r="E27" s="30" t="s">
        <v>3820</v>
      </c>
      <c r="F27" s="31">
        <v>170.0</v>
      </c>
      <c r="G27" s="32" t="s">
        <v>3818</v>
      </c>
      <c r="H27" s="31">
        <v>100.0</v>
      </c>
      <c r="I27" s="33">
        <f>'Old Balance Sheet'!A27 + 'ACPL Calculations - 1.0'!A27 + 'ACPL Calculations - 2.0'!A27</f>
        <v>940</v>
      </c>
      <c r="J27" s="30" t="s">
        <v>3820</v>
      </c>
      <c r="K27" s="31">
        <v>170.0</v>
      </c>
      <c r="L27" s="32" t="s">
        <v>3818</v>
      </c>
      <c r="M27" s="31">
        <v>100.0</v>
      </c>
      <c r="N27" s="33">
        <f>'Old Balance Sheet'!B27 + 'ACPL Calculations - 1.0'!B27 + 'ACPL Calculations - 2.0'!B27</f>
        <v>0</v>
      </c>
      <c r="O27" s="30" t="s">
        <v>3820</v>
      </c>
      <c r="P27" s="31">
        <v>170.0</v>
      </c>
      <c r="Q27" s="32" t="s">
        <v>3818</v>
      </c>
      <c r="R27" s="31">
        <v>100.0</v>
      </c>
      <c r="S27" s="33">
        <f>'Old Balance Sheet'!C27 + 'ACPL Calculations - 1.0'!C27 + 'ACPL Calculations - 2.0'!C27</f>
        <v>0</v>
      </c>
      <c r="T27" s="30" t="s">
        <v>3820</v>
      </c>
      <c r="U27" s="31">
        <v>170.0</v>
      </c>
      <c r="V27" s="32" t="s">
        <v>3818</v>
      </c>
      <c r="W27" s="31">
        <v>100.0</v>
      </c>
      <c r="X27" s="33">
        <f>'Old Balance Sheet'!D27 + 'ACPL Calculations - 1.0'!D27 + 'ACPL Calculations - 2.0'!D27</f>
        <v>0</v>
      </c>
      <c r="Y27" s="30" t="s">
        <v>3820</v>
      </c>
      <c r="Z27" s="31">
        <v>170.0</v>
      </c>
      <c r="AA27" s="32" t="s">
        <v>3818</v>
      </c>
      <c r="AB27" s="31">
        <v>100.0</v>
      </c>
      <c r="AC27" s="33">
        <f>'Old Balance Sheet'!E27 + 'ACPL Calculations - 1.0'!E27 + 'ACPL Calculations - 2.0'!E27</f>
        <v>0</v>
      </c>
      <c r="AD27" s="30" t="s">
        <v>3820</v>
      </c>
      <c r="AE27" s="34">
        <v>838.99</v>
      </c>
      <c r="AF27" s="32" t="s">
        <v>3818</v>
      </c>
      <c r="AG27" s="31">
        <v>100.0</v>
      </c>
      <c r="AH27" s="33">
        <f>'Old Balance Sheet'!F27 + 'ACPL Calculations - 1.0'!F27 + 'ACPL Calculations - 2.0'!F27</f>
        <v>0</v>
      </c>
      <c r="AI27" s="30" t="s">
        <v>3820</v>
      </c>
      <c r="AJ27" s="31">
        <v>375.0</v>
      </c>
      <c r="AK27" s="32" t="s">
        <v>3818</v>
      </c>
      <c r="AL27" s="31">
        <v>100.0</v>
      </c>
      <c r="AM27" s="33">
        <f>'Old Balance Sheet'!G27 + 'ACPL Calculations - 1.0'!G27 + 'ACPL Calculations - 2.0'!G27</f>
        <v>0</v>
      </c>
      <c r="AN27" s="30" t="s">
        <v>3820</v>
      </c>
      <c r="AO27" s="31">
        <v>170.0</v>
      </c>
      <c r="AP27" s="32" t="s">
        <v>3818</v>
      </c>
      <c r="AQ27" s="31">
        <v>100.0</v>
      </c>
      <c r="AR27" s="33">
        <f>'Old Balance Sheet'!H27 + 'ACPL Calculations - 1.0'!H27 + 'ACPL Calculations - 2.0'!H27</f>
        <v>528</v>
      </c>
      <c r="AS27" s="30" t="s">
        <v>3819</v>
      </c>
      <c r="AT27" s="31">
        <v>838.99</v>
      </c>
      <c r="AU27" s="32" t="s">
        <v>3818</v>
      </c>
      <c r="AV27" s="31">
        <v>100.0</v>
      </c>
      <c r="AW27" s="33">
        <f>'Old Balance Sheet'!I27 + 'ACPL Calculations - 1.0'!I27 + 'ACPL Calculations - 2.0'!I27</f>
        <v>0</v>
      </c>
      <c r="AX27" s="30" t="s">
        <v>3820</v>
      </c>
      <c r="AY27" s="31">
        <v>170.0</v>
      </c>
      <c r="AZ27" s="32" t="s">
        <v>3818</v>
      </c>
      <c r="BA27" s="31">
        <v>100.0</v>
      </c>
      <c r="BB27" s="33">
        <f>'Old Balance Sheet'!J27 + 'ACPL Calculations - 1.0'!J27 + 'ACPL Calculations - 2.0'!J27</f>
        <v>0</v>
      </c>
      <c r="BC27" s="30" t="s">
        <v>3820</v>
      </c>
      <c r="BD27" s="31">
        <v>170.0</v>
      </c>
      <c r="BE27" s="32" t="s">
        <v>3818</v>
      </c>
      <c r="BF27" s="31">
        <v>100.0</v>
      </c>
      <c r="BG27" s="33">
        <f>'Old Balance Sheet'!K27 + 'ACPL Calculations - 1.0'!K27 + 'ACPL Calculations - 2.0'!K27</f>
        <v>0</v>
      </c>
      <c r="BH27" s="30" t="s">
        <v>3820</v>
      </c>
      <c r="BI27" s="31">
        <v>205.0</v>
      </c>
      <c r="BJ27" s="32" t="s">
        <v>3818</v>
      </c>
      <c r="BK27" s="31">
        <v>100.0</v>
      </c>
      <c r="BL27" s="33">
        <f>'Old Balance Sheet'!L27 + 'ACPL Calculations - 1.0'!L27 + 'ACPL Calculations - 2.0'!L27</f>
        <v>0</v>
      </c>
      <c r="BM27" s="33"/>
      <c r="BN27" s="33"/>
      <c r="BO27" s="33"/>
      <c r="BP27" s="33"/>
      <c r="BQ27" s="33"/>
      <c r="BR27" s="33"/>
      <c r="BS27" s="33"/>
      <c r="BT27" s="33"/>
      <c r="BU27" s="33"/>
      <c r="BV27" s="33"/>
      <c r="BW27" s="33"/>
      <c r="BX27" s="33"/>
      <c r="BY27" s="33"/>
      <c r="BZ27" s="33"/>
      <c r="CA27" s="33"/>
      <c r="CB27" s="33"/>
      <c r="CC27" s="33"/>
      <c r="CD27" s="33"/>
      <c r="CE27" s="33"/>
      <c r="CF27" s="33"/>
      <c r="CG27" s="33"/>
      <c r="CH27" s="33"/>
      <c r="CI27" s="33"/>
      <c r="CJ27" s="33"/>
      <c r="CK27" s="33"/>
      <c r="CL27" s="33">
        <f t="shared" si="1"/>
        <v>1468</v>
      </c>
      <c r="CM27" s="33">
        <f>'Old Balance Sheet'!R27 + 'ACPL Calculations - 1.0'!S27 + 'ACPL Calculations - 2.0'!S27</f>
        <v>982772</v>
      </c>
      <c r="CN27" s="33">
        <f>'Old Balance Sheet'!S27 + 'ACPL Calculations - 1.0'!T27 + 'ACPL Calculations - 2.0'!T27</f>
        <v>335460</v>
      </c>
      <c r="CO27" s="33">
        <f t="shared" si="2"/>
        <v>485379.92</v>
      </c>
      <c r="CP27" s="33">
        <f>'Old Balance Sheet'!T27 + 'ACPL Calculations - 1.0'!V27 + 'ACPL Calculations - 2.0'!V27</f>
        <v>37.37</v>
      </c>
      <c r="CQ27" s="33">
        <f>'Old Balance Sheet'!U27 + 'ACPL Calculations - 1.0'!W27 + 'ACPL Calculations - 2.0'!W27</f>
        <v>37.37</v>
      </c>
      <c r="CR27" s="33">
        <f>'Old Balance Sheet'!V27 + 'ACPL Calculations - 1.0'!X27 + 'ACPL Calculations - 2.0'!X27</f>
        <v>149845.18</v>
      </c>
      <c r="CS27" s="33">
        <f t="shared" si="3"/>
        <v>149919.92</v>
      </c>
      <c r="CT27" s="35"/>
      <c r="CU27" s="35"/>
      <c r="CV27" s="35"/>
      <c r="CW27" s="36">
        <f>'Old Balance Sheet'!W27 + 'ACPL Calculations - 1.0'!Z27 + 'ACPL Calculations - 2.0'!Z27</f>
        <v>1899974</v>
      </c>
      <c r="CX27" s="36">
        <f>'Old Balance Sheet'!X27 + 'ACPL Calculations - 1.0'!AA27 + 'ACPL Calculations - 2.0'!AA27</f>
        <v>1056011.51</v>
      </c>
      <c r="CY27" s="37">
        <v>0.0</v>
      </c>
      <c r="CZ27" s="38">
        <f>'Old Balance Sheet'!Y27 + 'ACPL Calculations - 1.0'!AB27 + 'ACPL Calculations - 2.0'!AB27</f>
        <v>869863.22</v>
      </c>
      <c r="DA27" s="38">
        <f>'Old Balance Sheet'!Z27 + 'ACPL Calculations - 1.0'!AC27 + 'ACPL Calculations - 2.0'!AC27</f>
        <v>0</v>
      </c>
      <c r="DB27" s="38">
        <f>'Old Balance Sheet'!AA27 + 'ACPL Calculations - 1.0'!AD27 + 'ACPL Calculations - 2.0'!AD27</f>
        <v>33081.42</v>
      </c>
      <c r="DC27" s="38">
        <f>'Old Balance Sheet'!AB27 + 'ACPL Calculations - 1.0'!AE27 + 'ACPL Calculations - 2.0'!AE27</f>
        <v>843962.49</v>
      </c>
      <c r="DD27" s="38">
        <f t="shared" si="4"/>
        <v>843962.49</v>
      </c>
      <c r="DE27" s="33">
        <f t="shared" si="5"/>
        <v>843962.49</v>
      </c>
      <c r="DF27" s="35">
        <v>0.0</v>
      </c>
      <c r="DG27" s="35">
        <v>0.0</v>
      </c>
      <c r="DH27" s="35">
        <v>0.0</v>
      </c>
      <c r="DI27" s="35">
        <v>0.0</v>
      </c>
      <c r="DJ27" s="35">
        <v>0.0</v>
      </c>
      <c r="DK27" s="35">
        <v>0.0</v>
      </c>
      <c r="DL27" s="35">
        <v>0.0</v>
      </c>
      <c r="DM27" s="35">
        <v>0.0</v>
      </c>
      <c r="DN27" s="31">
        <v>0.0</v>
      </c>
      <c r="DO27" s="31">
        <v>0.0</v>
      </c>
      <c r="DP27" s="31">
        <v>0.0</v>
      </c>
      <c r="DQ27" s="31">
        <v>0.0</v>
      </c>
      <c r="DR27" s="31">
        <v>0.0</v>
      </c>
      <c r="DS27" s="31">
        <v>0.0</v>
      </c>
      <c r="DT27" s="31">
        <f>'Old Balance Sheet'!AC27</f>
        <v>93590</v>
      </c>
      <c r="DU27" s="31">
        <f>DT27 + SUMIFS('Payments Log'!D:D, 'Payments Log'!B:B, A27, 'Payments Log'!L:L, "Approved", 'Payments Log'!M:M, "Credit") + 'Old Balance Sheet'!AD27 - 'Old Balance Sheet'!AC27</f>
        <v>1942590</v>
      </c>
      <c r="DV27" s="31">
        <f>SUMIFS('Payments Log'!D:D, 'Payments Log'!B:B, A27, 'Payments Log'!L:L, "Approved", 'Payments Log'!M:M, "Adjustment Credit") - SUMIFS('Payments Log'!D:D, 'Payments Log'!B:B, A27, 'Payments Log'!L:L, "Approved", 'Payments Log'!M:M, "Adjustment Debit") + 'Old Balance Sheet'!AE27</f>
        <v>0</v>
      </c>
      <c r="DW27" s="31">
        <f>IF(MAXIFS('Payments Log'!N:N, 'Payments Log'!L:L, "Approved", 'Payments Log'!M:M, "Credit", 'Payments Log'!B:B, A27) &gt; MAXIFS('Payments Log'!N:N, 'Payments Log'!L:L, "Approved", 'Payments Log'!M:M, "Virtual Credit", 'Payments Log'!B:B, A27), 0, SUMIFS('Payments Log'!D:D, 'Payments Log'!N:N, MAXIFS('Payments Log'!N:N, 'Payments Log'!L:L, "Approved", 'Payments Log'!M:M, "Virtual Credit", 'Payments Log'!B:B, A27)))</f>
        <v>0</v>
      </c>
      <c r="DX27" s="33">
        <f t="shared" si="6"/>
        <v>42616</v>
      </c>
      <c r="DY27" s="33">
        <f t="shared" si="7"/>
        <v>886578.49</v>
      </c>
      <c r="DZ27" s="33">
        <f t="shared" si="8"/>
        <v>886578.49</v>
      </c>
      <c r="EA27" s="25" t="str">
        <f>(Sheet1!N27)</f>
        <v>Brij Biwheelers</v>
      </c>
      <c r="EB27" s="25" t="str">
        <f>(Sheet1!O27)</f>
        <v>1ytBGcO8tIze81xKkAa9lWDcflthsPL6SuADAXbhmuwA</v>
      </c>
      <c r="EC27" s="26" t="str">
        <f>(Sheet1!P27)</f>
        <v>Dealer</v>
      </c>
      <c r="ED27" s="34" t="s">
        <v>13</v>
      </c>
    </row>
    <row r="28">
      <c r="A28" s="25" t="str">
        <f>(Sheet1!A28)</f>
        <v>1Yfv0ZT_aQDLFHljdKtMo2aojtvVSEhmBaoVtpPdjPPo</v>
      </c>
      <c r="B28" s="25" t="str">
        <f>(Sheet1!B28)</f>
        <v>Globe Agencies - Hapur</v>
      </c>
      <c r="C28" s="30" t="s">
        <v>13</v>
      </c>
      <c r="D28" s="30" t="s">
        <v>72</v>
      </c>
      <c r="E28" s="30" t="s">
        <v>3820</v>
      </c>
      <c r="F28" s="31">
        <v>205.0</v>
      </c>
      <c r="G28" s="32" t="s">
        <v>3818</v>
      </c>
      <c r="H28" s="31">
        <v>100.0</v>
      </c>
      <c r="I28" s="33">
        <f>'Old Balance Sheet'!A28 + 'ACPL Calculations - 1.0'!A28 + 'ACPL Calculations - 2.0'!A28</f>
        <v>0</v>
      </c>
      <c r="J28" s="30" t="s">
        <v>3820</v>
      </c>
      <c r="K28" s="31">
        <v>205.0</v>
      </c>
      <c r="L28" s="32" t="s">
        <v>3818</v>
      </c>
      <c r="M28" s="31">
        <v>100.0</v>
      </c>
      <c r="N28" s="33">
        <f>'Old Balance Sheet'!B28 + 'ACPL Calculations - 1.0'!B28 + 'ACPL Calculations - 2.0'!B28</f>
        <v>0</v>
      </c>
      <c r="O28" s="30" t="s">
        <v>3820</v>
      </c>
      <c r="P28" s="31">
        <v>290.0</v>
      </c>
      <c r="Q28" s="32" t="s">
        <v>3818</v>
      </c>
      <c r="R28" s="31">
        <v>100.0</v>
      </c>
      <c r="S28" s="33">
        <f>'Old Balance Sheet'!C28 + 'ACPL Calculations - 1.0'!C28 + 'ACPL Calculations - 2.0'!C28</f>
        <v>0</v>
      </c>
      <c r="T28" s="30" t="s">
        <v>3820</v>
      </c>
      <c r="U28" s="31">
        <v>375.0</v>
      </c>
      <c r="V28" s="32" t="s">
        <v>3818</v>
      </c>
      <c r="W28" s="31">
        <v>100.0</v>
      </c>
      <c r="X28" s="33">
        <f>'Old Balance Sheet'!D28 + 'ACPL Calculations - 1.0'!D28 + 'ACPL Calculations - 2.0'!D28</f>
        <v>0</v>
      </c>
      <c r="Y28" s="30" t="s">
        <v>3820</v>
      </c>
      <c r="Z28" s="31">
        <v>460.0</v>
      </c>
      <c r="AA28" s="32" t="s">
        <v>3818</v>
      </c>
      <c r="AB28" s="31">
        <v>100.0</v>
      </c>
      <c r="AC28" s="33">
        <f>'Old Balance Sheet'!E28 + 'ACPL Calculations - 1.0'!E28 + 'ACPL Calculations - 2.0'!E28</f>
        <v>0</v>
      </c>
      <c r="AD28" s="30" t="s">
        <v>3820</v>
      </c>
      <c r="AE28" s="34">
        <v>838.99</v>
      </c>
      <c r="AF28" s="32" t="s">
        <v>3818</v>
      </c>
      <c r="AG28" s="31">
        <v>100.0</v>
      </c>
      <c r="AH28" s="33">
        <f>'Old Balance Sheet'!F28 + 'ACPL Calculations - 1.0'!F28 + 'ACPL Calculations - 2.0'!F28</f>
        <v>0</v>
      </c>
      <c r="AI28" s="30" t="s">
        <v>3820</v>
      </c>
      <c r="AJ28" s="31">
        <v>375.0</v>
      </c>
      <c r="AK28" s="32" t="s">
        <v>3818</v>
      </c>
      <c r="AL28" s="31">
        <v>100.0</v>
      </c>
      <c r="AM28" s="33">
        <f>'Old Balance Sheet'!G28 + 'ACPL Calculations - 1.0'!G28 + 'ACPL Calculations - 2.0'!G28</f>
        <v>0</v>
      </c>
      <c r="AN28" s="30" t="s">
        <v>3820</v>
      </c>
      <c r="AO28" s="31">
        <v>290.0</v>
      </c>
      <c r="AP28" s="32" t="s">
        <v>3818</v>
      </c>
      <c r="AQ28" s="31">
        <v>100.0</v>
      </c>
      <c r="AR28" s="33">
        <f>'Old Balance Sheet'!H28 + 'ACPL Calculations - 1.0'!H28 + 'ACPL Calculations - 2.0'!H28</f>
        <v>0</v>
      </c>
      <c r="AS28" s="30" t="s">
        <v>3819</v>
      </c>
      <c r="AT28" s="31">
        <v>838.99</v>
      </c>
      <c r="AU28" s="32" t="s">
        <v>3818</v>
      </c>
      <c r="AV28" s="31">
        <v>100.0</v>
      </c>
      <c r="AW28" s="33">
        <f>'Old Balance Sheet'!I28 + 'ACPL Calculations - 1.0'!I28 + 'ACPL Calculations - 2.0'!I28</f>
        <v>0</v>
      </c>
      <c r="AX28" s="30" t="s">
        <v>3820</v>
      </c>
      <c r="AY28" s="31">
        <v>290.0</v>
      </c>
      <c r="AZ28" s="32" t="s">
        <v>3818</v>
      </c>
      <c r="BA28" s="31">
        <v>100.0</v>
      </c>
      <c r="BB28" s="33">
        <f>'Old Balance Sheet'!J28 + 'ACPL Calculations - 1.0'!J28 + 'ACPL Calculations - 2.0'!J28</f>
        <v>0</v>
      </c>
      <c r="BC28" s="30" t="s">
        <v>3820</v>
      </c>
      <c r="BD28" s="31">
        <v>205.0</v>
      </c>
      <c r="BE28" s="32" t="s">
        <v>3818</v>
      </c>
      <c r="BF28" s="31">
        <v>100.0</v>
      </c>
      <c r="BG28" s="33">
        <f>'Old Balance Sheet'!K28 + 'ACPL Calculations - 1.0'!K28 + 'ACPL Calculations - 2.0'!K28</f>
        <v>0</v>
      </c>
      <c r="BH28" s="30" t="s">
        <v>3820</v>
      </c>
      <c r="BI28" s="31">
        <v>205.0</v>
      </c>
      <c r="BJ28" s="32" t="s">
        <v>3818</v>
      </c>
      <c r="BK28" s="31">
        <v>100.0</v>
      </c>
      <c r="BL28" s="33">
        <f>'Old Balance Sheet'!L28 + 'ACPL Calculations - 1.0'!L28 + 'ACPL Calculations - 2.0'!L28</f>
        <v>0</v>
      </c>
      <c r="BM28" s="33"/>
      <c r="BN28" s="33"/>
      <c r="BO28" s="33"/>
      <c r="BP28" s="33"/>
      <c r="BQ28" s="33"/>
      <c r="BR28" s="33"/>
      <c r="BS28" s="33"/>
      <c r="BT28" s="33"/>
      <c r="BU28" s="33"/>
      <c r="BV28" s="33"/>
      <c r="BW28" s="33"/>
      <c r="BX28" s="33"/>
      <c r="BY28" s="33"/>
      <c r="BZ28" s="33"/>
      <c r="CA28" s="33"/>
      <c r="CB28" s="33"/>
      <c r="CC28" s="33"/>
      <c r="CD28" s="33"/>
      <c r="CE28" s="33"/>
      <c r="CF28" s="33"/>
      <c r="CG28" s="33"/>
      <c r="CH28" s="33"/>
      <c r="CI28" s="33"/>
      <c r="CJ28" s="33"/>
      <c r="CK28" s="33"/>
      <c r="CL28" s="33">
        <f t="shared" si="1"/>
        <v>0</v>
      </c>
      <c r="CM28" s="33">
        <f>'Old Balance Sheet'!R28 + 'ACPL Calculations - 1.0'!S28 + 'ACPL Calculations - 2.0'!S28</f>
        <v>0</v>
      </c>
      <c r="CN28" s="33">
        <f>'Old Balance Sheet'!S28 + 'ACPL Calculations - 1.0'!T28 + 'ACPL Calculations - 2.0'!T28</f>
        <v>0</v>
      </c>
      <c r="CO28" s="33">
        <f t="shared" si="2"/>
        <v>0</v>
      </c>
      <c r="CP28" s="33">
        <f>'Old Balance Sheet'!T28 + 'ACPL Calculations - 1.0'!V28 + 'ACPL Calculations - 2.0'!V28</f>
        <v>0</v>
      </c>
      <c r="CQ28" s="33">
        <f>'Old Balance Sheet'!U28 + 'ACPL Calculations - 1.0'!W28 + 'ACPL Calculations - 2.0'!W28</f>
        <v>0</v>
      </c>
      <c r="CR28" s="33">
        <f>'Old Balance Sheet'!V28 + 'ACPL Calculations - 1.0'!X28 + 'ACPL Calculations - 2.0'!X28</f>
        <v>0</v>
      </c>
      <c r="CS28" s="33">
        <f t="shared" si="3"/>
        <v>0</v>
      </c>
      <c r="CT28" s="35"/>
      <c r="CU28" s="35"/>
      <c r="CV28" s="35"/>
      <c r="CW28" s="36">
        <f>'Old Balance Sheet'!W28 + 'ACPL Calculations - 1.0'!Z28 + 'ACPL Calculations - 2.0'!Z28</f>
        <v>0</v>
      </c>
      <c r="CX28" s="36">
        <f>'Old Balance Sheet'!X28 + 'ACPL Calculations - 1.0'!AA28 + 'ACPL Calculations - 2.0'!AA28</f>
        <v>0</v>
      </c>
      <c r="CY28" s="37">
        <v>0.0</v>
      </c>
      <c r="CZ28" s="38">
        <f>'Old Balance Sheet'!Y28 + 'ACPL Calculations - 1.0'!AB28 + 'ACPL Calculations - 2.0'!AB28</f>
        <v>0</v>
      </c>
      <c r="DA28" s="38">
        <f>'Old Balance Sheet'!Z28 + 'ACPL Calculations - 1.0'!AC28 + 'ACPL Calculations - 2.0'!AC28</f>
        <v>0</v>
      </c>
      <c r="DB28" s="38">
        <f>'Old Balance Sheet'!AA28 + 'ACPL Calculations - 1.0'!AD28 + 'ACPL Calculations - 2.0'!AD28</f>
        <v>0</v>
      </c>
      <c r="DC28" s="38">
        <f>'Old Balance Sheet'!AB28 + 'ACPL Calculations - 1.0'!AE28 + 'ACPL Calculations - 2.0'!AE28</f>
        <v>0</v>
      </c>
      <c r="DD28" s="38">
        <f t="shared" si="4"/>
        <v>0</v>
      </c>
      <c r="DE28" s="33">
        <f t="shared" si="5"/>
        <v>0</v>
      </c>
      <c r="DF28" s="35">
        <v>0.0</v>
      </c>
      <c r="DG28" s="35">
        <v>0.0</v>
      </c>
      <c r="DH28" s="35">
        <v>0.0</v>
      </c>
      <c r="DI28" s="35">
        <v>0.0</v>
      </c>
      <c r="DJ28" s="35">
        <v>0.0</v>
      </c>
      <c r="DK28" s="35">
        <v>0.0</v>
      </c>
      <c r="DL28" s="35">
        <v>0.0</v>
      </c>
      <c r="DM28" s="35">
        <v>0.0</v>
      </c>
      <c r="DN28" s="31">
        <v>0.0</v>
      </c>
      <c r="DO28" s="31">
        <v>0.0</v>
      </c>
      <c r="DP28" s="31">
        <v>0.0</v>
      </c>
      <c r="DQ28" s="31">
        <v>0.0</v>
      </c>
      <c r="DR28" s="31">
        <v>0.0</v>
      </c>
      <c r="DS28" s="31">
        <v>0.0</v>
      </c>
      <c r="DT28" s="31">
        <f>'Old Balance Sheet'!AC28</f>
        <v>0</v>
      </c>
      <c r="DU28" s="31">
        <f>DT28 + SUMIFS('Payments Log'!D:D, 'Payments Log'!B:B, A28, 'Payments Log'!L:L, "Approved", 'Payments Log'!M:M, "Credit") + 'Old Balance Sheet'!AD28 - 'Old Balance Sheet'!AC28</f>
        <v>0</v>
      </c>
      <c r="DV28" s="31">
        <f>SUMIFS('Payments Log'!D:D, 'Payments Log'!B:B, A28, 'Payments Log'!L:L, "Approved", 'Payments Log'!M:M, "Adjustment Credit") - SUMIFS('Payments Log'!D:D, 'Payments Log'!B:B, A28, 'Payments Log'!L:L, "Approved", 'Payments Log'!M:M, "Adjustment Debit") + 'Old Balance Sheet'!AE28</f>
        <v>0</v>
      </c>
      <c r="DW28" s="31">
        <f>IF(MAXIFS('Payments Log'!N:N, 'Payments Log'!L:L, "Approved", 'Payments Log'!M:M, "Credit", 'Payments Log'!B:B, A28) &gt; MAXIFS('Payments Log'!N:N, 'Payments Log'!L:L, "Approved", 'Payments Log'!M:M, "Virtual Credit", 'Payments Log'!B:B, A28), 0, SUMIFS('Payments Log'!D:D, 'Payments Log'!N:N, MAXIFS('Payments Log'!N:N, 'Payments Log'!L:L, "Approved", 'Payments Log'!M:M, "Virtual Credit", 'Payments Log'!B:B, A28)))</f>
        <v>0</v>
      </c>
      <c r="DX28" s="33">
        <f t="shared" si="6"/>
        <v>0</v>
      </c>
      <c r="DY28" s="33">
        <f t="shared" si="7"/>
        <v>0</v>
      </c>
      <c r="DZ28" s="33">
        <f t="shared" si="8"/>
        <v>0</v>
      </c>
      <c r="EA28" s="25" t="str">
        <f>(Sheet1!N28)</f>
        <v>Globe Agencies - Hapur</v>
      </c>
      <c r="EB28" s="25" t="str">
        <f>(Sheet1!O28)</f>
        <v>1ksPRehLH7gfgZpnXgiBGZpTtFA-KHaKr32rTQGuz3WY</v>
      </c>
      <c r="EC28" s="26" t="str">
        <f>(Sheet1!P28)</f>
        <v>Sub Dealer</v>
      </c>
      <c r="ED28" s="34" t="s">
        <v>13</v>
      </c>
    </row>
    <row r="29">
      <c r="A29" s="25" t="str">
        <f>(Sheet1!A29)</f>
        <v>1sJ2STkoqQ3nTzfRPt0AHHPB6KjkvtyOHIVnE3dDR6mk</v>
      </c>
      <c r="B29" s="25" t="str">
        <f>(Sheet1!B29)</f>
        <v>Shiv Motors (JMC)</v>
      </c>
      <c r="C29" s="30" t="s">
        <v>13</v>
      </c>
      <c r="D29" s="30" t="s">
        <v>72</v>
      </c>
      <c r="E29" s="30" t="s">
        <v>3820</v>
      </c>
      <c r="F29" s="31">
        <v>170.0</v>
      </c>
      <c r="G29" s="32" t="s">
        <v>3818</v>
      </c>
      <c r="H29" s="31">
        <v>100.0</v>
      </c>
      <c r="I29" s="33">
        <f>'Old Balance Sheet'!A29 + 'ACPL Calculations - 1.0'!A29 + 'ACPL Calculations - 2.0'!A29</f>
        <v>311</v>
      </c>
      <c r="J29" s="30" t="s">
        <v>3820</v>
      </c>
      <c r="K29" s="31">
        <v>170.0</v>
      </c>
      <c r="L29" s="32" t="s">
        <v>3818</v>
      </c>
      <c r="M29" s="31">
        <v>100.0</v>
      </c>
      <c r="N29" s="33">
        <f>'Old Balance Sheet'!B29 + 'ACPL Calculations - 1.0'!B29 + 'ACPL Calculations - 2.0'!B29</f>
        <v>0</v>
      </c>
      <c r="O29" s="30" t="s">
        <v>3820</v>
      </c>
      <c r="P29" s="31">
        <v>170.0</v>
      </c>
      <c r="Q29" s="32" t="s">
        <v>3818</v>
      </c>
      <c r="R29" s="31">
        <v>100.0</v>
      </c>
      <c r="S29" s="33">
        <f>'Old Balance Sheet'!C29 + 'ACPL Calculations - 1.0'!C29 + 'ACPL Calculations - 2.0'!C29</f>
        <v>0</v>
      </c>
      <c r="T29" s="30" t="s">
        <v>3820</v>
      </c>
      <c r="U29" s="31">
        <v>170.0</v>
      </c>
      <c r="V29" s="32" t="s">
        <v>3818</v>
      </c>
      <c r="W29" s="31">
        <v>100.0</v>
      </c>
      <c r="X29" s="33">
        <f>'Old Balance Sheet'!D29 + 'ACPL Calculations - 1.0'!D29 + 'ACPL Calculations - 2.0'!D29</f>
        <v>0</v>
      </c>
      <c r="Y29" s="30" t="s">
        <v>3820</v>
      </c>
      <c r="Z29" s="31">
        <v>170.0</v>
      </c>
      <c r="AA29" s="32" t="s">
        <v>3818</v>
      </c>
      <c r="AB29" s="31">
        <v>100.0</v>
      </c>
      <c r="AC29" s="33">
        <f>'Old Balance Sheet'!E29 + 'ACPL Calculations - 1.0'!E29 + 'ACPL Calculations - 2.0'!E29</f>
        <v>0</v>
      </c>
      <c r="AD29" s="30" t="s">
        <v>3820</v>
      </c>
      <c r="AE29" s="34">
        <v>838.99</v>
      </c>
      <c r="AF29" s="32" t="s">
        <v>3818</v>
      </c>
      <c r="AG29" s="31">
        <v>100.0</v>
      </c>
      <c r="AH29" s="33">
        <f>'Old Balance Sheet'!F29 + 'ACPL Calculations - 1.0'!F29 + 'ACPL Calculations - 2.0'!F29</f>
        <v>0</v>
      </c>
      <c r="AI29" s="30" t="s">
        <v>3820</v>
      </c>
      <c r="AJ29" s="31">
        <v>170.0</v>
      </c>
      <c r="AK29" s="32" t="s">
        <v>3818</v>
      </c>
      <c r="AL29" s="31">
        <v>100.0</v>
      </c>
      <c r="AM29" s="33">
        <f>'Old Balance Sheet'!G29 + 'ACPL Calculations - 1.0'!G29 + 'ACPL Calculations - 2.0'!G29</f>
        <v>0</v>
      </c>
      <c r="AN29" s="30" t="s">
        <v>3820</v>
      </c>
      <c r="AO29" s="31">
        <v>170.0</v>
      </c>
      <c r="AP29" s="32" t="s">
        <v>3818</v>
      </c>
      <c r="AQ29" s="31">
        <v>100.0</v>
      </c>
      <c r="AR29" s="33">
        <f>'Old Balance Sheet'!H29 + 'ACPL Calculations - 1.0'!H29 + 'ACPL Calculations - 2.0'!H29</f>
        <v>92</v>
      </c>
      <c r="AS29" s="30" t="s">
        <v>3819</v>
      </c>
      <c r="AT29" s="31">
        <v>838.99</v>
      </c>
      <c r="AU29" s="32" t="s">
        <v>3818</v>
      </c>
      <c r="AV29" s="31">
        <v>100.0</v>
      </c>
      <c r="AW29" s="33">
        <f>'Old Balance Sheet'!I29 + 'ACPL Calculations - 1.0'!I29 + 'ACPL Calculations - 2.0'!I29</f>
        <v>0</v>
      </c>
      <c r="AX29" s="30" t="s">
        <v>3820</v>
      </c>
      <c r="AY29" s="31">
        <v>290.0</v>
      </c>
      <c r="AZ29" s="32" t="s">
        <v>3818</v>
      </c>
      <c r="BA29" s="31">
        <v>100.0</v>
      </c>
      <c r="BB29" s="33">
        <f>'Old Balance Sheet'!J29 + 'ACPL Calculations - 1.0'!J29 + 'ACPL Calculations - 2.0'!J29</f>
        <v>0</v>
      </c>
      <c r="BC29" s="30" t="s">
        <v>3820</v>
      </c>
      <c r="BD29" s="31">
        <v>205.0</v>
      </c>
      <c r="BE29" s="32" t="s">
        <v>3818</v>
      </c>
      <c r="BF29" s="31">
        <v>100.0</v>
      </c>
      <c r="BG29" s="33">
        <f>'Old Balance Sheet'!K29 + 'ACPL Calculations - 1.0'!K29 + 'ACPL Calculations - 2.0'!K29</f>
        <v>0</v>
      </c>
      <c r="BH29" s="30" t="s">
        <v>3820</v>
      </c>
      <c r="BI29" s="31">
        <v>205.0</v>
      </c>
      <c r="BJ29" s="32" t="s">
        <v>3818</v>
      </c>
      <c r="BK29" s="31">
        <v>100.0</v>
      </c>
      <c r="BL29" s="33">
        <f>'Old Balance Sheet'!L29 + 'ACPL Calculations - 1.0'!L29 + 'ACPL Calculations - 2.0'!L29</f>
        <v>0</v>
      </c>
      <c r="BM29" s="33"/>
      <c r="BN29" s="33"/>
      <c r="BO29" s="33"/>
      <c r="BP29" s="33"/>
      <c r="BQ29" s="33"/>
      <c r="BR29" s="33"/>
      <c r="BS29" s="33"/>
      <c r="BT29" s="33"/>
      <c r="BU29" s="33"/>
      <c r="BV29" s="33"/>
      <c r="BW29" s="33"/>
      <c r="BX29" s="33"/>
      <c r="BY29" s="33"/>
      <c r="BZ29" s="33"/>
      <c r="CA29" s="33"/>
      <c r="CB29" s="33"/>
      <c r="CC29" s="33"/>
      <c r="CD29" s="33"/>
      <c r="CE29" s="33"/>
      <c r="CF29" s="33"/>
      <c r="CG29" s="33"/>
      <c r="CH29" s="33"/>
      <c r="CI29" s="33"/>
      <c r="CJ29" s="33"/>
      <c r="CK29" s="33"/>
      <c r="CL29" s="33">
        <f t="shared" si="1"/>
        <v>403</v>
      </c>
      <c r="CM29" s="33">
        <f>'Old Balance Sheet'!R29 + 'ACPL Calculations - 1.0'!S29 + 'ACPL Calculations - 2.0'!S29</f>
        <v>226470</v>
      </c>
      <c r="CN29" s="33">
        <f>'Old Balance Sheet'!S29 + 'ACPL Calculations - 1.0'!T29 + 'ACPL Calculations - 2.0'!T29</f>
        <v>67750</v>
      </c>
      <c r="CO29" s="33">
        <f t="shared" si="2"/>
        <v>102296.89</v>
      </c>
      <c r="CP29" s="33">
        <f>'Old Balance Sheet'!T29 + 'ACPL Calculations - 1.0'!V29 + 'ACPL Calculations - 2.0'!V29</f>
        <v>151.02</v>
      </c>
      <c r="CQ29" s="33">
        <f>'Old Balance Sheet'!U29 + 'ACPL Calculations - 1.0'!W29 + 'ACPL Calculations - 2.0'!W29</f>
        <v>151.02</v>
      </c>
      <c r="CR29" s="33">
        <f>'Old Balance Sheet'!V29 + 'ACPL Calculations - 1.0'!X29 + 'ACPL Calculations - 2.0'!X29</f>
        <v>34244.85</v>
      </c>
      <c r="CS29" s="33">
        <f t="shared" si="3"/>
        <v>34546.89</v>
      </c>
      <c r="CT29" s="35"/>
      <c r="CU29" s="35"/>
      <c r="CV29" s="35"/>
      <c r="CW29" s="36">
        <f>'Old Balance Sheet'!W29 + 'ACPL Calculations - 1.0'!Z29 + 'ACPL Calculations - 2.0'!Z29</f>
        <v>0</v>
      </c>
      <c r="CX29" s="36">
        <f>'Old Balance Sheet'!X29 + 'ACPL Calculations - 1.0'!AA29 + 'ACPL Calculations - 2.0'!AA29</f>
        <v>0</v>
      </c>
      <c r="CY29" s="37">
        <v>0.0</v>
      </c>
      <c r="CZ29" s="38">
        <f>'Old Balance Sheet'!Y29 + 'ACPL Calculations - 1.0'!AB29 + 'ACPL Calculations - 2.0'!AB29</f>
        <v>0</v>
      </c>
      <c r="DA29" s="38">
        <f>'Old Balance Sheet'!Z29 + 'ACPL Calculations - 1.0'!AC29 + 'ACPL Calculations - 2.0'!AC29</f>
        <v>0</v>
      </c>
      <c r="DB29" s="38">
        <f>'Old Balance Sheet'!AA29 + 'ACPL Calculations - 1.0'!AD29 + 'ACPL Calculations - 2.0'!AD29</f>
        <v>0</v>
      </c>
      <c r="DC29" s="38">
        <f>'Old Balance Sheet'!AB29 + 'ACPL Calculations - 1.0'!AE29 + 'ACPL Calculations - 2.0'!AE29</f>
        <v>0</v>
      </c>
      <c r="DD29" s="38">
        <f t="shared" si="4"/>
        <v>0</v>
      </c>
      <c r="DE29" s="33">
        <f t="shared" si="5"/>
        <v>0</v>
      </c>
      <c r="DF29" s="35">
        <v>0.0</v>
      </c>
      <c r="DG29" s="35">
        <v>0.0</v>
      </c>
      <c r="DH29" s="35">
        <v>0.0</v>
      </c>
      <c r="DI29" s="35">
        <v>0.0</v>
      </c>
      <c r="DJ29" s="35">
        <v>0.0</v>
      </c>
      <c r="DK29" s="35">
        <v>0.0</v>
      </c>
      <c r="DL29" s="35">
        <v>0.0</v>
      </c>
      <c r="DM29" s="35">
        <v>0.0</v>
      </c>
      <c r="DN29" s="31">
        <v>0.0</v>
      </c>
      <c r="DO29" s="31">
        <v>0.0</v>
      </c>
      <c r="DP29" s="31">
        <v>0.0</v>
      </c>
      <c r="DQ29" s="31">
        <v>0.0</v>
      </c>
      <c r="DR29" s="31">
        <v>0.0</v>
      </c>
      <c r="DS29" s="31">
        <v>0.0</v>
      </c>
      <c r="DT29" s="31">
        <f>'Old Balance Sheet'!AC29</f>
        <v>0</v>
      </c>
      <c r="DU29" s="31">
        <f>DT29 + SUMIFS('Payments Log'!D:D, 'Payments Log'!B:B, A29, 'Payments Log'!L:L, "Approved", 'Payments Log'!M:M, "Credit") + 'Old Balance Sheet'!AD29 - 'Old Balance Sheet'!AC29</f>
        <v>0</v>
      </c>
      <c r="DV29" s="31">
        <f>SUMIFS('Payments Log'!D:D, 'Payments Log'!B:B, A29, 'Payments Log'!L:L, "Approved", 'Payments Log'!M:M, "Adjustment Credit") - SUMIFS('Payments Log'!D:D, 'Payments Log'!B:B, A29, 'Payments Log'!L:L, "Approved", 'Payments Log'!M:M, "Adjustment Debit") + 'Old Balance Sheet'!AE29</f>
        <v>0</v>
      </c>
      <c r="DW29" s="31">
        <f>IF(MAXIFS('Payments Log'!N:N, 'Payments Log'!L:L, "Approved", 'Payments Log'!M:M, "Credit", 'Payments Log'!B:B, A29) &gt; MAXIFS('Payments Log'!N:N, 'Payments Log'!L:L, "Approved", 'Payments Log'!M:M, "Virtual Credit", 'Payments Log'!B:B, A29), 0, SUMIFS('Payments Log'!D:D, 'Payments Log'!N:N, MAXIFS('Payments Log'!N:N, 'Payments Log'!L:L, "Approved", 'Payments Log'!M:M, "Virtual Credit", 'Payments Log'!B:B, A29)))</f>
        <v>0</v>
      </c>
      <c r="DX29" s="33">
        <f t="shared" si="6"/>
        <v>0</v>
      </c>
      <c r="DY29" s="33">
        <f t="shared" si="7"/>
        <v>0</v>
      </c>
      <c r="DZ29" s="33">
        <f t="shared" si="8"/>
        <v>0</v>
      </c>
      <c r="EA29" s="25" t="str">
        <f>(Sheet1!N29)</f>
        <v>Jain Motorcycle Company</v>
      </c>
      <c r="EB29" s="25" t="str">
        <f>(Sheet1!O29)</f>
        <v>184Y3L-ZLT7vcLiFDItIcLa-18phpzEbgBCBDgt_LGCQ</v>
      </c>
      <c r="EC29" s="26" t="str">
        <f>(Sheet1!P29)</f>
        <v>Sub Dealer</v>
      </c>
      <c r="ED29" s="34" t="s">
        <v>13</v>
      </c>
    </row>
    <row r="30">
      <c r="A30" s="25" t="str">
        <f>(Sheet1!A30)</f>
        <v>1WH65I6cboV1MjKQhx3zM2QiEmuHtQjnKUssDiU-VP7k</v>
      </c>
      <c r="B30" s="25" t="str">
        <f>(Sheet1!B30)</f>
        <v>Upadhayay Motors (JMC)</v>
      </c>
      <c r="C30" s="30" t="s">
        <v>13</v>
      </c>
      <c r="D30" s="30" t="s">
        <v>72</v>
      </c>
      <c r="E30" s="30" t="s">
        <v>3820</v>
      </c>
      <c r="F30" s="31">
        <v>170.0</v>
      </c>
      <c r="G30" s="32" t="s">
        <v>3818</v>
      </c>
      <c r="H30" s="31">
        <v>100.0</v>
      </c>
      <c r="I30" s="33">
        <f>'Old Balance Sheet'!A30 + 'ACPL Calculations - 1.0'!A30 + 'ACPL Calculations - 2.0'!A30</f>
        <v>564</v>
      </c>
      <c r="J30" s="30" t="s">
        <v>3820</v>
      </c>
      <c r="K30" s="31">
        <v>170.0</v>
      </c>
      <c r="L30" s="32" t="s">
        <v>3818</v>
      </c>
      <c r="M30" s="31">
        <v>100.0</v>
      </c>
      <c r="N30" s="33">
        <f>'Old Balance Sheet'!B30 + 'ACPL Calculations - 1.0'!B30 + 'ACPL Calculations - 2.0'!B30</f>
        <v>0</v>
      </c>
      <c r="O30" s="30" t="s">
        <v>3820</v>
      </c>
      <c r="P30" s="31">
        <v>170.0</v>
      </c>
      <c r="Q30" s="32" t="s">
        <v>3818</v>
      </c>
      <c r="R30" s="31">
        <v>100.0</v>
      </c>
      <c r="S30" s="33">
        <f>'Old Balance Sheet'!C30 + 'ACPL Calculations - 1.0'!C30 + 'ACPL Calculations - 2.0'!C30</f>
        <v>70</v>
      </c>
      <c r="T30" s="30" t="s">
        <v>3820</v>
      </c>
      <c r="U30" s="31">
        <v>170.0</v>
      </c>
      <c r="V30" s="32" t="s">
        <v>3818</v>
      </c>
      <c r="W30" s="31">
        <v>100.0</v>
      </c>
      <c r="X30" s="33">
        <f>'Old Balance Sheet'!D30 + 'ACPL Calculations - 1.0'!D30 + 'ACPL Calculations - 2.0'!D30</f>
        <v>0</v>
      </c>
      <c r="Y30" s="30" t="s">
        <v>3820</v>
      </c>
      <c r="Z30" s="31">
        <v>170.0</v>
      </c>
      <c r="AA30" s="32" t="s">
        <v>3818</v>
      </c>
      <c r="AB30" s="31">
        <v>100.0</v>
      </c>
      <c r="AC30" s="33">
        <f>'Old Balance Sheet'!E30 + 'ACPL Calculations - 1.0'!E30 + 'ACPL Calculations - 2.0'!E30</f>
        <v>0</v>
      </c>
      <c r="AD30" s="30" t="s">
        <v>3820</v>
      </c>
      <c r="AE30" s="34">
        <v>838.99</v>
      </c>
      <c r="AF30" s="32" t="s">
        <v>3818</v>
      </c>
      <c r="AG30" s="31">
        <v>100.0</v>
      </c>
      <c r="AH30" s="33">
        <f>'Old Balance Sheet'!F30 + 'ACPL Calculations - 1.0'!F30 + 'ACPL Calculations - 2.0'!F30</f>
        <v>0</v>
      </c>
      <c r="AI30" s="30" t="s">
        <v>3820</v>
      </c>
      <c r="AJ30" s="31">
        <v>170.0</v>
      </c>
      <c r="AK30" s="32" t="s">
        <v>3818</v>
      </c>
      <c r="AL30" s="31">
        <v>100.0</v>
      </c>
      <c r="AM30" s="33">
        <f>'Old Balance Sheet'!G30 + 'ACPL Calculations - 1.0'!G30 + 'ACPL Calculations - 2.0'!G30</f>
        <v>0</v>
      </c>
      <c r="AN30" s="30" t="s">
        <v>3820</v>
      </c>
      <c r="AO30" s="31">
        <v>170.0</v>
      </c>
      <c r="AP30" s="32" t="s">
        <v>3818</v>
      </c>
      <c r="AQ30" s="31">
        <v>100.0</v>
      </c>
      <c r="AR30" s="33">
        <f>'Old Balance Sheet'!H30 + 'ACPL Calculations - 1.0'!H30 + 'ACPL Calculations - 2.0'!H30</f>
        <v>43</v>
      </c>
      <c r="AS30" s="30" t="s">
        <v>3819</v>
      </c>
      <c r="AT30" s="31">
        <v>838.99</v>
      </c>
      <c r="AU30" s="32" t="s">
        <v>3818</v>
      </c>
      <c r="AV30" s="31">
        <v>100.0</v>
      </c>
      <c r="AW30" s="33">
        <f>'Old Balance Sheet'!I30 + 'ACPL Calculations - 1.0'!I30 + 'ACPL Calculations - 2.0'!I30</f>
        <v>0</v>
      </c>
      <c r="AX30" s="30" t="s">
        <v>3820</v>
      </c>
      <c r="AY30" s="31">
        <v>290.0</v>
      </c>
      <c r="AZ30" s="32" t="s">
        <v>3818</v>
      </c>
      <c r="BA30" s="31">
        <v>100.0</v>
      </c>
      <c r="BB30" s="33">
        <f>'Old Balance Sheet'!J30 + 'ACPL Calculations - 1.0'!J30 + 'ACPL Calculations - 2.0'!J30</f>
        <v>0</v>
      </c>
      <c r="BC30" s="30" t="s">
        <v>3820</v>
      </c>
      <c r="BD30" s="31">
        <v>205.0</v>
      </c>
      <c r="BE30" s="32" t="s">
        <v>3818</v>
      </c>
      <c r="BF30" s="31">
        <v>100.0</v>
      </c>
      <c r="BG30" s="33">
        <f>'Old Balance Sheet'!K30 + 'ACPL Calculations - 1.0'!K30 + 'ACPL Calculations - 2.0'!K30</f>
        <v>0</v>
      </c>
      <c r="BH30" s="30" t="s">
        <v>3820</v>
      </c>
      <c r="BI30" s="31">
        <v>205.0</v>
      </c>
      <c r="BJ30" s="32" t="s">
        <v>3818</v>
      </c>
      <c r="BK30" s="31">
        <v>100.0</v>
      </c>
      <c r="BL30" s="33">
        <f>'Old Balance Sheet'!L30 + 'ACPL Calculations - 1.0'!L30 + 'ACPL Calculations - 2.0'!L30</f>
        <v>0</v>
      </c>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f t="shared" si="1"/>
        <v>677</v>
      </c>
      <c r="CM30" s="33">
        <f>'Old Balance Sheet'!R30 + 'ACPL Calculations - 1.0'!S30 + 'ACPL Calculations - 2.0'!S30</f>
        <v>315530</v>
      </c>
      <c r="CN30" s="33">
        <f>'Old Balance Sheet'!S30 + 'ACPL Calculations - 1.0'!T30 + 'ACPL Calculations - 2.0'!T30</f>
        <v>112140</v>
      </c>
      <c r="CO30" s="33">
        <f t="shared" si="2"/>
        <v>160270.94</v>
      </c>
      <c r="CP30" s="33">
        <f>'Old Balance Sheet'!T30 + 'ACPL Calculations - 1.0'!V30 + 'ACPL Calculations - 2.0'!V30</f>
        <v>0</v>
      </c>
      <c r="CQ30" s="33">
        <f>'Old Balance Sheet'!U30 + 'ACPL Calculations - 1.0'!W30 + 'ACPL Calculations - 2.0'!W30</f>
        <v>0</v>
      </c>
      <c r="CR30" s="33">
        <f>'Old Balance Sheet'!V30 + 'ACPL Calculations - 1.0'!X30 + 'ACPL Calculations - 2.0'!X30</f>
        <v>48130.94</v>
      </c>
      <c r="CS30" s="33">
        <f t="shared" si="3"/>
        <v>48130.94</v>
      </c>
      <c r="CT30" s="35"/>
      <c r="CU30" s="35"/>
      <c r="CV30" s="35"/>
      <c r="CW30" s="36">
        <f>'Old Balance Sheet'!W30 + 'ACPL Calculations - 1.0'!Z30 + 'ACPL Calculations - 2.0'!Z30</f>
        <v>0</v>
      </c>
      <c r="CX30" s="36">
        <f>'Old Balance Sheet'!X30 + 'ACPL Calculations - 1.0'!AA30 + 'ACPL Calculations - 2.0'!AA30</f>
        <v>0</v>
      </c>
      <c r="CY30" s="37">
        <v>0.0</v>
      </c>
      <c r="CZ30" s="38">
        <f>'Old Balance Sheet'!Y30 + 'ACPL Calculations - 1.0'!AB30 + 'ACPL Calculations - 2.0'!AB30</f>
        <v>0</v>
      </c>
      <c r="DA30" s="38">
        <f>'Old Balance Sheet'!Z30 + 'ACPL Calculations - 1.0'!AC30 + 'ACPL Calculations - 2.0'!AC30</f>
        <v>0</v>
      </c>
      <c r="DB30" s="38">
        <f>'Old Balance Sheet'!AA30 + 'ACPL Calculations - 1.0'!AD30 + 'ACPL Calculations - 2.0'!AD30</f>
        <v>0</v>
      </c>
      <c r="DC30" s="38">
        <f>'Old Balance Sheet'!AB30 + 'ACPL Calculations - 1.0'!AE30 + 'ACPL Calculations - 2.0'!AE30</f>
        <v>0</v>
      </c>
      <c r="DD30" s="38">
        <f t="shared" si="4"/>
        <v>0</v>
      </c>
      <c r="DE30" s="33">
        <f t="shared" si="5"/>
        <v>0</v>
      </c>
      <c r="DF30" s="35">
        <v>0.0</v>
      </c>
      <c r="DG30" s="35">
        <v>0.0</v>
      </c>
      <c r="DH30" s="35">
        <v>0.0</v>
      </c>
      <c r="DI30" s="35">
        <v>0.0</v>
      </c>
      <c r="DJ30" s="35">
        <v>0.0</v>
      </c>
      <c r="DK30" s="35">
        <v>0.0</v>
      </c>
      <c r="DL30" s="35">
        <v>0.0</v>
      </c>
      <c r="DM30" s="35">
        <v>0.0</v>
      </c>
      <c r="DN30" s="31">
        <v>0.0</v>
      </c>
      <c r="DO30" s="31">
        <v>0.0</v>
      </c>
      <c r="DP30" s="31">
        <v>0.0</v>
      </c>
      <c r="DQ30" s="31">
        <v>0.0</v>
      </c>
      <c r="DR30" s="31">
        <v>0.0</v>
      </c>
      <c r="DS30" s="31">
        <v>0.0</v>
      </c>
      <c r="DT30" s="31">
        <f>'Old Balance Sheet'!AC30</f>
        <v>0</v>
      </c>
      <c r="DU30" s="31">
        <f>DT30 + SUMIFS('Payments Log'!D:D, 'Payments Log'!B:B, A30, 'Payments Log'!L:L, "Approved", 'Payments Log'!M:M, "Credit") + 'Old Balance Sheet'!AD30 - 'Old Balance Sheet'!AC30</f>
        <v>0</v>
      </c>
      <c r="DV30" s="31">
        <f>SUMIFS('Payments Log'!D:D, 'Payments Log'!B:B, A30, 'Payments Log'!L:L, "Approved", 'Payments Log'!M:M, "Adjustment Credit") - SUMIFS('Payments Log'!D:D, 'Payments Log'!B:B, A30, 'Payments Log'!L:L, "Approved", 'Payments Log'!M:M, "Adjustment Debit") + 'Old Balance Sheet'!AE30</f>
        <v>0</v>
      </c>
      <c r="DW30" s="31">
        <f>IF(MAXIFS('Payments Log'!N:N, 'Payments Log'!L:L, "Approved", 'Payments Log'!M:M, "Credit", 'Payments Log'!B:B, A30) &gt; MAXIFS('Payments Log'!N:N, 'Payments Log'!L:L, "Approved", 'Payments Log'!M:M, "Virtual Credit", 'Payments Log'!B:B, A30), 0, SUMIFS('Payments Log'!D:D, 'Payments Log'!N:N, MAXIFS('Payments Log'!N:N, 'Payments Log'!L:L, "Approved", 'Payments Log'!M:M, "Virtual Credit", 'Payments Log'!B:B, A30)))</f>
        <v>0</v>
      </c>
      <c r="DX30" s="33">
        <f t="shared" si="6"/>
        <v>0</v>
      </c>
      <c r="DY30" s="33">
        <f t="shared" si="7"/>
        <v>0</v>
      </c>
      <c r="DZ30" s="33">
        <f t="shared" si="8"/>
        <v>0</v>
      </c>
      <c r="EA30" s="25" t="str">
        <f>(Sheet1!N30)</f>
        <v>Jain Motorcycle Company</v>
      </c>
      <c r="EB30" s="25" t="str">
        <f>(Sheet1!O30)</f>
        <v>184Y3L-ZLT7vcLiFDItIcLa-18phpzEbgBCBDgt_LGCQ</v>
      </c>
      <c r="EC30" s="26" t="str">
        <f>(Sheet1!P30)</f>
        <v>Sub Dealer</v>
      </c>
      <c r="ED30" s="34" t="s">
        <v>13</v>
      </c>
    </row>
    <row r="31">
      <c r="A31" s="25" t="str">
        <f>(Sheet1!A31)</f>
        <v>1ipiizJhZiRSwa-HGPYAXoFXM18mwPYV5FEGfOTvybvk</v>
      </c>
      <c r="B31" s="25" t="str">
        <f>(Sheet1!B31)</f>
        <v>Mahendra Motors (JMC)</v>
      </c>
      <c r="C31" s="30" t="s">
        <v>13</v>
      </c>
      <c r="D31" s="30" t="s">
        <v>72</v>
      </c>
      <c r="E31" s="30" t="s">
        <v>3820</v>
      </c>
      <c r="F31" s="31">
        <v>170.0</v>
      </c>
      <c r="G31" s="32" t="s">
        <v>3818</v>
      </c>
      <c r="H31" s="31">
        <v>100.0</v>
      </c>
      <c r="I31" s="33">
        <f>'Old Balance Sheet'!A31 + 'ACPL Calculations - 1.0'!A31 + 'ACPL Calculations - 2.0'!A31</f>
        <v>339</v>
      </c>
      <c r="J31" s="30" t="s">
        <v>3820</v>
      </c>
      <c r="K31" s="31">
        <v>170.0</v>
      </c>
      <c r="L31" s="32" t="s">
        <v>3818</v>
      </c>
      <c r="M31" s="31">
        <v>100.0</v>
      </c>
      <c r="N31" s="33">
        <f>'Old Balance Sheet'!B31 + 'ACPL Calculations - 1.0'!B31 + 'ACPL Calculations - 2.0'!B31</f>
        <v>0</v>
      </c>
      <c r="O31" s="30" t="s">
        <v>3820</v>
      </c>
      <c r="P31" s="31">
        <v>170.0</v>
      </c>
      <c r="Q31" s="32" t="s">
        <v>3818</v>
      </c>
      <c r="R31" s="31">
        <v>100.0</v>
      </c>
      <c r="S31" s="33">
        <f>'Old Balance Sheet'!C31 + 'ACPL Calculations - 1.0'!C31 + 'ACPL Calculations - 2.0'!C31</f>
        <v>63</v>
      </c>
      <c r="T31" s="30" t="s">
        <v>3820</v>
      </c>
      <c r="U31" s="31">
        <v>170.0</v>
      </c>
      <c r="V31" s="32" t="s">
        <v>3818</v>
      </c>
      <c r="W31" s="31">
        <v>100.0</v>
      </c>
      <c r="X31" s="33">
        <f>'Old Balance Sheet'!D31 + 'ACPL Calculations - 1.0'!D31 + 'ACPL Calculations - 2.0'!D31</f>
        <v>0</v>
      </c>
      <c r="Y31" s="30" t="s">
        <v>3820</v>
      </c>
      <c r="Z31" s="31">
        <v>170.0</v>
      </c>
      <c r="AA31" s="32" t="s">
        <v>3818</v>
      </c>
      <c r="AB31" s="31">
        <v>100.0</v>
      </c>
      <c r="AC31" s="33">
        <f>'Old Balance Sheet'!E31 + 'ACPL Calculations - 1.0'!E31 + 'ACPL Calculations - 2.0'!E31</f>
        <v>0</v>
      </c>
      <c r="AD31" s="30" t="s">
        <v>3820</v>
      </c>
      <c r="AE31" s="34">
        <v>838.99</v>
      </c>
      <c r="AF31" s="32" t="s">
        <v>3818</v>
      </c>
      <c r="AG31" s="31">
        <v>100.0</v>
      </c>
      <c r="AH31" s="33">
        <f>'Old Balance Sheet'!F31 + 'ACPL Calculations - 1.0'!F31 + 'ACPL Calculations - 2.0'!F31</f>
        <v>0</v>
      </c>
      <c r="AI31" s="30" t="s">
        <v>3820</v>
      </c>
      <c r="AJ31" s="31">
        <v>170.0</v>
      </c>
      <c r="AK31" s="32" t="s">
        <v>3818</v>
      </c>
      <c r="AL31" s="31">
        <v>100.0</v>
      </c>
      <c r="AM31" s="33">
        <f>'Old Balance Sheet'!G31 + 'ACPL Calculations - 1.0'!G31 + 'ACPL Calculations - 2.0'!G31</f>
        <v>0</v>
      </c>
      <c r="AN31" s="30" t="s">
        <v>3820</v>
      </c>
      <c r="AO31" s="31">
        <v>170.0</v>
      </c>
      <c r="AP31" s="32" t="s">
        <v>3818</v>
      </c>
      <c r="AQ31" s="31">
        <v>100.0</v>
      </c>
      <c r="AR31" s="33">
        <f>'Old Balance Sheet'!H31 + 'ACPL Calculations - 1.0'!H31 + 'ACPL Calculations - 2.0'!H31</f>
        <v>95</v>
      </c>
      <c r="AS31" s="30" t="s">
        <v>3819</v>
      </c>
      <c r="AT31" s="31">
        <v>838.99</v>
      </c>
      <c r="AU31" s="32" t="s">
        <v>3818</v>
      </c>
      <c r="AV31" s="31">
        <v>100.0</v>
      </c>
      <c r="AW31" s="33">
        <f>'Old Balance Sheet'!I31 + 'ACPL Calculations - 1.0'!I31 + 'ACPL Calculations - 2.0'!I31</f>
        <v>0</v>
      </c>
      <c r="AX31" s="30" t="s">
        <v>3820</v>
      </c>
      <c r="AY31" s="31">
        <v>290.0</v>
      </c>
      <c r="AZ31" s="32" t="s">
        <v>3818</v>
      </c>
      <c r="BA31" s="31">
        <v>100.0</v>
      </c>
      <c r="BB31" s="33">
        <f>'Old Balance Sheet'!J31 + 'ACPL Calculations - 1.0'!J31 + 'ACPL Calculations - 2.0'!J31</f>
        <v>0</v>
      </c>
      <c r="BC31" s="30" t="s">
        <v>3820</v>
      </c>
      <c r="BD31" s="31">
        <v>205.0</v>
      </c>
      <c r="BE31" s="32" t="s">
        <v>3818</v>
      </c>
      <c r="BF31" s="31">
        <v>100.0</v>
      </c>
      <c r="BG31" s="33">
        <f>'Old Balance Sheet'!K31 + 'ACPL Calculations - 1.0'!K31 + 'ACPL Calculations - 2.0'!K31</f>
        <v>0</v>
      </c>
      <c r="BH31" s="30" t="s">
        <v>3820</v>
      </c>
      <c r="BI31" s="31">
        <v>205.0</v>
      </c>
      <c r="BJ31" s="32" t="s">
        <v>3818</v>
      </c>
      <c r="BK31" s="31">
        <v>100.0</v>
      </c>
      <c r="BL31" s="33">
        <f>'Old Balance Sheet'!L31 + 'ACPL Calculations - 1.0'!L31 + 'ACPL Calculations - 2.0'!L31</f>
        <v>0</v>
      </c>
      <c r="BM31" s="33"/>
      <c r="BN31" s="33"/>
      <c r="BO31" s="33"/>
      <c r="BP31" s="33"/>
      <c r="BQ31" s="33"/>
      <c r="BR31" s="33"/>
      <c r="BS31" s="33"/>
      <c r="BT31" s="33"/>
      <c r="BU31" s="33"/>
      <c r="BV31" s="33"/>
      <c r="BW31" s="33"/>
      <c r="BX31" s="33"/>
      <c r="BY31" s="33"/>
      <c r="BZ31" s="33"/>
      <c r="CA31" s="33"/>
      <c r="CB31" s="33"/>
      <c r="CC31" s="33"/>
      <c r="CD31" s="33"/>
      <c r="CE31" s="33"/>
      <c r="CF31" s="33"/>
      <c r="CG31" s="33"/>
      <c r="CH31" s="33"/>
      <c r="CI31" s="33"/>
      <c r="CJ31" s="33"/>
      <c r="CK31" s="33"/>
      <c r="CL31" s="33">
        <f t="shared" si="1"/>
        <v>497</v>
      </c>
      <c r="CM31" s="33">
        <f>'Old Balance Sheet'!R31 + 'ACPL Calculations - 1.0'!S31 + 'ACPL Calculations - 2.0'!S31</f>
        <v>300130</v>
      </c>
      <c r="CN31" s="33">
        <f>'Old Balance Sheet'!S31 + 'ACPL Calculations - 1.0'!T31 + 'ACPL Calculations - 2.0'!T31</f>
        <v>82470</v>
      </c>
      <c r="CO31" s="33">
        <f t="shared" si="2"/>
        <v>128253.8</v>
      </c>
      <c r="CP31" s="33">
        <f>'Old Balance Sheet'!T31 + 'ACPL Calculations - 1.0'!V31 + 'ACPL Calculations - 2.0'!V31</f>
        <v>75.51</v>
      </c>
      <c r="CQ31" s="33">
        <f>'Old Balance Sheet'!U31 + 'ACPL Calculations - 1.0'!W31 + 'ACPL Calculations - 2.0'!W31</f>
        <v>75.51</v>
      </c>
      <c r="CR31" s="33">
        <f>'Old Balance Sheet'!V31 + 'ACPL Calculations - 1.0'!X31 + 'ACPL Calculations - 2.0'!X31</f>
        <v>45632.78</v>
      </c>
      <c r="CS31" s="33">
        <f t="shared" si="3"/>
        <v>45783.8</v>
      </c>
      <c r="CT31" s="35"/>
      <c r="CU31" s="35"/>
      <c r="CV31" s="35"/>
      <c r="CW31" s="36">
        <f>'Old Balance Sheet'!W31 + 'ACPL Calculations - 1.0'!Z31 + 'ACPL Calculations - 2.0'!Z31</f>
        <v>0</v>
      </c>
      <c r="CX31" s="36">
        <f>'Old Balance Sheet'!X31 + 'ACPL Calculations - 1.0'!AA31 + 'ACPL Calculations - 2.0'!AA31</f>
        <v>0</v>
      </c>
      <c r="CY31" s="37">
        <v>0.0</v>
      </c>
      <c r="CZ31" s="38">
        <f>'Old Balance Sheet'!Y31 + 'ACPL Calculations - 1.0'!AB31 + 'ACPL Calculations - 2.0'!AB31</f>
        <v>0</v>
      </c>
      <c r="DA31" s="38">
        <f>'Old Balance Sheet'!Z31 + 'ACPL Calculations - 1.0'!AC31 + 'ACPL Calculations - 2.0'!AC31</f>
        <v>0</v>
      </c>
      <c r="DB31" s="38">
        <f>'Old Balance Sheet'!AA31 + 'ACPL Calculations - 1.0'!AD31 + 'ACPL Calculations - 2.0'!AD31</f>
        <v>0</v>
      </c>
      <c r="DC31" s="38">
        <f>'Old Balance Sheet'!AB31 + 'ACPL Calculations - 1.0'!AE31 + 'ACPL Calculations - 2.0'!AE31</f>
        <v>0</v>
      </c>
      <c r="DD31" s="38">
        <f t="shared" si="4"/>
        <v>0</v>
      </c>
      <c r="DE31" s="33">
        <f t="shared" si="5"/>
        <v>0</v>
      </c>
      <c r="DF31" s="35">
        <v>0.0</v>
      </c>
      <c r="DG31" s="35">
        <v>0.0</v>
      </c>
      <c r="DH31" s="35">
        <v>0.0</v>
      </c>
      <c r="DI31" s="35">
        <v>0.0</v>
      </c>
      <c r="DJ31" s="35">
        <v>0.0</v>
      </c>
      <c r="DK31" s="35">
        <v>0.0</v>
      </c>
      <c r="DL31" s="35">
        <v>0.0</v>
      </c>
      <c r="DM31" s="35">
        <v>0.0</v>
      </c>
      <c r="DN31" s="31">
        <v>0.0</v>
      </c>
      <c r="DO31" s="31">
        <v>0.0</v>
      </c>
      <c r="DP31" s="31">
        <v>0.0</v>
      </c>
      <c r="DQ31" s="31">
        <v>0.0</v>
      </c>
      <c r="DR31" s="31">
        <v>0.0</v>
      </c>
      <c r="DS31" s="31">
        <v>0.0</v>
      </c>
      <c r="DT31" s="31">
        <f>'Old Balance Sheet'!AC31</f>
        <v>0</v>
      </c>
      <c r="DU31" s="31">
        <f>DT31 + SUMIFS('Payments Log'!D:D, 'Payments Log'!B:B, A31, 'Payments Log'!L:L, "Approved", 'Payments Log'!M:M, "Credit") + 'Old Balance Sheet'!AD31 - 'Old Balance Sheet'!AC31</f>
        <v>0</v>
      </c>
      <c r="DV31" s="31">
        <f>SUMIFS('Payments Log'!D:D, 'Payments Log'!B:B, A31, 'Payments Log'!L:L, "Approved", 'Payments Log'!M:M, "Adjustment Credit") - SUMIFS('Payments Log'!D:D, 'Payments Log'!B:B, A31, 'Payments Log'!L:L, "Approved", 'Payments Log'!M:M, "Adjustment Debit") + 'Old Balance Sheet'!AE31</f>
        <v>0</v>
      </c>
      <c r="DW31" s="31">
        <f>IF(MAXIFS('Payments Log'!N:N, 'Payments Log'!L:L, "Approved", 'Payments Log'!M:M, "Credit", 'Payments Log'!B:B, A31) &gt; MAXIFS('Payments Log'!N:N, 'Payments Log'!L:L, "Approved", 'Payments Log'!M:M, "Virtual Credit", 'Payments Log'!B:B, A31), 0, SUMIFS('Payments Log'!D:D, 'Payments Log'!N:N, MAXIFS('Payments Log'!N:N, 'Payments Log'!L:L, "Approved", 'Payments Log'!M:M, "Virtual Credit", 'Payments Log'!B:B, A31)))</f>
        <v>0</v>
      </c>
      <c r="DX31" s="33">
        <f t="shared" si="6"/>
        <v>0</v>
      </c>
      <c r="DY31" s="33">
        <f t="shared" si="7"/>
        <v>0</v>
      </c>
      <c r="DZ31" s="33">
        <f t="shared" si="8"/>
        <v>0</v>
      </c>
      <c r="EA31" s="25" t="str">
        <f>(Sheet1!N31)</f>
        <v>Jain Motorcycle Company</v>
      </c>
      <c r="EB31" s="25" t="str">
        <f>(Sheet1!O31)</f>
        <v>184Y3L-ZLT7vcLiFDItIcLa-18phpzEbgBCBDgt_LGCQ</v>
      </c>
      <c r="EC31" s="26" t="str">
        <f>(Sheet1!P31)</f>
        <v>Sub Dealer</v>
      </c>
      <c r="ED31" s="34" t="s">
        <v>13</v>
      </c>
    </row>
    <row r="32">
      <c r="A32" s="25" t="str">
        <f>(Sheet1!A32)</f>
        <v>19bXssdH9Vj9S4-hnqEvDKXxBYkCZb2YideGN1EcSGyk</v>
      </c>
      <c r="B32" s="25" t="str">
        <f>(Sheet1!B32)</f>
        <v>Radha Motors (JMC)</v>
      </c>
      <c r="C32" s="30" t="s">
        <v>13</v>
      </c>
      <c r="D32" s="30" t="s">
        <v>72</v>
      </c>
      <c r="E32" s="30" t="s">
        <v>3820</v>
      </c>
      <c r="F32" s="31">
        <v>170.0</v>
      </c>
      <c r="G32" s="32" t="s">
        <v>3818</v>
      </c>
      <c r="H32" s="31">
        <v>100.0</v>
      </c>
      <c r="I32" s="33">
        <f>'Old Balance Sheet'!A32 + 'ACPL Calculations - 1.0'!A32 + 'ACPL Calculations - 2.0'!A32</f>
        <v>387</v>
      </c>
      <c r="J32" s="30" t="s">
        <v>3820</v>
      </c>
      <c r="K32" s="31">
        <v>170.0</v>
      </c>
      <c r="L32" s="32" t="s">
        <v>3818</v>
      </c>
      <c r="M32" s="31">
        <v>100.0</v>
      </c>
      <c r="N32" s="33">
        <f>'Old Balance Sheet'!B32 + 'ACPL Calculations - 1.0'!B32 + 'ACPL Calculations - 2.0'!B32</f>
        <v>0</v>
      </c>
      <c r="O32" s="30" t="s">
        <v>3820</v>
      </c>
      <c r="P32" s="31">
        <v>170.0</v>
      </c>
      <c r="Q32" s="32" t="s">
        <v>3818</v>
      </c>
      <c r="R32" s="31">
        <v>100.0</v>
      </c>
      <c r="S32" s="39">
        <f>'Old Balance Sheet'!C32 + 'ACPL Calculations - 1.0'!C32 + 'ACPL Calculations - 2.0'!C32</f>
        <v>0</v>
      </c>
      <c r="T32" s="30" t="s">
        <v>3820</v>
      </c>
      <c r="U32" s="31">
        <v>170.0</v>
      </c>
      <c r="V32" s="32" t="s">
        <v>3818</v>
      </c>
      <c r="W32" s="31">
        <v>100.0</v>
      </c>
      <c r="X32" s="33">
        <f>'Old Balance Sheet'!D32 + 'ACPL Calculations - 1.0'!D32 + 'ACPL Calculations - 2.0'!D32</f>
        <v>0</v>
      </c>
      <c r="Y32" s="30" t="s">
        <v>3820</v>
      </c>
      <c r="Z32" s="31">
        <v>170.0</v>
      </c>
      <c r="AA32" s="32" t="s">
        <v>3818</v>
      </c>
      <c r="AB32" s="31">
        <v>100.0</v>
      </c>
      <c r="AC32" s="33">
        <f>'Old Balance Sheet'!E32 + 'ACPL Calculations - 1.0'!E32 + 'ACPL Calculations - 2.0'!E32</f>
        <v>0</v>
      </c>
      <c r="AD32" s="30" t="s">
        <v>3820</v>
      </c>
      <c r="AE32" s="34">
        <v>838.99</v>
      </c>
      <c r="AF32" s="32" t="s">
        <v>3818</v>
      </c>
      <c r="AG32" s="31">
        <v>100.0</v>
      </c>
      <c r="AH32" s="33">
        <f>'Old Balance Sheet'!F32 + 'ACPL Calculations - 1.0'!F32 + 'ACPL Calculations - 2.0'!F32</f>
        <v>0</v>
      </c>
      <c r="AI32" s="30" t="s">
        <v>3820</v>
      </c>
      <c r="AJ32" s="31">
        <v>170.0</v>
      </c>
      <c r="AK32" s="32" t="s">
        <v>3818</v>
      </c>
      <c r="AL32" s="31">
        <v>100.0</v>
      </c>
      <c r="AM32" s="33">
        <f>'Old Balance Sheet'!G32 + 'ACPL Calculations - 1.0'!G32 + 'ACPL Calculations - 2.0'!G32</f>
        <v>0</v>
      </c>
      <c r="AN32" s="30" t="s">
        <v>3820</v>
      </c>
      <c r="AO32" s="31">
        <v>170.0</v>
      </c>
      <c r="AP32" s="32" t="s">
        <v>3818</v>
      </c>
      <c r="AQ32" s="31">
        <v>100.0</v>
      </c>
      <c r="AR32" s="33">
        <f>'Old Balance Sheet'!H32 + 'ACPL Calculations - 1.0'!H32 + 'ACPL Calculations - 2.0'!H32</f>
        <v>74</v>
      </c>
      <c r="AS32" s="30" t="s">
        <v>3819</v>
      </c>
      <c r="AT32" s="31">
        <v>838.99</v>
      </c>
      <c r="AU32" s="32" t="s">
        <v>3818</v>
      </c>
      <c r="AV32" s="31">
        <v>100.0</v>
      </c>
      <c r="AW32" s="33">
        <f>'Old Balance Sheet'!I32 + 'ACPL Calculations - 1.0'!I32 + 'ACPL Calculations - 2.0'!I32</f>
        <v>0</v>
      </c>
      <c r="AX32" s="30" t="s">
        <v>3820</v>
      </c>
      <c r="AY32" s="31">
        <v>290.0</v>
      </c>
      <c r="AZ32" s="32" t="s">
        <v>3818</v>
      </c>
      <c r="BA32" s="31">
        <v>100.0</v>
      </c>
      <c r="BB32" s="33">
        <f>'Old Balance Sheet'!J32 + 'ACPL Calculations - 1.0'!J32 + 'ACPL Calculations - 2.0'!J32</f>
        <v>0</v>
      </c>
      <c r="BC32" s="30" t="s">
        <v>3820</v>
      </c>
      <c r="BD32" s="31">
        <v>205.0</v>
      </c>
      <c r="BE32" s="32" t="s">
        <v>3818</v>
      </c>
      <c r="BF32" s="31">
        <v>100.0</v>
      </c>
      <c r="BG32" s="33">
        <f>'Old Balance Sheet'!K32 + 'ACPL Calculations - 1.0'!K32 + 'ACPL Calculations - 2.0'!K32</f>
        <v>0</v>
      </c>
      <c r="BH32" s="30" t="s">
        <v>3820</v>
      </c>
      <c r="BI32" s="31">
        <v>205.0</v>
      </c>
      <c r="BJ32" s="32" t="s">
        <v>3818</v>
      </c>
      <c r="BK32" s="31">
        <v>100.0</v>
      </c>
      <c r="BL32" s="33">
        <f>'Old Balance Sheet'!L32 + 'ACPL Calculations - 1.0'!L32 + 'ACPL Calculations - 2.0'!L32</f>
        <v>0</v>
      </c>
      <c r="BM32" s="33"/>
      <c r="BN32" s="33"/>
      <c r="BO32" s="33"/>
      <c r="BP32" s="33"/>
      <c r="BQ32" s="33"/>
      <c r="BR32" s="33"/>
      <c r="BS32" s="33"/>
      <c r="BT32" s="33"/>
      <c r="BU32" s="33"/>
      <c r="BV32" s="33"/>
      <c r="BW32" s="33"/>
      <c r="BX32" s="33"/>
      <c r="BY32" s="33"/>
      <c r="BZ32" s="33"/>
      <c r="CA32" s="33"/>
      <c r="CB32" s="33"/>
      <c r="CC32" s="33"/>
      <c r="CD32" s="33"/>
      <c r="CE32" s="33"/>
      <c r="CF32" s="33"/>
      <c r="CG32" s="33"/>
      <c r="CH32" s="33"/>
      <c r="CI32" s="33"/>
      <c r="CJ32" s="33"/>
      <c r="CK32" s="33"/>
      <c r="CL32" s="39">
        <f t="shared" si="1"/>
        <v>461</v>
      </c>
      <c r="CM32" s="33">
        <f>'Old Balance Sheet'!R32 + 'ACPL Calculations - 1.0'!S32 + 'ACPL Calculations - 2.0'!S32</f>
        <v>262890</v>
      </c>
      <c r="CN32" s="33">
        <f>'Old Balance Sheet'!S32 + 'ACPL Calculations - 1.0'!T32 + 'ACPL Calculations - 2.0'!T32</f>
        <v>76540</v>
      </c>
      <c r="CO32" s="33">
        <f t="shared" si="2"/>
        <v>116643.73</v>
      </c>
      <c r="CP32" s="33">
        <f>'Old Balance Sheet'!T32 + 'ACPL Calculations - 1.0'!V32 + 'ACPL Calculations - 2.0'!V32</f>
        <v>0</v>
      </c>
      <c r="CQ32" s="33">
        <f>'Old Balance Sheet'!U32 + 'ACPL Calculations - 1.0'!W32 + 'ACPL Calculations - 2.0'!W32</f>
        <v>0</v>
      </c>
      <c r="CR32" s="33">
        <f>'Old Balance Sheet'!V32 + 'ACPL Calculations - 1.0'!X32 + 'ACPL Calculations - 2.0'!X32</f>
        <v>40103.73</v>
      </c>
      <c r="CS32" s="33">
        <f t="shared" si="3"/>
        <v>40103.73</v>
      </c>
      <c r="CT32" s="35"/>
      <c r="CU32" s="35"/>
      <c r="CV32" s="35"/>
      <c r="CW32" s="36">
        <f>'Old Balance Sheet'!W32 + 'ACPL Calculations - 1.0'!Z32 + 'ACPL Calculations - 2.0'!Z32</f>
        <v>0</v>
      </c>
      <c r="CX32" s="36">
        <f>'Old Balance Sheet'!X32 + 'ACPL Calculations - 1.0'!AA32 + 'ACPL Calculations - 2.0'!AA32</f>
        <v>0</v>
      </c>
      <c r="CY32" s="37">
        <v>0.0</v>
      </c>
      <c r="CZ32" s="38">
        <f>'Old Balance Sheet'!Y32 + 'ACPL Calculations - 1.0'!AB32 + 'ACPL Calculations - 2.0'!AB32</f>
        <v>0</v>
      </c>
      <c r="DA32" s="38">
        <f>'Old Balance Sheet'!Z32 + 'ACPL Calculations - 1.0'!AC32 + 'ACPL Calculations - 2.0'!AC32</f>
        <v>0</v>
      </c>
      <c r="DB32" s="38">
        <f>'Old Balance Sheet'!AA32 + 'ACPL Calculations - 1.0'!AD32 + 'ACPL Calculations - 2.0'!AD32</f>
        <v>0</v>
      </c>
      <c r="DC32" s="38">
        <f>'Old Balance Sheet'!AB32 + 'ACPL Calculations - 1.0'!AE32 + 'ACPL Calculations - 2.0'!AE32</f>
        <v>0</v>
      </c>
      <c r="DD32" s="38">
        <f t="shared" si="4"/>
        <v>0</v>
      </c>
      <c r="DE32" s="33">
        <f t="shared" si="5"/>
        <v>0</v>
      </c>
      <c r="DF32" s="35">
        <v>0.0</v>
      </c>
      <c r="DG32" s="35">
        <v>0.0</v>
      </c>
      <c r="DH32" s="35">
        <v>0.0</v>
      </c>
      <c r="DI32" s="35">
        <v>0.0</v>
      </c>
      <c r="DJ32" s="35">
        <v>0.0</v>
      </c>
      <c r="DK32" s="35">
        <v>0.0</v>
      </c>
      <c r="DL32" s="35">
        <v>0.0</v>
      </c>
      <c r="DM32" s="35">
        <v>0.0</v>
      </c>
      <c r="DN32" s="31">
        <v>0.0</v>
      </c>
      <c r="DO32" s="31">
        <v>0.0</v>
      </c>
      <c r="DP32" s="31">
        <v>0.0</v>
      </c>
      <c r="DQ32" s="31">
        <v>0.0</v>
      </c>
      <c r="DR32" s="31">
        <v>0.0</v>
      </c>
      <c r="DS32" s="31">
        <v>0.0</v>
      </c>
      <c r="DT32" s="31">
        <f>'Old Balance Sheet'!AC32</f>
        <v>0</v>
      </c>
      <c r="DU32" s="31">
        <f>DT32 + SUMIFS('Payments Log'!D:D, 'Payments Log'!B:B, A32, 'Payments Log'!L:L, "Approved", 'Payments Log'!M:M, "Credit") + 'Old Balance Sheet'!AD32 - 'Old Balance Sheet'!AC32</f>
        <v>0</v>
      </c>
      <c r="DV32" s="31">
        <f>SUMIFS('Payments Log'!D:D, 'Payments Log'!B:B, A32, 'Payments Log'!L:L, "Approved", 'Payments Log'!M:M, "Adjustment Credit") - SUMIFS('Payments Log'!D:D, 'Payments Log'!B:B, A32, 'Payments Log'!L:L, "Approved", 'Payments Log'!M:M, "Adjustment Debit") + 'Old Balance Sheet'!AE32</f>
        <v>0</v>
      </c>
      <c r="DW32" s="31">
        <f>IF(MAXIFS('Payments Log'!N:N, 'Payments Log'!L:L, "Approved", 'Payments Log'!M:M, "Credit", 'Payments Log'!B:B, A32) &gt; MAXIFS('Payments Log'!N:N, 'Payments Log'!L:L, "Approved", 'Payments Log'!M:M, "Virtual Credit", 'Payments Log'!B:B, A32), 0, SUMIFS('Payments Log'!D:D, 'Payments Log'!N:N, MAXIFS('Payments Log'!N:N, 'Payments Log'!L:L, "Approved", 'Payments Log'!M:M, "Virtual Credit", 'Payments Log'!B:B, A32)))</f>
        <v>0</v>
      </c>
      <c r="DX32" s="33">
        <f t="shared" si="6"/>
        <v>0</v>
      </c>
      <c r="DY32" s="33">
        <f t="shared" si="7"/>
        <v>0</v>
      </c>
      <c r="DZ32" s="33">
        <f t="shared" si="8"/>
        <v>0</v>
      </c>
      <c r="EA32" s="25" t="str">
        <f>(Sheet1!N32)</f>
        <v>Jain Motorcycle Company</v>
      </c>
      <c r="EB32" s="25" t="str">
        <f>(Sheet1!O32)</f>
        <v>184Y3L-ZLT7vcLiFDItIcLa-18phpzEbgBCBDgt_LGCQ</v>
      </c>
      <c r="EC32" s="26" t="str">
        <f>(Sheet1!P32)</f>
        <v>Sub Dealer</v>
      </c>
      <c r="ED32" s="34" t="s">
        <v>13</v>
      </c>
    </row>
    <row r="33">
      <c r="A33" s="25" t="str">
        <f>(Sheet1!A33)</f>
        <v>1EKUX2g7taP0J1K7X0BVbZcttQIgEqnHtNldFX8ZYPLQ</v>
      </c>
      <c r="B33" s="25" t="str">
        <f>(Sheet1!B33)</f>
        <v>Agrawal Auto Sales (JMC)</v>
      </c>
      <c r="C33" s="30" t="s">
        <v>13</v>
      </c>
      <c r="D33" s="30" t="s">
        <v>72</v>
      </c>
      <c r="E33" s="30" t="s">
        <v>3820</v>
      </c>
      <c r="F33" s="31">
        <v>170.0</v>
      </c>
      <c r="G33" s="32" t="s">
        <v>3818</v>
      </c>
      <c r="H33" s="31">
        <v>100.0</v>
      </c>
      <c r="I33" s="33">
        <f>'Old Balance Sheet'!A33 + 'ACPL Calculations - 1.0'!A33 + 'ACPL Calculations - 2.0'!A33</f>
        <v>535</v>
      </c>
      <c r="J33" s="30" t="s">
        <v>3820</v>
      </c>
      <c r="K33" s="31">
        <v>170.0</v>
      </c>
      <c r="L33" s="32" t="s">
        <v>3818</v>
      </c>
      <c r="M33" s="31">
        <v>100.0</v>
      </c>
      <c r="N33" s="33">
        <f>'Old Balance Sheet'!B33 + 'ACPL Calculations - 1.0'!B33 + 'ACPL Calculations - 2.0'!B33</f>
        <v>0</v>
      </c>
      <c r="O33" s="30" t="s">
        <v>3820</v>
      </c>
      <c r="P33" s="31">
        <v>170.0</v>
      </c>
      <c r="Q33" s="32" t="s">
        <v>3818</v>
      </c>
      <c r="R33" s="31">
        <v>100.0</v>
      </c>
      <c r="S33" s="33">
        <f>'Old Balance Sheet'!C33 + 'ACPL Calculations - 1.0'!C33 + 'ACPL Calculations - 2.0'!C33</f>
        <v>47</v>
      </c>
      <c r="T33" s="30" t="s">
        <v>3820</v>
      </c>
      <c r="U33" s="31">
        <v>170.0</v>
      </c>
      <c r="V33" s="32" t="s">
        <v>3818</v>
      </c>
      <c r="W33" s="31">
        <v>100.0</v>
      </c>
      <c r="X33" s="33">
        <f>'Old Balance Sheet'!D33 + 'ACPL Calculations - 1.0'!D33 + 'ACPL Calculations - 2.0'!D33</f>
        <v>0</v>
      </c>
      <c r="Y33" s="30" t="s">
        <v>3820</v>
      </c>
      <c r="Z33" s="31">
        <v>170.0</v>
      </c>
      <c r="AA33" s="32" t="s">
        <v>3818</v>
      </c>
      <c r="AB33" s="31">
        <v>100.0</v>
      </c>
      <c r="AC33" s="33">
        <f>'Old Balance Sheet'!E33 + 'ACPL Calculations - 1.0'!E33 + 'ACPL Calculations - 2.0'!E33</f>
        <v>0</v>
      </c>
      <c r="AD33" s="30" t="s">
        <v>3820</v>
      </c>
      <c r="AE33" s="34">
        <v>838.99</v>
      </c>
      <c r="AF33" s="32" t="s">
        <v>3818</v>
      </c>
      <c r="AG33" s="31">
        <v>100.0</v>
      </c>
      <c r="AH33" s="33">
        <f>'Old Balance Sheet'!F33 + 'ACPL Calculations - 1.0'!F33 + 'ACPL Calculations - 2.0'!F33</f>
        <v>0</v>
      </c>
      <c r="AI33" s="30" t="s">
        <v>3820</v>
      </c>
      <c r="AJ33" s="31">
        <v>170.0</v>
      </c>
      <c r="AK33" s="32" t="s">
        <v>3818</v>
      </c>
      <c r="AL33" s="31">
        <v>100.0</v>
      </c>
      <c r="AM33" s="33">
        <f>'Old Balance Sheet'!G33 + 'ACPL Calculations - 1.0'!G33 + 'ACPL Calculations - 2.0'!G33</f>
        <v>0</v>
      </c>
      <c r="AN33" s="30" t="s">
        <v>3820</v>
      </c>
      <c r="AO33" s="31">
        <v>170.0</v>
      </c>
      <c r="AP33" s="32" t="s">
        <v>3818</v>
      </c>
      <c r="AQ33" s="31">
        <v>100.0</v>
      </c>
      <c r="AR33" s="33">
        <f>'Old Balance Sheet'!H33 + 'ACPL Calculations - 1.0'!H33 + 'ACPL Calculations - 2.0'!H33</f>
        <v>103</v>
      </c>
      <c r="AS33" s="30" t="s">
        <v>3819</v>
      </c>
      <c r="AT33" s="31">
        <v>838.99</v>
      </c>
      <c r="AU33" s="32" t="s">
        <v>3818</v>
      </c>
      <c r="AV33" s="31">
        <v>100.0</v>
      </c>
      <c r="AW33" s="33">
        <f>'Old Balance Sheet'!I33 + 'ACPL Calculations - 1.0'!I33 + 'ACPL Calculations - 2.0'!I33</f>
        <v>0</v>
      </c>
      <c r="AX33" s="30" t="s">
        <v>3820</v>
      </c>
      <c r="AY33" s="31">
        <v>290.0</v>
      </c>
      <c r="AZ33" s="32" t="s">
        <v>3818</v>
      </c>
      <c r="BA33" s="31">
        <v>100.0</v>
      </c>
      <c r="BB33" s="33">
        <f>'Old Balance Sheet'!J33 + 'ACPL Calculations - 1.0'!J33 + 'ACPL Calculations - 2.0'!J33</f>
        <v>0</v>
      </c>
      <c r="BC33" s="30" t="s">
        <v>3820</v>
      </c>
      <c r="BD33" s="31">
        <v>205.0</v>
      </c>
      <c r="BE33" s="32" t="s">
        <v>3818</v>
      </c>
      <c r="BF33" s="31">
        <v>100.0</v>
      </c>
      <c r="BG33" s="33">
        <f>'Old Balance Sheet'!K33 + 'ACPL Calculations - 1.0'!K33 + 'ACPL Calculations - 2.0'!K33</f>
        <v>0</v>
      </c>
      <c r="BH33" s="30" t="s">
        <v>3820</v>
      </c>
      <c r="BI33" s="31">
        <v>205.0</v>
      </c>
      <c r="BJ33" s="32" t="s">
        <v>3818</v>
      </c>
      <c r="BK33" s="31">
        <v>100.0</v>
      </c>
      <c r="BL33" s="33">
        <f>'Old Balance Sheet'!L33 + 'ACPL Calculations - 1.0'!L33 + 'ACPL Calculations - 2.0'!L33</f>
        <v>0</v>
      </c>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f t="shared" si="1"/>
        <v>685</v>
      </c>
      <c r="CM33" s="33">
        <f>'Old Balance Sheet'!R33 + 'ACPL Calculations - 1.0'!S33 + 'ACPL Calculations - 2.0'!S33</f>
        <v>394882</v>
      </c>
      <c r="CN33" s="33">
        <f>'Old Balance Sheet'!S33 + 'ACPL Calculations - 1.0'!T33 + 'ACPL Calculations - 2.0'!T33</f>
        <v>113700</v>
      </c>
      <c r="CO33" s="33">
        <f t="shared" si="2"/>
        <v>173938.42</v>
      </c>
      <c r="CP33" s="33">
        <f>'Old Balance Sheet'!T33 + 'ACPL Calculations - 1.0'!V33 + 'ACPL Calculations - 2.0'!V33</f>
        <v>74.74</v>
      </c>
      <c r="CQ33" s="33">
        <f>'Old Balance Sheet'!U33 + 'ACPL Calculations - 1.0'!W33 + 'ACPL Calculations - 2.0'!W33</f>
        <v>74.74</v>
      </c>
      <c r="CR33" s="33">
        <f>'Old Balance Sheet'!V33 + 'ACPL Calculations - 1.0'!X33 + 'ACPL Calculations - 2.0'!X33</f>
        <v>60088.94</v>
      </c>
      <c r="CS33" s="33">
        <f t="shared" si="3"/>
        <v>60238.42</v>
      </c>
      <c r="CT33" s="35"/>
      <c r="CU33" s="35"/>
      <c r="CV33" s="35"/>
      <c r="CW33" s="36">
        <f>'Old Balance Sheet'!W33 + 'ACPL Calculations - 1.0'!Z33 + 'ACPL Calculations - 2.0'!Z33</f>
        <v>0</v>
      </c>
      <c r="CX33" s="36">
        <f>'Old Balance Sheet'!X33 + 'ACPL Calculations - 1.0'!AA33 + 'ACPL Calculations - 2.0'!AA33</f>
        <v>0</v>
      </c>
      <c r="CY33" s="37">
        <v>0.0</v>
      </c>
      <c r="CZ33" s="38">
        <f>'Old Balance Sheet'!Y33 + 'ACPL Calculations - 1.0'!AB33 + 'ACPL Calculations - 2.0'!AB33</f>
        <v>0</v>
      </c>
      <c r="DA33" s="38">
        <f>'Old Balance Sheet'!Z33 + 'ACPL Calculations - 1.0'!AC33 + 'ACPL Calculations - 2.0'!AC33</f>
        <v>0</v>
      </c>
      <c r="DB33" s="38">
        <f>'Old Balance Sheet'!AA33 + 'ACPL Calculations - 1.0'!AD33 + 'ACPL Calculations - 2.0'!AD33</f>
        <v>0</v>
      </c>
      <c r="DC33" s="38">
        <f>'Old Balance Sheet'!AB33 + 'ACPL Calculations - 1.0'!AE33 + 'ACPL Calculations - 2.0'!AE33</f>
        <v>0</v>
      </c>
      <c r="DD33" s="38">
        <f t="shared" si="4"/>
        <v>0</v>
      </c>
      <c r="DE33" s="33">
        <f t="shared" si="5"/>
        <v>0</v>
      </c>
      <c r="DF33" s="35">
        <v>0.0</v>
      </c>
      <c r="DG33" s="35">
        <v>0.0</v>
      </c>
      <c r="DH33" s="35">
        <v>0.0</v>
      </c>
      <c r="DI33" s="35">
        <v>0.0</v>
      </c>
      <c r="DJ33" s="35">
        <v>0.0</v>
      </c>
      <c r="DK33" s="35">
        <v>0.0</v>
      </c>
      <c r="DL33" s="35">
        <v>0.0</v>
      </c>
      <c r="DM33" s="35">
        <v>0.0</v>
      </c>
      <c r="DN33" s="31">
        <v>0.0</v>
      </c>
      <c r="DO33" s="31">
        <v>0.0</v>
      </c>
      <c r="DP33" s="31">
        <v>0.0</v>
      </c>
      <c r="DQ33" s="31">
        <v>0.0</v>
      </c>
      <c r="DR33" s="31">
        <v>0.0</v>
      </c>
      <c r="DS33" s="31">
        <v>0.0</v>
      </c>
      <c r="DT33" s="31">
        <f>'Old Balance Sheet'!AC33</f>
        <v>0</v>
      </c>
      <c r="DU33" s="31">
        <f>DT33 + SUMIFS('Payments Log'!D:D, 'Payments Log'!B:B, A33, 'Payments Log'!L:L, "Approved", 'Payments Log'!M:M, "Credit") + 'Old Balance Sheet'!AD33 - 'Old Balance Sheet'!AC33</f>
        <v>0</v>
      </c>
      <c r="DV33" s="31">
        <f>SUMIFS('Payments Log'!D:D, 'Payments Log'!B:B, A33, 'Payments Log'!L:L, "Approved", 'Payments Log'!M:M, "Adjustment Credit") - SUMIFS('Payments Log'!D:D, 'Payments Log'!B:B, A33, 'Payments Log'!L:L, "Approved", 'Payments Log'!M:M, "Adjustment Debit") + 'Old Balance Sheet'!AE33</f>
        <v>0</v>
      </c>
      <c r="DW33" s="31">
        <f>IF(MAXIFS('Payments Log'!N:N, 'Payments Log'!L:L, "Approved", 'Payments Log'!M:M, "Credit", 'Payments Log'!B:B, A33) &gt; MAXIFS('Payments Log'!N:N, 'Payments Log'!L:L, "Approved", 'Payments Log'!M:M, "Virtual Credit", 'Payments Log'!B:B, A33), 0, SUMIFS('Payments Log'!D:D, 'Payments Log'!N:N, MAXIFS('Payments Log'!N:N, 'Payments Log'!L:L, "Approved", 'Payments Log'!M:M, "Virtual Credit", 'Payments Log'!B:B, A33)))</f>
        <v>0</v>
      </c>
      <c r="DX33" s="33">
        <f t="shared" si="6"/>
        <v>0</v>
      </c>
      <c r="DY33" s="33">
        <f t="shared" si="7"/>
        <v>0</v>
      </c>
      <c r="DZ33" s="33">
        <f t="shared" si="8"/>
        <v>0</v>
      </c>
      <c r="EA33" s="25" t="str">
        <f>(Sheet1!N33)</f>
        <v>Jain Motorcycle Company</v>
      </c>
      <c r="EB33" s="25" t="str">
        <f>(Sheet1!O33)</f>
        <v>184Y3L-ZLT7vcLiFDItIcLa-18phpzEbgBCBDgt_LGCQ</v>
      </c>
      <c r="EC33" s="26" t="str">
        <f>(Sheet1!P33)</f>
        <v>Sub Dealer</v>
      </c>
      <c r="ED33" s="34" t="s">
        <v>13</v>
      </c>
    </row>
    <row r="34">
      <c r="A34" s="25" t="str">
        <f>(Sheet1!A34)</f>
        <v>1HtysfhpGiYy4pDXvahWxBmR24wGrNyOL6Yy9V9oDnB4</v>
      </c>
      <c r="B34" s="25" t="str">
        <f>(Sheet1!B34)</f>
        <v>SB Khandelwal Motors (JMC)</v>
      </c>
      <c r="C34" s="30" t="s">
        <v>13</v>
      </c>
      <c r="D34" s="30" t="s">
        <v>72</v>
      </c>
      <c r="E34" s="30" t="s">
        <v>3820</v>
      </c>
      <c r="F34" s="31">
        <v>170.0</v>
      </c>
      <c r="G34" s="32" t="s">
        <v>3818</v>
      </c>
      <c r="H34" s="31">
        <v>100.0</v>
      </c>
      <c r="I34" s="33">
        <f>'Old Balance Sheet'!A34 + 'ACPL Calculations - 1.0'!A34 + 'ACPL Calculations - 2.0'!A34</f>
        <v>264</v>
      </c>
      <c r="J34" s="30" t="s">
        <v>3820</v>
      </c>
      <c r="K34" s="31">
        <v>170.0</v>
      </c>
      <c r="L34" s="32" t="s">
        <v>3818</v>
      </c>
      <c r="M34" s="31">
        <v>100.0</v>
      </c>
      <c r="N34" s="33">
        <f>'Old Balance Sheet'!B34 + 'ACPL Calculations - 1.0'!B34 + 'ACPL Calculations - 2.0'!B34</f>
        <v>0</v>
      </c>
      <c r="O34" s="30" t="s">
        <v>3820</v>
      </c>
      <c r="P34" s="31">
        <v>170.0</v>
      </c>
      <c r="Q34" s="32" t="s">
        <v>3818</v>
      </c>
      <c r="R34" s="31">
        <v>100.0</v>
      </c>
      <c r="S34" s="33">
        <f>'Old Balance Sheet'!C34 + 'ACPL Calculations - 1.0'!C34 + 'ACPL Calculations - 2.0'!C34</f>
        <v>76</v>
      </c>
      <c r="T34" s="30" t="s">
        <v>3820</v>
      </c>
      <c r="U34" s="31">
        <v>170.0</v>
      </c>
      <c r="V34" s="32" t="s">
        <v>3818</v>
      </c>
      <c r="W34" s="31">
        <v>100.0</v>
      </c>
      <c r="X34" s="33">
        <f>'Old Balance Sheet'!D34 + 'ACPL Calculations - 1.0'!D34 + 'ACPL Calculations - 2.0'!D34</f>
        <v>0</v>
      </c>
      <c r="Y34" s="30" t="s">
        <v>3820</v>
      </c>
      <c r="Z34" s="31">
        <v>170.0</v>
      </c>
      <c r="AA34" s="32" t="s">
        <v>3818</v>
      </c>
      <c r="AB34" s="31">
        <v>100.0</v>
      </c>
      <c r="AC34" s="33">
        <f>'Old Balance Sheet'!E34 + 'ACPL Calculations - 1.0'!E34 + 'ACPL Calculations - 2.0'!E34</f>
        <v>0</v>
      </c>
      <c r="AD34" s="30" t="s">
        <v>3820</v>
      </c>
      <c r="AE34" s="34">
        <v>838.99</v>
      </c>
      <c r="AF34" s="32" t="s">
        <v>3818</v>
      </c>
      <c r="AG34" s="31">
        <v>100.0</v>
      </c>
      <c r="AH34" s="33">
        <f>'Old Balance Sheet'!F34 + 'ACPL Calculations - 1.0'!F34 + 'ACPL Calculations - 2.0'!F34</f>
        <v>0</v>
      </c>
      <c r="AI34" s="30" t="s">
        <v>3820</v>
      </c>
      <c r="AJ34" s="31">
        <v>170.0</v>
      </c>
      <c r="AK34" s="32" t="s">
        <v>3818</v>
      </c>
      <c r="AL34" s="31">
        <v>100.0</v>
      </c>
      <c r="AM34" s="33">
        <f>'Old Balance Sheet'!G34 + 'ACPL Calculations - 1.0'!G34 + 'ACPL Calculations - 2.0'!G34</f>
        <v>0</v>
      </c>
      <c r="AN34" s="30" t="s">
        <v>3820</v>
      </c>
      <c r="AO34" s="31">
        <v>170.0</v>
      </c>
      <c r="AP34" s="32" t="s">
        <v>3818</v>
      </c>
      <c r="AQ34" s="31">
        <v>100.0</v>
      </c>
      <c r="AR34" s="33">
        <f>'Old Balance Sheet'!H34 + 'ACPL Calculations - 1.0'!H34 + 'ACPL Calculations - 2.0'!H34</f>
        <v>57</v>
      </c>
      <c r="AS34" s="30" t="s">
        <v>3819</v>
      </c>
      <c r="AT34" s="31">
        <v>838.99</v>
      </c>
      <c r="AU34" s="32" t="s">
        <v>3818</v>
      </c>
      <c r="AV34" s="31">
        <v>100.0</v>
      </c>
      <c r="AW34" s="33">
        <f>'Old Balance Sheet'!I34 + 'ACPL Calculations - 1.0'!I34 + 'ACPL Calculations - 2.0'!I34</f>
        <v>0</v>
      </c>
      <c r="AX34" s="30" t="s">
        <v>3820</v>
      </c>
      <c r="AY34" s="31">
        <v>290.0</v>
      </c>
      <c r="AZ34" s="32" t="s">
        <v>3818</v>
      </c>
      <c r="BA34" s="31">
        <v>100.0</v>
      </c>
      <c r="BB34" s="33">
        <f>'Old Balance Sheet'!J34 + 'ACPL Calculations - 1.0'!J34 + 'ACPL Calculations - 2.0'!J34</f>
        <v>0</v>
      </c>
      <c r="BC34" s="30" t="s">
        <v>3820</v>
      </c>
      <c r="BD34" s="31">
        <v>205.0</v>
      </c>
      <c r="BE34" s="32" t="s">
        <v>3818</v>
      </c>
      <c r="BF34" s="31">
        <v>100.0</v>
      </c>
      <c r="BG34" s="33">
        <f>'Old Balance Sheet'!K34 + 'ACPL Calculations - 1.0'!K34 + 'ACPL Calculations - 2.0'!K34</f>
        <v>0</v>
      </c>
      <c r="BH34" s="30" t="s">
        <v>3820</v>
      </c>
      <c r="BI34" s="31">
        <v>205.0</v>
      </c>
      <c r="BJ34" s="32" t="s">
        <v>3818</v>
      </c>
      <c r="BK34" s="31">
        <v>100.0</v>
      </c>
      <c r="BL34" s="33">
        <f>'Old Balance Sheet'!L34 + 'ACPL Calculations - 1.0'!L34 + 'ACPL Calculations - 2.0'!L34</f>
        <v>0</v>
      </c>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f t="shared" si="1"/>
        <v>397</v>
      </c>
      <c r="CM34" s="33">
        <f>'Old Balance Sheet'!R34 + 'ACPL Calculations - 1.0'!S34 + 'ACPL Calculations - 2.0'!S34</f>
        <v>237930</v>
      </c>
      <c r="CN34" s="33">
        <f>'Old Balance Sheet'!S34 + 'ACPL Calculations - 1.0'!T34 + 'ACPL Calculations - 2.0'!T34</f>
        <v>65360</v>
      </c>
      <c r="CO34" s="33">
        <f t="shared" si="2"/>
        <v>101655.35</v>
      </c>
      <c r="CP34" s="33">
        <f>'Old Balance Sheet'!T34 + 'ACPL Calculations - 1.0'!V34 + 'ACPL Calculations - 2.0'!V34</f>
        <v>37.37</v>
      </c>
      <c r="CQ34" s="33">
        <f>'Old Balance Sheet'!U34 + 'ACPL Calculations - 1.0'!W34 + 'ACPL Calculations - 2.0'!W34</f>
        <v>37.37</v>
      </c>
      <c r="CR34" s="33">
        <f>'Old Balance Sheet'!V34 + 'ACPL Calculations - 1.0'!X34 + 'ACPL Calculations - 2.0'!X34</f>
        <v>36220.61</v>
      </c>
      <c r="CS34" s="33">
        <f t="shared" si="3"/>
        <v>36295.35</v>
      </c>
      <c r="CT34" s="35"/>
      <c r="CU34" s="35"/>
      <c r="CV34" s="35"/>
      <c r="CW34" s="36">
        <f>'Old Balance Sheet'!W34 + 'ACPL Calculations - 1.0'!Z34 + 'ACPL Calculations - 2.0'!Z34</f>
        <v>0</v>
      </c>
      <c r="CX34" s="36">
        <f>'Old Balance Sheet'!X34 + 'ACPL Calculations - 1.0'!AA34 + 'ACPL Calculations - 2.0'!AA34</f>
        <v>0</v>
      </c>
      <c r="CY34" s="37">
        <v>0.0</v>
      </c>
      <c r="CZ34" s="38">
        <f>'Old Balance Sheet'!Y34 + 'ACPL Calculations - 1.0'!AB34 + 'ACPL Calculations - 2.0'!AB34</f>
        <v>0</v>
      </c>
      <c r="DA34" s="38">
        <f>'Old Balance Sheet'!Z34 + 'ACPL Calculations - 1.0'!AC34 + 'ACPL Calculations - 2.0'!AC34</f>
        <v>0</v>
      </c>
      <c r="DB34" s="38">
        <f>'Old Balance Sheet'!AA34 + 'ACPL Calculations - 1.0'!AD34 + 'ACPL Calculations - 2.0'!AD34</f>
        <v>0</v>
      </c>
      <c r="DC34" s="38">
        <f>'Old Balance Sheet'!AB34 + 'ACPL Calculations - 1.0'!AE34 + 'ACPL Calculations - 2.0'!AE34</f>
        <v>0</v>
      </c>
      <c r="DD34" s="38">
        <f t="shared" si="4"/>
        <v>0</v>
      </c>
      <c r="DE34" s="33">
        <f t="shared" si="5"/>
        <v>0</v>
      </c>
      <c r="DF34" s="35">
        <v>0.0</v>
      </c>
      <c r="DG34" s="35">
        <v>0.0</v>
      </c>
      <c r="DH34" s="35">
        <v>0.0</v>
      </c>
      <c r="DI34" s="35">
        <v>0.0</v>
      </c>
      <c r="DJ34" s="35">
        <v>0.0</v>
      </c>
      <c r="DK34" s="35">
        <v>0.0</v>
      </c>
      <c r="DL34" s="35">
        <v>0.0</v>
      </c>
      <c r="DM34" s="35">
        <v>0.0</v>
      </c>
      <c r="DN34" s="31">
        <v>0.0</v>
      </c>
      <c r="DO34" s="31">
        <v>0.0</v>
      </c>
      <c r="DP34" s="31">
        <v>0.0</v>
      </c>
      <c r="DQ34" s="31">
        <v>0.0</v>
      </c>
      <c r="DR34" s="31">
        <v>0.0</v>
      </c>
      <c r="DS34" s="31">
        <v>0.0</v>
      </c>
      <c r="DT34" s="31">
        <f>'Old Balance Sheet'!AC34</f>
        <v>0</v>
      </c>
      <c r="DU34" s="31">
        <f>DT34 + SUMIFS('Payments Log'!D:D, 'Payments Log'!B:B, A34, 'Payments Log'!L:L, "Approved", 'Payments Log'!M:M, "Credit") + 'Old Balance Sheet'!AD34 - 'Old Balance Sheet'!AC34</f>
        <v>0</v>
      </c>
      <c r="DV34" s="31">
        <f>SUMIFS('Payments Log'!D:D, 'Payments Log'!B:B, A34, 'Payments Log'!L:L, "Approved", 'Payments Log'!M:M, "Adjustment Credit") - SUMIFS('Payments Log'!D:D, 'Payments Log'!B:B, A34, 'Payments Log'!L:L, "Approved", 'Payments Log'!M:M, "Adjustment Debit") + 'Old Balance Sheet'!AE34</f>
        <v>0</v>
      </c>
      <c r="DW34" s="31">
        <f>IF(MAXIFS('Payments Log'!N:N, 'Payments Log'!L:L, "Approved", 'Payments Log'!M:M, "Credit", 'Payments Log'!B:B, A34) &gt; MAXIFS('Payments Log'!N:N, 'Payments Log'!L:L, "Approved", 'Payments Log'!M:M, "Virtual Credit", 'Payments Log'!B:B, A34), 0, SUMIFS('Payments Log'!D:D, 'Payments Log'!N:N, MAXIFS('Payments Log'!N:N, 'Payments Log'!L:L, "Approved", 'Payments Log'!M:M, "Virtual Credit", 'Payments Log'!B:B, A34)))</f>
        <v>0</v>
      </c>
      <c r="DX34" s="33">
        <f t="shared" si="6"/>
        <v>0</v>
      </c>
      <c r="DY34" s="33">
        <f t="shared" si="7"/>
        <v>0</v>
      </c>
      <c r="DZ34" s="33">
        <f t="shared" si="8"/>
        <v>0</v>
      </c>
      <c r="EA34" s="25" t="str">
        <f>(Sheet1!N34)</f>
        <v>Jain Motorcycle Company</v>
      </c>
      <c r="EB34" s="25" t="str">
        <f>(Sheet1!O34)</f>
        <v>184Y3L-ZLT7vcLiFDItIcLa-18phpzEbgBCBDgt_LGCQ</v>
      </c>
      <c r="EC34" s="26" t="str">
        <f>(Sheet1!P34)</f>
        <v>Sub Dealer</v>
      </c>
      <c r="ED34" s="34" t="s">
        <v>13</v>
      </c>
    </row>
    <row r="35">
      <c r="A35" s="25" t="str">
        <f>(Sheet1!A35)</f>
        <v>1eZlt3K2rssS_3hpp5DKow70BJWa_wksndc0ag7yiUs4</v>
      </c>
      <c r="B35" s="25" t="str">
        <f>(Sheet1!B35)</f>
        <v>SK financial services (MPS)</v>
      </c>
      <c r="C35" s="30" t="s">
        <v>13</v>
      </c>
      <c r="D35" s="30" t="s">
        <v>72</v>
      </c>
      <c r="E35" s="30" t="s">
        <v>3817</v>
      </c>
      <c r="F35" s="31">
        <v>205.0</v>
      </c>
      <c r="G35" s="32" t="s">
        <v>3818</v>
      </c>
      <c r="H35" s="31">
        <v>100.0</v>
      </c>
      <c r="I35" s="33">
        <f>'Old Balance Sheet'!A35 + 'ACPL Calculations - 1.0'!A35 + 'ACPL Calculations - 2.0'!A35</f>
        <v>0</v>
      </c>
      <c r="J35" s="30" t="s">
        <v>3817</v>
      </c>
      <c r="K35" s="31">
        <v>205.0</v>
      </c>
      <c r="L35" s="32" t="s">
        <v>3818</v>
      </c>
      <c r="M35" s="31">
        <v>100.0</v>
      </c>
      <c r="N35" s="33">
        <f>'Old Balance Sheet'!B35 + 'ACPL Calculations - 1.0'!B35 + 'ACPL Calculations - 2.0'!B35</f>
        <v>0</v>
      </c>
      <c r="O35" s="30" t="s">
        <v>3817</v>
      </c>
      <c r="P35" s="31">
        <v>290.0</v>
      </c>
      <c r="Q35" s="32" t="s">
        <v>3818</v>
      </c>
      <c r="R35" s="31">
        <v>100.0</v>
      </c>
      <c r="S35" s="33">
        <f>'Old Balance Sheet'!C35 + 'ACPL Calculations - 1.0'!C35 + 'ACPL Calculations - 2.0'!C35</f>
        <v>0</v>
      </c>
      <c r="T35" s="30" t="s">
        <v>3817</v>
      </c>
      <c r="U35" s="31">
        <v>375.0</v>
      </c>
      <c r="V35" s="32" t="s">
        <v>3818</v>
      </c>
      <c r="W35" s="31">
        <v>100.0</v>
      </c>
      <c r="X35" s="33">
        <f>'Old Balance Sheet'!D35 + 'ACPL Calculations - 1.0'!D35 + 'ACPL Calculations - 2.0'!D35</f>
        <v>0</v>
      </c>
      <c r="Y35" s="30" t="s">
        <v>3817</v>
      </c>
      <c r="Z35" s="31">
        <v>460.0</v>
      </c>
      <c r="AA35" s="32" t="s">
        <v>3818</v>
      </c>
      <c r="AB35" s="31">
        <v>100.0</v>
      </c>
      <c r="AC35" s="33">
        <f>'Old Balance Sheet'!E35 + 'ACPL Calculations - 1.0'!E35 + 'ACPL Calculations - 2.0'!E35</f>
        <v>0</v>
      </c>
      <c r="AD35" s="30" t="s">
        <v>3817</v>
      </c>
      <c r="AE35" s="34">
        <v>838.99</v>
      </c>
      <c r="AF35" s="32" t="s">
        <v>3818</v>
      </c>
      <c r="AG35" s="31">
        <v>100.0</v>
      </c>
      <c r="AH35" s="33">
        <f>'Old Balance Sheet'!F35 + 'ACPL Calculations - 1.0'!F35 + 'ACPL Calculations - 2.0'!F35</f>
        <v>0</v>
      </c>
      <c r="AI35" s="30" t="s">
        <v>3817</v>
      </c>
      <c r="AJ35" s="31">
        <v>375.0</v>
      </c>
      <c r="AK35" s="32" t="s">
        <v>3818</v>
      </c>
      <c r="AL35" s="31">
        <v>100.0</v>
      </c>
      <c r="AM35" s="33">
        <f>'Old Balance Sheet'!G35 + 'ACPL Calculations - 1.0'!G35 + 'ACPL Calculations - 2.0'!G35</f>
        <v>0</v>
      </c>
      <c r="AN35" s="30" t="s">
        <v>3817</v>
      </c>
      <c r="AO35" s="31">
        <v>290.0</v>
      </c>
      <c r="AP35" s="32" t="s">
        <v>3818</v>
      </c>
      <c r="AQ35" s="31">
        <v>100.0</v>
      </c>
      <c r="AR35" s="33">
        <f>'Old Balance Sheet'!H35 + 'ACPL Calculations - 1.0'!H35 + 'ACPL Calculations - 2.0'!H35</f>
        <v>0</v>
      </c>
      <c r="AS35" s="30" t="s">
        <v>3819</v>
      </c>
      <c r="AT35" s="31">
        <v>838.99</v>
      </c>
      <c r="AU35" s="32" t="s">
        <v>3818</v>
      </c>
      <c r="AV35" s="31">
        <v>100.0</v>
      </c>
      <c r="AW35" s="33">
        <f>'Old Balance Sheet'!I35 + 'ACPL Calculations - 1.0'!I35 + 'ACPL Calculations - 2.0'!I35</f>
        <v>0</v>
      </c>
      <c r="AX35" s="30" t="s">
        <v>3817</v>
      </c>
      <c r="AY35" s="31">
        <v>290.0</v>
      </c>
      <c r="AZ35" s="32" t="s">
        <v>3818</v>
      </c>
      <c r="BA35" s="31">
        <v>100.0</v>
      </c>
      <c r="BB35" s="33">
        <f>'Old Balance Sheet'!J35 + 'ACPL Calculations - 1.0'!J35 + 'ACPL Calculations - 2.0'!J35</f>
        <v>0</v>
      </c>
      <c r="BC35" s="30" t="s">
        <v>3817</v>
      </c>
      <c r="BD35" s="31">
        <v>205.0</v>
      </c>
      <c r="BE35" s="32" t="s">
        <v>3818</v>
      </c>
      <c r="BF35" s="31">
        <v>100.0</v>
      </c>
      <c r="BG35" s="33">
        <f>'Old Balance Sheet'!K35 + 'ACPL Calculations - 1.0'!K35 + 'ACPL Calculations - 2.0'!K35</f>
        <v>0</v>
      </c>
      <c r="BH35" s="30" t="s">
        <v>3817</v>
      </c>
      <c r="BI35" s="31">
        <v>205.0</v>
      </c>
      <c r="BJ35" s="32" t="s">
        <v>3818</v>
      </c>
      <c r="BK35" s="31">
        <v>100.0</v>
      </c>
      <c r="BL35" s="33">
        <f>'Old Balance Sheet'!L35 + 'ACPL Calculations - 1.0'!L35 + 'ACPL Calculations - 2.0'!L35</f>
        <v>0</v>
      </c>
      <c r="BM35" s="33"/>
      <c r="BN35" s="33"/>
      <c r="BO35" s="33"/>
      <c r="BP35" s="33"/>
      <c r="BQ35" s="33"/>
      <c r="BR35" s="33"/>
      <c r="BS35" s="33"/>
      <c r="BT35" s="33"/>
      <c r="BU35" s="33"/>
      <c r="BV35" s="33"/>
      <c r="BW35" s="33"/>
      <c r="BX35" s="33"/>
      <c r="BY35" s="33"/>
      <c r="BZ35" s="33"/>
      <c r="CA35" s="33"/>
      <c r="CB35" s="33"/>
      <c r="CC35" s="33"/>
      <c r="CD35" s="33"/>
      <c r="CE35" s="33"/>
      <c r="CF35" s="33"/>
      <c r="CG35" s="33"/>
      <c r="CH35" s="33"/>
      <c r="CI35" s="33"/>
      <c r="CJ35" s="33"/>
      <c r="CK35" s="33"/>
      <c r="CL35" s="33">
        <f t="shared" si="1"/>
        <v>0</v>
      </c>
      <c r="CM35" s="33">
        <f>'Old Balance Sheet'!R35 + 'ACPL Calculations - 1.0'!S35 + 'ACPL Calculations - 2.0'!S35</f>
        <v>0</v>
      </c>
      <c r="CN35" s="33">
        <f>'Old Balance Sheet'!S35 + 'ACPL Calculations - 1.0'!T35 + 'ACPL Calculations - 2.0'!T35</f>
        <v>0</v>
      </c>
      <c r="CO35" s="33">
        <f t="shared" si="2"/>
        <v>0</v>
      </c>
      <c r="CP35" s="33">
        <f>'Old Balance Sheet'!T35 + 'ACPL Calculations - 1.0'!V35 + 'ACPL Calculations - 2.0'!V35</f>
        <v>0</v>
      </c>
      <c r="CQ35" s="33">
        <f>'Old Balance Sheet'!U35 + 'ACPL Calculations - 1.0'!W35 + 'ACPL Calculations - 2.0'!W35</f>
        <v>0</v>
      </c>
      <c r="CR35" s="33">
        <f>'Old Balance Sheet'!V35 + 'ACPL Calculations - 1.0'!X35 + 'ACPL Calculations - 2.0'!X35</f>
        <v>0</v>
      </c>
      <c r="CS35" s="33">
        <f t="shared" si="3"/>
        <v>0</v>
      </c>
      <c r="CT35" s="35"/>
      <c r="CU35" s="35"/>
      <c r="CV35" s="35"/>
      <c r="CW35" s="36">
        <f>'Old Balance Sheet'!W35 + 'ACPL Calculations - 1.0'!Z35 + 'ACPL Calculations - 2.0'!Z35</f>
        <v>0</v>
      </c>
      <c r="CX35" s="36">
        <f>'Old Balance Sheet'!X35 + 'ACPL Calculations - 1.0'!AA35 + 'ACPL Calculations - 2.0'!AA35</f>
        <v>0</v>
      </c>
      <c r="CY35" s="37">
        <v>0.0</v>
      </c>
      <c r="CZ35" s="38">
        <f>'Old Balance Sheet'!Y35 + 'ACPL Calculations - 1.0'!AB35 + 'ACPL Calculations - 2.0'!AB35</f>
        <v>0</v>
      </c>
      <c r="DA35" s="38">
        <f>'Old Balance Sheet'!Z35 + 'ACPL Calculations - 1.0'!AC35 + 'ACPL Calculations - 2.0'!AC35</f>
        <v>0</v>
      </c>
      <c r="DB35" s="38">
        <f>'Old Balance Sheet'!AA35 + 'ACPL Calculations - 1.0'!AD35 + 'ACPL Calculations - 2.0'!AD35</f>
        <v>0</v>
      </c>
      <c r="DC35" s="38">
        <f>'Old Balance Sheet'!AB35 + 'ACPL Calculations - 1.0'!AE35 + 'ACPL Calculations - 2.0'!AE35</f>
        <v>0</v>
      </c>
      <c r="DD35" s="38">
        <f t="shared" si="4"/>
        <v>0</v>
      </c>
      <c r="DE35" s="33">
        <f t="shared" si="5"/>
        <v>0</v>
      </c>
      <c r="DF35" s="35">
        <v>0.0</v>
      </c>
      <c r="DG35" s="35">
        <v>0.0</v>
      </c>
      <c r="DH35" s="35">
        <v>0.0</v>
      </c>
      <c r="DI35" s="35">
        <v>0.0</v>
      </c>
      <c r="DJ35" s="35">
        <v>0.0</v>
      </c>
      <c r="DK35" s="35">
        <v>0.0</v>
      </c>
      <c r="DL35" s="35">
        <v>0.0</v>
      </c>
      <c r="DM35" s="35">
        <v>0.0</v>
      </c>
      <c r="DN35" s="31">
        <v>0.0</v>
      </c>
      <c r="DO35" s="31">
        <v>0.0</v>
      </c>
      <c r="DP35" s="31">
        <v>0.0</v>
      </c>
      <c r="DQ35" s="31">
        <v>0.0</v>
      </c>
      <c r="DR35" s="31">
        <v>0.0</v>
      </c>
      <c r="DS35" s="31">
        <v>0.0</v>
      </c>
      <c r="DT35" s="31">
        <f>'Old Balance Sheet'!AC35</f>
        <v>0</v>
      </c>
      <c r="DU35" s="31">
        <f>DT35 + SUMIFS('Payments Log'!D:D, 'Payments Log'!B:B, A35, 'Payments Log'!L:L, "Approved", 'Payments Log'!M:M, "Credit") + 'Old Balance Sheet'!AD35 - 'Old Balance Sheet'!AC35</f>
        <v>0</v>
      </c>
      <c r="DV35" s="31">
        <f>SUMIFS('Payments Log'!D:D, 'Payments Log'!B:B, A35, 'Payments Log'!L:L, "Approved", 'Payments Log'!M:M, "Adjustment Credit") - SUMIFS('Payments Log'!D:D, 'Payments Log'!B:B, A35, 'Payments Log'!L:L, "Approved", 'Payments Log'!M:M, "Adjustment Debit") + 'Old Balance Sheet'!AE35</f>
        <v>0</v>
      </c>
      <c r="DW35" s="31">
        <f>IF(MAXIFS('Payments Log'!N:N, 'Payments Log'!L:L, "Approved", 'Payments Log'!M:M, "Credit", 'Payments Log'!B:B, A35) &gt; MAXIFS('Payments Log'!N:N, 'Payments Log'!L:L, "Approved", 'Payments Log'!M:M, "Virtual Credit", 'Payments Log'!B:B, A35), 0, SUMIFS('Payments Log'!D:D, 'Payments Log'!N:N, MAXIFS('Payments Log'!N:N, 'Payments Log'!L:L, "Approved", 'Payments Log'!M:M, "Virtual Credit", 'Payments Log'!B:B, A35)))</f>
        <v>0</v>
      </c>
      <c r="DX35" s="33">
        <f t="shared" si="6"/>
        <v>0</v>
      </c>
      <c r="DY35" s="33">
        <f t="shared" si="7"/>
        <v>0</v>
      </c>
      <c r="DZ35" s="33">
        <f t="shared" si="8"/>
        <v>0</v>
      </c>
      <c r="EA35" s="25" t="str">
        <f>(Sheet1!N35)</f>
        <v>SK financial services (MPS)</v>
      </c>
      <c r="EB35" s="25" t="str">
        <f>(Sheet1!O35)</f>
        <v>1eZlt3K2rssS_3hpp5DKow70BJWa_wksndc0ag7yiUs4</v>
      </c>
      <c r="EC35" s="26" t="str">
        <f>(Sheet1!P35)</f>
        <v>Dealer</v>
      </c>
      <c r="ED35" s="34" t="s">
        <v>13</v>
      </c>
    </row>
    <row r="36">
      <c r="A36" s="25" t="str">
        <f>(Sheet1!A36)</f>
        <v>1AjVyIHPgPw3jscNmkTH1qzR2RokK5FZaJLjeNfOiYAA</v>
      </c>
      <c r="B36" s="25" t="str">
        <f>(Sheet1!B36)</f>
        <v>AAA</v>
      </c>
      <c r="C36" s="30" t="s">
        <v>13</v>
      </c>
      <c r="D36" s="30" t="s">
        <v>72</v>
      </c>
      <c r="E36" s="30" t="s">
        <v>3819</v>
      </c>
      <c r="F36" s="40">
        <v>155.0</v>
      </c>
      <c r="G36" s="32" t="s">
        <v>3818</v>
      </c>
      <c r="H36" s="31">
        <v>100.0</v>
      </c>
      <c r="I36" s="33">
        <f>'Old Balance Sheet'!A36 + 'ACPL Calculations - 1.0'!A36 + 'ACPL Calculations - 2.0'!A36</f>
        <v>2038</v>
      </c>
      <c r="J36" s="30" t="s">
        <v>3819</v>
      </c>
      <c r="K36" s="31">
        <v>155.0</v>
      </c>
      <c r="L36" s="32" t="s">
        <v>3818</v>
      </c>
      <c r="M36" s="31">
        <v>100.0</v>
      </c>
      <c r="N36" s="33">
        <f>'Old Balance Sheet'!B36 + 'ACPL Calculations - 1.0'!B36 + 'ACPL Calculations - 2.0'!B36</f>
        <v>9</v>
      </c>
      <c r="O36" s="30" t="s">
        <v>3819</v>
      </c>
      <c r="P36" s="31">
        <v>155.0</v>
      </c>
      <c r="Q36" s="32" t="s">
        <v>3818</v>
      </c>
      <c r="R36" s="31">
        <v>100.0</v>
      </c>
      <c r="S36" s="33">
        <f>'Old Balance Sheet'!C36 + 'ACPL Calculations - 1.0'!C36 + 'ACPL Calculations - 2.0'!C36</f>
        <v>293</v>
      </c>
      <c r="T36" s="30" t="s">
        <v>3819</v>
      </c>
      <c r="U36" s="31">
        <v>155.0</v>
      </c>
      <c r="V36" s="32" t="s">
        <v>3818</v>
      </c>
      <c r="W36" s="31">
        <v>100.0</v>
      </c>
      <c r="X36" s="33">
        <f>'Old Balance Sheet'!D36 + 'ACPL Calculations - 1.0'!D36 + 'ACPL Calculations - 2.0'!D36</f>
        <v>0</v>
      </c>
      <c r="Y36" s="30" t="s">
        <v>3819</v>
      </c>
      <c r="Z36" s="41">
        <v>155.0</v>
      </c>
      <c r="AA36" s="32" t="s">
        <v>3818</v>
      </c>
      <c r="AB36" s="31">
        <v>100.0</v>
      </c>
      <c r="AC36" s="33">
        <f>'Old Balance Sheet'!E36 + 'ACPL Calculations - 1.0'!E36 + 'ACPL Calculations - 2.0'!E36</f>
        <v>2183</v>
      </c>
      <c r="AD36" s="30" t="s">
        <v>3819</v>
      </c>
      <c r="AE36" s="34">
        <v>838.99</v>
      </c>
      <c r="AF36" s="32" t="s">
        <v>3818</v>
      </c>
      <c r="AG36" s="31">
        <v>100.0</v>
      </c>
      <c r="AH36" s="33">
        <f>'Old Balance Sheet'!F36 + 'ACPL Calculations - 1.0'!F36 + 'ACPL Calculations - 2.0'!F36</f>
        <v>0</v>
      </c>
      <c r="AI36" s="30" t="s">
        <v>3819</v>
      </c>
      <c r="AJ36" s="31">
        <v>155.0</v>
      </c>
      <c r="AK36" s="32" t="s">
        <v>3818</v>
      </c>
      <c r="AL36" s="31">
        <v>100.0</v>
      </c>
      <c r="AM36" s="33">
        <f>'Old Balance Sheet'!G36 + 'ACPL Calculations - 1.0'!G36 + 'ACPL Calculations - 2.0'!G36</f>
        <v>0</v>
      </c>
      <c r="AN36" s="30" t="s">
        <v>3819</v>
      </c>
      <c r="AO36" s="31">
        <v>155.0</v>
      </c>
      <c r="AP36" s="32" t="s">
        <v>3818</v>
      </c>
      <c r="AQ36" s="31">
        <v>100.0</v>
      </c>
      <c r="AR36" s="33">
        <f>'Old Balance Sheet'!H36 + 'ACPL Calculations - 1.0'!H36 + 'ACPL Calculations - 2.0'!H36</f>
        <v>0</v>
      </c>
      <c r="AS36" s="30" t="s">
        <v>3819</v>
      </c>
      <c r="AT36" s="31">
        <v>838.99</v>
      </c>
      <c r="AU36" s="32" t="s">
        <v>3818</v>
      </c>
      <c r="AV36" s="31">
        <v>100.0</v>
      </c>
      <c r="AW36" s="33">
        <f>'Old Balance Sheet'!I36 + 'ACPL Calculations - 1.0'!I36 + 'ACPL Calculations - 2.0'!I36</f>
        <v>0</v>
      </c>
      <c r="AX36" s="30" t="s">
        <v>3819</v>
      </c>
      <c r="AY36" s="31">
        <v>155.0</v>
      </c>
      <c r="AZ36" s="32" t="s">
        <v>3818</v>
      </c>
      <c r="BA36" s="31">
        <v>100.0</v>
      </c>
      <c r="BB36" s="33">
        <f>'Old Balance Sheet'!J36 + 'ACPL Calculations - 1.0'!J36 + 'ACPL Calculations - 2.0'!J36</f>
        <v>0</v>
      </c>
      <c r="BC36" s="30" t="s">
        <v>3819</v>
      </c>
      <c r="BD36" s="31">
        <v>155.0</v>
      </c>
      <c r="BE36" s="32" t="s">
        <v>3818</v>
      </c>
      <c r="BF36" s="31">
        <v>100.0</v>
      </c>
      <c r="BG36" s="33">
        <f>'Old Balance Sheet'!K36 + 'ACPL Calculations - 1.0'!K36 + 'ACPL Calculations - 2.0'!K36</f>
        <v>0</v>
      </c>
      <c r="BH36" s="30" t="s">
        <v>3819</v>
      </c>
      <c r="BI36" s="31">
        <v>155.0</v>
      </c>
      <c r="BJ36" s="32" t="s">
        <v>3818</v>
      </c>
      <c r="BK36" s="31">
        <v>100.0</v>
      </c>
      <c r="BL36" s="33">
        <f>'Old Balance Sheet'!L36 + 'ACPL Calculations - 1.0'!L36 + 'ACPL Calculations - 2.0'!L36</f>
        <v>0</v>
      </c>
      <c r="BM36" s="33"/>
      <c r="BN36" s="33"/>
      <c r="BO36" s="33"/>
      <c r="BP36" s="33"/>
      <c r="BQ36" s="33"/>
      <c r="BR36" s="33"/>
      <c r="BS36" s="33"/>
      <c r="BT36" s="33"/>
      <c r="BU36" s="33"/>
      <c r="BV36" s="33"/>
      <c r="BW36" s="33"/>
      <c r="BX36" s="33"/>
      <c r="BY36" s="33"/>
      <c r="BZ36" s="33"/>
      <c r="CA36" s="33"/>
      <c r="CB36" s="33"/>
      <c r="CC36" s="33"/>
      <c r="CD36" s="33"/>
      <c r="CE36" s="33"/>
      <c r="CF36" s="33"/>
      <c r="CG36" s="33"/>
      <c r="CH36" s="33"/>
      <c r="CI36" s="33"/>
      <c r="CJ36" s="33"/>
      <c r="CK36" s="33"/>
      <c r="CL36" s="33">
        <f t="shared" si="1"/>
        <v>4523</v>
      </c>
      <c r="CM36" s="33">
        <f>'Old Balance Sheet'!R36 + 'ACPL Calculations - 1.0'!S36 + 'ACPL Calculations - 2.0'!S36</f>
        <v>984879.1</v>
      </c>
      <c r="CN36" s="33">
        <f>'Old Balance Sheet'!S36 + 'ACPL Calculations - 1.0'!T36 + 'ACPL Calculations - 2.0'!T36</f>
        <v>822720</v>
      </c>
      <c r="CO36" s="33">
        <f t="shared" si="2"/>
        <v>972955.65</v>
      </c>
      <c r="CP36" s="33">
        <f>'Old Balance Sheet'!T36 + 'ACPL Calculations - 1.0'!V36 + 'ACPL Calculations - 2.0'!V36</f>
        <v>13.95</v>
      </c>
      <c r="CQ36" s="33">
        <f>'Old Balance Sheet'!U36 + 'ACPL Calculations - 1.0'!W36 + 'ACPL Calculations - 2.0'!W36</f>
        <v>13.95</v>
      </c>
      <c r="CR36" s="33">
        <f>'Old Balance Sheet'!V36 + 'ACPL Calculations - 1.0'!X36 + 'ACPL Calculations - 2.0'!X36</f>
        <v>150207.75</v>
      </c>
      <c r="CS36" s="33">
        <f t="shared" si="3"/>
        <v>150235.65</v>
      </c>
      <c r="CT36" s="35"/>
      <c r="CU36" s="35"/>
      <c r="CV36" s="35"/>
      <c r="CW36" s="36">
        <f>'Old Balance Sheet'!W36 + 'ACPL Calculations - 1.0'!Z36 + 'ACPL Calculations - 2.0'!Z36</f>
        <v>1610542.31</v>
      </c>
      <c r="CX36" s="36">
        <f>'Old Balance Sheet'!X36 + 'ACPL Calculations - 1.0'!AA36 + 'ACPL Calculations - 2.0'!AA36</f>
        <v>1610542.31</v>
      </c>
      <c r="CY36" s="37">
        <v>0.0</v>
      </c>
      <c r="CZ36" s="38">
        <f>'Old Balance Sheet'!Y36 + 'ACPL Calculations - 1.0'!AB36 + 'ACPL Calculations - 2.0'!AB36</f>
        <v>706583.61</v>
      </c>
      <c r="DA36" s="38">
        <f>'Old Balance Sheet'!Z36 + 'ACPL Calculations - 1.0'!AC36 + 'ACPL Calculations - 2.0'!AC36</f>
        <v>681985.49</v>
      </c>
      <c r="DB36" s="38">
        <f>'Old Balance Sheet'!AA36 + 'ACPL Calculations - 1.0'!AD36 + 'ACPL Calculations - 2.0'!AD36</f>
        <v>36521.57</v>
      </c>
      <c r="DC36" s="38">
        <f>'Old Balance Sheet'!AB36 + 'ACPL Calculations - 1.0'!AE36 + 'ACPL Calculations - 2.0'!AE36</f>
        <v>0</v>
      </c>
      <c r="DD36" s="38">
        <f t="shared" si="4"/>
        <v>0</v>
      </c>
      <c r="DE36" s="33">
        <f t="shared" si="5"/>
        <v>0</v>
      </c>
      <c r="DF36" s="35">
        <v>0.0</v>
      </c>
      <c r="DG36" s="35">
        <v>0.0</v>
      </c>
      <c r="DH36" s="35">
        <v>0.0</v>
      </c>
      <c r="DI36" s="35">
        <v>0.0</v>
      </c>
      <c r="DJ36" s="35">
        <v>0.0</v>
      </c>
      <c r="DK36" s="35">
        <v>0.0</v>
      </c>
      <c r="DL36" s="35">
        <v>0.0</v>
      </c>
      <c r="DM36" s="35">
        <v>0.0</v>
      </c>
      <c r="DN36" s="31">
        <v>0.0</v>
      </c>
      <c r="DO36" s="31">
        <v>0.0</v>
      </c>
      <c r="DP36" s="31">
        <v>0.0</v>
      </c>
      <c r="DQ36" s="31">
        <v>0.0</v>
      </c>
      <c r="DR36" s="31">
        <v>0.0</v>
      </c>
      <c r="DS36" s="31">
        <v>0.0</v>
      </c>
      <c r="DT36" s="31">
        <f>'Old Balance Sheet'!AC36</f>
        <v>-8783</v>
      </c>
      <c r="DU36" s="31">
        <f>DT36 + SUMIFS('Payments Log'!D:D, 'Payments Log'!B:B, A36, 'Payments Log'!L:L, "Approved", 'Payments Log'!M:M, "Credit") + 'Old Balance Sheet'!AD36 - 'Old Balance Sheet'!AC36</f>
        <v>1641217</v>
      </c>
      <c r="DV36" s="31">
        <f>SUMIFS('Payments Log'!D:D, 'Payments Log'!B:B, A36, 'Payments Log'!L:L, "Approved", 'Payments Log'!M:M, "Adjustment Credit") - SUMIFS('Payments Log'!D:D, 'Payments Log'!B:B, A36, 'Payments Log'!L:L, "Approved", 'Payments Log'!M:M, "Adjustment Debit") + 'Old Balance Sheet'!AE36</f>
        <v>0</v>
      </c>
      <c r="DW36" s="31">
        <f>IF(MAXIFS('Payments Log'!N:N, 'Payments Log'!L:L, "Approved", 'Payments Log'!M:M, "Credit", 'Payments Log'!B:B, A36) &gt; MAXIFS('Payments Log'!N:N, 'Payments Log'!L:L, "Approved", 'Payments Log'!M:M, "Virtual Credit", 'Payments Log'!B:B, A36), 0, SUMIFS('Payments Log'!D:D, 'Payments Log'!N:N, MAXIFS('Payments Log'!N:N, 'Payments Log'!L:L, "Approved", 'Payments Log'!M:M, "Virtual Credit", 'Payments Log'!B:B, A36)))</f>
        <v>0</v>
      </c>
      <c r="DX36" s="33">
        <f t="shared" si="6"/>
        <v>30674.69</v>
      </c>
      <c r="DY36" s="33">
        <f t="shared" si="7"/>
        <v>30674.69</v>
      </c>
      <c r="DZ36" s="33">
        <f t="shared" si="8"/>
        <v>30674.69</v>
      </c>
      <c r="EA36" s="25" t="str">
        <f>(Sheet1!N36)</f>
        <v>AAA</v>
      </c>
      <c r="EB36" s="25" t="str">
        <f>(Sheet1!O36)</f>
        <v>1AjVyIHPgPw3jscNmkTH1qzR2RokK5FZaJLjeNfOiYAA</v>
      </c>
      <c r="EC36" s="26" t="str">
        <f>(Sheet1!P36)</f>
        <v>Dealer</v>
      </c>
      <c r="ED36" s="34" t="s">
        <v>13</v>
      </c>
    </row>
    <row r="37">
      <c r="A37" s="25" t="str">
        <f>(Sheet1!A37)</f>
        <v>1txqT-r-3rrz_JL6hfpj1nayS9LkA6F-X3hyZ3XTUiO8</v>
      </c>
      <c r="B37" s="25" t="str">
        <f>(Sheet1!B37)</f>
        <v>FRIENDS AUTOMOBILES (BBW)</v>
      </c>
      <c r="C37" s="30" t="s">
        <v>13</v>
      </c>
      <c r="D37" s="30" t="s">
        <v>72</v>
      </c>
      <c r="E37" s="30" t="s">
        <v>3820</v>
      </c>
      <c r="F37" s="31">
        <v>170.0</v>
      </c>
      <c r="G37" s="32" t="s">
        <v>3818</v>
      </c>
      <c r="H37" s="31">
        <v>100.0</v>
      </c>
      <c r="I37" s="33">
        <f>'Old Balance Sheet'!A37 + 'ACPL Calculations - 1.0'!A37 + 'ACPL Calculations - 2.0'!A37</f>
        <v>0</v>
      </c>
      <c r="J37" s="30" t="s">
        <v>3820</v>
      </c>
      <c r="K37" s="31">
        <v>170.0</v>
      </c>
      <c r="L37" s="32" t="s">
        <v>3818</v>
      </c>
      <c r="M37" s="31">
        <v>100.0</v>
      </c>
      <c r="N37" s="33">
        <f>'Old Balance Sheet'!B37 + 'ACPL Calculations - 1.0'!B37 + 'ACPL Calculations - 2.0'!B37</f>
        <v>0</v>
      </c>
      <c r="O37" s="30" t="s">
        <v>3820</v>
      </c>
      <c r="P37" s="31">
        <v>170.0</v>
      </c>
      <c r="Q37" s="32" t="s">
        <v>3818</v>
      </c>
      <c r="R37" s="31">
        <v>100.0</v>
      </c>
      <c r="S37" s="33">
        <f>'Old Balance Sheet'!C37 + 'ACPL Calculations - 1.0'!C37 + 'ACPL Calculations - 2.0'!C37</f>
        <v>0</v>
      </c>
      <c r="T37" s="30" t="s">
        <v>3820</v>
      </c>
      <c r="U37" s="31">
        <v>170.0</v>
      </c>
      <c r="V37" s="32" t="s">
        <v>3818</v>
      </c>
      <c r="W37" s="31">
        <v>100.0</v>
      </c>
      <c r="X37" s="33">
        <f>'Old Balance Sheet'!D37 + 'ACPL Calculations - 1.0'!D37 + 'ACPL Calculations - 2.0'!D37</f>
        <v>0</v>
      </c>
      <c r="Y37" s="30" t="s">
        <v>3820</v>
      </c>
      <c r="Z37" s="31">
        <v>170.0</v>
      </c>
      <c r="AA37" s="32" t="s">
        <v>3818</v>
      </c>
      <c r="AB37" s="31">
        <v>100.0</v>
      </c>
      <c r="AC37" s="33">
        <f>'Old Balance Sheet'!E37 + 'ACPL Calculations - 1.0'!E37 + 'ACPL Calculations - 2.0'!E37</f>
        <v>10</v>
      </c>
      <c r="AD37" s="30" t="s">
        <v>3820</v>
      </c>
      <c r="AE37" s="34">
        <v>838.99</v>
      </c>
      <c r="AF37" s="32" t="s">
        <v>3818</v>
      </c>
      <c r="AG37" s="31">
        <v>100.0</v>
      </c>
      <c r="AH37" s="33">
        <f>'Old Balance Sheet'!F37 + 'ACPL Calculations - 1.0'!F37 + 'ACPL Calculations - 2.0'!F37</f>
        <v>0</v>
      </c>
      <c r="AI37" s="30" t="s">
        <v>3820</v>
      </c>
      <c r="AJ37" s="31">
        <v>375.0</v>
      </c>
      <c r="AK37" s="32" t="s">
        <v>3818</v>
      </c>
      <c r="AL37" s="31">
        <v>100.0</v>
      </c>
      <c r="AM37" s="33">
        <f>'Old Balance Sheet'!G37 + 'ACPL Calculations - 1.0'!G37 + 'ACPL Calculations - 2.0'!G37</f>
        <v>0</v>
      </c>
      <c r="AN37" s="30" t="s">
        <v>3820</v>
      </c>
      <c r="AO37" s="31">
        <v>170.0</v>
      </c>
      <c r="AP37" s="32" t="s">
        <v>3818</v>
      </c>
      <c r="AQ37" s="31">
        <v>100.0</v>
      </c>
      <c r="AR37" s="33">
        <f>'Old Balance Sheet'!H37 + 'ACPL Calculations - 1.0'!H37 + 'ACPL Calculations - 2.0'!H37</f>
        <v>0</v>
      </c>
      <c r="AS37" s="30" t="s">
        <v>3819</v>
      </c>
      <c r="AT37" s="31">
        <v>838.99</v>
      </c>
      <c r="AU37" s="32" t="s">
        <v>3818</v>
      </c>
      <c r="AV37" s="31">
        <v>100.0</v>
      </c>
      <c r="AW37" s="33">
        <f>'Old Balance Sheet'!I37 + 'ACPL Calculations - 1.0'!I37 + 'ACPL Calculations - 2.0'!I37</f>
        <v>0</v>
      </c>
      <c r="AX37" s="30" t="s">
        <v>3820</v>
      </c>
      <c r="AY37" s="31">
        <v>170.0</v>
      </c>
      <c r="AZ37" s="32" t="s">
        <v>3818</v>
      </c>
      <c r="BA37" s="31">
        <v>100.0</v>
      </c>
      <c r="BB37" s="33">
        <f>'Old Balance Sheet'!J37 + 'ACPL Calculations - 1.0'!J37 + 'ACPL Calculations - 2.0'!J37</f>
        <v>0</v>
      </c>
      <c r="BC37" s="30" t="s">
        <v>3820</v>
      </c>
      <c r="BD37" s="31">
        <v>170.0</v>
      </c>
      <c r="BE37" s="32" t="s">
        <v>3818</v>
      </c>
      <c r="BF37" s="31">
        <v>100.0</v>
      </c>
      <c r="BG37" s="33">
        <f>'Old Balance Sheet'!K37 + 'ACPL Calculations - 1.0'!K37 + 'ACPL Calculations - 2.0'!K37</f>
        <v>0</v>
      </c>
      <c r="BH37" s="30" t="s">
        <v>3820</v>
      </c>
      <c r="BI37" s="31">
        <v>205.0</v>
      </c>
      <c r="BJ37" s="32" t="s">
        <v>3818</v>
      </c>
      <c r="BK37" s="31">
        <v>100.0</v>
      </c>
      <c r="BL37" s="33">
        <f>'Old Balance Sheet'!L37 + 'ACPL Calculations - 1.0'!L37 + 'ACPL Calculations - 2.0'!L37</f>
        <v>0</v>
      </c>
      <c r="BM37" s="33"/>
      <c r="BN37" s="33"/>
      <c r="BO37" s="33"/>
      <c r="BP37" s="33"/>
      <c r="BQ37" s="33"/>
      <c r="BR37" s="33"/>
      <c r="BS37" s="33"/>
      <c r="BT37" s="33"/>
      <c r="BU37" s="33"/>
      <c r="BV37" s="33"/>
      <c r="BW37" s="33"/>
      <c r="BX37" s="33"/>
      <c r="BY37" s="33"/>
      <c r="BZ37" s="33"/>
      <c r="CA37" s="33"/>
      <c r="CB37" s="33"/>
      <c r="CC37" s="33"/>
      <c r="CD37" s="33"/>
      <c r="CE37" s="33"/>
      <c r="CF37" s="33"/>
      <c r="CG37" s="33"/>
      <c r="CH37" s="33"/>
      <c r="CI37" s="33"/>
      <c r="CJ37" s="33"/>
      <c r="CK37" s="33"/>
      <c r="CL37" s="33">
        <f t="shared" si="1"/>
        <v>10</v>
      </c>
      <c r="CM37" s="33">
        <f>'Old Balance Sheet'!R37 + 'ACPL Calculations - 1.0'!S37 + 'ACPL Calculations - 2.0'!S37</f>
        <v>15900</v>
      </c>
      <c r="CN37" s="33">
        <f>'Old Balance Sheet'!S37 + 'ACPL Calculations - 1.0'!T37 + 'ACPL Calculations - 2.0'!T37</f>
        <v>4600</v>
      </c>
      <c r="CO37" s="33">
        <f t="shared" si="2"/>
        <v>7025.4</v>
      </c>
      <c r="CP37" s="33">
        <f>'Old Balance Sheet'!T37 + 'ACPL Calculations - 1.0'!V37 + 'ACPL Calculations - 2.0'!V37</f>
        <v>0</v>
      </c>
      <c r="CQ37" s="33">
        <f>'Old Balance Sheet'!U37 + 'ACPL Calculations - 1.0'!W37 + 'ACPL Calculations - 2.0'!W37</f>
        <v>0</v>
      </c>
      <c r="CR37" s="33">
        <f>'Old Balance Sheet'!V37 + 'ACPL Calculations - 1.0'!X37 + 'ACPL Calculations - 2.0'!X37</f>
        <v>2425.4</v>
      </c>
      <c r="CS37" s="33">
        <f t="shared" si="3"/>
        <v>2425.4</v>
      </c>
      <c r="CT37" s="35"/>
      <c r="CU37" s="35"/>
      <c r="CV37" s="35"/>
      <c r="CW37" s="36">
        <f>'Old Balance Sheet'!W37 + 'ACPL Calculations - 1.0'!Z37 + 'ACPL Calculations - 2.0'!Z37</f>
        <v>0</v>
      </c>
      <c r="CX37" s="36">
        <f>'Old Balance Sheet'!X37 + 'ACPL Calculations - 1.0'!AA37 + 'ACPL Calculations - 2.0'!AA37</f>
        <v>0</v>
      </c>
      <c r="CY37" s="37">
        <v>0.0</v>
      </c>
      <c r="CZ37" s="38">
        <f>'Old Balance Sheet'!Y37 + 'ACPL Calculations - 1.0'!AB37 + 'ACPL Calculations - 2.0'!AB37</f>
        <v>0</v>
      </c>
      <c r="DA37" s="38">
        <f>'Old Balance Sheet'!Z37 + 'ACPL Calculations - 1.0'!AC37 + 'ACPL Calculations - 2.0'!AC37</f>
        <v>0</v>
      </c>
      <c r="DB37" s="38">
        <f>'Old Balance Sheet'!AA37 + 'ACPL Calculations - 1.0'!AD37 + 'ACPL Calculations - 2.0'!AD37</f>
        <v>0</v>
      </c>
      <c r="DC37" s="38">
        <f>'Old Balance Sheet'!AB37 + 'ACPL Calculations - 1.0'!AE37 + 'ACPL Calculations - 2.0'!AE37</f>
        <v>0</v>
      </c>
      <c r="DD37" s="38">
        <f t="shared" si="4"/>
        <v>0</v>
      </c>
      <c r="DE37" s="33">
        <f t="shared" si="5"/>
        <v>0</v>
      </c>
      <c r="DF37" s="35">
        <v>0.0</v>
      </c>
      <c r="DG37" s="35">
        <v>0.0</v>
      </c>
      <c r="DH37" s="35">
        <v>0.0</v>
      </c>
      <c r="DI37" s="35">
        <v>0.0</v>
      </c>
      <c r="DJ37" s="35">
        <v>0.0</v>
      </c>
      <c r="DK37" s="35">
        <v>0.0</v>
      </c>
      <c r="DL37" s="35">
        <v>0.0</v>
      </c>
      <c r="DM37" s="35">
        <v>0.0</v>
      </c>
      <c r="DN37" s="31">
        <v>0.0</v>
      </c>
      <c r="DO37" s="31">
        <v>0.0</v>
      </c>
      <c r="DP37" s="31">
        <v>0.0</v>
      </c>
      <c r="DQ37" s="31">
        <v>0.0</v>
      </c>
      <c r="DR37" s="31">
        <v>0.0</v>
      </c>
      <c r="DS37" s="31">
        <v>0.0</v>
      </c>
      <c r="DT37" s="31">
        <f>'Old Balance Sheet'!AC37</f>
        <v>0</v>
      </c>
      <c r="DU37" s="31">
        <f>DT37 + SUMIFS('Payments Log'!D:D, 'Payments Log'!B:B, A37, 'Payments Log'!L:L, "Approved", 'Payments Log'!M:M, "Credit") + 'Old Balance Sheet'!AD37 - 'Old Balance Sheet'!AC37</f>
        <v>0</v>
      </c>
      <c r="DV37" s="31">
        <f>SUMIFS('Payments Log'!D:D, 'Payments Log'!B:B, A37, 'Payments Log'!L:L, "Approved", 'Payments Log'!M:M, "Adjustment Credit") - SUMIFS('Payments Log'!D:D, 'Payments Log'!B:B, A37, 'Payments Log'!L:L, "Approved", 'Payments Log'!M:M, "Adjustment Debit") + 'Old Balance Sheet'!AE37</f>
        <v>0</v>
      </c>
      <c r="DW37" s="31">
        <f>IF(MAXIFS('Payments Log'!N:N, 'Payments Log'!L:L, "Approved", 'Payments Log'!M:M, "Credit", 'Payments Log'!B:B, A37) &gt; MAXIFS('Payments Log'!N:N, 'Payments Log'!L:L, "Approved", 'Payments Log'!M:M, "Virtual Credit", 'Payments Log'!B:B, A37), 0, SUMIFS('Payments Log'!D:D, 'Payments Log'!N:N, MAXIFS('Payments Log'!N:N, 'Payments Log'!L:L, "Approved", 'Payments Log'!M:M, "Virtual Credit", 'Payments Log'!B:B, A37)))</f>
        <v>0</v>
      </c>
      <c r="DX37" s="33">
        <f t="shared" si="6"/>
        <v>0</v>
      </c>
      <c r="DY37" s="33">
        <f t="shared" si="7"/>
        <v>0</v>
      </c>
      <c r="DZ37" s="33">
        <f t="shared" si="8"/>
        <v>0</v>
      </c>
      <c r="EA37" s="25" t="str">
        <f>(Sheet1!N37)</f>
        <v>Brij Biwheelers</v>
      </c>
      <c r="EB37" s="25" t="str">
        <f>(Sheet1!O37)</f>
        <v>1ytBGcO8tIze81xKkAa9lWDcflthsPL6SuADAXbhmuwA</v>
      </c>
      <c r="EC37" s="26" t="str">
        <f>(Sheet1!P37)</f>
        <v>Sub Dealer</v>
      </c>
      <c r="ED37" s="34" t="s">
        <v>13</v>
      </c>
    </row>
    <row r="38">
      <c r="A38" s="25" t="str">
        <f>(Sheet1!A38)</f>
        <v>16TwAyLbRSQfXo00SFqwkhgj4ImKvtFd_ORftHCn3L9g</v>
      </c>
      <c r="B38" s="25" t="str">
        <f>(Sheet1!B38)</f>
        <v>GHANSHYAM MOTORS (BBW)</v>
      </c>
      <c r="C38" s="30" t="s">
        <v>13</v>
      </c>
      <c r="D38" s="30" t="s">
        <v>72</v>
      </c>
      <c r="E38" s="30" t="s">
        <v>3820</v>
      </c>
      <c r="F38" s="31">
        <v>170.0</v>
      </c>
      <c r="G38" s="32" t="s">
        <v>3818</v>
      </c>
      <c r="H38" s="31">
        <v>100.0</v>
      </c>
      <c r="I38" s="33">
        <f>'Old Balance Sheet'!A38 + 'ACPL Calculations - 1.0'!A38 + 'ACPL Calculations - 2.0'!A38</f>
        <v>0</v>
      </c>
      <c r="J38" s="30" t="s">
        <v>3820</v>
      </c>
      <c r="K38" s="31">
        <v>170.0</v>
      </c>
      <c r="L38" s="32" t="s">
        <v>3818</v>
      </c>
      <c r="M38" s="31">
        <v>100.0</v>
      </c>
      <c r="N38" s="33">
        <f>'Old Balance Sheet'!B38 + 'ACPL Calculations - 1.0'!B38 + 'ACPL Calculations - 2.0'!B38</f>
        <v>1</v>
      </c>
      <c r="O38" s="30" t="s">
        <v>3820</v>
      </c>
      <c r="P38" s="31">
        <v>170.0</v>
      </c>
      <c r="Q38" s="32" t="s">
        <v>3818</v>
      </c>
      <c r="R38" s="31">
        <v>100.0</v>
      </c>
      <c r="S38" s="33">
        <f>'Old Balance Sheet'!C38 + 'ACPL Calculations - 1.0'!C38 + 'ACPL Calculations - 2.0'!C38</f>
        <v>0</v>
      </c>
      <c r="T38" s="30" t="s">
        <v>3820</v>
      </c>
      <c r="U38" s="31">
        <v>170.0</v>
      </c>
      <c r="V38" s="32" t="s">
        <v>3818</v>
      </c>
      <c r="W38" s="31">
        <v>100.0</v>
      </c>
      <c r="X38" s="33">
        <f>'Old Balance Sheet'!D38 + 'ACPL Calculations - 1.0'!D38 + 'ACPL Calculations - 2.0'!D38</f>
        <v>0</v>
      </c>
      <c r="Y38" s="30" t="s">
        <v>3820</v>
      </c>
      <c r="Z38" s="31">
        <v>170.0</v>
      </c>
      <c r="AA38" s="32" t="s">
        <v>3818</v>
      </c>
      <c r="AB38" s="31">
        <v>100.0</v>
      </c>
      <c r="AC38" s="33">
        <f>'Old Balance Sheet'!E38 + 'ACPL Calculations - 1.0'!E38 + 'ACPL Calculations - 2.0'!E38</f>
        <v>0</v>
      </c>
      <c r="AD38" s="30" t="s">
        <v>3820</v>
      </c>
      <c r="AE38" s="34">
        <v>838.99</v>
      </c>
      <c r="AF38" s="32" t="s">
        <v>3818</v>
      </c>
      <c r="AG38" s="31">
        <v>100.0</v>
      </c>
      <c r="AH38" s="33">
        <f>'Old Balance Sheet'!F38 + 'ACPL Calculations - 1.0'!F38 + 'ACPL Calculations - 2.0'!F38</f>
        <v>0</v>
      </c>
      <c r="AI38" s="30" t="s">
        <v>3820</v>
      </c>
      <c r="AJ38" s="31">
        <v>375.0</v>
      </c>
      <c r="AK38" s="32" t="s">
        <v>3818</v>
      </c>
      <c r="AL38" s="31">
        <v>100.0</v>
      </c>
      <c r="AM38" s="33">
        <f>'Old Balance Sheet'!G38 + 'ACPL Calculations - 1.0'!G38 + 'ACPL Calculations - 2.0'!G38</f>
        <v>0</v>
      </c>
      <c r="AN38" s="30" t="s">
        <v>3820</v>
      </c>
      <c r="AO38" s="31">
        <v>170.0</v>
      </c>
      <c r="AP38" s="32" t="s">
        <v>3818</v>
      </c>
      <c r="AQ38" s="31">
        <v>100.0</v>
      </c>
      <c r="AR38" s="33">
        <f>'Old Balance Sheet'!H38 + 'ACPL Calculations - 1.0'!H38 + 'ACPL Calculations - 2.0'!H38</f>
        <v>0</v>
      </c>
      <c r="AS38" s="30" t="s">
        <v>3819</v>
      </c>
      <c r="AT38" s="31">
        <v>838.99</v>
      </c>
      <c r="AU38" s="32" t="s">
        <v>3818</v>
      </c>
      <c r="AV38" s="31">
        <v>100.0</v>
      </c>
      <c r="AW38" s="33">
        <f>'Old Balance Sheet'!I38 + 'ACPL Calculations - 1.0'!I38 + 'ACPL Calculations - 2.0'!I38</f>
        <v>0</v>
      </c>
      <c r="AX38" s="30" t="s">
        <v>3820</v>
      </c>
      <c r="AY38" s="31">
        <v>170.0</v>
      </c>
      <c r="AZ38" s="32" t="s">
        <v>3818</v>
      </c>
      <c r="BA38" s="31">
        <v>100.0</v>
      </c>
      <c r="BB38" s="33">
        <f>'Old Balance Sheet'!J38 + 'ACPL Calculations - 1.0'!J38 + 'ACPL Calculations - 2.0'!J38</f>
        <v>0</v>
      </c>
      <c r="BC38" s="30" t="s">
        <v>3820</v>
      </c>
      <c r="BD38" s="31">
        <v>170.0</v>
      </c>
      <c r="BE38" s="32" t="s">
        <v>3818</v>
      </c>
      <c r="BF38" s="31">
        <v>100.0</v>
      </c>
      <c r="BG38" s="33">
        <f>'Old Balance Sheet'!K38 + 'ACPL Calculations - 1.0'!K38 + 'ACPL Calculations - 2.0'!K38</f>
        <v>0</v>
      </c>
      <c r="BH38" s="30" t="s">
        <v>3820</v>
      </c>
      <c r="BI38" s="31">
        <v>205.0</v>
      </c>
      <c r="BJ38" s="32" t="s">
        <v>3818</v>
      </c>
      <c r="BK38" s="31">
        <v>100.0</v>
      </c>
      <c r="BL38" s="33">
        <f>'Old Balance Sheet'!L38 + 'ACPL Calculations - 1.0'!L38 + 'ACPL Calculations - 2.0'!L38</f>
        <v>0</v>
      </c>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f t="shared" si="1"/>
        <v>1</v>
      </c>
      <c r="CM38" s="33">
        <f>'Old Balance Sheet'!R38 + 'ACPL Calculations - 1.0'!S38 + 'ACPL Calculations - 2.0'!S38</f>
        <v>300</v>
      </c>
      <c r="CN38" s="33">
        <f>'Old Balance Sheet'!S38 + 'ACPL Calculations - 1.0'!T38 + 'ACPL Calculations - 2.0'!T38</f>
        <v>205</v>
      </c>
      <c r="CO38" s="33">
        <f t="shared" si="2"/>
        <v>250.76</v>
      </c>
      <c r="CP38" s="33">
        <f>'Old Balance Sheet'!T38 + 'ACPL Calculations - 1.0'!V38 + 'ACPL Calculations - 2.0'!V38</f>
        <v>0</v>
      </c>
      <c r="CQ38" s="33">
        <f>'Old Balance Sheet'!U38 + 'ACPL Calculations - 1.0'!W38 + 'ACPL Calculations - 2.0'!W38</f>
        <v>0</v>
      </c>
      <c r="CR38" s="33">
        <f>'Old Balance Sheet'!V38 + 'ACPL Calculations - 1.0'!X38 + 'ACPL Calculations - 2.0'!X38</f>
        <v>45.76</v>
      </c>
      <c r="CS38" s="33">
        <f t="shared" si="3"/>
        <v>45.76</v>
      </c>
      <c r="CT38" s="35"/>
      <c r="CU38" s="35"/>
      <c r="CV38" s="35"/>
      <c r="CW38" s="36">
        <f>'Old Balance Sheet'!W38 + 'ACPL Calculations - 1.0'!Z38 + 'ACPL Calculations - 2.0'!Z38</f>
        <v>0</v>
      </c>
      <c r="CX38" s="36">
        <f>'Old Balance Sheet'!X38 + 'ACPL Calculations - 1.0'!AA38 + 'ACPL Calculations - 2.0'!AA38</f>
        <v>0</v>
      </c>
      <c r="CY38" s="37">
        <v>0.0</v>
      </c>
      <c r="CZ38" s="38">
        <f>'Old Balance Sheet'!Y38 + 'ACPL Calculations - 1.0'!AB38 + 'ACPL Calculations - 2.0'!AB38</f>
        <v>0</v>
      </c>
      <c r="DA38" s="38">
        <f>'Old Balance Sheet'!Z38 + 'ACPL Calculations - 1.0'!AC38 + 'ACPL Calculations - 2.0'!AC38</f>
        <v>0</v>
      </c>
      <c r="DB38" s="38">
        <f>'Old Balance Sheet'!AA38 + 'ACPL Calculations - 1.0'!AD38 + 'ACPL Calculations - 2.0'!AD38</f>
        <v>0</v>
      </c>
      <c r="DC38" s="38">
        <f>'Old Balance Sheet'!AB38 + 'ACPL Calculations - 1.0'!AE38 + 'ACPL Calculations - 2.0'!AE38</f>
        <v>0</v>
      </c>
      <c r="DD38" s="38">
        <f t="shared" si="4"/>
        <v>0</v>
      </c>
      <c r="DE38" s="33">
        <f t="shared" si="5"/>
        <v>0</v>
      </c>
      <c r="DF38" s="35">
        <v>0.0</v>
      </c>
      <c r="DG38" s="35">
        <v>0.0</v>
      </c>
      <c r="DH38" s="35">
        <v>0.0</v>
      </c>
      <c r="DI38" s="35">
        <v>0.0</v>
      </c>
      <c r="DJ38" s="35">
        <v>0.0</v>
      </c>
      <c r="DK38" s="35">
        <v>0.0</v>
      </c>
      <c r="DL38" s="35">
        <v>0.0</v>
      </c>
      <c r="DM38" s="35">
        <v>0.0</v>
      </c>
      <c r="DN38" s="31">
        <v>0.0</v>
      </c>
      <c r="DO38" s="31">
        <v>0.0</v>
      </c>
      <c r="DP38" s="31">
        <v>0.0</v>
      </c>
      <c r="DQ38" s="31">
        <v>0.0</v>
      </c>
      <c r="DR38" s="31">
        <v>0.0</v>
      </c>
      <c r="DS38" s="31">
        <v>0.0</v>
      </c>
      <c r="DT38" s="31">
        <f>'Old Balance Sheet'!AC38</f>
        <v>0</v>
      </c>
      <c r="DU38" s="31">
        <f>DT38 + SUMIFS('Payments Log'!D:D, 'Payments Log'!B:B, A38, 'Payments Log'!L:L, "Approved", 'Payments Log'!M:M, "Credit") + 'Old Balance Sheet'!AD38 - 'Old Balance Sheet'!AC38</f>
        <v>0</v>
      </c>
      <c r="DV38" s="31">
        <f>SUMIFS('Payments Log'!D:D, 'Payments Log'!B:B, A38, 'Payments Log'!L:L, "Approved", 'Payments Log'!M:M, "Adjustment Credit") - SUMIFS('Payments Log'!D:D, 'Payments Log'!B:B, A38, 'Payments Log'!L:L, "Approved", 'Payments Log'!M:M, "Adjustment Debit") + 'Old Balance Sheet'!AE38</f>
        <v>0</v>
      </c>
      <c r="DW38" s="31">
        <f>IF(MAXIFS('Payments Log'!N:N, 'Payments Log'!L:L, "Approved", 'Payments Log'!M:M, "Credit", 'Payments Log'!B:B, A38) &gt; MAXIFS('Payments Log'!N:N, 'Payments Log'!L:L, "Approved", 'Payments Log'!M:M, "Virtual Credit", 'Payments Log'!B:B, A38), 0, SUMIFS('Payments Log'!D:D, 'Payments Log'!N:N, MAXIFS('Payments Log'!N:N, 'Payments Log'!L:L, "Approved", 'Payments Log'!M:M, "Virtual Credit", 'Payments Log'!B:B, A38)))</f>
        <v>0</v>
      </c>
      <c r="DX38" s="33">
        <f t="shared" si="6"/>
        <v>0</v>
      </c>
      <c r="DY38" s="33">
        <f t="shared" si="7"/>
        <v>0</v>
      </c>
      <c r="DZ38" s="33">
        <f t="shared" si="8"/>
        <v>0</v>
      </c>
      <c r="EA38" s="25" t="str">
        <f>(Sheet1!N38)</f>
        <v>Brij Biwheelers</v>
      </c>
      <c r="EB38" s="25" t="str">
        <f>(Sheet1!O38)</f>
        <v>1ytBGcO8tIze81xKkAa9lWDcflthsPL6SuADAXbhmuwA</v>
      </c>
      <c r="EC38" s="26" t="str">
        <f>(Sheet1!P38)</f>
        <v>Sub Dealer</v>
      </c>
      <c r="ED38" s="34" t="s">
        <v>13</v>
      </c>
    </row>
    <row r="39">
      <c r="A39" s="25" t="str">
        <f>(Sheet1!A39)</f>
        <v>1Qutstkt7wbcw29p7VfI97VmiQ6zXlElNsNewjyPJF-E</v>
      </c>
      <c r="B39" s="25" t="str">
        <f>(Sheet1!B39)</f>
        <v>SHRI BADAM AUTO AGENCY (BBW)</v>
      </c>
      <c r="C39" s="30" t="s">
        <v>13</v>
      </c>
      <c r="D39" s="30" t="s">
        <v>72</v>
      </c>
      <c r="E39" s="30" t="s">
        <v>3820</v>
      </c>
      <c r="F39" s="31">
        <v>170.0</v>
      </c>
      <c r="G39" s="32" t="s">
        <v>3818</v>
      </c>
      <c r="H39" s="31">
        <v>100.0</v>
      </c>
      <c r="I39" s="33">
        <f>'Old Balance Sheet'!A39 + 'ACPL Calculations - 1.0'!A39 + 'ACPL Calculations - 2.0'!A39</f>
        <v>0</v>
      </c>
      <c r="J39" s="30" t="s">
        <v>3820</v>
      </c>
      <c r="K39" s="31">
        <v>170.0</v>
      </c>
      <c r="L39" s="32" t="s">
        <v>3818</v>
      </c>
      <c r="M39" s="31">
        <v>100.0</v>
      </c>
      <c r="N39" s="33">
        <f>'Old Balance Sheet'!B39 + 'ACPL Calculations - 1.0'!B39 + 'ACPL Calculations - 2.0'!B39</f>
        <v>0</v>
      </c>
      <c r="O39" s="30" t="s">
        <v>3820</v>
      </c>
      <c r="P39" s="31">
        <v>170.0</v>
      </c>
      <c r="Q39" s="32" t="s">
        <v>3818</v>
      </c>
      <c r="R39" s="31">
        <v>100.0</v>
      </c>
      <c r="S39" s="33">
        <f>'Old Balance Sheet'!C39 + 'ACPL Calculations - 1.0'!C39 + 'ACPL Calculations - 2.0'!C39</f>
        <v>0</v>
      </c>
      <c r="T39" s="30" t="s">
        <v>3820</v>
      </c>
      <c r="U39" s="31">
        <v>170.0</v>
      </c>
      <c r="V39" s="32" t="s">
        <v>3818</v>
      </c>
      <c r="W39" s="31">
        <v>100.0</v>
      </c>
      <c r="X39" s="33">
        <f>'Old Balance Sheet'!D39 + 'ACPL Calculations - 1.0'!D39 + 'ACPL Calculations - 2.0'!D39</f>
        <v>0</v>
      </c>
      <c r="Y39" s="30" t="s">
        <v>3820</v>
      </c>
      <c r="Z39" s="31">
        <v>170.0</v>
      </c>
      <c r="AA39" s="32" t="s">
        <v>3818</v>
      </c>
      <c r="AB39" s="31">
        <v>100.0</v>
      </c>
      <c r="AC39" s="33">
        <f>'Old Balance Sheet'!E39 + 'ACPL Calculations - 1.0'!E39 + 'ACPL Calculations - 2.0'!E39</f>
        <v>0</v>
      </c>
      <c r="AD39" s="30" t="s">
        <v>3820</v>
      </c>
      <c r="AE39" s="34">
        <v>838.99</v>
      </c>
      <c r="AF39" s="32" t="s">
        <v>3818</v>
      </c>
      <c r="AG39" s="31">
        <v>100.0</v>
      </c>
      <c r="AH39" s="33">
        <f>'Old Balance Sheet'!F39 + 'ACPL Calculations - 1.0'!F39 + 'ACPL Calculations - 2.0'!F39</f>
        <v>0</v>
      </c>
      <c r="AI39" s="30" t="s">
        <v>3820</v>
      </c>
      <c r="AJ39" s="31">
        <v>375.0</v>
      </c>
      <c r="AK39" s="32" t="s">
        <v>3818</v>
      </c>
      <c r="AL39" s="31">
        <v>100.0</v>
      </c>
      <c r="AM39" s="33">
        <f>'Old Balance Sheet'!G39 + 'ACPL Calculations - 1.0'!G39 + 'ACPL Calculations - 2.0'!G39</f>
        <v>0</v>
      </c>
      <c r="AN39" s="30" t="s">
        <v>3820</v>
      </c>
      <c r="AO39" s="31">
        <v>170.0</v>
      </c>
      <c r="AP39" s="32" t="s">
        <v>3818</v>
      </c>
      <c r="AQ39" s="31">
        <v>100.0</v>
      </c>
      <c r="AR39" s="33">
        <f>'Old Balance Sheet'!H39 + 'ACPL Calculations - 1.0'!H39 + 'ACPL Calculations - 2.0'!H39</f>
        <v>0</v>
      </c>
      <c r="AS39" s="30" t="s">
        <v>3819</v>
      </c>
      <c r="AT39" s="31">
        <v>838.99</v>
      </c>
      <c r="AU39" s="32" t="s">
        <v>3818</v>
      </c>
      <c r="AV39" s="31">
        <v>100.0</v>
      </c>
      <c r="AW39" s="33">
        <f>'Old Balance Sheet'!I39 + 'ACPL Calculations - 1.0'!I39 + 'ACPL Calculations - 2.0'!I39</f>
        <v>0</v>
      </c>
      <c r="AX39" s="30" t="s">
        <v>3820</v>
      </c>
      <c r="AY39" s="31">
        <v>170.0</v>
      </c>
      <c r="AZ39" s="32" t="s">
        <v>3818</v>
      </c>
      <c r="BA39" s="31">
        <v>100.0</v>
      </c>
      <c r="BB39" s="33">
        <f>'Old Balance Sheet'!J39 + 'ACPL Calculations - 1.0'!J39 + 'ACPL Calculations - 2.0'!J39</f>
        <v>0</v>
      </c>
      <c r="BC39" s="30" t="s">
        <v>3820</v>
      </c>
      <c r="BD39" s="31">
        <v>170.0</v>
      </c>
      <c r="BE39" s="32" t="s">
        <v>3818</v>
      </c>
      <c r="BF39" s="31">
        <v>100.0</v>
      </c>
      <c r="BG39" s="33">
        <f>'Old Balance Sheet'!K39 + 'ACPL Calculations - 1.0'!K39 + 'ACPL Calculations - 2.0'!K39</f>
        <v>0</v>
      </c>
      <c r="BH39" s="30" t="s">
        <v>3820</v>
      </c>
      <c r="BI39" s="31">
        <v>205.0</v>
      </c>
      <c r="BJ39" s="32" t="s">
        <v>3818</v>
      </c>
      <c r="BK39" s="31">
        <v>100.0</v>
      </c>
      <c r="BL39" s="33">
        <f>'Old Balance Sheet'!L39 + 'ACPL Calculations - 1.0'!L39 + 'ACPL Calculations - 2.0'!L39</f>
        <v>0</v>
      </c>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f t="shared" si="1"/>
        <v>0</v>
      </c>
      <c r="CM39" s="33">
        <f>'Old Balance Sheet'!R39 + 'ACPL Calculations - 1.0'!S39 + 'ACPL Calculations - 2.0'!S39</f>
        <v>0</v>
      </c>
      <c r="CN39" s="33">
        <f>'Old Balance Sheet'!S39 + 'ACPL Calculations - 1.0'!T39 + 'ACPL Calculations - 2.0'!T39</f>
        <v>0</v>
      </c>
      <c r="CO39" s="33">
        <f t="shared" si="2"/>
        <v>0</v>
      </c>
      <c r="CP39" s="33">
        <f>'Old Balance Sheet'!T39 + 'ACPL Calculations - 1.0'!V39 + 'ACPL Calculations - 2.0'!V39</f>
        <v>0</v>
      </c>
      <c r="CQ39" s="33">
        <f>'Old Balance Sheet'!U39 + 'ACPL Calculations - 1.0'!W39 + 'ACPL Calculations - 2.0'!W39</f>
        <v>0</v>
      </c>
      <c r="CR39" s="33">
        <f>'Old Balance Sheet'!V39 + 'ACPL Calculations - 1.0'!X39 + 'ACPL Calculations - 2.0'!X39</f>
        <v>0</v>
      </c>
      <c r="CS39" s="33">
        <f t="shared" si="3"/>
        <v>0</v>
      </c>
      <c r="CT39" s="35"/>
      <c r="CU39" s="35"/>
      <c r="CV39" s="35"/>
      <c r="CW39" s="36">
        <f>'Old Balance Sheet'!W39 + 'ACPL Calculations - 1.0'!Z39 + 'ACPL Calculations - 2.0'!Z39</f>
        <v>0</v>
      </c>
      <c r="CX39" s="36">
        <f>'Old Balance Sheet'!X39 + 'ACPL Calculations - 1.0'!AA39 + 'ACPL Calculations - 2.0'!AA39</f>
        <v>0</v>
      </c>
      <c r="CY39" s="37">
        <v>0.0</v>
      </c>
      <c r="CZ39" s="38">
        <f>'Old Balance Sheet'!Y39 + 'ACPL Calculations - 1.0'!AB39 + 'ACPL Calculations - 2.0'!AB39</f>
        <v>0</v>
      </c>
      <c r="DA39" s="38">
        <f>'Old Balance Sheet'!Z39 + 'ACPL Calculations - 1.0'!AC39 + 'ACPL Calculations - 2.0'!AC39</f>
        <v>0</v>
      </c>
      <c r="DB39" s="38">
        <f>'Old Balance Sheet'!AA39 + 'ACPL Calculations - 1.0'!AD39 + 'ACPL Calculations - 2.0'!AD39</f>
        <v>0</v>
      </c>
      <c r="DC39" s="38">
        <f>'Old Balance Sheet'!AB39 + 'ACPL Calculations - 1.0'!AE39 + 'ACPL Calculations - 2.0'!AE39</f>
        <v>0</v>
      </c>
      <c r="DD39" s="38">
        <f t="shared" si="4"/>
        <v>0</v>
      </c>
      <c r="DE39" s="33">
        <f t="shared" si="5"/>
        <v>0</v>
      </c>
      <c r="DF39" s="35">
        <v>0.0</v>
      </c>
      <c r="DG39" s="35">
        <v>0.0</v>
      </c>
      <c r="DH39" s="35">
        <v>0.0</v>
      </c>
      <c r="DI39" s="35">
        <v>0.0</v>
      </c>
      <c r="DJ39" s="35">
        <v>0.0</v>
      </c>
      <c r="DK39" s="35">
        <v>0.0</v>
      </c>
      <c r="DL39" s="35">
        <v>0.0</v>
      </c>
      <c r="DM39" s="35">
        <v>0.0</v>
      </c>
      <c r="DN39" s="31">
        <v>0.0</v>
      </c>
      <c r="DO39" s="31">
        <v>0.0</v>
      </c>
      <c r="DP39" s="31">
        <v>0.0</v>
      </c>
      <c r="DQ39" s="31">
        <v>0.0</v>
      </c>
      <c r="DR39" s="31">
        <v>0.0</v>
      </c>
      <c r="DS39" s="31">
        <v>0.0</v>
      </c>
      <c r="DT39" s="31">
        <f>'Old Balance Sheet'!AC39</f>
        <v>0</v>
      </c>
      <c r="DU39" s="31">
        <f>DT39 + SUMIFS('Payments Log'!D:D, 'Payments Log'!B:B, A39, 'Payments Log'!L:L, "Approved", 'Payments Log'!M:M, "Credit") + 'Old Balance Sheet'!AD39 - 'Old Balance Sheet'!AC39</f>
        <v>0</v>
      </c>
      <c r="DV39" s="31">
        <f>SUMIFS('Payments Log'!D:D, 'Payments Log'!B:B, A39, 'Payments Log'!L:L, "Approved", 'Payments Log'!M:M, "Adjustment Credit") - SUMIFS('Payments Log'!D:D, 'Payments Log'!B:B, A39, 'Payments Log'!L:L, "Approved", 'Payments Log'!M:M, "Adjustment Debit") + 'Old Balance Sheet'!AE39</f>
        <v>0</v>
      </c>
      <c r="DW39" s="31">
        <f>IF(MAXIFS('Payments Log'!N:N, 'Payments Log'!L:L, "Approved", 'Payments Log'!M:M, "Credit", 'Payments Log'!B:B, A39) &gt; MAXIFS('Payments Log'!N:N, 'Payments Log'!L:L, "Approved", 'Payments Log'!M:M, "Virtual Credit", 'Payments Log'!B:B, A39), 0, SUMIFS('Payments Log'!D:D, 'Payments Log'!N:N, MAXIFS('Payments Log'!N:N, 'Payments Log'!L:L, "Approved", 'Payments Log'!M:M, "Virtual Credit", 'Payments Log'!B:B, A39)))</f>
        <v>0</v>
      </c>
      <c r="DX39" s="33">
        <f t="shared" si="6"/>
        <v>0</v>
      </c>
      <c r="DY39" s="33">
        <f t="shared" si="7"/>
        <v>0</v>
      </c>
      <c r="DZ39" s="33">
        <f t="shared" si="8"/>
        <v>0</v>
      </c>
      <c r="EA39" s="25" t="str">
        <f>(Sheet1!N39)</f>
        <v>Brij Biwheelers</v>
      </c>
      <c r="EB39" s="25" t="str">
        <f>(Sheet1!O39)</f>
        <v>1ytBGcO8tIze81xKkAa9lWDcflthsPL6SuADAXbhmuwA</v>
      </c>
      <c r="EC39" s="26" t="str">
        <f>(Sheet1!P39)</f>
        <v>Sub Dealer</v>
      </c>
      <c r="ED39" s="34" t="s">
        <v>13</v>
      </c>
    </row>
    <row r="40">
      <c r="A40" s="25" t="str">
        <f>(Sheet1!A40)</f>
        <v>1g3nFfjwGQ3RXkt5LgZuD7QgSRAiUn3W90lh8RCiEGqg</v>
      </c>
      <c r="B40" s="25" t="str">
        <f>(Sheet1!B40)</f>
        <v>LV MOTORS (BBW)</v>
      </c>
      <c r="C40" s="30" t="s">
        <v>13</v>
      </c>
      <c r="D40" s="30" t="s">
        <v>72</v>
      </c>
      <c r="E40" s="30" t="s">
        <v>3820</v>
      </c>
      <c r="F40" s="31">
        <v>170.0</v>
      </c>
      <c r="G40" s="32" t="s">
        <v>3818</v>
      </c>
      <c r="H40" s="31">
        <v>100.0</v>
      </c>
      <c r="I40" s="33">
        <f>'Old Balance Sheet'!A40 + 'ACPL Calculations - 1.0'!A40 + 'ACPL Calculations - 2.0'!A40</f>
        <v>0</v>
      </c>
      <c r="J40" s="30" t="s">
        <v>3820</v>
      </c>
      <c r="K40" s="31">
        <v>170.0</v>
      </c>
      <c r="L40" s="32" t="s">
        <v>3818</v>
      </c>
      <c r="M40" s="31">
        <v>100.0</v>
      </c>
      <c r="N40" s="33">
        <f>'Old Balance Sheet'!B40 + 'ACPL Calculations - 1.0'!B40 + 'ACPL Calculations - 2.0'!B40</f>
        <v>0</v>
      </c>
      <c r="O40" s="30" t="s">
        <v>3820</v>
      </c>
      <c r="P40" s="31">
        <v>170.0</v>
      </c>
      <c r="Q40" s="32" t="s">
        <v>3818</v>
      </c>
      <c r="R40" s="31">
        <v>100.0</v>
      </c>
      <c r="S40" s="33">
        <f>'Old Balance Sheet'!C40 + 'ACPL Calculations - 1.0'!C40 + 'ACPL Calculations - 2.0'!C40</f>
        <v>0</v>
      </c>
      <c r="T40" s="30" t="s">
        <v>3820</v>
      </c>
      <c r="U40" s="31">
        <v>170.0</v>
      </c>
      <c r="V40" s="32" t="s">
        <v>3818</v>
      </c>
      <c r="W40" s="31">
        <v>100.0</v>
      </c>
      <c r="X40" s="33">
        <f>'Old Balance Sheet'!D40 + 'ACPL Calculations - 1.0'!D40 + 'ACPL Calculations - 2.0'!D40</f>
        <v>0</v>
      </c>
      <c r="Y40" s="30" t="s">
        <v>3820</v>
      </c>
      <c r="Z40" s="31">
        <v>170.0</v>
      </c>
      <c r="AA40" s="32" t="s">
        <v>3818</v>
      </c>
      <c r="AB40" s="31">
        <v>100.0</v>
      </c>
      <c r="AC40" s="33">
        <f>'Old Balance Sheet'!E40 + 'ACPL Calculations - 1.0'!E40 + 'ACPL Calculations - 2.0'!E40</f>
        <v>0</v>
      </c>
      <c r="AD40" s="30" t="s">
        <v>3820</v>
      </c>
      <c r="AE40" s="34">
        <v>838.99</v>
      </c>
      <c r="AF40" s="32" t="s">
        <v>3818</v>
      </c>
      <c r="AG40" s="31">
        <v>100.0</v>
      </c>
      <c r="AH40" s="33">
        <f>'Old Balance Sheet'!F40 + 'ACPL Calculations - 1.0'!F40 + 'ACPL Calculations - 2.0'!F40</f>
        <v>0</v>
      </c>
      <c r="AI40" s="30" t="s">
        <v>3820</v>
      </c>
      <c r="AJ40" s="31">
        <v>375.0</v>
      </c>
      <c r="AK40" s="32" t="s">
        <v>3818</v>
      </c>
      <c r="AL40" s="31">
        <v>100.0</v>
      </c>
      <c r="AM40" s="33">
        <f>'Old Balance Sheet'!G40 + 'ACPL Calculations - 1.0'!G40 + 'ACPL Calculations - 2.0'!G40</f>
        <v>0</v>
      </c>
      <c r="AN40" s="30" t="s">
        <v>3820</v>
      </c>
      <c r="AO40" s="31">
        <v>170.0</v>
      </c>
      <c r="AP40" s="32" t="s">
        <v>3818</v>
      </c>
      <c r="AQ40" s="31">
        <v>100.0</v>
      </c>
      <c r="AR40" s="33">
        <f>'Old Balance Sheet'!H40 + 'ACPL Calculations - 1.0'!H40 + 'ACPL Calculations - 2.0'!H40</f>
        <v>0</v>
      </c>
      <c r="AS40" s="30" t="s">
        <v>3819</v>
      </c>
      <c r="AT40" s="31">
        <v>838.99</v>
      </c>
      <c r="AU40" s="32" t="s">
        <v>3818</v>
      </c>
      <c r="AV40" s="31">
        <v>100.0</v>
      </c>
      <c r="AW40" s="33">
        <f>'Old Balance Sheet'!I40 + 'ACPL Calculations - 1.0'!I40 + 'ACPL Calculations - 2.0'!I40</f>
        <v>0</v>
      </c>
      <c r="AX40" s="30" t="s">
        <v>3820</v>
      </c>
      <c r="AY40" s="31">
        <v>170.0</v>
      </c>
      <c r="AZ40" s="32" t="s">
        <v>3818</v>
      </c>
      <c r="BA40" s="31">
        <v>100.0</v>
      </c>
      <c r="BB40" s="33">
        <f>'Old Balance Sheet'!J40 + 'ACPL Calculations - 1.0'!J40 + 'ACPL Calculations - 2.0'!J40</f>
        <v>0</v>
      </c>
      <c r="BC40" s="30" t="s">
        <v>3820</v>
      </c>
      <c r="BD40" s="31">
        <v>170.0</v>
      </c>
      <c r="BE40" s="32" t="s">
        <v>3818</v>
      </c>
      <c r="BF40" s="31">
        <v>100.0</v>
      </c>
      <c r="BG40" s="33">
        <f>'Old Balance Sheet'!K40 + 'ACPL Calculations - 1.0'!K40 + 'ACPL Calculations - 2.0'!K40</f>
        <v>0</v>
      </c>
      <c r="BH40" s="30" t="s">
        <v>3820</v>
      </c>
      <c r="BI40" s="31">
        <v>205.0</v>
      </c>
      <c r="BJ40" s="32" t="s">
        <v>3818</v>
      </c>
      <c r="BK40" s="31">
        <v>100.0</v>
      </c>
      <c r="BL40" s="33">
        <f>'Old Balance Sheet'!L40 + 'ACPL Calculations - 1.0'!L40 + 'ACPL Calculations - 2.0'!L40</f>
        <v>0</v>
      </c>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f t="shared" si="1"/>
        <v>0</v>
      </c>
      <c r="CM40" s="33">
        <f>'Old Balance Sheet'!R40 + 'ACPL Calculations - 1.0'!S40 + 'ACPL Calculations - 2.0'!S40</f>
        <v>0</v>
      </c>
      <c r="CN40" s="33">
        <f>'Old Balance Sheet'!S40 + 'ACPL Calculations - 1.0'!T40 + 'ACPL Calculations - 2.0'!T40</f>
        <v>0</v>
      </c>
      <c r="CO40" s="33">
        <f t="shared" si="2"/>
        <v>0</v>
      </c>
      <c r="CP40" s="33">
        <f>'Old Balance Sheet'!T40 + 'ACPL Calculations - 1.0'!V40 + 'ACPL Calculations - 2.0'!V40</f>
        <v>0</v>
      </c>
      <c r="CQ40" s="33">
        <f>'Old Balance Sheet'!U40 + 'ACPL Calculations - 1.0'!W40 + 'ACPL Calculations - 2.0'!W40</f>
        <v>0</v>
      </c>
      <c r="CR40" s="33">
        <f>'Old Balance Sheet'!V40 + 'ACPL Calculations - 1.0'!X40 + 'ACPL Calculations - 2.0'!X40</f>
        <v>0</v>
      </c>
      <c r="CS40" s="33">
        <f t="shared" si="3"/>
        <v>0</v>
      </c>
      <c r="CT40" s="35"/>
      <c r="CU40" s="35"/>
      <c r="CV40" s="35"/>
      <c r="CW40" s="36">
        <f>'Old Balance Sheet'!W40 + 'ACPL Calculations - 1.0'!Z40 + 'ACPL Calculations - 2.0'!Z40</f>
        <v>0</v>
      </c>
      <c r="CX40" s="36">
        <f>'Old Balance Sheet'!X40 + 'ACPL Calculations - 1.0'!AA40 + 'ACPL Calculations - 2.0'!AA40</f>
        <v>0</v>
      </c>
      <c r="CY40" s="37">
        <v>0.0</v>
      </c>
      <c r="CZ40" s="38">
        <f>'Old Balance Sheet'!Y40 + 'ACPL Calculations - 1.0'!AB40 + 'ACPL Calculations - 2.0'!AB40</f>
        <v>0</v>
      </c>
      <c r="DA40" s="38">
        <f>'Old Balance Sheet'!Z40 + 'ACPL Calculations - 1.0'!AC40 + 'ACPL Calculations - 2.0'!AC40</f>
        <v>0</v>
      </c>
      <c r="DB40" s="38">
        <f>'Old Balance Sheet'!AA40 + 'ACPL Calculations - 1.0'!AD40 + 'ACPL Calculations - 2.0'!AD40</f>
        <v>0</v>
      </c>
      <c r="DC40" s="38">
        <f>'Old Balance Sheet'!AB40 + 'ACPL Calculations - 1.0'!AE40 + 'ACPL Calculations - 2.0'!AE40</f>
        <v>0</v>
      </c>
      <c r="DD40" s="38">
        <f t="shared" si="4"/>
        <v>0</v>
      </c>
      <c r="DE40" s="33">
        <f t="shared" si="5"/>
        <v>0</v>
      </c>
      <c r="DF40" s="35">
        <v>0.0</v>
      </c>
      <c r="DG40" s="35">
        <v>0.0</v>
      </c>
      <c r="DH40" s="35">
        <v>0.0</v>
      </c>
      <c r="DI40" s="35">
        <v>0.0</v>
      </c>
      <c r="DJ40" s="35">
        <v>0.0</v>
      </c>
      <c r="DK40" s="35">
        <v>0.0</v>
      </c>
      <c r="DL40" s="35">
        <v>0.0</v>
      </c>
      <c r="DM40" s="35">
        <v>0.0</v>
      </c>
      <c r="DN40" s="31">
        <v>0.0</v>
      </c>
      <c r="DO40" s="31">
        <v>0.0</v>
      </c>
      <c r="DP40" s="31">
        <v>0.0</v>
      </c>
      <c r="DQ40" s="31">
        <v>0.0</v>
      </c>
      <c r="DR40" s="31">
        <v>0.0</v>
      </c>
      <c r="DS40" s="31">
        <v>0.0</v>
      </c>
      <c r="DT40" s="31">
        <f>'Old Balance Sheet'!AC40</f>
        <v>0</v>
      </c>
      <c r="DU40" s="31">
        <f>DT40 + SUMIFS('Payments Log'!D:D, 'Payments Log'!B:B, A40, 'Payments Log'!L:L, "Approved", 'Payments Log'!M:M, "Credit") + 'Old Balance Sheet'!AD40 - 'Old Balance Sheet'!AC40</f>
        <v>0</v>
      </c>
      <c r="DV40" s="31">
        <f>SUMIFS('Payments Log'!D:D, 'Payments Log'!B:B, A40, 'Payments Log'!L:L, "Approved", 'Payments Log'!M:M, "Adjustment Credit") - SUMIFS('Payments Log'!D:D, 'Payments Log'!B:B, A40, 'Payments Log'!L:L, "Approved", 'Payments Log'!M:M, "Adjustment Debit") + 'Old Balance Sheet'!AE40</f>
        <v>0</v>
      </c>
      <c r="DW40" s="31">
        <f>IF(MAXIFS('Payments Log'!N:N, 'Payments Log'!L:L, "Approved", 'Payments Log'!M:M, "Credit", 'Payments Log'!B:B, A40) &gt; MAXIFS('Payments Log'!N:N, 'Payments Log'!L:L, "Approved", 'Payments Log'!M:M, "Virtual Credit", 'Payments Log'!B:B, A40), 0, SUMIFS('Payments Log'!D:D, 'Payments Log'!N:N, MAXIFS('Payments Log'!N:N, 'Payments Log'!L:L, "Approved", 'Payments Log'!M:M, "Virtual Credit", 'Payments Log'!B:B, A40)))</f>
        <v>0</v>
      </c>
      <c r="DX40" s="33">
        <f t="shared" si="6"/>
        <v>0</v>
      </c>
      <c r="DY40" s="33">
        <f t="shared" si="7"/>
        <v>0</v>
      </c>
      <c r="DZ40" s="33">
        <f t="shared" si="8"/>
        <v>0</v>
      </c>
      <c r="EA40" s="25" t="str">
        <f>(Sheet1!N40)</f>
        <v>Brij Biwheelers</v>
      </c>
      <c r="EB40" s="25" t="str">
        <f>(Sheet1!O40)</f>
        <v>1ytBGcO8tIze81xKkAa9lWDcflthsPL6SuADAXbhmuwA</v>
      </c>
      <c r="EC40" s="26" t="str">
        <f>(Sheet1!P40)</f>
        <v>Sub Dealer</v>
      </c>
      <c r="ED40" s="34" t="s">
        <v>13</v>
      </c>
    </row>
    <row r="41">
      <c r="A41" s="25" t="str">
        <f>(Sheet1!A41)</f>
        <v>1mh6Ew8Xo6CDWTwSaZz97uDQi3oGwOh-iBN44riWn7aM</v>
      </c>
      <c r="B41" s="25" t="str">
        <f>(Sheet1!B41)</f>
        <v>JAMUNA MOTORS (BBW)</v>
      </c>
      <c r="C41" s="30" t="s">
        <v>13</v>
      </c>
      <c r="D41" s="30" t="s">
        <v>72</v>
      </c>
      <c r="E41" s="30" t="s">
        <v>3820</v>
      </c>
      <c r="F41" s="31">
        <v>170.0</v>
      </c>
      <c r="G41" s="32" t="s">
        <v>3818</v>
      </c>
      <c r="H41" s="31">
        <v>100.0</v>
      </c>
      <c r="I41" s="33">
        <f>'Old Balance Sheet'!A41 + 'ACPL Calculations - 1.0'!A41 + 'ACPL Calculations - 2.0'!A41</f>
        <v>0</v>
      </c>
      <c r="J41" s="30" t="s">
        <v>3820</v>
      </c>
      <c r="K41" s="31">
        <v>170.0</v>
      </c>
      <c r="L41" s="32" t="s">
        <v>3818</v>
      </c>
      <c r="M41" s="31">
        <v>100.0</v>
      </c>
      <c r="N41" s="33">
        <f>'Old Balance Sheet'!B41 + 'ACPL Calculations - 1.0'!B41 + 'ACPL Calculations - 2.0'!B41</f>
        <v>0</v>
      </c>
      <c r="O41" s="30" t="s">
        <v>3820</v>
      </c>
      <c r="P41" s="31">
        <v>170.0</v>
      </c>
      <c r="Q41" s="32" t="s">
        <v>3818</v>
      </c>
      <c r="R41" s="31">
        <v>100.0</v>
      </c>
      <c r="S41" s="33">
        <f>'Old Balance Sheet'!C41 + 'ACPL Calculations - 1.0'!C41 + 'ACPL Calculations - 2.0'!C41</f>
        <v>0</v>
      </c>
      <c r="T41" s="30" t="s">
        <v>3820</v>
      </c>
      <c r="U41" s="31">
        <v>170.0</v>
      </c>
      <c r="V41" s="32" t="s">
        <v>3818</v>
      </c>
      <c r="W41" s="31">
        <v>100.0</v>
      </c>
      <c r="X41" s="33">
        <f>'Old Balance Sheet'!D41 + 'ACPL Calculations - 1.0'!D41 + 'ACPL Calculations - 2.0'!D41</f>
        <v>0</v>
      </c>
      <c r="Y41" s="30" t="s">
        <v>3820</v>
      </c>
      <c r="Z41" s="31">
        <v>170.0</v>
      </c>
      <c r="AA41" s="32" t="s">
        <v>3818</v>
      </c>
      <c r="AB41" s="31">
        <v>100.0</v>
      </c>
      <c r="AC41" s="33">
        <f>'Old Balance Sheet'!E41 + 'ACPL Calculations - 1.0'!E41 + 'ACPL Calculations - 2.0'!E41</f>
        <v>0</v>
      </c>
      <c r="AD41" s="30" t="s">
        <v>3820</v>
      </c>
      <c r="AE41" s="34">
        <v>838.99</v>
      </c>
      <c r="AF41" s="32" t="s">
        <v>3818</v>
      </c>
      <c r="AG41" s="31">
        <v>100.0</v>
      </c>
      <c r="AH41" s="33">
        <f>'Old Balance Sheet'!F41 + 'ACPL Calculations - 1.0'!F41 + 'ACPL Calculations - 2.0'!F41</f>
        <v>0</v>
      </c>
      <c r="AI41" s="30" t="s">
        <v>3820</v>
      </c>
      <c r="AJ41" s="31">
        <v>375.0</v>
      </c>
      <c r="AK41" s="32" t="s">
        <v>3818</v>
      </c>
      <c r="AL41" s="31">
        <v>100.0</v>
      </c>
      <c r="AM41" s="33">
        <f>'Old Balance Sheet'!G41 + 'ACPL Calculations - 1.0'!G41 + 'ACPL Calculations - 2.0'!G41</f>
        <v>0</v>
      </c>
      <c r="AN41" s="30" t="s">
        <v>3820</v>
      </c>
      <c r="AO41" s="31">
        <v>170.0</v>
      </c>
      <c r="AP41" s="32" t="s">
        <v>3818</v>
      </c>
      <c r="AQ41" s="31">
        <v>100.0</v>
      </c>
      <c r="AR41" s="33">
        <f>'Old Balance Sheet'!H41 + 'ACPL Calculations - 1.0'!H41 + 'ACPL Calculations - 2.0'!H41</f>
        <v>0</v>
      </c>
      <c r="AS41" s="30" t="s">
        <v>3819</v>
      </c>
      <c r="AT41" s="31">
        <v>838.99</v>
      </c>
      <c r="AU41" s="32" t="s">
        <v>3818</v>
      </c>
      <c r="AV41" s="31">
        <v>100.0</v>
      </c>
      <c r="AW41" s="33">
        <f>'Old Balance Sheet'!I41 + 'ACPL Calculations - 1.0'!I41 + 'ACPL Calculations - 2.0'!I41</f>
        <v>0</v>
      </c>
      <c r="AX41" s="30" t="s">
        <v>3820</v>
      </c>
      <c r="AY41" s="31">
        <v>170.0</v>
      </c>
      <c r="AZ41" s="32" t="s">
        <v>3818</v>
      </c>
      <c r="BA41" s="31">
        <v>100.0</v>
      </c>
      <c r="BB41" s="33">
        <f>'Old Balance Sheet'!J41 + 'ACPL Calculations - 1.0'!J41 + 'ACPL Calculations - 2.0'!J41</f>
        <v>0</v>
      </c>
      <c r="BC41" s="30" t="s">
        <v>3820</v>
      </c>
      <c r="BD41" s="31">
        <v>170.0</v>
      </c>
      <c r="BE41" s="32" t="s">
        <v>3818</v>
      </c>
      <c r="BF41" s="31">
        <v>100.0</v>
      </c>
      <c r="BG41" s="33">
        <f>'Old Balance Sheet'!K41 + 'ACPL Calculations - 1.0'!K41 + 'ACPL Calculations - 2.0'!K41</f>
        <v>0</v>
      </c>
      <c r="BH41" s="30" t="s">
        <v>3820</v>
      </c>
      <c r="BI41" s="31">
        <v>205.0</v>
      </c>
      <c r="BJ41" s="32" t="s">
        <v>3818</v>
      </c>
      <c r="BK41" s="31">
        <v>100.0</v>
      </c>
      <c r="BL41" s="33">
        <f>'Old Balance Sheet'!L41 + 'ACPL Calculations - 1.0'!L41 + 'ACPL Calculations - 2.0'!L41</f>
        <v>0</v>
      </c>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f t="shared" si="1"/>
        <v>0</v>
      </c>
      <c r="CM41" s="33">
        <f>'Old Balance Sheet'!R41 + 'ACPL Calculations - 1.0'!S41 + 'ACPL Calculations - 2.0'!S41</f>
        <v>0</v>
      </c>
      <c r="CN41" s="33">
        <f>'Old Balance Sheet'!S41 + 'ACPL Calculations - 1.0'!T41 + 'ACPL Calculations - 2.0'!T41</f>
        <v>0</v>
      </c>
      <c r="CO41" s="33">
        <f t="shared" si="2"/>
        <v>0</v>
      </c>
      <c r="CP41" s="33">
        <f>'Old Balance Sheet'!T41 + 'ACPL Calculations - 1.0'!V41 + 'ACPL Calculations - 2.0'!V41</f>
        <v>0</v>
      </c>
      <c r="CQ41" s="33">
        <f>'Old Balance Sheet'!U41 + 'ACPL Calculations - 1.0'!W41 + 'ACPL Calculations - 2.0'!W41</f>
        <v>0</v>
      </c>
      <c r="CR41" s="33">
        <f>'Old Balance Sheet'!V41 + 'ACPL Calculations - 1.0'!X41 + 'ACPL Calculations - 2.0'!X41</f>
        <v>0</v>
      </c>
      <c r="CS41" s="33">
        <f t="shared" si="3"/>
        <v>0</v>
      </c>
      <c r="CT41" s="35"/>
      <c r="CU41" s="35"/>
      <c r="CV41" s="35"/>
      <c r="CW41" s="36">
        <f>'Old Balance Sheet'!W41 + 'ACPL Calculations - 1.0'!Z41 + 'ACPL Calculations - 2.0'!Z41</f>
        <v>0</v>
      </c>
      <c r="CX41" s="36">
        <f>'Old Balance Sheet'!X41 + 'ACPL Calculations - 1.0'!AA41 + 'ACPL Calculations - 2.0'!AA41</f>
        <v>0</v>
      </c>
      <c r="CY41" s="37">
        <v>0.0</v>
      </c>
      <c r="CZ41" s="38">
        <f>'Old Balance Sheet'!Y41 + 'ACPL Calculations - 1.0'!AB41 + 'ACPL Calculations - 2.0'!AB41</f>
        <v>0</v>
      </c>
      <c r="DA41" s="38">
        <f>'Old Balance Sheet'!Z41 + 'ACPL Calculations - 1.0'!AC41 + 'ACPL Calculations - 2.0'!AC41</f>
        <v>0</v>
      </c>
      <c r="DB41" s="38">
        <f>'Old Balance Sheet'!AA41 + 'ACPL Calculations - 1.0'!AD41 + 'ACPL Calculations - 2.0'!AD41</f>
        <v>0</v>
      </c>
      <c r="DC41" s="38">
        <f>'Old Balance Sheet'!AB41 + 'ACPL Calculations - 1.0'!AE41 + 'ACPL Calculations - 2.0'!AE41</f>
        <v>0</v>
      </c>
      <c r="DD41" s="38">
        <f t="shared" si="4"/>
        <v>0</v>
      </c>
      <c r="DE41" s="33">
        <f t="shared" si="5"/>
        <v>0</v>
      </c>
      <c r="DF41" s="35">
        <v>0.0</v>
      </c>
      <c r="DG41" s="35">
        <v>0.0</v>
      </c>
      <c r="DH41" s="35">
        <v>0.0</v>
      </c>
      <c r="DI41" s="35">
        <v>0.0</v>
      </c>
      <c r="DJ41" s="35">
        <v>0.0</v>
      </c>
      <c r="DK41" s="35">
        <v>0.0</v>
      </c>
      <c r="DL41" s="35">
        <v>0.0</v>
      </c>
      <c r="DM41" s="35">
        <v>0.0</v>
      </c>
      <c r="DN41" s="31">
        <v>0.0</v>
      </c>
      <c r="DO41" s="31">
        <v>0.0</v>
      </c>
      <c r="DP41" s="31">
        <v>0.0</v>
      </c>
      <c r="DQ41" s="31">
        <v>0.0</v>
      </c>
      <c r="DR41" s="31">
        <v>0.0</v>
      </c>
      <c r="DS41" s="31">
        <v>0.0</v>
      </c>
      <c r="DT41" s="31">
        <f>'Old Balance Sheet'!AC41</f>
        <v>0</v>
      </c>
      <c r="DU41" s="31">
        <f>DT41 + SUMIFS('Payments Log'!D:D, 'Payments Log'!B:B, A41, 'Payments Log'!L:L, "Approved", 'Payments Log'!M:M, "Credit") + 'Old Balance Sheet'!AD41 - 'Old Balance Sheet'!AC41</f>
        <v>0</v>
      </c>
      <c r="DV41" s="31">
        <f>SUMIFS('Payments Log'!D:D, 'Payments Log'!B:B, A41, 'Payments Log'!L:L, "Approved", 'Payments Log'!M:M, "Adjustment Credit") - SUMIFS('Payments Log'!D:D, 'Payments Log'!B:B, A41, 'Payments Log'!L:L, "Approved", 'Payments Log'!M:M, "Adjustment Debit") + 'Old Balance Sheet'!AE41</f>
        <v>0</v>
      </c>
      <c r="DW41" s="31">
        <f>IF(MAXIFS('Payments Log'!N:N, 'Payments Log'!L:L, "Approved", 'Payments Log'!M:M, "Credit", 'Payments Log'!B:B, A41) &gt; MAXIFS('Payments Log'!N:N, 'Payments Log'!L:L, "Approved", 'Payments Log'!M:M, "Virtual Credit", 'Payments Log'!B:B, A41), 0, SUMIFS('Payments Log'!D:D, 'Payments Log'!N:N, MAXIFS('Payments Log'!N:N, 'Payments Log'!L:L, "Approved", 'Payments Log'!M:M, "Virtual Credit", 'Payments Log'!B:B, A41)))</f>
        <v>0</v>
      </c>
      <c r="DX41" s="33">
        <f t="shared" si="6"/>
        <v>0</v>
      </c>
      <c r="DY41" s="33">
        <f t="shared" si="7"/>
        <v>0</v>
      </c>
      <c r="DZ41" s="33">
        <f t="shared" si="8"/>
        <v>0</v>
      </c>
      <c r="EA41" s="25" t="str">
        <f>(Sheet1!N41)</f>
        <v>Brij Biwheelers</v>
      </c>
      <c r="EB41" s="25" t="str">
        <f>(Sheet1!O41)</f>
        <v>1ytBGcO8tIze81xKkAa9lWDcflthsPL6SuADAXbhmuwA</v>
      </c>
      <c r="EC41" s="26" t="str">
        <f>(Sheet1!P41)</f>
        <v>Sub Dealer</v>
      </c>
      <c r="ED41" s="34" t="s">
        <v>13</v>
      </c>
    </row>
    <row r="42">
      <c r="A42" s="25" t="str">
        <f>(Sheet1!A42)</f>
        <v>1HvellLIIt0McYf2irXwhP04Oc9HTCBdhkpvifuxyx8g</v>
      </c>
      <c r="B42" s="25" t="str">
        <f>(Sheet1!B42)</f>
        <v>KULDEEP AUTO ENTERPRISES (BBW)</v>
      </c>
      <c r="C42" s="30" t="s">
        <v>13</v>
      </c>
      <c r="D42" s="30" t="s">
        <v>72</v>
      </c>
      <c r="E42" s="30" t="s">
        <v>3820</v>
      </c>
      <c r="F42" s="31">
        <v>170.0</v>
      </c>
      <c r="G42" s="32" t="s">
        <v>3818</v>
      </c>
      <c r="H42" s="31">
        <v>100.0</v>
      </c>
      <c r="I42" s="33">
        <f>'Old Balance Sheet'!A42 + 'ACPL Calculations - 1.0'!A42 + 'ACPL Calculations - 2.0'!A42</f>
        <v>0</v>
      </c>
      <c r="J42" s="30" t="s">
        <v>3820</v>
      </c>
      <c r="K42" s="31">
        <v>170.0</v>
      </c>
      <c r="L42" s="32" t="s">
        <v>3818</v>
      </c>
      <c r="M42" s="31">
        <v>100.0</v>
      </c>
      <c r="N42" s="33">
        <f>'Old Balance Sheet'!B42 + 'ACPL Calculations - 1.0'!B42 + 'ACPL Calculations - 2.0'!B42</f>
        <v>0</v>
      </c>
      <c r="O42" s="30" t="s">
        <v>3820</v>
      </c>
      <c r="P42" s="31">
        <v>170.0</v>
      </c>
      <c r="Q42" s="32" t="s">
        <v>3818</v>
      </c>
      <c r="R42" s="31">
        <v>100.0</v>
      </c>
      <c r="S42" s="33">
        <f>'Old Balance Sheet'!C42 + 'ACPL Calculations - 1.0'!C42 + 'ACPL Calculations - 2.0'!C42</f>
        <v>0</v>
      </c>
      <c r="T42" s="30" t="s">
        <v>3820</v>
      </c>
      <c r="U42" s="31">
        <v>170.0</v>
      </c>
      <c r="V42" s="32" t="s">
        <v>3818</v>
      </c>
      <c r="W42" s="31">
        <v>100.0</v>
      </c>
      <c r="X42" s="33">
        <f>'Old Balance Sheet'!D42 + 'ACPL Calculations - 1.0'!D42 + 'ACPL Calculations - 2.0'!D42</f>
        <v>0</v>
      </c>
      <c r="Y42" s="30" t="s">
        <v>3820</v>
      </c>
      <c r="Z42" s="31">
        <v>170.0</v>
      </c>
      <c r="AA42" s="32" t="s">
        <v>3818</v>
      </c>
      <c r="AB42" s="31">
        <v>100.0</v>
      </c>
      <c r="AC42" s="33">
        <f>'Old Balance Sheet'!E42 + 'ACPL Calculations - 1.0'!E42 + 'ACPL Calculations - 2.0'!E42</f>
        <v>0</v>
      </c>
      <c r="AD42" s="30" t="s">
        <v>3820</v>
      </c>
      <c r="AE42" s="34">
        <v>838.99</v>
      </c>
      <c r="AF42" s="32" t="s">
        <v>3818</v>
      </c>
      <c r="AG42" s="31">
        <v>100.0</v>
      </c>
      <c r="AH42" s="33">
        <f>'Old Balance Sheet'!F42 + 'ACPL Calculations - 1.0'!F42 + 'ACPL Calculations - 2.0'!F42</f>
        <v>0</v>
      </c>
      <c r="AI42" s="30" t="s">
        <v>3820</v>
      </c>
      <c r="AJ42" s="31">
        <v>375.0</v>
      </c>
      <c r="AK42" s="32" t="s">
        <v>3818</v>
      </c>
      <c r="AL42" s="31">
        <v>100.0</v>
      </c>
      <c r="AM42" s="33">
        <f>'Old Balance Sheet'!G42 + 'ACPL Calculations - 1.0'!G42 + 'ACPL Calculations - 2.0'!G42</f>
        <v>0</v>
      </c>
      <c r="AN42" s="30" t="s">
        <v>3820</v>
      </c>
      <c r="AO42" s="31">
        <v>170.0</v>
      </c>
      <c r="AP42" s="32" t="s">
        <v>3818</v>
      </c>
      <c r="AQ42" s="31">
        <v>100.0</v>
      </c>
      <c r="AR42" s="33">
        <f>'Old Balance Sheet'!H42 + 'ACPL Calculations - 1.0'!H42 + 'ACPL Calculations - 2.0'!H42</f>
        <v>0</v>
      </c>
      <c r="AS42" s="30" t="s">
        <v>3819</v>
      </c>
      <c r="AT42" s="31">
        <v>838.99</v>
      </c>
      <c r="AU42" s="32" t="s">
        <v>3818</v>
      </c>
      <c r="AV42" s="31">
        <v>100.0</v>
      </c>
      <c r="AW42" s="33">
        <f>'Old Balance Sheet'!I42 + 'ACPL Calculations - 1.0'!I42 + 'ACPL Calculations - 2.0'!I42</f>
        <v>0</v>
      </c>
      <c r="AX42" s="30" t="s">
        <v>3820</v>
      </c>
      <c r="AY42" s="31">
        <v>170.0</v>
      </c>
      <c r="AZ42" s="32" t="s">
        <v>3818</v>
      </c>
      <c r="BA42" s="31">
        <v>100.0</v>
      </c>
      <c r="BB42" s="33">
        <f>'Old Balance Sheet'!J42 + 'ACPL Calculations - 1.0'!J42 + 'ACPL Calculations - 2.0'!J42</f>
        <v>0</v>
      </c>
      <c r="BC42" s="30" t="s">
        <v>3820</v>
      </c>
      <c r="BD42" s="31">
        <v>170.0</v>
      </c>
      <c r="BE42" s="32" t="s">
        <v>3818</v>
      </c>
      <c r="BF42" s="31">
        <v>100.0</v>
      </c>
      <c r="BG42" s="33">
        <f>'Old Balance Sheet'!K42 + 'ACPL Calculations - 1.0'!K42 + 'ACPL Calculations - 2.0'!K42</f>
        <v>0</v>
      </c>
      <c r="BH42" s="30" t="s">
        <v>3820</v>
      </c>
      <c r="BI42" s="31">
        <v>205.0</v>
      </c>
      <c r="BJ42" s="32" t="s">
        <v>3818</v>
      </c>
      <c r="BK42" s="31">
        <v>100.0</v>
      </c>
      <c r="BL42" s="33">
        <f>'Old Balance Sheet'!L42 + 'ACPL Calculations - 1.0'!L42 + 'ACPL Calculations - 2.0'!L42</f>
        <v>0</v>
      </c>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f t="shared" si="1"/>
        <v>0</v>
      </c>
      <c r="CM42" s="33">
        <f>'Old Balance Sheet'!R42 + 'ACPL Calculations - 1.0'!S42 + 'ACPL Calculations - 2.0'!S42</f>
        <v>0</v>
      </c>
      <c r="CN42" s="33">
        <f>'Old Balance Sheet'!S42 + 'ACPL Calculations - 1.0'!T42 + 'ACPL Calculations - 2.0'!T42</f>
        <v>0</v>
      </c>
      <c r="CO42" s="33">
        <f t="shared" si="2"/>
        <v>0</v>
      </c>
      <c r="CP42" s="33">
        <f>'Old Balance Sheet'!T42 + 'ACPL Calculations - 1.0'!V42 + 'ACPL Calculations - 2.0'!V42</f>
        <v>0</v>
      </c>
      <c r="CQ42" s="33">
        <f>'Old Balance Sheet'!U42 + 'ACPL Calculations - 1.0'!W42 + 'ACPL Calculations - 2.0'!W42</f>
        <v>0</v>
      </c>
      <c r="CR42" s="33">
        <f>'Old Balance Sheet'!V42 + 'ACPL Calculations - 1.0'!X42 + 'ACPL Calculations - 2.0'!X42</f>
        <v>0</v>
      </c>
      <c r="CS42" s="33">
        <f t="shared" si="3"/>
        <v>0</v>
      </c>
      <c r="CT42" s="35"/>
      <c r="CU42" s="35"/>
      <c r="CV42" s="35"/>
      <c r="CW42" s="36">
        <f>'Old Balance Sheet'!W42 + 'ACPL Calculations - 1.0'!Z42 + 'ACPL Calculations - 2.0'!Z42</f>
        <v>0</v>
      </c>
      <c r="CX42" s="36">
        <f>'Old Balance Sheet'!X42 + 'ACPL Calculations - 1.0'!AA42 + 'ACPL Calculations - 2.0'!AA42</f>
        <v>0</v>
      </c>
      <c r="CY42" s="37">
        <v>0.0</v>
      </c>
      <c r="CZ42" s="38">
        <f>'Old Balance Sheet'!Y42 + 'ACPL Calculations - 1.0'!AB42 + 'ACPL Calculations - 2.0'!AB42</f>
        <v>0</v>
      </c>
      <c r="DA42" s="38">
        <f>'Old Balance Sheet'!Z42 + 'ACPL Calculations - 1.0'!AC42 + 'ACPL Calculations - 2.0'!AC42</f>
        <v>0</v>
      </c>
      <c r="DB42" s="38">
        <f>'Old Balance Sheet'!AA42 + 'ACPL Calculations - 1.0'!AD42 + 'ACPL Calculations - 2.0'!AD42</f>
        <v>0</v>
      </c>
      <c r="DC42" s="38">
        <f>'Old Balance Sheet'!AB42 + 'ACPL Calculations - 1.0'!AE42 + 'ACPL Calculations - 2.0'!AE42</f>
        <v>0</v>
      </c>
      <c r="DD42" s="38">
        <f t="shared" si="4"/>
        <v>0</v>
      </c>
      <c r="DE42" s="33">
        <f t="shared" si="5"/>
        <v>0</v>
      </c>
      <c r="DF42" s="35">
        <v>0.0</v>
      </c>
      <c r="DG42" s="35">
        <v>0.0</v>
      </c>
      <c r="DH42" s="35">
        <v>0.0</v>
      </c>
      <c r="DI42" s="35">
        <v>0.0</v>
      </c>
      <c r="DJ42" s="35">
        <v>0.0</v>
      </c>
      <c r="DK42" s="35">
        <v>0.0</v>
      </c>
      <c r="DL42" s="35">
        <v>0.0</v>
      </c>
      <c r="DM42" s="35">
        <v>0.0</v>
      </c>
      <c r="DN42" s="31">
        <v>0.0</v>
      </c>
      <c r="DO42" s="31">
        <v>0.0</v>
      </c>
      <c r="DP42" s="31">
        <v>0.0</v>
      </c>
      <c r="DQ42" s="31">
        <v>0.0</v>
      </c>
      <c r="DR42" s="31">
        <v>0.0</v>
      </c>
      <c r="DS42" s="31">
        <v>0.0</v>
      </c>
      <c r="DT42" s="31">
        <f>'Old Balance Sheet'!AC42</f>
        <v>0</v>
      </c>
      <c r="DU42" s="31">
        <f>DT42 + SUMIFS('Payments Log'!D:D, 'Payments Log'!B:B, A42, 'Payments Log'!L:L, "Approved", 'Payments Log'!M:M, "Credit") + 'Old Balance Sheet'!AD42 - 'Old Balance Sheet'!AC42</f>
        <v>0</v>
      </c>
      <c r="DV42" s="31">
        <f>SUMIFS('Payments Log'!D:D, 'Payments Log'!B:B, A42, 'Payments Log'!L:L, "Approved", 'Payments Log'!M:M, "Adjustment Credit") - SUMIFS('Payments Log'!D:D, 'Payments Log'!B:B, A42, 'Payments Log'!L:L, "Approved", 'Payments Log'!M:M, "Adjustment Debit") + 'Old Balance Sheet'!AE42</f>
        <v>0</v>
      </c>
      <c r="DW42" s="31">
        <f>IF(MAXIFS('Payments Log'!N:N, 'Payments Log'!L:L, "Approved", 'Payments Log'!M:M, "Credit", 'Payments Log'!B:B, A42) &gt; MAXIFS('Payments Log'!N:N, 'Payments Log'!L:L, "Approved", 'Payments Log'!M:M, "Virtual Credit", 'Payments Log'!B:B, A42), 0, SUMIFS('Payments Log'!D:D, 'Payments Log'!N:N, MAXIFS('Payments Log'!N:N, 'Payments Log'!L:L, "Approved", 'Payments Log'!M:M, "Virtual Credit", 'Payments Log'!B:B, A42)))</f>
        <v>0</v>
      </c>
      <c r="DX42" s="33">
        <f t="shared" si="6"/>
        <v>0</v>
      </c>
      <c r="DY42" s="33">
        <f t="shared" si="7"/>
        <v>0</v>
      </c>
      <c r="DZ42" s="33">
        <f t="shared" si="8"/>
        <v>0</v>
      </c>
      <c r="EA42" s="25" t="str">
        <f>(Sheet1!N42)</f>
        <v>Brij Biwheelers</v>
      </c>
      <c r="EB42" s="25" t="str">
        <f>(Sheet1!O42)</f>
        <v>1ytBGcO8tIze81xKkAa9lWDcflthsPL6SuADAXbhmuwA</v>
      </c>
      <c r="EC42" s="26" t="str">
        <f>(Sheet1!P42)</f>
        <v>Sub Dealer</v>
      </c>
      <c r="ED42" s="34" t="s">
        <v>13</v>
      </c>
    </row>
    <row r="43">
      <c r="A43" s="25" t="str">
        <f>(Sheet1!A43)</f>
        <v>10y5zpV0ufroZh5B-Qo1GwJlSJsEyRLymOo-gShU03gk</v>
      </c>
      <c r="B43" s="25" t="str">
        <f>(Sheet1!B43)</f>
        <v>JAJAMPATTI (BBW)</v>
      </c>
      <c r="C43" s="30" t="s">
        <v>13</v>
      </c>
      <c r="D43" s="30" t="s">
        <v>72</v>
      </c>
      <c r="E43" s="30" t="s">
        <v>3820</v>
      </c>
      <c r="F43" s="31">
        <v>170.0</v>
      </c>
      <c r="G43" s="32" t="s">
        <v>3818</v>
      </c>
      <c r="H43" s="31">
        <v>100.0</v>
      </c>
      <c r="I43" s="33">
        <f>'Old Balance Sheet'!A43 + 'ACPL Calculations - 1.0'!A43 + 'ACPL Calculations - 2.0'!A43</f>
        <v>0</v>
      </c>
      <c r="J43" s="30" t="s">
        <v>3820</v>
      </c>
      <c r="K43" s="31">
        <v>170.0</v>
      </c>
      <c r="L43" s="32" t="s">
        <v>3818</v>
      </c>
      <c r="M43" s="31">
        <v>100.0</v>
      </c>
      <c r="N43" s="33">
        <f>'Old Balance Sheet'!B43 + 'ACPL Calculations - 1.0'!B43 + 'ACPL Calculations - 2.0'!B43</f>
        <v>0</v>
      </c>
      <c r="O43" s="30" t="s">
        <v>3820</v>
      </c>
      <c r="P43" s="31">
        <v>170.0</v>
      </c>
      <c r="Q43" s="32" t="s">
        <v>3818</v>
      </c>
      <c r="R43" s="31">
        <v>100.0</v>
      </c>
      <c r="S43" s="33">
        <f>'Old Balance Sheet'!C43 + 'ACPL Calculations - 1.0'!C43 + 'ACPL Calculations - 2.0'!C43</f>
        <v>0</v>
      </c>
      <c r="T43" s="30" t="s">
        <v>3820</v>
      </c>
      <c r="U43" s="31">
        <v>170.0</v>
      </c>
      <c r="V43" s="32" t="s">
        <v>3818</v>
      </c>
      <c r="W43" s="31">
        <v>100.0</v>
      </c>
      <c r="X43" s="33">
        <f>'Old Balance Sheet'!D43 + 'ACPL Calculations - 1.0'!D43 + 'ACPL Calculations - 2.0'!D43</f>
        <v>0</v>
      </c>
      <c r="Y43" s="30" t="s">
        <v>3820</v>
      </c>
      <c r="Z43" s="31">
        <v>170.0</v>
      </c>
      <c r="AA43" s="32" t="s">
        <v>3818</v>
      </c>
      <c r="AB43" s="31">
        <v>100.0</v>
      </c>
      <c r="AC43" s="33">
        <f>'Old Balance Sheet'!E43 + 'ACPL Calculations - 1.0'!E43 + 'ACPL Calculations - 2.0'!E43</f>
        <v>0</v>
      </c>
      <c r="AD43" s="30" t="s">
        <v>3820</v>
      </c>
      <c r="AE43" s="34">
        <v>838.99</v>
      </c>
      <c r="AF43" s="32" t="s">
        <v>3818</v>
      </c>
      <c r="AG43" s="31">
        <v>100.0</v>
      </c>
      <c r="AH43" s="33">
        <f>'Old Balance Sheet'!F43 + 'ACPL Calculations - 1.0'!F43 + 'ACPL Calculations - 2.0'!F43</f>
        <v>0</v>
      </c>
      <c r="AI43" s="30" t="s">
        <v>3820</v>
      </c>
      <c r="AJ43" s="31">
        <v>375.0</v>
      </c>
      <c r="AK43" s="32" t="s">
        <v>3818</v>
      </c>
      <c r="AL43" s="31">
        <v>100.0</v>
      </c>
      <c r="AM43" s="33">
        <f>'Old Balance Sheet'!G43 + 'ACPL Calculations - 1.0'!G43 + 'ACPL Calculations - 2.0'!G43</f>
        <v>0</v>
      </c>
      <c r="AN43" s="30" t="s">
        <v>3820</v>
      </c>
      <c r="AO43" s="31">
        <v>170.0</v>
      </c>
      <c r="AP43" s="32" t="s">
        <v>3818</v>
      </c>
      <c r="AQ43" s="31">
        <v>100.0</v>
      </c>
      <c r="AR43" s="33">
        <f>'Old Balance Sheet'!H43 + 'ACPL Calculations - 1.0'!H43 + 'ACPL Calculations - 2.0'!H43</f>
        <v>0</v>
      </c>
      <c r="AS43" s="30" t="s">
        <v>3819</v>
      </c>
      <c r="AT43" s="31">
        <v>838.99</v>
      </c>
      <c r="AU43" s="32" t="s">
        <v>3818</v>
      </c>
      <c r="AV43" s="31">
        <v>100.0</v>
      </c>
      <c r="AW43" s="33">
        <f>'Old Balance Sheet'!I43 + 'ACPL Calculations - 1.0'!I43 + 'ACPL Calculations - 2.0'!I43</f>
        <v>0</v>
      </c>
      <c r="AX43" s="30" t="s">
        <v>3820</v>
      </c>
      <c r="AY43" s="31">
        <v>170.0</v>
      </c>
      <c r="AZ43" s="32" t="s">
        <v>3818</v>
      </c>
      <c r="BA43" s="31">
        <v>100.0</v>
      </c>
      <c r="BB43" s="33">
        <f>'Old Balance Sheet'!J43 + 'ACPL Calculations - 1.0'!J43 + 'ACPL Calculations - 2.0'!J43</f>
        <v>0</v>
      </c>
      <c r="BC43" s="30" t="s">
        <v>3820</v>
      </c>
      <c r="BD43" s="31">
        <v>170.0</v>
      </c>
      <c r="BE43" s="32" t="s">
        <v>3818</v>
      </c>
      <c r="BF43" s="31">
        <v>100.0</v>
      </c>
      <c r="BG43" s="33">
        <f>'Old Balance Sheet'!K43 + 'ACPL Calculations - 1.0'!K43 + 'ACPL Calculations - 2.0'!K43</f>
        <v>0</v>
      </c>
      <c r="BH43" s="30" t="s">
        <v>3820</v>
      </c>
      <c r="BI43" s="31">
        <v>205.0</v>
      </c>
      <c r="BJ43" s="32" t="s">
        <v>3818</v>
      </c>
      <c r="BK43" s="31">
        <v>100.0</v>
      </c>
      <c r="BL43" s="33">
        <f>'Old Balance Sheet'!L43 + 'ACPL Calculations - 1.0'!L43 + 'ACPL Calculations - 2.0'!L43</f>
        <v>0</v>
      </c>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f t="shared" si="1"/>
        <v>0</v>
      </c>
      <c r="CM43" s="33">
        <f>'Old Balance Sheet'!R43 + 'ACPL Calculations - 1.0'!S43 + 'ACPL Calculations - 2.0'!S43</f>
        <v>0</v>
      </c>
      <c r="CN43" s="33">
        <f>'Old Balance Sheet'!S43 + 'ACPL Calculations - 1.0'!T43 + 'ACPL Calculations - 2.0'!T43</f>
        <v>0</v>
      </c>
      <c r="CO43" s="33">
        <f t="shared" si="2"/>
        <v>0</v>
      </c>
      <c r="CP43" s="33">
        <f>'Old Balance Sheet'!T43 + 'ACPL Calculations - 1.0'!V43 + 'ACPL Calculations - 2.0'!V43</f>
        <v>0</v>
      </c>
      <c r="CQ43" s="33">
        <f>'Old Balance Sheet'!U43 + 'ACPL Calculations - 1.0'!W43 + 'ACPL Calculations - 2.0'!W43</f>
        <v>0</v>
      </c>
      <c r="CR43" s="33">
        <f>'Old Balance Sheet'!V43 + 'ACPL Calculations - 1.0'!X43 + 'ACPL Calculations - 2.0'!X43</f>
        <v>0</v>
      </c>
      <c r="CS43" s="33">
        <f t="shared" si="3"/>
        <v>0</v>
      </c>
      <c r="CT43" s="35"/>
      <c r="CU43" s="35"/>
      <c r="CV43" s="35"/>
      <c r="CW43" s="36">
        <f>'Old Balance Sheet'!W43 + 'ACPL Calculations - 1.0'!Z43 + 'ACPL Calculations - 2.0'!Z43</f>
        <v>0</v>
      </c>
      <c r="CX43" s="36">
        <f>'Old Balance Sheet'!X43 + 'ACPL Calculations - 1.0'!AA43 + 'ACPL Calculations - 2.0'!AA43</f>
        <v>0</v>
      </c>
      <c r="CY43" s="37">
        <v>0.0</v>
      </c>
      <c r="CZ43" s="38">
        <f>'Old Balance Sheet'!Y43 + 'ACPL Calculations - 1.0'!AB43 + 'ACPL Calculations - 2.0'!AB43</f>
        <v>0</v>
      </c>
      <c r="DA43" s="38">
        <f>'Old Balance Sheet'!Z43 + 'ACPL Calculations - 1.0'!AC43 + 'ACPL Calculations - 2.0'!AC43</f>
        <v>0</v>
      </c>
      <c r="DB43" s="38">
        <f>'Old Balance Sheet'!AA43 + 'ACPL Calculations - 1.0'!AD43 + 'ACPL Calculations - 2.0'!AD43</f>
        <v>0</v>
      </c>
      <c r="DC43" s="38">
        <f>'Old Balance Sheet'!AB43 + 'ACPL Calculations - 1.0'!AE43 + 'ACPL Calculations - 2.0'!AE43</f>
        <v>0</v>
      </c>
      <c r="DD43" s="38">
        <f t="shared" si="4"/>
        <v>0</v>
      </c>
      <c r="DE43" s="33">
        <f t="shared" si="5"/>
        <v>0</v>
      </c>
      <c r="DF43" s="35">
        <v>0.0</v>
      </c>
      <c r="DG43" s="35">
        <v>0.0</v>
      </c>
      <c r="DH43" s="35">
        <v>0.0</v>
      </c>
      <c r="DI43" s="35">
        <v>0.0</v>
      </c>
      <c r="DJ43" s="35">
        <v>0.0</v>
      </c>
      <c r="DK43" s="35">
        <v>0.0</v>
      </c>
      <c r="DL43" s="35">
        <v>0.0</v>
      </c>
      <c r="DM43" s="35">
        <v>0.0</v>
      </c>
      <c r="DN43" s="31">
        <v>0.0</v>
      </c>
      <c r="DO43" s="31">
        <v>0.0</v>
      </c>
      <c r="DP43" s="31">
        <v>0.0</v>
      </c>
      <c r="DQ43" s="31">
        <v>0.0</v>
      </c>
      <c r="DR43" s="31">
        <v>0.0</v>
      </c>
      <c r="DS43" s="31">
        <v>0.0</v>
      </c>
      <c r="DT43" s="31">
        <f>'Old Balance Sheet'!AC43</f>
        <v>0</v>
      </c>
      <c r="DU43" s="31">
        <f>DT43 + SUMIFS('Payments Log'!D:D, 'Payments Log'!B:B, A43, 'Payments Log'!L:L, "Approved", 'Payments Log'!M:M, "Credit") + 'Old Balance Sheet'!AD43 - 'Old Balance Sheet'!AC43</f>
        <v>0</v>
      </c>
      <c r="DV43" s="31">
        <f>SUMIFS('Payments Log'!D:D, 'Payments Log'!B:B, A43, 'Payments Log'!L:L, "Approved", 'Payments Log'!M:M, "Adjustment Credit") - SUMIFS('Payments Log'!D:D, 'Payments Log'!B:B, A43, 'Payments Log'!L:L, "Approved", 'Payments Log'!M:M, "Adjustment Debit") + 'Old Balance Sheet'!AE43</f>
        <v>0</v>
      </c>
      <c r="DW43" s="31">
        <f>IF(MAXIFS('Payments Log'!N:N, 'Payments Log'!L:L, "Approved", 'Payments Log'!M:M, "Credit", 'Payments Log'!B:B, A43) &gt; MAXIFS('Payments Log'!N:N, 'Payments Log'!L:L, "Approved", 'Payments Log'!M:M, "Virtual Credit", 'Payments Log'!B:B, A43), 0, SUMIFS('Payments Log'!D:D, 'Payments Log'!N:N, MAXIFS('Payments Log'!N:N, 'Payments Log'!L:L, "Approved", 'Payments Log'!M:M, "Virtual Credit", 'Payments Log'!B:B, A43)))</f>
        <v>0</v>
      </c>
      <c r="DX43" s="33">
        <f t="shared" si="6"/>
        <v>0</v>
      </c>
      <c r="DY43" s="33">
        <f t="shared" si="7"/>
        <v>0</v>
      </c>
      <c r="DZ43" s="33">
        <f t="shared" si="8"/>
        <v>0</v>
      </c>
      <c r="EA43" s="25" t="str">
        <f>(Sheet1!N43)</f>
        <v>Brij Biwheelers</v>
      </c>
      <c r="EB43" s="25" t="str">
        <f>(Sheet1!O43)</f>
        <v>1ytBGcO8tIze81xKkAa9lWDcflthsPL6SuADAXbhmuwA</v>
      </c>
      <c r="EC43" s="26" t="str">
        <f>(Sheet1!P43)</f>
        <v>Sub Dealer</v>
      </c>
      <c r="ED43" s="34" t="s">
        <v>13</v>
      </c>
    </row>
    <row r="44">
      <c r="A44" s="25" t="str">
        <f>(Sheet1!A44)</f>
        <v>10OrFTKO4yhmJjB2PdJsPBFWFJQhFkWOzdv4SLQemIhs</v>
      </c>
      <c r="B44" s="25" t="str">
        <f>(Sheet1!B44)</f>
        <v>BRIJ HERO RENEWAL (BBW)</v>
      </c>
      <c r="C44" s="30" t="s">
        <v>13</v>
      </c>
      <c r="D44" s="30" t="s">
        <v>72</v>
      </c>
      <c r="E44" s="30" t="s">
        <v>3820</v>
      </c>
      <c r="F44" s="31">
        <v>170.0</v>
      </c>
      <c r="G44" s="32" t="s">
        <v>3818</v>
      </c>
      <c r="H44" s="31">
        <v>100.0</v>
      </c>
      <c r="I44" s="33">
        <f>'Old Balance Sheet'!A44 + 'ACPL Calculations - 1.0'!A44 + 'ACPL Calculations - 2.0'!A44</f>
        <v>1397</v>
      </c>
      <c r="J44" s="30" t="s">
        <v>3820</v>
      </c>
      <c r="K44" s="31">
        <v>170.0</v>
      </c>
      <c r="L44" s="32" t="s">
        <v>3818</v>
      </c>
      <c r="M44" s="31">
        <v>100.0</v>
      </c>
      <c r="N44" s="33">
        <f>'Old Balance Sheet'!B44 + 'ACPL Calculations - 1.0'!B44 + 'ACPL Calculations - 2.0'!B44</f>
        <v>0</v>
      </c>
      <c r="O44" s="30" t="s">
        <v>3820</v>
      </c>
      <c r="P44" s="31">
        <v>170.0</v>
      </c>
      <c r="Q44" s="32" t="s">
        <v>3818</v>
      </c>
      <c r="R44" s="31">
        <v>100.0</v>
      </c>
      <c r="S44" s="33">
        <f>'Old Balance Sheet'!C44 + 'ACPL Calculations - 1.0'!C44 + 'ACPL Calculations - 2.0'!C44</f>
        <v>0</v>
      </c>
      <c r="T44" s="30" t="s">
        <v>3820</v>
      </c>
      <c r="U44" s="31">
        <v>170.0</v>
      </c>
      <c r="V44" s="32" t="s">
        <v>3818</v>
      </c>
      <c r="W44" s="31">
        <v>100.0</v>
      </c>
      <c r="X44" s="33">
        <f>'Old Balance Sheet'!D44 + 'ACPL Calculations - 1.0'!D44 + 'ACPL Calculations - 2.0'!D44</f>
        <v>0</v>
      </c>
      <c r="Y44" s="30" t="s">
        <v>3820</v>
      </c>
      <c r="Z44" s="31">
        <v>170.0</v>
      </c>
      <c r="AA44" s="32" t="s">
        <v>3818</v>
      </c>
      <c r="AB44" s="31">
        <v>100.0</v>
      </c>
      <c r="AC44" s="33">
        <f>'Old Balance Sheet'!E44 + 'ACPL Calculations - 1.0'!E44 + 'ACPL Calculations - 2.0'!E44</f>
        <v>1</v>
      </c>
      <c r="AD44" s="30" t="s">
        <v>3820</v>
      </c>
      <c r="AE44" s="34">
        <v>838.99</v>
      </c>
      <c r="AF44" s="32" t="s">
        <v>3818</v>
      </c>
      <c r="AG44" s="31">
        <v>100.0</v>
      </c>
      <c r="AH44" s="33">
        <f>'Old Balance Sheet'!F44 + 'ACPL Calculations - 1.0'!F44 + 'ACPL Calculations - 2.0'!F44</f>
        <v>0</v>
      </c>
      <c r="AI44" s="30" t="s">
        <v>3820</v>
      </c>
      <c r="AJ44" s="31">
        <v>375.0</v>
      </c>
      <c r="AK44" s="32" t="s">
        <v>3818</v>
      </c>
      <c r="AL44" s="31">
        <v>100.0</v>
      </c>
      <c r="AM44" s="33">
        <f>'Old Balance Sheet'!G44 + 'ACPL Calculations - 1.0'!G44 + 'ACPL Calculations - 2.0'!G44</f>
        <v>0</v>
      </c>
      <c r="AN44" s="30" t="s">
        <v>3820</v>
      </c>
      <c r="AO44" s="31">
        <v>170.0</v>
      </c>
      <c r="AP44" s="32" t="s">
        <v>3818</v>
      </c>
      <c r="AQ44" s="31">
        <v>100.0</v>
      </c>
      <c r="AR44" s="33">
        <f>'Old Balance Sheet'!H44 + 'ACPL Calculations - 1.0'!H44 + 'ACPL Calculations - 2.0'!H44</f>
        <v>0</v>
      </c>
      <c r="AS44" s="30" t="s">
        <v>3819</v>
      </c>
      <c r="AT44" s="31">
        <v>838.99</v>
      </c>
      <c r="AU44" s="32" t="s">
        <v>3818</v>
      </c>
      <c r="AV44" s="31">
        <v>100.0</v>
      </c>
      <c r="AW44" s="33">
        <f>'Old Balance Sheet'!I44 + 'ACPL Calculations - 1.0'!I44 + 'ACPL Calculations - 2.0'!I44</f>
        <v>0</v>
      </c>
      <c r="AX44" s="30" t="s">
        <v>3820</v>
      </c>
      <c r="AY44" s="31">
        <v>170.0</v>
      </c>
      <c r="AZ44" s="32" t="s">
        <v>3818</v>
      </c>
      <c r="BA44" s="31">
        <v>100.0</v>
      </c>
      <c r="BB44" s="33">
        <f>'Old Balance Sheet'!J44 + 'ACPL Calculations - 1.0'!J44 + 'ACPL Calculations - 2.0'!J44</f>
        <v>0</v>
      </c>
      <c r="BC44" s="30" t="s">
        <v>3820</v>
      </c>
      <c r="BD44" s="31">
        <v>170.0</v>
      </c>
      <c r="BE44" s="32" t="s">
        <v>3818</v>
      </c>
      <c r="BF44" s="31">
        <v>100.0</v>
      </c>
      <c r="BG44" s="33">
        <f>'Old Balance Sheet'!K44 + 'ACPL Calculations - 1.0'!K44 + 'ACPL Calculations - 2.0'!K44</f>
        <v>0</v>
      </c>
      <c r="BH44" s="30" t="s">
        <v>3820</v>
      </c>
      <c r="BI44" s="31">
        <v>205.0</v>
      </c>
      <c r="BJ44" s="32" t="s">
        <v>3818</v>
      </c>
      <c r="BK44" s="31">
        <v>100.0</v>
      </c>
      <c r="BL44" s="33">
        <f>'Old Balance Sheet'!L44 + 'ACPL Calculations - 1.0'!L44 + 'ACPL Calculations - 2.0'!L44</f>
        <v>0</v>
      </c>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f t="shared" si="1"/>
        <v>1398</v>
      </c>
      <c r="CM44" s="33">
        <f>'Old Balance Sheet'!R44 + 'ACPL Calculations - 1.0'!S44 + 'ACPL Calculations - 2.0'!S44</f>
        <v>647972</v>
      </c>
      <c r="CN44" s="33">
        <f>'Old Balance Sheet'!S44 + 'ACPL Calculations - 1.0'!T44 + 'ACPL Calculations - 2.0'!T44</f>
        <v>286845</v>
      </c>
      <c r="CO44" s="33">
        <f t="shared" si="2"/>
        <v>385691.88</v>
      </c>
      <c r="CP44" s="33">
        <f>'Old Balance Sheet'!T44 + 'ACPL Calculations - 1.0'!V44 + 'ACPL Calculations - 2.0'!V44</f>
        <v>74.74</v>
      </c>
      <c r="CQ44" s="33">
        <f>'Old Balance Sheet'!U44 + 'ACPL Calculations - 1.0'!W44 + 'ACPL Calculations - 2.0'!W44</f>
        <v>74.74</v>
      </c>
      <c r="CR44" s="33">
        <f>'Old Balance Sheet'!V44 + 'ACPL Calculations - 1.0'!X44 + 'ACPL Calculations - 2.0'!X44</f>
        <v>98697.4</v>
      </c>
      <c r="CS44" s="33">
        <f t="shared" si="3"/>
        <v>98846.88</v>
      </c>
      <c r="CT44" s="35"/>
      <c r="CU44" s="35"/>
      <c r="CV44" s="35"/>
      <c r="CW44" s="36">
        <f>'Old Balance Sheet'!W44 + 'ACPL Calculations - 1.0'!Z44 + 'ACPL Calculations - 2.0'!Z44</f>
        <v>0</v>
      </c>
      <c r="CX44" s="36">
        <f>'Old Balance Sheet'!X44 + 'ACPL Calculations - 1.0'!AA44 + 'ACPL Calculations - 2.0'!AA44</f>
        <v>0</v>
      </c>
      <c r="CY44" s="37">
        <v>0.0</v>
      </c>
      <c r="CZ44" s="38">
        <f>'Old Balance Sheet'!Y44 + 'ACPL Calculations - 1.0'!AB44 + 'ACPL Calculations - 2.0'!AB44</f>
        <v>0</v>
      </c>
      <c r="DA44" s="38">
        <f>'Old Balance Sheet'!Z44 + 'ACPL Calculations - 1.0'!AC44 + 'ACPL Calculations - 2.0'!AC44</f>
        <v>0</v>
      </c>
      <c r="DB44" s="38">
        <f>'Old Balance Sheet'!AA44 + 'ACPL Calculations - 1.0'!AD44 + 'ACPL Calculations - 2.0'!AD44</f>
        <v>0</v>
      </c>
      <c r="DC44" s="38">
        <f>'Old Balance Sheet'!AB44 + 'ACPL Calculations - 1.0'!AE44 + 'ACPL Calculations - 2.0'!AE44</f>
        <v>0</v>
      </c>
      <c r="DD44" s="38">
        <f t="shared" si="4"/>
        <v>0</v>
      </c>
      <c r="DE44" s="33">
        <f t="shared" si="5"/>
        <v>0</v>
      </c>
      <c r="DF44" s="35">
        <v>0.0</v>
      </c>
      <c r="DG44" s="35">
        <v>0.0</v>
      </c>
      <c r="DH44" s="35">
        <v>0.0</v>
      </c>
      <c r="DI44" s="35">
        <v>0.0</v>
      </c>
      <c r="DJ44" s="35">
        <v>0.0</v>
      </c>
      <c r="DK44" s="35">
        <v>0.0</v>
      </c>
      <c r="DL44" s="35">
        <v>0.0</v>
      </c>
      <c r="DM44" s="35">
        <v>0.0</v>
      </c>
      <c r="DN44" s="31">
        <v>0.0</v>
      </c>
      <c r="DO44" s="31">
        <v>0.0</v>
      </c>
      <c r="DP44" s="31">
        <v>0.0</v>
      </c>
      <c r="DQ44" s="31">
        <v>0.0</v>
      </c>
      <c r="DR44" s="31">
        <v>0.0</v>
      </c>
      <c r="DS44" s="31">
        <v>0.0</v>
      </c>
      <c r="DT44" s="31">
        <f>'Old Balance Sheet'!AC44</f>
        <v>0</v>
      </c>
      <c r="DU44" s="31">
        <f>DT44 + SUMIFS('Payments Log'!D:D, 'Payments Log'!B:B, A44, 'Payments Log'!L:L, "Approved", 'Payments Log'!M:M, "Credit") + 'Old Balance Sheet'!AD44 - 'Old Balance Sheet'!AC44</f>
        <v>0</v>
      </c>
      <c r="DV44" s="31">
        <f>SUMIFS('Payments Log'!D:D, 'Payments Log'!B:B, A44, 'Payments Log'!L:L, "Approved", 'Payments Log'!M:M, "Adjustment Credit") - SUMIFS('Payments Log'!D:D, 'Payments Log'!B:B, A44, 'Payments Log'!L:L, "Approved", 'Payments Log'!M:M, "Adjustment Debit") + 'Old Balance Sheet'!AE44</f>
        <v>0</v>
      </c>
      <c r="DW44" s="31">
        <f>IF(MAXIFS('Payments Log'!N:N, 'Payments Log'!L:L, "Approved", 'Payments Log'!M:M, "Credit", 'Payments Log'!B:B, A44) &gt; MAXIFS('Payments Log'!N:N, 'Payments Log'!L:L, "Approved", 'Payments Log'!M:M, "Virtual Credit", 'Payments Log'!B:B, A44), 0, SUMIFS('Payments Log'!D:D, 'Payments Log'!N:N, MAXIFS('Payments Log'!N:N, 'Payments Log'!L:L, "Approved", 'Payments Log'!M:M, "Virtual Credit", 'Payments Log'!B:B, A44)))</f>
        <v>0</v>
      </c>
      <c r="DX44" s="33">
        <f t="shared" si="6"/>
        <v>0</v>
      </c>
      <c r="DY44" s="33">
        <f t="shared" si="7"/>
        <v>0</v>
      </c>
      <c r="DZ44" s="33">
        <f t="shared" si="8"/>
        <v>0</v>
      </c>
      <c r="EA44" s="25" t="str">
        <f>(Sheet1!N44)</f>
        <v>Brij Biwheelers</v>
      </c>
      <c r="EB44" s="25" t="str">
        <f>(Sheet1!O44)</f>
        <v>1ytBGcO8tIze81xKkAa9lWDcflthsPL6SuADAXbhmuwA</v>
      </c>
      <c r="EC44" s="26" t="str">
        <f>(Sheet1!P44)</f>
        <v>Sub Dealer</v>
      </c>
      <c r="ED44" s="34" t="s">
        <v>13</v>
      </c>
    </row>
    <row r="45">
      <c r="A45" s="25" t="str">
        <f>(Sheet1!A45)</f>
        <v>1XmVYrBOLuyIm0rpXhFaYpcRQ1t4YH3PN3pmiTosn08E</v>
      </c>
      <c r="B45" s="25" t="str">
        <f>(Sheet1!B45)</f>
        <v>Shraman Hero - GT Karnal Road</v>
      </c>
      <c r="C45" s="30" t="s">
        <v>13</v>
      </c>
      <c r="D45" s="30" t="s">
        <v>72</v>
      </c>
      <c r="E45" s="30" t="s">
        <v>3820</v>
      </c>
      <c r="F45" s="31">
        <v>205.0</v>
      </c>
      <c r="G45" s="32" t="s">
        <v>3818</v>
      </c>
      <c r="H45" s="31">
        <v>100.0</v>
      </c>
      <c r="I45" s="33">
        <f>'Old Balance Sheet'!A45 + 'ACPL Calculations - 1.0'!A45 + 'ACPL Calculations - 2.0'!A45</f>
        <v>3</v>
      </c>
      <c r="J45" s="30" t="s">
        <v>3820</v>
      </c>
      <c r="K45" s="31">
        <v>70.0</v>
      </c>
      <c r="L45" s="32" t="s">
        <v>3818</v>
      </c>
      <c r="M45" s="31">
        <v>100.0</v>
      </c>
      <c r="N45" s="33">
        <f>'Old Balance Sheet'!B45 + 'ACPL Calculations - 1.0'!B45 + 'ACPL Calculations - 2.0'!B45</f>
        <v>0</v>
      </c>
      <c r="O45" s="30" t="s">
        <v>3820</v>
      </c>
      <c r="P45" s="31">
        <v>290.0</v>
      </c>
      <c r="Q45" s="32" t="s">
        <v>3818</v>
      </c>
      <c r="R45" s="31">
        <v>100.0</v>
      </c>
      <c r="S45" s="33">
        <f>'Old Balance Sheet'!C45 + 'ACPL Calculations - 1.0'!C45 + 'ACPL Calculations - 2.0'!C45</f>
        <v>0</v>
      </c>
      <c r="T45" s="30" t="s">
        <v>3820</v>
      </c>
      <c r="U45" s="31">
        <v>375.0</v>
      </c>
      <c r="V45" s="32" t="s">
        <v>3818</v>
      </c>
      <c r="W45" s="31">
        <v>100.0</v>
      </c>
      <c r="X45" s="33">
        <f>'Old Balance Sheet'!D45 + 'ACPL Calculations - 1.0'!D45 + 'ACPL Calculations - 2.0'!D45</f>
        <v>0</v>
      </c>
      <c r="Y45" s="30" t="s">
        <v>3820</v>
      </c>
      <c r="Z45" s="31">
        <v>375.0</v>
      </c>
      <c r="AA45" s="32" t="s">
        <v>3818</v>
      </c>
      <c r="AB45" s="31">
        <v>100.0</v>
      </c>
      <c r="AC45" s="33">
        <f>'Old Balance Sheet'!E45 + 'ACPL Calculations - 1.0'!E45 + 'ACPL Calculations - 2.0'!E45</f>
        <v>810</v>
      </c>
      <c r="AD45" s="30" t="s">
        <v>3820</v>
      </c>
      <c r="AE45" s="34">
        <v>838.99</v>
      </c>
      <c r="AF45" s="32" t="s">
        <v>3818</v>
      </c>
      <c r="AG45" s="31">
        <v>100.0</v>
      </c>
      <c r="AH45" s="33">
        <f>'Old Balance Sheet'!F45 + 'ACPL Calculations - 1.0'!F45 + 'ACPL Calculations - 2.0'!F45</f>
        <v>0</v>
      </c>
      <c r="AI45" s="30" t="s">
        <v>3820</v>
      </c>
      <c r="AJ45" s="31">
        <v>375.0</v>
      </c>
      <c r="AK45" s="32" t="s">
        <v>3818</v>
      </c>
      <c r="AL45" s="31">
        <v>100.0</v>
      </c>
      <c r="AM45" s="33">
        <f>'Old Balance Sheet'!G45 + 'ACPL Calculations - 1.0'!G45 + 'ACPL Calculations - 2.0'!G45</f>
        <v>0</v>
      </c>
      <c r="AN45" s="30" t="s">
        <v>3820</v>
      </c>
      <c r="AO45" s="31">
        <v>290.0</v>
      </c>
      <c r="AP45" s="32" t="s">
        <v>3818</v>
      </c>
      <c r="AQ45" s="31">
        <v>100.0</v>
      </c>
      <c r="AR45" s="33">
        <f>'Old Balance Sheet'!H45 + 'ACPL Calculations - 1.0'!H45 + 'ACPL Calculations - 2.0'!H45</f>
        <v>0</v>
      </c>
      <c r="AS45" s="30" t="s">
        <v>3819</v>
      </c>
      <c r="AT45" s="31">
        <v>838.99</v>
      </c>
      <c r="AU45" s="32" t="s">
        <v>3818</v>
      </c>
      <c r="AV45" s="31">
        <v>100.0</v>
      </c>
      <c r="AW45" s="33">
        <f>'Old Balance Sheet'!I45 + 'ACPL Calculations - 1.0'!I45 + 'ACPL Calculations - 2.0'!I45</f>
        <v>0</v>
      </c>
      <c r="AX45" s="30" t="s">
        <v>3820</v>
      </c>
      <c r="AY45" s="31">
        <v>232.0</v>
      </c>
      <c r="AZ45" s="32" t="s">
        <v>3818</v>
      </c>
      <c r="BA45" s="31">
        <v>100.0</v>
      </c>
      <c r="BB45" s="33">
        <f>'Old Balance Sheet'!J45 + 'ACPL Calculations - 1.0'!J45 + 'ACPL Calculations - 2.0'!J45</f>
        <v>3868</v>
      </c>
      <c r="BC45" s="30" t="s">
        <v>3820</v>
      </c>
      <c r="BD45" s="31">
        <v>205.0</v>
      </c>
      <c r="BE45" s="32" t="s">
        <v>3818</v>
      </c>
      <c r="BF45" s="31">
        <v>100.0</v>
      </c>
      <c r="BG45" s="33">
        <f>'Old Balance Sheet'!K45 + 'ACPL Calculations - 1.0'!K45 + 'ACPL Calculations - 2.0'!K45</f>
        <v>0</v>
      </c>
      <c r="BH45" s="30" t="s">
        <v>3820</v>
      </c>
      <c r="BI45" s="31">
        <v>205.0</v>
      </c>
      <c r="BJ45" s="32" t="s">
        <v>3818</v>
      </c>
      <c r="BK45" s="31">
        <v>100.0</v>
      </c>
      <c r="BL45" s="33">
        <f>'Old Balance Sheet'!L45 + 'ACPL Calculations - 1.0'!L45 + 'ACPL Calculations - 2.0'!L45</f>
        <v>0</v>
      </c>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f t="shared" si="1"/>
        <v>4681</v>
      </c>
      <c r="CM45" s="33">
        <f>'Old Balance Sheet'!R45 + 'ACPL Calculations - 1.0'!S45 + 'ACPL Calculations - 2.0'!S45</f>
        <v>5422315</v>
      </c>
      <c r="CN45" s="33">
        <f>'Old Balance Sheet'!S45 + 'ACPL Calculations - 1.0'!T45 + 'ACPL Calculations - 2.0'!T45</f>
        <v>1291193</v>
      </c>
      <c r="CO45" s="33">
        <f t="shared" si="2"/>
        <v>2118319.26</v>
      </c>
      <c r="CP45" s="33">
        <f>'Old Balance Sheet'!T45 + 'ACPL Calculations - 1.0'!V45 + 'ACPL Calculations - 2.0'!V45</f>
        <v>0</v>
      </c>
      <c r="CQ45" s="33">
        <f>'Old Balance Sheet'!U45 + 'ACPL Calculations - 1.0'!W45 + 'ACPL Calculations - 2.0'!W45</f>
        <v>0</v>
      </c>
      <c r="CR45" s="33">
        <f>'Old Balance Sheet'!V45 + 'ACPL Calculations - 1.0'!X45 + 'ACPL Calculations - 2.0'!X45</f>
        <v>827126.26</v>
      </c>
      <c r="CS45" s="33">
        <f t="shared" si="3"/>
        <v>827126.26</v>
      </c>
      <c r="CT45" s="35"/>
      <c r="CU45" s="35"/>
      <c r="CV45" s="35"/>
      <c r="CW45" s="36">
        <f>'Old Balance Sheet'!W45 + 'ACPL Calculations - 1.0'!Z45 + 'ACPL Calculations - 2.0'!Z45</f>
        <v>5421196</v>
      </c>
      <c r="CX45" s="36">
        <f>'Old Balance Sheet'!X45 + 'ACPL Calculations - 1.0'!AA45 + 'ACPL Calculations - 2.0'!AA45</f>
        <v>2265920.84</v>
      </c>
      <c r="CY45" s="37">
        <v>0.0</v>
      </c>
      <c r="CZ45" s="38">
        <f>'Old Balance Sheet'!Y45 + 'ACPL Calculations - 1.0'!AB45 + 'ACPL Calculations - 2.0'!AB45</f>
        <v>3291837.89</v>
      </c>
      <c r="DA45" s="38">
        <f>'Old Balance Sheet'!Z45 + 'ACPL Calculations - 1.0'!AC45 + 'ACPL Calculations - 2.0'!AC45</f>
        <v>0</v>
      </c>
      <c r="DB45" s="38">
        <f>'Old Balance Sheet'!AA45 + 'ACPL Calculations - 1.0'!AD45 + 'ACPL Calculations - 2.0'!AD45</f>
        <v>148005.03</v>
      </c>
      <c r="DC45" s="38">
        <f>'Old Balance Sheet'!AB45 + 'ACPL Calculations - 1.0'!AE45 + 'ACPL Calculations - 2.0'!AE45</f>
        <v>3155275.16</v>
      </c>
      <c r="DD45" s="38">
        <f t="shared" si="4"/>
        <v>3155275.16</v>
      </c>
      <c r="DE45" s="33">
        <f t="shared" si="5"/>
        <v>3083913.16</v>
      </c>
      <c r="DF45" s="35">
        <v>0.0</v>
      </c>
      <c r="DG45" s="35">
        <v>0.0</v>
      </c>
      <c r="DH45" s="35">
        <v>0.0</v>
      </c>
      <c r="DI45" s="35">
        <v>0.0</v>
      </c>
      <c r="DJ45" s="35">
        <v>0.0</v>
      </c>
      <c r="DK45" s="35">
        <v>0.0</v>
      </c>
      <c r="DL45" s="35">
        <v>0.0</v>
      </c>
      <c r="DM45" s="35">
        <v>0.0</v>
      </c>
      <c r="DN45" s="31">
        <v>0.0</v>
      </c>
      <c r="DO45" s="31">
        <v>0.0</v>
      </c>
      <c r="DP45" s="31">
        <v>0.0</v>
      </c>
      <c r="DQ45" s="31">
        <v>0.0</v>
      </c>
      <c r="DR45" s="31">
        <v>0.0</v>
      </c>
      <c r="DS45" s="31">
        <v>0.0</v>
      </c>
      <c r="DT45" s="31">
        <f>'Old Balance Sheet'!AC45</f>
        <v>-2855</v>
      </c>
      <c r="DU45" s="31">
        <f>DT45 + SUMIFS('Payments Log'!D:D, 'Payments Log'!B:B, A45, 'Payments Log'!L:L, "Approved", 'Payments Log'!M:M, "Credit") + 'Old Balance Sheet'!AD45 - 'Old Balance Sheet'!AC45</f>
        <v>5349834</v>
      </c>
      <c r="DV45" s="31">
        <f>SUMIFS('Payments Log'!D:D, 'Payments Log'!B:B, A45, 'Payments Log'!L:L, "Approved", 'Payments Log'!M:M, "Adjustment Credit") - SUMIFS('Payments Log'!D:D, 'Payments Log'!B:B, A45, 'Payments Log'!L:L, "Approved", 'Payments Log'!M:M, "Adjustment Debit") + 'Old Balance Sheet'!AE45</f>
        <v>0</v>
      </c>
      <c r="DW45" s="31">
        <f>IF(MAXIFS('Payments Log'!N:N, 'Payments Log'!L:L, "Approved", 'Payments Log'!M:M, "Credit", 'Payments Log'!B:B, A45) &gt; MAXIFS('Payments Log'!N:N, 'Payments Log'!L:L, "Approved", 'Payments Log'!M:M, "Virtual Credit", 'Payments Log'!B:B, A45), 0, SUMIFS('Payments Log'!D:D, 'Payments Log'!N:N, MAXIFS('Payments Log'!N:N, 'Payments Log'!L:L, "Approved", 'Payments Log'!M:M, "Virtual Credit", 'Payments Log'!B:B, A45)))</f>
        <v>0</v>
      </c>
      <c r="DX45" s="33">
        <f t="shared" si="6"/>
        <v>-71362</v>
      </c>
      <c r="DY45" s="33">
        <f t="shared" si="7"/>
        <v>3083913.16</v>
      </c>
      <c r="DZ45" s="33">
        <f t="shared" si="8"/>
        <v>3083913.16</v>
      </c>
      <c r="EA45" s="25" t="str">
        <f>(Sheet1!N45)</f>
        <v>Shraman Hero - GT Karnal Road</v>
      </c>
      <c r="EB45" s="25" t="str">
        <f>(Sheet1!O45)</f>
        <v>1XmVYrBOLuyIm0rpXhFaYpcRQ1t4YH3PN3pmiTosn08E</v>
      </c>
      <c r="EC45" s="26" t="str">
        <f>(Sheet1!P45)</f>
        <v>Dealer</v>
      </c>
      <c r="ED45" s="34" t="s">
        <v>13</v>
      </c>
    </row>
    <row r="46">
      <c r="A46" s="25" t="str">
        <f>(Sheet1!A46)</f>
        <v>1qJGCYN0EdS2nWGXVYAHwXqSjiLE2C95anQkkbLONbKQ</v>
      </c>
      <c r="B46" s="25" t="str">
        <f>(Sheet1!B46)</f>
        <v>Shri Balaji Hero - Muzaffarnagar</v>
      </c>
      <c r="C46" s="30" t="s">
        <v>13</v>
      </c>
      <c r="D46" s="30" t="s">
        <v>72</v>
      </c>
      <c r="E46" s="30" t="s">
        <v>3819</v>
      </c>
      <c r="F46" s="31">
        <v>169.5</v>
      </c>
      <c r="G46" s="32" t="s">
        <v>3818</v>
      </c>
      <c r="H46" s="31">
        <v>100.0</v>
      </c>
      <c r="I46" s="33">
        <f>'Old Balance Sheet'!A46 + 'ACPL Calculations - 1.0'!A46 + 'ACPL Calculations - 2.0'!A46</f>
        <v>1560</v>
      </c>
      <c r="J46" s="30" t="s">
        <v>3819</v>
      </c>
      <c r="K46" s="31">
        <v>100.0</v>
      </c>
      <c r="L46" s="32" t="s">
        <v>3818</v>
      </c>
      <c r="M46" s="31">
        <v>100.0</v>
      </c>
      <c r="N46" s="33">
        <f>'Old Balance Sheet'!B46 + 'ACPL Calculations - 1.0'!B46 + 'ACPL Calculations - 2.0'!B46</f>
        <v>85</v>
      </c>
      <c r="O46" s="30" t="s">
        <v>3819</v>
      </c>
      <c r="P46" s="31">
        <v>290.0</v>
      </c>
      <c r="Q46" s="32" t="s">
        <v>3818</v>
      </c>
      <c r="R46" s="31">
        <v>100.0</v>
      </c>
      <c r="S46" s="33">
        <f>'Old Balance Sheet'!C46 + 'ACPL Calculations - 1.0'!C46 + 'ACPL Calculations - 2.0'!C46</f>
        <v>4</v>
      </c>
      <c r="T46" s="30" t="s">
        <v>3819</v>
      </c>
      <c r="U46" s="31">
        <v>375.0</v>
      </c>
      <c r="V46" s="32" t="s">
        <v>3818</v>
      </c>
      <c r="W46" s="31">
        <v>100.0</v>
      </c>
      <c r="X46" s="33">
        <f>'Old Balance Sheet'!D46 + 'ACPL Calculations - 1.0'!D46 + 'ACPL Calculations - 2.0'!D46</f>
        <v>0</v>
      </c>
      <c r="Y46" s="30" t="s">
        <v>3819</v>
      </c>
      <c r="Z46" s="31">
        <v>339.0</v>
      </c>
      <c r="AA46" s="32" t="s">
        <v>3818</v>
      </c>
      <c r="AB46" s="31">
        <v>100.0</v>
      </c>
      <c r="AC46" s="33">
        <f>'Old Balance Sheet'!E46 + 'ACPL Calculations - 1.0'!E46 + 'ACPL Calculations - 2.0'!E46</f>
        <v>720</v>
      </c>
      <c r="AD46" s="30" t="s">
        <v>3819</v>
      </c>
      <c r="AE46" s="34">
        <v>838.99</v>
      </c>
      <c r="AF46" s="32" t="s">
        <v>3818</v>
      </c>
      <c r="AG46" s="31">
        <v>100.0</v>
      </c>
      <c r="AH46" s="33">
        <f>'Old Balance Sheet'!F46 + 'ACPL Calculations - 1.0'!F46 + 'ACPL Calculations - 2.0'!F46</f>
        <v>0</v>
      </c>
      <c r="AI46" s="30" t="s">
        <v>3819</v>
      </c>
      <c r="AJ46" s="31">
        <v>375.0</v>
      </c>
      <c r="AK46" s="32" t="s">
        <v>3818</v>
      </c>
      <c r="AL46" s="31">
        <v>100.0</v>
      </c>
      <c r="AM46" s="33">
        <f>'Old Balance Sheet'!G46 + 'ACPL Calculations - 1.0'!G46 + 'ACPL Calculations - 2.0'!G46</f>
        <v>0</v>
      </c>
      <c r="AN46" s="30" t="s">
        <v>3819</v>
      </c>
      <c r="AO46" s="31">
        <v>290.0</v>
      </c>
      <c r="AP46" s="32" t="s">
        <v>3818</v>
      </c>
      <c r="AQ46" s="31">
        <v>100.0</v>
      </c>
      <c r="AR46" s="33">
        <f>'Old Balance Sheet'!H46 + 'ACPL Calculations - 1.0'!H46 + 'ACPL Calculations - 2.0'!H46</f>
        <v>0</v>
      </c>
      <c r="AS46" s="30" t="s">
        <v>3819</v>
      </c>
      <c r="AT46" s="31">
        <v>838.99</v>
      </c>
      <c r="AU46" s="32" t="s">
        <v>3818</v>
      </c>
      <c r="AV46" s="31">
        <v>100.0</v>
      </c>
      <c r="AW46" s="33">
        <f>'Old Balance Sheet'!I46 + 'ACPL Calculations - 1.0'!I46 + 'ACPL Calculations - 2.0'!I46</f>
        <v>0</v>
      </c>
      <c r="AX46" s="30" t="s">
        <v>3819</v>
      </c>
      <c r="AY46" s="31">
        <v>290.0</v>
      </c>
      <c r="AZ46" s="32" t="s">
        <v>3818</v>
      </c>
      <c r="BA46" s="31">
        <v>100.0</v>
      </c>
      <c r="BB46" s="33">
        <f>'Old Balance Sheet'!J46 + 'ACPL Calculations - 1.0'!J46 + 'ACPL Calculations - 2.0'!J46</f>
        <v>0</v>
      </c>
      <c r="BC46" s="30" t="s">
        <v>3819</v>
      </c>
      <c r="BD46" s="31">
        <v>205.0</v>
      </c>
      <c r="BE46" s="32" t="s">
        <v>3818</v>
      </c>
      <c r="BF46" s="31">
        <v>100.0</v>
      </c>
      <c r="BG46" s="33">
        <f>'Old Balance Sheet'!K46 + 'ACPL Calculations - 1.0'!K46 + 'ACPL Calculations - 2.0'!K46</f>
        <v>0</v>
      </c>
      <c r="BH46" s="30" t="s">
        <v>3819</v>
      </c>
      <c r="BI46" s="31">
        <v>205.0</v>
      </c>
      <c r="BJ46" s="32" t="s">
        <v>3818</v>
      </c>
      <c r="BK46" s="31">
        <v>100.0</v>
      </c>
      <c r="BL46" s="33">
        <f>'Old Balance Sheet'!L46 + 'ACPL Calculations - 1.0'!L46 + 'ACPL Calculations - 2.0'!L46</f>
        <v>0</v>
      </c>
      <c r="BM46" s="33"/>
      <c r="BN46" s="33"/>
      <c r="BO46" s="33"/>
      <c r="BP46" s="33"/>
      <c r="BQ46" s="33"/>
      <c r="BR46" s="33"/>
      <c r="BS46" s="33"/>
      <c r="BT46" s="33"/>
      <c r="BU46" s="33"/>
      <c r="BV46" s="33"/>
      <c r="BW46" s="33"/>
      <c r="BX46" s="33"/>
      <c r="BY46" s="33"/>
      <c r="BZ46" s="33"/>
      <c r="CA46" s="33"/>
      <c r="CB46" s="33"/>
      <c r="CC46" s="33"/>
      <c r="CD46" s="33"/>
      <c r="CE46" s="33"/>
      <c r="CF46" s="33"/>
      <c r="CG46" s="33"/>
      <c r="CH46" s="33"/>
      <c r="CI46" s="33"/>
      <c r="CJ46" s="33"/>
      <c r="CK46" s="33"/>
      <c r="CL46" s="33">
        <f t="shared" si="1"/>
        <v>2369</v>
      </c>
      <c r="CM46" s="33">
        <f>'Old Balance Sheet'!R46 + 'ACPL Calculations - 1.0'!S46 + 'ACPL Calculations - 2.0'!S46</f>
        <v>724878.15</v>
      </c>
      <c r="CN46" s="33">
        <f>'Old Balance Sheet'!S46 + 'ACPL Calculations - 1.0'!T46 + 'ACPL Calculations - 2.0'!T46</f>
        <v>614303.5</v>
      </c>
      <c r="CO46" s="33">
        <f t="shared" si="2"/>
        <v>724878.15</v>
      </c>
      <c r="CP46" s="33">
        <f>'Old Balance Sheet'!T46 + 'ACPL Calculations - 1.0'!V46 + 'ACPL Calculations - 2.0'!V46</f>
        <v>261.37</v>
      </c>
      <c r="CQ46" s="33">
        <f>'Old Balance Sheet'!U46 + 'ACPL Calculations - 1.0'!W46 + 'ACPL Calculations - 2.0'!W46</f>
        <v>261.37</v>
      </c>
      <c r="CR46" s="33">
        <f>'Old Balance Sheet'!V46 + 'ACPL Calculations - 1.0'!X46 + 'ACPL Calculations - 2.0'!X46</f>
        <v>110051.91</v>
      </c>
      <c r="CS46" s="33">
        <f t="shared" si="3"/>
        <v>110574.65</v>
      </c>
      <c r="CT46" s="35"/>
      <c r="CU46" s="35"/>
      <c r="CV46" s="35"/>
      <c r="CW46" s="36">
        <f>'Old Balance Sheet'!W46 + 'ACPL Calculations - 1.0'!Z46 + 'ACPL Calculations - 2.0'!Z46</f>
        <v>1001346.27</v>
      </c>
      <c r="CX46" s="36">
        <f>'Old Balance Sheet'!X46 + 'ACPL Calculations - 1.0'!AA46 + 'ACPL Calculations - 2.0'!AA46</f>
        <v>1001346.27</v>
      </c>
      <c r="CY46" s="37">
        <v>0.0</v>
      </c>
      <c r="CZ46" s="38">
        <f>'Old Balance Sheet'!Y46 + 'ACPL Calculations - 1.0'!AB46 + 'ACPL Calculations - 2.0'!AB46</f>
        <v>0</v>
      </c>
      <c r="DA46" s="38">
        <f>'Old Balance Sheet'!Z46 + 'ACPL Calculations - 1.0'!AC46 + 'ACPL Calculations - 2.0'!AC46</f>
        <v>0</v>
      </c>
      <c r="DB46" s="38">
        <f>'Old Balance Sheet'!AA46 + 'ACPL Calculations - 1.0'!AD46 + 'ACPL Calculations - 2.0'!AD46</f>
        <v>0</v>
      </c>
      <c r="DC46" s="38">
        <f>'Old Balance Sheet'!AB46 + 'ACPL Calculations - 1.0'!AE46 + 'ACPL Calculations - 2.0'!AE46</f>
        <v>0</v>
      </c>
      <c r="DD46" s="38">
        <f t="shared" si="4"/>
        <v>0</v>
      </c>
      <c r="DE46" s="33">
        <f t="shared" si="5"/>
        <v>0</v>
      </c>
      <c r="DF46" s="35">
        <v>0.0</v>
      </c>
      <c r="DG46" s="35">
        <v>0.0</v>
      </c>
      <c r="DH46" s="35">
        <v>0.0</v>
      </c>
      <c r="DI46" s="35">
        <v>0.0</v>
      </c>
      <c r="DJ46" s="35">
        <v>0.0</v>
      </c>
      <c r="DK46" s="35">
        <v>0.0</v>
      </c>
      <c r="DL46" s="35">
        <v>0.0</v>
      </c>
      <c r="DM46" s="35">
        <v>0.0</v>
      </c>
      <c r="DN46" s="31">
        <v>0.0</v>
      </c>
      <c r="DO46" s="31">
        <v>0.0</v>
      </c>
      <c r="DP46" s="31">
        <v>0.0</v>
      </c>
      <c r="DQ46" s="31">
        <v>0.0</v>
      </c>
      <c r="DR46" s="31">
        <v>0.0</v>
      </c>
      <c r="DS46" s="31">
        <v>0.0</v>
      </c>
      <c r="DT46" s="31">
        <f>'Old Balance Sheet'!AC46</f>
        <v>-203416</v>
      </c>
      <c r="DU46" s="31">
        <f>DT46 + SUMIFS('Payments Log'!D:D, 'Payments Log'!B:B, A46, 'Payments Log'!L:L, "Approved", 'Payments Log'!M:M, "Credit") + 'Old Balance Sheet'!AD46 - 'Old Balance Sheet'!AC46</f>
        <v>900000</v>
      </c>
      <c r="DV46" s="31">
        <f>SUMIFS('Payments Log'!D:D, 'Payments Log'!B:B, A46, 'Payments Log'!L:L, "Approved", 'Payments Log'!M:M, "Adjustment Credit") - SUMIFS('Payments Log'!D:D, 'Payments Log'!B:B, A46, 'Payments Log'!L:L, "Approved", 'Payments Log'!M:M, "Adjustment Debit") + 'Old Balance Sheet'!AE46</f>
        <v>0</v>
      </c>
      <c r="DW46" s="31">
        <f>IF(MAXIFS('Payments Log'!N:N, 'Payments Log'!L:L, "Approved", 'Payments Log'!M:M, "Credit", 'Payments Log'!B:B, A46) &gt; MAXIFS('Payments Log'!N:N, 'Payments Log'!L:L, "Approved", 'Payments Log'!M:M, "Virtual Credit", 'Payments Log'!B:B, A46), 0, SUMIFS('Payments Log'!D:D, 'Payments Log'!N:N, MAXIFS('Payments Log'!N:N, 'Payments Log'!L:L, "Approved", 'Payments Log'!M:M, "Virtual Credit", 'Payments Log'!B:B, A46)))</f>
        <v>0</v>
      </c>
      <c r="DX46" s="33">
        <f t="shared" si="6"/>
        <v>-101346.27</v>
      </c>
      <c r="DY46" s="33">
        <f t="shared" si="7"/>
        <v>-101346.27</v>
      </c>
      <c r="DZ46" s="33">
        <f t="shared" si="8"/>
        <v>-101346.27</v>
      </c>
      <c r="EA46" s="25" t="str">
        <f>(Sheet1!N46)</f>
        <v>Shri Balaji Hero - Muzaffarnagar</v>
      </c>
      <c r="EB46" s="25" t="str">
        <f>(Sheet1!O46)</f>
        <v>1qJGCYN0EdS2nWGXVYAHwXqSjiLE2C95anQkkbLONbKQ</v>
      </c>
      <c r="EC46" s="26" t="str">
        <f>(Sheet1!P46)</f>
        <v>Dealer</v>
      </c>
      <c r="ED46" s="34" t="s">
        <v>13</v>
      </c>
    </row>
    <row r="47">
      <c r="A47" s="25" t="str">
        <f>(Sheet1!A47)</f>
        <v>1p3Bu4mvhlVeVMP3Ogpf0F-2KWPlAp07JNr-X652uW0U</v>
      </c>
      <c r="B47" s="25" t="str">
        <f>(Sheet1!B47)</f>
        <v>Kavita Motors - Bijnor</v>
      </c>
      <c r="C47" s="30" t="s">
        <v>13</v>
      </c>
      <c r="D47" s="30" t="s">
        <v>72</v>
      </c>
      <c r="E47" s="30" t="s">
        <v>3820</v>
      </c>
      <c r="F47" s="31">
        <v>205.0</v>
      </c>
      <c r="G47" s="32" t="s">
        <v>3818</v>
      </c>
      <c r="H47" s="31">
        <v>100.0</v>
      </c>
      <c r="I47" s="33">
        <f>'Old Balance Sheet'!A47 + 'ACPL Calculations - 1.0'!A47 + 'ACPL Calculations - 2.0'!A47</f>
        <v>176</v>
      </c>
      <c r="J47" s="30" t="s">
        <v>3820</v>
      </c>
      <c r="K47" s="31">
        <v>205.0</v>
      </c>
      <c r="L47" s="32" t="s">
        <v>3818</v>
      </c>
      <c r="M47" s="31">
        <v>100.0</v>
      </c>
      <c r="N47" s="33">
        <f>'Old Balance Sheet'!B47 + 'ACPL Calculations - 1.0'!B47 + 'ACPL Calculations - 2.0'!B47</f>
        <v>0</v>
      </c>
      <c r="O47" s="30" t="s">
        <v>3820</v>
      </c>
      <c r="P47" s="31">
        <v>290.0</v>
      </c>
      <c r="Q47" s="32" t="s">
        <v>3818</v>
      </c>
      <c r="R47" s="31">
        <v>100.0</v>
      </c>
      <c r="S47" s="33">
        <f>'Old Balance Sheet'!C47 + 'ACPL Calculations - 1.0'!C47 + 'ACPL Calculations - 2.0'!C47</f>
        <v>0</v>
      </c>
      <c r="T47" s="30" t="s">
        <v>3820</v>
      </c>
      <c r="U47" s="31">
        <v>375.0</v>
      </c>
      <c r="V47" s="32" t="s">
        <v>3818</v>
      </c>
      <c r="W47" s="31">
        <v>100.0</v>
      </c>
      <c r="X47" s="33">
        <f>'Old Balance Sheet'!D47 + 'ACPL Calculations - 1.0'!D47 + 'ACPL Calculations - 2.0'!D47</f>
        <v>0</v>
      </c>
      <c r="Y47" s="30" t="s">
        <v>3820</v>
      </c>
      <c r="Z47" s="31">
        <v>460.0</v>
      </c>
      <c r="AA47" s="32" t="s">
        <v>3818</v>
      </c>
      <c r="AB47" s="31">
        <v>100.0</v>
      </c>
      <c r="AC47" s="33">
        <f>'Old Balance Sheet'!E47 + 'ACPL Calculations - 1.0'!E47 + 'ACPL Calculations - 2.0'!E47</f>
        <v>501</v>
      </c>
      <c r="AD47" s="30" t="s">
        <v>3820</v>
      </c>
      <c r="AE47" s="34">
        <v>838.99</v>
      </c>
      <c r="AF47" s="32" t="s">
        <v>3818</v>
      </c>
      <c r="AG47" s="31">
        <v>100.0</v>
      </c>
      <c r="AH47" s="33">
        <f>'Old Balance Sheet'!F47 + 'ACPL Calculations - 1.0'!F47 + 'ACPL Calculations - 2.0'!F47</f>
        <v>0</v>
      </c>
      <c r="AI47" s="30" t="s">
        <v>3820</v>
      </c>
      <c r="AJ47" s="31">
        <v>375.0</v>
      </c>
      <c r="AK47" s="32" t="s">
        <v>3818</v>
      </c>
      <c r="AL47" s="31">
        <v>100.0</v>
      </c>
      <c r="AM47" s="33">
        <f>'Old Balance Sheet'!G47 + 'ACPL Calculations - 1.0'!G47 + 'ACPL Calculations - 2.0'!G47</f>
        <v>0</v>
      </c>
      <c r="AN47" s="30" t="s">
        <v>3820</v>
      </c>
      <c r="AO47" s="31">
        <v>290.0</v>
      </c>
      <c r="AP47" s="32" t="s">
        <v>3818</v>
      </c>
      <c r="AQ47" s="31">
        <v>100.0</v>
      </c>
      <c r="AR47" s="33">
        <f>'Old Balance Sheet'!H47 + 'ACPL Calculations - 1.0'!H47 + 'ACPL Calculations - 2.0'!H47</f>
        <v>0</v>
      </c>
      <c r="AS47" s="30" t="s">
        <v>3819</v>
      </c>
      <c r="AT47" s="31">
        <v>838.99</v>
      </c>
      <c r="AU47" s="32" t="s">
        <v>3818</v>
      </c>
      <c r="AV47" s="31">
        <v>100.0</v>
      </c>
      <c r="AW47" s="33">
        <f>'Old Balance Sheet'!I47 + 'ACPL Calculations - 1.0'!I47 + 'ACPL Calculations - 2.0'!I47</f>
        <v>0</v>
      </c>
      <c r="AX47" s="30" t="s">
        <v>3820</v>
      </c>
      <c r="AY47" s="31">
        <v>290.0</v>
      </c>
      <c r="AZ47" s="32" t="s">
        <v>3818</v>
      </c>
      <c r="BA47" s="31">
        <v>100.0</v>
      </c>
      <c r="BB47" s="33">
        <f>'Old Balance Sheet'!J47 + 'ACPL Calculations - 1.0'!J47 + 'ACPL Calculations - 2.0'!J47</f>
        <v>61</v>
      </c>
      <c r="BC47" s="30" t="s">
        <v>3820</v>
      </c>
      <c r="BD47" s="31">
        <v>205.0</v>
      </c>
      <c r="BE47" s="32" t="s">
        <v>3818</v>
      </c>
      <c r="BF47" s="31">
        <v>100.0</v>
      </c>
      <c r="BG47" s="33">
        <f>'Old Balance Sheet'!K47 + 'ACPL Calculations - 1.0'!K47 + 'ACPL Calculations - 2.0'!K47</f>
        <v>0</v>
      </c>
      <c r="BH47" s="30" t="s">
        <v>3820</v>
      </c>
      <c r="BI47" s="31">
        <v>205.0</v>
      </c>
      <c r="BJ47" s="32" t="s">
        <v>3818</v>
      </c>
      <c r="BK47" s="31">
        <v>100.0</v>
      </c>
      <c r="BL47" s="33">
        <f>'Old Balance Sheet'!L47 + 'ACPL Calculations - 1.0'!L47 + 'ACPL Calculations - 2.0'!L47</f>
        <v>0</v>
      </c>
      <c r="BM47" s="33"/>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f t="shared" si="1"/>
        <v>738</v>
      </c>
      <c r="CM47" s="33">
        <f>'Old Balance Sheet'!R47 + 'ACPL Calculations - 1.0'!S47 + 'ACPL Calculations - 2.0'!S47</f>
        <v>882430</v>
      </c>
      <c r="CN47" s="33">
        <f>'Old Balance Sheet'!S47 + 'ACPL Calculations - 1.0'!T47 + 'ACPL Calculations - 2.0'!T47</f>
        <v>284230</v>
      </c>
      <c r="CO47" s="33">
        <f t="shared" si="2"/>
        <v>418838.85</v>
      </c>
      <c r="CP47" s="33">
        <f>'Old Balance Sheet'!T47 + 'ACPL Calculations - 1.0'!V47 + 'ACPL Calculations - 2.0'!V47</f>
        <v>0</v>
      </c>
      <c r="CQ47" s="33">
        <f>'Old Balance Sheet'!U47 + 'ACPL Calculations - 1.0'!W47 + 'ACPL Calculations - 2.0'!W47</f>
        <v>0</v>
      </c>
      <c r="CR47" s="33">
        <f>'Old Balance Sheet'!V47 + 'ACPL Calculations - 1.0'!X47 + 'ACPL Calculations - 2.0'!X47</f>
        <v>134608.85</v>
      </c>
      <c r="CS47" s="33">
        <f t="shared" si="3"/>
        <v>134608.85</v>
      </c>
      <c r="CT47" s="35"/>
      <c r="CU47" s="35"/>
      <c r="CV47" s="35"/>
      <c r="CW47" s="36">
        <f>'Old Balance Sheet'!W47 + 'ACPL Calculations - 1.0'!Z47 + 'ACPL Calculations - 2.0'!Z47</f>
        <v>900370</v>
      </c>
      <c r="CX47" s="36">
        <f>'Old Balance Sheet'!X47 + 'ACPL Calculations - 1.0'!AA47 + 'ACPL Calculations - 2.0'!AA47</f>
        <v>443158.37</v>
      </c>
      <c r="CY47" s="37">
        <v>0.0</v>
      </c>
      <c r="CZ47" s="38">
        <f>'Old Balance Sheet'!Y47 + 'ACPL Calculations - 1.0'!AB47 + 'ACPL Calculations - 2.0'!AB47</f>
        <v>461823.92</v>
      </c>
      <c r="DA47" s="38">
        <f>'Old Balance Sheet'!Z47 + 'ACPL Calculations - 1.0'!AC47 + 'ACPL Calculations - 2.0'!AC47</f>
        <v>0</v>
      </c>
      <c r="DB47" s="38">
        <f>'Old Balance Sheet'!AA47 + 'ACPL Calculations - 1.0'!AD47 + 'ACPL Calculations - 2.0'!AD47</f>
        <v>12153</v>
      </c>
      <c r="DC47" s="38">
        <f>'Old Balance Sheet'!AB47 + 'ACPL Calculations - 1.0'!AE47 + 'ACPL Calculations - 2.0'!AE47</f>
        <v>457211.63</v>
      </c>
      <c r="DD47" s="38">
        <f t="shared" si="4"/>
        <v>457211.63</v>
      </c>
      <c r="DE47" s="33">
        <f t="shared" si="5"/>
        <v>457211.63</v>
      </c>
      <c r="DF47" s="35">
        <v>0.0</v>
      </c>
      <c r="DG47" s="35">
        <v>0.0</v>
      </c>
      <c r="DH47" s="35">
        <v>0.0</v>
      </c>
      <c r="DI47" s="35">
        <v>0.0</v>
      </c>
      <c r="DJ47" s="35">
        <v>0.0</v>
      </c>
      <c r="DK47" s="35">
        <v>0.0</v>
      </c>
      <c r="DL47" s="35">
        <v>0.0</v>
      </c>
      <c r="DM47" s="35">
        <v>0.0</v>
      </c>
      <c r="DN47" s="31">
        <v>0.0</v>
      </c>
      <c r="DO47" s="31">
        <v>0.0</v>
      </c>
      <c r="DP47" s="31">
        <v>0.0</v>
      </c>
      <c r="DQ47" s="31">
        <v>0.0</v>
      </c>
      <c r="DR47" s="31">
        <v>0.0</v>
      </c>
      <c r="DS47" s="31">
        <v>0.0</v>
      </c>
      <c r="DT47" s="31">
        <f>'Old Balance Sheet'!AC47</f>
        <v>-43990</v>
      </c>
      <c r="DU47" s="31">
        <f>DT47 + SUMIFS('Payments Log'!D:D, 'Payments Log'!B:B, A47, 'Payments Log'!L:L, "Approved", 'Payments Log'!M:M, "Credit") + 'Old Balance Sheet'!AD47 - 'Old Balance Sheet'!AC47</f>
        <v>956010</v>
      </c>
      <c r="DV47" s="31">
        <f>SUMIFS('Payments Log'!D:D, 'Payments Log'!B:B, A47, 'Payments Log'!L:L, "Approved", 'Payments Log'!M:M, "Adjustment Credit") - SUMIFS('Payments Log'!D:D, 'Payments Log'!B:B, A47, 'Payments Log'!L:L, "Approved", 'Payments Log'!M:M, "Adjustment Debit") + 'Old Balance Sheet'!AE47</f>
        <v>11922</v>
      </c>
      <c r="DW47" s="31">
        <f>IF(MAXIFS('Payments Log'!N:N, 'Payments Log'!L:L, "Approved", 'Payments Log'!M:M, "Credit", 'Payments Log'!B:B, A47) &gt; MAXIFS('Payments Log'!N:N, 'Payments Log'!L:L, "Approved", 'Payments Log'!M:M, "Virtual Credit", 'Payments Log'!B:B, A47), 0, SUMIFS('Payments Log'!D:D, 'Payments Log'!N:N, MAXIFS('Payments Log'!N:N, 'Payments Log'!L:L, "Approved", 'Payments Log'!M:M, "Virtual Credit", 'Payments Log'!B:B, A47)))</f>
        <v>0</v>
      </c>
      <c r="DX47" s="33">
        <f t="shared" si="6"/>
        <v>67562</v>
      </c>
      <c r="DY47" s="33">
        <f t="shared" si="7"/>
        <v>524773.63</v>
      </c>
      <c r="DZ47" s="33">
        <f t="shared" si="8"/>
        <v>524773.63</v>
      </c>
      <c r="EA47" s="25" t="str">
        <f>(Sheet1!N47)</f>
        <v>Kavita Motors - Bijnor</v>
      </c>
      <c r="EB47" s="25" t="str">
        <f>(Sheet1!O47)</f>
        <v>1p3Bu4mvhlVeVMP3Ogpf0F-2KWPlAp07JNr-X652uW0U</v>
      </c>
      <c r="EC47" s="26" t="str">
        <f>(Sheet1!P47)</f>
        <v>Dealer</v>
      </c>
      <c r="ED47" s="34" t="s">
        <v>13</v>
      </c>
    </row>
    <row r="48">
      <c r="A48" s="25" t="str">
        <f>(Sheet1!A48)</f>
        <v>14s_HeeebHqLRTUCX5FSlJ3K7aiTvnkajbPMefm6jg1M</v>
      </c>
      <c r="B48" s="25" t="str">
        <f>(Sheet1!B48)</f>
        <v>Bharat Auto - Kasganj</v>
      </c>
      <c r="C48" s="30" t="s">
        <v>13</v>
      </c>
      <c r="D48" s="30" t="s">
        <v>72</v>
      </c>
      <c r="E48" s="30" t="s">
        <v>3820</v>
      </c>
      <c r="F48" s="31">
        <v>160.0</v>
      </c>
      <c r="G48" s="32" t="s">
        <v>3818</v>
      </c>
      <c r="H48" s="31">
        <v>100.0</v>
      </c>
      <c r="I48" s="33">
        <f>'Old Balance Sheet'!A48 + 'ACPL Calculations - 1.0'!A48 + 'ACPL Calculations - 2.0'!A48</f>
        <v>82</v>
      </c>
      <c r="J48" s="30" t="s">
        <v>3820</v>
      </c>
      <c r="K48" s="31">
        <v>205.0</v>
      </c>
      <c r="L48" s="32" t="s">
        <v>3818</v>
      </c>
      <c r="M48" s="31">
        <v>100.0</v>
      </c>
      <c r="N48" s="33">
        <f>'Old Balance Sheet'!B48 + 'ACPL Calculations - 1.0'!B48 + 'ACPL Calculations - 2.0'!B48</f>
        <v>3</v>
      </c>
      <c r="O48" s="30" t="s">
        <v>3820</v>
      </c>
      <c r="P48" s="31">
        <v>290.0</v>
      </c>
      <c r="Q48" s="32" t="s">
        <v>3818</v>
      </c>
      <c r="R48" s="31">
        <v>100.0</v>
      </c>
      <c r="S48" s="33">
        <f>'Old Balance Sheet'!C48 + 'ACPL Calculations - 1.0'!C48 + 'ACPL Calculations - 2.0'!C48</f>
        <v>5</v>
      </c>
      <c r="T48" s="30" t="s">
        <v>3820</v>
      </c>
      <c r="U48" s="31">
        <v>375.0</v>
      </c>
      <c r="V48" s="32" t="s">
        <v>3818</v>
      </c>
      <c r="W48" s="31">
        <v>100.0</v>
      </c>
      <c r="X48" s="33">
        <f>'Old Balance Sheet'!D48 + 'ACPL Calculations - 1.0'!D48 + 'ACPL Calculations - 2.0'!D48</f>
        <v>0</v>
      </c>
      <c r="Y48" s="30" t="s">
        <v>3820</v>
      </c>
      <c r="Z48" s="31">
        <v>250.0</v>
      </c>
      <c r="AA48" s="32" t="s">
        <v>3818</v>
      </c>
      <c r="AB48" s="31">
        <v>100.0</v>
      </c>
      <c r="AC48" s="33">
        <f>'Old Balance Sheet'!E48 + 'ACPL Calculations - 1.0'!E48 + 'ACPL Calculations - 2.0'!E48</f>
        <v>2437</v>
      </c>
      <c r="AD48" s="30" t="s">
        <v>3820</v>
      </c>
      <c r="AE48" s="34">
        <v>838.99</v>
      </c>
      <c r="AF48" s="32" t="s">
        <v>3818</v>
      </c>
      <c r="AG48" s="31">
        <v>100.0</v>
      </c>
      <c r="AH48" s="33">
        <f>'Old Balance Sheet'!F48 + 'ACPL Calculations - 1.0'!F48 + 'ACPL Calculations - 2.0'!F48</f>
        <v>0</v>
      </c>
      <c r="AI48" s="30" t="s">
        <v>3820</v>
      </c>
      <c r="AJ48" s="31">
        <v>375.0</v>
      </c>
      <c r="AK48" s="32" t="s">
        <v>3818</v>
      </c>
      <c r="AL48" s="31">
        <v>100.0</v>
      </c>
      <c r="AM48" s="33">
        <f>'Old Balance Sheet'!G48 + 'ACPL Calculations - 1.0'!G48 + 'ACPL Calculations - 2.0'!G48</f>
        <v>0</v>
      </c>
      <c r="AN48" s="30" t="s">
        <v>3820</v>
      </c>
      <c r="AO48" s="31">
        <v>290.0</v>
      </c>
      <c r="AP48" s="32" t="s">
        <v>3818</v>
      </c>
      <c r="AQ48" s="31">
        <v>100.0</v>
      </c>
      <c r="AR48" s="33">
        <f>'Old Balance Sheet'!H48 + 'ACPL Calculations - 1.0'!H48 + 'ACPL Calculations - 2.0'!H48</f>
        <v>0</v>
      </c>
      <c r="AS48" s="30" t="s">
        <v>3819</v>
      </c>
      <c r="AT48" s="31">
        <v>838.99</v>
      </c>
      <c r="AU48" s="32" t="s">
        <v>3818</v>
      </c>
      <c r="AV48" s="31">
        <v>100.0</v>
      </c>
      <c r="AW48" s="33">
        <f>'Old Balance Sheet'!I48 + 'ACPL Calculations - 1.0'!I48 + 'ACPL Calculations - 2.0'!I48</f>
        <v>0</v>
      </c>
      <c r="AX48" s="30" t="s">
        <v>3820</v>
      </c>
      <c r="AY48" s="31">
        <v>290.0</v>
      </c>
      <c r="AZ48" s="32" t="s">
        <v>3818</v>
      </c>
      <c r="BA48" s="31">
        <v>100.0</v>
      </c>
      <c r="BB48" s="33">
        <f>'Old Balance Sheet'!J48 + 'ACPL Calculations - 1.0'!J48 + 'ACPL Calculations - 2.0'!J48</f>
        <v>0</v>
      </c>
      <c r="BC48" s="30" t="s">
        <v>3820</v>
      </c>
      <c r="BD48" s="31">
        <v>205.0</v>
      </c>
      <c r="BE48" s="32" t="s">
        <v>3818</v>
      </c>
      <c r="BF48" s="31">
        <v>100.0</v>
      </c>
      <c r="BG48" s="33">
        <f>'Old Balance Sheet'!K48 + 'ACPL Calculations - 1.0'!K48 + 'ACPL Calculations - 2.0'!K48</f>
        <v>0</v>
      </c>
      <c r="BH48" s="30" t="s">
        <v>3820</v>
      </c>
      <c r="BI48" s="31">
        <v>205.0</v>
      </c>
      <c r="BJ48" s="32" t="s">
        <v>3818</v>
      </c>
      <c r="BK48" s="31">
        <v>100.0</v>
      </c>
      <c r="BL48" s="33">
        <f>'Old Balance Sheet'!L48 + 'ACPL Calculations - 1.0'!L48 + 'ACPL Calculations - 2.0'!L48</f>
        <v>0</v>
      </c>
      <c r="BM48" s="33"/>
      <c r="BN48" s="33"/>
      <c r="BO48" s="33"/>
      <c r="BP48" s="33"/>
      <c r="BQ48" s="33"/>
      <c r="BR48" s="33"/>
      <c r="BS48" s="33"/>
      <c r="BT48" s="33"/>
      <c r="BU48" s="33"/>
      <c r="BV48" s="33"/>
      <c r="BW48" s="33"/>
      <c r="BX48" s="33"/>
      <c r="BY48" s="33"/>
      <c r="BZ48" s="33"/>
      <c r="CA48" s="33"/>
      <c r="CB48" s="33"/>
      <c r="CC48" s="33"/>
      <c r="CD48" s="33"/>
      <c r="CE48" s="33"/>
      <c r="CF48" s="33"/>
      <c r="CG48" s="33"/>
      <c r="CH48" s="33"/>
      <c r="CI48" s="33"/>
      <c r="CJ48" s="33"/>
      <c r="CK48" s="33"/>
      <c r="CL48" s="33">
        <f t="shared" si="1"/>
        <v>2527</v>
      </c>
      <c r="CM48" s="33">
        <f>'Old Balance Sheet'!R48 + 'ACPL Calculations - 1.0'!S48 + 'ACPL Calculations - 2.0'!S48</f>
        <v>3828946.3</v>
      </c>
      <c r="CN48" s="33">
        <f>'Old Balance Sheet'!S48 + 'ACPL Calculations - 1.0'!T48 + 'ACPL Calculations - 2.0'!T48</f>
        <v>1098560</v>
      </c>
      <c r="CO48" s="33">
        <f t="shared" si="2"/>
        <v>1682632.95</v>
      </c>
      <c r="CP48" s="33">
        <f>'Old Balance Sheet'!T48 + 'ACPL Calculations - 1.0'!V48 + 'ACPL Calculations - 2.0'!V48</f>
        <v>0</v>
      </c>
      <c r="CQ48" s="33">
        <f>'Old Balance Sheet'!U48 + 'ACPL Calculations - 1.0'!W48 + 'ACPL Calculations - 2.0'!W48</f>
        <v>0</v>
      </c>
      <c r="CR48" s="33">
        <f>'Old Balance Sheet'!V48 + 'ACPL Calculations - 1.0'!X48 + 'ACPL Calculations - 2.0'!X48</f>
        <v>584072.95</v>
      </c>
      <c r="CS48" s="33">
        <f t="shared" si="3"/>
        <v>584072.95</v>
      </c>
      <c r="CT48" s="35"/>
      <c r="CU48" s="35"/>
      <c r="CV48" s="35"/>
      <c r="CW48" s="36">
        <f>'Old Balance Sheet'!W48 + 'ACPL Calculations - 1.0'!Z48 + 'ACPL Calculations - 2.0'!Z48</f>
        <v>3803695.42</v>
      </c>
      <c r="CX48" s="36">
        <f>'Old Balance Sheet'!X48 + 'ACPL Calculations - 1.0'!AA48 + 'ACPL Calculations - 2.0'!AA48</f>
        <v>1768990.84</v>
      </c>
      <c r="CY48" s="37">
        <v>0.0</v>
      </c>
      <c r="CZ48" s="38">
        <f>'Old Balance Sheet'!Y48 + 'ACPL Calculations - 1.0'!AB48 + 'ACPL Calculations - 2.0'!AB48</f>
        <v>2132342.29</v>
      </c>
      <c r="DA48" s="38">
        <f>'Old Balance Sheet'!Z48 + 'ACPL Calculations - 1.0'!AC48 + 'ACPL Calculations - 2.0'!AC48</f>
        <v>25250.88</v>
      </c>
      <c r="DB48" s="38">
        <f>'Old Balance Sheet'!AA48 + 'ACPL Calculations - 1.0'!AD48 + 'ACPL Calculations - 2.0'!AD48</f>
        <v>86357.9</v>
      </c>
      <c r="DC48" s="38">
        <f>'Old Balance Sheet'!AB48 + 'ACPL Calculations - 1.0'!AE48 + 'ACPL Calculations - 2.0'!AE48</f>
        <v>2034704.58</v>
      </c>
      <c r="DD48" s="38">
        <f t="shared" si="4"/>
        <v>2034704.58</v>
      </c>
      <c r="DE48" s="33">
        <f t="shared" si="5"/>
        <v>2034262.16</v>
      </c>
      <c r="DF48" s="35">
        <v>0.0</v>
      </c>
      <c r="DG48" s="35">
        <v>0.0</v>
      </c>
      <c r="DH48" s="35">
        <v>0.0</v>
      </c>
      <c r="DI48" s="35">
        <v>0.0</v>
      </c>
      <c r="DJ48" s="35">
        <v>0.0</v>
      </c>
      <c r="DK48" s="35">
        <v>0.0</v>
      </c>
      <c r="DL48" s="35">
        <v>0.0</v>
      </c>
      <c r="DM48" s="35">
        <v>0.0</v>
      </c>
      <c r="DN48" s="31">
        <v>0.0</v>
      </c>
      <c r="DO48" s="31">
        <v>0.0</v>
      </c>
      <c r="DP48" s="31">
        <v>0.0</v>
      </c>
      <c r="DQ48" s="31">
        <v>0.0</v>
      </c>
      <c r="DR48" s="31">
        <v>0.0</v>
      </c>
      <c r="DS48" s="31">
        <v>0.0</v>
      </c>
      <c r="DT48" s="31">
        <f>'Old Balance Sheet'!AC48</f>
        <v>-192654</v>
      </c>
      <c r="DU48" s="31">
        <f>DT48 + SUMIFS('Payments Log'!D:D, 'Payments Log'!B:B, A48, 'Payments Log'!L:L, "Approved", 'Payments Log'!M:M, "Credit") + 'Old Balance Sheet'!AD48 - 'Old Balance Sheet'!AC48</f>
        <v>3953253</v>
      </c>
      <c r="DV48" s="31">
        <f>SUMIFS('Payments Log'!D:D, 'Payments Log'!B:B, A48, 'Payments Log'!L:L, "Approved", 'Payments Log'!M:M, "Adjustment Credit") - SUMIFS('Payments Log'!D:D, 'Payments Log'!B:B, A48, 'Payments Log'!L:L, "Approved", 'Payments Log'!M:M, "Adjustment Debit") + 'Old Balance Sheet'!AE48</f>
        <v>-150000</v>
      </c>
      <c r="DW48" s="31">
        <f>IF(MAXIFS('Payments Log'!N:N, 'Payments Log'!L:L, "Approved", 'Payments Log'!M:M, "Credit", 'Payments Log'!B:B, A48) &gt; MAXIFS('Payments Log'!N:N, 'Payments Log'!L:L, "Approved", 'Payments Log'!M:M, "Virtual Credit", 'Payments Log'!B:B, A48), 0, SUMIFS('Payments Log'!D:D, 'Payments Log'!N:N, MAXIFS('Payments Log'!N:N, 'Payments Log'!L:L, "Approved", 'Payments Log'!M:M, "Virtual Credit", 'Payments Log'!B:B, A48)))</f>
        <v>0</v>
      </c>
      <c r="DX48" s="33">
        <f t="shared" si="6"/>
        <v>-442.42</v>
      </c>
      <c r="DY48" s="33">
        <f t="shared" si="7"/>
        <v>2034262.16</v>
      </c>
      <c r="DZ48" s="33">
        <f t="shared" si="8"/>
        <v>2034262.16</v>
      </c>
      <c r="EA48" s="25" t="str">
        <f>(Sheet1!N48)</f>
        <v>Bharat Auto - Kasganj</v>
      </c>
      <c r="EB48" s="25" t="str">
        <f>(Sheet1!O48)</f>
        <v>14s_HeeebHqLRTUCX5FSlJ3K7aiTvnkajbPMefm6jg1M</v>
      </c>
      <c r="EC48" s="26" t="str">
        <f>(Sheet1!P48)</f>
        <v>Dealer</v>
      </c>
      <c r="ED48" s="34" t="s">
        <v>13</v>
      </c>
    </row>
    <row r="49">
      <c r="A49" s="25" t="str">
        <f>(Sheet1!A49)</f>
        <v>1IGdLk1wrvnQTH7dsivMQu4VKWg4A7FvDBYsKsxwLpsE</v>
      </c>
      <c r="B49" s="25" t="str">
        <f>(Sheet1!B49)</f>
        <v>Gupta HERO</v>
      </c>
      <c r="C49" s="30" t="s">
        <v>13</v>
      </c>
      <c r="D49" s="30" t="s">
        <v>72</v>
      </c>
      <c r="E49" s="30" t="s">
        <v>3820</v>
      </c>
      <c r="F49" s="31">
        <v>205.0</v>
      </c>
      <c r="G49" s="32" t="s">
        <v>3818</v>
      </c>
      <c r="H49" s="31">
        <v>100.0</v>
      </c>
      <c r="I49" s="33">
        <f>'Old Balance Sheet'!A49 + 'ACPL Calculations - 1.0'!A49 + 'ACPL Calculations - 2.0'!A49</f>
        <v>2</v>
      </c>
      <c r="J49" s="30" t="s">
        <v>3820</v>
      </c>
      <c r="K49" s="31">
        <v>205.0</v>
      </c>
      <c r="L49" s="32" t="s">
        <v>3818</v>
      </c>
      <c r="M49" s="31">
        <v>100.0</v>
      </c>
      <c r="N49" s="33">
        <f>'Old Balance Sheet'!B49 + 'ACPL Calculations - 1.0'!B49 + 'ACPL Calculations - 2.0'!B49</f>
        <v>0</v>
      </c>
      <c r="O49" s="30" t="s">
        <v>3820</v>
      </c>
      <c r="P49" s="31">
        <v>290.0</v>
      </c>
      <c r="Q49" s="32" t="s">
        <v>3818</v>
      </c>
      <c r="R49" s="31">
        <v>100.0</v>
      </c>
      <c r="S49" s="33">
        <f>'Old Balance Sheet'!C49 + 'ACPL Calculations - 1.0'!C49 + 'ACPL Calculations - 2.0'!C49</f>
        <v>1</v>
      </c>
      <c r="T49" s="30" t="s">
        <v>3820</v>
      </c>
      <c r="U49" s="31">
        <v>375.0</v>
      </c>
      <c r="V49" s="32" t="s">
        <v>3818</v>
      </c>
      <c r="W49" s="31">
        <v>100.0</v>
      </c>
      <c r="X49" s="33">
        <f>'Old Balance Sheet'!D49 + 'ACPL Calculations - 1.0'!D49 + 'ACPL Calculations - 2.0'!D49</f>
        <v>0</v>
      </c>
      <c r="Y49" s="30" t="s">
        <v>3820</v>
      </c>
      <c r="Z49" s="31">
        <v>360.0</v>
      </c>
      <c r="AA49" s="32" t="s">
        <v>3818</v>
      </c>
      <c r="AB49" s="31">
        <v>100.0</v>
      </c>
      <c r="AC49" s="33">
        <f>'Old Balance Sheet'!E49 + 'ACPL Calculations - 1.0'!E49 + 'ACPL Calculations - 2.0'!E49</f>
        <v>1517</v>
      </c>
      <c r="AD49" s="30" t="s">
        <v>3820</v>
      </c>
      <c r="AE49" s="34">
        <v>838.99</v>
      </c>
      <c r="AF49" s="32" t="s">
        <v>3818</v>
      </c>
      <c r="AG49" s="31">
        <v>100.0</v>
      </c>
      <c r="AH49" s="33">
        <f>'Old Balance Sheet'!F49 + 'ACPL Calculations - 1.0'!F49 + 'ACPL Calculations - 2.0'!F49</f>
        <v>0</v>
      </c>
      <c r="AI49" s="30" t="s">
        <v>3820</v>
      </c>
      <c r="AJ49" s="31">
        <v>375.0</v>
      </c>
      <c r="AK49" s="32" t="s">
        <v>3818</v>
      </c>
      <c r="AL49" s="31">
        <v>100.0</v>
      </c>
      <c r="AM49" s="33">
        <f>'Old Balance Sheet'!G49 + 'ACPL Calculations - 1.0'!G49 + 'ACPL Calculations - 2.0'!G49</f>
        <v>0</v>
      </c>
      <c r="AN49" s="30" t="s">
        <v>3820</v>
      </c>
      <c r="AO49" s="31">
        <v>290.0</v>
      </c>
      <c r="AP49" s="32" t="s">
        <v>3818</v>
      </c>
      <c r="AQ49" s="31">
        <v>100.0</v>
      </c>
      <c r="AR49" s="33">
        <f>'Old Balance Sheet'!H49 + 'ACPL Calculations - 1.0'!H49 + 'ACPL Calculations - 2.0'!H49</f>
        <v>0</v>
      </c>
      <c r="AS49" s="30" t="s">
        <v>3819</v>
      </c>
      <c r="AT49" s="31">
        <v>838.99</v>
      </c>
      <c r="AU49" s="32" t="s">
        <v>3818</v>
      </c>
      <c r="AV49" s="31">
        <v>100.0</v>
      </c>
      <c r="AW49" s="33">
        <f>'Old Balance Sheet'!I49 + 'ACPL Calculations - 1.0'!I49 + 'ACPL Calculations - 2.0'!I49</f>
        <v>0</v>
      </c>
      <c r="AX49" s="30" t="s">
        <v>3820</v>
      </c>
      <c r="AY49" s="31">
        <v>290.0</v>
      </c>
      <c r="AZ49" s="32" t="s">
        <v>3818</v>
      </c>
      <c r="BA49" s="31">
        <v>100.0</v>
      </c>
      <c r="BB49" s="33">
        <f>'Old Balance Sheet'!J49 + 'ACPL Calculations - 1.0'!J49 + 'ACPL Calculations - 2.0'!J49</f>
        <v>0</v>
      </c>
      <c r="BC49" s="30" t="s">
        <v>3820</v>
      </c>
      <c r="BD49" s="31">
        <v>205.0</v>
      </c>
      <c r="BE49" s="32" t="s">
        <v>3818</v>
      </c>
      <c r="BF49" s="31">
        <v>100.0</v>
      </c>
      <c r="BG49" s="33">
        <f>'Old Balance Sheet'!K49 + 'ACPL Calculations - 1.0'!K49 + 'ACPL Calculations - 2.0'!K49</f>
        <v>0</v>
      </c>
      <c r="BH49" s="30" t="s">
        <v>3820</v>
      </c>
      <c r="BI49" s="31">
        <v>205.0</v>
      </c>
      <c r="BJ49" s="32" t="s">
        <v>3818</v>
      </c>
      <c r="BK49" s="31">
        <v>100.0</v>
      </c>
      <c r="BL49" s="33">
        <f>'Old Balance Sheet'!L49 + 'ACPL Calculations - 1.0'!L49 + 'ACPL Calculations - 2.0'!L49</f>
        <v>0</v>
      </c>
      <c r="BM49" s="33"/>
      <c r="BN49" s="33"/>
      <c r="BO49" s="33"/>
      <c r="BP49" s="33"/>
      <c r="BQ49" s="33"/>
      <c r="BR49" s="33"/>
      <c r="BS49" s="33"/>
      <c r="BT49" s="33"/>
      <c r="BU49" s="33"/>
      <c r="BV49" s="33"/>
      <c r="BW49" s="33"/>
      <c r="BX49" s="33"/>
      <c r="BY49" s="33"/>
      <c r="BZ49" s="33"/>
      <c r="CA49" s="33"/>
      <c r="CB49" s="33"/>
      <c r="CC49" s="33"/>
      <c r="CD49" s="33"/>
      <c r="CE49" s="33"/>
      <c r="CF49" s="33"/>
      <c r="CG49" s="33"/>
      <c r="CH49" s="33"/>
      <c r="CI49" s="33"/>
      <c r="CJ49" s="33"/>
      <c r="CK49" s="33"/>
      <c r="CL49" s="33">
        <f t="shared" si="1"/>
        <v>1520</v>
      </c>
      <c r="CM49" s="33">
        <f>'Old Balance Sheet'!R49 + 'ACPL Calculations - 1.0'!S49 + 'ACPL Calculations - 2.0'!S49</f>
        <v>2214872</v>
      </c>
      <c r="CN49" s="33">
        <f>'Old Balance Sheet'!S49 + 'ACPL Calculations - 1.0'!T49 + 'ACPL Calculations - 2.0'!T49</f>
        <v>614920</v>
      </c>
      <c r="CO49" s="33">
        <f t="shared" si="2"/>
        <v>952784.21</v>
      </c>
      <c r="CP49" s="33">
        <f>'Old Balance Sheet'!T49 + 'ACPL Calculations - 1.0'!V49 + 'ACPL Calculations - 2.0'!V49</f>
        <v>0</v>
      </c>
      <c r="CQ49" s="33">
        <f>'Old Balance Sheet'!U49 + 'ACPL Calculations - 1.0'!W49 + 'ACPL Calculations - 2.0'!W49</f>
        <v>0</v>
      </c>
      <c r="CR49" s="33">
        <f>'Old Balance Sheet'!V49 + 'ACPL Calculations - 1.0'!X49 + 'ACPL Calculations - 2.0'!X49</f>
        <v>337864.21</v>
      </c>
      <c r="CS49" s="33">
        <f t="shared" si="3"/>
        <v>337864.21</v>
      </c>
      <c r="CT49" s="35"/>
      <c r="CU49" s="35"/>
      <c r="CV49" s="35"/>
      <c r="CW49" s="36">
        <f>'Old Balance Sheet'!W49 + 'ACPL Calculations - 1.0'!Z49 + 'ACPL Calculations - 2.0'!Z49</f>
        <v>2214872</v>
      </c>
      <c r="CX49" s="36">
        <f>'Old Balance Sheet'!X49 + 'ACPL Calculations - 1.0'!AA49 + 'ACPL Calculations - 2.0'!AA49</f>
        <v>1007960.56</v>
      </c>
      <c r="CY49" s="37">
        <v>0.0</v>
      </c>
      <c r="CZ49" s="38">
        <f>'Old Balance Sheet'!Y49 + 'ACPL Calculations - 1.0'!AB49 + 'ACPL Calculations - 2.0'!AB49</f>
        <v>1256800.26</v>
      </c>
      <c r="DA49" s="38">
        <f>'Old Balance Sheet'!Z49 + 'ACPL Calculations - 1.0'!AC49 + 'ACPL Calculations - 2.0'!AC49</f>
        <v>0</v>
      </c>
      <c r="DB49" s="38">
        <f>'Old Balance Sheet'!AA49 + 'ACPL Calculations - 1.0'!AD49 + 'ACPL Calculations - 2.0'!AD49</f>
        <v>55176.35</v>
      </c>
      <c r="DC49" s="38">
        <f>'Old Balance Sheet'!AB49 + 'ACPL Calculations - 1.0'!AE49 + 'ACPL Calculations - 2.0'!AE49</f>
        <v>1206911.44</v>
      </c>
      <c r="DD49" s="38">
        <f t="shared" si="4"/>
        <v>1206911.44</v>
      </c>
      <c r="DE49" s="33">
        <f t="shared" si="5"/>
        <v>1091707.94</v>
      </c>
      <c r="DF49" s="35">
        <v>0.0</v>
      </c>
      <c r="DG49" s="35">
        <v>0.0</v>
      </c>
      <c r="DH49" s="35">
        <v>0.0</v>
      </c>
      <c r="DI49" s="35">
        <v>0.0</v>
      </c>
      <c r="DJ49" s="35">
        <v>0.0</v>
      </c>
      <c r="DK49" s="35">
        <v>0.0</v>
      </c>
      <c r="DL49" s="35">
        <v>0.0</v>
      </c>
      <c r="DM49" s="35">
        <v>0.0</v>
      </c>
      <c r="DN49" s="31">
        <v>0.0</v>
      </c>
      <c r="DO49" s="31">
        <v>0.0</v>
      </c>
      <c r="DP49" s="31">
        <v>0.0</v>
      </c>
      <c r="DQ49" s="31">
        <v>0.0</v>
      </c>
      <c r="DR49" s="31">
        <v>0.0</v>
      </c>
      <c r="DS49" s="31">
        <v>0.0</v>
      </c>
      <c r="DT49" s="31">
        <f>'Old Balance Sheet'!AC49</f>
        <v>0</v>
      </c>
      <c r="DU49" s="31">
        <f>DT49 + SUMIFS('Payments Log'!D:D, 'Payments Log'!B:B, A49, 'Payments Log'!L:L, "Approved", 'Payments Log'!M:M, "Credit") + 'Old Balance Sheet'!AD49 - 'Old Balance Sheet'!AC49</f>
        <v>2097162</v>
      </c>
      <c r="DV49" s="31">
        <f>SUMIFS('Payments Log'!D:D, 'Payments Log'!B:B, A49, 'Payments Log'!L:L, "Approved", 'Payments Log'!M:M, "Adjustment Credit") - SUMIFS('Payments Log'!D:D, 'Payments Log'!B:B, A49, 'Payments Log'!L:L, "Approved", 'Payments Log'!M:M, "Adjustment Debit") + 'Old Balance Sheet'!AE49</f>
        <v>2506.5</v>
      </c>
      <c r="DW49" s="31">
        <f>IF(MAXIFS('Payments Log'!N:N, 'Payments Log'!L:L, "Approved", 'Payments Log'!M:M, "Credit", 'Payments Log'!B:B, A49) &gt; MAXIFS('Payments Log'!N:N, 'Payments Log'!L:L, "Approved", 'Payments Log'!M:M, "Virtual Credit", 'Payments Log'!B:B, A49), 0, SUMIFS('Payments Log'!D:D, 'Payments Log'!N:N, MAXIFS('Payments Log'!N:N, 'Payments Log'!L:L, "Approved", 'Payments Log'!M:M, "Virtual Credit", 'Payments Log'!B:B, A49)))</f>
        <v>0</v>
      </c>
      <c r="DX49" s="33">
        <f t="shared" si="6"/>
        <v>-115203.5</v>
      </c>
      <c r="DY49" s="33">
        <f t="shared" si="7"/>
        <v>1091707.94</v>
      </c>
      <c r="DZ49" s="33">
        <f t="shared" si="8"/>
        <v>1091707.94</v>
      </c>
      <c r="EA49" s="25" t="str">
        <f>(Sheet1!N49)</f>
        <v>Gupta HERO</v>
      </c>
      <c r="EB49" s="25" t="str">
        <f>(Sheet1!O49)</f>
        <v>1IGdLk1wrvnQTH7dsivMQu4VKWg4A7FvDBYsKsxwLpsE</v>
      </c>
      <c r="EC49" s="26" t="str">
        <f>(Sheet1!P49)</f>
        <v>Dealer</v>
      </c>
      <c r="ED49" s="34" t="s">
        <v>13</v>
      </c>
    </row>
    <row r="50">
      <c r="A50" s="25" t="str">
        <f>(Sheet1!A50)</f>
        <v>1MBxpc-2szFmqG3B_-ha57uL3XLkYoaeI5koRIOiedfw</v>
      </c>
      <c r="B50" s="25" t="str">
        <f>(Sheet1!B50)</f>
        <v>OLE MATHURA (BBW)</v>
      </c>
      <c r="C50" s="30" t="s">
        <v>13</v>
      </c>
      <c r="D50" s="30" t="s">
        <v>72</v>
      </c>
      <c r="E50" s="30" t="s">
        <v>3820</v>
      </c>
      <c r="F50" s="31">
        <v>170.0</v>
      </c>
      <c r="G50" s="32" t="s">
        <v>3818</v>
      </c>
      <c r="H50" s="31">
        <v>100.0</v>
      </c>
      <c r="I50" s="33">
        <f>'Old Balance Sheet'!A50 + 'ACPL Calculations - 1.0'!A50 + 'ACPL Calculations - 2.0'!A50</f>
        <v>0</v>
      </c>
      <c r="J50" s="30" t="s">
        <v>3820</v>
      </c>
      <c r="K50" s="31">
        <v>170.0</v>
      </c>
      <c r="L50" s="32" t="s">
        <v>3818</v>
      </c>
      <c r="M50" s="31">
        <v>100.0</v>
      </c>
      <c r="N50" s="33">
        <f>'Old Balance Sheet'!B50 + 'ACPL Calculations - 1.0'!B50 + 'ACPL Calculations - 2.0'!B50</f>
        <v>0</v>
      </c>
      <c r="O50" s="30" t="s">
        <v>3820</v>
      </c>
      <c r="P50" s="31">
        <v>170.0</v>
      </c>
      <c r="Q50" s="32" t="s">
        <v>3818</v>
      </c>
      <c r="R50" s="31">
        <v>100.0</v>
      </c>
      <c r="S50" s="33">
        <f>'Old Balance Sheet'!C50 + 'ACPL Calculations - 1.0'!C50 + 'ACPL Calculations - 2.0'!C50</f>
        <v>0</v>
      </c>
      <c r="T50" s="30" t="s">
        <v>3820</v>
      </c>
      <c r="U50" s="31">
        <v>170.0</v>
      </c>
      <c r="V50" s="32" t="s">
        <v>3818</v>
      </c>
      <c r="W50" s="31">
        <v>100.0</v>
      </c>
      <c r="X50" s="33">
        <f>'Old Balance Sheet'!D50 + 'ACPL Calculations - 1.0'!D50 + 'ACPL Calculations - 2.0'!D50</f>
        <v>0</v>
      </c>
      <c r="Y50" s="30" t="s">
        <v>3820</v>
      </c>
      <c r="Z50" s="31">
        <v>170.0</v>
      </c>
      <c r="AA50" s="32" t="s">
        <v>3818</v>
      </c>
      <c r="AB50" s="31">
        <v>100.0</v>
      </c>
      <c r="AC50" s="33">
        <f>'Old Balance Sheet'!E50 + 'ACPL Calculations - 1.0'!E50 + 'ACPL Calculations - 2.0'!E50</f>
        <v>0</v>
      </c>
      <c r="AD50" s="30" t="s">
        <v>3820</v>
      </c>
      <c r="AE50" s="34">
        <v>838.99</v>
      </c>
      <c r="AF50" s="32" t="s">
        <v>3818</v>
      </c>
      <c r="AG50" s="31">
        <v>100.0</v>
      </c>
      <c r="AH50" s="33">
        <f>'Old Balance Sheet'!F50 + 'ACPL Calculations - 1.0'!F50 + 'ACPL Calculations - 2.0'!F50</f>
        <v>0</v>
      </c>
      <c r="AI50" s="30" t="s">
        <v>3820</v>
      </c>
      <c r="AJ50" s="31">
        <v>375.0</v>
      </c>
      <c r="AK50" s="32" t="s">
        <v>3818</v>
      </c>
      <c r="AL50" s="31">
        <v>100.0</v>
      </c>
      <c r="AM50" s="33">
        <f>'Old Balance Sheet'!G50 + 'ACPL Calculations - 1.0'!G50 + 'ACPL Calculations - 2.0'!G50</f>
        <v>0</v>
      </c>
      <c r="AN50" s="30" t="s">
        <v>3820</v>
      </c>
      <c r="AO50" s="31">
        <v>170.0</v>
      </c>
      <c r="AP50" s="32" t="s">
        <v>3818</v>
      </c>
      <c r="AQ50" s="31">
        <v>100.0</v>
      </c>
      <c r="AR50" s="33">
        <f>'Old Balance Sheet'!H50 + 'ACPL Calculations - 1.0'!H50 + 'ACPL Calculations - 2.0'!H50</f>
        <v>0</v>
      </c>
      <c r="AS50" s="30" t="s">
        <v>3819</v>
      </c>
      <c r="AT50" s="31">
        <v>838.99</v>
      </c>
      <c r="AU50" s="32" t="s">
        <v>3818</v>
      </c>
      <c r="AV50" s="31">
        <v>100.0</v>
      </c>
      <c r="AW50" s="33">
        <f>'Old Balance Sheet'!I50 + 'ACPL Calculations - 1.0'!I50 + 'ACPL Calculations - 2.0'!I50</f>
        <v>0</v>
      </c>
      <c r="AX50" s="30" t="s">
        <v>3820</v>
      </c>
      <c r="AY50" s="31">
        <v>170.0</v>
      </c>
      <c r="AZ50" s="32" t="s">
        <v>3818</v>
      </c>
      <c r="BA50" s="31">
        <v>100.0</v>
      </c>
      <c r="BB50" s="33">
        <f>'Old Balance Sheet'!J50 + 'ACPL Calculations - 1.0'!J50 + 'ACPL Calculations - 2.0'!J50</f>
        <v>0</v>
      </c>
      <c r="BC50" s="30" t="s">
        <v>3820</v>
      </c>
      <c r="BD50" s="31">
        <v>170.0</v>
      </c>
      <c r="BE50" s="32" t="s">
        <v>3818</v>
      </c>
      <c r="BF50" s="31">
        <v>100.0</v>
      </c>
      <c r="BG50" s="33">
        <f>'Old Balance Sheet'!K50 + 'ACPL Calculations - 1.0'!K50 + 'ACPL Calculations - 2.0'!K50</f>
        <v>0</v>
      </c>
      <c r="BH50" s="30" t="s">
        <v>3820</v>
      </c>
      <c r="BI50" s="31">
        <v>205.0</v>
      </c>
      <c r="BJ50" s="32" t="s">
        <v>3818</v>
      </c>
      <c r="BK50" s="31">
        <v>100.0</v>
      </c>
      <c r="BL50" s="33">
        <f>'Old Balance Sheet'!L50 + 'ACPL Calculations - 1.0'!L50 + 'ACPL Calculations - 2.0'!L50</f>
        <v>0</v>
      </c>
      <c r="BM50" s="33"/>
      <c r="BN50" s="33"/>
      <c r="BO50" s="33"/>
      <c r="BP50" s="33"/>
      <c r="BQ50" s="33"/>
      <c r="BR50" s="33"/>
      <c r="BS50" s="33"/>
      <c r="BT50" s="33"/>
      <c r="BU50" s="33"/>
      <c r="BV50" s="33"/>
      <c r="BW50" s="33"/>
      <c r="BX50" s="33"/>
      <c r="BY50" s="33"/>
      <c r="BZ50" s="33"/>
      <c r="CA50" s="33"/>
      <c r="CB50" s="33"/>
      <c r="CC50" s="33"/>
      <c r="CD50" s="33"/>
      <c r="CE50" s="33"/>
      <c r="CF50" s="33"/>
      <c r="CG50" s="33"/>
      <c r="CH50" s="33"/>
      <c r="CI50" s="33"/>
      <c r="CJ50" s="33"/>
      <c r="CK50" s="33"/>
      <c r="CL50" s="33">
        <f t="shared" si="1"/>
        <v>0</v>
      </c>
      <c r="CM50" s="33">
        <f>'Old Balance Sheet'!R50 + 'ACPL Calculations - 1.0'!S50 + 'ACPL Calculations - 2.0'!S50</f>
        <v>0</v>
      </c>
      <c r="CN50" s="33">
        <f>'Old Balance Sheet'!S50 + 'ACPL Calculations - 1.0'!T50 + 'ACPL Calculations - 2.0'!T50</f>
        <v>0</v>
      </c>
      <c r="CO50" s="33">
        <f t="shared" si="2"/>
        <v>0</v>
      </c>
      <c r="CP50" s="33">
        <f>'Old Balance Sheet'!T50 + 'ACPL Calculations - 1.0'!V50 + 'ACPL Calculations - 2.0'!V50</f>
        <v>0</v>
      </c>
      <c r="CQ50" s="33">
        <f>'Old Balance Sheet'!U50 + 'ACPL Calculations - 1.0'!W50 + 'ACPL Calculations - 2.0'!W50</f>
        <v>0</v>
      </c>
      <c r="CR50" s="33">
        <f>'Old Balance Sheet'!V50 + 'ACPL Calculations - 1.0'!X50 + 'ACPL Calculations - 2.0'!X50</f>
        <v>0</v>
      </c>
      <c r="CS50" s="33">
        <f t="shared" si="3"/>
        <v>0</v>
      </c>
      <c r="CT50" s="35"/>
      <c r="CU50" s="35"/>
      <c r="CV50" s="35"/>
      <c r="CW50" s="36">
        <f>'Old Balance Sheet'!W50 + 'ACPL Calculations - 1.0'!Z50 + 'ACPL Calculations - 2.0'!Z50</f>
        <v>0</v>
      </c>
      <c r="CX50" s="36">
        <f>'Old Balance Sheet'!X50 + 'ACPL Calculations - 1.0'!AA50 + 'ACPL Calculations - 2.0'!AA50</f>
        <v>0</v>
      </c>
      <c r="CY50" s="37">
        <v>0.0</v>
      </c>
      <c r="CZ50" s="38">
        <f>'Old Balance Sheet'!Y50 + 'ACPL Calculations - 1.0'!AB50 + 'ACPL Calculations - 2.0'!AB50</f>
        <v>0</v>
      </c>
      <c r="DA50" s="38">
        <f>'Old Balance Sheet'!Z50 + 'ACPL Calculations - 1.0'!AC50 + 'ACPL Calculations - 2.0'!AC50</f>
        <v>0</v>
      </c>
      <c r="DB50" s="38">
        <f>'Old Balance Sheet'!AA50 + 'ACPL Calculations - 1.0'!AD50 + 'ACPL Calculations - 2.0'!AD50</f>
        <v>0</v>
      </c>
      <c r="DC50" s="38">
        <f>'Old Balance Sheet'!AB50 + 'ACPL Calculations - 1.0'!AE50 + 'ACPL Calculations - 2.0'!AE50</f>
        <v>0</v>
      </c>
      <c r="DD50" s="38">
        <f t="shared" si="4"/>
        <v>0</v>
      </c>
      <c r="DE50" s="33">
        <f t="shared" si="5"/>
        <v>0</v>
      </c>
      <c r="DF50" s="35">
        <v>0.0</v>
      </c>
      <c r="DG50" s="35">
        <v>0.0</v>
      </c>
      <c r="DH50" s="35">
        <v>0.0</v>
      </c>
      <c r="DI50" s="35">
        <v>0.0</v>
      </c>
      <c r="DJ50" s="35">
        <v>0.0</v>
      </c>
      <c r="DK50" s="35">
        <v>0.0</v>
      </c>
      <c r="DL50" s="35">
        <v>0.0</v>
      </c>
      <c r="DM50" s="35">
        <v>0.0</v>
      </c>
      <c r="DN50" s="31">
        <v>0.0</v>
      </c>
      <c r="DO50" s="31">
        <v>0.0</v>
      </c>
      <c r="DP50" s="31">
        <v>0.0</v>
      </c>
      <c r="DQ50" s="31">
        <v>0.0</v>
      </c>
      <c r="DR50" s="31">
        <v>0.0</v>
      </c>
      <c r="DS50" s="31">
        <v>0.0</v>
      </c>
      <c r="DT50" s="31">
        <f>'Old Balance Sheet'!AC50</f>
        <v>0</v>
      </c>
      <c r="DU50" s="31">
        <f>DT50 + SUMIFS('Payments Log'!D:D, 'Payments Log'!B:B, A50, 'Payments Log'!L:L, "Approved", 'Payments Log'!M:M, "Credit") + 'Old Balance Sheet'!AD50 - 'Old Balance Sheet'!AC50</f>
        <v>0</v>
      </c>
      <c r="DV50" s="31">
        <f>SUMIFS('Payments Log'!D:D, 'Payments Log'!B:B, A50, 'Payments Log'!L:L, "Approved", 'Payments Log'!M:M, "Adjustment Credit") - SUMIFS('Payments Log'!D:D, 'Payments Log'!B:B, A50, 'Payments Log'!L:L, "Approved", 'Payments Log'!M:M, "Adjustment Debit") + 'Old Balance Sheet'!AE50</f>
        <v>0</v>
      </c>
      <c r="DW50" s="31">
        <f>IF(MAXIFS('Payments Log'!N:N, 'Payments Log'!L:L, "Approved", 'Payments Log'!M:M, "Credit", 'Payments Log'!B:B, A50) &gt; MAXIFS('Payments Log'!N:N, 'Payments Log'!L:L, "Approved", 'Payments Log'!M:M, "Virtual Credit", 'Payments Log'!B:B, A50), 0, SUMIFS('Payments Log'!D:D, 'Payments Log'!N:N, MAXIFS('Payments Log'!N:N, 'Payments Log'!L:L, "Approved", 'Payments Log'!M:M, "Virtual Credit", 'Payments Log'!B:B, A50)))</f>
        <v>0</v>
      </c>
      <c r="DX50" s="33">
        <f t="shared" si="6"/>
        <v>0</v>
      </c>
      <c r="DY50" s="33">
        <f t="shared" si="7"/>
        <v>0</v>
      </c>
      <c r="DZ50" s="33">
        <f t="shared" si="8"/>
        <v>0</v>
      </c>
      <c r="EA50" s="25" t="str">
        <f>(Sheet1!N50)</f>
        <v>Brij Biwheelers</v>
      </c>
      <c r="EB50" s="25" t="str">
        <f>(Sheet1!O50)</f>
        <v>1ytBGcO8tIze81xKkAa9lWDcflthsPL6SuADAXbhmuwA</v>
      </c>
      <c r="EC50" s="26" t="str">
        <f>(Sheet1!P50)</f>
        <v>Sub Dealer</v>
      </c>
      <c r="ED50" s="34" t="s">
        <v>13</v>
      </c>
    </row>
    <row r="51">
      <c r="A51" s="25" t="str">
        <f>(Sheet1!A51)</f>
        <v>1QJxVLeWFwDHR5Ssq189MMPEhhDqC6Su0kxd8dVVMql0</v>
      </c>
      <c r="B51" s="25" t="str">
        <f>(Sheet1!B51)</f>
        <v>Sarman Lal Agrawal (JMC)</v>
      </c>
      <c r="C51" s="30" t="s">
        <v>13</v>
      </c>
      <c r="D51" s="30" t="s">
        <v>72</v>
      </c>
      <c r="E51" s="30" t="s">
        <v>3820</v>
      </c>
      <c r="F51" s="31">
        <v>170.0</v>
      </c>
      <c r="G51" s="32" t="s">
        <v>3818</v>
      </c>
      <c r="H51" s="31">
        <v>100.0</v>
      </c>
      <c r="I51" s="33">
        <f>'Old Balance Sheet'!A51 + 'ACPL Calculations - 1.0'!A51 + 'ACPL Calculations - 2.0'!A51</f>
        <v>606</v>
      </c>
      <c r="J51" s="30" t="s">
        <v>3820</v>
      </c>
      <c r="K51" s="31">
        <v>170.0</v>
      </c>
      <c r="L51" s="32" t="s">
        <v>3818</v>
      </c>
      <c r="M51" s="31">
        <v>100.0</v>
      </c>
      <c r="N51" s="33">
        <f>'Old Balance Sheet'!B51 + 'ACPL Calculations - 1.0'!B51 + 'ACPL Calculations - 2.0'!B51</f>
        <v>0</v>
      </c>
      <c r="O51" s="30" t="s">
        <v>3820</v>
      </c>
      <c r="P51" s="31">
        <v>170.0</v>
      </c>
      <c r="Q51" s="32" t="s">
        <v>3818</v>
      </c>
      <c r="R51" s="31">
        <v>100.0</v>
      </c>
      <c r="S51" s="33">
        <f>'Old Balance Sheet'!C51 + 'ACPL Calculations - 1.0'!C51 + 'ACPL Calculations - 2.0'!C51</f>
        <v>0</v>
      </c>
      <c r="T51" s="30" t="s">
        <v>3820</v>
      </c>
      <c r="U51" s="31">
        <v>170.0</v>
      </c>
      <c r="V51" s="32" t="s">
        <v>3818</v>
      </c>
      <c r="W51" s="31">
        <v>100.0</v>
      </c>
      <c r="X51" s="33">
        <f>'Old Balance Sheet'!D51 + 'ACPL Calculations - 1.0'!D51 + 'ACPL Calculations - 2.0'!D51</f>
        <v>0</v>
      </c>
      <c r="Y51" s="30" t="s">
        <v>3820</v>
      </c>
      <c r="Z51" s="31">
        <v>170.0</v>
      </c>
      <c r="AA51" s="32" t="s">
        <v>3818</v>
      </c>
      <c r="AB51" s="31">
        <v>100.0</v>
      </c>
      <c r="AC51" s="33">
        <f>'Old Balance Sheet'!E51 + 'ACPL Calculations - 1.0'!E51 + 'ACPL Calculations - 2.0'!E51</f>
        <v>0</v>
      </c>
      <c r="AD51" s="30" t="s">
        <v>3820</v>
      </c>
      <c r="AE51" s="34">
        <v>838.99</v>
      </c>
      <c r="AF51" s="32" t="s">
        <v>3818</v>
      </c>
      <c r="AG51" s="31">
        <v>100.0</v>
      </c>
      <c r="AH51" s="33">
        <f>'Old Balance Sheet'!F51 + 'ACPL Calculations - 1.0'!F51 + 'ACPL Calculations - 2.0'!F51</f>
        <v>0</v>
      </c>
      <c r="AI51" s="30" t="s">
        <v>3820</v>
      </c>
      <c r="AJ51" s="31">
        <v>170.0</v>
      </c>
      <c r="AK51" s="32" t="s">
        <v>3818</v>
      </c>
      <c r="AL51" s="31">
        <v>100.0</v>
      </c>
      <c r="AM51" s="33">
        <f>'Old Balance Sheet'!G51 + 'ACPL Calculations - 1.0'!G51 + 'ACPL Calculations - 2.0'!G51</f>
        <v>0</v>
      </c>
      <c r="AN51" s="30" t="s">
        <v>3820</v>
      </c>
      <c r="AO51" s="31">
        <v>170.0</v>
      </c>
      <c r="AP51" s="32" t="s">
        <v>3818</v>
      </c>
      <c r="AQ51" s="31">
        <v>100.0</v>
      </c>
      <c r="AR51" s="33">
        <f>'Old Balance Sheet'!H51 + 'ACPL Calculations - 1.0'!H51 + 'ACPL Calculations - 2.0'!H51</f>
        <v>89</v>
      </c>
      <c r="AS51" s="30" t="s">
        <v>3819</v>
      </c>
      <c r="AT51" s="31">
        <v>838.99</v>
      </c>
      <c r="AU51" s="32" t="s">
        <v>3818</v>
      </c>
      <c r="AV51" s="31">
        <v>100.0</v>
      </c>
      <c r="AW51" s="33">
        <f>'Old Balance Sheet'!I51 + 'ACPL Calculations - 1.0'!I51 + 'ACPL Calculations - 2.0'!I51</f>
        <v>0</v>
      </c>
      <c r="AX51" s="30" t="s">
        <v>3820</v>
      </c>
      <c r="AY51" s="31">
        <v>290.0</v>
      </c>
      <c r="AZ51" s="32" t="s">
        <v>3818</v>
      </c>
      <c r="BA51" s="31">
        <v>100.0</v>
      </c>
      <c r="BB51" s="33">
        <f>'Old Balance Sheet'!J51 + 'ACPL Calculations - 1.0'!J51 + 'ACPL Calculations - 2.0'!J51</f>
        <v>0</v>
      </c>
      <c r="BC51" s="30" t="s">
        <v>3820</v>
      </c>
      <c r="BD51" s="31">
        <v>205.0</v>
      </c>
      <c r="BE51" s="32" t="s">
        <v>3818</v>
      </c>
      <c r="BF51" s="31">
        <v>100.0</v>
      </c>
      <c r="BG51" s="33">
        <f>'Old Balance Sheet'!K51 + 'ACPL Calculations - 1.0'!K51 + 'ACPL Calculations - 2.0'!K51</f>
        <v>0</v>
      </c>
      <c r="BH51" s="30" t="s">
        <v>3820</v>
      </c>
      <c r="BI51" s="31">
        <v>205.0</v>
      </c>
      <c r="BJ51" s="32" t="s">
        <v>3818</v>
      </c>
      <c r="BK51" s="31">
        <v>100.0</v>
      </c>
      <c r="BL51" s="33">
        <f>'Old Balance Sheet'!L51 + 'ACPL Calculations - 1.0'!L51 + 'ACPL Calculations - 2.0'!L51</f>
        <v>0</v>
      </c>
      <c r="BM51" s="33"/>
      <c r="BN51" s="33"/>
      <c r="BO51" s="33"/>
      <c r="BP51" s="33"/>
      <c r="BQ51" s="33"/>
      <c r="BR51" s="33"/>
      <c r="BS51" s="33"/>
      <c r="BT51" s="33"/>
      <c r="BU51" s="33"/>
      <c r="BV51" s="33"/>
      <c r="BW51" s="33"/>
      <c r="BX51" s="33"/>
      <c r="BY51" s="33"/>
      <c r="BZ51" s="33"/>
      <c r="CA51" s="33"/>
      <c r="CB51" s="33"/>
      <c r="CC51" s="33"/>
      <c r="CD51" s="33"/>
      <c r="CE51" s="33"/>
      <c r="CF51" s="33"/>
      <c r="CG51" s="33"/>
      <c r="CH51" s="33"/>
      <c r="CI51" s="33"/>
      <c r="CJ51" s="33"/>
      <c r="CK51" s="33"/>
      <c r="CL51" s="33">
        <f t="shared" si="1"/>
        <v>695</v>
      </c>
      <c r="CM51" s="33">
        <f>'Old Balance Sheet'!R51 + 'ACPL Calculations - 1.0'!S51 + 'ACPL Calculations - 2.0'!S51</f>
        <v>382850</v>
      </c>
      <c r="CN51" s="33">
        <f>'Old Balance Sheet'!S51 + 'ACPL Calculations - 1.0'!T51 + 'ACPL Calculations - 2.0'!T51</f>
        <v>114630</v>
      </c>
      <c r="CO51" s="33">
        <f t="shared" si="2"/>
        <v>173033.54</v>
      </c>
      <c r="CP51" s="33">
        <f>'Old Balance Sheet'!T51 + 'ACPL Calculations - 1.0'!V51 + 'ACPL Calculations - 2.0'!V51</f>
        <v>74.74</v>
      </c>
      <c r="CQ51" s="33">
        <f>'Old Balance Sheet'!U51 + 'ACPL Calculations - 1.0'!W51 + 'ACPL Calculations - 2.0'!W51</f>
        <v>74.74</v>
      </c>
      <c r="CR51" s="33">
        <f>'Old Balance Sheet'!V51 + 'ACPL Calculations - 1.0'!X51 + 'ACPL Calculations - 2.0'!X51</f>
        <v>58254.06</v>
      </c>
      <c r="CS51" s="33">
        <f t="shared" si="3"/>
        <v>58403.54</v>
      </c>
      <c r="CT51" s="35"/>
      <c r="CU51" s="35"/>
      <c r="CV51" s="35"/>
      <c r="CW51" s="36">
        <f>'Old Balance Sheet'!W51 + 'ACPL Calculations - 1.0'!Z51 + 'ACPL Calculations - 2.0'!Z51</f>
        <v>0</v>
      </c>
      <c r="CX51" s="36">
        <f>'Old Balance Sheet'!X51 + 'ACPL Calculations - 1.0'!AA51 + 'ACPL Calculations - 2.0'!AA51</f>
        <v>0</v>
      </c>
      <c r="CY51" s="37">
        <v>0.0</v>
      </c>
      <c r="CZ51" s="38">
        <f>'Old Balance Sheet'!Y51 + 'ACPL Calculations - 1.0'!AB51 + 'ACPL Calculations - 2.0'!AB51</f>
        <v>0</v>
      </c>
      <c r="DA51" s="38">
        <f>'Old Balance Sheet'!Z51 + 'ACPL Calculations - 1.0'!AC51 + 'ACPL Calculations - 2.0'!AC51</f>
        <v>0</v>
      </c>
      <c r="DB51" s="38">
        <f>'Old Balance Sheet'!AA51 + 'ACPL Calculations - 1.0'!AD51 + 'ACPL Calculations - 2.0'!AD51</f>
        <v>0</v>
      </c>
      <c r="DC51" s="38">
        <f>'Old Balance Sheet'!AB51 + 'ACPL Calculations - 1.0'!AE51 + 'ACPL Calculations - 2.0'!AE51</f>
        <v>0</v>
      </c>
      <c r="DD51" s="38">
        <f t="shared" si="4"/>
        <v>0</v>
      </c>
      <c r="DE51" s="33">
        <f t="shared" si="5"/>
        <v>0</v>
      </c>
      <c r="DF51" s="35">
        <v>0.0</v>
      </c>
      <c r="DG51" s="35">
        <v>0.0</v>
      </c>
      <c r="DH51" s="35">
        <v>0.0</v>
      </c>
      <c r="DI51" s="35">
        <v>0.0</v>
      </c>
      <c r="DJ51" s="35">
        <v>0.0</v>
      </c>
      <c r="DK51" s="35">
        <v>0.0</v>
      </c>
      <c r="DL51" s="35">
        <v>0.0</v>
      </c>
      <c r="DM51" s="35">
        <v>0.0</v>
      </c>
      <c r="DN51" s="31">
        <v>0.0</v>
      </c>
      <c r="DO51" s="31">
        <v>0.0</v>
      </c>
      <c r="DP51" s="31">
        <v>0.0</v>
      </c>
      <c r="DQ51" s="31">
        <v>0.0</v>
      </c>
      <c r="DR51" s="31">
        <v>0.0</v>
      </c>
      <c r="DS51" s="31">
        <v>0.0</v>
      </c>
      <c r="DT51" s="31">
        <f>'Old Balance Sheet'!AC51</f>
        <v>0</v>
      </c>
      <c r="DU51" s="31">
        <f>DT51 + SUMIFS('Payments Log'!D:D, 'Payments Log'!B:B, A51, 'Payments Log'!L:L, "Approved", 'Payments Log'!M:M, "Credit") + 'Old Balance Sheet'!AD51 - 'Old Balance Sheet'!AC51</f>
        <v>0</v>
      </c>
      <c r="DV51" s="31">
        <f>SUMIFS('Payments Log'!D:D, 'Payments Log'!B:B, A51, 'Payments Log'!L:L, "Approved", 'Payments Log'!M:M, "Adjustment Credit") - SUMIFS('Payments Log'!D:D, 'Payments Log'!B:B, A51, 'Payments Log'!L:L, "Approved", 'Payments Log'!M:M, "Adjustment Debit") + 'Old Balance Sheet'!AE51</f>
        <v>0</v>
      </c>
      <c r="DW51" s="31">
        <f>IF(MAXIFS('Payments Log'!N:N, 'Payments Log'!L:L, "Approved", 'Payments Log'!M:M, "Credit", 'Payments Log'!B:B, A51) &gt; MAXIFS('Payments Log'!N:N, 'Payments Log'!L:L, "Approved", 'Payments Log'!M:M, "Virtual Credit", 'Payments Log'!B:B, A51), 0, SUMIFS('Payments Log'!D:D, 'Payments Log'!N:N, MAXIFS('Payments Log'!N:N, 'Payments Log'!L:L, "Approved", 'Payments Log'!M:M, "Virtual Credit", 'Payments Log'!B:B, A51)))</f>
        <v>0</v>
      </c>
      <c r="DX51" s="33">
        <f t="shared" si="6"/>
        <v>0</v>
      </c>
      <c r="DY51" s="33">
        <f t="shared" si="7"/>
        <v>0</v>
      </c>
      <c r="DZ51" s="33">
        <f t="shared" si="8"/>
        <v>0</v>
      </c>
      <c r="EA51" s="25" t="str">
        <f>(Sheet1!N51)</f>
        <v>Jain Motorcycle Company</v>
      </c>
      <c r="EB51" s="25" t="str">
        <f>(Sheet1!O51)</f>
        <v>184Y3L-ZLT7vcLiFDItIcLa-18phpzEbgBCBDgt_LGCQ</v>
      </c>
      <c r="EC51" s="26" t="str">
        <f>(Sheet1!P51)</f>
        <v>Sub Dealer</v>
      </c>
      <c r="ED51" s="34" t="s">
        <v>13</v>
      </c>
    </row>
    <row r="52">
      <c r="A52" s="25" t="str">
        <f>(Sheet1!A52)</f>
        <v>1csqV0P6rAjfUqgWrDmILPq5QMP6GfGOsFVhZ25vdQsw</v>
      </c>
      <c r="B52" s="25" t="str">
        <f>(Sheet1!B52)</f>
        <v>Kiran TVS - Meerut</v>
      </c>
      <c r="C52" s="30" t="s">
        <v>13</v>
      </c>
      <c r="D52" s="30" t="s">
        <v>72</v>
      </c>
      <c r="E52" s="30" t="s">
        <v>3817</v>
      </c>
      <c r="F52" s="31">
        <v>205.0</v>
      </c>
      <c r="G52" s="32" t="s">
        <v>3818</v>
      </c>
      <c r="H52" s="31">
        <v>100.0</v>
      </c>
      <c r="I52" s="33">
        <f>'Old Balance Sheet'!A52 + 'ACPL Calculations - 1.0'!A52 + 'ACPL Calculations - 2.0'!A52</f>
        <v>0</v>
      </c>
      <c r="J52" s="30" t="s">
        <v>3817</v>
      </c>
      <c r="K52" s="31">
        <v>205.0</v>
      </c>
      <c r="L52" s="32" t="s">
        <v>3818</v>
      </c>
      <c r="M52" s="31">
        <v>100.0</v>
      </c>
      <c r="N52" s="33">
        <f>'Old Balance Sheet'!B52 + 'ACPL Calculations - 1.0'!B52 + 'ACPL Calculations - 2.0'!B52</f>
        <v>0</v>
      </c>
      <c r="O52" s="30" t="s">
        <v>3817</v>
      </c>
      <c r="P52" s="31">
        <v>290.0</v>
      </c>
      <c r="Q52" s="32" t="s">
        <v>3818</v>
      </c>
      <c r="R52" s="31">
        <v>100.0</v>
      </c>
      <c r="S52" s="33">
        <f>'Old Balance Sheet'!C52 + 'ACPL Calculations - 1.0'!C52 + 'ACPL Calculations - 2.0'!C52</f>
        <v>0</v>
      </c>
      <c r="T52" s="30" t="s">
        <v>3817</v>
      </c>
      <c r="U52" s="31">
        <v>375.0</v>
      </c>
      <c r="V52" s="32" t="s">
        <v>3818</v>
      </c>
      <c r="W52" s="31">
        <v>100.0</v>
      </c>
      <c r="X52" s="33">
        <f>'Old Balance Sheet'!D52 + 'ACPL Calculations - 1.0'!D52 + 'ACPL Calculations - 2.0'!D52</f>
        <v>0</v>
      </c>
      <c r="Y52" s="30" t="s">
        <v>3817</v>
      </c>
      <c r="Z52" s="31">
        <v>460.0</v>
      </c>
      <c r="AA52" s="32" t="s">
        <v>3818</v>
      </c>
      <c r="AB52" s="31">
        <v>100.0</v>
      </c>
      <c r="AC52" s="33">
        <f>'Old Balance Sheet'!E52 + 'ACPL Calculations - 1.0'!E52 + 'ACPL Calculations - 2.0'!E52</f>
        <v>0</v>
      </c>
      <c r="AD52" s="30" t="s">
        <v>3817</v>
      </c>
      <c r="AE52" s="34">
        <v>838.99</v>
      </c>
      <c r="AF52" s="32" t="s">
        <v>3818</v>
      </c>
      <c r="AG52" s="31">
        <v>100.0</v>
      </c>
      <c r="AH52" s="33">
        <f>'Old Balance Sheet'!F52 + 'ACPL Calculations - 1.0'!F52 + 'ACPL Calculations - 2.0'!F52</f>
        <v>0</v>
      </c>
      <c r="AI52" s="30" t="s">
        <v>3817</v>
      </c>
      <c r="AJ52" s="31">
        <v>375.0</v>
      </c>
      <c r="AK52" s="32" t="s">
        <v>3818</v>
      </c>
      <c r="AL52" s="31">
        <v>100.0</v>
      </c>
      <c r="AM52" s="33">
        <f>'Old Balance Sheet'!G52 + 'ACPL Calculations - 1.0'!G52 + 'ACPL Calculations - 2.0'!G52</f>
        <v>0</v>
      </c>
      <c r="AN52" s="30" t="s">
        <v>3817</v>
      </c>
      <c r="AO52" s="31">
        <v>290.0</v>
      </c>
      <c r="AP52" s="32" t="s">
        <v>3818</v>
      </c>
      <c r="AQ52" s="31">
        <v>100.0</v>
      </c>
      <c r="AR52" s="33">
        <f>'Old Balance Sheet'!H52 + 'ACPL Calculations - 1.0'!H52 + 'ACPL Calculations - 2.0'!H52</f>
        <v>0</v>
      </c>
      <c r="AS52" s="30" t="s">
        <v>3819</v>
      </c>
      <c r="AT52" s="31">
        <v>838.99</v>
      </c>
      <c r="AU52" s="32" t="s">
        <v>3818</v>
      </c>
      <c r="AV52" s="31">
        <v>100.0</v>
      </c>
      <c r="AW52" s="33">
        <f>'Old Balance Sheet'!I52 + 'ACPL Calculations - 1.0'!I52 + 'ACPL Calculations - 2.0'!I52</f>
        <v>0</v>
      </c>
      <c r="AX52" s="30" t="s">
        <v>3817</v>
      </c>
      <c r="AY52" s="31">
        <v>290.0</v>
      </c>
      <c r="AZ52" s="32" t="s">
        <v>3818</v>
      </c>
      <c r="BA52" s="31">
        <v>100.0</v>
      </c>
      <c r="BB52" s="33">
        <f>'Old Balance Sheet'!J52 + 'ACPL Calculations - 1.0'!J52 + 'ACPL Calculations - 2.0'!J52</f>
        <v>0</v>
      </c>
      <c r="BC52" s="30" t="s">
        <v>3817</v>
      </c>
      <c r="BD52" s="31">
        <v>205.0</v>
      </c>
      <c r="BE52" s="32" t="s">
        <v>3818</v>
      </c>
      <c r="BF52" s="31">
        <v>100.0</v>
      </c>
      <c r="BG52" s="33">
        <f>'Old Balance Sheet'!K52 + 'ACPL Calculations - 1.0'!K52 + 'ACPL Calculations - 2.0'!K52</f>
        <v>0</v>
      </c>
      <c r="BH52" s="30" t="s">
        <v>3817</v>
      </c>
      <c r="BI52" s="31">
        <v>205.0</v>
      </c>
      <c r="BJ52" s="32" t="s">
        <v>3818</v>
      </c>
      <c r="BK52" s="31">
        <v>100.0</v>
      </c>
      <c r="BL52" s="33">
        <f>'Old Balance Sheet'!L52 + 'ACPL Calculations - 1.0'!L52 + 'ACPL Calculations - 2.0'!L52</f>
        <v>0</v>
      </c>
      <c r="BM52" s="33"/>
      <c r="BN52" s="33"/>
      <c r="BO52" s="33"/>
      <c r="BP52" s="33"/>
      <c r="BQ52" s="33"/>
      <c r="BR52" s="33"/>
      <c r="BS52" s="33"/>
      <c r="BT52" s="33"/>
      <c r="BU52" s="33"/>
      <c r="BV52" s="33"/>
      <c r="BW52" s="33"/>
      <c r="BX52" s="33"/>
      <c r="BY52" s="33"/>
      <c r="BZ52" s="33"/>
      <c r="CA52" s="33"/>
      <c r="CB52" s="33"/>
      <c r="CC52" s="33"/>
      <c r="CD52" s="33"/>
      <c r="CE52" s="33"/>
      <c r="CF52" s="33"/>
      <c r="CG52" s="33"/>
      <c r="CH52" s="33"/>
      <c r="CI52" s="33"/>
      <c r="CJ52" s="33"/>
      <c r="CK52" s="33"/>
      <c r="CL52" s="33">
        <f t="shared" si="1"/>
        <v>0</v>
      </c>
      <c r="CM52" s="33">
        <f>'Old Balance Sheet'!R52 + 'ACPL Calculations - 1.0'!S52 + 'ACPL Calculations - 2.0'!S52</f>
        <v>0</v>
      </c>
      <c r="CN52" s="33">
        <f>'Old Balance Sheet'!S52 + 'ACPL Calculations - 1.0'!T52 + 'ACPL Calculations - 2.0'!T52</f>
        <v>0</v>
      </c>
      <c r="CO52" s="33">
        <f t="shared" si="2"/>
        <v>0</v>
      </c>
      <c r="CP52" s="33">
        <f>'Old Balance Sheet'!T52 + 'ACPL Calculations - 1.0'!V52 + 'ACPL Calculations - 2.0'!V52</f>
        <v>0</v>
      </c>
      <c r="CQ52" s="33">
        <f>'Old Balance Sheet'!U52 + 'ACPL Calculations - 1.0'!W52 + 'ACPL Calculations - 2.0'!W52</f>
        <v>0</v>
      </c>
      <c r="CR52" s="33">
        <f>'Old Balance Sheet'!V52 + 'ACPL Calculations - 1.0'!X52 + 'ACPL Calculations - 2.0'!X52</f>
        <v>0</v>
      </c>
      <c r="CS52" s="33">
        <f t="shared" si="3"/>
        <v>0</v>
      </c>
      <c r="CT52" s="35"/>
      <c r="CU52" s="35"/>
      <c r="CV52" s="35"/>
      <c r="CW52" s="36">
        <f>'Old Balance Sheet'!W52 + 'ACPL Calculations - 1.0'!Z52 + 'ACPL Calculations - 2.0'!Z52</f>
        <v>0</v>
      </c>
      <c r="CX52" s="36">
        <f>'Old Balance Sheet'!X52 + 'ACPL Calculations - 1.0'!AA52 + 'ACPL Calculations - 2.0'!AA52</f>
        <v>0</v>
      </c>
      <c r="CY52" s="37">
        <v>0.0</v>
      </c>
      <c r="CZ52" s="38">
        <f>'Old Balance Sheet'!Y52 + 'ACPL Calculations - 1.0'!AB52 + 'ACPL Calculations - 2.0'!AB52</f>
        <v>0</v>
      </c>
      <c r="DA52" s="38">
        <f>'Old Balance Sheet'!Z52 + 'ACPL Calculations - 1.0'!AC52 + 'ACPL Calculations - 2.0'!AC52</f>
        <v>0</v>
      </c>
      <c r="DB52" s="38">
        <f>'Old Balance Sheet'!AA52 + 'ACPL Calculations - 1.0'!AD52 + 'ACPL Calculations - 2.0'!AD52</f>
        <v>0</v>
      </c>
      <c r="DC52" s="38">
        <f>'Old Balance Sheet'!AB52 + 'ACPL Calculations - 1.0'!AE52 + 'ACPL Calculations - 2.0'!AE52</f>
        <v>0</v>
      </c>
      <c r="DD52" s="38">
        <f t="shared" si="4"/>
        <v>0</v>
      </c>
      <c r="DE52" s="33">
        <f t="shared" si="5"/>
        <v>0</v>
      </c>
      <c r="DF52" s="35">
        <v>0.0</v>
      </c>
      <c r="DG52" s="35">
        <v>0.0</v>
      </c>
      <c r="DH52" s="35">
        <v>0.0</v>
      </c>
      <c r="DI52" s="35">
        <v>0.0</v>
      </c>
      <c r="DJ52" s="35">
        <v>0.0</v>
      </c>
      <c r="DK52" s="35">
        <v>0.0</v>
      </c>
      <c r="DL52" s="35">
        <v>0.0</v>
      </c>
      <c r="DM52" s="35">
        <v>0.0</v>
      </c>
      <c r="DN52" s="31">
        <v>0.0</v>
      </c>
      <c r="DO52" s="31">
        <v>0.0</v>
      </c>
      <c r="DP52" s="31">
        <v>0.0</v>
      </c>
      <c r="DQ52" s="31">
        <v>0.0</v>
      </c>
      <c r="DR52" s="31">
        <v>0.0</v>
      </c>
      <c r="DS52" s="31">
        <v>0.0</v>
      </c>
      <c r="DT52" s="31">
        <f>'Old Balance Sheet'!AC52</f>
        <v>0</v>
      </c>
      <c r="DU52" s="31">
        <f>DT52 + SUMIFS('Payments Log'!D:D, 'Payments Log'!B:B, A52, 'Payments Log'!L:L, "Approved", 'Payments Log'!M:M, "Credit") + 'Old Balance Sheet'!AD52 - 'Old Balance Sheet'!AC52</f>
        <v>0</v>
      </c>
      <c r="DV52" s="31">
        <f>SUMIFS('Payments Log'!D:D, 'Payments Log'!B:B, A52, 'Payments Log'!L:L, "Approved", 'Payments Log'!M:M, "Adjustment Credit") - SUMIFS('Payments Log'!D:D, 'Payments Log'!B:B, A52, 'Payments Log'!L:L, "Approved", 'Payments Log'!M:M, "Adjustment Debit") + 'Old Balance Sheet'!AE52</f>
        <v>0</v>
      </c>
      <c r="DW52" s="31">
        <f>IF(MAXIFS('Payments Log'!N:N, 'Payments Log'!L:L, "Approved", 'Payments Log'!M:M, "Credit", 'Payments Log'!B:B, A52) &gt; MAXIFS('Payments Log'!N:N, 'Payments Log'!L:L, "Approved", 'Payments Log'!M:M, "Virtual Credit", 'Payments Log'!B:B, A52), 0, SUMIFS('Payments Log'!D:D, 'Payments Log'!N:N, MAXIFS('Payments Log'!N:N, 'Payments Log'!L:L, "Approved", 'Payments Log'!M:M, "Virtual Credit", 'Payments Log'!B:B, A52)))</f>
        <v>0</v>
      </c>
      <c r="DX52" s="33">
        <f t="shared" si="6"/>
        <v>0</v>
      </c>
      <c r="DY52" s="33">
        <f t="shared" si="7"/>
        <v>0</v>
      </c>
      <c r="DZ52" s="33">
        <f t="shared" si="8"/>
        <v>0</v>
      </c>
      <c r="EA52" s="25" t="str">
        <f>(Sheet1!N52)</f>
        <v>Kiran TVS - Meerut</v>
      </c>
      <c r="EB52" s="25" t="str">
        <f>(Sheet1!O52)</f>
        <v>1csqV0P6rAjfUqgWrDmILPq5QMP6GfGOsFVhZ25vdQsw</v>
      </c>
      <c r="EC52" s="26" t="str">
        <f>(Sheet1!P52)</f>
        <v>Dealer</v>
      </c>
      <c r="ED52" s="34" t="s">
        <v>13</v>
      </c>
    </row>
    <row r="53">
      <c r="A53" s="25" t="str">
        <f>(Sheet1!A53)</f>
        <v>1LiAiRR9BTHdMZEU0Z7g2BJlBE_7_a2qafAw9zkJ1c8U</v>
      </c>
      <c r="B53" s="25" t="str">
        <f>(Sheet1!B53)</f>
        <v>Namokar Honda - Meerut</v>
      </c>
      <c r="C53" s="30" t="s">
        <v>13</v>
      </c>
      <c r="D53" s="30" t="s">
        <v>72</v>
      </c>
      <c r="E53" s="30" t="s">
        <v>3817</v>
      </c>
      <c r="F53" s="31">
        <v>205.0</v>
      </c>
      <c r="G53" s="32" t="s">
        <v>3818</v>
      </c>
      <c r="H53" s="31">
        <v>100.0</v>
      </c>
      <c r="I53" s="33">
        <f>'Old Balance Sheet'!A53 + 'ACPL Calculations - 1.0'!A53 + 'ACPL Calculations - 2.0'!A53</f>
        <v>1</v>
      </c>
      <c r="J53" s="30" t="s">
        <v>3817</v>
      </c>
      <c r="K53" s="31">
        <v>205.0</v>
      </c>
      <c r="L53" s="32" t="s">
        <v>3818</v>
      </c>
      <c r="M53" s="31">
        <v>100.0</v>
      </c>
      <c r="N53" s="33">
        <f>'Old Balance Sheet'!B53 + 'ACPL Calculations - 1.0'!B53 + 'ACPL Calculations - 2.0'!B53</f>
        <v>0</v>
      </c>
      <c r="O53" s="30" t="s">
        <v>3817</v>
      </c>
      <c r="P53" s="31">
        <v>290.0</v>
      </c>
      <c r="Q53" s="32" t="s">
        <v>3818</v>
      </c>
      <c r="R53" s="31">
        <v>100.0</v>
      </c>
      <c r="S53" s="33">
        <f>'Old Balance Sheet'!C53 + 'ACPL Calculations - 1.0'!C53 + 'ACPL Calculations - 2.0'!C53</f>
        <v>0</v>
      </c>
      <c r="T53" s="30" t="s">
        <v>3817</v>
      </c>
      <c r="U53" s="31">
        <v>375.0</v>
      </c>
      <c r="V53" s="32" t="s">
        <v>3818</v>
      </c>
      <c r="W53" s="31">
        <v>100.0</v>
      </c>
      <c r="X53" s="33">
        <f>'Old Balance Sheet'!D53 + 'ACPL Calculations - 1.0'!D53 + 'ACPL Calculations - 2.0'!D53</f>
        <v>0</v>
      </c>
      <c r="Y53" s="30" t="s">
        <v>3817</v>
      </c>
      <c r="Z53" s="31">
        <v>460.0</v>
      </c>
      <c r="AA53" s="32" t="s">
        <v>3818</v>
      </c>
      <c r="AB53" s="31">
        <v>100.0</v>
      </c>
      <c r="AC53" s="33">
        <f>'Old Balance Sheet'!E53 + 'ACPL Calculations - 1.0'!E53 + 'ACPL Calculations - 2.0'!E53</f>
        <v>0</v>
      </c>
      <c r="AD53" s="30" t="s">
        <v>3817</v>
      </c>
      <c r="AE53" s="34">
        <v>838.99</v>
      </c>
      <c r="AF53" s="32" t="s">
        <v>3818</v>
      </c>
      <c r="AG53" s="31">
        <v>100.0</v>
      </c>
      <c r="AH53" s="33">
        <f>'Old Balance Sheet'!F53 + 'ACPL Calculations - 1.0'!F53 + 'ACPL Calculations - 2.0'!F53</f>
        <v>0</v>
      </c>
      <c r="AI53" s="30" t="s">
        <v>3817</v>
      </c>
      <c r="AJ53" s="31">
        <v>375.0</v>
      </c>
      <c r="AK53" s="32" t="s">
        <v>3818</v>
      </c>
      <c r="AL53" s="31">
        <v>100.0</v>
      </c>
      <c r="AM53" s="33">
        <f>'Old Balance Sheet'!G53 + 'ACPL Calculations - 1.0'!G53 + 'ACPL Calculations - 2.0'!G53</f>
        <v>0</v>
      </c>
      <c r="AN53" s="30" t="s">
        <v>3817</v>
      </c>
      <c r="AO53" s="31">
        <v>290.0</v>
      </c>
      <c r="AP53" s="32" t="s">
        <v>3818</v>
      </c>
      <c r="AQ53" s="31">
        <v>100.0</v>
      </c>
      <c r="AR53" s="33">
        <f>'Old Balance Sheet'!H53 + 'ACPL Calculations - 1.0'!H53 + 'ACPL Calculations - 2.0'!H53</f>
        <v>0</v>
      </c>
      <c r="AS53" s="30" t="s">
        <v>3819</v>
      </c>
      <c r="AT53" s="31">
        <v>838.99</v>
      </c>
      <c r="AU53" s="32" t="s">
        <v>3818</v>
      </c>
      <c r="AV53" s="31">
        <v>100.0</v>
      </c>
      <c r="AW53" s="33">
        <f>'Old Balance Sheet'!I53 + 'ACPL Calculations - 1.0'!I53 + 'ACPL Calculations - 2.0'!I53</f>
        <v>0</v>
      </c>
      <c r="AX53" s="30" t="s">
        <v>3817</v>
      </c>
      <c r="AY53" s="31">
        <v>290.0</v>
      </c>
      <c r="AZ53" s="32" t="s">
        <v>3818</v>
      </c>
      <c r="BA53" s="31">
        <v>100.0</v>
      </c>
      <c r="BB53" s="33">
        <f>'Old Balance Sheet'!J53 + 'ACPL Calculations - 1.0'!J53 + 'ACPL Calculations - 2.0'!J53</f>
        <v>0</v>
      </c>
      <c r="BC53" s="30" t="s">
        <v>3817</v>
      </c>
      <c r="BD53" s="31">
        <v>205.0</v>
      </c>
      <c r="BE53" s="32" t="s">
        <v>3818</v>
      </c>
      <c r="BF53" s="31">
        <v>100.0</v>
      </c>
      <c r="BG53" s="33">
        <f>'Old Balance Sheet'!K53 + 'ACPL Calculations - 1.0'!K53 + 'ACPL Calculations - 2.0'!K53</f>
        <v>0</v>
      </c>
      <c r="BH53" s="30" t="s">
        <v>3817</v>
      </c>
      <c r="BI53" s="31">
        <v>205.0</v>
      </c>
      <c r="BJ53" s="32" t="s">
        <v>3818</v>
      </c>
      <c r="BK53" s="31">
        <v>100.0</v>
      </c>
      <c r="BL53" s="33">
        <f>'Old Balance Sheet'!L53 + 'ACPL Calculations - 1.0'!L53 + 'ACPL Calculations - 2.0'!L53</f>
        <v>0</v>
      </c>
      <c r="BM53" s="33"/>
      <c r="BN53" s="33"/>
      <c r="BO53" s="33"/>
      <c r="BP53" s="33"/>
      <c r="BQ53" s="33"/>
      <c r="BR53" s="33"/>
      <c r="BS53" s="33"/>
      <c r="BT53" s="33"/>
      <c r="BU53" s="33"/>
      <c r="BV53" s="33"/>
      <c r="BW53" s="33"/>
      <c r="BX53" s="33"/>
      <c r="BY53" s="33"/>
      <c r="BZ53" s="33"/>
      <c r="CA53" s="33"/>
      <c r="CB53" s="33"/>
      <c r="CC53" s="33"/>
      <c r="CD53" s="33"/>
      <c r="CE53" s="33"/>
      <c r="CF53" s="33"/>
      <c r="CG53" s="33"/>
      <c r="CH53" s="33"/>
      <c r="CI53" s="33"/>
      <c r="CJ53" s="33"/>
      <c r="CK53" s="33"/>
      <c r="CL53" s="33">
        <f t="shared" si="1"/>
        <v>1</v>
      </c>
      <c r="CM53" s="33">
        <f>'Old Balance Sheet'!R53 + 'ACPL Calculations - 1.0'!S53 + 'ACPL Calculations - 2.0'!S53</f>
        <v>442</v>
      </c>
      <c r="CN53" s="33">
        <f>'Old Balance Sheet'!S53 + 'ACPL Calculations - 1.0'!T53 + 'ACPL Calculations - 2.0'!T53</f>
        <v>205</v>
      </c>
      <c r="CO53" s="33">
        <f t="shared" si="2"/>
        <v>272.42</v>
      </c>
      <c r="CP53" s="33">
        <f>'Old Balance Sheet'!T53 + 'ACPL Calculations - 1.0'!V53 + 'ACPL Calculations - 2.0'!V53</f>
        <v>0</v>
      </c>
      <c r="CQ53" s="33">
        <f>'Old Balance Sheet'!U53 + 'ACPL Calculations - 1.0'!W53 + 'ACPL Calculations - 2.0'!W53</f>
        <v>0</v>
      </c>
      <c r="CR53" s="33">
        <f>'Old Balance Sheet'!V53 + 'ACPL Calculations - 1.0'!X53 + 'ACPL Calculations - 2.0'!X53</f>
        <v>67.42</v>
      </c>
      <c r="CS53" s="33">
        <f t="shared" si="3"/>
        <v>67.42</v>
      </c>
      <c r="CT53" s="35"/>
      <c r="CU53" s="35"/>
      <c r="CV53" s="35"/>
      <c r="CW53" s="36">
        <f>'Old Balance Sheet'!W53 + 'ACPL Calculations - 1.0'!Z53 + 'ACPL Calculations - 2.0'!Z53</f>
        <v>280.9</v>
      </c>
      <c r="CX53" s="36">
        <f>'Old Balance Sheet'!X53 + 'ACPL Calculations - 1.0'!AA53 + 'ACPL Calculations - 2.0'!AA53</f>
        <v>280.9</v>
      </c>
      <c r="CY53" s="37">
        <v>0.0</v>
      </c>
      <c r="CZ53" s="38">
        <f>'Old Balance Sheet'!Y53 + 'ACPL Calculations - 1.0'!AB53 + 'ACPL Calculations - 2.0'!AB53</f>
        <v>169.58</v>
      </c>
      <c r="DA53" s="38">
        <f>'Old Balance Sheet'!Z53 + 'ACPL Calculations - 1.0'!AC53 + 'ACPL Calculations - 2.0'!AC53</f>
        <v>161.1</v>
      </c>
      <c r="DB53" s="38">
        <f>'Old Balance Sheet'!AA53 + 'ACPL Calculations - 1.0'!AD53 + 'ACPL Calculations - 2.0'!AD53</f>
        <v>8.48</v>
      </c>
      <c r="DC53" s="38">
        <f>'Old Balance Sheet'!AB53 + 'ACPL Calculations - 1.0'!AE53 + 'ACPL Calculations - 2.0'!AE53</f>
        <v>0</v>
      </c>
      <c r="DD53" s="38">
        <f t="shared" si="4"/>
        <v>0</v>
      </c>
      <c r="DE53" s="33">
        <f t="shared" si="5"/>
        <v>0</v>
      </c>
      <c r="DF53" s="35">
        <v>0.0</v>
      </c>
      <c r="DG53" s="35">
        <v>0.0</v>
      </c>
      <c r="DH53" s="35">
        <v>0.0</v>
      </c>
      <c r="DI53" s="35">
        <v>0.0</v>
      </c>
      <c r="DJ53" s="35">
        <v>0.0</v>
      </c>
      <c r="DK53" s="35">
        <v>0.0</v>
      </c>
      <c r="DL53" s="35">
        <v>0.0</v>
      </c>
      <c r="DM53" s="35">
        <v>0.0</v>
      </c>
      <c r="DN53" s="31">
        <v>0.0</v>
      </c>
      <c r="DO53" s="31">
        <v>0.0</v>
      </c>
      <c r="DP53" s="31">
        <v>0.0</v>
      </c>
      <c r="DQ53" s="31">
        <v>0.0</v>
      </c>
      <c r="DR53" s="31">
        <v>0.0</v>
      </c>
      <c r="DS53" s="31">
        <v>0.0</v>
      </c>
      <c r="DT53" s="31">
        <f>'Old Balance Sheet'!AC53</f>
        <v>-3499</v>
      </c>
      <c r="DU53" s="31">
        <f>DT53 + SUMIFS('Payments Log'!D:D, 'Payments Log'!B:B, A53, 'Payments Log'!L:L, "Approved", 'Payments Log'!M:M, "Credit") + 'Old Balance Sheet'!AD53 - 'Old Balance Sheet'!AC53</f>
        <v>281</v>
      </c>
      <c r="DV53" s="31">
        <f>SUMIFS('Payments Log'!D:D, 'Payments Log'!B:B, A53, 'Payments Log'!L:L, "Approved", 'Payments Log'!M:M, "Adjustment Credit") - SUMIFS('Payments Log'!D:D, 'Payments Log'!B:B, A53, 'Payments Log'!L:L, "Approved", 'Payments Log'!M:M, "Adjustment Debit") + 'Old Balance Sheet'!AE53</f>
        <v>0</v>
      </c>
      <c r="DW53" s="31">
        <f>IF(MAXIFS('Payments Log'!N:N, 'Payments Log'!L:L, "Approved", 'Payments Log'!M:M, "Credit", 'Payments Log'!B:B, A53) &gt; MAXIFS('Payments Log'!N:N, 'Payments Log'!L:L, "Approved", 'Payments Log'!M:M, "Virtual Credit", 'Payments Log'!B:B, A53), 0, SUMIFS('Payments Log'!D:D, 'Payments Log'!N:N, MAXIFS('Payments Log'!N:N, 'Payments Log'!L:L, "Approved", 'Payments Log'!M:M, "Virtual Credit", 'Payments Log'!B:B, A53)))</f>
        <v>0</v>
      </c>
      <c r="DX53" s="33">
        <f t="shared" si="6"/>
        <v>0.1</v>
      </c>
      <c r="DY53" s="33">
        <f t="shared" si="7"/>
        <v>0.1</v>
      </c>
      <c r="DZ53" s="33">
        <f t="shared" si="8"/>
        <v>0.1</v>
      </c>
      <c r="EA53" s="25" t="str">
        <f>(Sheet1!N53)</f>
        <v>Namokar Honda - Meerut</v>
      </c>
      <c r="EB53" s="25" t="str">
        <f>(Sheet1!O53)</f>
        <v>1LiAiRR9BTHdMZEU0Z7g2BJlBE_7_a2qafAw9zkJ1c8U</v>
      </c>
      <c r="EC53" s="26" t="str">
        <f>(Sheet1!P53)</f>
        <v>Dealer</v>
      </c>
      <c r="ED53" s="34" t="s">
        <v>13</v>
      </c>
    </row>
    <row r="54">
      <c r="A54" s="25" t="str">
        <f>(Sheet1!A54)</f>
        <v>11i_cNFE5Ehj2PGllhMsAFP46O_rn6I78xO4mvWr7hEo</v>
      </c>
      <c r="B54" s="25" t="str">
        <f>(Sheet1!B54)</f>
        <v>Shree Shiv Shakti Hero - Meerut</v>
      </c>
      <c r="C54" s="30" t="s">
        <v>13</v>
      </c>
      <c r="D54" s="30" t="s">
        <v>72</v>
      </c>
      <c r="E54" s="30" t="s">
        <v>3819</v>
      </c>
      <c r="F54" s="31">
        <v>205.0</v>
      </c>
      <c r="G54" s="32" t="s">
        <v>3818</v>
      </c>
      <c r="H54" s="31">
        <v>100.0</v>
      </c>
      <c r="I54" s="33">
        <f>'Old Balance Sheet'!A54 + 'ACPL Calculations - 1.0'!A54 + 'ACPL Calculations - 2.0'!A54</f>
        <v>0</v>
      </c>
      <c r="J54" s="30" t="s">
        <v>3819</v>
      </c>
      <c r="K54" s="31">
        <v>205.0</v>
      </c>
      <c r="L54" s="32" t="s">
        <v>3818</v>
      </c>
      <c r="M54" s="31">
        <v>100.0</v>
      </c>
      <c r="N54" s="33">
        <f>'Old Balance Sheet'!B54 + 'ACPL Calculations - 1.0'!B54 + 'ACPL Calculations - 2.0'!B54</f>
        <v>0</v>
      </c>
      <c r="O54" s="30" t="s">
        <v>3819</v>
      </c>
      <c r="P54" s="31">
        <v>290.0</v>
      </c>
      <c r="Q54" s="32" t="s">
        <v>3818</v>
      </c>
      <c r="R54" s="31">
        <v>100.0</v>
      </c>
      <c r="S54" s="33">
        <f>'Old Balance Sheet'!C54 + 'ACPL Calculations - 1.0'!C54 + 'ACPL Calculations - 2.0'!C54</f>
        <v>0</v>
      </c>
      <c r="T54" s="30" t="s">
        <v>3819</v>
      </c>
      <c r="U54" s="31">
        <v>375.0</v>
      </c>
      <c r="V54" s="32" t="s">
        <v>3818</v>
      </c>
      <c r="W54" s="31">
        <v>100.0</v>
      </c>
      <c r="X54" s="33">
        <f>'Old Balance Sheet'!D54 + 'ACPL Calculations - 1.0'!D54 + 'ACPL Calculations - 2.0'!D54</f>
        <v>0</v>
      </c>
      <c r="Y54" s="30" t="s">
        <v>3819</v>
      </c>
      <c r="Z54" s="31">
        <v>340.0</v>
      </c>
      <c r="AA54" s="32" t="s">
        <v>3818</v>
      </c>
      <c r="AB54" s="31">
        <v>100.0</v>
      </c>
      <c r="AC54" s="33">
        <f>'Old Balance Sheet'!E54 + 'ACPL Calculations - 1.0'!E54 + 'ACPL Calculations - 2.0'!E54</f>
        <v>5091</v>
      </c>
      <c r="AD54" s="30" t="s">
        <v>3819</v>
      </c>
      <c r="AE54" s="34">
        <v>838.99</v>
      </c>
      <c r="AF54" s="32" t="s">
        <v>3818</v>
      </c>
      <c r="AG54" s="31">
        <v>100.0</v>
      </c>
      <c r="AH54" s="33">
        <f>'Old Balance Sheet'!F54 + 'ACPL Calculations - 1.0'!F54 + 'ACPL Calculations - 2.0'!F54</f>
        <v>0</v>
      </c>
      <c r="AI54" s="30" t="s">
        <v>3819</v>
      </c>
      <c r="AJ54" s="31">
        <v>375.0</v>
      </c>
      <c r="AK54" s="32" t="s">
        <v>3818</v>
      </c>
      <c r="AL54" s="31">
        <v>100.0</v>
      </c>
      <c r="AM54" s="33">
        <f>'Old Balance Sheet'!G54 + 'ACPL Calculations - 1.0'!G54 + 'ACPL Calculations - 2.0'!G54</f>
        <v>0</v>
      </c>
      <c r="AN54" s="30" t="s">
        <v>3819</v>
      </c>
      <c r="AO54" s="31">
        <v>290.0</v>
      </c>
      <c r="AP54" s="32" t="s">
        <v>3818</v>
      </c>
      <c r="AQ54" s="31">
        <v>100.0</v>
      </c>
      <c r="AR54" s="33">
        <f>'Old Balance Sheet'!H54 + 'ACPL Calculations - 1.0'!H54 + 'ACPL Calculations - 2.0'!H54</f>
        <v>0</v>
      </c>
      <c r="AS54" s="30" t="s">
        <v>3819</v>
      </c>
      <c r="AT54" s="31">
        <v>838.99</v>
      </c>
      <c r="AU54" s="32" t="s">
        <v>3818</v>
      </c>
      <c r="AV54" s="31">
        <v>100.0</v>
      </c>
      <c r="AW54" s="33">
        <f>'Old Balance Sheet'!I54 + 'ACPL Calculations - 1.0'!I54 + 'ACPL Calculations - 2.0'!I54</f>
        <v>0</v>
      </c>
      <c r="AX54" s="30" t="s">
        <v>3819</v>
      </c>
      <c r="AY54" s="31">
        <v>290.0</v>
      </c>
      <c r="AZ54" s="32" t="s">
        <v>3818</v>
      </c>
      <c r="BA54" s="31">
        <v>100.0</v>
      </c>
      <c r="BB54" s="33">
        <f>'Old Balance Sheet'!J54 + 'ACPL Calculations - 1.0'!J54 + 'ACPL Calculations - 2.0'!J54</f>
        <v>0</v>
      </c>
      <c r="BC54" s="30" t="s">
        <v>3819</v>
      </c>
      <c r="BD54" s="31">
        <v>205.0</v>
      </c>
      <c r="BE54" s="32" t="s">
        <v>3818</v>
      </c>
      <c r="BF54" s="31">
        <v>100.0</v>
      </c>
      <c r="BG54" s="33">
        <f>'Old Balance Sheet'!K54 + 'ACPL Calculations - 1.0'!K54 + 'ACPL Calculations - 2.0'!K54</f>
        <v>0</v>
      </c>
      <c r="BH54" s="30" t="s">
        <v>3819</v>
      </c>
      <c r="BI54" s="31">
        <v>205.0</v>
      </c>
      <c r="BJ54" s="32" t="s">
        <v>3818</v>
      </c>
      <c r="BK54" s="31">
        <v>100.0</v>
      </c>
      <c r="BL54" s="33">
        <f>'Old Balance Sheet'!L54 + 'ACPL Calculations - 1.0'!L54 + 'ACPL Calculations - 2.0'!L54</f>
        <v>0</v>
      </c>
      <c r="BM54" s="33"/>
      <c r="BN54" s="33"/>
      <c r="BO54" s="33"/>
      <c r="BP54" s="33"/>
      <c r="BQ54" s="33"/>
      <c r="BR54" s="33"/>
      <c r="BS54" s="33"/>
      <c r="BT54" s="33"/>
      <c r="BU54" s="33"/>
      <c r="BV54" s="33"/>
      <c r="BW54" s="33"/>
      <c r="BX54" s="33"/>
      <c r="BY54" s="33"/>
      <c r="BZ54" s="33"/>
      <c r="CA54" s="33"/>
      <c r="CB54" s="33"/>
      <c r="CC54" s="33"/>
      <c r="CD54" s="33"/>
      <c r="CE54" s="33"/>
      <c r="CF54" s="33"/>
      <c r="CG54" s="33"/>
      <c r="CH54" s="33"/>
      <c r="CI54" s="33"/>
      <c r="CJ54" s="33"/>
      <c r="CK54" s="33"/>
      <c r="CL54" s="33">
        <f t="shared" si="1"/>
        <v>5091</v>
      </c>
      <c r="CM54" s="33">
        <f>'Old Balance Sheet'!R54 + 'ACPL Calculations - 1.0'!S54 + 'ACPL Calculations - 2.0'!S54</f>
        <v>2259759</v>
      </c>
      <c r="CN54" s="33">
        <f>'Old Balance Sheet'!S54 + 'ACPL Calculations - 1.0'!T54 + 'ACPL Calculations - 2.0'!T54</f>
        <v>1915050</v>
      </c>
      <c r="CO54" s="33">
        <f t="shared" si="2"/>
        <v>2259759</v>
      </c>
      <c r="CP54" s="33">
        <f>'Old Balance Sheet'!T54 + 'ACPL Calculations - 1.0'!V54 + 'ACPL Calculations - 2.0'!V54</f>
        <v>68.85</v>
      </c>
      <c r="CQ54" s="33">
        <f>'Old Balance Sheet'!U54 + 'ACPL Calculations - 1.0'!W54 + 'ACPL Calculations - 2.0'!W54</f>
        <v>68.85</v>
      </c>
      <c r="CR54" s="33">
        <f>'Old Balance Sheet'!V54 + 'ACPL Calculations - 1.0'!X54 + 'ACPL Calculations - 2.0'!X54</f>
        <v>344571.3</v>
      </c>
      <c r="CS54" s="33">
        <f t="shared" si="3"/>
        <v>344709</v>
      </c>
      <c r="CT54" s="35"/>
      <c r="CU54" s="35"/>
      <c r="CV54" s="35"/>
      <c r="CW54" s="36">
        <f>'Old Balance Sheet'!W54 + 'ACPL Calculations - 1.0'!Z54 + 'ACPL Calculations - 2.0'!Z54</f>
        <v>2259759</v>
      </c>
      <c r="CX54" s="36">
        <f>'Old Balance Sheet'!X54 + 'ACPL Calculations - 1.0'!AA54 + 'ACPL Calculations - 2.0'!AA54</f>
        <v>2259759</v>
      </c>
      <c r="CY54" s="37">
        <v>0.0</v>
      </c>
      <c r="CZ54" s="38">
        <f>'Old Balance Sheet'!Y54 + 'ACPL Calculations - 1.0'!AB54 + 'ACPL Calculations - 2.0'!AB54</f>
        <v>0</v>
      </c>
      <c r="DA54" s="38">
        <f>'Old Balance Sheet'!Z54 + 'ACPL Calculations - 1.0'!AC54 + 'ACPL Calculations - 2.0'!AC54</f>
        <v>0</v>
      </c>
      <c r="DB54" s="38">
        <f>'Old Balance Sheet'!AA54 + 'ACPL Calculations - 1.0'!AD54 + 'ACPL Calculations - 2.0'!AD54</f>
        <v>0</v>
      </c>
      <c r="DC54" s="38">
        <f>'Old Balance Sheet'!AB54 + 'ACPL Calculations - 1.0'!AE54 + 'ACPL Calculations - 2.0'!AE54</f>
        <v>0</v>
      </c>
      <c r="DD54" s="38">
        <f t="shared" si="4"/>
        <v>0</v>
      </c>
      <c r="DE54" s="33">
        <f t="shared" si="5"/>
        <v>0</v>
      </c>
      <c r="DF54" s="35">
        <v>0.0</v>
      </c>
      <c r="DG54" s="35">
        <v>0.0</v>
      </c>
      <c r="DH54" s="35">
        <v>0.0</v>
      </c>
      <c r="DI54" s="35">
        <v>0.0</v>
      </c>
      <c r="DJ54" s="35">
        <v>0.0</v>
      </c>
      <c r="DK54" s="35">
        <v>0.0</v>
      </c>
      <c r="DL54" s="35">
        <v>0.0</v>
      </c>
      <c r="DM54" s="35">
        <v>0.0</v>
      </c>
      <c r="DN54" s="31">
        <v>0.0</v>
      </c>
      <c r="DO54" s="31">
        <v>0.0</v>
      </c>
      <c r="DP54" s="31">
        <v>0.0</v>
      </c>
      <c r="DQ54" s="31">
        <v>0.0</v>
      </c>
      <c r="DR54" s="31">
        <v>0.0</v>
      </c>
      <c r="DS54" s="31">
        <v>0.0</v>
      </c>
      <c r="DT54" s="31">
        <f>'Old Balance Sheet'!AC54</f>
        <v>-334400</v>
      </c>
      <c r="DU54" s="31">
        <f>DT54 + SUMIFS('Payments Log'!D:D, 'Payments Log'!B:B, A54, 'Payments Log'!L:L, "Approved", 'Payments Log'!M:M, "Credit") + 'Old Balance Sheet'!AD54 - 'Old Balance Sheet'!AC54</f>
        <v>2208863</v>
      </c>
      <c r="DV54" s="31">
        <f>SUMIFS('Payments Log'!D:D, 'Payments Log'!B:B, A54, 'Payments Log'!L:L, "Approved", 'Payments Log'!M:M, "Adjustment Credit") - SUMIFS('Payments Log'!D:D, 'Payments Log'!B:B, A54, 'Payments Log'!L:L, "Approved", 'Payments Log'!M:M, "Adjustment Debit") + 'Old Balance Sheet'!AE54</f>
        <v>50896</v>
      </c>
      <c r="DW54" s="31">
        <f>IF(MAXIFS('Payments Log'!N:N, 'Payments Log'!L:L, "Approved", 'Payments Log'!M:M, "Credit", 'Payments Log'!B:B, A54) &gt; MAXIFS('Payments Log'!N:N, 'Payments Log'!L:L, "Approved", 'Payments Log'!M:M, "Virtual Credit", 'Payments Log'!B:B, A54), 0, SUMIFS('Payments Log'!D:D, 'Payments Log'!N:N, MAXIFS('Payments Log'!N:N, 'Payments Log'!L:L, "Approved", 'Payments Log'!M:M, "Virtual Credit", 'Payments Log'!B:B, A54)))</f>
        <v>0</v>
      </c>
      <c r="DX54" s="33">
        <f t="shared" si="6"/>
        <v>-0.00000002048909664</v>
      </c>
      <c r="DY54" s="33">
        <f t="shared" si="7"/>
        <v>-0.00000002048909664</v>
      </c>
      <c r="DZ54" s="33">
        <f t="shared" si="8"/>
        <v>-0.00000002048909664</v>
      </c>
      <c r="EA54" s="25" t="str">
        <f>(Sheet1!N54)</f>
        <v>Shree Shiv Shakti Hero - Meerut</v>
      </c>
      <c r="EB54" s="25" t="str">
        <f>(Sheet1!O54)</f>
        <v>11i_cNFE5Ehj2PGllhMsAFP46O_rn6I78xO4mvWr7hEo</v>
      </c>
      <c r="EC54" s="26" t="str">
        <f>(Sheet1!P54)</f>
        <v>Dealer</v>
      </c>
      <c r="ED54" s="34" t="s">
        <v>13</v>
      </c>
    </row>
    <row r="55">
      <c r="A55" s="25" t="str">
        <f>(Sheet1!A55)</f>
        <v>1mX_ZCiMgVCd3AONQ2zBbbc9wQ6Mlj2RvmkSWdpWht-8</v>
      </c>
      <c r="B55" s="25" t="str">
        <f>(Sheet1!B55)</f>
        <v>Krishna Hero - Bulandshahr</v>
      </c>
      <c r="C55" s="30" t="s">
        <v>13</v>
      </c>
      <c r="D55" s="30" t="s">
        <v>72</v>
      </c>
      <c r="E55" s="30" t="s">
        <v>3819</v>
      </c>
      <c r="F55" s="31">
        <v>155.0</v>
      </c>
      <c r="G55" s="32" t="s">
        <v>3818</v>
      </c>
      <c r="H55" s="31">
        <v>100.0</v>
      </c>
      <c r="I55" s="33">
        <f>'Old Balance Sheet'!A55 + 'ACPL Calculations - 1.0'!A55 + 'ACPL Calculations - 2.0'!A55</f>
        <v>944</v>
      </c>
      <c r="J55" s="30" t="s">
        <v>3819</v>
      </c>
      <c r="K55" s="31">
        <v>155.0</v>
      </c>
      <c r="L55" s="32" t="s">
        <v>3818</v>
      </c>
      <c r="M55" s="31">
        <v>100.0</v>
      </c>
      <c r="N55" s="33">
        <f>'Old Balance Sheet'!B55 + 'ACPL Calculations - 1.0'!B55 + 'ACPL Calculations - 2.0'!B55</f>
        <v>0</v>
      </c>
      <c r="O55" s="30" t="s">
        <v>3819</v>
      </c>
      <c r="P55" s="31">
        <v>155.0</v>
      </c>
      <c r="Q55" s="32" t="s">
        <v>3818</v>
      </c>
      <c r="R55" s="31">
        <v>100.0</v>
      </c>
      <c r="S55" s="33">
        <f>'Old Balance Sheet'!C55 + 'ACPL Calculations - 1.0'!C55 + 'ACPL Calculations - 2.0'!C55</f>
        <v>1</v>
      </c>
      <c r="T55" s="30" t="s">
        <v>3819</v>
      </c>
      <c r="U55" s="31">
        <v>155.0</v>
      </c>
      <c r="V55" s="32" t="s">
        <v>3818</v>
      </c>
      <c r="W55" s="31">
        <v>100.0</v>
      </c>
      <c r="X55" s="33">
        <f>'Old Balance Sheet'!D55 + 'ACPL Calculations - 1.0'!D55 + 'ACPL Calculations - 2.0'!D55</f>
        <v>0</v>
      </c>
      <c r="Y55" s="30" t="s">
        <v>3819</v>
      </c>
      <c r="Z55" s="41">
        <v>155.0</v>
      </c>
      <c r="AA55" s="32" t="s">
        <v>3818</v>
      </c>
      <c r="AB55" s="31">
        <v>100.0</v>
      </c>
      <c r="AC55" s="33">
        <f>'Old Balance Sheet'!E55 + 'ACPL Calculations - 1.0'!E55 + 'ACPL Calculations - 2.0'!E55</f>
        <v>2896</v>
      </c>
      <c r="AD55" s="30" t="s">
        <v>3819</v>
      </c>
      <c r="AE55" s="34">
        <v>838.99</v>
      </c>
      <c r="AF55" s="32" t="s">
        <v>3818</v>
      </c>
      <c r="AG55" s="31">
        <v>100.0</v>
      </c>
      <c r="AH55" s="33">
        <f>'Old Balance Sheet'!F55 + 'ACPL Calculations - 1.0'!F55 + 'ACPL Calculations - 2.0'!F55</f>
        <v>0</v>
      </c>
      <c r="AI55" s="30" t="s">
        <v>3819</v>
      </c>
      <c r="AJ55" s="31">
        <v>155.0</v>
      </c>
      <c r="AK55" s="32" t="s">
        <v>3818</v>
      </c>
      <c r="AL55" s="31">
        <v>100.0</v>
      </c>
      <c r="AM55" s="33">
        <f>'Old Balance Sheet'!G55 + 'ACPL Calculations - 1.0'!G55 + 'ACPL Calculations - 2.0'!G55</f>
        <v>0</v>
      </c>
      <c r="AN55" s="30" t="s">
        <v>3819</v>
      </c>
      <c r="AO55" s="31">
        <v>155.0</v>
      </c>
      <c r="AP55" s="32" t="s">
        <v>3818</v>
      </c>
      <c r="AQ55" s="31">
        <v>100.0</v>
      </c>
      <c r="AR55" s="33">
        <f>'Old Balance Sheet'!H55 + 'ACPL Calculations - 1.0'!H55 + 'ACPL Calculations - 2.0'!H55</f>
        <v>0</v>
      </c>
      <c r="AS55" s="30" t="s">
        <v>3819</v>
      </c>
      <c r="AT55" s="31">
        <v>838.99</v>
      </c>
      <c r="AU55" s="32" t="s">
        <v>3818</v>
      </c>
      <c r="AV55" s="31">
        <v>100.0</v>
      </c>
      <c r="AW55" s="33">
        <f>'Old Balance Sheet'!I55 + 'ACPL Calculations - 1.0'!I55 + 'ACPL Calculations - 2.0'!I55</f>
        <v>0</v>
      </c>
      <c r="AX55" s="30" t="s">
        <v>3819</v>
      </c>
      <c r="AY55" s="31">
        <v>155.0</v>
      </c>
      <c r="AZ55" s="32" t="s">
        <v>3818</v>
      </c>
      <c r="BA55" s="31">
        <v>100.0</v>
      </c>
      <c r="BB55" s="33">
        <f>'Old Balance Sheet'!J55 + 'ACPL Calculations - 1.0'!J55 + 'ACPL Calculations - 2.0'!J55</f>
        <v>0</v>
      </c>
      <c r="BC55" s="30" t="s">
        <v>3819</v>
      </c>
      <c r="BD55" s="31">
        <v>155.0</v>
      </c>
      <c r="BE55" s="32" t="s">
        <v>3818</v>
      </c>
      <c r="BF55" s="31">
        <v>100.0</v>
      </c>
      <c r="BG55" s="33">
        <f>'Old Balance Sheet'!K55 + 'ACPL Calculations - 1.0'!K55 + 'ACPL Calculations - 2.0'!K55</f>
        <v>0</v>
      </c>
      <c r="BH55" s="30" t="s">
        <v>3819</v>
      </c>
      <c r="BI55" s="31">
        <v>155.0</v>
      </c>
      <c r="BJ55" s="32" t="s">
        <v>3818</v>
      </c>
      <c r="BK55" s="31">
        <v>100.0</v>
      </c>
      <c r="BL55" s="33">
        <f>'Old Balance Sheet'!L55 + 'ACPL Calculations - 1.0'!L55 + 'ACPL Calculations - 2.0'!L55</f>
        <v>0</v>
      </c>
      <c r="BM55" s="33"/>
      <c r="BN55" s="33"/>
      <c r="BO55" s="33"/>
      <c r="BP55" s="33"/>
      <c r="BQ55" s="33"/>
      <c r="BR55" s="33"/>
      <c r="BS55" s="33"/>
      <c r="BT55" s="33"/>
      <c r="BU55" s="33"/>
      <c r="BV55" s="33"/>
      <c r="BW55" s="33"/>
      <c r="BX55" s="33"/>
      <c r="BY55" s="33"/>
      <c r="BZ55" s="33"/>
      <c r="CA55" s="33"/>
      <c r="CB55" s="33"/>
      <c r="CC55" s="33"/>
      <c r="CD55" s="33"/>
      <c r="CE55" s="33"/>
      <c r="CF55" s="33"/>
      <c r="CG55" s="33"/>
      <c r="CH55" s="33"/>
      <c r="CI55" s="33"/>
      <c r="CJ55" s="33"/>
      <c r="CK55" s="33"/>
      <c r="CL55" s="33">
        <f t="shared" si="1"/>
        <v>3841</v>
      </c>
      <c r="CM55" s="33">
        <f>'Old Balance Sheet'!R55 + 'ACPL Calculations - 1.0'!S55 + 'ACPL Calculations - 2.0'!S55</f>
        <v>1016754.86</v>
      </c>
      <c r="CN55" s="33">
        <f>'Old Balance Sheet'!S55 + 'ACPL Calculations - 1.0'!T55 + 'ACPL Calculations - 2.0'!T55</f>
        <v>861656.72</v>
      </c>
      <c r="CO55" s="33">
        <f t="shared" si="2"/>
        <v>1016754.86</v>
      </c>
      <c r="CP55" s="33">
        <f>'Old Balance Sheet'!T55 + 'ACPL Calculations - 1.0'!V55 + 'ACPL Calculations - 2.0'!V55</f>
        <v>0</v>
      </c>
      <c r="CQ55" s="33">
        <f>'Old Balance Sheet'!U55 + 'ACPL Calculations - 1.0'!W55 + 'ACPL Calculations - 2.0'!W55</f>
        <v>0</v>
      </c>
      <c r="CR55" s="33">
        <f>'Old Balance Sheet'!V55 + 'ACPL Calculations - 1.0'!X55 + 'ACPL Calculations - 2.0'!X55</f>
        <v>155098.14</v>
      </c>
      <c r="CS55" s="33">
        <f t="shared" si="3"/>
        <v>155098.14</v>
      </c>
      <c r="CT55" s="35"/>
      <c r="CU55" s="35"/>
      <c r="CV55" s="35"/>
      <c r="CW55" s="36">
        <f>'Old Balance Sheet'!W55 + 'ACPL Calculations - 1.0'!Z55 + 'ACPL Calculations - 2.0'!Z55</f>
        <v>2138832.54</v>
      </c>
      <c r="CX55" s="36">
        <f>'Old Balance Sheet'!X55 + 'ACPL Calculations - 1.0'!AA55 + 'ACPL Calculations - 2.0'!AA55</f>
        <v>2138832.54</v>
      </c>
      <c r="CY55" s="37">
        <v>0.0</v>
      </c>
      <c r="CZ55" s="38">
        <f>'Old Balance Sheet'!Y55 + 'ACPL Calculations - 1.0'!AB55 + 'ACPL Calculations - 2.0'!AB55</f>
        <v>0</v>
      </c>
      <c r="DA55" s="38">
        <f>'Old Balance Sheet'!Z55 + 'ACPL Calculations - 1.0'!AC55 + 'ACPL Calculations - 2.0'!AC55</f>
        <v>0</v>
      </c>
      <c r="DB55" s="38">
        <f>'Old Balance Sheet'!AA55 + 'ACPL Calculations - 1.0'!AD55 + 'ACPL Calculations - 2.0'!AD55</f>
        <v>0</v>
      </c>
      <c r="DC55" s="38">
        <f>'Old Balance Sheet'!AB55 + 'ACPL Calculations - 1.0'!AE55 + 'ACPL Calculations - 2.0'!AE55</f>
        <v>0</v>
      </c>
      <c r="DD55" s="38">
        <f t="shared" si="4"/>
        <v>0</v>
      </c>
      <c r="DE55" s="33">
        <f t="shared" si="5"/>
        <v>0</v>
      </c>
      <c r="DF55" s="35">
        <v>0.0</v>
      </c>
      <c r="DG55" s="35">
        <v>0.0</v>
      </c>
      <c r="DH55" s="35">
        <v>0.0</v>
      </c>
      <c r="DI55" s="35">
        <v>0.0</v>
      </c>
      <c r="DJ55" s="35">
        <v>0.0</v>
      </c>
      <c r="DK55" s="35">
        <v>0.0</v>
      </c>
      <c r="DL55" s="35">
        <v>0.0</v>
      </c>
      <c r="DM55" s="35">
        <v>0.0</v>
      </c>
      <c r="DN55" s="31">
        <v>0.0</v>
      </c>
      <c r="DO55" s="31">
        <v>0.0</v>
      </c>
      <c r="DP55" s="31">
        <v>0.0</v>
      </c>
      <c r="DQ55" s="31">
        <v>0.0</v>
      </c>
      <c r="DR55" s="31">
        <v>0.0</v>
      </c>
      <c r="DS55" s="31">
        <v>0.0</v>
      </c>
      <c r="DT55" s="31">
        <f>'Old Balance Sheet'!AC55</f>
        <v>-87552</v>
      </c>
      <c r="DU55" s="31">
        <f>DT55 + SUMIFS('Payments Log'!D:D, 'Payments Log'!B:B, A55, 'Payments Log'!L:L, "Approved", 'Payments Log'!M:M, "Credit") + 'Old Balance Sheet'!AD55 - 'Old Balance Sheet'!AC55</f>
        <v>1880705</v>
      </c>
      <c r="DV55" s="31">
        <f>SUMIFS('Payments Log'!D:D, 'Payments Log'!B:B, A55, 'Payments Log'!L:L, "Approved", 'Payments Log'!M:M, "Adjustment Credit") - SUMIFS('Payments Log'!D:D, 'Payments Log'!B:B, A55, 'Payments Log'!L:L, "Approved", 'Payments Log'!M:M, "Adjustment Debit") + 'Old Balance Sheet'!AE55</f>
        <v>165270</v>
      </c>
      <c r="DW55" s="31">
        <f>IF(MAXIFS('Payments Log'!N:N, 'Payments Log'!L:L, "Approved", 'Payments Log'!M:M, "Credit", 'Payments Log'!B:B, A55) &gt; MAXIFS('Payments Log'!N:N, 'Payments Log'!L:L, "Approved", 'Payments Log'!M:M, "Virtual Credit", 'Payments Log'!B:B, A55), 0, SUMIFS('Payments Log'!D:D, 'Payments Log'!N:N, MAXIFS('Payments Log'!N:N, 'Payments Log'!L:L, "Approved", 'Payments Log'!M:M, "Virtual Credit", 'Payments Log'!B:B, A55)))</f>
        <v>0</v>
      </c>
      <c r="DX55" s="33">
        <f t="shared" si="6"/>
        <v>-92857.54</v>
      </c>
      <c r="DY55" s="33">
        <f t="shared" si="7"/>
        <v>-92857.54</v>
      </c>
      <c r="DZ55" s="33">
        <f t="shared" si="8"/>
        <v>-92857.54</v>
      </c>
      <c r="EA55" s="25" t="str">
        <f>(Sheet1!N55)</f>
        <v>Krishna Hero - Bulandshahr</v>
      </c>
      <c r="EB55" s="25" t="str">
        <f>(Sheet1!O55)</f>
        <v>1mX_ZCiMgVCd3AONQ2zBbbc9wQ6Mlj2RvmkSWdpWht-8</v>
      </c>
      <c r="EC55" s="26" t="str">
        <f>(Sheet1!P55)</f>
        <v>Dealer</v>
      </c>
      <c r="ED55" s="34" t="s">
        <v>13</v>
      </c>
    </row>
    <row r="56">
      <c r="A56" s="25" t="str">
        <f>(Sheet1!A56)</f>
        <v>1ecmgrivVWy8bdxOJUWTrTjFZtV6_I7l8EtXiRkAOpIg</v>
      </c>
      <c r="B56" s="25" t="str">
        <f>(Sheet1!B56)</f>
        <v>Pradip Auto (JMC)</v>
      </c>
      <c r="C56" s="30" t="s">
        <v>13</v>
      </c>
      <c r="D56" s="30" t="s">
        <v>72</v>
      </c>
      <c r="E56" s="30" t="s">
        <v>3820</v>
      </c>
      <c r="F56" s="31">
        <v>170.0</v>
      </c>
      <c r="G56" s="32" t="s">
        <v>3818</v>
      </c>
      <c r="H56" s="31">
        <v>100.0</v>
      </c>
      <c r="I56" s="33">
        <f>'Old Balance Sheet'!A56 + 'ACPL Calculations - 1.0'!A56 + 'ACPL Calculations - 2.0'!A56</f>
        <v>0</v>
      </c>
      <c r="J56" s="30" t="s">
        <v>3820</v>
      </c>
      <c r="K56" s="31">
        <v>170.0</v>
      </c>
      <c r="L56" s="32" t="s">
        <v>3818</v>
      </c>
      <c r="M56" s="31">
        <v>100.0</v>
      </c>
      <c r="N56" s="33">
        <f>'Old Balance Sheet'!B56 + 'ACPL Calculations - 1.0'!B56 + 'ACPL Calculations - 2.0'!B56</f>
        <v>0</v>
      </c>
      <c r="O56" s="30" t="s">
        <v>3820</v>
      </c>
      <c r="P56" s="31">
        <v>170.0</v>
      </c>
      <c r="Q56" s="32" t="s">
        <v>3818</v>
      </c>
      <c r="R56" s="31">
        <v>100.0</v>
      </c>
      <c r="S56" s="33">
        <f>'Old Balance Sheet'!C56 + 'ACPL Calculations - 1.0'!C56 + 'ACPL Calculations - 2.0'!C56</f>
        <v>0</v>
      </c>
      <c r="T56" s="30" t="s">
        <v>3820</v>
      </c>
      <c r="U56" s="31">
        <v>170.0</v>
      </c>
      <c r="V56" s="32" t="s">
        <v>3818</v>
      </c>
      <c r="W56" s="31">
        <v>100.0</v>
      </c>
      <c r="X56" s="33">
        <f>'Old Balance Sheet'!D56 + 'ACPL Calculations - 1.0'!D56 + 'ACPL Calculations - 2.0'!D56</f>
        <v>0</v>
      </c>
      <c r="Y56" s="30" t="s">
        <v>3820</v>
      </c>
      <c r="Z56" s="31">
        <v>170.0</v>
      </c>
      <c r="AA56" s="32" t="s">
        <v>3818</v>
      </c>
      <c r="AB56" s="31">
        <v>100.0</v>
      </c>
      <c r="AC56" s="33">
        <f>'Old Balance Sheet'!E56 + 'ACPL Calculations - 1.0'!E56 + 'ACPL Calculations - 2.0'!E56</f>
        <v>0</v>
      </c>
      <c r="AD56" s="30" t="s">
        <v>3820</v>
      </c>
      <c r="AE56" s="34">
        <v>838.99</v>
      </c>
      <c r="AF56" s="32" t="s">
        <v>3818</v>
      </c>
      <c r="AG56" s="31">
        <v>100.0</v>
      </c>
      <c r="AH56" s="33">
        <f>'Old Balance Sheet'!F56 + 'ACPL Calculations - 1.0'!F56 + 'ACPL Calculations - 2.0'!F56</f>
        <v>0</v>
      </c>
      <c r="AI56" s="30" t="s">
        <v>3820</v>
      </c>
      <c r="AJ56" s="31">
        <v>170.0</v>
      </c>
      <c r="AK56" s="32" t="s">
        <v>3818</v>
      </c>
      <c r="AL56" s="31">
        <v>100.0</v>
      </c>
      <c r="AM56" s="33">
        <f>'Old Balance Sheet'!G56 + 'ACPL Calculations - 1.0'!G56 + 'ACPL Calculations - 2.0'!G56</f>
        <v>0</v>
      </c>
      <c r="AN56" s="30" t="s">
        <v>3820</v>
      </c>
      <c r="AO56" s="31">
        <v>170.0</v>
      </c>
      <c r="AP56" s="32" t="s">
        <v>3818</v>
      </c>
      <c r="AQ56" s="31">
        <v>100.0</v>
      </c>
      <c r="AR56" s="33">
        <f>'Old Balance Sheet'!H56 + 'ACPL Calculations - 1.0'!H56 + 'ACPL Calculations - 2.0'!H56</f>
        <v>0</v>
      </c>
      <c r="AS56" s="30" t="s">
        <v>3819</v>
      </c>
      <c r="AT56" s="31">
        <v>838.99</v>
      </c>
      <c r="AU56" s="32" t="s">
        <v>3818</v>
      </c>
      <c r="AV56" s="31">
        <v>100.0</v>
      </c>
      <c r="AW56" s="33">
        <f>'Old Balance Sheet'!I56 + 'ACPL Calculations - 1.0'!I56 + 'ACPL Calculations - 2.0'!I56</f>
        <v>0</v>
      </c>
      <c r="AX56" s="30" t="s">
        <v>3820</v>
      </c>
      <c r="AY56" s="31">
        <v>290.0</v>
      </c>
      <c r="AZ56" s="32" t="s">
        <v>3818</v>
      </c>
      <c r="BA56" s="31">
        <v>100.0</v>
      </c>
      <c r="BB56" s="33">
        <f>'Old Balance Sheet'!J56 + 'ACPL Calculations - 1.0'!J56 + 'ACPL Calculations - 2.0'!J56</f>
        <v>0</v>
      </c>
      <c r="BC56" s="30" t="s">
        <v>3820</v>
      </c>
      <c r="BD56" s="31">
        <v>205.0</v>
      </c>
      <c r="BE56" s="32" t="s">
        <v>3818</v>
      </c>
      <c r="BF56" s="31">
        <v>100.0</v>
      </c>
      <c r="BG56" s="33">
        <f>'Old Balance Sheet'!K56 + 'ACPL Calculations - 1.0'!K56 + 'ACPL Calculations - 2.0'!K56</f>
        <v>0</v>
      </c>
      <c r="BH56" s="30" t="s">
        <v>3820</v>
      </c>
      <c r="BI56" s="31">
        <v>205.0</v>
      </c>
      <c r="BJ56" s="32" t="s">
        <v>3818</v>
      </c>
      <c r="BK56" s="31">
        <v>100.0</v>
      </c>
      <c r="BL56" s="33">
        <f>'Old Balance Sheet'!L56 + 'ACPL Calculations - 1.0'!L56 + 'ACPL Calculations - 2.0'!L56</f>
        <v>0</v>
      </c>
      <c r="BM56" s="33"/>
      <c r="BN56" s="33"/>
      <c r="BO56" s="33"/>
      <c r="BP56" s="33"/>
      <c r="BQ56" s="33"/>
      <c r="BR56" s="33"/>
      <c r="BS56" s="33"/>
      <c r="BT56" s="33"/>
      <c r="BU56" s="33"/>
      <c r="BV56" s="33"/>
      <c r="BW56" s="33"/>
      <c r="BX56" s="33"/>
      <c r="BY56" s="33"/>
      <c r="BZ56" s="33"/>
      <c r="CA56" s="33"/>
      <c r="CB56" s="33"/>
      <c r="CC56" s="33"/>
      <c r="CD56" s="33"/>
      <c r="CE56" s="33"/>
      <c r="CF56" s="33"/>
      <c r="CG56" s="33"/>
      <c r="CH56" s="33"/>
      <c r="CI56" s="33"/>
      <c r="CJ56" s="33"/>
      <c r="CK56" s="33"/>
      <c r="CL56" s="33">
        <f t="shared" si="1"/>
        <v>0</v>
      </c>
      <c r="CM56" s="33">
        <f>'Old Balance Sheet'!R56 + 'ACPL Calculations - 1.0'!S56 + 'ACPL Calculations - 2.0'!S56</f>
        <v>0</v>
      </c>
      <c r="CN56" s="33">
        <f>'Old Balance Sheet'!S56 + 'ACPL Calculations - 1.0'!T56 + 'ACPL Calculations - 2.0'!T56</f>
        <v>0</v>
      </c>
      <c r="CO56" s="33">
        <f t="shared" si="2"/>
        <v>0</v>
      </c>
      <c r="CP56" s="33">
        <f>'Old Balance Sheet'!T56 + 'ACPL Calculations - 1.0'!V56 + 'ACPL Calculations - 2.0'!V56</f>
        <v>0</v>
      </c>
      <c r="CQ56" s="33">
        <f>'Old Balance Sheet'!U56 + 'ACPL Calculations - 1.0'!W56 + 'ACPL Calculations - 2.0'!W56</f>
        <v>0</v>
      </c>
      <c r="CR56" s="33">
        <f>'Old Balance Sheet'!V56 + 'ACPL Calculations - 1.0'!X56 + 'ACPL Calculations - 2.0'!X56</f>
        <v>0</v>
      </c>
      <c r="CS56" s="33">
        <f t="shared" si="3"/>
        <v>0</v>
      </c>
      <c r="CT56" s="35"/>
      <c r="CU56" s="35"/>
      <c r="CV56" s="35"/>
      <c r="CW56" s="36">
        <f>'Old Balance Sheet'!W56 + 'ACPL Calculations - 1.0'!Z56 + 'ACPL Calculations - 2.0'!Z56</f>
        <v>0</v>
      </c>
      <c r="CX56" s="36">
        <f>'Old Balance Sheet'!X56 + 'ACPL Calculations - 1.0'!AA56 + 'ACPL Calculations - 2.0'!AA56</f>
        <v>0</v>
      </c>
      <c r="CY56" s="37">
        <v>0.0</v>
      </c>
      <c r="CZ56" s="38">
        <f>'Old Balance Sheet'!Y56 + 'ACPL Calculations - 1.0'!AB56 + 'ACPL Calculations - 2.0'!AB56</f>
        <v>0</v>
      </c>
      <c r="DA56" s="38">
        <f>'Old Balance Sheet'!Z56 + 'ACPL Calculations - 1.0'!AC56 + 'ACPL Calculations - 2.0'!AC56</f>
        <v>0</v>
      </c>
      <c r="DB56" s="38">
        <f>'Old Balance Sheet'!AA56 + 'ACPL Calculations - 1.0'!AD56 + 'ACPL Calculations - 2.0'!AD56</f>
        <v>0</v>
      </c>
      <c r="DC56" s="38">
        <f>'Old Balance Sheet'!AB56 + 'ACPL Calculations - 1.0'!AE56 + 'ACPL Calculations - 2.0'!AE56</f>
        <v>0</v>
      </c>
      <c r="DD56" s="38">
        <f t="shared" si="4"/>
        <v>0</v>
      </c>
      <c r="DE56" s="33">
        <f t="shared" si="5"/>
        <v>0</v>
      </c>
      <c r="DF56" s="35">
        <v>0.0</v>
      </c>
      <c r="DG56" s="35">
        <v>0.0</v>
      </c>
      <c r="DH56" s="35">
        <v>0.0</v>
      </c>
      <c r="DI56" s="35">
        <v>0.0</v>
      </c>
      <c r="DJ56" s="35">
        <v>0.0</v>
      </c>
      <c r="DK56" s="35">
        <v>0.0</v>
      </c>
      <c r="DL56" s="35">
        <v>0.0</v>
      </c>
      <c r="DM56" s="35">
        <v>0.0</v>
      </c>
      <c r="DN56" s="31">
        <v>0.0</v>
      </c>
      <c r="DO56" s="31">
        <v>0.0</v>
      </c>
      <c r="DP56" s="31">
        <v>0.0</v>
      </c>
      <c r="DQ56" s="31">
        <v>0.0</v>
      </c>
      <c r="DR56" s="31">
        <v>0.0</v>
      </c>
      <c r="DS56" s="31">
        <v>0.0</v>
      </c>
      <c r="DT56" s="31">
        <f>'Old Balance Sheet'!AC56</f>
        <v>0</v>
      </c>
      <c r="DU56" s="31">
        <f>DT56 + SUMIFS('Payments Log'!D:D, 'Payments Log'!B:B, A56, 'Payments Log'!L:L, "Approved", 'Payments Log'!M:M, "Credit") + 'Old Balance Sheet'!AD56 - 'Old Balance Sheet'!AC56</f>
        <v>0</v>
      </c>
      <c r="DV56" s="31">
        <f>SUMIFS('Payments Log'!D:D, 'Payments Log'!B:B, A56, 'Payments Log'!L:L, "Approved", 'Payments Log'!M:M, "Adjustment Credit") - SUMIFS('Payments Log'!D:D, 'Payments Log'!B:B, A56, 'Payments Log'!L:L, "Approved", 'Payments Log'!M:M, "Adjustment Debit") + 'Old Balance Sheet'!AE56</f>
        <v>0</v>
      </c>
      <c r="DW56" s="31">
        <f>IF(MAXIFS('Payments Log'!N:N, 'Payments Log'!L:L, "Approved", 'Payments Log'!M:M, "Credit", 'Payments Log'!B:B, A56) &gt; MAXIFS('Payments Log'!N:N, 'Payments Log'!L:L, "Approved", 'Payments Log'!M:M, "Virtual Credit", 'Payments Log'!B:B, A56), 0, SUMIFS('Payments Log'!D:D, 'Payments Log'!N:N, MAXIFS('Payments Log'!N:N, 'Payments Log'!L:L, "Approved", 'Payments Log'!M:M, "Virtual Credit", 'Payments Log'!B:B, A56)))</f>
        <v>0</v>
      </c>
      <c r="DX56" s="33">
        <f t="shared" si="6"/>
        <v>0</v>
      </c>
      <c r="DY56" s="33">
        <f t="shared" si="7"/>
        <v>0</v>
      </c>
      <c r="DZ56" s="33">
        <f t="shared" si="8"/>
        <v>0</v>
      </c>
      <c r="EA56" s="25" t="str">
        <f>(Sheet1!N56)</f>
        <v>Jain Motorcycle Company</v>
      </c>
      <c r="EB56" s="25" t="str">
        <f>(Sheet1!O56)</f>
        <v>184Y3L-ZLT7vcLiFDItIcLa-18phpzEbgBCBDgt_LGCQ</v>
      </c>
      <c r="EC56" s="26" t="str">
        <f>(Sheet1!P56)</f>
        <v>Sub Dealer</v>
      </c>
      <c r="ED56" s="34" t="s">
        <v>13</v>
      </c>
    </row>
    <row r="57">
      <c r="A57" s="25" t="str">
        <f>(Sheet1!A57)</f>
        <v>16aXNdb7stgyV46CI_ogqmp_5tjDYpkbvhkdKtyDUa8U</v>
      </c>
      <c r="B57" s="25" t="str">
        <f>(Sheet1!B57)</f>
        <v>VAW Atrauli (VAW)</v>
      </c>
      <c r="C57" s="30" t="s">
        <v>13</v>
      </c>
      <c r="D57" s="30" t="s">
        <v>72</v>
      </c>
      <c r="E57" s="30" t="s">
        <v>3820</v>
      </c>
      <c r="F57" s="31">
        <v>170.0</v>
      </c>
      <c r="G57" s="32" t="s">
        <v>3818</v>
      </c>
      <c r="H57" s="31">
        <v>100.0</v>
      </c>
      <c r="I57" s="33">
        <f>'Old Balance Sheet'!A57 + 'ACPL Calculations - 1.0'!A57 + 'ACPL Calculations - 2.0'!A57</f>
        <v>0</v>
      </c>
      <c r="J57" s="30" t="s">
        <v>3820</v>
      </c>
      <c r="K57" s="31">
        <v>170.0</v>
      </c>
      <c r="L57" s="32" t="s">
        <v>3818</v>
      </c>
      <c r="M57" s="31">
        <v>100.0</v>
      </c>
      <c r="N57" s="33">
        <f>'Old Balance Sheet'!B57 + 'ACPL Calculations - 1.0'!B57 + 'ACPL Calculations - 2.0'!B57</f>
        <v>0</v>
      </c>
      <c r="O57" s="30" t="s">
        <v>3820</v>
      </c>
      <c r="P57" s="31">
        <v>170.0</v>
      </c>
      <c r="Q57" s="32" t="s">
        <v>3818</v>
      </c>
      <c r="R57" s="31">
        <v>100.0</v>
      </c>
      <c r="S57" s="33">
        <f>'Old Balance Sheet'!C57 + 'ACPL Calculations - 1.0'!C57 + 'ACPL Calculations - 2.0'!C57</f>
        <v>0</v>
      </c>
      <c r="T57" s="30" t="s">
        <v>3820</v>
      </c>
      <c r="U57" s="31">
        <v>170.0</v>
      </c>
      <c r="V57" s="32" t="s">
        <v>3818</v>
      </c>
      <c r="W57" s="31">
        <v>100.0</v>
      </c>
      <c r="X57" s="33">
        <f>'Old Balance Sheet'!D57 + 'ACPL Calculations - 1.0'!D57 + 'ACPL Calculations - 2.0'!D57</f>
        <v>0</v>
      </c>
      <c r="Y57" s="30" t="s">
        <v>3820</v>
      </c>
      <c r="Z57" s="31">
        <v>170.0</v>
      </c>
      <c r="AA57" s="32" t="s">
        <v>3818</v>
      </c>
      <c r="AB57" s="31">
        <v>100.0</v>
      </c>
      <c r="AC57" s="33">
        <f>'Old Balance Sheet'!E57 + 'ACPL Calculations - 1.0'!E57 + 'ACPL Calculations - 2.0'!E57</f>
        <v>896</v>
      </c>
      <c r="AD57" s="30" t="s">
        <v>3820</v>
      </c>
      <c r="AE57" s="34">
        <v>838.99</v>
      </c>
      <c r="AF57" s="32" t="s">
        <v>3818</v>
      </c>
      <c r="AG57" s="31">
        <v>100.0</v>
      </c>
      <c r="AH57" s="33">
        <f>'Old Balance Sheet'!F57 + 'ACPL Calculations - 1.0'!F57 + 'ACPL Calculations - 2.0'!F57</f>
        <v>0</v>
      </c>
      <c r="AI57" s="30" t="s">
        <v>3820</v>
      </c>
      <c r="AJ57" s="31">
        <v>170.0</v>
      </c>
      <c r="AK57" s="32" t="s">
        <v>3818</v>
      </c>
      <c r="AL57" s="31">
        <v>100.0</v>
      </c>
      <c r="AM57" s="33">
        <f>'Old Balance Sheet'!G57 + 'ACPL Calculations - 1.0'!G57 + 'ACPL Calculations - 2.0'!G57</f>
        <v>0</v>
      </c>
      <c r="AN57" s="30" t="s">
        <v>3820</v>
      </c>
      <c r="AO57" s="31">
        <v>170.0</v>
      </c>
      <c r="AP57" s="32" t="s">
        <v>3818</v>
      </c>
      <c r="AQ57" s="31">
        <v>100.0</v>
      </c>
      <c r="AR57" s="33">
        <f>'Old Balance Sheet'!H57 + 'ACPL Calculations - 1.0'!H57 + 'ACPL Calculations - 2.0'!H57</f>
        <v>0</v>
      </c>
      <c r="AS57" s="30" t="s">
        <v>3819</v>
      </c>
      <c r="AT57" s="31">
        <v>838.99</v>
      </c>
      <c r="AU57" s="32" t="s">
        <v>3818</v>
      </c>
      <c r="AV57" s="31">
        <v>100.0</v>
      </c>
      <c r="AW57" s="33">
        <f>'Old Balance Sheet'!I57 + 'ACPL Calculations - 1.0'!I57 + 'ACPL Calculations - 2.0'!I57</f>
        <v>0</v>
      </c>
      <c r="AX57" s="30" t="s">
        <v>3820</v>
      </c>
      <c r="AY57" s="31">
        <v>290.0</v>
      </c>
      <c r="AZ57" s="32" t="s">
        <v>3818</v>
      </c>
      <c r="BA57" s="31">
        <v>100.0</v>
      </c>
      <c r="BB57" s="33">
        <f>'Old Balance Sheet'!J57 + 'ACPL Calculations - 1.0'!J57 + 'ACPL Calculations - 2.0'!J57</f>
        <v>0</v>
      </c>
      <c r="BC57" s="30" t="s">
        <v>3820</v>
      </c>
      <c r="BD57" s="31">
        <v>205.0</v>
      </c>
      <c r="BE57" s="32" t="s">
        <v>3818</v>
      </c>
      <c r="BF57" s="31">
        <v>100.0</v>
      </c>
      <c r="BG57" s="33">
        <f>'Old Balance Sheet'!K57 + 'ACPL Calculations - 1.0'!K57 + 'ACPL Calculations - 2.0'!K57</f>
        <v>0</v>
      </c>
      <c r="BH57" s="30" t="s">
        <v>3820</v>
      </c>
      <c r="BI57" s="31">
        <v>205.0</v>
      </c>
      <c r="BJ57" s="32" t="s">
        <v>3818</v>
      </c>
      <c r="BK57" s="31">
        <v>100.0</v>
      </c>
      <c r="BL57" s="33">
        <f>'Old Balance Sheet'!L57 + 'ACPL Calculations - 1.0'!L57 + 'ACPL Calculations - 2.0'!L57</f>
        <v>0</v>
      </c>
      <c r="BM57" s="33"/>
      <c r="BN57" s="33"/>
      <c r="BO57" s="33"/>
      <c r="BP57" s="33"/>
      <c r="BQ57" s="33"/>
      <c r="BR57" s="33"/>
      <c r="BS57" s="33"/>
      <c r="BT57" s="33"/>
      <c r="BU57" s="33"/>
      <c r="BV57" s="33"/>
      <c r="BW57" s="33"/>
      <c r="BX57" s="33"/>
      <c r="BY57" s="33"/>
      <c r="BZ57" s="33"/>
      <c r="CA57" s="33"/>
      <c r="CB57" s="33"/>
      <c r="CC57" s="33"/>
      <c r="CD57" s="33"/>
      <c r="CE57" s="33"/>
      <c r="CF57" s="33"/>
      <c r="CG57" s="33"/>
      <c r="CH57" s="33"/>
      <c r="CI57" s="33"/>
      <c r="CJ57" s="33"/>
      <c r="CK57" s="33"/>
      <c r="CL57" s="33">
        <f t="shared" si="1"/>
        <v>896</v>
      </c>
      <c r="CM57" s="33">
        <f>'Old Balance Sheet'!R57 + 'ACPL Calculations - 1.0'!S57 + 'ACPL Calculations - 2.0'!S57</f>
        <v>1657620</v>
      </c>
      <c r="CN57" s="33">
        <f>'Old Balance Sheet'!S57 + 'ACPL Calculations - 1.0'!T57 + 'ACPL Calculations - 2.0'!T57</f>
        <v>152320</v>
      </c>
      <c r="CO57" s="33">
        <f t="shared" si="2"/>
        <v>405174.25</v>
      </c>
      <c r="CP57" s="33">
        <f>'Old Balance Sheet'!T57 + 'ACPL Calculations - 1.0'!V57 + 'ACPL Calculations - 2.0'!V57</f>
        <v>0</v>
      </c>
      <c r="CQ57" s="33">
        <f>'Old Balance Sheet'!U57 + 'ACPL Calculations - 1.0'!W57 + 'ACPL Calculations - 2.0'!W57</f>
        <v>0</v>
      </c>
      <c r="CR57" s="33">
        <f>'Old Balance Sheet'!V57 + 'ACPL Calculations - 1.0'!X57 + 'ACPL Calculations - 2.0'!X57</f>
        <v>252854.25</v>
      </c>
      <c r="CS57" s="33">
        <f t="shared" si="3"/>
        <v>252854.25</v>
      </c>
      <c r="CT57" s="35"/>
      <c r="CU57" s="35"/>
      <c r="CV57" s="35"/>
      <c r="CW57" s="36">
        <f>'Old Balance Sheet'!W57 + 'ACPL Calculations - 1.0'!Z57 + 'ACPL Calculations - 2.0'!Z57</f>
        <v>0</v>
      </c>
      <c r="CX57" s="36">
        <f>'Old Balance Sheet'!X57 + 'ACPL Calculations - 1.0'!AA57 + 'ACPL Calculations - 2.0'!AA57</f>
        <v>0</v>
      </c>
      <c r="CY57" s="37">
        <v>0.0</v>
      </c>
      <c r="CZ57" s="38">
        <f>'Old Balance Sheet'!Y57 + 'ACPL Calculations - 1.0'!AB57 + 'ACPL Calculations - 2.0'!AB57</f>
        <v>0</v>
      </c>
      <c r="DA57" s="38">
        <f>'Old Balance Sheet'!Z57 + 'ACPL Calculations - 1.0'!AC57 + 'ACPL Calculations - 2.0'!AC57</f>
        <v>0</v>
      </c>
      <c r="DB57" s="38">
        <f>'Old Balance Sheet'!AA57 + 'ACPL Calculations - 1.0'!AD57 + 'ACPL Calculations - 2.0'!AD57</f>
        <v>0</v>
      </c>
      <c r="DC57" s="38">
        <f>'Old Balance Sheet'!AB57 + 'ACPL Calculations - 1.0'!AE57 + 'ACPL Calculations - 2.0'!AE57</f>
        <v>0</v>
      </c>
      <c r="DD57" s="38">
        <f t="shared" si="4"/>
        <v>0</v>
      </c>
      <c r="DE57" s="33">
        <f t="shared" si="5"/>
        <v>0</v>
      </c>
      <c r="DF57" s="35">
        <v>0.0</v>
      </c>
      <c r="DG57" s="35">
        <v>0.0</v>
      </c>
      <c r="DH57" s="35">
        <v>0.0</v>
      </c>
      <c r="DI57" s="35">
        <v>0.0</v>
      </c>
      <c r="DJ57" s="35">
        <v>0.0</v>
      </c>
      <c r="DK57" s="35">
        <v>0.0</v>
      </c>
      <c r="DL57" s="35">
        <v>0.0</v>
      </c>
      <c r="DM57" s="35">
        <v>0.0</v>
      </c>
      <c r="DN57" s="31">
        <v>0.0</v>
      </c>
      <c r="DO57" s="31">
        <v>0.0</v>
      </c>
      <c r="DP57" s="31">
        <v>0.0</v>
      </c>
      <c r="DQ57" s="31">
        <v>0.0</v>
      </c>
      <c r="DR57" s="31">
        <v>0.0</v>
      </c>
      <c r="DS57" s="31">
        <v>0.0</v>
      </c>
      <c r="DT57" s="31">
        <f>'Old Balance Sheet'!AC57</f>
        <v>0</v>
      </c>
      <c r="DU57" s="31">
        <f>DT57 + SUMIFS('Payments Log'!D:D, 'Payments Log'!B:B, A57, 'Payments Log'!L:L, "Approved", 'Payments Log'!M:M, "Credit") + 'Old Balance Sheet'!AD57 - 'Old Balance Sheet'!AC57</f>
        <v>0</v>
      </c>
      <c r="DV57" s="31">
        <f>SUMIFS('Payments Log'!D:D, 'Payments Log'!B:B, A57, 'Payments Log'!L:L, "Approved", 'Payments Log'!M:M, "Adjustment Credit") - SUMIFS('Payments Log'!D:D, 'Payments Log'!B:B, A57, 'Payments Log'!L:L, "Approved", 'Payments Log'!M:M, "Adjustment Debit") + 'Old Balance Sheet'!AE57</f>
        <v>0</v>
      </c>
      <c r="DW57" s="31">
        <f>IF(MAXIFS('Payments Log'!N:N, 'Payments Log'!L:L, "Approved", 'Payments Log'!M:M, "Credit", 'Payments Log'!B:B, A57) &gt; MAXIFS('Payments Log'!N:N, 'Payments Log'!L:L, "Approved", 'Payments Log'!M:M, "Virtual Credit", 'Payments Log'!B:B, A57), 0, SUMIFS('Payments Log'!D:D, 'Payments Log'!N:N, MAXIFS('Payments Log'!N:N, 'Payments Log'!L:L, "Approved", 'Payments Log'!M:M, "Virtual Credit", 'Payments Log'!B:B, A57)))</f>
        <v>0</v>
      </c>
      <c r="DX57" s="33">
        <f t="shared" si="6"/>
        <v>0</v>
      </c>
      <c r="DY57" s="33">
        <f t="shared" si="7"/>
        <v>0</v>
      </c>
      <c r="DZ57" s="33">
        <f t="shared" si="8"/>
        <v>0</v>
      </c>
      <c r="EA57" s="25" t="str">
        <f>(Sheet1!N57)</f>
        <v>Vikas Autowheels</v>
      </c>
      <c r="EB57" s="25" t="str">
        <f>(Sheet1!O57)</f>
        <v>1944RLX7T1M23YXRXYoMnJ6nD_bKLldQXRpFRA0rDLvg</v>
      </c>
      <c r="EC57" s="26" t="str">
        <f>(Sheet1!P57)</f>
        <v>Sub Dealer</v>
      </c>
      <c r="ED57" s="34" t="s">
        <v>13</v>
      </c>
    </row>
    <row r="58">
      <c r="A58" s="25" t="str">
        <f>(Sheet1!A58)</f>
        <v>1geel52z8WCTlGIS5yuTVHXXiwt6tFtcJPqsUJk3zExI</v>
      </c>
      <c r="B58" s="25" t="str">
        <f>(Sheet1!B58)</f>
        <v>Saanvi Hero - Dehradun</v>
      </c>
      <c r="C58" s="30" t="s">
        <v>13</v>
      </c>
      <c r="D58" s="30" t="s">
        <v>72</v>
      </c>
      <c r="E58" s="30" t="s">
        <v>3817</v>
      </c>
      <c r="F58" s="31">
        <v>205.0</v>
      </c>
      <c r="G58" s="32" t="s">
        <v>3818</v>
      </c>
      <c r="H58" s="31">
        <v>100.0</v>
      </c>
      <c r="I58" s="33">
        <f>'Old Balance Sheet'!A58 + 'ACPL Calculations - 1.0'!A58 + 'ACPL Calculations - 2.0'!A58</f>
        <v>5</v>
      </c>
      <c r="J58" s="30" t="s">
        <v>3817</v>
      </c>
      <c r="K58" s="31">
        <v>205.0</v>
      </c>
      <c r="L58" s="32" t="s">
        <v>3818</v>
      </c>
      <c r="M58" s="31">
        <v>100.0</v>
      </c>
      <c r="N58" s="33">
        <f>'Old Balance Sheet'!B58 + 'ACPL Calculations - 1.0'!B58 + 'ACPL Calculations - 2.0'!B58</f>
        <v>0</v>
      </c>
      <c r="O58" s="30" t="s">
        <v>3817</v>
      </c>
      <c r="P58" s="31">
        <v>290.0</v>
      </c>
      <c r="Q58" s="32" t="s">
        <v>3818</v>
      </c>
      <c r="R58" s="31">
        <v>100.0</v>
      </c>
      <c r="S58" s="33">
        <f>'Old Balance Sheet'!C58 + 'ACPL Calculations - 1.0'!C58 + 'ACPL Calculations - 2.0'!C58</f>
        <v>0</v>
      </c>
      <c r="T58" s="30" t="s">
        <v>3817</v>
      </c>
      <c r="U58" s="31">
        <v>375.0</v>
      </c>
      <c r="V58" s="32" t="s">
        <v>3818</v>
      </c>
      <c r="W58" s="31">
        <v>100.0</v>
      </c>
      <c r="X58" s="33">
        <f>'Old Balance Sheet'!D58 + 'ACPL Calculations - 1.0'!D58 + 'ACPL Calculations - 2.0'!D58</f>
        <v>0</v>
      </c>
      <c r="Y58" s="30" t="s">
        <v>3817</v>
      </c>
      <c r="Z58" s="31">
        <v>425.0</v>
      </c>
      <c r="AA58" s="32" t="s">
        <v>3818</v>
      </c>
      <c r="AB58" s="31">
        <v>100.0</v>
      </c>
      <c r="AC58" s="33">
        <f>'Old Balance Sheet'!E58 + 'ACPL Calculations - 1.0'!E58 + 'ACPL Calculations - 2.0'!E58</f>
        <v>2226</v>
      </c>
      <c r="AD58" s="30" t="s">
        <v>3817</v>
      </c>
      <c r="AE58" s="34">
        <v>838.99</v>
      </c>
      <c r="AF58" s="32" t="s">
        <v>3818</v>
      </c>
      <c r="AG58" s="31">
        <v>100.0</v>
      </c>
      <c r="AH58" s="33">
        <f>'Old Balance Sheet'!F58 + 'ACPL Calculations - 1.0'!F58 + 'ACPL Calculations - 2.0'!F58</f>
        <v>0</v>
      </c>
      <c r="AI58" s="30" t="s">
        <v>3817</v>
      </c>
      <c r="AJ58" s="31">
        <v>375.0</v>
      </c>
      <c r="AK58" s="32" t="s">
        <v>3818</v>
      </c>
      <c r="AL58" s="31">
        <v>100.0</v>
      </c>
      <c r="AM58" s="33">
        <f>'Old Balance Sheet'!G58 + 'ACPL Calculations - 1.0'!G58 + 'ACPL Calculations - 2.0'!G58</f>
        <v>0</v>
      </c>
      <c r="AN58" s="30" t="s">
        <v>3817</v>
      </c>
      <c r="AO58" s="31">
        <v>290.0</v>
      </c>
      <c r="AP58" s="32" t="s">
        <v>3818</v>
      </c>
      <c r="AQ58" s="31">
        <v>100.0</v>
      </c>
      <c r="AR58" s="33">
        <f>'Old Balance Sheet'!H58 + 'ACPL Calculations - 1.0'!H58 + 'ACPL Calculations - 2.0'!H58</f>
        <v>0</v>
      </c>
      <c r="AS58" s="30" t="s">
        <v>3819</v>
      </c>
      <c r="AT58" s="31">
        <v>838.99</v>
      </c>
      <c r="AU58" s="32" t="s">
        <v>3818</v>
      </c>
      <c r="AV58" s="31">
        <v>100.0</v>
      </c>
      <c r="AW58" s="33">
        <f>'Old Balance Sheet'!I58 + 'ACPL Calculations - 1.0'!I58 + 'ACPL Calculations - 2.0'!I58</f>
        <v>0</v>
      </c>
      <c r="AX58" s="30" t="s">
        <v>3817</v>
      </c>
      <c r="AY58" s="31">
        <v>290.0</v>
      </c>
      <c r="AZ58" s="32" t="s">
        <v>3818</v>
      </c>
      <c r="BA58" s="31">
        <v>100.0</v>
      </c>
      <c r="BB58" s="33">
        <f>'Old Balance Sheet'!J58 + 'ACPL Calculations - 1.0'!J58 + 'ACPL Calculations - 2.0'!J58</f>
        <v>0</v>
      </c>
      <c r="BC58" s="30" t="s">
        <v>3817</v>
      </c>
      <c r="BD58" s="31">
        <v>205.0</v>
      </c>
      <c r="BE58" s="32" t="s">
        <v>3818</v>
      </c>
      <c r="BF58" s="31">
        <v>100.0</v>
      </c>
      <c r="BG58" s="33">
        <f>'Old Balance Sheet'!K58 + 'ACPL Calculations - 1.0'!K58 + 'ACPL Calculations - 2.0'!K58</f>
        <v>0</v>
      </c>
      <c r="BH58" s="30" t="s">
        <v>3817</v>
      </c>
      <c r="BI58" s="31">
        <v>205.0</v>
      </c>
      <c r="BJ58" s="32" t="s">
        <v>3818</v>
      </c>
      <c r="BK58" s="31">
        <v>100.0</v>
      </c>
      <c r="BL58" s="33">
        <f>'Old Balance Sheet'!L58 + 'ACPL Calculations - 1.0'!L58 + 'ACPL Calculations - 2.0'!L58</f>
        <v>0</v>
      </c>
      <c r="BM58" s="33"/>
      <c r="BN58" s="33"/>
      <c r="BO58" s="33"/>
      <c r="BP58" s="33"/>
      <c r="BQ58" s="33"/>
      <c r="BR58" s="33"/>
      <c r="BS58" s="33"/>
      <c r="BT58" s="33"/>
      <c r="BU58" s="33"/>
      <c r="BV58" s="33"/>
      <c r="BW58" s="33"/>
      <c r="BX58" s="33"/>
      <c r="BY58" s="33"/>
      <c r="BZ58" s="33"/>
      <c r="CA58" s="33"/>
      <c r="CB58" s="33"/>
      <c r="CC58" s="33"/>
      <c r="CD58" s="33"/>
      <c r="CE58" s="33"/>
      <c r="CF58" s="33"/>
      <c r="CG58" s="33"/>
      <c r="CH58" s="33"/>
      <c r="CI58" s="33"/>
      <c r="CJ58" s="33"/>
      <c r="CK58" s="33"/>
      <c r="CL58" s="33">
        <f t="shared" si="1"/>
        <v>2231</v>
      </c>
      <c r="CM58" s="33">
        <f>'Old Balance Sheet'!R58 + 'ACPL Calculations - 1.0'!S58 + 'ACPL Calculations - 2.0'!S58</f>
        <v>2753612.1</v>
      </c>
      <c r="CN58" s="33">
        <f>'Old Balance Sheet'!S58 + 'ACPL Calculations - 1.0'!T58 + 'ACPL Calculations - 2.0'!T58</f>
        <v>947075</v>
      </c>
      <c r="CO58" s="33">
        <f t="shared" si="2"/>
        <v>1367113.96</v>
      </c>
      <c r="CP58" s="33">
        <f>'Old Balance Sheet'!T58 + 'ACPL Calculations - 1.0'!V58 + 'ACPL Calculations - 2.0'!V58</f>
        <v>38.25</v>
      </c>
      <c r="CQ58" s="33">
        <f>'Old Balance Sheet'!U58 + 'ACPL Calculations - 1.0'!W58 + 'ACPL Calculations - 2.0'!W58</f>
        <v>38.25</v>
      </c>
      <c r="CR58" s="33">
        <f>'Old Balance Sheet'!V58 + 'ACPL Calculations - 1.0'!X58 + 'ACPL Calculations - 2.0'!X58</f>
        <v>419962.46</v>
      </c>
      <c r="CS58" s="33">
        <f t="shared" si="3"/>
        <v>420038.96</v>
      </c>
      <c r="CT58" s="35"/>
      <c r="CU58" s="35"/>
      <c r="CV58" s="35"/>
      <c r="CW58" s="36">
        <f>'Old Balance Sheet'!W58 + 'ACPL Calculations - 1.0'!Z58 + 'ACPL Calculations - 2.0'!Z58</f>
        <v>1599433.61</v>
      </c>
      <c r="CX58" s="36">
        <f>'Old Balance Sheet'!X58 + 'ACPL Calculations - 1.0'!AA58 + 'ACPL Calculations - 2.0'!AA58</f>
        <v>1436434.37</v>
      </c>
      <c r="CY58" s="37">
        <v>0.0</v>
      </c>
      <c r="CZ58" s="38">
        <f>'Old Balance Sheet'!Y58 + 'ACPL Calculations - 1.0'!AB58 + 'ACPL Calculations - 2.0'!AB58</f>
        <v>1386498.14</v>
      </c>
      <c r="DA58" s="38">
        <f>'Old Balance Sheet'!Z58 + 'ACPL Calculations - 1.0'!AC58 + 'ACPL Calculations - 2.0'!AC58</f>
        <v>1154178.49</v>
      </c>
      <c r="DB58" s="38">
        <f>'Old Balance Sheet'!AA58 + 'ACPL Calculations - 1.0'!AD58 + 'ACPL Calculations - 2.0'!AD58</f>
        <v>69320.41</v>
      </c>
      <c r="DC58" s="38">
        <f>'Old Balance Sheet'!AB58 + 'ACPL Calculations - 1.0'!AE58 + 'ACPL Calculations - 2.0'!AE58</f>
        <v>162999.24</v>
      </c>
      <c r="DD58" s="38">
        <f t="shared" si="4"/>
        <v>162999.24</v>
      </c>
      <c r="DE58" s="33">
        <f t="shared" si="5"/>
        <v>162999.24</v>
      </c>
      <c r="DF58" s="35">
        <v>0.0</v>
      </c>
      <c r="DG58" s="35">
        <v>0.0</v>
      </c>
      <c r="DH58" s="35">
        <v>0.0</v>
      </c>
      <c r="DI58" s="35">
        <v>0.0</v>
      </c>
      <c r="DJ58" s="35">
        <v>0.0</v>
      </c>
      <c r="DK58" s="35">
        <v>0.0</v>
      </c>
      <c r="DL58" s="35">
        <v>0.0</v>
      </c>
      <c r="DM58" s="35">
        <v>0.0</v>
      </c>
      <c r="DN58" s="31">
        <v>0.0</v>
      </c>
      <c r="DO58" s="31">
        <v>0.0</v>
      </c>
      <c r="DP58" s="31">
        <v>0.0</v>
      </c>
      <c r="DQ58" s="31">
        <v>0.0</v>
      </c>
      <c r="DR58" s="31">
        <v>0.0</v>
      </c>
      <c r="DS58" s="31">
        <v>0.0</v>
      </c>
      <c r="DT58" s="31">
        <f>'Old Balance Sheet'!AC58</f>
        <v>-66901</v>
      </c>
      <c r="DU58" s="31">
        <f>DT58 + SUMIFS('Payments Log'!D:D, 'Payments Log'!B:B, A58, 'Payments Log'!L:L, "Approved", 'Payments Log'!M:M, "Credit") + 'Old Balance Sheet'!AD58 - 'Old Balance Sheet'!AC58</f>
        <v>1436434</v>
      </c>
      <c r="DV58" s="31">
        <f>SUMIFS('Payments Log'!D:D, 'Payments Log'!B:B, A58, 'Payments Log'!L:L, "Approved", 'Payments Log'!M:M, "Adjustment Credit") - SUMIFS('Payments Log'!D:D, 'Payments Log'!B:B, A58, 'Payments Log'!L:L, "Approved", 'Payments Log'!M:M, "Adjustment Debit") + 'Old Balance Sheet'!AE58</f>
        <v>163000</v>
      </c>
      <c r="DW58" s="31">
        <f>IF(MAXIFS('Payments Log'!N:N, 'Payments Log'!L:L, "Approved", 'Payments Log'!M:M, "Credit", 'Payments Log'!B:B, A58) &gt; MAXIFS('Payments Log'!N:N, 'Payments Log'!L:L, "Approved", 'Payments Log'!M:M, "Virtual Credit", 'Payments Log'!B:B, A58), 0, SUMIFS('Payments Log'!D:D, 'Payments Log'!N:N, MAXIFS('Payments Log'!N:N, 'Payments Log'!L:L, "Approved", 'Payments Log'!M:M, "Virtual Credit", 'Payments Log'!B:B, A58)))</f>
        <v>0</v>
      </c>
      <c r="DX58" s="33">
        <f t="shared" si="6"/>
        <v>0.389999999</v>
      </c>
      <c r="DY58" s="33">
        <f t="shared" si="7"/>
        <v>162999.63</v>
      </c>
      <c r="DZ58" s="33">
        <f t="shared" si="8"/>
        <v>162999.63</v>
      </c>
      <c r="EA58" s="25" t="str">
        <f>(Sheet1!N58)</f>
        <v>Saanvi Hero - Dehradun</v>
      </c>
      <c r="EB58" s="25" t="str">
        <f>(Sheet1!O58)</f>
        <v>1geel52z8WCTlGIS5yuTVHXXiwt6tFtcJPqsUJk3zExI</v>
      </c>
      <c r="EC58" s="26" t="str">
        <f>(Sheet1!P58)</f>
        <v>Dealer</v>
      </c>
      <c r="ED58" s="34" t="s">
        <v>13</v>
      </c>
    </row>
    <row r="59">
      <c r="A59" s="25" t="str">
        <f>(Sheet1!A59)</f>
        <v>1ZHGDvOVAJIc2OBgE48Z8YcdJsudhxavgOBsoHLuIwlA</v>
      </c>
      <c r="B59" s="25" t="str">
        <f>(Sheet1!B59)</f>
        <v>AAA2</v>
      </c>
      <c r="C59" s="30" t="s">
        <v>13</v>
      </c>
      <c r="D59" s="30" t="s">
        <v>72</v>
      </c>
      <c r="E59" s="30" t="s">
        <v>3819</v>
      </c>
      <c r="F59" s="40">
        <v>155.0</v>
      </c>
      <c r="G59" s="32" t="s">
        <v>3818</v>
      </c>
      <c r="H59" s="31">
        <v>100.0</v>
      </c>
      <c r="I59" s="33">
        <f>'Old Balance Sheet'!A59 + 'ACPL Calculations - 1.0'!A59 + 'ACPL Calculations - 2.0'!A59</f>
        <v>2</v>
      </c>
      <c r="J59" s="30" t="s">
        <v>3819</v>
      </c>
      <c r="K59" s="31">
        <v>155.0</v>
      </c>
      <c r="L59" s="32" t="s">
        <v>3818</v>
      </c>
      <c r="M59" s="31">
        <v>100.0</v>
      </c>
      <c r="N59" s="33">
        <f>'Old Balance Sheet'!B59 + 'ACPL Calculations - 1.0'!B59 + 'ACPL Calculations - 2.0'!B59</f>
        <v>0</v>
      </c>
      <c r="O59" s="30" t="s">
        <v>3819</v>
      </c>
      <c r="P59" s="31">
        <v>155.0</v>
      </c>
      <c r="Q59" s="32" t="s">
        <v>3818</v>
      </c>
      <c r="R59" s="31">
        <v>100.0</v>
      </c>
      <c r="S59" s="33">
        <f>'Old Balance Sheet'!C59 + 'ACPL Calculations - 1.0'!C59 + 'ACPL Calculations - 2.0'!C59</f>
        <v>27</v>
      </c>
      <c r="T59" s="30" t="s">
        <v>3819</v>
      </c>
      <c r="U59" s="31">
        <v>155.0</v>
      </c>
      <c r="V59" s="32" t="s">
        <v>3818</v>
      </c>
      <c r="W59" s="31">
        <v>100.0</v>
      </c>
      <c r="X59" s="33">
        <f>'Old Balance Sheet'!D59 + 'ACPL Calculations - 1.0'!D59 + 'ACPL Calculations - 2.0'!D59</f>
        <v>0</v>
      </c>
      <c r="Y59" s="30" t="s">
        <v>3819</v>
      </c>
      <c r="Z59" s="41">
        <v>155.0</v>
      </c>
      <c r="AA59" s="32" t="s">
        <v>3818</v>
      </c>
      <c r="AB59" s="31">
        <v>100.0</v>
      </c>
      <c r="AC59" s="33">
        <f>'Old Balance Sheet'!E59 + 'ACPL Calculations - 1.0'!E59 + 'ACPL Calculations - 2.0'!E59</f>
        <v>673</v>
      </c>
      <c r="AD59" s="30" t="s">
        <v>3819</v>
      </c>
      <c r="AE59" s="34">
        <v>838.99</v>
      </c>
      <c r="AF59" s="32" t="s">
        <v>3818</v>
      </c>
      <c r="AG59" s="31">
        <v>100.0</v>
      </c>
      <c r="AH59" s="33">
        <f>'Old Balance Sheet'!F59 + 'ACPL Calculations - 1.0'!F59 + 'ACPL Calculations - 2.0'!F59</f>
        <v>0</v>
      </c>
      <c r="AI59" s="30" t="s">
        <v>3819</v>
      </c>
      <c r="AJ59" s="31">
        <v>155.0</v>
      </c>
      <c r="AK59" s="32" t="s">
        <v>3818</v>
      </c>
      <c r="AL59" s="31">
        <v>100.0</v>
      </c>
      <c r="AM59" s="33">
        <f>'Old Balance Sheet'!G59 + 'ACPL Calculations - 1.0'!G59 + 'ACPL Calculations - 2.0'!G59</f>
        <v>0</v>
      </c>
      <c r="AN59" s="30" t="s">
        <v>3819</v>
      </c>
      <c r="AO59" s="31">
        <v>155.0</v>
      </c>
      <c r="AP59" s="32" t="s">
        <v>3818</v>
      </c>
      <c r="AQ59" s="31">
        <v>100.0</v>
      </c>
      <c r="AR59" s="33">
        <f>'Old Balance Sheet'!H59 + 'ACPL Calculations - 1.0'!H59 + 'ACPL Calculations - 2.0'!H59</f>
        <v>0</v>
      </c>
      <c r="AS59" s="30" t="s">
        <v>3819</v>
      </c>
      <c r="AT59" s="31">
        <v>838.99</v>
      </c>
      <c r="AU59" s="32" t="s">
        <v>3818</v>
      </c>
      <c r="AV59" s="31">
        <v>100.0</v>
      </c>
      <c r="AW59" s="33">
        <f>'Old Balance Sheet'!I59 + 'ACPL Calculations - 1.0'!I59 + 'ACPL Calculations - 2.0'!I59</f>
        <v>0</v>
      </c>
      <c r="AX59" s="30" t="s">
        <v>3819</v>
      </c>
      <c r="AY59" s="31">
        <v>155.0</v>
      </c>
      <c r="AZ59" s="32" t="s">
        <v>3818</v>
      </c>
      <c r="BA59" s="31">
        <v>100.0</v>
      </c>
      <c r="BB59" s="33">
        <f>'Old Balance Sheet'!J59 + 'ACPL Calculations - 1.0'!J59 + 'ACPL Calculations - 2.0'!J59</f>
        <v>0</v>
      </c>
      <c r="BC59" s="30" t="s">
        <v>3819</v>
      </c>
      <c r="BD59" s="31">
        <v>155.0</v>
      </c>
      <c r="BE59" s="32" t="s">
        <v>3818</v>
      </c>
      <c r="BF59" s="31">
        <v>100.0</v>
      </c>
      <c r="BG59" s="33">
        <f>'Old Balance Sheet'!K59 + 'ACPL Calculations - 1.0'!K59 + 'ACPL Calculations - 2.0'!K59</f>
        <v>0</v>
      </c>
      <c r="BH59" s="30" t="s">
        <v>3819</v>
      </c>
      <c r="BI59" s="31">
        <v>155.0</v>
      </c>
      <c r="BJ59" s="32" t="s">
        <v>3818</v>
      </c>
      <c r="BK59" s="31">
        <v>100.0</v>
      </c>
      <c r="BL59" s="33">
        <f>'Old Balance Sheet'!L59 + 'ACPL Calculations - 1.0'!L59 + 'ACPL Calculations - 2.0'!L59</f>
        <v>0</v>
      </c>
      <c r="BM59" s="33"/>
      <c r="BN59" s="33"/>
      <c r="BO59" s="33"/>
      <c r="BP59" s="33"/>
      <c r="BQ59" s="33"/>
      <c r="BR59" s="33"/>
      <c r="BS59" s="33"/>
      <c r="BT59" s="33"/>
      <c r="BU59" s="33"/>
      <c r="BV59" s="33"/>
      <c r="BW59" s="33"/>
      <c r="BX59" s="33"/>
      <c r="BY59" s="33"/>
      <c r="BZ59" s="33"/>
      <c r="CA59" s="33"/>
      <c r="CB59" s="33"/>
      <c r="CC59" s="33"/>
      <c r="CD59" s="33"/>
      <c r="CE59" s="33"/>
      <c r="CF59" s="33"/>
      <c r="CG59" s="33"/>
      <c r="CH59" s="33"/>
      <c r="CI59" s="33"/>
      <c r="CJ59" s="33"/>
      <c r="CK59" s="33"/>
      <c r="CL59" s="33">
        <f t="shared" si="1"/>
        <v>702</v>
      </c>
      <c r="CM59" s="33">
        <f>'Old Balance Sheet'!R59 + 'ACPL Calculations - 1.0'!S59 + 'ACPL Calculations - 2.0'!S59</f>
        <v>128395.8</v>
      </c>
      <c r="CN59" s="33">
        <f>'Old Balance Sheet'!S59 + 'ACPL Calculations - 1.0'!T59 + 'ACPL Calculations - 2.0'!T59</f>
        <v>108810</v>
      </c>
      <c r="CO59" s="33">
        <f t="shared" si="2"/>
        <v>128395.8</v>
      </c>
      <c r="CP59" s="33">
        <f>'Old Balance Sheet'!T59 + 'ACPL Calculations - 1.0'!V59 + 'ACPL Calculations - 2.0'!V59</f>
        <v>0</v>
      </c>
      <c r="CQ59" s="33">
        <f>'Old Balance Sheet'!U59 + 'ACPL Calculations - 1.0'!W59 + 'ACPL Calculations - 2.0'!W59</f>
        <v>0</v>
      </c>
      <c r="CR59" s="33">
        <f>'Old Balance Sheet'!V59 + 'ACPL Calculations - 1.0'!X59 + 'ACPL Calculations - 2.0'!X59</f>
        <v>19585.8</v>
      </c>
      <c r="CS59" s="33">
        <f t="shared" si="3"/>
        <v>19585.8</v>
      </c>
      <c r="CT59" s="35"/>
      <c r="CU59" s="35"/>
      <c r="CV59" s="35"/>
      <c r="CW59" s="36">
        <f>'Old Balance Sheet'!W59 + 'ACPL Calculations - 1.0'!Z59 + 'ACPL Calculations - 2.0'!Z59</f>
        <v>0</v>
      </c>
      <c r="CX59" s="36">
        <f>'Old Balance Sheet'!X59 + 'ACPL Calculations - 1.0'!AA59 + 'ACPL Calculations - 2.0'!AA59</f>
        <v>0</v>
      </c>
      <c r="CY59" s="37">
        <v>0.0</v>
      </c>
      <c r="CZ59" s="38">
        <f>'Old Balance Sheet'!Y59 + 'ACPL Calculations - 1.0'!AB59 + 'ACPL Calculations - 2.0'!AB59</f>
        <v>0</v>
      </c>
      <c r="DA59" s="38">
        <f>'Old Balance Sheet'!Z59 + 'ACPL Calculations - 1.0'!AC59 + 'ACPL Calculations - 2.0'!AC59</f>
        <v>0</v>
      </c>
      <c r="DB59" s="38">
        <f>'Old Balance Sheet'!AA59 + 'ACPL Calculations - 1.0'!AD59 + 'ACPL Calculations - 2.0'!AD59</f>
        <v>0</v>
      </c>
      <c r="DC59" s="38">
        <f>'Old Balance Sheet'!AB59 + 'ACPL Calculations - 1.0'!AE59 + 'ACPL Calculations - 2.0'!AE59</f>
        <v>0</v>
      </c>
      <c r="DD59" s="38">
        <f t="shared" si="4"/>
        <v>0</v>
      </c>
      <c r="DE59" s="33">
        <f t="shared" si="5"/>
        <v>0</v>
      </c>
      <c r="DF59" s="35">
        <v>0.0</v>
      </c>
      <c r="DG59" s="35">
        <v>0.0</v>
      </c>
      <c r="DH59" s="35">
        <v>0.0</v>
      </c>
      <c r="DI59" s="35">
        <v>0.0</v>
      </c>
      <c r="DJ59" s="35">
        <v>0.0</v>
      </c>
      <c r="DK59" s="35">
        <v>0.0</v>
      </c>
      <c r="DL59" s="35">
        <v>0.0</v>
      </c>
      <c r="DM59" s="35">
        <v>0.0</v>
      </c>
      <c r="DN59" s="31">
        <v>0.0</v>
      </c>
      <c r="DO59" s="31">
        <v>0.0</v>
      </c>
      <c r="DP59" s="31">
        <v>0.0</v>
      </c>
      <c r="DQ59" s="31">
        <v>0.0</v>
      </c>
      <c r="DR59" s="31">
        <v>0.0</v>
      </c>
      <c r="DS59" s="31">
        <v>0.0</v>
      </c>
      <c r="DT59" s="31">
        <f>'Old Balance Sheet'!AC59</f>
        <v>0</v>
      </c>
      <c r="DU59" s="31">
        <f>DT59 + SUMIFS('Payments Log'!D:D, 'Payments Log'!B:B, A59, 'Payments Log'!L:L, "Approved", 'Payments Log'!M:M, "Credit") + 'Old Balance Sheet'!AD59 - 'Old Balance Sheet'!AC59</f>
        <v>0</v>
      </c>
      <c r="DV59" s="31">
        <f>SUMIFS('Payments Log'!D:D, 'Payments Log'!B:B, A59, 'Payments Log'!L:L, "Approved", 'Payments Log'!M:M, "Adjustment Credit") - SUMIFS('Payments Log'!D:D, 'Payments Log'!B:B, A59, 'Payments Log'!L:L, "Approved", 'Payments Log'!M:M, "Adjustment Debit") + 'Old Balance Sheet'!AE59</f>
        <v>0</v>
      </c>
      <c r="DW59" s="31">
        <f>IF(MAXIFS('Payments Log'!N:N, 'Payments Log'!L:L, "Approved", 'Payments Log'!M:M, "Credit", 'Payments Log'!B:B, A59) &gt; MAXIFS('Payments Log'!N:N, 'Payments Log'!L:L, "Approved", 'Payments Log'!M:M, "Virtual Credit", 'Payments Log'!B:B, A59), 0, SUMIFS('Payments Log'!D:D, 'Payments Log'!N:N, MAXIFS('Payments Log'!N:N, 'Payments Log'!L:L, "Approved", 'Payments Log'!M:M, "Virtual Credit", 'Payments Log'!B:B, A59)))</f>
        <v>0</v>
      </c>
      <c r="DX59" s="33">
        <f t="shared" si="6"/>
        <v>0</v>
      </c>
      <c r="DY59" s="33">
        <f t="shared" si="7"/>
        <v>0</v>
      </c>
      <c r="DZ59" s="33">
        <f t="shared" si="8"/>
        <v>0</v>
      </c>
      <c r="EA59" s="25" t="str">
        <f>(Sheet1!N59)</f>
        <v>AAA</v>
      </c>
      <c r="EB59" s="25" t="str">
        <f>(Sheet1!O59)</f>
        <v>1AjVyIHPgPw3jscNmkTH1qzR2RokK5FZaJLjeNfOiYAA</v>
      </c>
      <c r="EC59" s="26" t="str">
        <f>(Sheet1!P59)</f>
        <v>Sub Dealer</v>
      </c>
      <c r="ED59" s="34" t="s">
        <v>13</v>
      </c>
    </row>
    <row r="60">
      <c r="A60" s="25" t="str">
        <f>(Sheet1!A60)</f>
        <v>1U9bRcPYtMNqh59ZIlDmozxitTaIZXHOWv4l1PG1zN_U</v>
      </c>
      <c r="B60" s="25" t="str">
        <f>(Sheet1!B60)</f>
        <v>Shakun Motors (MAW)</v>
      </c>
      <c r="C60" s="30" t="s">
        <v>13</v>
      </c>
      <c r="D60" s="30" t="s">
        <v>72</v>
      </c>
      <c r="E60" s="30" t="s">
        <v>3820</v>
      </c>
      <c r="F60" s="31">
        <v>170.0</v>
      </c>
      <c r="G60" s="32" t="s">
        <v>3818</v>
      </c>
      <c r="H60" s="31">
        <v>100.0</v>
      </c>
      <c r="I60" s="33">
        <f>'Old Balance Sheet'!A60 + 'ACPL Calculations - 1.0'!A60 + 'ACPL Calculations - 2.0'!A60</f>
        <v>0</v>
      </c>
      <c r="J60" s="30" t="s">
        <v>3820</v>
      </c>
      <c r="K60" s="31">
        <v>170.0</v>
      </c>
      <c r="L60" s="32" t="s">
        <v>3818</v>
      </c>
      <c r="M60" s="31">
        <v>100.0</v>
      </c>
      <c r="N60" s="33">
        <f>'Old Balance Sheet'!B60 + 'ACPL Calculations - 1.0'!B60 + 'ACPL Calculations - 2.0'!B60</f>
        <v>0</v>
      </c>
      <c r="O60" s="30" t="s">
        <v>3820</v>
      </c>
      <c r="P60" s="31">
        <v>170.0</v>
      </c>
      <c r="Q60" s="32" t="s">
        <v>3818</v>
      </c>
      <c r="R60" s="31">
        <v>100.0</v>
      </c>
      <c r="S60" s="33">
        <f>'Old Balance Sheet'!C60 + 'ACPL Calculations - 1.0'!C60 + 'ACPL Calculations - 2.0'!C60</f>
        <v>0</v>
      </c>
      <c r="T60" s="30" t="s">
        <v>3820</v>
      </c>
      <c r="U60" s="31">
        <v>170.0</v>
      </c>
      <c r="V60" s="32" t="s">
        <v>3818</v>
      </c>
      <c r="W60" s="31">
        <v>100.0</v>
      </c>
      <c r="X60" s="33">
        <f>'Old Balance Sheet'!D60 + 'ACPL Calculations - 1.0'!D60 + 'ACPL Calculations - 2.0'!D60</f>
        <v>0</v>
      </c>
      <c r="Y60" s="30" t="s">
        <v>3820</v>
      </c>
      <c r="Z60" s="31">
        <v>170.0</v>
      </c>
      <c r="AA60" s="32" t="s">
        <v>3818</v>
      </c>
      <c r="AB60" s="31">
        <v>100.0</v>
      </c>
      <c r="AC60" s="33">
        <f>'Old Balance Sheet'!E60 + 'ACPL Calculations - 1.0'!E60 + 'ACPL Calculations - 2.0'!E60</f>
        <v>383</v>
      </c>
      <c r="AD60" s="30" t="s">
        <v>3820</v>
      </c>
      <c r="AE60" s="34">
        <v>838.99</v>
      </c>
      <c r="AF60" s="32" t="s">
        <v>3818</v>
      </c>
      <c r="AG60" s="31">
        <v>100.0</v>
      </c>
      <c r="AH60" s="33">
        <f>'Old Balance Sheet'!F60 + 'ACPL Calculations - 1.0'!F60 + 'ACPL Calculations - 2.0'!F60</f>
        <v>0</v>
      </c>
      <c r="AI60" s="30" t="s">
        <v>3820</v>
      </c>
      <c r="AJ60" s="31">
        <v>170.0</v>
      </c>
      <c r="AK60" s="32" t="s">
        <v>3818</v>
      </c>
      <c r="AL60" s="31">
        <v>100.0</v>
      </c>
      <c r="AM60" s="33">
        <f>'Old Balance Sheet'!G60 + 'ACPL Calculations - 1.0'!G60 + 'ACPL Calculations - 2.0'!G60</f>
        <v>0</v>
      </c>
      <c r="AN60" s="30" t="s">
        <v>3820</v>
      </c>
      <c r="AO60" s="31">
        <v>170.0</v>
      </c>
      <c r="AP60" s="32" t="s">
        <v>3818</v>
      </c>
      <c r="AQ60" s="31">
        <v>100.0</v>
      </c>
      <c r="AR60" s="33">
        <f>'Old Balance Sheet'!H60 + 'ACPL Calculations - 1.0'!H60 + 'ACPL Calculations - 2.0'!H60</f>
        <v>0</v>
      </c>
      <c r="AS60" s="30" t="s">
        <v>3819</v>
      </c>
      <c r="AT60" s="31">
        <v>838.99</v>
      </c>
      <c r="AU60" s="32" t="s">
        <v>3818</v>
      </c>
      <c r="AV60" s="31">
        <v>100.0</v>
      </c>
      <c r="AW60" s="33">
        <f>'Old Balance Sheet'!I60 + 'ACPL Calculations - 1.0'!I60 + 'ACPL Calculations - 2.0'!I60</f>
        <v>0</v>
      </c>
      <c r="AX60" s="30" t="s">
        <v>3820</v>
      </c>
      <c r="AY60" s="31">
        <v>170.0</v>
      </c>
      <c r="AZ60" s="32" t="s">
        <v>3818</v>
      </c>
      <c r="BA60" s="31">
        <v>100.0</v>
      </c>
      <c r="BB60" s="33">
        <f>'Old Balance Sheet'!J60 + 'ACPL Calculations - 1.0'!J60 + 'ACPL Calculations - 2.0'!J60</f>
        <v>0</v>
      </c>
      <c r="BC60" s="30" t="s">
        <v>3820</v>
      </c>
      <c r="BD60" s="31">
        <v>170.0</v>
      </c>
      <c r="BE60" s="32" t="s">
        <v>3818</v>
      </c>
      <c r="BF60" s="31">
        <v>100.0</v>
      </c>
      <c r="BG60" s="33">
        <f>'Old Balance Sheet'!K60 + 'ACPL Calculations - 1.0'!K60 + 'ACPL Calculations - 2.0'!K60</f>
        <v>0</v>
      </c>
      <c r="BH60" s="30" t="s">
        <v>3820</v>
      </c>
      <c r="BI60" s="31">
        <v>170.0</v>
      </c>
      <c r="BJ60" s="32" t="s">
        <v>3818</v>
      </c>
      <c r="BK60" s="31">
        <v>100.0</v>
      </c>
      <c r="BL60" s="33">
        <f>'Old Balance Sheet'!L60 + 'ACPL Calculations - 1.0'!L60 + 'ACPL Calculations - 2.0'!L60</f>
        <v>0</v>
      </c>
      <c r="BM60" s="33"/>
      <c r="BN60" s="33"/>
      <c r="BO60" s="33"/>
      <c r="BP60" s="33"/>
      <c r="BQ60" s="33"/>
      <c r="BR60" s="33"/>
      <c r="BS60" s="33"/>
      <c r="BT60" s="33"/>
      <c r="BU60" s="33"/>
      <c r="BV60" s="33"/>
      <c r="BW60" s="33"/>
      <c r="BX60" s="33"/>
      <c r="BY60" s="33"/>
      <c r="BZ60" s="33"/>
      <c r="CA60" s="33"/>
      <c r="CB60" s="33"/>
      <c r="CC60" s="33"/>
      <c r="CD60" s="33"/>
      <c r="CE60" s="33"/>
      <c r="CF60" s="33"/>
      <c r="CG60" s="33"/>
      <c r="CH60" s="33"/>
      <c r="CI60" s="33"/>
      <c r="CJ60" s="33"/>
      <c r="CK60" s="33"/>
      <c r="CL60" s="33">
        <f t="shared" si="1"/>
        <v>383</v>
      </c>
      <c r="CM60" s="33">
        <f>'Old Balance Sheet'!R60 + 'ACPL Calculations - 1.0'!S60 + 'ACPL Calculations - 2.0'!S60</f>
        <v>670250</v>
      </c>
      <c r="CN60" s="33">
        <f>'Old Balance Sheet'!S60 + 'ACPL Calculations - 1.0'!T60 + 'ACPL Calculations - 2.0'!T60</f>
        <v>66270</v>
      </c>
      <c r="CO60" s="33">
        <f t="shared" si="2"/>
        <v>168511.84</v>
      </c>
      <c r="CP60" s="33">
        <f>'Old Balance Sheet'!T60 + 'ACPL Calculations - 1.0'!V60 + 'ACPL Calculations - 2.0'!V60</f>
        <v>133.47</v>
      </c>
      <c r="CQ60" s="33">
        <f>'Old Balance Sheet'!U60 + 'ACPL Calculations - 1.0'!W60 + 'ACPL Calculations - 2.0'!W60</f>
        <v>133.47</v>
      </c>
      <c r="CR60" s="33">
        <f>'Old Balance Sheet'!V60 + 'ACPL Calculations - 1.0'!X60 + 'ACPL Calculations - 2.0'!X60</f>
        <v>101974.9</v>
      </c>
      <c r="CS60" s="33">
        <f t="shared" si="3"/>
        <v>102241.84</v>
      </c>
      <c r="CT60" s="35"/>
      <c r="CU60" s="35"/>
      <c r="CV60" s="35"/>
      <c r="CW60" s="36">
        <f>'Old Balance Sheet'!W60 + 'ACPL Calculations - 1.0'!Z60 + 'ACPL Calculations - 2.0'!Z60</f>
        <v>0</v>
      </c>
      <c r="CX60" s="36">
        <f>'Old Balance Sheet'!X60 + 'ACPL Calculations - 1.0'!AA60 + 'ACPL Calculations - 2.0'!AA60</f>
        <v>0</v>
      </c>
      <c r="CY60" s="37">
        <v>0.0</v>
      </c>
      <c r="CZ60" s="38">
        <f>'Old Balance Sheet'!Y60 + 'ACPL Calculations - 1.0'!AB60 + 'ACPL Calculations - 2.0'!AB60</f>
        <v>0</v>
      </c>
      <c r="DA60" s="38">
        <f>'Old Balance Sheet'!Z60 + 'ACPL Calculations - 1.0'!AC60 + 'ACPL Calculations - 2.0'!AC60</f>
        <v>0</v>
      </c>
      <c r="DB60" s="38">
        <f>'Old Balance Sheet'!AA60 + 'ACPL Calculations - 1.0'!AD60 + 'ACPL Calculations - 2.0'!AD60</f>
        <v>0</v>
      </c>
      <c r="DC60" s="38">
        <f>'Old Balance Sheet'!AB60 + 'ACPL Calculations - 1.0'!AE60 + 'ACPL Calculations - 2.0'!AE60</f>
        <v>0</v>
      </c>
      <c r="DD60" s="38">
        <f t="shared" si="4"/>
        <v>0</v>
      </c>
      <c r="DE60" s="33">
        <f t="shared" si="5"/>
        <v>0</v>
      </c>
      <c r="DF60" s="35">
        <v>0.0</v>
      </c>
      <c r="DG60" s="35">
        <v>0.0</v>
      </c>
      <c r="DH60" s="35">
        <v>0.0</v>
      </c>
      <c r="DI60" s="35">
        <v>0.0</v>
      </c>
      <c r="DJ60" s="35">
        <v>0.0</v>
      </c>
      <c r="DK60" s="35">
        <v>0.0</v>
      </c>
      <c r="DL60" s="35">
        <v>0.0</v>
      </c>
      <c r="DM60" s="35">
        <v>0.0</v>
      </c>
      <c r="DN60" s="31">
        <v>0.0</v>
      </c>
      <c r="DO60" s="31">
        <v>0.0</v>
      </c>
      <c r="DP60" s="31">
        <v>0.0</v>
      </c>
      <c r="DQ60" s="31">
        <v>0.0</v>
      </c>
      <c r="DR60" s="31">
        <v>0.0</v>
      </c>
      <c r="DS60" s="31">
        <v>0.0</v>
      </c>
      <c r="DT60" s="31">
        <f>'Old Balance Sheet'!AC60</f>
        <v>0</v>
      </c>
      <c r="DU60" s="31">
        <f>DT60 + SUMIFS('Payments Log'!D:D, 'Payments Log'!B:B, A60, 'Payments Log'!L:L, "Approved", 'Payments Log'!M:M, "Credit") + 'Old Balance Sheet'!AD60 - 'Old Balance Sheet'!AC60</f>
        <v>0</v>
      </c>
      <c r="DV60" s="31">
        <f>SUMIFS('Payments Log'!D:D, 'Payments Log'!B:B, A60, 'Payments Log'!L:L, "Approved", 'Payments Log'!M:M, "Adjustment Credit") - SUMIFS('Payments Log'!D:D, 'Payments Log'!B:B, A60, 'Payments Log'!L:L, "Approved", 'Payments Log'!M:M, "Adjustment Debit") + 'Old Balance Sheet'!AE60</f>
        <v>0</v>
      </c>
      <c r="DW60" s="31">
        <f>IF(MAXIFS('Payments Log'!N:N, 'Payments Log'!L:L, "Approved", 'Payments Log'!M:M, "Credit", 'Payments Log'!B:B, A60) &gt; MAXIFS('Payments Log'!N:N, 'Payments Log'!L:L, "Approved", 'Payments Log'!M:M, "Virtual Credit", 'Payments Log'!B:B, A60), 0, SUMIFS('Payments Log'!D:D, 'Payments Log'!N:N, MAXIFS('Payments Log'!N:N, 'Payments Log'!L:L, "Approved", 'Payments Log'!M:M, "Virtual Credit", 'Payments Log'!B:B, A60)))</f>
        <v>0</v>
      </c>
      <c r="DX60" s="33">
        <f t="shared" si="6"/>
        <v>0</v>
      </c>
      <c r="DY60" s="33">
        <f t="shared" si="7"/>
        <v>0</v>
      </c>
      <c r="DZ60" s="33">
        <f t="shared" si="8"/>
        <v>0</v>
      </c>
      <c r="EA60" s="25" t="str">
        <f>(Sheet1!N60)</f>
        <v>Maharaja Autoworld</v>
      </c>
      <c r="EB60" s="25" t="str">
        <f>(Sheet1!O60)</f>
        <v>1mkGLSaVL5-IAXKq9KqXFgJH64Li9oMA9V0u_seCn1jg</v>
      </c>
      <c r="EC60" s="26" t="str">
        <f>(Sheet1!P60)</f>
        <v>Sub Dealer</v>
      </c>
      <c r="ED60" s="34" t="s">
        <v>13</v>
      </c>
    </row>
    <row r="61">
      <c r="A61" s="25" t="str">
        <f>(Sheet1!A61)</f>
        <v>1A6lNt4Snbf2zCmcVnV2gegTZ60jgsKSMfqe-lbk0irU</v>
      </c>
      <c r="B61" s="25" t="str">
        <f>(Sheet1!B61)</f>
        <v>Mahadev Automobiles (SBH)</v>
      </c>
      <c r="C61" s="30" t="s">
        <v>13</v>
      </c>
      <c r="D61" s="30" t="s">
        <v>72</v>
      </c>
      <c r="E61" s="30" t="s">
        <v>3819</v>
      </c>
      <c r="F61" s="31">
        <v>169.5</v>
      </c>
      <c r="G61" s="32" t="s">
        <v>3818</v>
      </c>
      <c r="H61" s="31">
        <v>100.0</v>
      </c>
      <c r="I61" s="33">
        <f>'Old Balance Sheet'!A61 + 'ACPL Calculations - 1.0'!A61 + 'ACPL Calculations - 2.0'!A61</f>
        <v>142</v>
      </c>
      <c r="J61" s="30" t="s">
        <v>3819</v>
      </c>
      <c r="K61" s="31">
        <v>205.0</v>
      </c>
      <c r="L61" s="32" t="s">
        <v>3818</v>
      </c>
      <c r="M61" s="31">
        <v>100.0</v>
      </c>
      <c r="N61" s="33">
        <f>'Old Balance Sheet'!B61 + 'ACPL Calculations - 1.0'!B61 + 'ACPL Calculations - 2.0'!B61</f>
        <v>0</v>
      </c>
      <c r="O61" s="30" t="s">
        <v>3819</v>
      </c>
      <c r="P61" s="31">
        <v>290.0</v>
      </c>
      <c r="Q61" s="32" t="s">
        <v>3818</v>
      </c>
      <c r="R61" s="31">
        <v>100.0</v>
      </c>
      <c r="S61" s="33">
        <f>'Old Balance Sheet'!C61 + 'ACPL Calculations - 1.0'!C61 + 'ACPL Calculations - 2.0'!C61</f>
        <v>1</v>
      </c>
      <c r="T61" s="30" t="s">
        <v>3819</v>
      </c>
      <c r="U61" s="31">
        <v>375.0</v>
      </c>
      <c r="V61" s="32" t="s">
        <v>3818</v>
      </c>
      <c r="W61" s="31">
        <v>100.0</v>
      </c>
      <c r="X61" s="33">
        <f>'Old Balance Sheet'!D61 + 'ACPL Calculations - 1.0'!D61 + 'ACPL Calculations - 2.0'!D61</f>
        <v>14</v>
      </c>
      <c r="Y61" s="30" t="s">
        <v>3819</v>
      </c>
      <c r="Z61" s="31">
        <v>339.0</v>
      </c>
      <c r="AA61" s="32" t="s">
        <v>3818</v>
      </c>
      <c r="AB61" s="31">
        <v>100.0</v>
      </c>
      <c r="AC61" s="33">
        <f>'Old Balance Sheet'!E61 + 'ACPL Calculations - 1.0'!E61 + 'ACPL Calculations - 2.0'!E61</f>
        <v>121</v>
      </c>
      <c r="AD61" s="30" t="s">
        <v>3819</v>
      </c>
      <c r="AE61" s="34">
        <v>838.99</v>
      </c>
      <c r="AF61" s="32" t="s">
        <v>3818</v>
      </c>
      <c r="AG61" s="31">
        <v>100.0</v>
      </c>
      <c r="AH61" s="33">
        <f>'Old Balance Sheet'!F61 + 'ACPL Calculations - 1.0'!F61 + 'ACPL Calculations - 2.0'!F61</f>
        <v>0</v>
      </c>
      <c r="AI61" s="30" t="s">
        <v>3819</v>
      </c>
      <c r="AJ61" s="31">
        <v>375.0</v>
      </c>
      <c r="AK61" s="32" t="s">
        <v>3818</v>
      </c>
      <c r="AL61" s="31">
        <v>100.0</v>
      </c>
      <c r="AM61" s="33">
        <f>'Old Balance Sheet'!G61 + 'ACPL Calculations - 1.0'!G61 + 'ACPL Calculations - 2.0'!G61</f>
        <v>0</v>
      </c>
      <c r="AN61" s="30" t="s">
        <v>3819</v>
      </c>
      <c r="AO61" s="31">
        <v>290.0</v>
      </c>
      <c r="AP61" s="32" t="s">
        <v>3818</v>
      </c>
      <c r="AQ61" s="31">
        <v>100.0</v>
      </c>
      <c r="AR61" s="33">
        <f>'Old Balance Sheet'!H61 + 'ACPL Calculations - 1.0'!H61 + 'ACPL Calculations - 2.0'!H61</f>
        <v>13</v>
      </c>
      <c r="AS61" s="30" t="s">
        <v>3819</v>
      </c>
      <c r="AT61" s="31">
        <v>838.99</v>
      </c>
      <c r="AU61" s="32" t="s">
        <v>3818</v>
      </c>
      <c r="AV61" s="31">
        <v>100.0</v>
      </c>
      <c r="AW61" s="33">
        <f>'Old Balance Sheet'!I61 + 'ACPL Calculations - 1.0'!I61 + 'ACPL Calculations - 2.0'!I61</f>
        <v>0</v>
      </c>
      <c r="AX61" s="30" t="s">
        <v>3819</v>
      </c>
      <c r="AY61" s="31">
        <v>290.0</v>
      </c>
      <c r="AZ61" s="32" t="s">
        <v>3818</v>
      </c>
      <c r="BA61" s="31">
        <v>100.0</v>
      </c>
      <c r="BB61" s="33">
        <f>'Old Balance Sheet'!J61 + 'ACPL Calculations - 1.0'!J61 + 'ACPL Calculations - 2.0'!J61</f>
        <v>0</v>
      </c>
      <c r="BC61" s="30" t="s">
        <v>3819</v>
      </c>
      <c r="BD61" s="31">
        <v>205.0</v>
      </c>
      <c r="BE61" s="32" t="s">
        <v>3818</v>
      </c>
      <c r="BF61" s="31">
        <v>100.0</v>
      </c>
      <c r="BG61" s="33">
        <f>'Old Balance Sheet'!K61 + 'ACPL Calculations - 1.0'!K61 + 'ACPL Calculations - 2.0'!K61</f>
        <v>0</v>
      </c>
      <c r="BH61" s="30" t="s">
        <v>3819</v>
      </c>
      <c r="BI61" s="31">
        <v>205.0</v>
      </c>
      <c r="BJ61" s="32" t="s">
        <v>3818</v>
      </c>
      <c r="BK61" s="31">
        <v>100.0</v>
      </c>
      <c r="BL61" s="33">
        <f>'Old Balance Sheet'!L61 + 'ACPL Calculations - 1.0'!L61 + 'ACPL Calculations - 2.0'!L61</f>
        <v>0</v>
      </c>
      <c r="BM61" s="33"/>
      <c r="BN61" s="33"/>
      <c r="BO61" s="33"/>
      <c r="BP61" s="33"/>
      <c r="BQ61" s="33"/>
      <c r="BR61" s="33"/>
      <c r="BS61" s="33"/>
      <c r="BT61" s="33"/>
      <c r="BU61" s="33"/>
      <c r="BV61" s="33"/>
      <c r="BW61" s="33"/>
      <c r="BX61" s="33"/>
      <c r="BY61" s="33"/>
      <c r="BZ61" s="33"/>
      <c r="CA61" s="33"/>
      <c r="CB61" s="33"/>
      <c r="CC61" s="33"/>
      <c r="CD61" s="33"/>
      <c r="CE61" s="33"/>
      <c r="CF61" s="33"/>
      <c r="CG61" s="33"/>
      <c r="CH61" s="33"/>
      <c r="CI61" s="33"/>
      <c r="CJ61" s="33"/>
      <c r="CK61" s="33"/>
      <c r="CL61" s="33">
        <f t="shared" si="1"/>
        <v>291</v>
      </c>
      <c r="CM61" s="33">
        <f>'Old Balance Sheet'!R61 + 'ACPL Calculations - 1.0'!S61 + 'ACPL Calculations - 2.0'!S61</f>
        <v>103259.44</v>
      </c>
      <c r="CN61" s="33">
        <f>'Old Balance Sheet'!S61 + 'ACPL Calculations - 1.0'!T61 + 'ACPL Calculations - 2.0'!T61</f>
        <v>87508</v>
      </c>
      <c r="CO61" s="33">
        <f t="shared" si="2"/>
        <v>103259.44</v>
      </c>
      <c r="CP61" s="33">
        <f>'Old Balance Sheet'!T61 + 'ACPL Calculations - 1.0'!V61 + 'ACPL Calculations - 2.0'!V61</f>
        <v>0</v>
      </c>
      <c r="CQ61" s="33">
        <f>'Old Balance Sheet'!U61 + 'ACPL Calculations - 1.0'!W61 + 'ACPL Calculations - 2.0'!W61</f>
        <v>0</v>
      </c>
      <c r="CR61" s="33">
        <f>'Old Balance Sheet'!V61 + 'ACPL Calculations - 1.0'!X61 + 'ACPL Calculations - 2.0'!X61</f>
        <v>15751.44</v>
      </c>
      <c r="CS61" s="33">
        <f t="shared" si="3"/>
        <v>15751.44</v>
      </c>
      <c r="CT61" s="35"/>
      <c r="CU61" s="35"/>
      <c r="CV61" s="35"/>
      <c r="CW61" s="36">
        <f>'Old Balance Sheet'!W61 + 'ACPL Calculations - 1.0'!Z61 + 'ACPL Calculations - 2.0'!Z61</f>
        <v>0</v>
      </c>
      <c r="CX61" s="36">
        <f>'Old Balance Sheet'!X61 + 'ACPL Calculations - 1.0'!AA61 + 'ACPL Calculations - 2.0'!AA61</f>
        <v>0</v>
      </c>
      <c r="CY61" s="37">
        <v>0.0</v>
      </c>
      <c r="CZ61" s="38">
        <f>'Old Balance Sheet'!Y61 + 'ACPL Calculations - 1.0'!AB61 + 'ACPL Calculations - 2.0'!AB61</f>
        <v>0</v>
      </c>
      <c r="DA61" s="38">
        <f>'Old Balance Sheet'!Z61 + 'ACPL Calculations - 1.0'!AC61 + 'ACPL Calculations - 2.0'!AC61</f>
        <v>0</v>
      </c>
      <c r="DB61" s="38">
        <f>'Old Balance Sheet'!AA61 + 'ACPL Calculations - 1.0'!AD61 + 'ACPL Calculations - 2.0'!AD61</f>
        <v>0</v>
      </c>
      <c r="DC61" s="38">
        <f>'Old Balance Sheet'!AB61 + 'ACPL Calculations - 1.0'!AE61 + 'ACPL Calculations - 2.0'!AE61</f>
        <v>0</v>
      </c>
      <c r="DD61" s="38">
        <f t="shared" si="4"/>
        <v>0</v>
      </c>
      <c r="DE61" s="33">
        <f t="shared" si="5"/>
        <v>0</v>
      </c>
      <c r="DF61" s="35">
        <v>0.0</v>
      </c>
      <c r="DG61" s="35">
        <v>0.0</v>
      </c>
      <c r="DH61" s="35">
        <v>0.0</v>
      </c>
      <c r="DI61" s="35">
        <v>0.0</v>
      </c>
      <c r="DJ61" s="35">
        <v>0.0</v>
      </c>
      <c r="DK61" s="35">
        <v>0.0</v>
      </c>
      <c r="DL61" s="35">
        <v>0.0</v>
      </c>
      <c r="DM61" s="35">
        <v>0.0</v>
      </c>
      <c r="DN61" s="31">
        <v>0.0</v>
      </c>
      <c r="DO61" s="31">
        <v>0.0</v>
      </c>
      <c r="DP61" s="31">
        <v>0.0</v>
      </c>
      <c r="DQ61" s="31">
        <v>0.0</v>
      </c>
      <c r="DR61" s="31">
        <v>0.0</v>
      </c>
      <c r="DS61" s="31">
        <v>0.0</v>
      </c>
      <c r="DT61" s="31">
        <f>'Old Balance Sheet'!AC61</f>
        <v>0</v>
      </c>
      <c r="DU61" s="31">
        <f>DT61 + SUMIFS('Payments Log'!D:D, 'Payments Log'!B:B, A61, 'Payments Log'!L:L, "Approved", 'Payments Log'!M:M, "Credit") + 'Old Balance Sheet'!AD61 - 'Old Balance Sheet'!AC61</f>
        <v>0</v>
      </c>
      <c r="DV61" s="31">
        <f>SUMIFS('Payments Log'!D:D, 'Payments Log'!B:B, A61, 'Payments Log'!L:L, "Approved", 'Payments Log'!M:M, "Adjustment Credit") - SUMIFS('Payments Log'!D:D, 'Payments Log'!B:B, A61, 'Payments Log'!L:L, "Approved", 'Payments Log'!M:M, "Adjustment Debit") + 'Old Balance Sheet'!AE61</f>
        <v>0</v>
      </c>
      <c r="DW61" s="31">
        <f>IF(MAXIFS('Payments Log'!N:N, 'Payments Log'!L:L, "Approved", 'Payments Log'!M:M, "Credit", 'Payments Log'!B:B, A61) &gt; MAXIFS('Payments Log'!N:N, 'Payments Log'!L:L, "Approved", 'Payments Log'!M:M, "Virtual Credit", 'Payments Log'!B:B, A61), 0, SUMIFS('Payments Log'!D:D, 'Payments Log'!N:N, MAXIFS('Payments Log'!N:N, 'Payments Log'!L:L, "Approved", 'Payments Log'!M:M, "Virtual Credit", 'Payments Log'!B:B, A61)))</f>
        <v>0</v>
      </c>
      <c r="DX61" s="33">
        <f t="shared" si="6"/>
        <v>0</v>
      </c>
      <c r="DY61" s="33">
        <f t="shared" si="7"/>
        <v>0</v>
      </c>
      <c r="DZ61" s="33">
        <f t="shared" si="8"/>
        <v>0</v>
      </c>
      <c r="EA61" s="25" t="str">
        <f>(Sheet1!N61)</f>
        <v>Shri Balaji Hero - Muzaffarnagar</v>
      </c>
      <c r="EB61" s="25" t="str">
        <f>(Sheet1!O61)</f>
        <v>1qJGCYN0EdS2nWGXVYAHwXqSjiLE2C95anQkkbLONbKQ</v>
      </c>
      <c r="EC61" s="26" t="str">
        <f>(Sheet1!P61)</f>
        <v>Sub Dealer</v>
      </c>
      <c r="ED61" s="34" t="s">
        <v>13</v>
      </c>
    </row>
    <row r="62">
      <c r="A62" s="25" t="str">
        <f>(Sheet1!A62)</f>
        <v>1eRW_MDmJeHGFDVrDu4lhY4sLKH3AbCEJuXm_MUC1mBk</v>
      </c>
      <c r="B62" s="25" t="str">
        <f>(Sheet1!B62)</f>
        <v>V K Auto Center (MAW)</v>
      </c>
      <c r="C62" s="30" t="s">
        <v>13</v>
      </c>
      <c r="D62" s="30" t="s">
        <v>72</v>
      </c>
      <c r="E62" s="30" t="s">
        <v>3820</v>
      </c>
      <c r="F62" s="31">
        <v>170.0</v>
      </c>
      <c r="G62" s="32" t="s">
        <v>3818</v>
      </c>
      <c r="H62" s="31">
        <v>100.0</v>
      </c>
      <c r="I62" s="33">
        <f>'Old Balance Sheet'!A62 + 'ACPL Calculations - 1.0'!A62 + 'ACPL Calculations - 2.0'!A62</f>
        <v>0</v>
      </c>
      <c r="J62" s="30" t="s">
        <v>3820</v>
      </c>
      <c r="K62" s="31">
        <v>170.0</v>
      </c>
      <c r="L62" s="32" t="s">
        <v>3818</v>
      </c>
      <c r="M62" s="31">
        <v>100.0</v>
      </c>
      <c r="N62" s="33">
        <f>'Old Balance Sheet'!B62 + 'ACPL Calculations - 1.0'!B62 + 'ACPL Calculations - 2.0'!B62</f>
        <v>0</v>
      </c>
      <c r="O62" s="30" t="s">
        <v>3820</v>
      </c>
      <c r="P62" s="31">
        <v>170.0</v>
      </c>
      <c r="Q62" s="32" t="s">
        <v>3818</v>
      </c>
      <c r="R62" s="31">
        <v>100.0</v>
      </c>
      <c r="S62" s="33">
        <f>'Old Balance Sheet'!C62 + 'ACPL Calculations - 1.0'!C62 + 'ACPL Calculations - 2.0'!C62</f>
        <v>0</v>
      </c>
      <c r="T62" s="30" t="s">
        <v>3820</v>
      </c>
      <c r="U62" s="31">
        <v>170.0</v>
      </c>
      <c r="V62" s="32" t="s">
        <v>3818</v>
      </c>
      <c r="W62" s="31">
        <v>100.0</v>
      </c>
      <c r="X62" s="33">
        <f>'Old Balance Sheet'!D62 + 'ACPL Calculations - 1.0'!D62 + 'ACPL Calculations - 2.0'!D62</f>
        <v>0</v>
      </c>
      <c r="Y62" s="30" t="s">
        <v>3820</v>
      </c>
      <c r="Z62" s="31">
        <v>170.0</v>
      </c>
      <c r="AA62" s="32" t="s">
        <v>3818</v>
      </c>
      <c r="AB62" s="31">
        <v>100.0</v>
      </c>
      <c r="AC62" s="33">
        <f>'Old Balance Sheet'!E62 + 'ACPL Calculations - 1.0'!E62 + 'ACPL Calculations - 2.0'!E62</f>
        <v>233</v>
      </c>
      <c r="AD62" s="30" t="s">
        <v>3820</v>
      </c>
      <c r="AE62" s="34">
        <v>838.99</v>
      </c>
      <c r="AF62" s="32" t="s">
        <v>3818</v>
      </c>
      <c r="AG62" s="31">
        <v>100.0</v>
      </c>
      <c r="AH62" s="33">
        <f>'Old Balance Sheet'!F62 + 'ACPL Calculations - 1.0'!F62 + 'ACPL Calculations - 2.0'!F62</f>
        <v>0</v>
      </c>
      <c r="AI62" s="30" t="s">
        <v>3820</v>
      </c>
      <c r="AJ62" s="31">
        <v>170.0</v>
      </c>
      <c r="AK62" s="32" t="s">
        <v>3818</v>
      </c>
      <c r="AL62" s="31">
        <v>100.0</v>
      </c>
      <c r="AM62" s="33">
        <f>'Old Balance Sheet'!G62 + 'ACPL Calculations - 1.0'!G62 + 'ACPL Calculations - 2.0'!G62</f>
        <v>0</v>
      </c>
      <c r="AN62" s="30" t="s">
        <v>3820</v>
      </c>
      <c r="AO62" s="31">
        <v>170.0</v>
      </c>
      <c r="AP62" s="32" t="s">
        <v>3818</v>
      </c>
      <c r="AQ62" s="31">
        <v>100.0</v>
      </c>
      <c r="AR62" s="33">
        <f>'Old Balance Sheet'!H62 + 'ACPL Calculations - 1.0'!H62 + 'ACPL Calculations - 2.0'!H62</f>
        <v>0</v>
      </c>
      <c r="AS62" s="30" t="s">
        <v>3819</v>
      </c>
      <c r="AT62" s="31">
        <v>838.99</v>
      </c>
      <c r="AU62" s="32" t="s">
        <v>3818</v>
      </c>
      <c r="AV62" s="31">
        <v>100.0</v>
      </c>
      <c r="AW62" s="33">
        <f>'Old Balance Sheet'!I62 + 'ACPL Calculations - 1.0'!I62 + 'ACPL Calculations - 2.0'!I62</f>
        <v>0</v>
      </c>
      <c r="AX62" s="30" t="s">
        <v>3820</v>
      </c>
      <c r="AY62" s="31">
        <v>170.0</v>
      </c>
      <c r="AZ62" s="32" t="s">
        <v>3818</v>
      </c>
      <c r="BA62" s="31">
        <v>100.0</v>
      </c>
      <c r="BB62" s="33">
        <f>'Old Balance Sheet'!J62 + 'ACPL Calculations - 1.0'!J62 + 'ACPL Calculations - 2.0'!J62</f>
        <v>0</v>
      </c>
      <c r="BC62" s="30" t="s">
        <v>3820</v>
      </c>
      <c r="BD62" s="31">
        <v>170.0</v>
      </c>
      <c r="BE62" s="32" t="s">
        <v>3818</v>
      </c>
      <c r="BF62" s="31">
        <v>100.0</v>
      </c>
      <c r="BG62" s="33">
        <f>'Old Balance Sheet'!K62 + 'ACPL Calculations - 1.0'!K62 + 'ACPL Calculations - 2.0'!K62</f>
        <v>0</v>
      </c>
      <c r="BH62" s="30" t="s">
        <v>3820</v>
      </c>
      <c r="BI62" s="31">
        <v>170.0</v>
      </c>
      <c r="BJ62" s="32" t="s">
        <v>3818</v>
      </c>
      <c r="BK62" s="31">
        <v>100.0</v>
      </c>
      <c r="BL62" s="33">
        <f>'Old Balance Sheet'!L62 + 'ACPL Calculations - 1.0'!L62 + 'ACPL Calculations - 2.0'!L62</f>
        <v>0</v>
      </c>
      <c r="BM62" s="33"/>
      <c r="BN62" s="33"/>
      <c r="BO62" s="33"/>
      <c r="BP62" s="33"/>
      <c r="BQ62" s="33"/>
      <c r="BR62" s="33"/>
      <c r="BS62" s="33"/>
      <c r="BT62" s="33"/>
      <c r="BU62" s="33"/>
      <c r="BV62" s="33"/>
      <c r="BW62" s="33"/>
      <c r="BX62" s="33"/>
      <c r="BY62" s="33"/>
      <c r="BZ62" s="33"/>
      <c r="CA62" s="33"/>
      <c r="CB62" s="33"/>
      <c r="CC62" s="33"/>
      <c r="CD62" s="33"/>
      <c r="CE62" s="33"/>
      <c r="CF62" s="33"/>
      <c r="CG62" s="33"/>
      <c r="CH62" s="33"/>
      <c r="CI62" s="33"/>
      <c r="CJ62" s="33"/>
      <c r="CK62" s="33"/>
      <c r="CL62" s="33">
        <f t="shared" si="1"/>
        <v>233</v>
      </c>
      <c r="CM62" s="33">
        <f>'Old Balance Sheet'!R62 + 'ACPL Calculations - 1.0'!S62 + 'ACPL Calculations - 2.0'!S62</f>
        <v>407750</v>
      </c>
      <c r="CN62" s="33">
        <f>'Old Balance Sheet'!S62 + 'ACPL Calculations - 1.0'!T62 + 'ACPL Calculations - 2.0'!T62</f>
        <v>39610</v>
      </c>
      <c r="CO62" s="33">
        <f t="shared" si="2"/>
        <v>101809.35</v>
      </c>
      <c r="CP62" s="33">
        <f>'Old Balance Sheet'!T62 + 'ACPL Calculations - 1.0'!V62 + 'ACPL Calculations - 2.0'!V62</f>
        <v>0</v>
      </c>
      <c r="CQ62" s="33">
        <f>'Old Balance Sheet'!U62 + 'ACPL Calculations - 1.0'!W62 + 'ACPL Calculations - 2.0'!W62</f>
        <v>0</v>
      </c>
      <c r="CR62" s="33">
        <f>'Old Balance Sheet'!V62 + 'ACPL Calculations - 1.0'!X62 + 'ACPL Calculations - 2.0'!X62</f>
        <v>62199.35</v>
      </c>
      <c r="CS62" s="33">
        <f t="shared" si="3"/>
        <v>62199.35</v>
      </c>
      <c r="CT62" s="35"/>
      <c r="CU62" s="35"/>
      <c r="CV62" s="35"/>
      <c r="CW62" s="36">
        <f>'Old Balance Sheet'!W62 + 'ACPL Calculations - 1.0'!Z62 + 'ACPL Calculations - 2.0'!Z62</f>
        <v>0</v>
      </c>
      <c r="CX62" s="36">
        <f>'Old Balance Sheet'!X62 + 'ACPL Calculations - 1.0'!AA62 + 'ACPL Calculations - 2.0'!AA62</f>
        <v>0</v>
      </c>
      <c r="CY62" s="37">
        <v>0.0</v>
      </c>
      <c r="CZ62" s="38">
        <f>'Old Balance Sheet'!Y62 + 'ACPL Calculations - 1.0'!AB62 + 'ACPL Calculations - 2.0'!AB62</f>
        <v>0</v>
      </c>
      <c r="DA62" s="38">
        <f>'Old Balance Sheet'!Z62 + 'ACPL Calculations - 1.0'!AC62 + 'ACPL Calculations - 2.0'!AC62</f>
        <v>0</v>
      </c>
      <c r="DB62" s="38">
        <f>'Old Balance Sheet'!AA62 + 'ACPL Calculations - 1.0'!AD62 + 'ACPL Calculations - 2.0'!AD62</f>
        <v>0</v>
      </c>
      <c r="DC62" s="38">
        <f>'Old Balance Sheet'!AB62 + 'ACPL Calculations - 1.0'!AE62 + 'ACPL Calculations - 2.0'!AE62</f>
        <v>0</v>
      </c>
      <c r="DD62" s="38">
        <f t="shared" si="4"/>
        <v>0</v>
      </c>
      <c r="DE62" s="33">
        <f t="shared" si="5"/>
        <v>0</v>
      </c>
      <c r="DF62" s="35">
        <v>0.0</v>
      </c>
      <c r="DG62" s="35">
        <v>0.0</v>
      </c>
      <c r="DH62" s="35">
        <v>0.0</v>
      </c>
      <c r="DI62" s="35">
        <v>0.0</v>
      </c>
      <c r="DJ62" s="35">
        <v>0.0</v>
      </c>
      <c r="DK62" s="35">
        <v>0.0</v>
      </c>
      <c r="DL62" s="35">
        <v>0.0</v>
      </c>
      <c r="DM62" s="35">
        <v>0.0</v>
      </c>
      <c r="DN62" s="31">
        <v>0.0</v>
      </c>
      <c r="DO62" s="31">
        <v>0.0</v>
      </c>
      <c r="DP62" s="31">
        <v>0.0</v>
      </c>
      <c r="DQ62" s="31">
        <v>0.0</v>
      </c>
      <c r="DR62" s="31">
        <v>0.0</v>
      </c>
      <c r="DS62" s="31">
        <v>0.0</v>
      </c>
      <c r="DT62" s="31">
        <f>'Old Balance Sheet'!AC62</f>
        <v>0</v>
      </c>
      <c r="DU62" s="31">
        <f>DT62 + SUMIFS('Payments Log'!D:D, 'Payments Log'!B:B, A62, 'Payments Log'!L:L, "Approved", 'Payments Log'!M:M, "Credit") + 'Old Balance Sheet'!AD62 - 'Old Balance Sheet'!AC62</f>
        <v>0</v>
      </c>
      <c r="DV62" s="31">
        <f>SUMIFS('Payments Log'!D:D, 'Payments Log'!B:B, A62, 'Payments Log'!L:L, "Approved", 'Payments Log'!M:M, "Adjustment Credit") - SUMIFS('Payments Log'!D:D, 'Payments Log'!B:B, A62, 'Payments Log'!L:L, "Approved", 'Payments Log'!M:M, "Adjustment Debit") + 'Old Balance Sheet'!AE62</f>
        <v>0</v>
      </c>
      <c r="DW62" s="31">
        <f>IF(MAXIFS('Payments Log'!N:N, 'Payments Log'!L:L, "Approved", 'Payments Log'!M:M, "Credit", 'Payments Log'!B:B, A62) &gt; MAXIFS('Payments Log'!N:N, 'Payments Log'!L:L, "Approved", 'Payments Log'!M:M, "Virtual Credit", 'Payments Log'!B:B, A62), 0, SUMIFS('Payments Log'!D:D, 'Payments Log'!N:N, MAXIFS('Payments Log'!N:N, 'Payments Log'!L:L, "Approved", 'Payments Log'!M:M, "Virtual Credit", 'Payments Log'!B:B, A62)))</f>
        <v>0</v>
      </c>
      <c r="DX62" s="33">
        <f t="shared" si="6"/>
        <v>0</v>
      </c>
      <c r="DY62" s="33">
        <f t="shared" si="7"/>
        <v>0</v>
      </c>
      <c r="DZ62" s="33">
        <f t="shared" si="8"/>
        <v>0</v>
      </c>
      <c r="EA62" s="25" t="str">
        <f>(Sheet1!N62)</f>
        <v>Maharaja Autoworld</v>
      </c>
      <c r="EB62" s="25" t="str">
        <f>(Sheet1!O62)</f>
        <v>1mkGLSaVL5-IAXKq9KqXFgJH64Li9oMA9V0u_seCn1jg</v>
      </c>
      <c r="EC62" s="26" t="str">
        <f>(Sheet1!P62)</f>
        <v>Sub Dealer</v>
      </c>
      <c r="ED62" s="34" t="s">
        <v>13</v>
      </c>
    </row>
    <row r="63">
      <c r="A63" s="25" t="str">
        <f>(Sheet1!A63)</f>
        <v>10Boa663-jOP90LwqXAfooqmBUweTsg0kbbPLy7E8GaM</v>
      </c>
      <c r="B63" s="25" t="str">
        <f>(Sheet1!B63)</f>
        <v>Manvik Motor - TVS Faridabad</v>
      </c>
      <c r="C63" s="30" t="s">
        <v>13</v>
      </c>
      <c r="D63" s="30" t="s">
        <v>72</v>
      </c>
      <c r="E63" s="30" t="s">
        <v>3817</v>
      </c>
      <c r="F63" s="31">
        <v>205.0</v>
      </c>
      <c r="G63" s="32" t="s">
        <v>3818</v>
      </c>
      <c r="H63" s="31">
        <v>100.0</v>
      </c>
      <c r="I63" s="33">
        <f>'Old Balance Sheet'!A63 + 'ACPL Calculations - 1.0'!A63 + 'ACPL Calculations - 2.0'!A63</f>
        <v>0</v>
      </c>
      <c r="J63" s="30" t="s">
        <v>3817</v>
      </c>
      <c r="K63" s="31">
        <v>205.0</v>
      </c>
      <c r="L63" s="32" t="s">
        <v>3818</v>
      </c>
      <c r="M63" s="31">
        <v>100.0</v>
      </c>
      <c r="N63" s="33">
        <f>'Old Balance Sheet'!B63 + 'ACPL Calculations - 1.0'!B63 + 'ACPL Calculations - 2.0'!B63</f>
        <v>0</v>
      </c>
      <c r="O63" s="30" t="s">
        <v>3817</v>
      </c>
      <c r="P63" s="31">
        <v>290.0</v>
      </c>
      <c r="Q63" s="32" t="s">
        <v>3818</v>
      </c>
      <c r="R63" s="31">
        <v>100.0</v>
      </c>
      <c r="S63" s="33">
        <f>'Old Balance Sheet'!C63 + 'ACPL Calculations - 1.0'!C63 + 'ACPL Calculations - 2.0'!C63</f>
        <v>0</v>
      </c>
      <c r="T63" s="30" t="s">
        <v>3817</v>
      </c>
      <c r="U63" s="31">
        <v>375.0</v>
      </c>
      <c r="V63" s="32" t="s">
        <v>3818</v>
      </c>
      <c r="W63" s="31">
        <v>100.0</v>
      </c>
      <c r="X63" s="33">
        <f>'Old Balance Sheet'!D63 + 'ACPL Calculations - 1.0'!D63 + 'ACPL Calculations - 2.0'!D63</f>
        <v>0</v>
      </c>
      <c r="Y63" s="30" t="s">
        <v>3817</v>
      </c>
      <c r="Z63" s="31">
        <v>460.0</v>
      </c>
      <c r="AA63" s="32" t="s">
        <v>3818</v>
      </c>
      <c r="AB63" s="31">
        <v>100.0</v>
      </c>
      <c r="AC63" s="33">
        <f>'Old Balance Sheet'!E63 + 'ACPL Calculations - 1.0'!E63 + 'ACPL Calculations - 2.0'!E63</f>
        <v>0</v>
      </c>
      <c r="AD63" s="30" t="s">
        <v>3817</v>
      </c>
      <c r="AE63" s="34">
        <v>838.99</v>
      </c>
      <c r="AF63" s="32" t="s">
        <v>3818</v>
      </c>
      <c r="AG63" s="31">
        <v>100.0</v>
      </c>
      <c r="AH63" s="33">
        <f>'Old Balance Sheet'!F63 + 'ACPL Calculations - 1.0'!F63 + 'ACPL Calculations - 2.0'!F63</f>
        <v>0</v>
      </c>
      <c r="AI63" s="30" t="s">
        <v>3817</v>
      </c>
      <c r="AJ63" s="31">
        <v>375.0</v>
      </c>
      <c r="AK63" s="32" t="s">
        <v>3818</v>
      </c>
      <c r="AL63" s="31">
        <v>100.0</v>
      </c>
      <c r="AM63" s="33">
        <f>'Old Balance Sheet'!G63 + 'ACPL Calculations - 1.0'!G63 + 'ACPL Calculations - 2.0'!G63</f>
        <v>0</v>
      </c>
      <c r="AN63" s="30" t="s">
        <v>3817</v>
      </c>
      <c r="AO63" s="31">
        <v>290.0</v>
      </c>
      <c r="AP63" s="32" t="s">
        <v>3818</v>
      </c>
      <c r="AQ63" s="31">
        <v>100.0</v>
      </c>
      <c r="AR63" s="33">
        <f>'Old Balance Sheet'!H63 + 'ACPL Calculations - 1.0'!H63 + 'ACPL Calculations - 2.0'!H63</f>
        <v>0</v>
      </c>
      <c r="AS63" s="30" t="s">
        <v>3819</v>
      </c>
      <c r="AT63" s="31">
        <v>838.99</v>
      </c>
      <c r="AU63" s="32" t="s">
        <v>3818</v>
      </c>
      <c r="AV63" s="31">
        <v>100.0</v>
      </c>
      <c r="AW63" s="33">
        <f>'Old Balance Sheet'!I63 + 'ACPL Calculations - 1.0'!I63 + 'ACPL Calculations - 2.0'!I63</f>
        <v>0</v>
      </c>
      <c r="AX63" s="30" t="s">
        <v>3817</v>
      </c>
      <c r="AY63" s="31">
        <v>290.0</v>
      </c>
      <c r="AZ63" s="32" t="s">
        <v>3818</v>
      </c>
      <c r="BA63" s="31">
        <v>100.0</v>
      </c>
      <c r="BB63" s="33">
        <f>'Old Balance Sheet'!J63 + 'ACPL Calculations - 1.0'!J63 + 'ACPL Calculations - 2.0'!J63</f>
        <v>0</v>
      </c>
      <c r="BC63" s="30" t="s">
        <v>3817</v>
      </c>
      <c r="BD63" s="31">
        <v>205.0</v>
      </c>
      <c r="BE63" s="32" t="s">
        <v>3818</v>
      </c>
      <c r="BF63" s="31">
        <v>100.0</v>
      </c>
      <c r="BG63" s="33">
        <f>'Old Balance Sheet'!K63 + 'ACPL Calculations - 1.0'!K63 + 'ACPL Calculations - 2.0'!K63</f>
        <v>0</v>
      </c>
      <c r="BH63" s="30" t="s">
        <v>3817</v>
      </c>
      <c r="BI63" s="31">
        <v>205.0</v>
      </c>
      <c r="BJ63" s="32" t="s">
        <v>3818</v>
      </c>
      <c r="BK63" s="31">
        <v>100.0</v>
      </c>
      <c r="BL63" s="33">
        <f>'Old Balance Sheet'!L63 + 'ACPL Calculations - 1.0'!L63 + 'ACPL Calculations - 2.0'!L63</f>
        <v>0</v>
      </c>
      <c r="BM63" s="33"/>
      <c r="BN63" s="33"/>
      <c r="BO63" s="33"/>
      <c r="BP63" s="33"/>
      <c r="BQ63" s="33"/>
      <c r="BR63" s="33"/>
      <c r="BS63" s="33"/>
      <c r="BT63" s="33"/>
      <c r="BU63" s="33"/>
      <c r="BV63" s="33"/>
      <c r="BW63" s="33"/>
      <c r="BX63" s="33"/>
      <c r="BY63" s="33"/>
      <c r="BZ63" s="33"/>
      <c r="CA63" s="33"/>
      <c r="CB63" s="33"/>
      <c r="CC63" s="33"/>
      <c r="CD63" s="33"/>
      <c r="CE63" s="33"/>
      <c r="CF63" s="33"/>
      <c r="CG63" s="33"/>
      <c r="CH63" s="33"/>
      <c r="CI63" s="33"/>
      <c r="CJ63" s="33"/>
      <c r="CK63" s="33"/>
      <c r="CL63" s="33">
        <f t="shared" si="1"/>
        <v>0</v>
      </c>
      <c r="CM63" s="33">
        <f>'Old Balance Sheet'!R63 + 'ACPL Calculations - 1.0'!S63 + 'ACPL Calculations - 2.0'!S63</f>
        <v>0</v>
      </c>
      <c r="CN63" s="33">
        <f>'Old Balance Sheet'!S63 + 'ACPL Calculations - 1.0'!T63 + 'ACPL Calculations - 2.0'!T63</f>
        <v>0</v>
      </c>
      <c r="CO63" s="33">
        <f t="shared" si="2"/>
        <v>0</v>
      </c>
      <c r="CP63" s="33">
        <f>'Old Balance Sheet'!T63 + 'ACPL Calculations - 1.0'!V63 + 'ACPL Calculations - 2.0'!V63</f>
        <v>0</v>
      </c>
      <c r="CQ63" s="33">
        <f>'Old Balance Sheet'!U63 + 'ACPL Calculations - 1.0'!W63 + 'ACPL Calculations - 2.0'!W63</f>
        <v>0</v>
      </c>
      <c r="CR63" s="33">
        <f>'Old Balance Sheet'!V63 + 'ACPL Calculations - 1.0'!X63 + 'ACPL Calculations - 2.0'!X63</f>
        <v>0</v>
      </c>
      <c r="CS63" s="33">
        <f t="shared" si="3"/>
        <v>0</v>
      </c>
      <c r="CT63" s="35"/>
      <c r="CU63" s="35"/>
      <c r="CV63" s="35"/>
      <c r="CW63" s="36">
        <f>'Old Balance Sheet'!W63 + 'ACPL Calculations - 1.0'!Z63 + 'ACPL Calculations - 2.0'!Z63</f>
        <v>0</v>
      </c>
      <c r="CX63" s="36">
        <f>'Old Balance Sheet'!X63 + 'ACPL Calculations - 1.0'!AA63 + 'ACPL Calculations - 2.0'!AA63</f>
        <v>0</v>
      </c>
      <c r="CY63" s="37">
        <v>0.0</v>
      </c>
      <c r="CZ63" s="38">
        <f>'Old Balance Sheet'!Y63 + 'ACPL Calculations - 1.0'!AB63 + 'ACPL Calculations - 2.0'!AB63</f>
        <v>0</v>
      </c>
      <c r="DA63" s="38">
        <f>'Old Balance Sheet'!Z63 + 'ACPL Calculations - 1.0'!AC63 + 'ACPL Calculations - 2.0'!AC63</f>
        <v>0</v>
      </c>
      <c r="DB63" s="38">
        <f>'Old Balance Sheet'!AA63 + 'ACPL Calculations - 1.0'!AD63 + 'ACPL Calculations - 2.0'!AD63</f>
        <v>0</v>
      </c>
      <c r="DC63" s="38">
        <f>'Old Balance Sheet'!AB63 + 'ACPL Calculations - 1.0'!AE63 + 'ACPL Calculations - 2.0'!AE63</f>
        <v>0</v>
      </c>
      <c r="DD63" s="38">
        <f t="shared" si="4"/>
        <v>0</v>
      </c>
      <c r="DE63" s="33">
        <f t="shared" si="5"/>
        <v>0</v>
      </c>
      <c r="DF63" s="35">
        <v>0.0</v>
      </c>
      <c r="DG63" s="35">
        <v>0.0</v>
      </c>
      <c r="DH63" s="35">
        <v>0.0</v>
      </c>
      <c r="DI63" s="35">
        <v>0.0</v>
      </c>
      <c r="DJ63" s="35">
        <v>0.0</v>
      </c>
      <c r="DK63" s="35">
        <v>0.0</v>
      </c>
      <c r="DL63" s="35">
        <v>0.0</v>
      </c>
      <c r="DM63" s="35">
        <v>0.0</v>
      </c>
      <c r="DN63" s="31">
        <v>0.0</v>
      </c>
      <c r="DO63" s="31">
        <v>0.0</v>
      </c>
      <c r="DP63" s="31">
        <v>0.0</v>
      </c>
      <c r="DQ63" s="31">
        <v>0.0</v>
      </c>
      <c r="DR63" s="31">
        <v>0.0</v>
      </c>
      <c r="DS63" s="31">
        <v>0.0</v>
      </c>
      <c r="DT63" s="31">
        <f>'Old Balance Sheet'!AC63</f>
        <v>-16451</v>
      </c>
      <c r="DU63" s="31">
        <f>DT63 + SUMIFS('Payments Log'!D:D, 'Payments Log'!B:B, A63, 'Payments Log'!L:L, "Approved", 'Payments Log'!M:M, "Credit") + 'Old Balance Sheet'!AD63 - 'Old Balance Sheet'!AC63</f>
        <v>-16451</v>
      </c>
      <c r="DV63" s="31">
        <f>SUMIFS('Payments Log'!D:D, 'Payments Log'!B:B, A63, 'Payments Log'!L:L, "Approved", 'Payments Log'!M:M, "Adjustment Credit") - SUMIFS('Payments Log'!D:D, 'Payments Log'!B:B, A63, 'Payments Log'!L:L, "Approved", 'Payments Log'!M:M, "Adjustment Debit") + 'Old Balance Sheet'!AE63</f>
        <v>0</v>
      </c>
      <c r="DW63" s="31">
        <f>IF(MAXIFS('Payments Log'!N:N, 'Payments Log'!L:L, "Approved", 'Payments Log'!M:M, "Credit", 'Payments Log'!B:B, A63) &gt; MAXIFS('Payments Log'!N:N, 'Payments Log'!L:L, "Approved", 'Payments Log'!M:M, "Virtual Credit", 'Payments Log'!B:B, A63), 0, SUMIFS('Payments Log'!D:D, 'Payments Log'!N:N, MAXIFS('Payments Log'!N:N, 'Payments Log'!L:L, "Approved", 'Payments Log'!M:M, "Virtual Credit", 'Payments Log'!B:B, A63)))</f>
        <v>0</v>
      </c>
      <c r="DX63" s="33">
        <f t="shared" si="6"/>
        <v>-16451</v>
      </c>
      <c r="DY63" s="33">
        <f t="shared" si="7"/>
        <v>-16451</v>
      </c>
      <c r="DZ63" s="33">
        <f t="shared" si="8"/>
        <v>-16451</v>
      </c>
      <c r="EA63" s="25" t="str">
        <f>(Sheet1!N63)</f>
        <v>Manvik Motor - TVS Faridabad</v>
      </c>
      <c r="EB63" s="25" t="str">
        <f>(Sheet1!O63)</f>
        <v>10Boa663-jOP90LwqXAfooqmBUweTsg0kbbPLy7E8GaM</v>
      </c>
      <c r="EC63" s="26" t="str">
        <f>(Sheet1!P63)</f>
        <v>Dealer</v>
      </c>
      <c r="ED63" s="34" t="s">
        <v>13</v>
      </c>
    </row>
    <row r="64">
      <c r="A64" s="25" t="str">
        <f>(Sheet1!A64)</f>
        <v>1RXGf0MnZWZO90gEU-wJzAFw-CxPPIv2RLUwr1sE1N44</v>
      </c>
      <c r="B64" s="25" t="str">
        <f>(Sheet1!B64)</f>
        <v>Gopi Auto World - Ahemdabad</v>
      </c>
      <c r="C64" s="30" t="s">
        <v>13</v>
      </c>
      <c r="D64" s="30" t="s">
        <v>72</v>
      </c>
      <c r="E64" s="30" t="s">
        <v>3817</v>
      </c>
      <c r="F64" s="31">
        <v>205.0</v>
      </c>
      <c r="G64" s="32" t="s">
        <v>3818</v>
      </c>
      <c r="H64" s="31">
        <v>100.0</v>
      </c>
      <c r="I64" s="33">
        <f>'Old Balance Sheet'!A64 + 'ACPL Calculations - 1.0'!A64 + 'ACPL Calculations - 2.0'!A64</f>
        <v>3</v>
      </c>
      <c r="J64" s="30" t="s">
        <v>3817</v>
      </c>
      <c r="K64" s="31">
        <v>205.0</v>
      </c>
      <c r="L64" s="32" t="s">
        <v>3818</v>
      </c>
      <c r="M64" s="31">
        <v>100.0</v>
      </c>
      <c r="N64" s="33">
        <f>'Old Balance Sheet'!B64 + 'ACPL Calculations - 1.0'!B64 + 'ACPL Calculations - 2.0'!B64</f>
        <v>0</v>
      </c>
      <c r="O64" s="30" t="s">
        <v>3817</v>
      </c>
      <c r="P64" s="31">
        <v>290.0</v>
      </c>
      <c r="Q64" s="32" t="s">
        <v>3818</v>
      </c>
      <c r="R64" s="31">
        <v>100.0</v>
      </c>
      <c r="S64" s="33">
        <f>'Old Balance Sheet'!C64 + 'ACPL Calculations - 1.0'!C64 + 'ACPL Calculations - 2.0'!C64</f>
        <v>3</v>
      </c>
      <c r="T64" s="30" t="s">
        <v>3817</v>
      </c>
      <c r="U64" s="31">
        <v>375.0</v>
      </c>
      <c r="V64" s="32" t="s">
        <v>3818</v>
      </c>
      <c r="W64" s="31">
        <v>100.0</v>
      </c>
      <c r="X64" s="33">
        <f>'Old Balance Sheet'!D64 + 'ACPL Calculations - 1.0'!D64 + 'ACPL Calculations - 2.0'!D64</f>
        <v>0</v>
      </c>
      <c r="Y64" s="30" t="s">
        <v>3817</v>
      </c>
      <c r="Z64" s="31">
        <v>460.0</v>
      </c>
      <c r="AA64" s="32" t="s">
        <v>3818</v>
      </c>
      <c r="AB64" s="31">
        <v>100.0</v>
      </c>
      <c r="AC64" s="33">
        <f>'Old Balance Sheet'!E64 + 'ACPL Calculations - 1.0'!E64 + 'ACPL Calculations - 2.0'!E64</f>
        <v>0</v>
      </c>
      <c r="AD64" s="30" t="s">
        <v>3817</v>
      </c>
      <c r="AE64" s="34">
        <v>838.99</v>
      </c>
      <c r="AF64" s="32" t="s">
        <v>3818</v>
      </c>
      <c r="AG64" s="31">
        <v>100.0</v>
      </c>
      <c r="AH64" s="33">
        <f>'Old Balance Sheet'!F64 + 'ACPL Calculations - 1.0'!F64 + 'ACPL Calculations - 2.0'!F64</f>
        <v>0</v>
      </c>
      <c r="AI64" s="30" t="s">
        <v>3817</v>
      </c>
      <c r="AJ64" s="31">
        <v>375.0</v>
      </c>
      <c r="AK64" s="32" t="s">
        <v>3818</v>
      </c>
      <c r="AL64" s="31">
        <v>100.0</v>
      </c>
      <c r="AM64" s="33">
        <f>'Old Balance Sheet'!G64 + 'ACPL Calculations - 1.0'!G64 + 'ACPL Calculations - 2.0'!G64</f>
        <v>0</v>
      </c>
      <c r="AN64" s="30" t="s">
        <v>3817</v>
      </c>
      <c r="AO64" s="31">
        <v>290.0</v>
      </c>
      <c r="AP64" s="32" t="s">
        <v>3818</v>
      </c>
      <c r="AQ64" s="31">
        <v>100.0</v>
      </c>
      <c r="AR64" s="33">
        <f>'Old Balance Sheet'!H64 + 'ACPL Calculations - 1.0'!H64 + 'ACPL Calculations - 2.0'!H64</f>
        <v>0</v>
      </c>
      <c r="AS64" s="30" t="s">
        <v>3819</v>
      </c>
      <c r="AT64" s="31">
        <v>838.99</v>
      </c>
      <c r="AU64" s="32" t="s">
        <v>3818</v>
      </c>
      <c r="AV64" s="31">
        <v>100.0</v>
      </c>
      <c r="AW64" s="33">
        <f>'Old Balance Sheet'!I64 + 'ACPL Calculations - 1.0'!I64 + 'ACPL Calculations - 2.0'!I64</f>
        <v>0</v>
      </c>
      <c r="AX64" s="30" t="s">
        <v>3817</v>
      </c>
      <c r="AY64" s="31">
        <v>290.0</v>
      </c>
      <c r="AZ64" s="32" t="s">
        <v>3818</v>
      </c>
      <c r="BA64" s="31">
        <v>100.0</v>
      </c>
      <c r="BB64" s="33">
        <f>'Old Balance Sheet'!J64 + 'ACPL Calculations - 1.0'!J64 + 'ACPL Calculations - 2.0'!J64</f>
        <v>0</v>
      </c>
      <c r="BC64" s="30" t="s">
        <v>3817</v>
      </c>
      <c r="BD64" s="31">
        <v>205.0</v>
      </c>
      <c r="BE64" s="32" t="s">
        <v>3818</v>
      </c>
      <c r="BF64" s="31">
        <v>100.0</v>
      </c>
      <c r="BG64" s="33">
        <f>'Old Balance Sheet'!K64 + 'ACPL Calculations - 1.0'!K64 + 'ACPL Calculations - 2.0'!K64</f>
        <v>0</v>
      </c>
      <c r="BH64" s="30" t="s">
        <v>3817</v>
      </c>
      <c r="BI64" s="31">
        <v>205.0</v>
      </c>
      <c r="BJ64" s="32" t="s">
        <v>3818</v>
      </c>
      <c r="BK64" s="31">
        <v>100.0</v>
      </c>
      <c r="BL64" s="33">
        <f>'Old Balance Sheet'!L64 + 'ACPL Calculations - 1.0'!L64 + 'ACPL Calculations - 2.0'!L64</f>
        <v>0</v>
      </c>
      <c r="BM64" s="33"/>
      <c r="BN64" s="33"/>
      <c r="BO64" s="33"/>
      <c r="BP64" s="33"/>
      <c r="BQ64" s="33"/>
      <c r="BR64" s="33"/>
      <c r="BS64" s="33"/>
      <c r="BT64" s="33"/>
      <c r="BU64" s="33"/>
      <c r="BV64" s="33"/>
      <c r="BW64" s="33"/>
      <c r="BX64" s="33"/>
      <c r="BY64" s="33"/>
      <c r="BZ64" s="33"/>
      <c r="CA64" s="33"/>
      <c r="CB64" s="33"/>
      <c r="CC64" s="33"/>
      <c r="CD64" s="33"/>
      <c r="CE64" s="33"/>
      <c r="CF64" s="33"/>
      <c r="CG64" s="33"/>
      <c r="CH64" s="33"/>
      <c r="CI64" s="33"/>
      <c r="CJ64" s="33"/>
      <c r="CK64" s="33"/>
      <c r="CL64" s="33">
        <f t="shared" si="1"/>
        <v>6</v>
      </c>
      <c r="CM64" s="33">
        <f>'Old Balance Sheet'!R64 + 'ACPL Calculations - 1.0'!S64 + 'ACPL Calculations - 2.0'!S64</f>
        <v>2652</v>
      </c>
      <c r="CN64" s="33">
        <f>'Old Balance Sheet'!S64 + 'ACPL Calculations - 1.0'!T64 + 'ACPL Calculations - 2.0'!T64</f>
        <v>1230</v>
      </c>
      <c r="CO64" s="33">
        <f t="shared" si="2"/>
        <v>1634.52</v>
      </c>
      <c r="CP64" s="33">
        <f>'Old Balance Sheet'!T64 + 'ACPL Calculations - 1.0'!V64 + 'ACPL Calculations - 2.0'!V64</f>
        <v>0</v>
      </c>
      <c r="CQ64" s="33">
        <f>'Old Balance Sheet'!U64 + 'ACPL Calculations - 1.0'!W64 + 'ACPL Calculations - 2.0'!W64</f>
        <v>0</v>
      </c>
      <c r="CR64" s="33">
        <f>'Old Balance Sheet'!V64 + 'ACPL Calculations - 1.0'!X64 + 'ACPL Calculations - 2.0'!X64</f>
        <v>404.52</v>
      </c>
      <c r="CS64" s="33">
        <f t="shared" si="3"/>
        <v>404.52</v>
      </c>
      <c r="CT64" s="35"/>
      <c r="CU64" s="35"/>
      <c r="CV64" s="35"/>
      <c r="CW64" s="36">
        <f>'Old Balance Sheet'!W64 + 'ACPL Calculations - 1.0'!Z64 + 'ACPL Calculations - 2.0'!Z64</f>
        <v>1693.88</v>
      </c>
      <c r="CX64" s="36">
        <f>'Old Balance Sheet'!X64 + 'ACPL Calculations - 1.0'!AA64 + 'ACPL Calculations - 2.0'!AA64</f>
        <v>1693.88</v>
      </c>
      <c r="CY64" s="37">
        <v>0.0</v>
      </c>
      <c r="CZ64" s="38">
        <f>'Old Balance Sheet'!Y64 + 'ACPL Calculations - 1.0'!AB64 + 'ACPL Calculations - 2.0'!AB64</f>
        <v>847.9</v>
      </c>
      <c r="DA64" s="38">
        <f>'Old Balance Sheet'!Z64 + 'ACPL Calculations - 1.0'!AC64 + 'ACPL Calculations - 2.0'!AC64</f>
        <v>958.12</v>
      </c>
      <c r="DB64" s="38">
        <f>'Old Balance Sheet'!AA64 + 'ACPL Calculations - 1.0'!AD64 + 'ACPL Calculations - 2.0'!AD64</f>
        <v>59.36</v>
      </c>
      <c r="DC64" s="38">
        <f>'Old Balance Sheet'!AB64 + 'ACPL Calculations - 1.0'!AE64 + 'ACPL Calculations - 2.0'!AE64</f>
        <v>0</v>
      </c>
      <c r="DD64" s="38">
        <f t="shared" si="4"/>
        <v>0</v>
      </c>
      <c r="DE64" s="33">
        <f t="shared" si="5"/>
        <v>0</v>
      </c>
      <c r="DF64" s="35">
        <v>0.0</v>
      </c>
      <c r="DG64" s="35">
        <v>0.0</v>
      </c>
      <c r="DH64" s="35">
        <v>0.0</v>
      </c>
      <c r="DI64" s="35">
        <v>0.0</v>
      </c>
      <c r="DJ64" s="35">
        <v>0.0</v>
      </c>
      <c r="DK64" s="35">
        <v>0.0</v>
      </c>
      <c r="DL64" s="35">
        <v>0.0</v>
      </c>
      <c r="DM64" s="35">
        <v>0.0</v>
      </c>
      <c r="DN64" s="31">
        <v>0.0</v>
      </c>
      <c r="DO64" s="31">
        <v>0.0</v>
      </c>
      <c r="DP64" s="31">
        <v>0.0</v>
      </c>
      <c r="DQ64" s="31">
        <v>0.0</v>
      </c>
      <c r="DR64" s="31">
        <v>0.0</v>
      </c>
      <c r="DS64" s="31">
        <v>0.0</v>
      </c>
      <c r="DT64" s="31">
        <f>'Old Balance Sheet'!AC64</f>
        <v>1881</v>
      </c>
      <c r="DU64" s="31">
        <f>DT64 + SUMIFS('Payments Log'!D:D, 'Payments Log'!B:B, A64, 'Payments Log'!L:L, "Approved", 'Payments Log'!M:M, "Credit") + 'Old Balance Sheet'!AD64 - 'Old Balance Sheet'!AC64</f>
        <v>1881</v>
      </c>
      <c r="DV64" s="31">
        <f>SUMIFS('Payments Log'!D:D, 'Payments Log'!B:B, A64, 'Payments Log'!L:L, "Approved", 'Payments Log'!M:M, "Adjustment Credit") - SUMIFS('Payments Log'!D:D, 'Payments Log'!B:B, A64, 'Payments Log'!L:L, "Approved", 'Payments Log'!M:M, "Adjustment Debit") + 'Old Balance Sheet'!AE64</f>
        <v>0</v>
      </c>
      <c r="DW64" s="31">
        <f>IF(MAXIFS('Payments Log'!N:N, 'Payments Log'!L:L, "Approved", 'Payments Log'!M:M, "Credit", 'Payments Log'!B:B, A64) &gt; MAXIFS('Payments Log'!N:N, 'Payments Log'!L:L, "Approved", 'Payments Log'!M:M, "Virtual Credit", 'Payments Log'!B:B, A64), 0, SUMIFS('Payments Log'!D:D, 'Payments Log'!N:N, MAXIFS('Payments Log'!N:N, 'Payments Log'!L:L, "Approved", 'Payments Log'!M:M, "Virtual Credit", 'Payments Log'!B:B, A64)))</f>
        <v>0</v>
      </c>
      <c r="DX64" s="33">
        <f t="shared" si="6"/>
        <v>187.12</v>
      </c>
      <c r="DY64" s="33">
        <f t="shared" si="7"/>
        <v>187.12</v>
      </c>
      <c r="DZ64" s="33">
        <f t="shared" si="8"/>
        <v>187.12</v>
      </c>
      <c r="EA64" s="25" t="str">
        <f>(Sheet1!N64)</f>
        <v>Gopi Auto World - Ahemdabad</v>
      </c>
      <c r="EB64" s="25" t="str">
        <f>(Sheet1!O64)</f>
        <v>1RXGf0MnZWZO90gEU-wJzAFw-CxPPIv2RLUwr1sE1N44</v>
      </c>
      <c r="EC64" s="26" t="str">
        <f>(Sheet1!P64)</f>
        <v>Dealer</v>
      </c>
      <c r="ED64" s="34" t="s">
        <v>13</v>
      </c>
    </row>
    <row r="65">
      <c r="A65" s="25" t="str">
        <f>(Sheet1!A65)</f>
        <v>1o-kgAGYwJQGPJwLj0hYgwKABboMbPKDLAWI9iRmz2LU</v>
      </c>
      <c r="B65" s="25" t="str">
        <f>(Sheet1!B65)</f>
        <v>Dhruv Hero - Ambala</v>
      </c>
      <c r="C65" s="30" t="s">
        <v>13</v>
      </c>
      <c r="D65" s="30" t="s">
        <v>72</v>
      </c>
      <c r="E65" s="30" t="s">
        <v>3817</v>
      </c>
      <c r="F65" s="31">
        <v>205.0</v>
      </c>
      <c r="G65" s="32" t="s">
        <v>3818</v>
      </c>
      <c r="H65" s="31">
        <v>100.0</v>
      </c>
      <c r="I65" s="33">
        <f>'Old Balance Sheet'!A65 + 'ACPL Calculations - 1.0'!A65 + 'ACPL Calculations - 2.0'!A65</f>
        <v>0</v>
      </c>
      <c r="J65" s="30" t="s">
        <v>3817</v>
      </c>
      <c r="K65" s="31">
        <v>205.0</v>
      </c>
      <c r="L65" s="32" t="s">
        <v>3818</v>
      </c>
      <c r="M65" s="31">
        <v>100.0</v>
      </c>
      <c r="N65" s="33">
        <f>'Old Balance Sheet'!B65 + 'ACPL Calculations - 1.0'!B65 + 'ACPL Calculations - 2.0'!B65</f>
        <v>0</v>
      </c>
      <c r="O65" s="30" t="s">
        <v>3817</v>
      </c>
      <c r="P65" s="31">
        <v>290.0</v>
      </c>
      <c r="Q65" s="32" t="s">
        <v>3818</v>
      </c>
      <c r="R65" s="31">
        <v>100.0</v>
      </c>
      <c r="S65" s="33">
        <f>'Old Balance Sheet'!C65 + 'ACPL Calculations - 1.0'!C65 + 'ACPL Calculations - 2.0'!C65</f>
        <v>0</v>
      </c>
      <c r="T65" s="30" t="s">
        <v>3817</v>
      </c>
      <c r="U65" s="31">
        <v>375.0</v>
      </c>
      <c r="V65" s="32" t="s">
        <v>3818</v>
      </c>
      <c r="W65" s="31">
        <v>100.0</v>
      </c>
      <c r="X65" s="33">
        <f>'Old Balance Sheet'!D65 + 'ACPL Calculations - 1.0'!D65 + 'ACPL Calculations - 2.0'!D65</f>
        <v>0</v>
      </c>
      <c r="Y65" s="30" t="s">
        <v>3817</v>
      </c>
      <c r="Z65" s="31">
        <v>460.0</v>
      </c>
      <c r="AA65" s="32" t="s">
        <v>3818</v>
      </c>
      <c r="AB65" s="31">
        <v>100.0</v>
      </c>
      <c r="AC65" s="33">
        <f>'Old Balance Sheet'!E65 + 'ACPL Calculations - 1.0'!E65 + 'ACPL Calculations - 2.0'!E65</f>
        <v>0</v>
      </c>
      <c r="AD65" s="30" t="s">
        <v>3817</v>
      </c>
      <c r="AE65" s="34">
        <v>838.99</v>
      </c>
      <c r="AF65" s="32" t="s">
        <v>3818</v>
      </c>
      <c r="AG65" s="31">
        <v>100.0</v>
      </c>
      <c r="AH65" s="33">
        <f>'Old Balance Sheet'!F65 + 'ACPL Calculations - 1.0'!F65 + 'ACPL Calculations - 2.0'!F65</f>
        <v>0</v>
      </c>
      <c r="AI65" s="30" t="s">
        <v>3817</v>
      </c>
      <c r="AJ65" s="31">
        <v>375.0</v>
      </c>
      <c r="AK65" s="32" t="s">
        <v>3818</v>
      </c>
      <c r="AL65" s="31">
        <v>100.0</v>
      </c>
      <c r="AM65" s="33">
        <f>'Old Balance Sheet'!G65 + 'ACPL Calculations - 1.0'!G65 + 'ACPL Calculations - 2.0'!G65</f>
        <v>0</v>
      </c>
      <c r="AN65" s="30" t="s">
        <v>3817</v>
      </c>
      <c r="AO65" s="31">
        <v>290.0</v>
      </c>
      <c r="AP65" s="32" t="s">
        <v>3818</v>
      </c>
      <c r="AQ65" s="31">
        <v>100.0</v>
      </c>
      <c r="AR65" s="33">
        <f>'Old Balance Sheet'!H65 + 'ACPL Calculations - 1.0'!H65 + 'ACPL Calculations - 2.0'!H65</f>
        <v>0</v>
      </c>
      <c r="AS65" s="30" t="s">
        <v>3819</v>
      </c>
      <c r="AT65" s="31">
        <v>838.99</v>
      </c>
      <c r="AU65" s="32" t="s">
        <v>3818</v>
      </c>
      <c r="AV65" s="31">
        <v>100.0</v>
      </c>
      <c r="AW65" s="33">
        <f>'Old Balance Sheet'!I65 + 'ACPL Calculations - 1.0'!I65 + 'ACPL Calculations - 2.0'!I65</f>
        <v>0</v>
      </c>
      <c r="AX65" s="30" t="s">
        <v>3817</v>
      </c>
      <c r="AY65" s="31">
        <v>290.0</v>
      </c>
      <c r="AZ65" s="32" t="s">
        <v>3818</v>
      </c>
      <c r="BA65" s="31">
        <v>100.0</v>
      </c>
      <c r="BB65" s="33">
        <f>'Old Balance Sheet'!J65 + 'ACPL Calculations - 1.0'!J65 + 'ACPL Calculations - 2.0'!J65</f>
        <v>0</v>
      </c>
      <c r="BC65" s="30" t="s">
        <v>3817</v>
      </c>
      <c r="BD65" s="31">
        <v>205.0</v>
      </c>
      <c r="BE65" s="32" t="s">
        <v>3818</v>
      </c>
      <c r="BF65" s="31">
        <v>100.0</v>
      </c>
      <c r="BG65" s="33">
        <f>'Old Balance Sheet'!K65 + 'ACPL Calculations - 1.0'!K65 + 'ACPL Calculations - 2.0'!K65</f>
        <v>0</v>
      </c>
      <c r="BH65" s="30" t="s">
        <v>3817</v>
      </c>
      <c r="BI65" s="31">
        <v>205.0</v>
      </c>
      <c r="BJ65" s="32" t="s">
        <v>3818</v>
      </c>
      <c r="BK65" s="31">
        <v>100.0</v>
      </c>
      <c r="BL65" s="33">
        <f>'Old Balance Sheet'!L65 + 'ACPL Calculations - 1.0'!L65 + 'ACPL Calculations - 2.0'!L65</f>
        <v>0</v>
      </c>
      <c r="BM65" s="33"/>
      <c r="BN65" s="33"/>
      <c r="BO65" s="33"/>
      <c r="BP65" s="33"/>
      <c r="BQ65" s="33"/>
      <c r="BR65" s="33"/>
      <c r="BS65" s="33"/>
      <c r="BT65" s="33"/>
      <c r="BU65" s="33"/>
      <c r="BV65" s="33"/>
      <c r="BW65" s="33"/>
      <c r="BX65" s="33"/>
      <c r="BY65" s="33"/>
      <c r="BZ65" s="33"/>
      <c r="CA65" s="33"/>
      <c r="CB65" s="33"/>
      <c r="CC65" s="33"/>
      <c r="CD65" s="33"/>
      <c r="CE65" s="33"/>
      <c r="CF65" s="33"/>
      <c r="CG65" s="33"/>
      <c r="CH65" s="33"/>
      <c r="CI65" s="33"/>
      <c r="CJ65" s="33"/>
      <c r="CK65" s="33"/>
      <c r="CL65" s="33">
        <f t="shared" si="1"/>
        <v>0</v>
      </c>
      <c r="CM65" s="33">
        <f>'Old Balance Sheet'!R65 + 'ACPL Calculations - 1.0'!S65 + 'ACPL Calculations - 2.0'!S65</f>
        <v>0</v>
      </c>
      <c r="CN65" s="33">
        <f>'Old Balance Sheet'!S65 + 'ACPL Calculations - 1.0'!T65 + 'ACPL Calculations - 2.0'!T65</f>
        <v>0</v>
      </c>
      <c r="CO65" s="33">
        <f t="shared" si="2"/>
        <v>0</v>
      </c>
      <c r="CP65" s="33">
        <f>'Old Balance Sheet'!T65 + 'ACPL Calculations - 1.0'!V65 + 'ACPL Calculations - 2.0'!V65</f>
        <v>0</v>
      </c>
      <c r="CQ65" s="33">
        <f>'Old Balance Sheet'!U65 + 'ACPL Calculations - 1.0'!W65 + 'ACPL Calculations - 2.0'!W65</f>
        <v>0</v>
      </c>
      <c r="CR65" s="33">
        <f>'Old Balance Sheet'!V65 + 'ACPL Calculations - 1.0'!X65 + 'ACPL Calculations - 2.0'!X65</f>
        <v>0</v>
      </c>
      <c r="CS65" s="33">
        <f t="shared" si="3"/>
        <v>0</v>
      </c>
      <c r="CT65" s="35"/>
      <c r="CU65" s="35"/>
      <c r="CV65" s="35"/>
      <c r="CW65" s="36">
        <f>'Old Balance Sheet'!W65 + 'ACPL Calculations - 1.0'!Z65 + 'ACPL Calculations - 2.0'!Z65</f>
        <v>0</v>
      </c>
      <c r="CX65" s="36">
        <f>'Old Balance Sheet'!X65 + 'ACPL Calculations - 1.0'!AA65 + 'ACPL Calculations - 2.0'!AA65</f>
        <v>0</v>
      </c>
      <c r="CY65" s="37">
        <v>0.0</v>
      </c>
      <c r="CZ65" s="38">
        <f>'Old Balance Sheet'!Y65 + 'ACPL Calculations - 1.0'!AB65 + 'ACPL Calculations - 2.0'!AB65</f>
        <v>0</v>
      </c>
      <c r="DA65" s="38">
        <f>'Old Balance Sheet'!Z65 + 'ACPL Calculations - 1.0'!AC65 + 'ACPL Calculations - 2.0'!AC65</f>
        <v>0</v>
      </c>
      <c r="DB65" s="38">
        <f>'Old Balance Sheet'!AA65 + 'ACPL Calculations - 1.0'!AD65 + 'ACPL Calculations - 2.0'!AD65</f>
        <v>0</v>
      </c>
      <c r="DC65" s="38">
        <f>'Old Balance Sheet'!AB65 + 'ACPL Calculations - 1.0'!AE65 + 'ACPL Calculations - 2.0'!AE65</f>
        <v>0</v>
      </c>
      <c r="DD65" s="38">
        <f t="shared" si="4"/>
        <v>0</v>
      </c>
      <c r="DE65" s="33">
        <f t="shared" si="5"/>
        <v>0</v>
      </c>
      <c r="DF65" s="35">
        <v>0.0</v>
      </c>
      <c r="DG65" s="35">
        <v>0.0</v>
      </c>
      <c r="DH65" s="35">
        <v>0.0</v>
      </c>
      <c r="DI65" s="35">
        <v>0.0</v>
      </c>
      <c r="DJ65" s="35">
        <v>0.0</v>
      </c>
      <c r="DK65" s="35">
        <v>0.0</v>
      </c>
      <c r="DL65" s="35">
        <v>0.0</v>
      </c>
      <c r="DM65" s="35">
        <v>0.0</v>
      </c>
      <c r="DN65" s="31">
        <v>0.0</v>
      </c>
      <c r="DO65" s="31">
        <v>0.0</v>
      </c>
      <c r="DP65" s="31">
        <v>0.0</v>
      </c>
      <c r="DQ65" s="31">
        <v>0.0</v>
      </c>
      <c r="DR65" s="31">
        <v>0.0</v>
      </c>
      <c r="DS65" s="31">
        <v>0.0</v>
      </c>
      <c r="DT65" s="31">
        <f>'Old Balance Sheet'!AC65</f>
        <v>0</v>
      </c>
      <c r="DU65" s="31">
        <f>DT65 + SUMIFS('Payments Log'!D:D, 'Payments Log'!B:B, A65, 'Payments Log'!L:L, "Approved", 'Payments Log'!M:M, "Credit") + 'Old Balance Sheet'!AD65 - 'Old Balance Sheet'!AC65</f>
        <v>0</v>
      </c>
      <c r="DV65" s="31">
        <f>SUMIFS('Payments Log'!D:D, 'Payments Log'!B:B, A65, 'Payments Log'!L:L, "Approved", 'Payments Log'!M:M, "Adjustment Credit") - SUMIFS('Payments Log'!D:D, 'Payments Log'!B:B, A65, 'Payments Log'!L:L, "Approved", 'Payments Log'!M:M, "Adjustment Debit") + 'Old Balance Sheet'!AE65</f>
        <v>0</v>
      </c>
      <c r="DW65" s="31">
        <f>IF(MAXIFS('Payments Log'!N:N, 'Payments Log'!L:L, "Approved", 'Payments Log'!M:M, "Credit", 'Payments Log'!B:B, A65) &gt; MAXIFS('Payments Log'!N:N, 'Payments Log'!L:L, "Approved", 'Payments Log'!M:M, "Virtual Credit", 'Payments Log'!B:B, A65), 0, SUMIFS('Payments Log'!D:D, 'Payments Log'!N:N, MAXIFS('Payments Log'!N:N, 'Payments Log'!L:L, "Approved", 'Payments Log'!M:M, "Virtual Credit", 'Payments Log'!B:B, A65)))</f>
        <v>0</v>
      </c>
      <c r="DX65" s="33">
        <f t="shared" si="6"/>
        <v>0</v>
      </c>
      <c r="DY65" s="33">
        <f t="shared" si="7"/>
        <v>0</v>
      </c>
      <c r="DZ65" s="33">
        <f t="shared" si="8"/>
        <v>0</v>
      </c>
      <c r="EA65" s="25" t="str">
        <f>(Sheet1!N65)</f>
        <v>Dhruv Hero - Ambala</v>
      </c>
      <c r="EB65" s="25" t="str">
        <f>(Sheet1!O65)</f>
        <v>1o-kgAGYwJQGPJwLj0hYgwKABboMbPKDLAWI9iRmz2LU</v>
      </c>
      <c r="EC65" s="26" t="str">
        <f>(Sheet1!P65)</f>
        <v>Dealer</v>
      </c>
      <c r="ED65" s="34" t="s">
        <v>13</v>
      </c>
    </row>
    <row r="66">
      <c r="A66" s="25" t="str">
        <f>(Sheet1!A66)</f>
        <v>1brEaJJIr9CUuMyBbZl1_6v1V659tqpHO6omaGzj0JnM</v>
      </c>
      <c r="B66" s="25" t="str">
        <f>(Sheet1!B66)</f>
        <v>Mahi Motors (KMB)</v>
      </c>
      <c r="C66" s="30" t="s">
        <v>13</v>
      </c>
      <c r="D66" s="30" t="s">
        <v>72</v>
      </c>
      <c r="E66" s="30" t="s">
        <v>3820</v>
      </c>
      <c r="F66" s="31">
        <v>205.0</v>
      </c>
      <c r="G66" s="32" t="s">
        <v>3818</v>
      </c>
      <c r="H66" s="31">
        <v>100.0</v>
      </c>
      <c r="I66" s="33">
        <f>'Old Balance Sheet'!A66 + 'ACPL Calculations - 1.0'!A66 + 'ACPL Calculations - 2.0'!A66</f>
        <v>46</v>
      </c>
      <c r="J66" s="30" t="s">
        <v>3820</v>
      </c>
      <c r="K66" s="31">
        <v>205.0</v>
      </c>
      <c r="L66" s="32" t="s">
        <v>3818</v>
      </c>
      <c r="M66" s="31">
        <v>100.0</v>
      </c>
      <c r="N66" s="33">
        <f>'Old Balance Sheet'!B66 + 'ACPL Calculations - 1.0'!B66 + 'ACPL Calculations - 2.0'!B66</f>
        <v>0</v>
      </c>
      <c r="O66" s="30" t="s">
        <v>3820</v>
      </c>
      <c r="P66" s="31">
        <v>290.0</v>
      </c>
      <c r="Q66" s="32" t="s">
        <v>3818</v>
      </c>
      <c r="R66" s="31">
        <v>100.0</v>
      </c>
      <c r="S66" s="33">
        <f>'Old Balance Sheet'!C66 + 'ACPL Calculations - 1.0'!C66 + 'ACPL Calculations - 2.0'!C66</f>
        <v>0</v>
      </c>
      <c r="T66" s="30" t="s">
        <v>3820</v>
      </c>
      <c r="U66" s="31">
        <v>375.0</v>
      </c>
      <c r="V66" s="32" t="s">
        <v>3818</v>
      </c>
      <c r="W66" s="31">
        <v>100.0</v>
      </c>
      <c r="X66" s="33">
        <f>'Old Balance Sheet'!D66 + 'ACPL Calculations - 1.0'!D66 + 'ACPL Calculations - 2.0'!D66</f>
        <v>0</v>
      </c>
      <c r="Y66" s="30" t="s">
        <v>3820</v>
      </c>
      <c r="Z66" s="31">
        <v>460.0</v>
      </c>
      <c r="AA66" s="32" t="s">
        <v>3818</v>
      </c>
      <c r="AB66" s="31">
        <v>100.0</v>
      </c>
      <c r="AC66" s="33">
        <f>'Old Balance Sheet'!E66 + 'ACPL Calculations - 1.0'!E66 + 'ACPL Calculations - 2.0'!E66</f>
        <v>0</v>
      </c>
      <c r="AD66" s="30" t="s">
        <v>3820</v>
      </c>
      <c r="AE66" s="34">
        <v>838.99</v>
      </c>
      <c r="AF66" s="32" t="s">
        <v>3818</v>
      </c>
      <c r="AG66" s="31">
        <v>100.0</v>
      </c>
      <c r="AH66" s="33">
        <f>'Old Balance Sheet'!F66 + 'ACPL Calculations - 1.0'!F66 + 'ACPL Calculations - 2.0'!F66</f>
        <v>0</v>
      </c>
      <c r="AI66" s="30" t="s">
        <v>3820</v>
      </c>
      <c r="AJ66" s="31">
        <v>375.0</v>
      </c>
      <c r="AK66" s="32" t="s">
        <v>3818</v>
      </c>
      <c r="AL66" s="31">
        <v>100.0</v>
      </c>
      <c r="AM66" s="33">
        <f>'Old Balance Sheet'!G66 + 'ACPL Calculations - 1.0'!G66 + 'ACPL Calculations - 2.0'!G66</f>
        <v>0</v>
      </c>
      <c r="AN66" s="30" t="s">
        <v>3820</v>
      </c>
      <c r="AO66" s="31">
        <v>290.0</v>
      </c>
      <c r="AP66" s="32" t="s">
        <v>3818</v>
      </c>
      <c r="AQ66" s="31">
        <v>100.0</v>
      </c>
      <c r="AR66" s="33">
        <f>'Old Balance Sheet'!H66 + 'ACPL Calculations - 1.0'!H66 + 'ACPL Calculations - 2.0'!H66</f>
        <v>0</v>
      </c>
      <c r="AS66" s="30" t="s">
        <v>3819</v>
      </c>
      <c r="AT66" s="31">
        <v>838.99</v>
      </c>
      <c r="AU66" s="32" t="s">
        <v>3818</v>
      </c>
      <c r="AV66" s="31">
        <v>100.0</v>
      </c>
      <c r="AW66" s="33">
        <f>'Old Balance Sheet'!I66 + 'ACPL Calculations - 1.0'!I66 + 'ACPL Calculations - 2.0'!I66</f>
        <v>0</v>
      </c>
      <c r="AX66" s="30" t="s">
        <v>3820</v>
      </c>
      <c r="AY66" s="31">
        <v>290.0</v>
      </c>
      <c r="AZ66" s="32" t="s">
        <v>3818</v>
      </c>
      <c r="BA66" s="31">
        <v>100.0</v>
      </c>
      <c r="BB66" s="33">
        <f>'Old Balance Sheet'!J66 + 'ACPL Calculations - 1.0'!J66 + 'ACPL Calculations - 2.0'!J66</f>
        <v>0</v>
      </c>
      <c r="BC66" s="30" t="s">
        <v>3820</v>
      </c>
      <c r="BD66" s="31">
        <v>205.0</v>
      </c>
      <c r="BE66" s="32" t="s">
        <v>3818</v>
      </c>
      <c r="BF66" s="31">
        <v>100.0</v>
      </c>
      <c r="BG66" s="33">
        <f>'Old Balance Sheet'!K66 + 'ACPL Calculations - 1.0'!K66 + 'ACPL Calculations - 2.0'!K66</f>
        <v>0</v>
      </c>
      <c r="BH66" s="30" t="s">
        <v>3820</v>
      </c>
      <c r="BI66" s="31">
        <v>205.0</v>
      </c>
      <c r="BJ66" s="32" t="s">
        <v>3818</v>
      </c>
      <c r="BK66" s="31">
        <v>100.0</v>
      </c>
      <c r="BL66" s="33">
        <f>'Old Balance Sheet'!L66 + 'ACPL Calculations - 1.0'!L66 + 'ACPL Calculations - 2.0'!L66</f>
        <v>0</v>
      </c>
      <c r="BM66" s="33"/>
      <c r="BN66" s="33"/>
      <c r="BO66" s="33"/>
      <c r="BP66" s="33"/>
      <c r="BQ66" s="33"/>
      <c r="BR66" s="33"/>
      <c r="BS66" s="33"/>
      <c r="BT66" s="33"/>
      <c r="BU66" s="33"/>
      <c r="BV66" s="33"/>
      <c r="BW66" s="33"/>
      <c r="BX66" s="33"/>
      <c r="BY66" s="33"/>
      <c r="BZ66" s="33"/>
      <c r="CA66" s="33"/>
      <c r="CB66" s="33"/>
      <c r="CC66" s="33"/>
      <c r="CD66" s="33"/>
      <c r="CE66" s="33"/>
      <c r="CF66" s="33"/>
      <c r="CG66" s="33"/>
      <c r="CH66" s="33"/>
      <c r="CI66" s="33"/>
      <c r="CJ66" s="33"/>
      <c r="CK66" s="33"/>
      <c r="CL66" s="33">
        <f t="shared" si="1"/>
        <v>46</v>
      </c>
      <c r="CM66" s="33">
        <f>'Old Balance Sheet'!R66 + 'ACPL Calculations - 1.0'!S66 + 'ACPL Calculations - 2.0'!S66</f>
        <v>17940</v>
      </c>
      <c r="CN66" s="33">
        <f>'Old Balance Sheet'!S66 + 'ACPL Calculations - 1.0'!T66 + 'ACPL Calculations - 2.0'!T66</f>
        <v>9430</v>
      </c>
      <c r="CO66" s="33">
        <f t="shared" si="2"/>
        <v>12166.54</v>
      </c>
      <c r="CP66" s="33">
        <f>'Old Balance Sheet'!T66 + 'ACPL Calculations - 1.0'!V66 + 'ACPL Calculations - 2.0'!V66</f>
        <v>0</v>
      </c>
      <c r="CQ66" s="33">
        <f>'Old Balance Sheet'!U66 + 'ACPL Calculations - 1.0'!W66 + 'ACPL Calculations - 2.0'!W66</f>
        <v>0</v>
      </c>
      <c r="CR66" s="33">
        <f>'Old Balance Sheet'!V66 + 'ACPL Calculations - 1.0'!X66 + 'ACPL Calculations - 2.0'!X66</f>
        <v>2736.54</v>
      </c>
      <c r="CS66" s="33">
        <f t="shared" si="3"/>
        <v>2736.54</v>
      </c>
      <c r="CT66" s="35"/>
      <c r="CU66" s="35"/>
      <c r="CV66" s="35"/>
      <c r="CW66" s="36">
        <f>'Old Balance Sheet'!W66 + 'ACPL Calculations - 1.0'!Z66 + 'ACPL Calculations - 2.0'!Z66</f>
        <v>0</v>
      </c>
      <c r="CX66" s="36">
        <f>'Old Balance Sheet'!X66 + 'ACPL Calculations - 1.0'!AA66 + 'ACPL Calculations - 2.0'!AA66</f>
        <v>0</v>
      </c>
      <c r="CY66" s="37">
        <v>0.0</v>
      </c>
      <c r="CZ66" s="38">
        <f>'Old Balance Sheet'!Y66 + 'ACPL Calculations - 1.0'!AB66 + 'ACPL Calculations - 2.0'!AB66</f>
        <v>0</v>
      </c>
      <c r="DA66" s="38">
        <f>'Old Balance Sheet'!Z66 + 'ACPL Calculations - 1.0'!AC66 + 'ACPL Calculations - 2.0'!AC66</f>
        <v>0</v>
      </c>
      <c r="DB66" s="38">
        <f>'Old Balance Sheet'!AA66 + 'ACPL Calculations - 1.0'!AD66 + 'ACPL Calculations - 2.0'!AD66</f>
        <v>0</v>
      </c>
      <c r="DC66" s="38">
        <f>'Old Balance Sheet'!AB66 + 'ACPL Calculations - 1.0'!AE66 + 'ACPL Calculations - 2.0'!AE66</f>
        <v>0</v>
      </c>
      <c r="DD66" s="38">
        <f t="shared" si="4"/>
        <v>0</v>
      </c>
      <c r="DE66" s="33">
        <f t="shared" si="5"/>
        <v>0</v>
      </c>
      <c r="DF66" s="35">
        <v>0.0</v>
      </c>
      <c r="DG66" s="35">
        <v>0.0</v>
      </c>
      <c r="DH66" s="35">
        <v>0.0</v>
      </c>
      <c r="DI66" s="35">
        <v>0.0</v>
      </c>
      <c r="DJ66" s="35">
        <v>0.0</v>
      </c>
      <c r="DK66" s="35">
        <v>0.0</v>
      </c>
      <c r="DL66" s="35">
        <v>0.0</v>
      </c>
      <c r="DM66" s="35">
        <v>0.0</v>
      </c>
      <c r="DN66" s="31">
        <v>0.0</v>
      </c>
      <c r="DO66" s="31">
        <v>0.0</v>
      </c>
      <c r="DP66" s="31">
        <v>0.0</v>
      </c>
      <c r="DQ66" s="31">
        <v>0.0</v>
      </c>
      <c r="DR66" s="31">
        <v>0.0</v>
      </c>
      <c r="DS66" s="31">
        <v>0.0</v>
      </c>
      <c r="DT66" s="31">
        <f>'Old Balance Sheet'!AC66</f>
        <v>0</v>
      </c>
      <c r="DU66" s="31">
        <f>DT66 + SUMIFS('Payments Log'!D:D, 'Payments Log'!B:B, A66, 'Payments Log'!L:L, "Approved", 'Payments Log'!M:M, "Credit") + 'Old Balance Sheet'!AD66 - 'Old Balance Sheet'!AC66</f>
        <v>0</v>
      </c>
      <c r="DV66" s="31">
        <f>SUMIFS('Payments Log'!D:D, 'Payments Log'!B:B, A66, 'Payments Log'!L:L, "Approved", 'Payments Log'!M:M, "Adjustment Credit") - SUMIFS('Payments Log'!D:D, 'Payments Log'!B:B, A66, 'Payments Log'!L:L, "Approved", 'Payments Log'!M:M, "Adjustment Debit") + 'Old Balance Sheet'!AE66</f>
        <v>0</v>
      </c>
      <c r="DW66" s="31">
        <f>IF(MAXIFS('Payments Log'!N:N, 'Payments Log'!L:L, "Approved", 'Payments Log'!M:M, "Credit", 'Payments Log'!B:B, A66) &gt; MAXIFS('Payments Log'!N:N, 'Payments Log'!L:L, "Approved", 'Payments Log'!M:M, "Virtual Credit", 'Payments Log'!B:B, A66), 0, SUMIFS('Payments Log'!D:D, 'Payments Log'!N:N, MAXIFS('Payments Log'!N:N, 'Payments Log'!L:L, "Approved", 'Payments Log'!M:M, "Virtual Credit", 'Payments Log'!B:B, A66)))</f>
        <v>0</v>
      </c>
      <c r="DX66" s="33">
        <f t="shared" si="6"/>
        <v>0</v>
      </c>
      <c r="DY66" s="33">
        <f t="shared" si="7"/>
        <v>0</v>
      </c>
      <c r="DZ66" s="33">
        <f t="shared" si="8"/>
        <v>0</v>
      </c>
      <c r="EA66" s="25" t="str">
        <f>(Sheet1!N66)</f>
        <v>Kavita Motors - Bijnor</v>
      </c>
      <c r="EB66" s="25" t="str">
        <f>(Sheet1!O66)</f>
        <v>1p3Bu4mvhlVeVMP3Ogpf0F-2KWPlAp07JNr-X652uW0U</v>
      </c>
      <c r="EC66" s="26" t="str">
        <f>(Sheet1!P66)</f>
        <v>Sub Dealer</v>
      </c>
      <c r="ED66" s="34" t="s">
        <v>13</v>
      </c>
    </row>
    <row r="67">
      <c r="A67" s="25" t="str">
        <f>(Sheet1!A67)</f>
        <v>1DS5NtcGph94jJUNKazFINpAqRSIEGCBtibwVxAM7-qM</v>
      </c>
      <c r="B67" s="25" t="str">
        <f>(Sheet1!B67)</f>
        <v>NV Automobiles - TVS Mathura</v>
      </c>
      <c r="C67" s="30" t="s">
        <v>13</v>
      </c>
      <c r="D67" s="30" t="s">
        <v>72</v>
      </c>
      <c r="E67" s="30" t="s">
        <v>3817</v>
      </c>
      <c r="F67" s="31">
        <v>205.0</v>
      </c>
      <c r="G67" s="32" t="s">
        <v>3818</v>
      </c>
      <c r="H67" s="31">
        <v>100.0</v>
      </c>
      <c r="I67" s="33">
        <f>'Old Balance Sheet'!A67 + 'ACPL Calculations - 1.0'!A67 + 'ACPL Calculations - 2.0'!A67</f>
        <v>0</v>
      </c>
      <c r="J67" s="30" t="s">
        <v>3817</v>
      </c>
      <c r="K67" s="31">
        <v>205.0</v>
      </c>
      <c r="L67" s="32" t="s">
        <v>3818</v>
      </c>
      <c r="M67" s="31">
        <v>100.0</v>
      </c>
      <c r="N67" s="33">
        <f>'Old Balance Sheet'!B67 + 'ACPL Calculations - 1.0'!B67 + 'ACPL Calculations - 2.0'!B67</f>
        <v>0</v>
      </c>
      <c r="O67" s="30" t="s">
        <v>3817</v>
      </c>
      <c r="P67" s="31">
        <v>290.0</v>
      </c>
      <c r="Q67" s="32" t="s">
        <v>3818</v>
      </c>
      <c r="R67" s="31">
        <v>100.0</v>
      </c>
      <c r="S67" s="33">
        <f>'Old Balance Sheet'!C67 + 'ACPL Calculations - 1.0'!C67 + 'ACPL Calculations - 2.0'!C67</f>
        <v>0</v>
      </c>
      <c r="T67" s="30" t="s">
        <v>3817</v>
      </c>
      <c r="U67" s="31">
        <v>375.0</v>
      </c>
      <c r="V67" s="32" t="s">
        <v>3818</v>
      </c>
      <c r="W67" s="31">
        <v>100.0</v>
      </c>
      <c r="X67" s="33">
        <f>'Old Balance Sheet'!D67 + 'ACPL Calculations - 1.0'!D67 + 'ACPL Calculations - 2.0'!D67</f>
        <v>0</v>
      </c>
      <c r="Y67" s="30" t="s">
        <v>3817</v>
      </c>
      <c r="Z67" s="31">
        <v>460.0</v>
      </c>
      <c r="AA67" s="32" t="s">
        <v>3818</v>
      </c>
      <c r="AB67" s="31">
        <v>100.0</v>
      </c>
      <c r="AC67" s="33">
        <f>'Old Balance Sheet'!E67 + 'ACPL Calculations - 1.0'!E67 + 'ACPL Calculations - 2.0'!E67</f>
        <v>0</v>
      </c>
      <c r="AD67" s="30" t="s">
        <v>3817</v>
      </c>
      <c r="AE67" s="34">
        <v>838.99</v>
      </c>
      <c r="AF67" s="32" t="s">
        <v>3818</v>
      </c>
      <c r="AG67" s="31">
        <v>100.0</v>
      </c>
      <c r="AH67" s="33">
        <f>'Old Balance Sheet'!F67 + 'ACPL Calculations - 1.0'!F67 + 'ACPL Calculations - 2.0'!F67</f>
        <v>0</v>
      </c>
      <c r="AI67" s="30" t="s">
        <v>3817</v>
      </c>
      <c r="AJ67" s="31">
        <v>375.0</v>
      </c>
      <c r="AK67" s="32" t="s">
        <v>3818</v>
      </c>
      <c r="AL67" s="31">
        <v>100.0</v>
      </c>
      <c r="AM67" s="33">
        <f>'Old Balance Sheet'!G67 + 'ACPL Calculations - 1.0'!G67 + 'ACPL Calculations - 2.0'!G67</f>
        <v>0</v>
      </c>
      <c r="AN67" s="30" t="s">
        <v>3817</v>
      </c>
      <c r="AO67" s="31">
        <v>290.0</v>
      </c>
      <c r="AP67" s="32" t="s">
        <v>3818</v>
      </c>
      <c r="AQ67" s="31">
        <v>100.0</v>
      </c>
      <c r="AR67" s="33">
        <f>'Old Balance Sheet'!H67 + 'ACPL Calculations - 1.0'!H67 + 'ACPL Calculations - 2.0'!H67</f>
        <v>0</v>
      </c>
      <c r="AS67" s="30" t="s">
        <v>3819</v>
      </c>
      <c r="AT67" s="31">
        <v>838.99</v>
      </c>
      <c r="AU67" s="32" t="s">
        <v>3818</v>
      </c>
      <c r="AV67" s="31">
        <v>100.0</v>
      </c>
      <c r="AW67" s="33">
        <f>'Old Balance Sheet'!I67 + 'ACPL Calculations - 1.0'!I67 + 'ACPL Calculations - 2.0'!I67</f>
        <v>0</v>
      </c>
      <c r="AX67" s="30" t="s">
        <v>3817</v>
      </c>
      <c r="AY67" s="31">
        <v>290.0</v>
      </c>
      <c r="AZ67" s="32" t="s">
        <v>3818</v>
      </c>
      <c r="BA67" s="31">
        <v>100.0</v>
      </c>
      <c r="BB67" s="33">
        <f>'Old Balance Sheet'!J67 + 'ACPL Calculations - 1.0'!J67 + 'ACPL Calculations - 2.0'!J67</f>
        <v>0</v>
      </c>
      <c r="BC67" s="30" t="s">
        <v>3817</v>
      </c>
      <c r="BD67" s="31">
        <v>205.0</v>
      </c>
      <c r="BE67" s="32" t="s">
        <v>3818</v>
      </c>
      <c r="BF67" s="31">
        <v>100.0</v>
      </c>
      <c r="BG67" s="33">
        <f>'Old Balance Sheet'!K67 + 'ACPL Calculations - 1.0'!K67 + 'ACPL Calculations - 2.0'!K67</f>
        <v>0</v>
      </c>
      <c r="BH67" s="30" t="s">
        <v>3817</v>
      </c>
      <c r="BI67" s="31">
        <v>205.0</v>
      </c>
      <c r="BJ67" s="32" t="s">
        <v>3818</v>
      </c>
      <c r="BK67" s="31">
        <v>100.0</v>
      </c>
      <c r="BL67" s="33">
        <f>'Old Balance Sheet'!L67 + 'ACPL Calculations - 1.0'!L67 + 'ACPL Calculations - 2.0'!L67</f>
        <v>0</v>
      </c>
      <c r="BM67" s="33"/>
      <c r="BN67" s="33"/>
      <c r="BO67" s="33"/>
      <c r="BP67" s="33"/>
      <c r="BQ67" s="33"/>
      <c r="BR67" s="33"/>
      <c r="BS67" s="33"/>
      <c r="BT67" s="33"/>
      <c r="BU67" s="33"/>
      <c r="BV67" s="33"/>
      <c r="BW67" s="33"/>
      <c r="BX67" s="33"/>
      <c r="BY67" s="33"/>
      <c r="BZ67" s="33"/>
      <c r="CA67" s="33"/>
      <c r="CB67" s="33"/>
      <c r="CC67" s="33"/>
      <c r="CD67" s="33"/>
      <c r="CE67" s="33"/>
      <c r="CF67" s="33"/>
      <c r="CG67" s="33"/>
      <c r="CH67" s="33"/>
      <c r="CI67" s="33"/>
      <c r="CJ67" s="33"/>
      <c r="CK67" s="33"/>
      <c r="CL67" s="33">
        <f t="shared" si="1"/>
        <v>0</v>
      </c>
      <c r="CM67" s="33">
        <f>'Old Balance Sheet'!R67 + 'ACPL Calculations - 1.0'!S67 + 'ACPL Calculations - 2.0'!S67</f>
        <v>0</v>
      </c>
      <c r="CN67" s="33">
        <f>'Old Balance Sheet'!S67 + 'ACPL Calculations - 1.0'!T67 + 'ACPL Calculations - 2.0'!T67</f>
        <v>0</v>
      </c>
      <c r="CO67" s="33">
        <f t="shared" si="2"/>
        <v>0</v>
      </c>
      <c r="CP67" s="33">
        <f>'Old Balance Sheet'!T67 + 'ACPL Calculations - 1.0'!V67 + 'ACPL Calculations - 2.0'!V67</f>
        <v>0</v>
      </c>
      <c r="CQ67" s="33">
        <f>'Old Balance Sheet'!U67 + 'ACPL Calculations - 1.0'!W67 + 'ACPL Calculations - 2.0'!W67</f>
        <v>0</v>
      </c>
      <c r="CR67" s="33">
        <f>'Old Balance Sheet'!V67 + 'ACPL Calculations - 1.0'!X67 + 'ACPL Calculations - 2.0'!X67</f>
        <v>0</v>
      </c>
      <c r="CS67" s="33">
        <f t="shared" si="3"/>
        <v>0</v>
      </c>
      <c r="CT67" s="35"/>
      <c r="CU67" s="35"/>
      <c r="CV67" s="35"/>
      <c r="CW67" s="36">
        <f>'Old Balance Sheet'!W67 + 'ACPL Calculations - 1.0'!Z67 + 'ACPL Calculations - 2.0'!Z67</f>
        <v>0</v>
      </c>
      <c r="CX67" s="36">
        <f>'Old Balance Sheet'!X67 + 'ACPL Calculations - 1.0'!AA67 + 'ACPL Calculations - 2.0'!AA67</f>
        <v>0</v>
      </c>
      <c r="CY67" s="37">
        <v>0.0</v>
      </c>
      <c r="CZ67" s="38">
        <f>'Old Balance Sheet'!Y67 + 'ACPL Calculations - 1.0'!AB67 + 'ACPL Calculations - 2.0'!AB67</f>
        <v>0</v>
      </c>
      <c r="DA67" s="38">
        <f>'Old Balance Sheet'!Z67 + 'ACPL Calculations - 1.0'!AC67 + 'ACPL Calculations - 2.0'!AC67</f>
        <v>0</v>
      </c>
      <c r="DB67" s="38">
        <f>'Old Balance Sheet'!AA67 + 'ACPL Calculations - 1.0'!AD67 + 'ACPL Calculations - 2.0'!AD67</f>
        <v>0</v>
      </c>
      <c r="DC67" s="38">
        <f>'Old Balance Sheet'!AB67 + 'ACPL Calculations - 1.0'!AE67 + 'ACPL Calculations - 2.0'!AE67</f>
        <v>0</v>
      </c>
      <c r="DD67" s="38">
        <f t="shared" si="4"/>
        <v>0</v>
      </c>
      <c r="DE67" s="33">
        <f t="shared" si="5"/>
        <v>0</v>
      </c>
      <c r="DF67" s="35">
        <v>0.0</v>
      </c>
      <c r="DG67" s="35">
        <v>0.0</v>
      </c>
      <c r="DH67" s="35">
        <v>0.0</v>
      </c>
      <c r="DI67" s="35">
        <v>0.0</v>
      </c>
      <c r="DJ67" s="35">
        <v>0.0</v>
      </c>
      <c r="DK67" s="35">
        <v>0.0</v>
      </c>
      <c r="DL67" s="35">
        <v>0.0</v>
      </c>
      <c r="DM67" s="35">
        <v>0.0</v>
      </c>
      <c r="DN67" s="31">
        <v>0.0</v>
      </c>
      <c r="DO67" s="31">
        <v>0.0</v>
      </c>
      <c r="DP67" s="31">
        <v>0.0</v>
      </c>
      <c r="DQ67" s="31">
        <v>0.0</v>
      </c>
      <c r="DR67" s="31">
        <v>0.0</v>
      </c>
      <c r="DS67" s="31">
        <v>0.0</v>
      </c>
      <c r="DT67" s="31">
        <f>'Old Balance Sheet'!AC67</f>
        <v>0</v>
      </c>
      <c r="DU67" s="31">
        <f>DT67 + SUMIFS('Payments Log'!D:D, 'Payments Log'!B:B, A67, 'Payments Log'!L:L, "Approved", 'Payments Log'!M:M, "Credit") + 'Old Balance Sheet'!AD67 - 'Old Balance Sheet'!AC67</f>
        <v>0</v>
      </c>
      <c r="DV67" s="31">
        <f>SUMIFS('Payments Log'!D:D, 'Payments Log'!B:B, A67, 'Payments Log'!L:L, "Approved", 'Payments Log'!M:M, "Adjustment Credit") - SUMIFS('Payments Log'!D:D, 'Payments Log'!B:B, A67, 'Payments Log'!L:L, "Approved", 'Payments Log'!M:M, "Adjustment Debit") + 'Old Balance Sheet'!AE67</f>
        <v>0</v>
      </c>
      <c r="DW67" s="31">
        <f>IF(MAXIFS('Payments Log'!N:N, 'Payments Log'!L:L, "Approved", 'Payments Log'!M:M, "Credit", 'Payments Log'!B:B, A67) &gt; MAXIFS('Payments Log'!N:N, 'Payments Log'!L:L, "Approved", 'Payments Log'!M:M, "Virtual Credit", 'Payments Log'!B:B, A67), 0, SUMIFS('Payments Log'!D:D, 'Payments Log'!N:N, MAXIFS('Payments Log'!N:N, 'Payments Log'!L:L, "Approved", 'Payments Log'!M:M, "Virtual Credit", 'Payments Log'!B:B, A67)))</f>
        <v>0</v>
      </c>
      <c r="DX67" s="33">
        <f t="shared" si="6"/>
        <v>0</v>
      </c>
      <c r="DY67" s="33">
        <f t="shared" si="7"/>
        <v>0</v>
      </c>
      <c r="DZ67" s="33">
        <f t="shared" si="8"/>
        <v>0</v>
      </c>
      <c r="EA67" s="25" t="str">
        <f>(Sheet1!N67)</f>
        <v>NV Automobiles - TVS Mathura</v>
      </c>
      <c r="EB67" s="25" t="str">
        <f>(Sheet1!O67)</f>
        <v>1DS5NtcGph94jJUNKazFINpAqRSIEGCBtibwVxAM7-qM</v>
      </c>
      <c r="EC67" s="26" t="str">
        <f>(Sheet1!P67)</f>
        <v>Dealer</v>
      </c>
      <c r="ED67" s="34" t="s">
        <v>13</v>
      </c>
    </row>
    <row r="68">
      <c r="A68" s="25" t="str">
        <f>(Sheet1!A68)</f>
        <v>1_xzpyB0amoYhYfY1WdkZ6GVcQiaJKzjQJfus2Cafu-I</v>
      </c>
      <c r="B68" s="25" t="str">
        <f>(Sheet1!B68)</f>
        <v>Saheb Hero - Sahibabad</v>
      </c>
      <c r="C68" s="30" t="s">
        <v>13</v>
      </c>
      <c r="D68" s="30" t="s">
        <v>72</v>
      </c>
      <c r="E68" s="30" t="s">
        <v>3817</v>
      </c>
      <c r="F68" s="31">
        <v>205.0</v>
      </c>
      <c r="G68" s="32" t="s">
        <v>3818</v>
      </c>
      <c r="H68" s="31">
        <v>100.0</v>
      </c>
      <c r="I68" s="33">
        <f>'Old Balance Sheet'!A68 + 'ACPL Calculations - 1.0'!A68 + 'ACPL Calculations - 2.0'!A68</f>
        <v>0</v>
      </c>
      <c r="J68" s="30" t="s">
        <v>3817</v>
      </c>
      <c r="K68" s="31">
        <v>205.0</v>
      </c>
      <c r="L68" s="32" t="s">
        <v>3818</v>
      </c>
      <c r="M68" s="31">
        <v>100.0</v>
      </c>
      <c r="N68" s="33">
        <f>'Old Balance Sheet'!B68 + 'ACPL Calculations - 1.0'!B68 + 'ACPL Calculations - 2.0'!B68</f>
        <v>0</v>
      </c>
      <c r="O68" s="30" t="s">
        <v>3817</v>
      </c>
      <c r="P68" s="31">
        <v>290.0</v>
      </c>
      <c r="Q68" s="32" t="s">
        <v>3818</v>
      </c>
      <c r="R68" s="31">
        <v>100.0</v>
      </c>
      <c r="S68" s="33">
        <f>'Old Balance Sheet'!C68 + 'ACPL Calculations - 1.0'!C68 + 'ACPL Calculations - 2.0'!C68</f>
        <v>0</v>
      </c>
      <c r="T68" s="30" t="s">
        <v>3817</v>
      </c>
      <c r="U68" s="31">
        <v>375.0</v>
      </c>
      <c r="V68" s="32" t="s">
        <v>3818</v>
      </c>
      <c r="W68" s="31">
        <v>100.0</v>
      </c>
      <c r="X68" s="33">
        <f>'Old Balance Sheet'!D68 + 'ACPL Calculations - 1.0'!D68 + 'ACPL Calculations - 2.0'!D68</f>
        <v>0</v>
      </c>
      <c r="Y68" s="30" t="s">
        <v>3817</v>
      </c>
      <c r="Z68" s="31">
        <v>460.0</v>
      </c>
      <c r="AA68" s="32" t="s">
        <v>3818</v>
      </c>
      <c r="AB68" s="31">
        <v>100.0</v>
      </c>
      <c r="AC68" s="33">
        <f>'Old Balance Sheet'!E68 + 'ACPL Calculations - 1.0'!E68 + 'ACPL Calculations - 2.0'!E68</f>
        <v>0</v>
      </c>
      <c r="AD68" s="30" t="s">
        <v>3817</v>
      </c>
      <c r="AE68" s="34">
        <v>838.99</v>
      </c>
      <c r="AF68" s="32" t="s">
        <v>3818</v>
      </c>
      <c r="AG68" s="31">
        <v>100.0</v>
      </c>
      <c r="AH68" s="33">
        <f>'Old Balance Sheet'!F68 + 'ACPL Calculations - 1.0'!F68 + 'ACPL Calculations - 2.0'!F68</f>
        <v>0</v>
      </c>
      <c r="AI68" s="30" t="s">
        <v>3817</v>
      </c>
      <c r="AJ68" s="31">
        <v>375.0</v>
      </c>
      <c r="AK68" s="32" t="s">
        <v>3818</v>
      </c>
      <c r="AL68" s="31">
        <v>100.0</v>
      </c>
      <c r="AM68" s="33">
        <f>'Old Balance Sheet'!G68 + 'ACPL Calculations - 1.0'!G68 + 'ACPL Calculations - 2.0'!G68</f>
        <v>0</v>
      </c>
      <c r="AN68" s="30" t="s">
        <v>3817</v>
      </c>
      <c r="AO68" s="31">
        <v>290.0</v>
      </c>
      <c r="AP68" s="32" t="s">
        <v>3818</v>
      </c>
      <c r="AQ68" s="31">
        <v>100.0</v>
      </c>
      <c r="AR68" s="33">
        <f>'Old Balance Sheet'!H68 + 'ACPL Calculations - 1.0'!H68 + 'ACPL Calculations - 2.0'!H68</f>
        <v>0</v>
      </c>
      <c r="AS68" s="30" t="s">
        <v>3819</v>
      </c>
      <c r="AT68" s="31">
        <v>838.99</v>
      </c>
      <c r="AU68" s="32" t="s">
        <v>3818</v>
      </c>
      <c r="AV68" s="31">
        <v>100.0</v>
      </c>
      <c r="AW68" s="33">
        <f>'Old Balance Sheet'!I68 + 'ACPL Calculations - 1.0'!I68 + 'ACPL Calculations - 2.0'!I68</f>
        <v>0</v>
      </c>
      <c r="AX68" s="30" t="s">
        <v>3817</v>
      </c>
      <c r="AY68" s="31">
        <v>290.0</v>
      </c>
      <c r="AZ68" s="32" t="s">
        <v>3818</v>
      </c>
      <c r="BA68" s="31">
        <v>100.0</v>
      </c>
      <c r="BB68" s="33">
        <f>'Old Balance Sheet'!J68 + 'ACPL Calculations - 1.0'!J68 + 'ACPL Calculations - 2.0'!J68</f>
        <v>0</v>
      </c>
      <c r="BC68" s="30" t="s">
        <v>3817</v>
      </c>
      <c r="BD68" s="31">
        <v>205.0</v>
      </c>
      <c r="BE68" s="32" t="s">
        <v>3818</v>
      </c>
      <c r="BF68" s="31">
        <v>100.0</v>
      </c>
      <c r="BG68" s="33">
        <f>'Old Balance Sheet'!K68 + 'ACPL Calculations - 1.0'!K68 + 'ACPL Calculations - 2.0'!K68</f>
        <v>0</v>
      </c>
      <c r="BH68" s="30" t="s">
        <v>3817</v>
      </c>
      <c r="BI68" s="31">
        <v>205.0</v>
      </c>
      <c r="BJ68" s="32" t="s">
        <v>3818</v>
      </c>
      <c r="BK68" s="31">
        <v>100.0</v>
      </c>
      <c r="BL68" s="33">
        <f>'Old Balance Sheet'!L68 + 'ACPL Calculations - 1.0'!L68 + 'ACPL Calculations - 2.0'!L68</f>
        <v>0</v>
      </c>
      <c r="BM68" s="33"/>
      <c r="BN68" s="33"/>
      <c r="BO68" s="33"/>
      <c r="BP68" s="33"/>
      <c r="BQ68" s="33"/>
      <c r="BR68" s="33"/>
      <c r="BS68" s="33"/>
      <c r="BT68" s="33"/>
      <c r="BU68" s="33"/>
      <c r="BV68" s="33"/>
      <c r="BW68" s="33"/>
      <c r="BX68" s="33"/>
      <c r="BY68" s="33"/>
      <c r="BZ68" s="33"/>
      <c r="CA68" s="33"/>
      <c r="CB68" s="33"/>
      <c r="CC68" s="33"/>
      <c r="CD68" s="33"/>
      <c r="CE68" s="33"/>
      <c r="CF68" s="33"/>
      <c r="CG68" s="33"/>
      <c r="CH68" s="33"/>
      <c r="CI68" s="33"/>
      <c r="CJ68" s="33"/>
      <c r="CK68" s="33"/>
      <c r="CL68" s="33">
        <f t="shared" si="1"/>
        <v>0</v>
      </c>
      <c r="CM68" s="33">
        <f>'Old Balance Sheet'!R68 + 'ACPL Calculations - 1.0'!S68 + 'ACPL Calculations - 2.0'!S68</f>
        <v>0</v>
      </c>
      <c r="CN68" s="33">
        <f>'Old Balance Sheet'!S68 + 'ACPL Calculations - 1.0'!T68 + 'ACPL Calculations - 2.0'!T68</f>
        <v>0</v>
      </c>
      <c r="CO68" s="33">
        <f t="shared" si="2"/>
        <v>0</v>
      </c>
      <c r="CP68" s="33">
        <f>'Old Balance Sheet'!T68 + 'ACPL Calculations - 1.0'!V68 + 'ACPL Calculations - 2.0'!V68</f>
        <v>0</v>
      </c>
      <c r="CQ68" s="33">
        <f>'Old Balance Sheet'!U68 + 'ACPL Calculations - 1.0'!W68 + 'ACPL Calculations - 2.0'!W68</f>
        <v>0</v>
      </c>
      <c r="CR68" s="33">
        <f>'Old Balance Sheet'!V68 + 'ACPL Calculations - 1.0'!X68 + 'ACPL Calculations - 2.0'!X68</f>
        <v>0</v>
      </c>
      <c r="CS68" s="33">
        <f t="shared" si="3"/>
        <v>0</v>
      </c>
      <c r="CT68" s="35"/>
      <c r="CU68" s="35"/>
      <c r="CV68" s="35"/>
      <c r="CW68" s="36">
        <f>'Old Balance Sheet'!W68 + 'ACPL Calculations - 1.0'!Z68 + 'ACPL Calculations - 2.0'!Z68</f>
        <v>0</v>
      </c>
      <c r="CX68" s="36">
        <f>'Old Balance Sheet'!X68 + 'ACPL Calculations - 1.0'!AA68 + 'ACPL Calculations - 2.0'!AA68</f>
        <v>0</v>
      </c>
      <c r="CY68" s="37">
        <v>0.0</v>
      </c>
      <c r="CZ68" s="38">
        <f>'Old Balance Sheet'!Y68 + 'ACPL Calculations - 1.0'!AB68 + 'ACPL Calculations - 2.0'!AB68</f>
        <v>0</v>
      </c>
      <c r="DA68" s="38">
        <f>'Old Balance Sheet'!Z68 + 'ACPL Calculations - 1.0'!AC68 + 'ACPL Calculations - 2.0'!AC68</f>
        <v>0</v>
      </c>
      <c r="DB68" s="38">
        <f>'Old Balance Sheet'!AA68 + 'ACPL Calculations - 1.0'!AD68 + 'ACPL Calculations - 2.0'!AD68</f>
        <v>0</v>
      </c>
      <c r="DC68" s="38">
        <f>'Old Balance Sheet'!AB68 + 'ACPL Calculations - 1.0'!AE68 + 'ACPL Calculations - 2.0'!AE68</f>
        <v>0</v>
      </c>
      <c r="DD68" s="38">
        <f t="shared" si="4"/>
        <v>0</v>
      </c>
      <c r="DE68" s="33">
        <f t="shared" si="5"/>
        <v>0</v>
      </c>
      <c r="DF68" s="35">
        <v>0.0</v>
      </c>
      <c r="DG68" s="35">
        <v>0.0</v>
      </c>
      <c r="DH68" s="35">
        <v>0.0</v>
      </c>
      <c r="DI68" s="35">
        <v>0.0</v>
      </c>
      <c r="DJ68" s="35">
        <v>0.0</v>
      </c>
      <c r="DK68" s="35">
        <v>0.0</v>
      </c>
      <c r="DL68" s="35">
        <v>0.0</v>
      </c>
      <c r="DM68" s="35">
        <v>0.0</v>
      </c>
      <c r="DN68" s="31">
        <v>0.0</v>
      </c>
      <c r="DO68" s="31">
        <v>0.0</v>
      </c>
      <c r="DP68" s="31">
        <v>0.0</v>
      </c>
      <c r="DQ68" s="31">
        <v>0.0</v>
      </c>
      <c r="DR68" s="31">
        <v>0.0</v>
      </c>
      <c r="DS68" s="31">
        <v>0.0</v>
      </c>
      <c r="DT68" s="31">
        <f>'Old Balance Sheet'!AC68</f>
        <v>0</v>
      </c>
      <c r="DU68" s="31">
        <f>DT68 + SUMIFS('Payments Log'!D:D, 'Payments Log'!B:B, A68, 'Payments Log'!L:L, "Approved", 'Payments Log'!M:M, "Credit") + 'Old Balance Sheet'!AD68 - 'Old Balance Sheet'!AC68</f>
        <v>0</v>
      </c>
      <c r="DV68" s="31">
        <f>SUMIFS('Payments Log'!D:D, 'Payments Log'!B:B, A68, 'Payments Log'!L:L, "Approved", 'Payments Log'!M:M, "Adjustment Credit") - SUMIFS('Payments Log'!D:D, 'Payments Log'!B:B, A68, 'Payments Log'!L:L, "Approved", 'Payments Log'!M:M, "Adjustment Debit") + 'Old Balance Sheet'!AE68</f>
        <v>0</v>
      </c>
      <c r="DW68" s="31">
        <f>IF(MAXIFS('Payments Log'!N:N, 'Payments Log'!L:L, "Approved", 'Payments Log'!M:M, "Credit", 'Payments Log'!B:B, A68) &gt; MAXIFS('Payments Log'!N:N, 'Payments Log'!L:L, "Approved", 'Payments Log'!M:M, "Virtual Credit", 'Payments Log'!B:B, A68), 0, SUMIFS('Payments Log'!D:D, 'Payments Log'!N:N, MAXIFS('Payments Log'!N:N, 'Payments Log'!L:L, "Approved", 'Payments Log'!M:M, "Virtual Credit", 'Payments Log'!B:B, A68)))</f>
        <v>0</v>
      </c>
      <c r="DX68" s="33">
        <f t="shared" si="6"/>
        <v>0</v>
      </c>
      <c r="DY68" s="33">
        <f t="shared" si="7"/>
        <v>0</v>
      </c>
      <c r="DZ68" s="33">
        <f t="shared" si="8"/>
        <v>0</v>
      </c>
      <c r="EA68" s="25" t="str">
        <f>(Sheet1!N68)</f>
        <v>Saheb Hero - Sahibabad</v>
      </c>
      <c r="EB68" s="25" t="str">
        <f>(Sheet1!O68)</f>
        <v>1_xzpyB0amoYhYfY1WdkZ6GVcQiaJKzjQJfus2Cafu-I</v>
      </c>
      <c r="EC68" s="26" t="str">
        <f>(Sheet1!P68)</f>
        <v>Dealer</v>
      </c>
      <c r="ED68" s="34" t="s">
        <v>13</v>
      </c>
    </row>
    <row r="69">
      <c r="A69" s="25" t="str">
        <f>(Sheet1!A69)</f>
        <v>1ek5ZSLYEG8WzBo8pYbS1V3846hx1xCXCDzzgtbytVUQ</v>
      </c>
      <c r="B69" s="25" t="str">
        <f>(Sheet1!B69)</f>
        <v>MAA JAGDAMBA AUTOS VAW- GANGIRI</v>
      </c>
      <c r="C69" s="30" t="s">
        <v>13</v>
      </c>
      <c r="D69" s="30" t="s">
        <v>72</v>
      </c>
      <c r="E69" s="30" t="s">
        <v>3820</v>
      </c>
      <c r="F69" s="31">
        <v>170.0</v>
      </c>
      <c r="G69" s="32" t="s">
        <v>3818</v>
      </c>
      <c r="H69" s="31">
        <v>100.0</v>
      </c>
      <c r="I69" s="33">
        <f>'Old Balance Sheet'!A69 + 'ACPL Calculations - 1.0'!A69 + 'ACPL Calculations - 2.0'!A69</f>
        <v>0</v>
      </c>
      <c r="J69" s="30" t="s">
        <v>3820</v>
      </c>
      <c r="K69" s="31">
        <v>170.0</v>
      </c>
      <c r="L69" s="32" t="s">
        <v>3818</v>
      </c>
      <c r="M69" s="31">
        <v>100.0</v>
      </c>
      <c r="N69" s="33">
        <f>'Old Balance Sheet'!B69 + 'ACPL Calculations - 1.0'!B69 + 'ACPL Calculations - 2.0'!B69</f>
        <v>0</v>
      </c>
      <c r="O69" s="30" t="s">
        <v>3820</v>
      </c>
      <c r="P69" s="31">
        <v>170.0</v>
      </c>
      <c r="Q69" s="32" t="s">
        <v>3818</v>
      </c>
      <c r="R69" s="31">
        <v>100.0</v>
      </c>
      <c r="S69" s="33">
        <f>'Old Balance Sheet'!C69 + 'ACPL Calculations - 1.0'!C69 + 'ACPL Calculations - 2.0'!C69</f>
        <v>0</v>
      </c>
      <c r="T69" s="30" t="s">
        <v>3820</v>
      </c>
      <c r="U69" s="31">
        <v>170.0</v>
      </c>
      <c r="V69" s="32" t="s">
        <v>3818</v>
      </c>
      <c r="W69" s="31">
        <v>100.0</v>
      </c>
      <c r="X69" s="33">
        <f>'Old Balance Sheet'!D69 + 'ACPL Calculations - 1.0'!D69 + 'ACPL Calculations - 2.0'!D69</f>
        <v>0</v>
      </c>
      <c r="Y69" s="30" t="s">
        <v>3820</v>
      </c>
      <c r="Z69" s="31">
        <v>170.0</v>
      </c>
      <c r="AA69" s="32" t="s">
        <v>3818</v>
      </c>
      <c r="AB69" s="31">
        <v>100.0</v>
      </c>
      <c r="AC69" s="33">
        <f>'Old Balance Sheet'!E69 + 'ACPL Calculations - 1.0'!E69 + 'ACPL Calculations - 2.0'!E69</f>
        <v>389</v>
      </c>
      <c r="AD69" s="30" t="s">
        <v>3820</v>
      </c>
      <c r="AE69" s="34">
        <v>838.99</v>
      </c>
      <c r="AF69" s="32" t="s">
        <v>3818</v>
      </c>
      <c r="AG69" s="31">
        <v>100.0</v>
      </c>
      <c r="AH69" s="33">
        <f>'Old Balance Sheet'!F69 + 'ACPL Calculations - 1.0'!F69 + 'ACPL Calculations - 2.0'!F69</f>
        <v>0</v>
      </c>
      <c r="AI69" s="30" t="s">
        <v>3820</v>
      </c>
      <c r="AJ69" s="31">
        <v>170.0</v>
      </c>
      <c r="AK69" s="32" t="s">
        <v>3818</v>
      </c>
      <c r="AL69" s="31">
        <v>100.0</v>
      </c>
      <c r="AM69" s="33">
        <f>'Old Balance Sheet'!G69 + 'ACPL Calculations - 1.0'!G69 + 'ACPL Calculations - 2.0'!G69</f>
        <v>0</v>
      </c>
      <c r="AN69" s="30" t="s">
        <v>3820</v>
      </c>
      <c r="AO69" s="31">
        <v>170.0</v>
      </c>
      <c r="AP69" s="32" t="s">
        <v>3818</v>
      </c>
      <c r="AQ69" s="31">
        <v>100.0</v>
      </c>
      <c r="AR69" s="33">
        <f>'Old Balance Sheet'!H69 + 'ACPL Calculations - 1.0'!H69 + 'ACPL Calculations - 2.0'!H69</f>
        <v>0</v>
      </c>
      <c r="AS69" s="30" t="s">
        <v>3819</v>
      </c>
      <c r="AT69" s="31">
        <v>838.99</v>
      </c>
      <c r="AU69" s="32" t="s">
        <v>3818</v>
      </c>
      <c r="AV69" s="31">
        <v>100.0</v>
      </c>
      <c r="AW69" s="33">
        <f>'Old Balance Sheet'!I69 + 'ACPL Calculations - 1.0'!I69 + 'ACPL Calculations - 2.0'!I69</f>
        <v>0</v>
      </c>
      <c r="AX69" s="30" t="s">
        <v>3820</v>
      </c>
      <c r="AY69" s="31">
        <v>290.0</v>
      </c>
      <c r="AZ69" s="32" t="s">
        <v>3818</v>
      </c>
      <c r="BA69" s="31">
        <v>100.0</v>
      </c>
      <c r="BB69" s="33">
        <f>'Old Balance Sheet'!J69 + 'ACPL Calculations - 1.0'!J69 + 'ACPL Calculations - 2.0'!J69</f>
        <v>0</v>
      </c>
      <c r="BC69" s="30" t="s">
        <v>3820</v>
      </c>
      <c r="BD69" s="31">
        <v>205.0</v>
      </c>
      <c r="BE69" s="32" t="s">
        <v>3818</v>
      </c>
      <c r="BF69" s="31">
        <v>100.0</v>
      </c>
      <c r="BG69" s="33">
        <f>'Old Balance Sheet'!K69 + 'ACPL Calculations - 1.0'!K69 + 'ACPL Calculations - 2.0'!K69</f>
        <v>0</v>
      </c>
      <c r="BH69" s="30" t="s">
        <v>3820</v>
      </c>
      <c r="BI69" s="31">
        <v>205.0</v>
      </c>
      <c r="BJ69" s="32" t="s">
        <v>3818</v>
      </c>
      <c r="BK69" s="31">
        <v>100.0</v>
      </c>
      <c r="BL69" s="33">
        <f>'Old Balance Sheet'!L69 + 'ACPL Calculations - 1.0'!L69 + 'ACPL Calculations - 2.0'!L69</f>
        <v>0</v>
      </c>
      <c r="BM69" s="33"/>
      <c r="BN69" s="33"/>
      <c r="BO69" s="33"/>
      <c r="BP69" s="33"/>
      <c r="BQ69" s="33"/>
      <c r="BR69" s="33"/>
      <c r="BS69" s="33"/>
      <c r="BT69" s="33"/>
      <c r="BU69" s="33"/>
      <c r="BV69" s="33"/>
      <c r="BW69" s="33"/>
      <c r="BX69" s="33"/>
      <c r="BY69" s="33"/>
      <c r="BZ69" s="33"/>
      <c r="CA69" s="33"/>
      <c r="CB69" s="33"/>
      <c r="CC69" s="33"/>
      <c r="CD69" s="33"/>
      <c r="CE69" s="33"/>
      <c r="CF69" s="33"/>
      <c r="CG69" s="33"/>
      <c r="CH69" s="33"/>
      <c r="CI69" s="33"/>
      <c r="CJ69" s="33"/>
      <c r="CK69" s="33"/>
      <c r="CL69" s="33">
        <f t="shared" si="1"/>
        <v>389</v>
      </c>
      <c r="CM69" s="33">
        <f>'Old Balance Sheet'!R69 + 'ACPL Calculations - 1.0'!S69 + 'ACPL Calculations - 2.0'!S69</f>
        <v>719650</v>
      </c>
      <c r="CN69" s="33">
        <f>'Old Balance Sheet'!S69 + 'ACPL Calculations - 1.0'!T69 + 'ACPL Calculations - 2.0'!T69</f>
        <v>66130</v>
      </c>
      <c r="CO69" s="33">
        <f t="shared" si="2"/>
        <v>175905.8</v>
      </c>
      <c r="CP69" s="33">
        <f>'Old Balance Sheet'!T69 + 'ACPL Calculations - 1.0'!V69 + 'ACPL Calculations - 2.0'!V69</f>
        <v>0</v>
      </c>
      <c r="CQ69" s="33">
        <f>'Old Balance Sheet'!U69 + 'ACPL Calculations - 1.0'!W69 + 'ACPL Calculations - 2.0'!W69</f>
        <v>0</v>
      </c>
      <c r="CR69" s="33">
        <f>'Old Balance Sheet'!V69 + 'ACPL Calculations - 1.0'!X69 + 'ACPL Calculations - 2.0'!X69</f>
        <v>109775.8</v>
      </c>
      <c r="CS69" s="33">
        <f t="shared" si="3"/>
        <v>109775.8</v>
      </c>
      <c r="CT69" s="35"/>
      <c r="CU69" s="35"/>
      <c r="CV69" s="35"/>
      <c r="CW69" s="36">
        <f>'Old Balance Sheet'!W69 + 'ACPL Calculations - 1.0'!Z69 + 'ACPL Calculations - 2.0'!Z69</f>
        <v>0</v>
      </c>
      <c r="CX69" s="36">
        <f>'Old Balance Sheet'!X69 + 'ACPL Calculations - 1.0'!AA69 + 'ACPL Calculations - 2.0'!AA69</f>
        <v>0</v>
      </c>
      <c r="CY69" s="37">
        <v>0.0</v>
      </c>
      <c r="CZ69" s="38">
        <f>'Old Balance Sheet'!Y69 + 'ACPL Calculations - 1.0'!AB69 + 'ACPL Calculations - 2.0'!AB69</f>
        <v>0</v>
      </c>
      <c r="DA69" s="38">
        <f>'Old Balance Sheet'!Z69 + 'ACPL Calculations - 1.0'!AC69 + 'ACPL Calculations - 2.0'!AC69</f>
        <v>0</v>
      </c>
      <c r="DB69" s="38">
        <f>'Old Balance Sheet'!AA69 + 'ACPL Calculations - 1.0'!AD69 + 'ACPL Calculations - 2.0'!AD69</f>
        <v>0</v>
      </c>
      <c r="DC69" s="38">
        <f>'Old Balance Sheet'!AB69 + 'ACPL Calculations - 1.0'!AE69 + 'ACPL Calculations - 2.0'!AE69</f>
        <v>0</v>
      </c>
      <c r="DD69" s="38">
        <f t="shared" si="4"/>
        <v>0</v>
      </c>
      <c r="DE69" s="33">
        <f t="shared" si="5"/>
        <v>0</v>
      </c>
      <c r="DF69" s="35">
        <v>0.0</v>
      </c>
      <c r="DG69" s="35">
        <v>0.0</v>
      </c>
      <c r="DH69" s="35">
        <v>0.0</v>
      </c>
      <c r="DI69" s="35">
        <v>0.0</v>
      </c>
      <c r="DJ69" s="35">
        <v>0.0</v>
      </c>
      <c r="DK69" s="35">
        <v>0.0</v>
      </c>
      <c r="DL69" s="35">
        <v>0.0</v>
      </c>
      <c r="DM69" s="35">
        <v>0.0</v>
      </c>
      <c r="DN69" s="31">
        <v>0.0</v>
      </c>
      <c r="DO69" s="31">
        <v>0.0</v>
      </c>
      <c r="DP69" s="31">
        <v>0.0</v>
      </c>
      <c r="DQ69" s="31">
        <v>0.0</v>
      </c>
      <c r="DR69" s="31">
        <v>0.0</v>
      </c>
      <c r="DS69" s="31">
        <v>0.0</v>
      </c>
      <c r="DT69" s="31">
        <f>'Old Balance Sheet'!AC69</f>
        <v>0</v>
      </c>
      <c r="DU69" s="31">
        <f>DT69 + SUMIFS('Payments Log'!D:D, 'Payments Log'!B:B, A69, 'Payments Log'!L:L, "Approved", 'Payments Log'!M:M, "Credit") + 'Old Balance Sheet'!AD69 - 'Old Balance Sheet'!AC69</f>
        <v>0</v>
      </c>
      <c r="DV69" s="31">
        <f>SUMIFS('Payments Log'!D:D, 'Payments Log'!B:B, A69, 'Payments Log'!L:L, "Approved", 'Payments Log'!M:M, "Adjustment Credit") - SUMIFS('Payments Log'!D:D, 'Payments Log'!B:B, A69, 'Payments Log'!L:L, "Approved", 'Payments Log'!M:M, "Adjustment Debit") + 'Old Balance Sheet'!AE69</f>
        <v>0</v>
      </c>
      <c r="DW69" s="31">
        <f>IF(MAXIFS('Payments Log'!N:N, 'Payments Log'!L:L, "Approved", 'Payments Log'!M:M, "Credit", 'Payments Log'!B:B, A69) &gt; MAXIFS('Payments Log'!N:N, 'Payments Log'!L:L, "Approved", 'Payments Log'!M:M, "Virtual Credit", 'Payments Log'!B:B, A69), 0, SUMIFS('Payments Log'!D:D, 'Payments Log'!N:N, MAXIFS('Payments Log'!N:N, 'Payments Log'!L:L, "Approved", 'Payments Log'!M:M, "Virtual Credit", 'Payments Log'!B:B, A69)))</f>
        <v>0</v>
      </c>
      <c r="DX69" s="33">
        <f t="shared" si="6"/>
        <v>0</v>
      </c>
      <c r="DY69" s="33">
        <f t="shared" si="7"/>
        <v>0</v>
      </c>
      <c r="DZ69" s="33">
        <f t="shared" si="8"/>
        <v>0</v>
      </c>
      <c r="EA69" s="25" t="str">
        <f>(Sheet1!N69)</f>
        <v>Vikas Autowheels</v>
      </c>
      <c r="EB69" s="25" t="str">
        <f>(Sheet1!O69)</f>
        <v>1944RLX7T1M23YXRXYoMnJ6nD_bKLldQXRpFRA0rDLvg</v>
      </c>
      <c r="EC69" s="26" t="str">
        <f>(Sheet1!P69)</f>
        <v>Sub Dealer</v>
      </c>
      <c r="ED69" s="34" t="s">
        <v>13</v>
      </c>
    </row>
    <row r="70">
      <c r="A70" s="25" t="str">
        <f>(Sheet1!A70)</f>
        <v>1IXY2NfdDO9vHV01RX_OjMzkaXNv8-PJpgaemIeYfL2M</v>
      </c>
      <c r="B70" s="25" t="str">
        <f>(Sheet1!B70)</f>
        <v>VAW - Beswan</v>
      </c>
      <c r="C70" s="30" t="s">
        <v>13</v>
      </c>
      <c r="D70" s="30" t="s">
        <v>72</v>
      </c>
      <c r="E70" s="30" t="s">
        <v>3820</v>
      </c>
      <c r="F70" s="31">
        <v>170.0</v>
      </c>
      <c r="G70" s="32" t="s">
        <v>3818</v>
      </c>
      <c r="H70" s="31">
        <v>100.0</v>
      </c>
      <c r="I70" s="33">
        <f>'Old Balance Sheet'!A70 + 'ACPL Calculations - 1.0'!A70 + 'ACPL Calculations - 2.0'!A70</f>
        <v>0</v>
      </c>
      <c r="J70" s="30" t="s">
        <v>3820</v>
      </c>
      <c r="K70" s="31">
        <v>170.0</v>
      </c>
      <c r="L70" s="32" t="s">
        <v>3818</v>
      </c>
      <c r="M70" s="31">
        <v>100.0</v>
      </c>
      <c r="N70" s="33">
        <f>'Old Balance Sheet'!B70 + 'ACPL Calculations - 1.0'!B70 + 'ACPL Calculations - 2.0'!B70</f>
        <v>0</v>
      </c>
      <c r="O70" s="30" t="s">
        <v>3820</v>
      </c>
      <c r="P70" s="31">
        <v>170.0</v>
      </c>
      <c r="Q70" s="32" t="s">
        <v>3818</v>
      </c>
      <c r="R70" s="31">
        <v>100.0</v>
      </c>
      <c r="S70" s="33">
        <f>'Old Balance Sheet'!C70 + 'ACPL Calculations - 1.0'!C70 + 'ACPL Calculations - 2.0'!C70</f>
        <v>0</v>
      </c>
      <c r="T70" s="30" t="s">
        <v>3820</v>
      </c>
      <c r="U70" s="31">
        <v>170.0</v>
      </c>
      <c r="V70" s="32" t="s">
        <v>3818</v>
      </c>
      <c r="W70" s="31">
        <v>100.0</v>
      </c>
      <c r="X70" s="33">
        <f>'Old Balance Sheet'!D70 + 'ACPL Calculations - 1.0'!D70 + 'ACPL Calculations - 2.0'!D70</f>
        <v>0</v>
      </c>
      <c r="Y70" s="30" t="s">
        <v>3820</v>
      </c>
      <c r="Z70" s="31">
        <v>170.0</v>
      </c>
      <c r="AA70" s="32" t="s">
        <v>3818</v>
      </c>
      <c r="AB70" s="31">
        <v>100.0</v>
      </c>
      <c r="AC70" s="33">
        <f>'Old Balance Sheet'!E70 + 'ACPL Calculations - 1.0'!E70 + 'ACPL Calculations - 2.0'!E70</f>
        <v>276</v>
      </c>
      <c r="AD70" s="30" t="s">
        <v>3820</v>
      </c>
      <c r="AE70" s="34">
        <v>838.99</v>
      </c>
      <c r="AF70" s="32" t="s">
        <v>3818</v>
      </c>
      <c r="AG70" s="31">
        <v>100.0</v>
      </c>
      <c r="AH70" s="33">
        <f>'Old Balance Sheet'!F70 + 'ACPL Calculations - 1.0'!F70 + 'ACPL Calculations - 2.0'!F70</f>
        <v>0</v>
      </c>
      <c r="AI70" s="30" t="s">
        <v>3820</v>
      </c>
      <c r="AJ70" s="31">
        <v>170.0</v>
      </c>
      <c r="AK70" s="32" t="s">
        <v>3818</v>
      </c>
      <c r="AL70" s="31">
        <v>100.0</v>
      </c>
      <c r="AM70" s="33">
        <f>'Old Balance Sheet'!G70 + 'ACPL Calculations - 1.0'!G70 + 'ACPL Calculations - 2.0'!G70</f>
        <v>0</v>
      </c>
      <c r="AN70" s="30" t="s">
        <v>3820</v>
      </c>
      <c r="AO70" s="31">
        <v>170.0</v>
      </c>
      <c r="AP70" s="32" t="s">
        <v>3818</v>
      </c>
      <c r="AQ70" s="31">
        <v>100.0</v>
      </c>
      <c r="AR70" s="33">
        <f>'Old Balance Sheet'!H70 + 'ACPL Calculations - 1.0'!H70 + 'ACPL Calculations - 2.0'!H70</f>
        <v>0</v>
      </c>
      <c r="AS70" s="30" t="s">
        <v>3819</v>
      </c>
      <c r="AT70" s="31">
        <v>838.99</v>
      </c>
      <c r="AU70" s="32" t="s">
        <v>3818</v>
      </c>
      <c r="AV70" s="31">
        <v>100.0</v>
      </c>
      <c r="AW70" s="33">
        <f>'Old Balance Sheet'!I70 + 'ACPL Calculations - 1.0'!I70 + 'ACPL Calculations - 2.0'!I70</f>
        <v>0</v>
      </c>
      <c r="AX70" s="30" t="s">
        <v>3820</v>
      </c>
      <c r="AY70" s="31">
        <v>290.0</v>
      </c>
      <c r="AZ70" s="32" t="s">
        <v>3818</v>
      </c>
      <c r="BA70" s="31">
        <v>100.0</v>
      </c>
      <c r="BB70" s="33">
        <f>'Old Balance Sheet'!J70 + 'ACPL Calculations - 1.0'!J70 + 'ACPL Calculations - 2.0'!J70</f>
        <v>0</v>
      </c>
      <c r="BC70" s="30" t="s">
        <v>3820</v>
      </c>
      <c r="BD70" s="31">
        <v>205.0</v>
      </c>
      <c r="BE70" s="32" t="s">
        <v>3818</v>
      </c>
      <c r="BF70" s="31">
        <v>100.0</v>
      </c>
      <c r="BG70" s="33">
        <f>'Old Balance Sheet'!K70 + 'ACPL Calculations - 1.0'!K70 + 'ACPL Calculations - 2.0'!K70</f>
        <v>0</v>
      </c>
      <c r="BH70" s="30" t="s">
        <v>3820</v>
      </c>
      <c r="BI70" s="31">
        <v>205.0</v>
      </c>
      <c r="BJ70" s="32" t="s">
        <v>3818</v>
      </c>
      <c r="BK70" s="31">
        <v>100.0</v>
      </c>
      <c r="BL70" s="33">
        <f>'Old Balance Sheet'!L70 + 'ACPL Calculations - 1.0'!L70 + 'ACPL Calculations - 2.0'!L70</f>
        <v>0</v>
      </c>
      <c r="BM70" s="33"/>
      <c r="BN70" s="33"/>
      <c r="BO70" s="33"/>
      <c r="BP70" s="33"/>
      <c r="BQ70" s="33"/>
      <c r="BR70" s="33"/>
      <c r="BS70" s="33"/>
      <c r="BT70" s="33"/>
      <c r="BU70" s="33"/>
      <c r="BV70" s="33"/>
      <c r="BW70" s="33"/>
      <c r="BX70" s="33"/>
      <c r="BY70" s="33"/>
      <c r="BZ70" s="33"/>
      <c r="CA70" s="33"/>
      <c r="CB70" s="33"/>
      <c r="CC70" s="33"/>
      <c r="CD70" s="33"/>
      <c r="CE70" s="33"/>
      <c r="CF70" s="33"/>
      <c r="CG70" s="33"/>
      <c r="CH70" s="33"/>
      <c r="CI70" s="33"/>
      <c r="CJ70" s="33"/>
      <c r="CK70" s="33"/>
      <c r="CL70" s="33">
        <f t="shared" si="1"/>
        <v>276</v>
      </c>
      <c r="CM70" s="33">
        <f>'Old Balance Sheet'!R70 + 'ACPL Calculations - 1.0'!S70 + 'ACPL Calculations - 2.0'!S70</f>
        <v>510600</v>
      </c>
      <c r="CN70" s="33">
        <f>'Old Balance Sheet'!S70 + 'ACPL Calculations - 1.0'!T70 + 'ACPL Calculations - 2.0'!T70</f>
        <v>46920</v>
      </c>
      <c r="CO70" s="33">
        <f t="shared" si="2"/>
        <v>124807.2</v>
      </c>
      <c r="CP70" s="33">
        <f>'Old Balance Sheet'!T70 + 'ACPL Calculations - 1.0'!V70 + 'ACPL Calculations - 2.0'!V70</f>
        <v>0</v>
      </c>
      <c r="CQ70" s="33">
        <f>'Old Balance Sheet'!U70 + 'ACPL Calculations - 1.0'!W70 + 'ACPL Calculations - 2.0'!W70</f>
        <v>0</v>
      </c>
      <c r="CR70" s="33">
        <f>'Old Balance Sheet'!V70 + 'ACPL Calculations - 1.0'!X70 + 'ACPL Calculations - 2.0'!X70</f>
        <v>77887.2</v>
      </c>
      <c r="CS70" s="33">
        <f t="shared" si="3"/>
        <v>77887.2</v>
      </c>
      <c r="CT70" s="35"/>
      <c r="CU70" s="35"/>
      <c r="CV70" s="35"/>
      <c r="CW70" s="36">
        <f>'Old Balance Sheet'!W70 + 'ACPL Calculations - 1.0'!Z70 + 'ACPL Calculations - 2.0'!Z70</f>
        <v>0</v>
      </c>
      <c r="CX70" s="36">
        <f>'Old Balance Sheet'!X70 + 'ACPL Calculations - 1.0'!AA70 + 'ACPL Calculations - 2.0'!AA70</f>
        <v>0</v>
      </c>
      <c r="CY70" s="37">
        <v>0.0</v>
      </c>
      <c r="CZ70" s="38">
        <f>'Old Balance Sheet'!Y70 + 'ACPL Calculations - 1.0'!AB70 + 'ACPL Calculations - 2.0'!AB70</f>
        <v>0</v>
      </c>
      <c r="DA70" s="38">
        <f>'Old Balance Sheet'!Z70 + 'ACPL Calculations - 1.0'!AC70 + 'ACPL Calculations - 2.0'!AC70</f>
        <v>0</v>
      </c>
      <c r="DB70" s="38">
        <f>'Old Balance Sheet'!AA70 + 'ACPL Calculations - 1.0'!AD70 + 'ACPL Calculations - 2.0'!AD70</f>
        <v>0</v>
      </c>
      <c r="DC70" s="38">
        <f>'Old Balance Sheet'!AB70 + 'ACPL Calculations - 1.0'!AE70 + 'ACPL Calculations - 2.0'!AE70</f>
        <v>0</v>
      </c>
      <c r="DD70" s="38">
        <f t="shared" si="4"/>
        <v>0</v>
      </c>
      <c r="DE70" s="33">
        <f t="shared" si="5"/>
        <v>0</v>
      </c>
      <c r="DF70" s="35">
        <v>0.0</v>
      </c>
      <c r="DG70" s="35">
        <v>0.0</v>
      </c>
      <c r="DH70" s="35">
        <v>0.0</v>
      </c>
      <c r="DI70" s="35">
        <v>0.0</v>
      </c>
      <c r="DJ70" s="35">
        <v>0.0</v>
      </c>
      <c r="DK70" s="35">
        <v>0.0</v>
      </c>
      <c r="DL70" s="35">
        <v>0.0</v>
      </c>
      <c r="DM70" s="35">
        <v>0.0</v>
      </c>
      <c r="DN70" s="31">
        <v>0.0</v>
      </c>
      <c r="DO70" s="31">
        <v>0.0</v>
      </c>
      <c r="DP70" s="31">
        <v>0.0</v>
      </c>
      <c r="DQ70" s="31">
        <v>0.0</v>
      </c>
      <c r="DR70" s="31">
        <v>0.0</v>
      </c>
      <c r="DS70" s="31">
        <v>0.0</v>
      </c>
      <c r="DT70" s="31">
        <f>'Old Balance Sheet'!AC70</f>
        <v>0</v>
      </c>
      <c r="DU70" s="31">
        <f>DT70 + SUMIFS('Payments Log'!D:D, 'Payments Log'!B:B, A70, 'Payments Log'!L:L, "Approved", 'Payments Log'!M:M, "Credit") + 'Old Balance Sheet'!AD70 - 'Old Balance Sheet'!AC70</f>
        <v>0</v>
      </c>
      <c r="DV70" s="31">
        <f>SUMIFS('Payments Log'!D:D, 'Payments Log'!B:B, A70, 'Payments Log'!L:L, "Approved", 'Payments Log'!M:M, "Adjustment Credit") - SUMIFS('Payments Log'!D:D, 'Payments Log'!B:B, A70, 'Payments Log'!L:L, "Approved", 'Payments Log'!M:M, "Adjustment Debit") + 'Old Balance Sheet'!AE70</f>
        <v>0</v>
      </c>
      <c r="DW70" s="31">
        <f>IF(MAXIFS('Payments Log'!N:N, 'Payments Log'!L:L, "Approved", 'Payments Log'!M:M, "Credit", 'Payments Log'!B:B, A70) &gt; MAXIFS('Payments Log'!N:N, 'Payments Log'!L:L, "Approved", 'Payments Log'!M:M, "Virtual Credit", 'Payments Log'!B:B, A70), 0, SUMIFS('Payments Log'!D:D, 'Payments Log'!N:N, MAXIFS('Payments Log'!N:N, 'Payments Log'!L:L, "Approved", 'Payments Log'!M:M, "Virtual Credit", 'Payments Log'!B:B, A70)))</f>
        <v>0</v>
      </c>
      <c r="DX70" s="33">
        <f t="shared" si="6"/>
        <v>0</v>
      </c>
      <c r="DY70" s="33">
        <f t="shared" si="7"/>
        <v>0</v>
      </c>
      <c r="DZ70" s="33">
        <f t="shared" si="8"/>
        <v>0</v>
      </c>
      <c r="EA70" s="25" t="str">
        <f>(Sheet1!N70)</f>
        <v>Vikas Autowheels</v>
      </c>
      <c r="EB70" s="25" t="str">
        <f>(Sheet1!O70)</f>
        <v>1944RLX7T1M23YXRXYoMnJ6nD_bKLldQXRpFRA0rDLvg</v>
      </c>
      <c r="EC70" s="26" t="str">
        <f>(Sheet1!P70)</f>
        <v>Sub Dealer</v>
      </c>
      <c r="ED70" s="34" t="s">
        <v>13</v>
      </c>
    </row>
    <row r="71">
      <c r="A71" s="25" t="str">
        <f>(Sheet1!A71)</f>
        <v>1fuov6VFDdW_GQYt6JqaxRJIc_DBrPxXJBPo_jAzr9aE</v>
      </c>
      <c r="B71" s="25" t="str">
        <f>(Sheet1!B71)</f>
        <v>AutoDeals Hero - Narnaul</v>
      </c>
      <c r="C71" s="30" t="s">
        <v>13</v>
      </c>
      <c r="D71" s="30" t="s">
        <v>72</v>
      </c>
      <c r="E71" s="30" t="s">
        <v>3820</v>
      </c>
      <c r="F71" s="31">
        <v>205.0</v>
      </c>
      <c r="G71" s="32" t="s">
        <v>3818</v>
      </c>
      <c r="H71" s="31">
        <v>100.0</v>
      </c>
      <c r="I71" s="33">
        <f>'Old Balance Sheet'!A71 + 'ACPL Calculations - 1.0'!A71 + 'ACPL Calculations - 2.0'!A71</f>
        <v>0</v>
      </c>
      <c r="J71" s="30" t="s">
        <v>3820</v>
      </c>
      <c r="K71" s="31">
        <v>205.0</v>
      </c>
      <c r="L71" s="32" t="s">
        <v>3818</v>
      </c>
      <c r="M71" s="31">
        <v>100.0</v>
      </c>
      <c r="N71" s="33">
        <f>'Old Balance Sheet'!B71 + 'ACPL Calculations - 1.0'!B71 + 'ACPL Calculations - 2.0'!B71</f>
        <v>0</v>
      </c>
      <c r="O71" s="30" t="s">
        <v>3820</v>
      </c>
      <c r="P71" s="31">
        <v>290.0</v>
      </c>
      <c r="Q71" s="32" t="s">
        <v>3818</v>
      </c>
      <c r="R71" s="31">
        <v>100.0</v>
      </c>
      <c r="S71" s="33">
        <f>'Old Balance Sheet'!C71 + 'ACPL Calculations - 1.0'!C71 + 'ACPL Calculations - 2.0'!C71</f>
        <v>0</v>
      </c>
      <c r="T71" s="30" t="s">
        <v>3820</v>
      </c>
      <c r="U71" s="31">
        <v>375.0</v>
      </c>
      <c r="V71" s="32" t="s">
        <v>3818</v>
      </c>
      <c r="W71" s="31">
        <v>100.0</v>
      </c>
      <c r="X71" s="33">
        <f>'Old Balance Sheet'!D71 + 'ACPL Calculations - 1.0'!D71 + 'ACPL Calculations - 2.0'!D71</f>
        <v>0</v>
      </c>
      <c r="Y71" s="30" t="s">
        <v>3820</v>
      </c>
      <c r="Z71" s="31">
        <v>460.0</v>
      </c>
      <c r="AA71" s="32" t="s">
        <v>3818</v>
      </c>
      <c r="AB71" s="31">
        <v>100.0</v>
      </c>
      <c r="AC71" s="33">
        <f>'Old Balance Sheet'!E71 + 'ACPL Calculations - 1.0'!E71 + 'ACPL Calculations - 2.0'!E71</f>
        <v>6</v>
      </c>
      <c r="AD71" s="30" t="s">
        <v>3820</v>
      </c>
      <c r="AE71" s="34">
        <v>838.99</v>
      </c>
      <c r="AF71" s="32" t="s">
        <v>3818</v>
      </c>
      <c r="AG71" s="31">
        <v>100.0</v>
      </c>
      <c r="AH71" s="33">
        <f>'Old Balance Sheet'!F71 + 'ACPL Calculations - 1.0'!F71 + 'ACPL Calculations - 2.0'!F71</f>
        <v>0</v>
      </c>
      <c r="AI71" s="30" t="s">
        <v>3820</v>
      </c>
      <c r="AJ71" s="31">
        <v>375.0</v>
      </c>
      <c r="AK71" s="32" t="s">
        <v>3818</v>
      </c>
      <c r="AL71" s="31">
        <v>100.0</v>
      </c>
      <c r="AM71" s="33">
        <f>'Old Balance Sheet'!G71 + 'ACPL Calculations - 1.0'!G71 + 'ACPL Calculations - 2.0'!G71</f>
        <v>0</v>
      </c>
      <c r="AN71" s="30" t="s">
        <v>3820</v>
      </c>
      <c r="AO71" s="31">
        <v>290.0</v>
      </c>
      <c r="AP71" s="32" t="s">
        <v>3818</v>
      </c>
      <c r="AQ71" s="31">
        <v>100.0</v>
      </c>
      <c r="AR71" s="33">
        <f>'Old Balance Sheet'!H71 + 'ACPL Calculations - 1.0'!H71 + 'ACPL Calculations - 2.0'!H71</f>
        <v>0</v>
      </c>
      <c r="AS71" s="30" t="s">
        <v>3819</v>
      </c>
      <c r="AT71" s="31">
        <v>838.99</v>
      </c>
      <c r="AU71" s="32" t="s">
        <v>3818</v>
      </c>
      <c r="AV71" s="31">
        <v>100.0</v>
      </c>
      <c r="AW71" s="33">
        <f>'Old Balance Sheet'!I71 + 'ACPL Calculations - 1.0'!I71 + 'ACPL Calculations - 2.0'!I71</f>
        <v>0</v>
      </c>
      <c r="AX71" s="30" t="s">
        <v>3820</v>
      </c>
      <c r="AY71" s="31">
        <v>290.0</v>
      </c>
      <c r="AZ71" s="32" t="s">
        <v>3818</v>
      </c>
      <c r="BA71" s="31">
        <v>100.0</v>
      </c>
      <c r="BB71" s="33">
        <f>'Old Balance Sheet'!J71 + 'ACPL Calculations - 1.0'!J71 + 'ACPL Calculations - 2.0'!J71</f>
        <v>0</v>
      </c>
      <c r="BC71" s="30" t="s">
        <v>3820</v>
      </c>
      <c r="BD71" s="31">
        <v>205.0</v>
      </c>
      <c r="BE71" s="32" t="s">
        <v>3818</v>
      </c>
      <c r="BF71" s="31">
        <v>100.0</v>
      </c>
      <c r="BG71" s="33">
        <f>'Old Balance Sheet'!K71 + 'ACPL Calculations - 1.0'!K71 + 'ACPL Calculations - 2.0'!K71</f>
        <v>0</v>
      </c>
      <c r="BH71" s="30" t="s">
        <v>3820</v>
      </c>
      <c r="BI71" s="31">
        <v>205.0</v>
      </c>
      <c r="BJ71" s="32" t="s">
        <v>3818</v>
      </c>
      <c r="BK71" s="31">
        <v>100.0</v>
      </c>
      <c r="BL71" s="33">
        <f>'Old Balance Sheet'!L71 + 'ACPL Calculations - 1.0'!L71 + 'ACPL Calculations - 2.0'!L71</f>
        <v>0</v>
      </c>
      <c r="BM71" s="33"/>
      <c r="BN71" s="33"/>
      <c r="BO71" s="33"/>
      <c r="BP71" s="33"/>
      <c r="BQ71" s="33"/>
      <c r="BR71" s="33"/>
      <c r="BS71" s="33"/>
      <c r="BT71" s="33"/>
      <c r="BU71" s="33"/>
      <c r="BV71" s="33"/>
      <c r="BW71" s="33"/>
      <c r="BX71" s="33"/>
      <c r="BY71" s="33"/>
      <c r="BZ71" s="33"/>
      <c r="CA71" s="33"/>
      <c r="CB71" s="33"/>
      <c r="CC71" s="33"/>
      <c r="CD71" s="33"/>
      <c r="CE71" s="33"/>
      <c r="CF71" s="33"/>
      <c r="CG71" s="33"/>
      <c r="CH71" s="33"/>
      <c r="CI71" s="33"/>
      <c r="CJ71" s="33"/>
      <c r="CK71" s="33"/>
      <c r="CL71" s="33">
        <f t="shared" si="1"/>
        <v>6</v>
      </c>
      <c r="CM71" s="33">
        <f>'Old Balance Sheet'!R71 + 'ACPL Calculations - 1.0'!S71 + 'ACPL Calculations - 2.0'!S71</f>
        <v>8662</v>
      </c>
      <c r="CN71" s="33">
        <f>'Old Balance Sheet'!S71 + 'ACPL Calculations - 1.0'!T71 + 'ACPL Calculations - 2.0'!T71</f>
        <v>2760</v>
      </c>
      <c r="CO71" s="33">
        <f t="shared" si="2"/>
        <v>4081.3</v>
      </c>
      <c r="CP71" s="33">
        <f>'Old Balance Sheet'!T71 + 'ACPL Calculations - 1.0'!V71 + 'ACPL Calculations - 2.0'!V71</f>
        <v>660.65</v>
      </c>
      <c r="CQ71" s="33">
        <f>'Old Balance Sheet'!U71 + 'ACPL Calculations - 1.0'!W71 + 'ACPL Calculations - 2.0'!W71</f>
        <v>660.65</v>
      </c>
      <c r="CR71" s="33">
        <f>'Old Balance Sheet'!V71 + 'ACPL Calculations - 1.0'!X71 + 'ACPL Calculations - 2.0'!X71</f>
        <v>0</v>
      </c>
      <c r="CS71" s="33">
        <f t="shared" si="3"/>
        <v>1321.3</v>
      </c>
      <c r="CT71" s="35"/>
      <c r="CU71" s="35"/>
      <c r="CV71" s="35"/>
      <c r="CW71" s="36">
        <f>'Old Balance Sheet'!W71 + 'ACPL Calculations - 1.0'!Z71 + 'ACPL Calculations - 2.0'!Z71</f>
        <v>8662</v>
      </c>
      <c r="CX71" s="36">
        <f>'Old Balance Sheet'!X71 + 'ACPL Calculations - 1.0'!AA71 + 'ACPL Calculations - 2.0'!AA71</f>
        <v>4172.92</v>
      </c>
      <c r="CY71" s="37">
        <v>0.0</v>
      </c>
      <c r="CZ71" s="38">
        <f>'Old Balance Sheet'!Y71 + 'ACPL Calculations - 1.0'!AB71 + 'ACPL Calculations - 2.0'!AB71</f>
        <v>4489.08</v>
      </c>
      <c r="DA71" s="38">
        <f>'Old Balance Sheet'!Z71 + 'ACPL Calculations - 1.0'!AC71 + 'ACPL Calculations - 2.0'!AC71</f>
        <v>0</v>
      </c>
      <c r="DB71" s="38">
        <f>'Old Balance Sheet'!AA71 + 'ACPL Calculations - 1.0'!AD71 + 'ACPL Calculations - 2.0'!AD71</f>
        <v>91.62</v>
      </c>
      <c r="DC71" s="38">
        <f>'Old Balance Sheet'!AB71 + 'ACPL Calculations - 1.0'!AE71 + 'ACPL Calculations - 2.0'!AE71</f>
        <v>4489.08</v>
      </c>
      <c r="DD71" s="38">
        <f t="shared" si="4"/>
        <v>4489.08</v>
      </c>
      <c r="DE71" s="33">
        <f t="shared" si="5"/>
        <v>4489.08</v>
      </c>
      <c r="DF71" s="35">
        <v>0.0</v>
      </c>
      <c r="DG71" s="35">
        <v>0.0</v>
      </c>
      <c r="DH71" s="35">
        <v>0.0</v>
      </c>
      <c r="DI71" s="35">
        <v>0.0</v>
      </c>
      <c r="DJ71" s="35">
        <v>0.0</v>
      </c>
      <c r="DK71" s="35">
        <v>0.0</v>
      </c>
      <c r="DL71" s="35">
        <v>0.0</v>
      </c>
      <c r="DM71" s="35">
        <v>0.0</v>
      </c>
      <c r="DN71" s="31">
        <v>0.0</v>
      </c>
      <c r="DO71" s="31">
        <v>0.0</v>
      </c>
      <c r="DP71" s="31">
        <v>0.0</v>
      </c>
      <c r="DQ71" s="31">
        <v>0.0</v>
      </c>
      <c r="DR71" s="31">
        <v>0.0</v>
      </c>
      <c r="DS71" s="31">
        <v>0.0</v>
      </c>
      <c r="DT71" s="31">
        <f>'Old Balance Sheet'!AC71</f>
        <v>-11322</v>
      </c>
      <c r="DU71" s="31">
        <f>DT71 + SUMIFS('Payments Log'!D:D, 'Payments Log'!B:B, A71, 'Payments Log'!L:L, "Approved", 'Payments Log'!M:M, "Credit") + 'Old Balance Sheet'!AD71 - 'Old Balance Sheet'!AC71</f>
        <v>9996</v>
      </c>
      <c r="DV71" s="31">
        <f>SUMIFS('Payments Log'!D:D, 'Payments Log'!B:B, A71, 'Payments Log'!L:L, "Approved", 'Payments Log'!M:M, "Adjustment Credit") - SUMIFS('Payments Log'!D:D, 'Payments Log'!B:B, A71, 'Payments Log'!L:L, "Approved", 'Payments Log'!M:M, "Adjustment Debit") + 'Old Balance Sheet'!AE71</f>
        <v>0</v>
      </c>
      <c r="DW71" s="31">
        <f>IF(MAXIFS('Payments Log'!N:N, 'Payments Log'!L:L, "Approved", 'Payments Log'!M:M, "Credit", 'Payments Log'!B:B, A71) &gt; MAXIFS('Payments Log'!N:N, 'Payments Log'!L:L, "Approved", 'Payments Log'!M:M, "Virtual Credit", 'Payments Log'!B:B, A71), 0, SUMIFS('Payments Log'!D:D, 'Payments Log'!N:N, MAXIFS('Payments Log'!N:N, 'Payments Log'!L:L, "Approved", 'Payments Log'!M:M, "Virtual Credit", 'Payments Log'!B:B, A71)))</f>
        <v>0</v>
      </c>
      <c r="DX71" s="33">
        <f t="shared" si="6"/>
        <v>1334</v>
      </c>
      <c r="DY71" s="33">
        <f t="shared" si="7"/>
        <v>5823.08</v>
      </c>
      <c r="DZ71" s="33">
        <f t="shared" si="8"/>
        <v>5823.08</v>
      </c>
      <c r="EA71" s="25" t="str">
        <f>(Sheet1!N71)</f>
        <v>AutoDeals Hero - Narnaul</v>
      </c>
      <c r="EB71" s="25" t="str">
        <f>(Sheet1!O71)</f>
        <v>1fuov6VFDdW_GQYt6JqaxRJIc_DBrPxXJBPo_jAzr9aE</v>
      </c>
      <c r="EC71" s="26" t="str">
        <f>(Sheet1!P71)</f>
        <v>Dealer</v>
      </c>
      <c r="ED71" s="34" t="s">
        <v>13</v>
      </c>
    </row>
    <row r="72">
      <c r="A72" s="25" t="str">
        <f>(Sheet1!A72)</f>
        <v>1nVez-s51qjTfP2ibHDiiELEFanG-2ZCG66Y-ueax5G4</v>
      </c>
      <c r="B72" s="25" t="str">
        <f>(Sheet1!B72)</f>
        <v>Virendra Automobile - Rewari</v>
      </c>
      <c r="C72" s="30" t="s">
        <v>13</v>
      </c>
      <c r="D72" s="30" t="s">
        <v>72</v>
      </c>
      <c r="E72" s="30" t="s">
        <v>3817</v>
      </c>
      <c r="F72" s="31">
        <v>205.0</v>
      </c>
      <c r="G72" s="32" t="s">
        <v>3818</v>
      </c>
      <c r="H72" s="31">
        <v>100.0</v>
      </c>
      <c r="I72" s="33">
        <f>'Old Balance Sheet'!A72 + 'ACPL Calculations - 1.0'!A72 + 'ACPL Calculations - 2.0'!A72</f>
        <v>0</v>
      </c>
      <c r="J72" s="30" t="s">
        <v>3817</v>
      </c>
      <c r="K72" s="31">
        <v>205.0</v>
      </c>
      <c r="L72" s="32" t="s">
        <v>3818</v>
      </c>
      <c r="M72" s="31">
        <v>100.0</v>
      </c>
      <c r="N72" s="33">
        <f>'Old Balance Sheet'!B72 + 'ACPL Calculations - 1.0'!B72 + 'ACPL Calculations - 2.0'!B72</f>
        <v>0</v>
      </c>
      <c r="O72" s="30" t="s">
        <v>3817</v>
      </c>
      <c r="P72" s="31">
        <v>290.0</v>
      </c>
      <c r="Q72" s="32" t="s">
        <v>3818</v>
      </c>
      <c r="R72" s="31">
        <v>100.0</v>
      </c>
      <c r="S72" s="33">
        <f>'Old Balance Sheet'!C72 + 'ACPL Calculations - 1.0'!C72 + 'ACPL Calculations - 2.0'!C72</f>
        <v>0</v>
      </c>
      <c r="T72" s="30" t="s">
        <v>3817</v>
      </c>
      <c r="U72" s="31">
        <v>375.0</v>
      </c>
      <c r="V72" s="32" t="s">
        <v>3818</v>
      </c>
      <c r="W72" s="31">
        <v>100.0</v>
      </c>
      <c r="X72" s="33">
        <f>'Old Balance Sheet'!D72 + 'ACPL Calculations - 1.0'!D72 + 'ACPL Calculations - 2.0'!D72</f>
        <v>0</v>
      </c>
      <c r="Y72" s="30" t="s">
        <v>3817</v>
      </c>
      <c r="Z72" s="31">
        <v>460.0</v>
      </c>
      <c r="AA72" s="32" t="s">
        <v>3818</v>
      </c>
      <c r="AB72" s="31">
        <v>100.0</v>
      </c>
      <c r="AC72" s="33">
        <f>'Old Balance Sheet'!E72 + 'ACPL Calculations - 1.0'!E72 + 'ACPL Calculations - 2.0'!E72</f>
        <v>0</v>
      </c>
      <c r="AD72" s="30" t="s">
        <v>3817</v>
      </c>
      <c r="AE72" s="34">
        <v>838.99</v>
      </c>
      <c r="AF72" s="32" t="s">
        <v>3818</v>
      </c>
      <c r="AG72" s="31">
        <v>100.0</v>
      </c>
      <c r="AH72" s="33">
        <f>'Old Balance Sheet'!F72 + 'ACPL Calculations - 1.0'!F72 + 'ACPL Calculations - 2.0'!F72</f>
        <v>0</v>
      </c>
      <c r="AI72" s="30" t="s">
        <v>3817</v>
      </c>
      <c r="AJ72" s="31">
        <v>375.0</v>
      </c>
      <c r="AK72" s="32" t="s">
        <v>3818</v>
      </c>
      <c r="AL72" s="31">
        <v>100.0</v>
      </c>
      <c r="AM72" s="33">
        <f>'Old Balance Sheet'!G72 + 'ACPL Calculations - 1.0'!G72 + 'ACPL Calculations - 2.0'!G72</f>
        <v>0</v>
      </c>
      <c r="AN72" s="30" t="s">
        <v>3817</v>
      </c>
      <c r="AO72" s="31">
        <v>290.0</v>
      </c>
      <c r="AP72" s="32" t="s">
        <v>3818</v>
      </c>
      <c r="AQ72" s="31">
        <v>100.0</v>
      </c>
      <c r="AR72" s="33">
        <f>'Old Balance Sheet'!H72 + 'ACPL Calculations - 1.0'!H72 + 'ACPL Calculations - 2.0'!H72</f>
        <v>0</v>
      </c>
      <c r="AS72" s="30" t="s">
        <v>3819</v>
      </c>
      <c r="AT72" s="31">
        <v>838.99</v>
      </c>
      <c r="AU72" s="32" t="s">
        <v>3818</v>
      </c>
      <c r="AV72" s="31">
        <v>100.0</v>
      </c>
      <c r="AW72" s="33">
        <f>'Old Balance Sheet'!I72 + 'ACPL Calculations - 1.0'!I72 + 'ACPL Calculations - 2.0'!I72</f>
        <v>0</v>
      </c>
      <c r="AX72" s="30" t="s">
        <v>3817</v>
      </c>
      <c r="AY72" s="31">
        <v>290.0</v>
      </c>
      <c r="AZ72" s="32" t="s">
        <v>3818</v>
      </c>
      <c r="BA72" s="31">
        <v>100.0</v>
      </c>
      <c r="BB72" s="33">
        <f>'Old Balance Sheet'!J72 + 'ACPL Calculations - 1.0'!J72 + 'ACPL Calculations - 2.0'!J72</f>
        <v>0</v>
      </c>
      <c r="BC72" s="30" t="s">
        <v>3817</v>
      </c>
      <c r="BD72" s="31">
        <v>205.0</v>
      </c>
      <c r="BE72" s="32" t="s">
        <v>3818</v>
      </c>
      <c r="BF72" s="31">
        <v>100.0</v>
      </c>
      <c r="BG72" s="33">
        <f>'Old Balance Sheet'!K72 + 'ACPL Calculations - 1.0'!K72 + 'ACPL Calculations - 2.0'!K72</f>
        <v>0</v>
      </c>
      <c r="BH72" s="30" t="s">
        <v>3817</v>
      </c>
      <c r="BI72" s="31">
        <v>205.0</v>
      </c>
      <c r="BJ72" s="32" t="s">
        <v>3818</v>
      </c>
      <c r="BK72" s="31">
        <v>100.0</v>
      </c>
      <c r="BL72" s="33">
        <f>'Old Balance Sheet'!L72 + 'ACPL Calculations - 1.0'!L72 + 'ACPL Calculations - 2.0'!L72</f>
        <v>0</v>
      </c>
      <c r="BM72" s="33"/>
      <c r="BN72" s="33"/>
      <c r="BO72" s="33"/>
      <c r="BP72" s="33"/>
      <c r="BQ72" s="33"/>
      <c r="BR72" s="33"/>
      <c r="BS72" s="33"/>
      <c r="BT72" s="33"/>
      <c r="BU72" s="33"/>
      <c r="BV72" s="33"/>
      <c r="BW72" s="33"/>
      <c r="BX72" s="33"/>
      <c r="BY72" s="33"/>
      <c r="BZ72" s="33"/>
      <c r="CA72" s="33"/>
      <c r="CB72" s="33"/>
      <c r="CC72" s="33"/>
      <c r="CD72" s="33"/>
      <c r="CE72" s="33"/>
      <c r="CF72" s="33"/>
      <c r="CG72" s="33"/>
      <c r="CH72" s="33"/>
      <c r="CI72" s="33"/>
      <c r="CJ72" s="33"/>
      <c r="CK72" s="33"/>
      <c r="CL72" s="33">
        <f t="shared" si="1"/>
        <v>0</v>
      </c>
      <c r="CM72" s="33">
        <f>'Old Balance Sheet'!R72 + 'ACPL Calculations - 1.0'!S72 + 'ACPL Calculations - 2.0'!S72</f>
        <v>0</v>
      </c>
      <c r="CN72" s="33">
        <f>'Old Balance Sheet'!S72 + 'ACPL Calculations - 1.0'!T72 + 'ACPL Calculations - 2.0'!T72</f>
        <v>0</v>
      </c>
      <c r="CO72" s="33">
        <f t="shared" si="2"/>
        <v>0</v>
      </c>
      <c r="CP72" s="33">
        <f>'Old Balance Sheet'!T72 + 'ACPL Calculations - 1.0'!V72 + 'ACPL Calculations - 2.0'!V72</f>
        <v>0</v>
      </c>
      <c r="CQ72" s="33">
        <f>'Old Balance Sheet'!U72 + 'ACPL Calculations - 1.0'!W72 + 'ACPL Calculations - 2.0'!W72</f>
        <v>0</v>
      </c>
      <c r="CR72" s="33">
        <f>'Old Balance Sheet'!V72 + 'ACPL Calculations - 1.0'!X72 + 'ACPL Calculations - 2.0'!X72</f>
        <v>0</v>
      </c>
      <c r="CS72" s="33">
        <f t="shared" si="3"/>
        <v>0</v>
      </c>
      <c r="CT72" s="35"/>
      <c r="CU72" s="35"/>
      <c r="CV72" s="35"/>
      <c r="CW72" s="36">
        <f>'Old Balance Sheet'!W72 + 'ACPL Calculations - 1.0'!Z72 + 'ACPL Calculations - 2.0'!Z72</f>
        <v>0</v>
      </c>
      <c r="CX72" s="36">
        <f>'Old Balance Sheet'!X72 + 'ACPL Calculations - 1.0'!AA72 + 'ACPL Calculations - 2.0'!AA72</f>
        <v>0</v>
      </c>
      <c r="CY72" s="37">
        <v>0.0</v>
      </c>
      <c r="CZ72" s="38">
        <f>'Old Balance Sheet'!Y72 + 'ACPL Calculations - 1.0'!AB72 + 'ACPL Calculations - 2.0'!AB72</f>
        <v>0</v>
      </c>
      <c r="DA72" s="38">
        <f>'Old Balance Sheet'!Z72 + 'ACPL Calculations - 1.0'!AC72 + 'ACPL Calculations - 2.0'!AC72</f>
        <v>0</v>
      </c>
      <c r="DB72" s="38">
        <f>'Old Balance Sheet'!AA72 + 'ACPL Calculations - 1.0'!AD72 + 'ACPL Calculations - 2.0'!AD72</f>
        <v>0</v>
      </c>
      <c r="DC72" s="38">
        <f>'Old Balance Sheet'!AB72 + 'ACPL Calculations - 1.0'!AE72 + 'ACPL Calculations - 2.0'!AE72</f>
        <v>0</v>
      </c>
      <c r="DD72" s="38">
        <f t="shared" si="4"/>
        <v>0</v>
      </c>
      <c r="DE72" s="33">
        <f t="shared" si="5"/>
        <v>0</v>
      </c>
      <c r="DF72" s="35">
        <v>0.0</v>
      </c>
      <c r="DG72" s="35">
        <v>0.0</v>
      </c>
      <c r="DH72" s="35">
        <v>0.0</v>
      </c>
      <c r="DI72" s="35">
        <v>0.0</v>
      </c>
      <c r="DJ72" s="35">
        <v>0.0</v>
      </c>
      <c r="DK72" s="35">
        <v>0.0</v>
      </c>
      <c r="DL72" s="35">
        <v>0.0</v>
      </c>
      <c r="DM72" s="35">
        <v>0.0</v>
      </c>
      <c r="DN72" s="31">
        <v>0.0</v>
      </c>
      <c r="DO72" s="31">
        <v>0.0</v>
      </c>
      <c r="DP72" s="31">
        <v>0.0</v>
      </c>
      <c r="DQ72" s="31">
        <v>0.0</v>
      </c>
      <c r="DR72" s="31">
        <v>0.0</v>
      </c>
      <c r="DS72" s="31">
        <v>0.0</v>
      </c>
      <c r="DT72" s="31">
        <f>'Old Balance Sheet'!AC72</f>
        <v>0</v>
      </c>
      <c r="DU72" s="31">
        <f>DT72 + SUMIFS('Payments Log'!D:D, 'Payments Log'!B:B, A72, 'Payments Log'!L:L, "Approved", 'Payments Log'!M:M, "Credit") + 'Old Balance Sheet'!AD72 - 'Old Balance Sheet'!AC72</f>
        <v>0</v>
      </c>
      <c r="DV72" s="31">
        <f>SUMIFS('Payments Log'!D:D, 'Payments Log'!B:B, A72, 'Payments Log'!L:L, "Approved", 'Payments Log'!M:M, "Adjustment Credit") - SUMIFS('Payments Log'!D:D, 'Payments Log'!B:B, A72, 'Payments Log'!L:L, "Approved", 'Payments Log'!M:M, "Adjustment Debit") + 'Old Balance Sheet'!AE72</f>
        <v>0</v>
      </c>
      <c r="DW72" s="31">
        <f>IF(MAXIFS('Payments Log'!N:N, 'Payments Log'!L:L, "Approved", 'Payments Log'!M:M, "Credit", 'Payments Log'!B:B, A72) &gt; MAXIFS('Payments Log'!N:N, 'Payments Log'!L:L, "Approved", 'Payments Log'!M:M, "Virtual Credit", 'Payments Log'!B:B, A72), 0, SUMIFS('Payments Log'!D:D, 'Payments Log'!N:N, MAXIFS('Payments Log'!N:N, 'Payments Log'!L:L, "Approved", 'Payments Log'!M:M, "Virtual Credit", 'Payments Log'!B:B, A72)))</f>
        <v>0</v>
      </c>
      <c r="DX72" s="33">
        <f t="shared" si="6"/>
        <v>0</v>
      </c>
      <c r="DY72" s="33">
        <f t="shared" si="7"/>
        <v>0</v>
      </c>
      <c r="DZ72" s="33">
        <f t="shared" si="8"/>
        <v>0</v>
      </c>
      <c r="EA72" s="25" t="str">
        <f>(Sheet1!N72)</f>
        <v>Virendra Automobile - Rewari</v>
      </c>
      <c r="EB72" s="25" t="str">
        <f>(Sheet1!O72)</f>
        <v>1nVez-s51qjTfP2ibHDiiELEFanG-2ZCG66Y-ueax5G4</v>
      </c>
      <c r="EC72" s="26" t="str">
        <f>(Sheet1!P72)</f>
        <v>Dealer</v>
      </c>
      <c r="ED72" s="34" t="s">
        <v>13</v>
      </c>
    </row>
    <row r="73">
      <c r="A73" s="25" t="str">
        <f>(Sheet1!A73)</f>
        <v>1Hj8E2ES-ce_eurfq39LWslS96OwPRrBIoxBx48204Vk</v>
      </c>
      <c r="B73" s="25" t="str">
        <f>(Sheet1!B73)</f>
        <v>Jasodha Hero - Gurgaon</v>
      </c>
      <c r="C73" s="30" t="s">
        <v>13</v>
      </c>
      <c r="D73" s="30" t="s">
        <v>72</v>
      </c>
      <c r="E73" s="30" t="s">
        <v>3817</v>
      </c>
      <c r="F73" s="31">
        <v>205.0</v>
      </c>
      <c r="G73" s="32" t="s">
        <v>3818</v>
      </c>
      <c r="H73" s="31">
        <v>100.0</v>
      </c>
      <c r="I73" s="33">
        <f>'Old Balance Sheet'!A73 + 'ACPL Calculations - 1.0'!A73 + 'ACPL Calculations - 2.0'!A73</f>
        <v>0</v>
      </c>
      <c r="J73" s="30" t="s">
        <v>3817</v>
      </c>
      <c r="K73" s="31">
        <v>205.0</v>
      </c>
      <c r="L73" s="32" t="s">
        <v>3818</v>
      </c>
      <c r="M73" s="31">
        <v>100.0</v>
      </c>
      <c r="N73" s="33">
        <f>'Old Balance Sheet'!B73 + 'ACPL Calculations - 1.0'!B73 + 'ACPL Calculations - 2.0'!B73</f>
        <v>0</v>
      </c>
      <c r="O73" s="30" t="s">
        <v>3817</v>
      </c>
      <c r="P73" s="31">
        <v>290.0</v>
      </c>
      <c r="Q73" s="32" t="s">
        <v>3818</v>
      </c>
      <c r="R73" s="31">
        <v>100.0</v>
      </c>
      <c r="S73" s="33">
        <f>'Old Balance Sheet'!C73 + 'ACPL Calculations - 1.0'!C73 + 'ACPL Calculations - 2.0'!C73</f>
        <v>0</v>
      </c>
      <c r="T73" s="30" t="s">
        <v>3817</v>
      </c>
      <c r="U73" s="31">
        <v>375.0</v>
      </c>
      <c r="V73" s="32" t="s">
        <v>3818</v>
      </c>
      <c r="W73" s="31">
        <v>100.0</v>
      </c>
      <c r="X73" s="33">
        <f>'Old Balance Sheet'!D73 + 'ACPL Calculations - 1.0'!D73 + 'ACPL Calculations - 2.0'!D73</f>
        <v>0</v>
      </c>
      <c r="Y73" s="30" t="s">
        <v>3817</v>
      </c>
      <c r="Z73" s="31">
        <v>460.0</v>
      </c>
      <c r="AA73" s="32" t="s">
        <v>3818</v>
      </c>
      <c r="AB73" s="31">
        <v>100.0</v>
      </c>
      <c r="AC73" s="33">
        <f>'Old Balance Sheet'!E73 + 'ACPL Calculations - 1.0'!E73 + 'ACPL Calculations - 2.0'!E73</f>
        <v>0</v>
      </c>
      <c r="AD73" s="30" t="s">
        <v>3817</v>
      </c>
      <c r="AE73" s="34">
        <v>838.99</v>
      </c>
      <c r="AF73" s="32" t="s">
        <v>3818</v>
      </c>
      <c r="AG73" s="31">
        <v>100.0</v>
      </c>
      <c r="AH73" s="33">
        <f>'Old Balance Sheet'!F73 + 'ACPL Calculations - 1.0'!F73 + 'ACPL Calculations - 2.0'!F73</f>
        <v>0</v>
      </c>
      <c r="AI73" s="30" t="s">
        <v>3817</v>
      </c>
      <c r="AJ73" s="31">
        <v>375.0</v>
      </c>
      <c r="AK73" s="32" t="s">
        <v>3818</v>
      </c>
      <c r="AL73" s="31">
        <v>100.0</v>
      </c>
      <c r="AM73" s="33">
        <f>'Old Balance Sheet'!G73 + 'ACPL Calculations - 1.0'!G73 + 'ACPL Calculations - 2.0'!G73</f>
        <v>0</v>
      </c>
      <c r="AN73" s="30" t="s">
        <v>3817</v>
      </c>
      <c r="AO73" s="31">
        <v>290.0</v>
      </c>
      <c r="AP73" s="32" t="s">
        <v>3818</v>
      </c>
      <c r="AQ73" s="31">
        <v>100.0</v>
      </c>
      <c r="AR73" s="33">
        <f>'Old Balance Sheet'!H73 + 'ACPL Calculations - 1.0'!H73 + 'ACPL Calculations - 2.0'!H73</f>
        <v>0</v>
      </c>
      <c r="AS73" s="30" t="s">
        <v>3819</v>
      </c>
      <c r="AT73" s="31">
        <v>838.99</v>
      </c>
      <c r="AU73" s="32" t="s">
        <v>3818</v>
      </c>
      <c r="AV73" s="31">
        <v>100.0</v>
      </c>
      <c r="AW73" s="33">
        <f>'Old Balance Sheet'!I73 + 'ACPL Calculations - 1.0'!I73 + 'ACPL Calculations - 2.0'!I73</f>
        <v>0</v>
      </c>
      <c r="AX73" s="30" t="s">
        <v>3817</v>
      </c>
      <c r="AY73" s="31">
        <v>290.0</v>
      </c>
      <c r="AZ73" s="32" t="s">
        <v>3818</v>
      </c>
      <c r="BA73" s="31">
        <v>100.0</v>
      </c>
      <c r="BB73" s="33">
        <f>'Old Balance Sheet'!J73 + 'ACPL Calculations - 1.0'!J73 + 'ACPL Calculations - 2.0'!J73</f>
        <v>0</v>
      </c>
      <c r="BC73" s="30" t="s">
        <v>3817</v>
      </c>
      <c r="BD73" s="31">
        <v>205.0</v>
      </c>
      <c r="BE73" s="32" t="s">
        <v>3818</v>
      </c>
      <c r="BF73" s="31">
        <v>100.0</v>
      </c>
      <c r="BG73" s="33">
        <f>'Old Balance Sheet'!K73 + 'ACPL Calculations - 1.0'!K73 + 'ACPL Calculations - 2.0'!K73</f>
        <v>0</v>
      </c>
      <c r="BH73" s="30" t="s">
        <v>3817</v>
      </c>
      <c r="BI73" s="31">
        <v>205.0</v>
      </c>
      <c r="BJ73" s="32" t="s">
        <v>3818</v>
      </c>
      <c r="BK73" s="31">
        <v>100.0</v>
      </c>
      <c r="BL73" s="33">
        <f>'Old Balance Sheet'!L73 + 'ACPL Calculations - 1.0'!L73 + 'ACPL Calculations - 2.0'!L73</f>
        <v>0</v>
      </c>
      <c r="BM73" s="33"/>
      <c r="BN73" s="33"/>
      <c r="BO73" s="33"/>
      <c r="BP73" s="33"/>
      <c r="BQ73" s="33"/>
      <c r="BR73" s="33"/>
      <c r="BS73" s="33"/>
      <c r="BT73" s="33"/>
      <c r="BU73" s="33"/>
      <c r="BV73" s="33"/>
      <c r="BW73" s="33"/>
      <c r="BX73" s="33"/>
      <c r="BY73" s="33"/>
      <c r="BZ73" s="33"/>
      <c r="CA73" s="33"/>
      <c r="CB73" s="33"/>
      <c r="CC73" s="33"/>
      <c r="CD73" s="33"/>
      <c r="CE73" s="33"/>
      <c r="CF73" s="33"/>
      <c r="CG73" s="33"/>
      <c r="CH73" s="33"/>
      <c r="CI73" s="33"/>
      <c r="CJ73" s="33"/>
      <c r="CK73" s="33"/>
      <c r="CL73" s="33">
        <f t="shared" si="1"/>
        <v>0</v>
      </c>
      <c r="CM73" s="33">
        <f>'Old Balance Sheet'!R73 + 'ACPL Calculations - 1.0'!S73 + 'ACPL Calculations - 2.0'!S73</f>
        <v>0</v>
      </c>
      <c r="CN73" s="33">
        <f>'Old Balance Sheet'!S73 + 'ACPL Calculations - 1.0'!T73 + 'ACPL Calculations - 2.0'!T73</f>
        <v>0</v>
      </c>
      <c r="CO73" s="33">
        <f t="shared" si="2"/>
        <v>0</v>
      </c>
      <c r="CP73" s="33">
        <f>'Old Balance Sheet'!T73 + 'ACPL Calculations - 1.0'!V73 + 'ACPL Calculations - 2.0'!V73</f>
        <v>0</v>
      </c>
      <c r="CQ73" s="33">
        <f>'Old Balance Sheet'!U73 + 'ACPL Calculations - 1.0'!W73 + 'ACPL Calculations - 2.0'!W73</f>
        <v>0</v>
      </c>
      <c r="CR73" s="33">
        <f>'Old Balance Sheet'!V73 + 'ACPL Calculations - 1.0'!X73 + 'ACPL Calculations - 2.0'!X73</f>
        <v>0</v>
      </c>
      <c r="CS73" s="33">
        <f t="shared" si="3"/>
        <v>0</v>
      </c>
      <c r="CT73" s="35"/>
      <c r="CU73" s="35"/>
      <c r="CV73" s="35"/>
      <c r="CW73" s="36">
        <f>'Old Balance Sheet'!W73 + 'ACPL Calculations - 1.0'!Z73 + 'ACPL Calculations - 2.0'!Z73</f>
        <v>0</v>
      </c>
      <c r="CX73" s="36">
        <f>'Old Balance Sheet'!X73 + 'ACPL Calculations - 1.0'!AA73 + 'ACPL Calculations - 2.0'!AA73</f>
        <v>0</v>
      </c>
      <c r="CY73" s="37">
        <v>0.0</v>
      </c>
      <c r="CZ73" s="38">
        <f>'Old Balance Sheet'!Y73 + 'ACPL Calculations - 1.0'!AB73 + 'ACPL Calculations - 2.0'!AB73</f>
        <v>0</v>
      </c>
      <c r="DA73" s="38">
        <f>'Old Balance Sheet'!Z73 + 'ACPL Calculations - 1.0'!AC73 + 'ACPL Calculations - 2.0'!AC73</f>
        <v>0</v>
      </c>
      <c r="DB73" s="38">
        <f>'Old Balance Sheet'!AA73 + 'ACPL Calculations - 1.0'!AD73 + 'ACPL Calculations - 2.0'!AD73</f>
        <v>0</v>
      </c>
      <c r="DC73" s="38">
        <f>'Old Balance Sheet'!AB73 + 'ACPL Calculations - 1.0'!AE73 + 'ACPL Calculations - 2.0'!AE73</f>
        <v>0</v>
      </c>
      <c r="DD73" s="38">
        <f t="shared" si="4"/>
        <v>0</v>
      </c>
      <c r="DE73" s="33">
        <f t="shared" si="5"/>
        <v>0</v>
      </c>
      <c r="DF73" s="35">
        <v>0.0</v>
      </c>
      <c r="DG73" s="35">
        <v>0.0</v>
      </c>
      <c r="DH73" s="35">
        <v>0.0</v>
      </c>
      <c r="DI73" s="35">
        <v>0.0</v>
      </c>
      <c r="DJ73" s="35">
        <v>0.0</v>
      </c>
      <c r="DK73" s="35">
        <v>0.0</v>
      </c>
      <c r="DL73" s="35">
        <v>0.0</v>
      </c>
      <c r="DM73" s="35">
        <v>0.0</v>
      </c>
      <c r="DN73" s="31">
        <v>0.0</v>
      </c>
      <c r="DO73" s="31">
        <v>0.0</v>
      </c>
      <c r="DP73" s="31">
        <v>0.0</v>
      </c>
      <c r="DQ73" s="31">
        <v>0.0</v>
      </c>
      <c r="DR73" s="31">
        <v>0.0</v>
      </c>
      <c r="DS73" s="31">
        <v>0.0</v>
      </c>
      <c r="DT73" s="31">
        <f>'Old Balance Sheet'!AC73</f>
        <v>-291985</v>
      </c>
      <c r="DU73" s="31">
        <f>DT73 + SUMIFS('Payments Log'!D:D, 'Payments Log'!B:B, A73, 'Payments Log'!L:L, "Approved", 'Payments Log'!M:M, "Credit") + 'Old Balance Sheet'!AD73 - 'Old Balance Sheet'!AC73</f>
        <v>-197622</v>
      </c>
      <c r="DV73" s="31">
        <f>SUMIFS('Payments Log'!D:D, 'Payments Log'!B:B, A73, 'Payments Log'!L:L, "Approved", 'Payments Log'!M:M, "Adjustment Credit") - SUMIFS('Payments Log'!D:D, 'Payments Log'!B:B, A73, 'Payments Log'!L:L, "Approved", 'Payments Log'!M:M, "Adjustment Debit") + 'Old Balance Sheet'!AE73</f>
        <v>197622</v>
      </c>
      <c r="DW73" s="31">
        <f>IF(MAXIFS('Payments Log'!N:N, 'Payments Log'!L:L, "Approved", 'Payments Log'!M:M, "Credit", 'Payments Log'!B:B, A73) &gt; MAXIFS('Payments Log'!N:N, 'Payments Log'!L:L, "Approved", 'Payments Log'!M:M, "Virtual Credit", 'Payments Log'!B:B, A73), 0, SUMIFS('Payments Log'!D:D, 'Payments Log'!N:N, MAXIFS('Payments Log'!N:N, 'Payments Log'!L:L, "Approved", 'Payments Log'!M:M, "Virtual Credit", 'Payments Log'!B:B, A73)))</f>
        <v>0</v>
      </c>
      <c r="DX73" s="33">
        <f t="shared" si="6"/>
        <v>0</v>
      </c>
      <c r="DY73" s="33">
        <f t="shared" si="7"/>
        <v>0</v>
      </c>
      <c r="DZ73" s="33">
        <f t="shared" si="8"/>
        <v>0</v>
      </c>
      <c r="EA73" s="25" t="str">
        <f>(Sheet1!N73)</f>
        <v>Jasodha Hero - Gurgaon</v>
      </c>
      <c r="EB73" s="25" t="str">
        <f>(Sheet1!O73)</f>
        <v>1Hj8E2ES-ce_eurfq39LWslS96OwPRrBIoxBx48204Vk</v>
      </c>
      <c r="EC73" s="26" t="str">
        <f>(Sheet1!P73)</f>
        <v>Dealer</v>
      </c>
      <c r="ED73" s="34" t="s">
        <v>13</v>
      </c>
    </row>
    <row r="74">
      <c r="A74" s="25" t="str">
        <f>(Sheet1!A74)</f>
        <v>1BJ0lIBkIWL2G8UcRM-WzcxFubQ2MW_l4KTFXv6wfKiU</v>
      </c>
      <c r="B74" s="25" t="str">
        <f>(Sheet1!B74)</f>
        <v>Jattari VAW - Hero</v>
      </c>
      <c r="C74" s="30" t="s">
        <v>13</v>
      </c>
      <c r="D74" s="30" t="s">
        <v>72</v>
      </c>
      <c r="E74" s="30" t="s">
        <v>3820</v>
      </c>
      <c r="F74" s="31">
        <v>170.0</v>
      </c>
      <c r="G74" s="32" t="s">
        <v>3818</v>
      </c>
      <c r="H74" s="31">
        <v>100.0</v>
      </c>
      <c r="I74" s="33">
        <f>'Old Balance Sheet'!A74 + 'ACPL Calculations - 1.0'!A74 + 'ACPL Calculations - 2.0'!A74</f>
        <v>3</v>
      </c>
      <c r="J74" s="30" t="s">
        <v>3820</v>
      </c>
      <c r="K74" s="31">
        <v>170.0</v>
      </c>
      <c r="L74" s="32" t="s">
        <v>3818</v>
      </c>
      <c r="M74" s="31">
        <v>100.0</v>
      </c>
      <c r="N74" s="33">
        <f>'Old Balance Sheet'!B74 + 'ACPL Calculations - 1.0'!B74 + 'ACPL Calculations - 2.0'!B74</f>
        <v>0</v>
      </c>
      <c r="O74" s="30" t="s">
        <v>3820</v>
      </c>
      <c r="P74" s="31">
        <v>170.0</v>
      </c>
      <c r="Q74" s="32" t="s">
        <v>3818</v>
      </c>
      <c r="R74" s="31">
        <v>100.0</v>
      </c>
      <c r="S74" s="33">
        <f>'Old Balance Sheet'!C74 + 'ACPL Calculations - 1.0'!C74 + 'ACPL Calculations - 2.0'!C74</f>
        <v>0</v>
      </c>
      <c r="T74" s="30" t="s">
        <v>3820</v>
      </c>
      <c r="U74" s="31">
        <v>170.0</v>
      </c>
      <c r="V74" s="32" t="s">
        <v>3818</v>
      </c>
      <c r="W74" s="31">
        <v>100.0</v>
      </c>
      <c r="X74" s="33">
        <f>'Old Balance Sheet'!D74 + 'ACPL Calculations - 1.0'!D74 + 'ACPL Calculations - 2.0'!D74</f>
        <v>0</v>
      </c>
      <c r="Y74" s="30" t="s">
        <v>3820</v>
      </c>
      <c r="Z74" s="31">
        <v>170.0</v>
      </c>
      <c r="AA74" s="32" t="s">
        <v>3818</v>
      </c>
      <c r="AB74" s="31">
        <v>100.0</v>
      </c>
      <c r="AC74" s="33">
        <f>'Old Balance Sheet'!E74 + 'ACPL Calculations - 1.0'!E74 + 'ACPL Calculations - 2.0'!E74</f>
        <v>545</v>
      </c>
      <c r="AD74" s="30" t="s">
        <v>3820</v>
      </c>
      <c r="AE74" s="34">
        <v>838.99</v>
      </c>
      <c r="AF74" s="32" t="s">
        <v>3818</v>
      </c>
      <c r="AG74" s="31">
        <v>100.0</v>
      </c>
      <c r="AH74" s="33">
        <f>'Old Balance Sheet'!F74 + 'ACPL Calculations - 1.0'!F74 + 'ACPL Calculations - 2.0'!F74</f>
        <v>0</v>
      </c>
      <c r="AI74" s="30" t="s">
        <v>3820</v>
      </c>
      <c r="AJ74" s="31">
        <v>170.0</v>
      </c>
      <c r="AK74" s="32" t="s">
        <v>3818</v>
      </c>
      <c r="AL74" s="31">
        <v>100.0</v>
      </c>
      <c r="AM74" s="33">
        <f>'Old Balance Sheet'!G74 + 'ACPL Calculations - 1.0'!G74 + 'ACPL Calculations - 2.0'!G74</f>
        <v>0</v>
      </c>
      <c r="AN74" s="30" t="s">
        <v>3820</v>
      </c>
      <c r="AO74" s="31">
        <v>170.0</v>
      </c>
      <c r="AP74" s="32" t="s">
        <v>3818</v>
      </c>
      <c r="AQ74" s="31">
        <v>100.0</v>
      </c>
      <c r="AR74" s="33">
        <f>'Old Balance Sheet'!H74 + 'ACPL Calculations - 1.0'!H74 + 'ACPL Calculations - 2.0'!H74</f>
        <v>0</v>
      </c>
      <c r="AS74" s="30" t="s">
        <v>3819</v>
      </c>
      <c r="AT74" s="31">
        <v>838.99</v>
      </c>
      <c r="AU74" s="32" t="s">
        <v>3818</v>
      </c>
      <c r="AV74" s="31">
        <v>100.0</v>
      </c>
      <c r="AW74" s="33">
        <f>'Old Balance Sheet'!I74 + 'ACPL Calculations - 1.0'!I74 + 'ACPL Calculations - 2.0'!I74</f>
        <v>0</v>
      </c>
      <c r="AX74" s="30" t="s">
        <v>3820</v>
      </c>
      <c r="AY74" s="31">
        <v>290.0</v>
      </c>
      <c r="AZ74" s="32" t="s">
        <v>3818</v>
      </c>
      <c r="BA74" s="31">
        <v>100.0</v>
      </c>
      <c r="BB74" s="33">
        <f>'Old Balance Sheet'!J74 + 'ACPL Calculations - 1.0'!J74 + 'ACPL Calculations - 2.0'!J74</f>
        <v>0</v>
      </c>
      <c r="BC74" s="30" t="s">
        <v>3820</v>
      </c>
      <c r="BD74" s="31">
        <v>205.0</v>
      </c>
      <c r="BE74" s="32" t="s">
        <v>3818</v>
      </c>
      <c r="BF74" s="31">
        <v>100.0</v>
      </c>
      <c r="BG74" s="33">
        <f>'Old Balance Sheet'!K74 + 'ACPL Calculations - 1.0'!K74 + 'ACPL Calculations - 2.0'!K74</f>
        <v>0</v>
      </c>
      <c r="BH74" s="30" t="s">
        <v>3820</v>
      </c>
      <c r="BI74" s="31">
        <v>205.0</v>
      </c>
      <c r="BJ74" s="32" t="s">
        <v>3818</v>
      </c>
      <c r="BK74" s="31">
        <v>100.0</v>
      </c>
      <c r="BL74" s="33">
        <f>'Old Balance Sheet'!L74 + 'ACPL Calculations - 1.0'!L74 + 'ACPL Calculations - 2.0'!L74</f>
        <v>0</v>
      </c>
      <c r="BM74" s="33"/>
      <c r="BN74" s="33"/>
      <c r="BO74" s="33"/>
      <c r="BP74" s="33"/>
      <c r="BQ74" s="33"/>
      <c r="BR74" s="33"/>
      <c r="BS74" s="33"/>
      <c r="BT74" s="33"/>
      <c r="BU74" s="33"/>
      <c r="BV74" s="33"/>
      <c r="BW74" s="33"/>
      <c r="BX74" s="33"/>
      <c r="BY74" s="33"/>
      <c r="BZ74" s="33"/>
      <c r="CA74" s="33"/>
      <c r="CB74" s="33"/>
      <c r="CC74" s="33"/>
      <c r="CD74" s="33"/>
      <c r="CE74" s="33"/>
      <c r="CF74" s="33"/>
      <c r="CG74" s="33"/>
      <c r="CH74" s="33"/>
      <c r="CI74" s="33"/>
      <c r="CJ74" s="33"/>
      <c r="CK74" s="33"/>
      <c r="CL74" s="33">
        <f t="shared" si="1"/>
        <v>548</v>
      </c>
      <c r="CM74" s="33">
        <f>'Old Balance Sheet'!R74 + 'ACPL Calculations - 1.0'!S74 + 'ACPL Calculations - 2.0'!S74</f>
        <v>1008907</v>
      </c>
      <c r="CN74" s="33">
        <f>'Old Balance Sheet'!S74 + 'ACPL Calculations - 1.0'!T74 + 'ACPL Calculations - 2.0'!T74</f>
        <v>93160</v>
      </c>
      <c r="CO74" s="33">
        <f t="shared" si="2"/>
        <v>247059.23</v>
      </c>
      <c r="CP74" s="33">
        <f>'Old Balance Sheet'!T74 + 'ACPL Calculations - 1.0'!V74 + 'ACPL Calculations - 2.0'!V74</f>
        <v>0</v>
      </c>
      <c r="CQ74" s="33">
        <f>'Old Balance Sheet'!U74 + 'ACPL Calculations - 1.0'!W74 + 'ACPL Calculations - 2.0'!W74</f>
        <v>0</v>
      </c>
      <c r="CR74" s="33">
        <f>'Old Balance Sheet'!V74 + 'ACPL Calculations - 1.0'!X74 + 'ACPL Calculations - 2.0'!X74</f>
        <v>153899.23</v>
      </c>
      <c r="CS74" s="33">
        <f t="shared" si="3"/>
        <v>153899.23</v>
      </c>
      <c r="CT74" s="35"/>
      <c r="CU74" s="35"/>
      <c r="CV74" s="35"/>
      <c r="CW74" s="36">
        <f>'Old Balance Sheet'!W74 + 'ACPL Calculations - 1.0'!Z74 + 'ACPL Calculations - 2.0'!Z74</f>
        <v>0</v>
      </c>
      <c r="CX74" s="36">
        <f>'Old Balance Sheet'!X74 + 'ACPL Calculations - 1.0'!AA74 + 'ACPL Calculations - 2.0'!AA74</f>
        <v>0</v>
      </c>
      <c r="CY74" s="37">
        <v>0.0</v>
      </c>
      <c r="CZ74" s="38">
        <f>'Old Balance Sheet'!Y74 + 'ACPL Calculations - 1.0'!AB74 + 'ACPL Calculations - 2.0'!AB74</f>
        <v>0</v>
      </c>
      <c r="DA74" s="38">
        <f>'Old Balance Sheet'!Z74 + 'ACPL Calculations - 1.0'!AC74 + 'ACPL Calculations - 2.0'!AC74</f>
        <v>0</v>
      </c>
      <c r="DB74" s="38">
        <f>'Old Balance Sheet'!AA74 + 'ACPL Calculations - 1.0'!AD74 + 'ACPL Calculations - 2.0'!AD74</f>
        <v>0</v>
      </c>
      <c r="DC74" s="38">
        <f>'Old Balance Sheet'!AB74 + 'ACPL Calculations - 1.0'!AE74 + 'ACPL Calculations - 2.0'!AE74</f>
        <v>0</v>
      </c>
      <c r="DD74" s="38">
        <f t="shared" si="4"/>
        <v>0</v>
      </c>
      <c r="DE74" s="33">
        <f t="shared" si="5"/>
        <v>0</v>
      </c>
      <c r="DF74" s="35">
        <v>0.0</v>
      </c>
      <c r="DG74" s="35">
        <v>0.0</v>
      </c>
      <c r="DH74" s="35">
        <v>0.0</v>
      </c>
      <c r="DI74" s="35">
        <v>0.0</v>
      </c>
      <c r="DJ74" s="35">
        <v>0.0</v>
      </c>
      <c r="DK74" s="35">
        <v>0.0</v>
      </c>
      <c r="DL74" s="35">
        <v>0.0</v>
      </c>
      <c r="DM74" s="35">
        <v>0.0</v>
      </c>
      <c r="DN74" s="31">
        <v>0.0</v>
      </c>
      <c r="DO74" s="31">
        <v>0.0</v>
      </c>
      <c r="DP74" s="31">
        <v>0.0</v>
      </c>
      <c r="DQ74" s="31">
        <v>0.0</v>
      </c>
      <c r="DR74" s="31">
        <v>0.0</v>
      </c>
      <c r="DS74" s="31">
        <v>0.0</v>
      </c>
      <c r="DT74" s="31">
        <f>'Old Balance Sheet'!AC74</f>
        <v>0</v>
      </c>
      <c r="DU74" s="31">
        <f>DT74 + SUMIFS('Payments Log'!D:D, 'Payments Log'!B:B, A74, 'Payments Log'!L:L, "Approved", 'Payments Log'!M:M, "Credit") + 'Old Balance Sheet'!AD74 - 'Old Balance Sheet'!AC74</f>
        <v>0</v>
      </c>
      <c r="DV74" s="31">
        <f>SUMIFS('Payments Log'!D:D, 'Payments Log'!B:B, A74, 'Payments Log'!L:L, "Approved", 'Payments Log'!M:M, "Adjustment Credit") - SUMIFS('Payments Log'!D:D, 'Payments Log'!B:B, A74, 'Payments Log'!L:L, "Approved", 'Payments Log'!M:M, "Adjustment Debit") + 'Old Balance Sheet'!AE74</f>
        <v>0</v>
      </c>
      <c r="DW74" s="31">
        <f>IF(MAXIFS('Payments Log'!N:N, 'Payments Log'!L:L, "Approved", 'Payments Log'!M:M, "Credit", 'Payments Log'!B:B, A74) &gt; MAXIFS('Payments Log'!N:N, 'Payments Log'!L:L, "Approved", 'Payments Log'!M:M, "Virtual Credit", 'Payments Log'!B:B, A74), 0, SUMIFS('Payments Log'!D:D, 'Payments Log'!N:N, MAXIFS('Payments Log'!N:N, 'Payments Log'!L:L, "Approved", 'Payments Log'!M:M, "Virtual Credit", 'Payments Log'!B:B, A74)))</f>
        <v>0</v>
      </c>
      <c r="DX74" s="33">
        <f t="shared" si="6"/>
        <v>0</v>
      </c>
      <c r="DY74" s="33">
        <f t="shared" si="7"/>
        <v>0</v>
      </c>
      <c r="DZ74" s="33">
        <f t="shared" si="8"/>
        <v>0</v>
      </c>
      <c r="EA74" s="25" t="str">
        <f>(Sheet1!N74)</f>
        <v>Vikas Autowheels</v>
      </c>
      <c r="EB74" s="25" t="str">
        <f>(Sheet1!O74)</f>
        <v>1944RLX7T1M23YXRXYoMnJ6nD_bKLldQXRpFRA0rDLvg</v>
      </c>
      <c r="EC74" s="26" t="str">
        <f>(Sheet1!P74)</f>
        <v>Sub Dealer</v>
      </c>
      <c r="ED74" s="34" t="s">
        <v>13</v>
      </c>
    </row>
    <row r="75">
      <c r="A75" s="25" t="str">
        <f>(Sheet1!A75)</f>
        <v>1D1RDdqE2mkZVvfOLgpQ-u1EshCLZ1JGUYX0wKpQg268</v>
      </c>
      <c r="B75" s="25" t="str">
        <f>(Sheet1!B75)</f>
        <v>HLB Motors TVS - Meerut</v>
      </c>
      <c r="C75" s="30" t="s">
        <v>13</v>
      </c>
      <c r="D75" s="30" t="s">
        <v>72</v>
      </c>
      <c r="E75" s="30" t="s">
        <v>3820</v>
      </c>
      <c r="F75" s="31">
        <v>205.0</v>
      </c>
      <c r="G75" s="32" t="s">
        <v>3818</v>
      </c>
      <c r="H75" s="31">
        <v>100.0</v>
      </c>
      <c r="I75" s="33">
        <f>'Old Balance Sheet'!A75 + 'ACPL Calculations - 1.0'!A75 + 'ACPL Calculations - 2.0'!A75</f>
        <v>0</v>
      </c>
      <c r="J75" s="30" t="s">
        <v>3820</v>
      </c>
      <c r="K75" s="31">
        <v>205.0</v>
      </c>
      <c r="L75" s="32" t="s">
        <v>3818</v>
      </c>
      <c r="M75" s="31">
        <v>100.0</v>
      </c>
      <c r="N75" s="33">
        <f>'Old Balance Sheet'!B75 + 'ACPL Calculations - 1.0'!B75 + 'ACPL Calculations - 2.0'!B75</f>
        <v>0</v>
      </c>
      <c r="O75" s="30" t="s">
        <v>3820</v>
      </c>
      <c r="P75" s="31">
        <v>290.0</v>
      </c>
      <c r="Q75" s="32" t="s">
        <v>3818</v>
      </c>
      <c r="R75" s="31">
        <v>100.0</v>
      </c>
      <c r="S75" s="33">
        <f>'Old Balance Sheet'!C75 + 'ACPL Calculations - 1.0'!C75 + 'ACPL Calculations - 2.0'!C75</f>
        <v>438</v>
      </c>
      <c r="T75" s="30" t="s">
        <v>3820</v>
      </c>
      <c r="U75" s="31">
        <v>375.0</v>
      </c>
      <c r="V75" s="32" t="s">
        <v>3818</v>
      </c>
      <c r="W75" s="31">
        <v>100.0</v>
      </c>
      <c r="X75" s="33">
        <f>'Old Balance Sheet'!D75 + 'ACPL Calculations - 1.0'!D75 + 'ACPL Calculations - 2.0'!D75</f>
        <v>0</v>
      </c>
      <c r="Y75" s="30" t="s">
        <v>3820</v>
      </c>
      <c r="Z75" s="31">
        <v>460.0</v>
      </c>
      <c r="AA75" s="32" t="s">
        <v>3818</v>
      </c>
      <c r="AB75" s="31">
        <v>100.0</v>
      </c>
      <c r="AC75" s="33">
        <f>'Old Balance Sheet'!E75 + 'ACPL Calculations - 1.0'!E75 + 'ACPL Calculations - 2.0'!E75</f>
        <v>0</v>
      </c>
      <c r="AD75" s="30" t="s">
        <v>3820</v>
      </c>
      <c r="AE75" s="34">
        <v>838.99</v>
      </c>
      <c r="AF75" s="32" t="s">
        <v>3818</v>
      </c>
      <c r="AG75" s="31">
        <v>100.0</v>
      </c>
      <c r="AH75" s="33">
        <f>'Old Balance Sheet'!F75 + 'ACPL Calculations - 1.0'!F75 + 'ACPL Calculations - 2.0'!F75</f>
        <v>0</v>
      </c>
      <c r="AI75" s="30" t="s">
        <v>3820</v>
      </c>
      <c r="AJ75" s="31">
        <v>375.0</v>
      </c>
      <c r="AK75" s="32" t="s">
        <v>3818</v>
      </c>
      <c r="AL75" s="31">
        <v>100.0</v>
      </c>
      <c r="AM75" s="33">
        <f>'Old Balance Sheet'!G75 + 'ACPL Calculations - 1.0'!G75 + 'ACPL Calculations - 2.0'!G75</f>
        <v>0</v>
      </c>
      <c r="AN75" s="30" t="s">
        <v>3820</v>
      </c>
      <c r="AO75" s="31">
        <v>290.0</v>
      </c>
      <c r="AP75" s="32" t="s">
        <v>3818</v>
      </c>
      <c r="AQ75" s="31">
        <v>100.0</v>
      </c>
      <c r="AR75" s="33">
        <f>'Old Balance Sheet'!H75 + 'ACPL Calculations - 1.0'!H75 + 'ACPL Calculations - 2.0'!H75</f>
        <v>0</v>
      </c>
      <c r="AS75" s="30" t="s">
        <v>3819</v>
      </c>
      <c r="AT75" s="31">
        <v>838.99</v>
      </c>
      <c r="AU75" s="32" t="s">
        <v>3818</v>
      </c>
      <c r="AV75" s="31">
        <v>100.0</v>
      </c>
      <c r="AW75" s="33">
        <f>'Old Balance Sheet'!I75 + 'ACPL Calculations - 1.0'!I75 + 'ACPL Calculations - 2.0'!I75</f>
        <v>0</v>
      </c>
      <c r="AX75" s="30" t="s">
        <v>3820</v>
      </c>
      <c r="AY75" s="31">
        <v>290.0</v>
      </c>
      <c r="AZ75" s="32" t="s">
        <v>3818</v>
      </c>
      <c r="BA75" s="31">
        <v>100.0</v>
      </c>
      <c r="BB75" s="33">
        <f>'Old Balance Sheet'!J75 + 'ACPL Calculations - 1.0'!J75 + 'ACPL Calculations - 2.0'!J75</f>
        <v>0</v>
      </c>
      <c r="BC75" s="30" t="s">
        <v>3820</v>
      </c>
      <c r="BD75" s="31">
        <v>205.0</v>
      </c>
      <c r="BE75" s="32" t="s">
        <v>3818</v>
      </c>
      <c r="BF75" s="31">
        <v>100.0</v>
      </c>
      <c r="BG75" s="33">
        <f>'Old Balance Sheet'!K75 + 'ACPL Calculations - 1.0'!K75 + 'ACPL Calculations - 2.0'!K75</f>
        <v>0</v>
      </c>
      <c r="BH75" s="30" t="s">
        <v>3820</v>
      </c>
      <c r="BI75" s="31">
        <v>205.0</v>
      </c>
      <c r="BJ75" s="32" t="s">
        <v>3818</v>
      </c>
      <c r="BK75" s="31">
        <v>100.0</v>
      </c>
      <c r="BL75" s="33">
        <f>'Old Balance Sheet'!L75 + 'ACPL Calculations - 1.0'!L75 + 'ACPL Calculations - 2.0'!L75</f>
        <v>0</v>
      </c>
      <c r="BM75" s="33"/>
      <c r="BN75" s="33"/>
      <c r="BO75" s="33"/>
      <c r="BP75" s="33"/>
      <c r="BQ75" s="33"/>
      <c r="BR75" s="33"/>
      <c r="BS75" s="33"/>
      <c r="BT75" s="33"/>
      <c r="BU75" s="33"/>
      <c r="BV75" s="33"/>
      <c r="BW75" s="33"/>
      <c r="BX75" s="33"/>
      <c r="BY75" s="33"/>
      <c r="BZ75" s="33"/>
      <c r="CA75" s="33"/>
      <c r="CB75" s="33"/>
      <c r="CC75" s="33"/>
      <c r="CD75" s="33"/>
      <c r="CE75" s="33"/>
      <c r="CF75" s="33"/>
      <c r="CG75" s="33"/>
      <c r="CH75" s="33"/>
      <c r="CI75" s="33"/>
      <c r="CJ75" s="33"/>
      <c r="CK75" s="33"/>
      <c r="CL75" s="33">
        <f t="shared" si="1"/>
        <v>438</v>
      </c>
      <c r="CM75" s="33">
        <f>'Old Balance Sheet'!R75 + 'ACPL Calculations - 1.0'!S75 + 'ACPL Calculations - 2.0'!S75</f>
        <v>193596</v>
      </c>
      <c r="CN75" s="33">
        <f>'Old Balance Sheet'!S75 + 'ACPL Calculations - 1.0'!T75 + 'ACPL Calculations - 2.0'!T75</f>
        <v>89790</v>
      </c>
      <c r="CO75" s="33">
        <f t="shared" si="2"/>
        <v>119319.96</v>
      </c>
      <c r="CP75" s="33">
        <f>'Old Balance Sheet'!T75 + 'ACPL Calculations - 1.0'!V75 + 'ACPL Calculations - 2.0'!V75</f>
        <v>0</v>
      </c>
      <c r="CQ75" s="33">
        <f>'Old Balance Sheet'!U75 + 'ACPL Calculations - 1.0'!W75 + 'ACPL Calculations - 2.0'!W75</f>
        <v>0</v>
      </c>
      <c r="CR75" s="33">
        <f>'Old Balance Sheet'!V75 + 'ACPL Calculations - 1.0'!X75 + 'ACPL Calculations - 2.0'!X75</f>
        <v>29529.96</v>
      </c>
      <c r="CS75" s="33">
        <f t="shared" si="3"/>
        <v>29529.96</v>
      </c>
      <c r="CT75" s="35"/>
      <c r="CU75" s="35"/>
      <c r="CV75" s="35"/>
      <c r="CW75" s="36">
        <f>'Old Balance Sheet'!W75 + 'ACPL Calculations - 1.0'!Z75 + 'ACPL Calculations - 2.0'!Z75</f>
        <v>164215.46</v>
      </c>
      <c r="CX75" s="36">
        <f>'Old Balance Sheet'!X75 + 'ACPL Calculations - 1.0'!AA75 + 'ACPL Calculations - 2.0'!AA75</f>
        <v>123618.26</v>
      </c>
      <c r="CY75" s="37">
        <v>0.0</v>
      </c>
      <c r="CZ75" s="38">
        <f>'Old Balance Sheet'!Y75 + 'ACPL Calculations - 1.0'!AB75 + 'ACPL Calculations - 2.0'!AB75</f>
        <v>56809.3</v>
      </c>
      <c r="DA75" s="38">
        <f>'Old Balance Sheet'!Z75 + 'ACPL Calculations - 1.0'!AC75 + 'ACPL Calculations - 2.0'!AC75</f>
        <v>28938.54</v>
      </c>
      <c r="DB75" s="38">
        <f>'Old Balance Sheet'!AA75 + 'ACPL Calculations - 1.0'!AD75 + 'ACPL Calculations - 2.0'!AD75</f>
        <v>4570.72</v>
      </c>
      <c r="DC75" s="38">
        <f>'Old Balance Sheet'!AB75 + 'ACPL Calculations - 1.0'!AE75 + 'ACPL Calculations - 2.0'!AE75</f>
        <v>40597.2</v>
      </c>
      <c r="DD75" s="38">
        <f t="shared" si="4"/>
        <v>40597.2</v>
      </c>
      <c r="DE75" s="33">
        <f t="shared" si="5"/>
        <v>40597.2</v>
      </c>
      <c r="DF75" s="35">
        <v>0.0</v>
      </c>
      <c r="DG75" s="35">
        <v>0.0</v>
      </c>
      <c r="DH75" s="35">
        <v>0.0</v>
      </c>
      <c r="DI75" s="35">
        <v>0.0</v>
      </c>
      <c r="DJ75" s="35">
        <v>0.0</v>
      </c>
      <c r="DK75" s="35">
        <v>0.0</v>
      </c>
      <c r="DL75" s="35">
        <v>0.0</v>
      </c>
      <c r="DM75" s="35">
        <v>0.0</v>
      </c>
      <c r="DN75" s="31">
        <v>0.0</v>
      </c>
      <c r="DO75" s="31">
        <v>0.0</v>
      </c>
      <c r="DP75" s="31">
        <v>0.0</v>
      </c>
      <c r="DQ75" s="31">
        <v>0.0</v>
      </c>
      <c r="DR75" s="31">
        <v>0.0</v>
      </c>
      <c r="DS75" s="31">
        <v>0.0</v>
      </c>
      <c r="DT75" s="31">
        <f>'Old Balance Sheet'!AC75</f>
        <v>23185</v>
      </c>
      <c r="DU75" s="31">
        <f>DT75 + SUMIFS('Payments Log'!D:D, 'Payments Log'!B:B, A75, 'Payments Log'!L:L, "Approved", 'Payments Log'!M:M, "Credit") + 'Old Balance Sheet'!AD75 - 'Old Balance Sheet'!AC75</f>
        <v>166185</v>
      </c>
      <c r="DV75" s="31">
        <f>SUMIFS('Payments Log'!D:D, 'Payments Log'!B:B, A75, 'Payments Log'!L:L, "Approved", 'Payments Log'!M:M, "Adjustment Credit") - SUMIFS('Payments Log'!D:D, 'Payments Log'!B:B, A75, 'Payments Log'!L:L, "Approved", 'Payments Log'!M:M, "Adjustment Debit") + 'Old Balance Sheet'!AE75</f>
        <v>0</v>
      </c>
      <c r="DW75" s="31">
        <f>IF(MAXIFS('Payments Log'!N:N, 'Payments Log'!L:L, "Approved", 'Payments Log'!M:M, "Credit", 'Payments Log'!B:B, A75) &gt; MAXIFS('Payments Log'!N:N, 'Payments Log'!L:L, "Approved", 'Payments Log'!M:M, "Virtual Credit", 'Payments Log'!B:B, A75), 0, SUMIFS('Payments Log'!D:D, 'Payments Log'!N:N, MAXIFS('Payments Log'!N:N, 'Payments Log'!L:L, "Approved", 'Payments Log'!M:M, "Virtual Credit", 'Payments Log'!B:B, A75)))</f>
        <v>0</v>
      </c>
      <c r="DX75" s="33">
        <f t="shared" si="6"/>
        <v>1969.54</v>
      </c>
      <c r="DY75" s="33">
        <f t="shared" si="7"/>
        <v>42566.74</v>
      </c>
      <c r="DZ75" s="33">
        <f t="shared" si="8"/>
        <v>42566.74</v>
      </c>
      <c r="EA75" s="25" t="str">
        <f>(Sheet1!N75)</f>
        <v>HLB Motors TVS - Meerut</v>
      </c>
      <c r="EB75" s="25" t="str">
        <f>(Sheet1!O75)</f>
        <v>1D1RDdqE2mkZVvfOLgpQ-u1EshCLZ1JGUYX0wKpQg268</v>
      </c>
      <c r="EC75" s="26" t="str">
        <f>(Sheet1!P75)</f>
        <v>Dealer</v>
      </c>
      <c r="ED75" s="34" t="s">
        <v>13</v>
      </c>
    </row>
    <row r="76">
      <c r="A76" s="25" t="str">
        <f>(Sheet1!A76)</f>
        <v>1ILnccgV7ri-O_RSwKJB1lo_gnaD6qL7mq_rwEC50RFA</v>
      </c>
      <c r="B76" s="25" t="str">
        <f>(Sheet1!B76)</f>
        <v>SUNIL MOTORS</v>
      </c>
      <c r="C76" s="30" t="s">
        <v>13</v>
      </c>
      <c r="D76" s="30" t="s">
        <v>72</v>
      </c>
      <c r="E76" s="30" t="s">
        <v>3817</v>
      </c>
      <c r="F76" s="31">
        <v>205.0</v>
      </c>
      <c r="G76" s="32" t="s">
        <v>3818</v>
      </c>
      <c r="H76" s="31">
        <v>100.0</v>
      </c>
      <c r="I76" s="33">
        <f>'Old Balance Sheet'!A76 + 'ACPL Calculations - 1.0'!A76 + 'ACPL Calculations - 2.0'!A76</f>
        <v>0</v>
      </c>
      <c r="J76" s="30" t="s">
        <v>3817</v>
      </c>
      <c r="K76" s="31">
        <v>205.0</v>
      </c>
      <c r="L76" s="32" t="s">
        <v>3818</v>
      </c>
      <c r="M76" s="31">
        <v>100.0</v>
      </c>
      <c r="N76" s="33">
        <f>'Old Balance Sheet'!B76 + 'ACPL Calculations - 1.0'!B76 + 'ACPL Calculations - 2.0'!B76</f>
        <v>0</v>
      </c>
      <c r="O76" s="30" t="s">
        <v>3817</v>
      </c>
      <c r="P76" s="31">
        <v>290.0</v>
      </c>
      <c r="Q76" s="32" t="s">
        <v>3818</v>
      </c>
      <c r="R76" s="31">
        <v>100.0</v>
      </c>
      <c r="S76" s="33">
        <f>'Old Balance Sheet'!C76 + 'ACPL Calculations - 1.0'!C76 + 'ACPL Calculations - 2.0'!C76</f>
        <v>0</v>
      </c>
      <c r="T76" s="30" t="s">
        <v>3817</v>
      </c>
      <c r="U76" s="31">
        <v>375.0</v>
      </c>
      <c r="V76" s="32" t="s">
        <v>3818</v>
      </c>
      <c r="W76" s="31">
        <v>100.0</v>
      </c>
      <c r="X76" s="33">
        <f>'Old Balance Sheet'!D76 + 'ACPL Calculations - 1.0'!D76 + 'ACPL Calculations - 2.0'!D76</f>
        <v>0</v>
      </c>
      <c r="Y76" s="30" t="s">
        <v>3817</v>
      </c>
      <c r="Z76" s="31">
        <v>460.0</v>
      </c>
      <c r="AA76" s="32" t="s">
        <v>3818</v>
      </c>
      <c r="AB76" s="31">
        <v>100.0</v>
      </c>
      <c r="AC76" s="33">
        <f>'Old Balance Sheet'!E76 + 'ACPL Calculations - 1.0'!E76 + 'ACPL Calculations - 2.0'!E76</f>
        <v>0</v>
      </c>
      <c r="AD76" s="30" t="s">
        <v>3817</v>
      </c>
      <c r="AE76" s="34">
        <v>838.99</v>
      </c>
      <c r="AF76" s="32" t="s">
        <v>3818</v>
      </c>
      <c r="AG76" s="31">
        <v>100.0</v>
      </c>
      <c r="AH76" s="33">
        <f>'Old Balance Sheet'!F76 + 'ACPL Calculations - 1.0'!F76 + 'ACPL Calculations - 2.0'!F76</f>
        <v>0</v>
      </c>
      <c r="AI76" s="30" t="s">
        <v>3817</v>
      </c>
      <c r="AJ76" s="31">
        <v>375.0</v>
      </c>
      <c r="AK76" s="32" t="s">
        <v>3818</v>
      </c>
      <c r="AL76" s="31">
        <v>100.0</v>
      </c>
      <c r="AM76" s="33">
        <f>'Old Balance Sheet'!G76 + 'ACPL Calculations - 1.0'!G76 + 'ACPL Calculations - 2.0'!G76</f>
        <v>0</v>
      </c>
      <c r="AN76" s="30" t="s">
        <v>3817</v>
      </c>
      <c r="AO76" s="31">
        <v>290.0</v>
      </c>
      <c r="AP76" s="32" t="s">
        <v>3818</v>
      </c>
      <c r="AQ76" s="31">
        <v>100.0</v>
      </c>
      <c r="AR76" s="33">
        <f>'Old Balance Sheet'!H76 + 'ACPL Calculations - 1.0'!H76 + 'ACPL Calculations - 2.0'!H76</f>
        <v>0</v>
      </c>
      <c r="AS76" s="30" t="s">
        <v>3819</v>
      </c>
      <c r="AT76" s="31">
        <v>838.99</v>
      </c>
      <c r="AU76" s="32" t="s">
        <v>3818</v>
      </c>
      <c r="AV76" s="31">
        <v>100.0</v>
      </c>
      <c r="AW76" s="33">
        <f>'Old Balance Sheet'!I76 + 'ACPL Calculations - 1.0'!I76 + 'ACPL Calculations - 2.0'!I76</f>
        <v>0</v>
      </c>
      <c r="AX76" s="30" t="s">
        <v>3817</v>
      </c>
      <c r="AY76" s="31">
        <v>290.0</v>
      </c>
      <c r="AZ76" s="32" t="s">
        <v>3818</v>
      </c>
      <c r="BA76" s="31">
        <v>100.0</v>
      </c>
      <c r="BB76" s="33">
        <f>'Old Balance Sheet'!J76 + 'ACPL Calculations - 1.0'!J76 + 'ACPL Calculations - 2.0'!J76</f>
        <v>0</v>
      </c>
      <c r="BC76" s="30" t="s">
        <v>3817</v>
      </c>
      <c r="BD76" s="31">
        <v>205.0</v>
      </c>
      <c r="BE76" s="32" t="s">
        <v>3818</v>
      </c>
      <c r="BF76" s="31">
        <v>100.0</v>
      </c>
      <c r="BG76" s="33">
        <f>'Old Balance Sheet'!K76 + 'ACPL Calculations - 1.0'!K76 + 'ACPL Calculations - 2.0'!K76</f>
        <v>0</v>
      </c>
      <c r="BH76" s="30" t="s">
        <v>3817</v>
      </c>
      <c r="BI76" s="31">
        <v>205.0</v>
      </c>
      <c r="BJ76" s="32" t="s">
        <v>3818</v>
      </c>
      <c r="BK76" s="31">
        <v>100.0</v>
      </c>
      <c r="BL76" s="33">
        <f>'Old Balance Sheet'!L76 + 'ACPL Calculations - 1.0'!L76 + 'ACPL Calculations - 2.0'!L76</f>
        <v>0</v>
      </c>
      <c r="BM76" s="33"/>
      <c r="BN76" s="33"/>
      <c r="BO76" s="33"/>
      <c r="BP76" s="33"/>
      <c r="BQ76" s="33"/>
      <c r="BR76" s="33"/>
      <c r="BS76" s="33"/>
      <c r="BT76" s="33"/>
      <c r="BU76" s="33"/>
      <c r="BV76" s="33"/>
      <c r="BW76" s="33"/>
      <c r="BX76" s="33"/>
      <c r="BY76" s="33"/>
      <c r="BZ76" s="33"/>
      <c r="CA76" s="33"/>
      <c r="CB76" s="33"/>
      <c r="CC76" s="33"/>
      <c r="CD76" s="33"/>
      <c r="CE76" s="33"/>
      <c r="CF76" s="33"/>
      <c r="CG76" s="33"/>
      <c r="CH76" s="33"/>
      <c r="CI76" s="33"/>
      <c r="CJ76" s="33"/>
      <c r="CK76" s="33"/>
      <c r="CL76" s="33">
        <f t="shared" si="1"/>
        <v>0</v>
      </c>
      <c r="CM76" s="33">
        <f>'Old Balance Sheet'!R76 + 'ACPL Calculations - 1.0'!S76 + 'ACPL Calculations - 2.0'!S76</f>
        <v>0</v>
      </c>
      <c r="CN76" s="33">
        <f>'Old Balance Sheet'!S76 + 'ACPL Calculations - 1.0'!T76 + 'ACPL Calculations - 2.0'!T76</f>
        <v>0</v>
      </c>
      <c r="CO76" s="33">
        <f t="shared" si="2"/>
        <v>0</v>
      </c>
      <c r="CP76" s="33">
        <f>'Old Balance Sheet'!T76 + 'ACPL Calculations - 1.0'!V76 + 'ACPL Calculations - 2.0'!V76</f>
        <v>0</v>
      </c>
      <c r="CQ76" s="33">
        <f>'Old Balance Sheet'!U76 + 'ACPL Calculations - 1.0'!W76 + 'ACPL Calculations - 2.0'!W76</f>
        <v>0</v>
      </c>
      <c r="CR76" s="33">
        <f>'Old Balance Sheet'!V76 + 'ACPL Calculations - 1.0'!X76 + 'ACPL Calculations - 2.0'!X76</f>
        <v>0</v>
      </c>
      <c r="CS76" s="33">
        <f t="shared" si="3"/>
        <v>0</v>
      </c>
      <c r="CT76" s="35"/>
      <c r="CU76" s="35"/>
      <c r="CV76" s="35"/>
      <c r="CW76" s="36">
        <f>'Old Balance Sheet'!W76 + 'ACPL Calculations - 1.0'!Z76 + 'ACPL Calculations - 2.0'!Z76</f>
        <v>0</v>
      </c>
      <c r="CX76" s="36">
        <f>'Old Balance Sheet'!X76 + 'ACPL Calculations - 1.0'!AA76 + 'ACPL Calculations - 2.0'!AA76</f>
        <v>0</v>
      </c>
      <c r="CY76" s="37">
        <v>0.0</v>
      </c>
      <c r="CZ76" s="38">
        <f>'Old Balance Sheet'!Y76 + 'ACPL Calculations - 1.0'!AB76 + 'ACPL Calculations - 2.0'!AB76</f>
        <v>0</v>
      </c>
      <c r="DA76" s="38">
        <f>'Old Balance Sheet'!Z76 + 'ACPL Calculations - 1.0'!AC76 + 'ACPL Calculations - 2.0'!AC76</f>
        <v>0</v>
      </c>
      <c r="DB76" s="38">
        <f>'Old Balance Sheet'!AA76 + 'ACPL Calculations - 1.0'!AD76 + 'ACPL Calculations - 2.0'!AD76</f>
        <v>0</v>
      </c>
      <c r="DC76" s="38">
        <f>'Old Balance Sheet'!AB76 + 'ACPL Calculations - 1.0'!AE76 + 'ACPL Calculations - 2.0'!AE76</f>
        <v>0</v>
      </c>
      <c r="DD76" s="38">
        <f t="shared" si="4"/>
        <v>0</v>
      </c>
      <c r="DE76" s="33">
        <f t="shared" si="5"/>
        <v>0</v>
      </c>
      <c r="DF76" s="35">
        <v>0.0</v>
      </c>
      <c r="DG76" s="35">
        <v>0.0</v>
      </c>
      <c r="DH76" s="35">
        <v>0.0</v>
      </c>
      <c r="DI76" s="35">
        <v>0.0</v>
      </c>
      <c r="DJ76" s="35">
        <v>0.0</v>
      </c>
      <c r="DK76" s="35">
        <v>0.0</v>
      </c>
      <c r="DL76" s="35">
        <v>0.0</v>
      </c>
      <c r="DM76" s="35">
        <v>0.0</v>
      </c>
      <c r="DN76" s="31">
        <v>0.0</v>
      </c>
      <c r="DO76" s="31">
        <v>0.0</v>
      </c>
      <c r="DP76" s="31">
        <v>0.0</v>
      </c>
      <c r="DQ76" s="31">
        <v>0.0</v>
      </c>
      <c r="DR76" s="31">
        <v>0.0</v>
      </c>
      <c r="DS76" s="31">
        <v>0.0</v>
      </c>
      <c r="DT76" s="31">
        <f>'Old Balance Sheet'!AC76</f>
        <v>0</v>
      </c>
      <c r="DU76" s="31">
        <f>DT76 + SUMIFS('Payments Log'!D:D, 'Payments Log'!B:B, A76, 'Payments Log'!L:L, "Approved", 'Payments Log'!M:M, "Credit") + 'Old Balance Sheet'!AD76 - 'Old Balance Sheet'!AC76</f>
        <v>0</v>
      </c>
      <c r="DV76" s="31">
        <f>SUMIFS('Payments Log'!D:D, 'Payments Log'!B:B, A76, 'Payments Log'!L:L, "Approved", 'Payments Log'!M:M, "Adjustment Credit") - SUMIFS('Payments Log'!D:D, 'Payments Log'!B:B, A76, 'Payments Log'!L:L, "Approved", 'Payments Log'!M:M, "Adjustment Debit") + 'Old Balance Sheet'!AE76</f>
        <v>0</v>
      </c>
      <c r="DW76" s="31">
        <f>IF(MAXIFS('Payments Log'!N:N, 'Payments Log'!L:L, "Approved", 'Payments Log'!M:M, "Credit", 'Payments Log'!B:B, A76) &gt; MAXIFS('Payments Log'!N:N, 'Payments Log'!L:L, "Approved", 'Payments Log'!M:M, "Virtual Credit", 'Payments Log'!B:B, A76), 0, SUMIFS('Payments Log'!D:D, 'Payments Log'!N:N, MAXIFS('Payments Log'!N:N, 'Payments Log'!L:L, "Approved", 'Payments Log'!M:M, "Virtual Credit", 'Payments Log'!B:B, A76)))</f>
        <v>0</v>
      </c>
      <c r="DX76" s="33">
        <f t="shared" si="6"/>
        <v>0</v>
      </c>
      <c r="DY76" s="33">
        <f t="shared" si="7"/>
        <v>0</v>
      </c>
      <c r="DZ76" s="33">
        <f t="shared" si="8"/>
        <v>0</v>
      </c>
      <c r="EA76" s="25" t="str">
        <f>(Sheet1!N76)</f>
        <v>SUNIL MOTORS</v>
      </c>
      <c r="EB76" s="25" t="str">
        <f>(Sheet1!O76)</f>
        <v>1ILnccgV7ri-O_RSwKJB1lo_gnaD6qL7mq_rwEC50RFA</v>
      </c>
      <c r="EC76" s="26" t="str">
        <f>(Sheet1!P76)</f>
        <v>Dealer</v>
      </c>
      <c r="ED76" s="34" t="s">
        <v>13</v>
      </c>
    </row>
    <row r="77">
      <c r="A77" s="25" t="str">
        <f>(Sheet1!A77)</f>
        <v>1fjdj_DWneQ6p5FeCIXPzszsySoRSx2_LgStCjca5XsY</v>
      </c>
      <c r="B77" s="25" t="str">
        <f>(Sheet1!B77)</f>
        <v>Jaya Automobiles - Bhiwani</v>
      </c>
      <c r="C77" s="30" t="s">
        <v>13</v>
      </c>
      <c r="D77" s="30" t="s">
        <v>72</v>
      </c>
      <c r="E77" s="30" t="s">
        <v>3817</v>
      </c>
      <c r="F77" s="31">
        <v>205.0</v>
      </c>
      <c r="G77" s="32" t="s">
        <v>3818</v>
      </c>
      <c r="H77" s="31">
        <v>100.0</v>
      </c>
      <c r="I77" s="33">
        <f>'Old Balance Sheet'!A77 + 'ACPL Calculations - 1.0'!A77 + 'ACPL Calculations - 2.0'!A77</f>
        <v>0</v>
      </c>
      <c r="J77" s="30" t="s">
        <v>3817</v>
      </c>
      <c r="K77" s="31">
        <v>205.0</v>
      </c>
      <c r="L77" s="32" t="s">
        <v>3818</v>
      </c>
      <c r="M77" s="31">
        <v>100.0</v>
      </c>
      <c r="N77" s="33">
        <f>'Old Balance Sheet'!B77 + 'ACPL Calculations - 1.0'!B77 + 'ACPL Calculations - 2.0'!B77</f>
        <v>0</v>
      </c>
      <c r="O77" s="30" t="s">
        <v>3817</v>
      </c>
      <c r="P77" s="31">
        <v>290.0</v>
      </c>
      <c r="Q77" s="32" t="s">
        <v>3818</v>
      </c>
      <c r="R77" s="31">
        <v>100.0</v>
      </c>
      <c r="S77" s="33">
        <f>'Old Balance Sheet'!C77 + 'ACPL Calculations - 1.0'!C77 + 'ACPL Calculations - 2.0'!C77</f>
        <v>0</v>
      </c>
      <c r="T77" s="30" t="s">
        <v>3817</v>
      </c>
      <c r="U77" s="31">
        <v>375.0</v>
      </c>
      <c r="V77" s="32" t="s">
        <v>3818</v>
      </c>
      <c r="W77" s="31">
        <v>100.0</v>
      </c>
      <c r="X77" s="33">
        <f>'Old Balance Sheet'!D77 + 'ACPL Calculations - 1.0'!D77 + 'ACPL Calculations - 2.0'!D77</f>
        <v>0</v>
      </c>
      <c r="Y77" s="30" t="s">
        <v>3817</v>
      </c>
      <c r="Z77" s="31">
        <v>460.0</v>
      </c>
      <c r="AA77" s="32" t="s">
        <v>3818</v>
      </c>
      <c r="AB77" s="31">
        <v>100.0</v>
      </c>
      <c r="AC77" s="33">
        <f>'Old Balance Sheet'!E77 + 'ACPL Calculations - 1.0'!E77 + 'ACPL Calculations - 2.0'!E77</f>
        <v>0</v>
      </c>
      <c r="AD77" s="30" t="s">
        <v>3817</v>
      </c>
      <c r="AE77" s="34">
        <v>838.99</v>
      </c>
      <c r="AF77" s="32" t="s">
        <v>3818</v>
      </c>
      <c r="AG77" s="31">
        <v>100.0</v>
      </c>
      <c r="AH77" s="33">
        <f>'Old Balance Sheet'!F77 + 'ACPL Calculations - 1.0'!F77 + 'ACPL Calculations - 2.0'!F77</f>
        <v>0</v>
      </c>
      <c r="AI77" s="30" t="s">
        <v>3817</v>
      </c>
      <c r="AJ77" s="31">
        <v>375.0</v>
      </c>
      <c r="AK77" s="32" t="s">
        <v>3818</v>
      </c>
      <c r="AL77" s="31">
        <v>100.0</v>
      </c>
      <c r="AM77" s="33">
        <f>'Old Balance Sheet'!G77 + 'ACPL Calculations - 1.0'!G77 + 'ACPL Calculations - 2.0'!G77</f>
        <v>0</v>
      </c>
      <c r="AN77" s="30" t="s">
        <v>3817</v>
      </c>
      <c r="AO77" s="31">
        <v>290.0</v>
      </c>
      <c r="AP77" s="32" t="s">
        <v>3818</v>
      </c>
      <c r="AQ77" s="31">
        <v>100.0</v>
      </c>
      <c r="AR77" s="33">
        <f>'Old Balance Sheet'!H77 + 'ACPL Calculations - 1.0'!H77 + 'ACPL Calculations - 2.0'!H77</f>
        <v>0</v>
      </c>
      <c r="AS77" s="30" t="s">
        <v>3819</v>
      </c>
      <c r="AT77" s="31">
        <v>838.99</v>
      </c>
      <c r="AU77" s="32" t="s">
        <v>3818</v>
      </c>
      <c r="AV77" s="31">
        <v>100.0</v>
      </c>
      <c r="AW77" s="33">
        <f>'Old Balance Sheet'!I77 + 'ACPL Calculations - 1.0'!I77 + 'ACPL Calculations - 2.0'!I77</f>
        <v>0</v>
      </c>
      <c r="AX77" s="30" t="s">
        <v>3817</v>
      </c>
      <c r="AY77" s="31">
        <v>290.0</v>
      </c>
      <c r="AZ77" s="32" t="s">
        <v>3818</v>
      </c>
      <c r="BA77" s="31">
        <v>100.0</v>
      </c>
      <c r="BB77" s="33">
        <f>'Old Balance Sheet'!J77 + 'ACPL Calculations - 1.0'!J77 + 'ACPL Calculations - 2.0'!J77</f>
        <v>0</v>
      </c>
      <c r="BC77" s="30" t="s">
        <v>3817</v>
      </c>
      <c r="BD77" s="31">
        <v>205.0</v>
      </c>
      <c r="BE77" s="32" t="s">
        <v>3818</v>
      </c>
      <c r="BF77" s="31">
        <v>100.0</v>
      </c>
      <c r="BG77" s="33">
        <f>'Old Balance Sheet'!K77 + 'ACPL Calculations - 1.0'!K77 + 'ACPL Calculations - 2.0'!K77</f>
        <v>0</v>
      </c>
      <c r="BH77" s="30" t="s">
        <v>3817</v>
      </c>
      <c r="BI77" s="31">
        <v>205.0</v>
      </c>
      <c r="BJ77" s="32" t="s">
        <v>3818</v>
      </c>
      <c r="BK77" s="31">
        <v>100.0</v>
      </c>
      <c r="BL77" s="33">
        <f>'Old Balance Sheet'!L77 + 'ACPL Calculations - 1.0'!L77 + 'ACPL Calculations - 2.0'!L77</f>
        <v>0</v>
      </c>
      <c r="BM77" s="33"/>
      <c r="BN77" s="33"/>
      <c r="BO77" s="33"/>
      <c r="BP77" s="33"/>
      <c r="BQ77" s="33"/>
      <c r="BR77" s="33"/>
      <c r="BS77" s="33"/>
      <c r="BT77" s="33"/>
      <c r="BU77" s="33"/>
      <c r="BV77" s="33"/>
      <c r="BW77" s="33"/>
      <c r="BX77" s="33"/>
      <c r="BY77" s="33"/>
      <c r="BZ77" s="33"/>
      <c r="CA77" s="33"/>
      <c r="CB77" s="33"/>
      <c r="CC77" s="33"/>
      <c r="CD77" s="33"/>
      <c r="CE77" s="33"/>
      <c r="CF77" s="33"/>
      <c r="CG77" s="33"/>
      <c r="CH77" s="33"/>
      <c r="CI77" s="33"/>
      <c r="CJ77" s="33"/>
      <c r="CK77" s="33"/>
      <c r="CL77" s="33">
        <f t="shared" si="1"/>
        <v>0</v>
      </c>
      <c r="CM77" s="33">
        <f>'Old Balance Sheet'!R77 + 'ACPL Calculations - 1.0'!S77 + 'ACPL Calculations - 2.0'!S77</f>
        <v>0</v>
      </c>
      <c r="CN77" s="33">
        <f>'Old Balance Sheet'!S77 + 'ACPL Calculations - 1.0'!T77 + 'ACPL Calculations - 2.0'!T77</f>
        <v>0</v>
      </c>
      <c r="CO77" s="33">
        <f t="shared" si="2"/>
        <v>0</v>
      </c>
      <c r="CP77" s="33">
        <f>'Old Balance Sheet'!T77 + 'ACPL Calculations - 1.0'!V77 + 'ACPL Calculations - 2.0'!V77</f>
        <v>0</v>
      </c>
      <c r="CQ77" s="33">
        <f>'Old Balance Sheet'!U77 + 'ACPL Calculations - 1.0'!W77 + 'ACPL Calculations - 2.0'!W77</f>
        <v>0</v>
      </c>
      <c r="CR77" s="33">
        <f>'Old Balance Sheet'!V77 + 'ACPL Calculations - 1.0'!X77 + 'ACPL Calculations - 2.0'!X77</f>
        <v>0</v>
      </c>
      <c r="CS77" s="33">
        <f t="shared" si="3"/>
        <v>0</v>
      </c>
      <c r="CT77" s="35"/>
      <c r="CU77" s="35"/>
      <c r="CV77" s="35"/>
      <c r="CW77" s="36">
        <f>'Old Balance Sheet'!W77 + 'ACPL Calculations - 1.0'!Z77 + 'ACPL Calculations - 2.0'!Z77</f>
        <v>0</v>
      </c>
      <c r="CX77" s="36">
        <f>'Old Balance Sheet'!X77 + 'ACPL Calculations - 1.0'!AA77 + 'ACPL Calculations - 2.0'!AA77</f>
        <v>0</v>
      </c>
      <c r="CY77" s="37">
        <v>0.0</v>
      </c>
      <c r="CZ77" s="38">
        <f>'Old Balance Sheet'!Y77 + 'ACPL Calculations - 1.0'!AB77 + 'ACPL Calculations - 2.0'!AB77</f>
        <v>0</v>
      </c>
      <c r="DA77" s="38">
        <f>'Old Balance Sheet'!Z77 + 'ACPL Calculations - 1.0'!AC77 + 'ACPL Calculations - 2.0'!AC77</f>
        <v>0</v>
      </c>
      <c r="DB77" s="38">
        <f>'Old Balance Sheet'!AA77 + 'ACPL Calculations - 1.0'!AD77 + 'ACPL Calculations - 2.0'!AD77</f>
        <v>0</v>
      </c>
      <c r="DC77" s="38">
        <f>'Old Balance Sheet'!AB77 + 'ACPL Calculations - 1.0'!AE77 + 'ACPL Calculations - 2.0'!AE77</f>
        <v>0</v>
      </c>
      <c r="DD77" s="38">
        <f t="shared" si="4"/>
        <v>0</v>
      </c>
      <c r="DE77" s="33">
        <f t="shared" si="5"/>
        <v>0</v>
      </c>
      <c r="DF77" s="35">
        <v>0.0</v>
      </c>
      <c r="DG77" s="35">
        <v>0.0</v>
      </c>
      <c r="DH77" s="35">
        <v>0.0</v>
      </c>
      <c r="DI77" s="35">
        <v>0.0</v>
      </c>
      <c r="DJ77" s="35">
        <v>0.0</v>
      </c>
      <c r="DK77" s="35">
        <v>0.0</v>
      </c>
      <c r="DL77" s="35">
        <v>0.0</v>
      </c>
      <c r="DM77" s="35">
        <v>0.0</v>
      </c>
      <c r="DN77" s="31">
        <v>0.0</v>
      </c>
      <c r="DO77" s="31">
        <v>0.0</v>
      </c>
      <c r="DP77" s="31">
        <v>0.0</v>
      </c>
      <c r="DQ77" s="31">
        <v>0.0</v>
      </c>
      <c r="DR77" s="31">
        <v>0.0</v>
      </c>
      <c r="DS77" s="31">
        <v>0.0</v>
      </c>
      <c r="DT77" s="31">
        <f>'Old Balance Sheet'!AC77</f>
        <v>0</v>
      </c>
      <c r="DU77" s="31">
        <f>DT77 + SUMIFS('Payments Log'!D:D, 'Payments Log'!B:B, A77, 'Payments Log'!L:L, "Approved", 'Payments Log'!M:M, "Credit") + 'Old Balance Sheet'!AD77 - 'Old Balance Sheet'!AC77</f>
        <v>0</v>
      </c>
      <c r="DV77" s="31">
        <f>SUMIFS('Payments Log'!D:D, 'Payments Log'!B:B, A77, 'Payments Log'!L:L, "Approved", 'Payments Log'!M:M, "Adjustment Credit") - SUMIFS('Payments Log'!D:D, 'Payments Log'!B:B, A77, 'Payments Log'!L:L, "Approved", 'Payments Log'!M:M, "Adjustment Debit") + 'Old Balance Sheet'!AE77</f>
        <v>0</v>
      </c>
      <c r="DW77" s="31">
        <f>IF(MAXIFS('Payments Log'!N:N, 'Payments Log'!L:L, "Approved", 'Payments Log'!M:M, "Credit", 'Payments Log'!B:B, A77) &gt; MAXIFS('Payments Log'!N:N, 'Payments Log'!L:L, "Approved", 'Payments Log'!M:M, "Virtual Credit", 'Payments Log'!B:B, A77), 0, SUMIFS('Payments Log'!D:D, 'Payments Log'!N:N, MAXIFS('Payments Log'!N:N, 'Payments Log'!L:L, "Approved", 'Payments Log'!M:M, "Virtual Credit", 'Payments Log'!B:B, A77)))</f>
        <v>0</v>
      </c>
      <c r="DX77" s="33">
        <f t="shared" si="6"/>
        <v>0</v>
      </c>
      <c r="DY77" s="33">
        <f t="shared" si="7"/>
        <v>0</v>
      </c>
      <c r="DZ77" s="33">
        <f t="shared" si="8"/>
        <v>0</v>
      </c>
      <c r="EA77" s="25" t="str">
        <f>(Sheet1!N77)</f>
        <v>Jaya Automobiles - Bhiwani</v>
      </c>
      <c r="EB77" s="25" t="str">
        <f>(Sheet1!O77)</f>
        <v>1fjdj_DWneQ6p5FeCIXPzszsySoRSx2_LgStCjca5XsY</v>
      </c>
      <c r="EC77" s="26" t="str">
        <f>(Sheet1!P77)</f>
        <v>Dealer</v>
      </c>
      <c r="ED77" s="34" t="s">
        <v>13</v>
      </c>
    </row>
    <row r="78">
      <c r="A78" s="25" t="str">
        <f>(Sheet1!A78)</f>
        <v>17IQU0-K8aHZCBdscVJssP97WqFoWmGSZpvE9qk-0w_g</v>
      </c>
      <c r="B78" s="25" t="str">
        <f>(Sheet1!B78)</f>
        <v>Shree Shyam Bajaj - Bhiwani</v>
      </c>
      <c r="C78" s="30" t="s">
        <v>13</v>
      </c>
      <c r="D78" s="30" t="s">
        <v>72</v>
      </c>
      <c r="E78" s="30" t="s">
        <v>3820</v>
      </c>
      <c r="F78" s="31">
        <v>205.0</v>
      </c>
      <c r="G78" s="32" t="s">
        <v>3818</v>
      </c>
      <c r="H78" s="31">
        <v>100.0</v>
      </c>
      <c r="I78" s="33">
        <f>'Old Balance Sheet'!A78 + 'ACPL Calculations - 1.0'!A78 + 'ACPL Calculations - 2.0'!A78</f>
        <v>0</v>
      </c>
      <c r="J78" s="30" t="s">
        <v>3820</v>
      </c>
      <c r="K78" s="31">
        <v>205.0</v>
      </c>
      <c r="L78" s="32" t="s">
        <v>3818</v>
      </c>
      <c r="M78" s="31">
        <v>100.0</v>
      </c>
      <c r="N78" s="33">
        <f>'Old Balance Sheet'!B78 + 'ACPL Calculations - 1.0'!B78 + 'ACPL Calculations - 2.0'!B78</f>
        <v>0</v>
      </c>
      <c r="O78" s="30" t="s">
        <v>3820</v>
      </c>
      <c r="P78" s="31">
        <v>290.0</v>
      </c>
      <c r="Q78" s="32" t="s">
        <v>3818</v>
      </c>
      <c r="R78" s="31">
        <v>100.0</v>
      </c>
      <c r="S78" s="33">
        <f>'Old Balance Sheet'!C78 + 'ACPL Calculations - 1.0'!C78 + 'ACPL Calculations - 2.0'!C78</f>
        <v>53</v>
      </c>
      <c r="T78" s="30" t="s">
        <v>3820</v>
      </c>
      <c r="U78" s="31">
        <v>375.0</v>
      </c>
      <c r="V78" s="32" t="s">
        <v>3818</v>
      </c>
      <c r="W78" s="31">
        <v>100.0</v>
      </c>
      <c r="X78" s="33">
        <f>'Old Balance Sheet'!D78 + 'ACPL Calculations - 1.0'!D78 + 'ACPL Calculations - 2.0'!D78</f>
        <v>0</v>
      </c>
      <c r="Y78" s="30" t="s">
        <v>3820</v>
      </c>
      <c r="Z78" s="31">
        <v>460.0</v>
      </c>
      <c r="AA78" s="32" t="s">
        <v>3818</v>
      </c>
      <c r="AB78" s="31">
        <v>100.0</v>
      </c>
      <c r="AC78" s="33">
        <f>'Old Balance Sheet'!E78 + 'ACPL Calculations - 1.0'!E78 + 'ACPL Calculations - 2.0'!E78</f>
        <v>0</v>
      </c>
      <c r="AD78" s="30" t="s">
        <v>3820</v>
      </c>
      <c r="AE78" s="34">
        <v>838.99</v>
      </c>
      <c r="AF78" s="32" t="s">
        <v>3818</v>
      </c>
      <c r="AG78" s="31">
        <v>100.0</v>
      </c>
      <c r="AH78" s="33">
        <f>'Old Balance Sheet'!F78 + 'ACPL Calculations - 1.0'!F78 + 'ACPL Calculations - 2.0'!F78</f>
        <v>0</v>
      </c>
      <c r="AI78" s="30" t="s">
        <v>3820</v>
      </c>
      <c r="AJ78" s="31">
        <v>375.0</v>
      </c>
      <c r="AK78" s="32" t="s">
        <v>3818</v>
      </c>
      <c r="AL78" s="31">
        <v>100.0</v>
      </c>
      <c r="AM78" s="33">
        <f>'Old Balance Sheet'!G78 + 'ACPL Calculations - 1.0'!G78 + 'ACPL Calculations - 2.0'!G78</f>
        <v>0</v>
      </c>
      <c r="AN78" s="30" t="s">
        <v>3820</v>
      </c>
      <c r="AO78" s="31">
        <v>290.0</v>
      </c>
      <c r="AP78" s="32" t="s">
        <v>3818</v>
      </c>
      <c r="AQ78" s="31">
        <v>100.0</v>
      </c>
      <c r="AR78" s="33">
        <f>'Old Balance Sheet'!H78 + 'ACPL Calculations - 1.0'!H78 + 'ACPL Calculations - 2.0'!H78</f>
        <v>0</v>
      </c>
      <c r="AS78" s="30" t="s">
        <v>3819</v>
      </c>
      <c r="AT78" s="31">
        <v>838.99</v>
      </c>
      <c r="AU78" s="32" t="s">
        <v>3818</v>
      </c>
      <c r="AV78" s="31">
        <v>100.0</v>
      </c>
      <c r="AW78" s="33">
        <f>'Old Balance Sheet'!I78 + 'ACPL Calculations - 1.0'!I78 + 'ACPL Calculations - 2.0'!I78</f>
        <v>0</v>
      </c>
      <c r="AX78" s="30" t="s">
        <v>3820</v>
      </c>
      <c r="AY78" s="31">
        <v>290.0</v>
      </c>
      <c r="AZ78" s="32" t="s">
        <v>3818</v>
      </c>
      <c r="BA78" s="31">
        <v>100.0</v>
      </c>
      <c r="BB78" s="33">
        <f>'Old Balance Sheet'!J78 + 'ACPL Calculations - 1.0'!J78 + 'ACPL Calculations - 2.0'!J78</f>
        <v>0</v>
      </c>
      <c r="BC78" s="30" t="s">
        <v>3820</v>
      </c>
      <c r="BD78" s="31">
        <v>205.0</v>
      </c>
      <c r="BE78" s="32" t="s">
        <v>3818</v>
      </c>
      <c r="BF78" s="31">
        <v>100.0</v>
      </c>
      <c r="BG78" s="33">
        <f>'Old Balance Sheet'!K78 + 'ACPL Calculations - 1.0'!K78 + 'ACPL Calculations - 2.0'!K78</f>
        <v>0</v>
      </c>
      <c r="BH78" s="30" t="s">
        <v>3820</v>
      </c>
      <c r="BI78" s="31">
        <v>205.0</v>
      </c>
      <c r="BJ78" s="32" t="s">
        <v>3818</v>
      </c>
      <c r="BK78" s="31">
        <v>100.0</v>
      </c>
      <c r="BL78" s="33">
        <f>'Old Balance Sheet'!L78 + 'ACPL Calculations - 1.0'!L78 + 'ACPL Calculations - 2.0'!L78</f>
        <v>0</v>
      </c>
      <c r="BM78" s="33"/>
      <c r="BN78" s="33"/>
      <c r="BO78" s="33"/>
      <c r="BP78" s="33"/>
      <c r="BQ78" s="33"/>
      <c r="BR78" s="33"/>
      <c r="BS78" s="33"/>
      <c r="BT78" s="33"/>
      <c r="BU78" s="33"/>
      <c r="BV78" s="33"/>
      <c r="BW78" s="33"/>
      <c r="BX78" s="33"/>
      <c r="BY78" s="33"/>
      <c r="BZ78" s="33"/>
      <c r="CA78" s="33"/>
      <c r="CB78" s="33"/>
      <c r="CC78" s="33"/>
      <c r="CD78" s="33"/>
      <c r="CE78" s="33"/>
      <c r="CF78" s="33"/>
      <c r="CG78" s="33"/>
      <c r="CH78" s="33"/>
      <c r="CI78" s="33"/>
      <c r="CJ78" s="33"/>
      <c r="CK78" s="33"/>
      <c r="CL78" s="33">
        <f t="shared" si="1"/>
        <v>53</v>
      </c>
      <c r="CM78" s="33">
        <f>'Old Balance Sheet'!R78 + 'ACPL Calculations - 1.0'!S78 + 'ACPL Calculations - 2.0'!S78</f>
        <v>36570</v>
      </c>
      <c r="CN78" s="33">
        <f>'Old Balance Sheet'!S78 + 'ACPL Calculations - 1.0'!T78 + 'ACPL Calculations - 2.0'!T78</f>
        <v>15370</v>
      </c>
      <c r="CO78" s="33">
        <f t="shared" si="2"/>
        <v>20948.78</v>
      </c>
      <c r="CP78" s="33">
        <f>'Old Balance Sheet'!T78 + 'ACPL Calculations - 1.0'!V78 + 'ACPL Calculations - 2.0'!V78</f>
        <v>2789.39</v>
      </c>
      <c r="CQ78" s="33">
        <f>'Old Balance Sheet'!U78 + 'ACPL Calculations - 1.0'!W78 + 'ACPL Calculations - 2.0'!W78</f>
        <v>2789.39</v>
      </c>
      <c r="CR78" s="33">
        <f>'Old Balance Sheet'!V78 + 'ACPL Calculations - 1.0'!X78 + 'ACPL Calculations - 2.0'!X78</f>
        <v>0</v>
      </c>
      <c r="CS78" s="33">
        <f t="shared" si="3"/>
        <v>5578.78</v>
      </c>
      <c r="CT78" s="35"/>
      <c r="CU78" s="35"/>
      <c r="CV78" s="35"/>
      <c r="CW78" s="36">
        <f>'Old Balance Sheet'!W78 + 'ACPL Calculations - 1.0'!Z78 + 'ACPL Calculations - 2.0'!Z78</f>
        <v>36570</v>
      </c>
      <c r="CX78" s="36">
        <f>'Old Balance Sheet'!X78 + 'ACPL Calculations - 1.0'!AA78 + 'ACPL Calculations - 2.0'!AA78</f>
        <v>21260.95</v>
      </c>
      <c r="CY78" s="37">
        <v>0.0</v>
      </c>
      <c r="CZ78" s="38">
        <f>'Old Balance Sheet'!Y78 + 'ACPL Calculations - 1.0'!AB78 + 'ACPL Calculations - 2.0'!AB78</f>
        <v>15309.05</v>
      </c>
      <c r="DA78" s="38">
        <f>'Old Balance Sheet'!Z78 + 'ACPL Calculations - 1.0'!AC78 + 'ACPL Calculations - 2.0'!AC78</f>
        <v>0</v>
      </c>
      <c r="DB78" s="38">
        <f>'Old Balance Sheet'!AA78 + 'ACPL Calculations - 1.0'!AD78 + 'ACPL Calculations - 2.0'!AD78</f>
        <v>312.17</v>
      </c>
      <c r="DC78" s="38">
        <f>'Old Balance Sheet'!AB78 + 'ACPL Calculations - 1.0'!AE78 + 'ACPL Calculations - 2.0'!AE78</f>
        <v>15309.05</v>
      </c>
      <c r="DD78" s="38">
        <f t="shared" si="4"/>
        <v>15309.05</v>
      </c>
      <c r="DE78" s="33">
        <f t="shared" si="5"/>
        <v>15309.05</v>
      </c>
      <c r="DF78" s="35">
        <v>0.0</v>
      </c>
      <c r="DG78" s="35">
        <v>0.0</v>
      </c>
      <c r="DH78" s="35">
        <v>0.0</v>
      </c>
      <c r="DI78" s="35">
        <v>0.0</v>
      </c>
      <c r="DJ78" s="35">
        <v>0.0</v>
      </c>
      <c r="DK78" s="35">
        <v>0.0</v>
      </c>
      <c r="DL78" s="35">
        <v>0.0</v>
      </c>
      <c r="DM78" s="35">
        <v>0.0</v>
      </c>
      <c r="DN78" s="31">
        <v>0.0</v>
      </c>
      <c r="DO78" s="31">
        <v>0.0</v>
      </c>
      <c r="DP78" s="31">
        <v>0.0</v>
      </c>
      <c r="DQ78" s="31">
        <v>0.0</v>
      </c>
      <c r="DR78" s="31">
        <v>0.0</v>
      </c>
      <c r="DS78" s="31">
        <v>0.0</v>
      </c>
      <c r="DT78" s="31">
        <f>'Old Balance Sheet'!AC78</f>
        <v>-22620</v>
      </c>
      <c r="DU78" s="31">
        <f>DT78 + SUMIFS('Payments Log'!D:D, 'Payments Log'!B:B, A78, 'Payments Log'!L:L, "Approved", 'Payments Log'!M:M, "Credit") + 'Old Balance Sheet'!AD78 - 'Old Balance Sheet'!AC78</f>
        <v>36580</v>
      </c>
      <c r="DV78" s="31">
        <f>SUMIFS('Payments Log'!D:D, 'Payments Log'!B:B, A78, 'Payments Log'!L:L, "Approved", 'Payments Log'!M:M, "Adjustment Credit") - SUMIFS('Payments Log'!D:D, 'Payments Log'!B:B, A78, 'Payments Log'!L:L, "Approved", 'Payments Log'!M:M, "Adjustment Debit") + 'Old Balance Sheet'!AE78</f>
        <v>0</v>
      </c>
      <c r="DW78" s="31">
        <f>IF(MAXIFS('Payments Log'!N:N, 'Payments Log'!L:L, "Approved", 'Payments Log'!M:M, "Credit", 'Payments Log'!B:B, A78) &gt; MAXIFS('Payments Log'!N:N, 'Payments Log'!L:L, "Approved", 'Payments Log'!M:M, "Virtual Credit", 'Payments Log'!B:B, A78), 0, SUMIFS('Payments Log'!D:D, 'Payments Log'!N:N, MAXIFS('Payments Log'!N:N, 'Payments Log'!L:L, "Approved", 'Payments Log'!M:M, "Virtual Credit", 'Payments Log'!B:B, A78)))</f>
        <v>0</v>
      </c>
      <c r="DX78" s="33">
        <f t="shared" si="6"/>
        <v>10</v>
      </c>
      <c r="DY78" s="33">
        <f t="shared" si="7"/>
        <v>15319.05</v>
      </c>
      <c r="DZ78" s="33">
        <f t="shared" si="8"/>
        <v>15319.05</v>
      </c>
      <c r="EA78" s="25" t="str">
        <f>(Sheet1!N78)</f>
        <v>Shree Shyam Bajaj - Bhiwani</v>
      </c>
      <c r="EB78" s="25" t="str">
        <f>(Sheet1!O78)</f>
        <v>17IQU0-K8aHZCBdscVJssP97WqFoWmGSZpvE9qk-0w_g</v>
      </c>
      <c r="EC78" s="26" t="str">
        <f>(Sheet1!P78)</f>
        <v>Dealer</v>
      </c>
      <c r="ED78" s="34" t="s">
        <v>13</v>
      </c>
    </row>
    <row r="79">
      <c r="A79" s="25" t="str">
        <f>(Sheet1!A79)</f>
        <v>1pI_tDns4A7jbcl0nEvEO_u0FclM2PyV1AT-2Q2Dx2Jo</v>
      </c>
      <c r="B79" s="25" t="str">
        <f>(Sheet1!B79)</f>
        <v>Chaudhary Automobiles - Hisar</v>
      </c>
      <c r="C79" s="30" t="s">
        <v>13</v>
      </c>
      <c r="D79" s="30" t="s">
        <v>72</v>
      </c>
      <c r="E79" s="30" t="s">
        <v>3817</v>
      </c>
      <c r="F79" s="31">
        <v>205.0</v>
      </c>
      <c r="G79" s="32" t="s">
        <v>3818</v>
      </c>
      <c r="H79" s="31">
        <v>100.0</v>
      </c>
      <c r="I79" s="33">
        <f>'Old Balance Sheet'!A79 + 'ACPL Calculations - 1.0'!A79 + 'ACPL Calculations - 2.0'!A79</f>
        <v>0</v>
      </c>
      <c r="J79" s="30" t="s">
        <v>3817</v>
      </c>
      <c r="K79" s="31">
        <v>205.0</v>
      </c>
      <c r="L79" s="32" t="s">
        <v>3818</v>
      </c>
      <c r="M79" s="31">
        <v>100.0</v>
      </c>
      <c r="N79" s="33">
        <f>'Old Balance Sheet'!B79 + 'ACPL Calculations - 1.0'!B79 + 'ACPL Calculations - 2.0'!B79</f>
        <v>0</v>
      </c>
      <c r="O79" s="30" t="s">
        <v>3817</v>
      </c>
      <c r="P79" s="31">
        <v>290.0</v>
      </c>
      <c r="Q79" s="32" t="s">
        <v>3818</v>
      </c>
      <c r="R79" s="31">
        <v>100.0</v>
      </c>
      <c r="S79" s="33">
        <f>'Old Balance Sheet'!C79 + 'ACPL Calculations - 1.0'!C79 + 'ACPL Calculations - 2.0'!C79</f>
        <v>0</v>
      </c>
      <c r="T79" s="30" t="s">
        <v>3817</v>
      </c>
      <c r="U79" s="31">
        <v>375.0</v>
      </c>
      <c r="V79" s="32" t="s">
        <v>3818</v>
      </c>
      <c r="W79" s="31">
        <v>100.0</v>
      </c>
      <c r="X79" s="33">
        <f>'Old Balance Sheet'!D79 + 'ACPL Calculations - 1.0'!D79 + 'ACPL Calculations - 2.0'!D79</f>
        <v>0</v>
      </c>
      <c r="Y79" s="30" t="s">
        <v>3817</v>
      </c>
      <c r="Z79" s="31">
        <v>460.0</v>
      </c>
      <c r="AA79" s="32" t="s">
        <v>3818</v>
      </c>
      <c r="AB79" s="31">
        <v>100.0</v>
      </c>
      <c r="AC79" s="33">
        <f>'Old Balance Sheet'!E79 + 'ACPL Calculations - 1.0'!E79 + 'ACPL Calculations - 2.0'!E79</f>
        <v>0</v>
      </c>
      <c r="AD79" s="30" t="s">
        <v>3817</v>
      </c>
      <c r="AE79" s="34">
        <v>838.99</v>
      </c>
      <c r="AF79" s="32" t="s">
        <v>3818</v>
      </c>
      <c r="AG79" s="31">
        <v>100.0</v>
      </c>
      <c r="AH79" s="33">
        <f>'Old Balance Sheet'!F79 + 'ACPL Calculations - 1.0'!F79 + 'ACPL Calculations - 2.0'!F79</f>
        <v>0</v>
      </c>
      <c r="AI79" s="30" t="s">
        <v>3817</v>
      </c>
      <c r="AJ79" s="31">
        <v>375.0</v>
      </c>
      <c r="AK79" s="32" t="s">
        <v>3818</v>
      </c>
      <c r="AL79" s="31">
        <v>100.0</v>
      </c>
      <c r="AM79" s="33">
        <f>'Old Balance Sheet'!G79 + 'ACPL Calculations - 1.0'!G79 + 'ACPL Calculations - 2.0'!G79</f>
        <v>0</v>
      </c>
      <c r="AN79" s="30" t="s">
        <v>3817</v>
      </c>
      <c r="AO79" s="31">
        <v>290.0</v>
      </c>
      <c r="AP79" s="32" t="s">
        <v>3818</v>
      </c>
      <c r="AQ79" s="31">
        <v>100.0</v>
      </c>
      <c r="AR79" s="33">
        <f>'Old Balance Sheet'!H79 + 'ACPL Calculations - 1.0'!H79 + 'ACPL Calculations - 2.0'!H79</f>
        <v>0</v>
      </c>
      <c r="AS79" s="30" t="s">
        <v>3819</v>
      </c>
      <c r="AT79" s="31">
        <v>838.99</v>
      </c>
      <c r="AU79" s="32" t="s">
        <v>3818</v>
      </c>
      <c r="AV79" s="31">
        <v>100.0</v>
      </c>
      <c r="AW79" s="33">
        <f>'Old Balance Sheet'!I79 + 'ACPL Calculations - 1.0'!I79 + 'ACPL Calculations - 2.0'!I79</f>
        <v>0</v>
      </c>
      <c r="AX79" s="30" t="s">
        <v>3817</v>
      </c>
      <c r="AY79" s="31">
        <v>290.0</v>
      </c>
      <c r="AZ79" s="32" t="s">
        <v>3818</v>
      </c>
      <c r="BA79" s="31">
        <v>100.0</v>
      </c>
      <c r="BB79" s="33">
        <f>'Old Balance Sheet'!J79 + 'ACPL Calculations - 1.0'!J79 + 'ACPL Calculations - 2.0'!J79</f>
        <v>0</v>
      </c>
      <c r="BC79" s="30" t="s">
        <v>3817</v>
      </c>
      <c r="BD79" s="31">
        <v>205.0</v>
      </c>
      <c r="BE79" s="32" t="s">
        <v>3818</v>
      </c>
      <c r="BF79" s="31">
        <v>100.0</v>
      </c>
      <c r="BG79" s="33">
        <f>'Old Balance Sheet'!K79 + 'ACPL Calculations - 1.0'!K79 + 'ACPL Calculations - 2.0'!K79</f>
        <v>0</v>
      </c>
      <c r="BH79" s="30" t="s">
        <v>3817</v>
      </c>
      <c r="BI79" s="31">
        <v>205.0</v>
      </c>
      <c r="BJ79" s="32" t="s">
        <v>3818</v>
      </c>
      <c r="BK79" s="31">
        <v>100.0</v>
      </c>
      <c r="BL79" s="33">
        <f>'Old Balance Sheet'!L79 + 'ACPL Calculations - 1.0'!L79 + 'ACPL Calculations - 2.0'!L79</f>
        <v>0</v>
      </c>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f t="shared" si="1"/>
        <v>0</v>
      </c>
      <c r="CM79" s="33">
        <f>'Old Balance Sheet'!R79 + 'ACPL Calculations - 1.0'!S79 + 'ACPL Calculations - 2.0'!S79</f>
        <v>0</v>
      </c>
      <c r="CN79" s="33">
        <f>'Old Balance Sheet'!S79 + 'ACPL Calculations - 1.0'!T79 + 'ACPL Calculations - 2.0'!T79</f>
        <v>0</v>
      </c>
      <c r="CO79" s="33">
        <f t="shared" si="2"/>
        <v>0</v>
      </c>
      <c r="CP79" s="33">
        <f>'Old Balance Sheet'!T79 + 'ACPL Calculations - 1.0'!V79 + 'ACPL Calculations - 2.0'!V79</f>
        <v>0</v>
      </c>
      <c r="CQ79" s="33">
        <f>'Old Balance Sheet'!U79 + 'ACPL Calculations - 1.0'!W79 + 'ACPL Calculations - 2.0'!W79</f>
        <v>0</v>
      </c>
      <c r="CR79" s="33">
        <f>'Old Balance Sheet'!V79 + 'ACPL Calculations - 1.0'!X79 + 'ACPL Calculations - 2.0'!X79</f>
        <v>0</v>
      </c>
      <c r="CS79" s="33">
        <f t="shared" si="3"/>
        <v>0</v>
      </c>
      <c r="CT79" s="35"/>
      <c r="CU79" s="35"/>
      <c r="CV79" s="35"/>
      <c r="CW79" s="36">
        <f>'Old Balance Sheet'!W79 + 'ACPL Calculations - 1.0'!Z79 + 'ACPL Calculations - 2.0'!Z79</f>
        <v>0</v>
      </c>
      <c r="CX79" s="36">
        <f>'Old Balance Sheet'!X79 + 'ACPL Calculations - 1.0'!AA79 + 'ACPL Calculations - 2.0'!AA79</f>
        <v>0</v>
      </c>
      <c r="CY79" s="37">
        <v>0.0</v>
      </c>
      <c r="CZ79" s="38">
        <f>'Old Balance Sheet'!Y79 + 'ACPL Calculations - 1.0'!AB79 + 'ACPL Calculations - 2.0'!AB79</f>
        <v>0</v>
      </c>
      <c r="DA79" s="38">
        <f>'Old Balance Sheet'!Z79 + 'ACPL Calculations - 1.0'!AC79 + 'ACPL Calculations - 2.0'!AC79</f>
        <v>0</v>
      </c>
      <c r="DB79" s="38">
        <f>'Old Balance Sheet'!AA79 + 'ACPL Calculations - 1.0'!AD79 + 'ACPL Calculations - 2.0'!AD79</f>
        <v>0</v>
      </c>
      <c r="DC79" s="38">
        <f>'Old Balance Sheet'!AB79 + 'ACPL Calculations - 1.0'!AE79 + 'ACPL Calculations - 2.0'!AE79</f>
        <v>0</v>
      </c>
      <c r="DD79" s="38">
        <f t="shared" si="4"/>
        <v>0</v>
      </c>
      <c r="DE79" s="33">
        <f t="shared" si="5"/>
        <v>0</v>
      </c>
      <c r="DF79" s="35">
        <v>0.0</v>
      </c>
      <c r="DG79" s="35">
        <v>0.0</v>
      </c>
      <c r="DH79" s="35">
        <v>0.0</v>
      </c>
      <c r="DI79" s="35">
        <v>0.0</v>
      </c>
      <c r="DJ79" s="35">
        <v>0.0</v>
      </c>
      <c r="DK79" s="35">
        <v>0.0</v>
      </c>
      <c r="DL79" s="35">
        <v>0.0</v>
      </c>
      <c r="DM79" s="35">
        <v>0.0</v>
      </c>
      <c r="DN79" s="31">
        <v>0.0</v>
      </c>
      <c r="DO79" s="31">
        <v>0.0</v>
      </c>
      <c r="DP79" s="31">
        <v>0.0</v>
      </c>
      <c r="DQ79" s="31">
        <v>0.0</v>
      </c>
      <c r="DR79" s="31">
        <v>0.0</v>
      </c>
      <c r="DS79" s="31">
        <v>0.0</v>
      </c>
      <c r="DT79" s="31">
        <f>'Old Balance Sheet'!AC79</f>
        <v>-160231</v>
      </c>
      <c r="DU79" s="31">
        <f>DT79 + SUMIFS('Payments Log'!D:D, 'Payments Log'!B:B, A79, 'Payments Log'!L:L, "Approved", 'Payments Log'!M:M, "Credit") + 'Old Balance Sheet'!AD79 - 'Old Balance Sheet'!AC79</f>
        <v>0</v>
      </c>
      <c r="DV79" s="31">
        <f>SUMIFS('Payments Log'!D:D, 'Payments Log'!B:B, A79, 'Payments Log'!L:L, "Approved", 'Payments Log'!M:M, "Adjustment Credit") - SUMIFS('Payments Log'!D:D, 'Payments Log'!B:B, A79, 'Payments Log'!L:L, "Approved", 'Payments Log'!M:M, "Adjustment Debit") + 'Old Balance Sheet'!AE79</f>
        <v>0</v>
      </c>
      <c r="DW79" s="31">
        <f>IF(MAXIFS('Payments Log'!N:N, 'Payments Log'!L:L, "Approved", 'Payments Log'!M:M, "Credit", 'Payments Log'!B:B, A79) &gt; MAXIFS('Payments Log'!N:N, 'Payments Log'!L:L, "Approved", 'Payments Log'!M:M, "Virtual Credit", 'Payments Log'!B:B, A79), 0, SUMIFS('Payments Log'!D:D, 'Payments Log'!N:N, MAXIFS('Payments Log'!N:N, 'Payments Log'!L:L, "Approved", 'Payments Log'!M:M, "Virtual Credit", 'Payments Log'!B:B, A79)))</f>
        <v>0</v>
      </c>
      <c r="DX79" s="33">
        <f t="shared" si="6"/>
        <v>0</v>
      </c>
      <c r="DY79" s="33">
        <f t="shared" si="7"/>
        <v>0</v>
      </c>
      <c r="DZ79" s="33">
        <f t="shared" si="8"/>
        <v>0</v>
      </c>
      <c r="EA79" s="25" t="str">
        <f>(Sheet1!N79)</f>
        <v>Chaudhary Automobiles - Hisar</v>
      </c>
      <c r="EB79" s="25" t="str">
        <f>(Sheet1!O79)</f>
        <v>1pI_tDns4A7jbcl0nEvEO_u0FclM2PyV1AT-2Q2Dx2Jo</v>
      </c>
      <c r="EC79" s="26" t="str">
        <f>(Sheet1!P79)</f>
        <v>Dealer</v>
      </c>
      <c r="ED79" s="34" t="s">
        <v>13</v>
      </c>
    </row>
    <row r="80">
      <c r="A80" s="25" t="str">
        <f>(Sheet1!A80)</f>
        <v>1hR0JpXiceB7xWAHLNEwMyaE9wlUgF4ljP0RD80dtSd0</v>
      </c>
      <c r="B80" s="25" t="str">
        <f>(Sheet1!B80)</f>
        <v>Krishna Enterprise - Gohana</v>
      </c>
      <c r="C80" s="30" t="s">
        <v>13</v>
      </c>
      <c r="D80" s="30" t="s">
        <v>72</v>
      </c>
      <c r="E80" s="30" t="s">
        <v>3820</v>
      </c>
      <c r="F80" s="31">
        <v>205.0</v>
      </c>
      <c r="G80" s="32" t="s">
        <v>3818</v>
      </c>
      <c r="H80" s="31">
        <v>100.0</v>
      </c>
      <c r="I80" s="33">
        <f>'Old Balance Sheet'!A80 + 'ACPL Calculations - 1.0'!A80 + 'ACPL Calculations - 2.0'!A80</f>
        <v>0</v>
      </c>
      <c r="J80" s="30" t="s">
        <v>3820</v>
      </c>
      <c r="K80" s="31">
        <v>205.0</v>
      </c>
      <c r="L80" s="32" t="s">
        <v>3818</v>
      </c>
      <c r="M80" s="31">
        <v>100.0</v>
      </c>
      <c r="N80" s="33">
        <f>'Old Balance Sheet'!B80 + 'ACPL Calculations - 1.0'!B80 + 'ACPL Calculations - 2.0'!B80</f>
        <v>0</v>
      </c>
      <c r="O80" s="30" t="s">
        <v>3820</v>
      </c>
      <c r="P80" s="31">
        <v>290.0</v>
      </c>
      <c r="Q80" s="32" t="s">
        <v>3818</v>
      </c>
      <c r="R80" s="31">
        <v>100.0</v>
      </c>
      <c r="S80" s="33">
        <f>'Old Balance Sheet'!C80 + 'ACPL Calculations - 1.0'!C80 + 'ACPL Calculations - 2.0'!C80</f>
        <v>0</v>
      </c>
      <c r="T80" s="30" t="s">
        <v>3820</v>
      </c>
      <c r="U80" s="31">
        <v>375.0</v>
      </c>
      <c r="V80" s="32" t="s">
        <v>3818</v>
      </c>
      <c r="W80" s="31">
        <v>100.0</v>
      </c>
      <c r="X80" s="33">
        <f>'Old Balance Sheet'!D80 + 'ACPL Calculations - 1.0'!D80 + 'ACPL Calculations - 2.0'!D80</f>
        <v>0</v>
      </c>
      <c r="Y80" s="30" t="s">
        <v>3820</v>
      </c>
      <c r="Z80" s="31">
        <v>460.0</v>
      </c>
      <c r="AA80" s="32" t="s">
        <v>3818</v>
      </c>
      <c r="AB80" s="31">
        <v>100.0</v>
      </c>
      <c r="AC80" s="33">
        <f>'Old Balance Sheet'!E80 + 'ACPL Calculations - 1.0'!E80 + 'ACPL Calculations - 2.0'!E80</f>
        <v>0</v>
      </c>
      <c r="AD80" s="30" t="s">
        <v>3820</v>
      </c>
      <c r="AE80" s="34">
        <v>838.99</v>
      </c>
      <c r="AF80" s="32" t="s">
        <v>3818</v>
      </c>
      <c r="AG80" s="31">
        <v>100.0</v>
      </c>
      <c r="AH80" s="33">
        <f>'Old Balance Sheet'!F80 + 'ACPL Calculations - 1.0'!F80 + 'ACPL Calculations - 2.0'!F80</f>
        <v>0</v>
      </c>
      <c r="AI80" s="30" t="s">
        <v>3820</v>
      </c>
      <c r="AJ80" s="31">
        <v>375.0</v>
      </c>
      <c r="AK80" s="32" t="s">
        <v>3818</v>
      </c>
      <c r="AL80" s="31">
        <v>100.0</v>
      </c>
      <c r="AM80" s="33">
        <f>'Old Balance Sheet'!G80 + 'ACPL Calculations - 1.0'!G80 + 'ACPL Calculations - 2.0'!G80</f>
        <v>0</v>
      </c>
      <c r="AN80" s="30" t="s">
        <v>3820</v>
      </c>
      <c r="AO80" s="31">
        <v>290.0</v>
      </c>
      <c r="AP80" s="32" t="s">
        <v>3818</v>
      </c>
      <c r="AQ80" s="31">
        <v>100.0</v>
      </c>
      <c r="AR80" s="33">
        <f>'Old Balance Sheet'!H80 + 'ACPL Calculations - 1.0'!H80 + 'ACPL Calculations - 2.0'!H80</f>
        <v>0</v>
      </c>
      <c r="AS80" s="30" t="s">
        <v>3819</v>
      </c>
      <c r="AT80" s="31">
        <v>838.99</v>
      </c>
      <c r="AU80" s="32" t="s">
        <v>3818</v>
      </c>
      <c r="AV80" s="31">
        <v>100.0</v>
      </c>
      <c r="AW80" s="33">
        <f>'Old Balance Sheet'!I80 + 'ACPL Calculations - 1.0'!I80 + 'ACPL Calculations - 2.0'!I80</f>
        <v>0</v>
      </c>
      <c r="AX80" s="30" t="s">
        <v>3820</v>
      </c>
      <c r="AY80" s="31">
        <v>290.0</v>
      </c>
      <c r="AZ80" s="32" t="s">
        <v>3818</v>
      </c>
      <c r="BA80" s="31">
        <v>100.0</v>
      </c>
      <c r="BB80" s="33">
        <f>'Old Balance Sheet'!J80 + 'ACPL Calculations - 1.0'!J80 + 'ACPL Calculations - 2.0'!J80</f>
        <v>0</v>
      </c>
      <c r="BC80" s="30" t="s">
        <v>3820</v>
      </c>
      <c r="BD80" s="31">
        <v>205.0</v>
      </c>
      <c r="BE80" s="32" t="s">
        <v>3818</v>
      </c>
      <c r="BF80" s="31">
        <v>100.0</v>
      </c>
      <c r="BG80" s="33">
        <f>'Old Balance Sheet'!K80 + 'ACPL Calculations - 1.0'!K80 + 'ACPL Calculations - 2.0'!K80</f>
        <v>0</v>
      </c>
      <c r="BH80" s="30" t="s">
        <v>3820</v>
      </c>
      <c r="BI80" s="31">
        <v>205.0</v>
      </c>
      <c r="BJ80" s="32" t="s">
        <v>3818</v>
      </c>
      <c r="BK80" s="31">
        <v>100.0</v>
      </c>
      <c r="BL80" s="33">
        <f>'Old Balance Sheet'!L80 + 'ACPL Calculations - 1.0'!L80 + 'ACPL Calculations - 2.0'!L80</f>
        <v>0</v>
      </c>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f t="shared" si="1"/>
        <v>0</v>
      </c>
      <c r="CM80" s="33">
        <f>'Old Balance Sheet'!R80 + 'ACPL Calculations - 1.0'!S80 + 'ACPL Calculations - 2.0'!S80</f>
        <v>0</v>
      </c>
      <c r="CN80" s="33">
        <f>'Old Balance Sheet'!S80 + 'ACPL Calculations - 1.0'!T80 + 'ACPL Calculations - 2.0'!T80</f>
        <v>0</v>
      </c>
      <c r="CO80" s="33">
        <f t="shared" si="2"/>
        <v>0</v>
      </c>
      <c r="CP80" s="33">
        <f>'Old Balance Sheet'!T80 + 'ACPL Calculations - 1.0'!V80 + 'ACPL Calculations - 2.0'!V80</f>
        <v>0</v>
      </c>
      <c r="CQ80" s="33">
        <f>'Old Balance Sheet'!U80 + 'ACPL Calculations - 1.0'!W80 + 'ACPL Calculations - 2.0'!W80</f>
        <v>0</v>
      </c>
      <c r="CR80" s="33">
        <f>'Old Balance Sheet'!V80 + 'ACPL Calculations - 1.0'!X80 + 'ACPL Calculations - 2.0'!X80</f>
        <v>0</v>
      </c>
      <c r="CS80" s="33">
        <f t="shared" si="3"/>
        <v>0</v>
      </c>
      <c r="CT80" s="35"/>
      <c r="CU80" s="35"/>
      <c r="CV80" s="35"/>
      <c r="CW80" s="36">
        <f>'Old Balance Sheet'!W80 + 'ACPL Calculations - 1.0'!Z80 + 'ACPL Calculations - 2.0'!Z80</f>
        <v>0</v>
      </c>
      <c r="CX80" s="36">
        <f>'Old Balance Sheet'!X80 + 'ACPL Calculations - 1.0'!AA80 + 'ACPL Calculations - 2.0'!AA80</f>
        <v>0</v>
      </c>
      <c r="CY80" s="37">
        <v>0.0</v>
      </c>
      <c r="CZ80" s="38">
        <f>'Old Balance Sheet'!Y80 + 'ACPL Calculations - 1.0'!AB80 + 'ACPL Calculations - 2.0'!AB80</f>
        <v>0</v>
      </c>
      <c r="DA80" s="38">
        <f>'Old Balance Sheet'!Z80 + 'ACPL Calculations - 1.0'!AC80 + 'ACPL Calculations - 2.0'!AC80</f>
        <v>0</v>
      </c>
      <c r="DB80" s="38">
        <f>'Old Balance Sheet'!AA80 + 'ACPL Calculations - 1.0'!AD80 + 'ACPL Calculations - 2.0'!AD80</f>
        <v>0</v>
      </c>
      <c r="DC80" s="38">
        <f>'Old Balance Sheet'!AB80 + 'ACPL Calculations - 1.0'!AE80 + 'ACPL Calculations - 2.0'!AE80</f>
        <v>0</v>
      </c>
      <c r="DD80" s="38">
        <f t="shared" si="4"/>
        <v>0</v>
      </c>
      <c r="DE80" s="33">
        <f t="shared" si="5"/>
        <v>0</v>
      </c>
      <c r="DF80" s="35">
        <v>0.0</v>
      </c>
      <c r="DG80" s="35">
        <v>0.0</v>
      </c>
      <c r="DH80" s="35">
        <v>0.0</v>
      </c>
      <c r="DI80" s="35">
        <v>0.0</v>
      </c>
      <c r="DJ80" s="35">
        <v>0.0</v>
      </c>
      <c r="DK80" s="35">
        <v>0.0</v>
      </c>
      <c r="DL80" s="35">
        <v>0.0</v>
      </c>
      <c r="DM80" s="35">
        <v>0.0</v>
      </c>
      <c r="DN80" s="31">
        <v>0.0</v>
      </c>
      <c r="DO80" s="31">
        <v>0.0</v>
      </c>
      <c r="DP80" s="31">
        <v>0.0</v>
      </c>
      <c r="DQ80" s="31">
        <v>0.0</v>
      </c>
      <c r="DR80" s="31">
        <v>0.0</v>
      </c>
      <c r="DS80" s="31">
        <v>0.0</v>
      </c>
      <c r="DT80" s="31">
        <f>'Old Balance Sheet'!AC80</f>
        <v>-4410</v>
      </c>
      <c r="DU80" s="31">
        <f>DT80 + SUMIFS('Payments Log'!D:D, 'Payments Log'!B:B, A80, 'Payments Log'!L:L, "Approved", 'Payments Log'!M:M, "Credit") + 'Old Balance Sheet'!AD80 - 'Old Balance Sheet'!AC80</f>
        <v>0</v>
      </c>
      <c r="DV80" s="31">
        <f>SUMIFS('Payments Log'!D:D, 'Payments Log'!B:B, A80, 'Payments Log'!L:L, "Approved", 'Payments Log'!M:M, "Adjustment Credit") - SUMIFS('Payments Log'!D:D, 'Payments Log'!B:B, A80, 'Payments Log'!L:L, "Approved", 'Payments Log'!M:M, "Adjustment Debit") + 'Old Balance Sheet'!AE80</f>
        <v>0</v>
      </c>
      <c r="DW80" s="31">
        <f>IF(MAXIFS('Payments Log'!N:N, 'Payments Log'!L:L, "Approved", 'Payments Log'!M:M, "Credit", 'Payments Log'!B:B, A80) &gt; MAXIFS('Payments Log'!N:N, 'Payments Log'!L:L, "Approved", 'Payments Log'!M:M, "Virtual Credit", 'Payments Log'!B:B, A80), 0, SUMIFS('Payments Log'!D:D, 'Payments Log'!N:N, MAXIFS('Payments Log'!N:N, 'Payments Log'!L:L, "Approved", 'Payments Log'!M:M, "Virtual Credit", 'Payments Log'!B:B, A80)))</f>
        <v>0</v>
      </c>
      <c r="DX80" s="33">
        <f t="shared" si="6"/>
        <v>0</v>
      </c>
      <c r="DY80" s="33">
        <f t="shared" si="7"/>
        <v>0</v>
      </c>
      <c r="DZ80" s="33">
        <f t="shared" si="8"/>
        <v>0</v>
      </c>
      <c r="EA80" s="25" t="str">
        <f>(Sheet1!N80)</f>
        <v>Krishna Enterprise - Gohana</v>
      </c>
      <c r="EB80" s="25" t="str">
        <f>(Sheet1!O80)</f>
        <v>1hR0JpXiceB7xWAHLNEwMyaE9wlUgF4ljP0RD80dtSd0</v>
      </c>
      <c r="EC80" s="26" t="str">
        <f>(Sheet1!P80)</f>
        <v>Dealer</v>
      </c>
      <c r="ED80" s="34" t="s">
        <v>13</v>
      </c>
    </row>
    <row r="81">
      <c r="A81" s="25" t="str">
        <f>(Sheet1!A81)</f>
        <v>1T--GiX2IFe0RYo58Hf-j_i7C4y0B-AEmeo-kncwUWcg</v>
      </c>
      <c r="B81" s="25" t="str">
        <f>(Sheet1!B81)</f>
        <v>Vikrant Automobiles (CAH)</v>
      </c>
      <c r="C81" s="30" t="s">
        <v>13</v>
      </c>
      <c r="D81" s="30" t="s">
        <v>72</v>
      </c>
      <c r="E81" s="30" t="s">
        <v>3817</v>
      </c>
      <c r="F81" s="31">
        <v>205.0</v>
      </c>
      <c r="G81" s="32" t="s">
        <v>3818</v>
      </c>
      <c r="H81" s="31">
        <v>100.0</v>
      </c>
      <c r="I81" s="33">
        <f>'Old Balance Sheet'!A81 + 'ACPL Calculations - 1.0'!A81 + 'ACPL Calculations - 2.0'!A81</f>
        <v>0</v>
      </c>
      <c r="J81" s="30" t="s">
        <v>3817</v>
      </c>
      <c r="K81" s="31">
        <v>205.0</v>
      </c>
      <c r="L81" s="32" t="s">
        <v>3818</v>
      </c>
      <c r="M81" s="31">
        <v>100.0</v>
      </c>
      <c r="N81" s="33">
        <f>'Old Balance Sheet'!B81 + 'ACPL Calculations - 1.0'!B81 + 'ACPL Calculations - 2.0'!B81</f>
        <v>0</v>
      </c>
      <c r="O81" s="30" t="s">
        <v>3817</v>
      </c>
      <c r="P81" s="31">
        <v>290.0</v>
      </c>
      <c r="Q81" s="32" t="s">
        <v>3818</v>
      </c>
      <c r="R81" s="31">
        <v>100.0</v>
      </c>
      <c r="S81" s="33">
        <f>'Old Balance Sheet'!C81 + 'ACPL Calculations - 1.0'!C81 + 'ACPL Calculations - 2.0'!C81</f>
        <v>0</v>
      </c>
      <c r="T81" s="30" t="s">
        <v>3817</v>
      </c>
      <c r="U81" s="31">
        <v>375.0</v>
      </c>
      <c r="V81" s="32" t="s">
        <v>3818</v>
      </c>
      <c r="W81" s="31">
        <v>100.0</v>
      </c>
      <c r="X81" s="33">
        <f>'Old Balance Sheet'!D81 + 'ACPL Calculations - 1.0'!D81 + 'ACPL Calculations - 2.0'!D81</f>
        <v>0</v>
      </c>
      <c r="Y81" s="30" t="s">
        <v>3817</v>
      </c>
      <c r="Z81" s="31">
        <v>460.0</v>
      </c>
      <c r="AA81" s="32" t="s">
        <v>3818</v>
      </c>
      <c r="AB81" s="31">
        <v>100.0</v>
      </c>
      <c r="AC81" s="33">
        <f>'Old Balance Sheet'!E81 + 'ACPL Calculations - 1.0'!E81 + 'ACPL Calculations - 2.0'!E81</f>
        <v>0</v>
      </c>
      <c r="AD81" s="30" t="s">
        <v>3817</v>
      </c>
      <c r="AE81" s="34">
        <v>838.99</v>
      </c>
      <c r="AF81" s="32" t="s">
        <v>3818</v>
      </c>
      <c r="AG81" s="31">
        <v>100.0</v>
      </c>
      <c r="AH81" s="33">
        <f>'Old Balance Sheet'!F81 + 'ACPL Calculations - 1.0'!F81 + 'ACPL Calculations - 2.0'!F81</f>
        <v>0</v>
      </c>
      <c r="AI81" s="30" t="s">
        <v>3817</v>
      </c>
      <c r="AJ81" s="31">
        <v>375.0</v>
      </c>
      <c r="AK81" s="32" t="s">
        <v>3818</v>
      </c>
      <c r="AL81" s="31">
        <v>100.0</v>
      </c>
      <c r="AM81" s="33">
        <f>'Old Balance Sheet'!G81 + 'ACPL Calculations - 1.0'!G81 + 'ACPL Calculations - 2.0'!G81</f>
        <v>0</v>
      </c>
      <c r="AN81" s="30" t="s">
        <v>3817</v>
      </c>
      <c r="AO81" s="31">
        <v>290.0</v>
      </c>
      <c r="AP81" s="32" t="s">
        <v>3818</v>
      </c>
      <c r="AQ81" s="31">
        <v>100.0</v>
      </c>
      <c r="AR81" s="33">
        <f>'Old Balance Sheet'!H81 + 'ACPL Calculations - 1.0'!H81 + 'ACPL Calculations - 2.0'!H81</f>
        <v>0</v>
      </c>
      <c r="AS81" s="30" t="s">
        <v>3819</v>
      </c>
      <c r="AT81" s="31">
        <v>838.99</v>
      </c>
      <c r="AU81" s="32" t="s">
        <v>3818</v>
      </c>
      <c r="AV81" s="31">
        <v>100.0</v>
      </c>
      <c r="AW81" s="33">
        <f>'Old Balance Sheet'!I81 + 'ACPL Calculations - 1.0'!I81 + 'ACPL Calculations - 2.0'!I81</f>
        <v>0</v>
      </c>
      <c r="AX81" s="30" t="s">
        <v>3817</v>
      </c>
      <c r="AY81" s="31">
        <v>290.0</v>
      </c>
      <c r="AZ81" s="32" t="s">
        <v>3818</v>
      </c>
      <c r="BA81" s="31">
        <v>100.0</v>
      </c>
      <c r="BB81" s="33">
        <f>'Old Balance Sheet'!J81 + 'ACPL Calculations - 1.0'!J81 + 'ACPL Calculations - 2.0'!J81</f>
        <v>0</v>
      </c>
      <c r="BC81" s="30" t="s">
        <v>3817</v>
      </c>
      <c r="BD81" s="31">
        <v>205.0</v>
      </c>
      <c r="BE81" s="32" t="s">
        <v>3818</v>
      </c>
      <c r="BF81" s="31">
        <v>100.0</v>
      </c>
      <c r="BG81" s="33">
        <f>'Old Balance Sheet'!K81 + 'ACPL Calculations - 1.0'!K81 + 'ACPL Calculations - 2.0'!K81</f>
        <v>0</v>
      </c>
      <c r="BH81" s="30" t="s">
        <v>3817</v>
      </c>
      <c r="BI81" s="31">
        <v>205.0</v>
      </c>
      <c r="BJ81" s="32" t="s">
        <v>3818</v>
      </c>
      <c r="BK81" s="31">
        <v>100.0</v>
      </c>
      <c r="BL81" s="33">
        <f>'Old Balance Sheet'!L81 + 'ACPL Calculations - 1.0'!L81 + 'ACPL Calculations - 2.0'!L81</f>
        <v>0</v>
      </c>
      <c r="BM81" s="33"/>
      <c r="BN81" s="33"/>
      <c r="BO81" s="33"/>
      <c r="BP81" s="33"/>
      <c r="BQ81" s="33"/>
      <c r="BR81" s="33"/>
      <c r="BS81" s="33"/>
      <c r="BT81" s="33"/>
      <c r="BU81" s="33"/>
      <c r="BV81" s="33"/>
      <c r="BW81" s="33"/>
      <c r="BX81" s="33"/>
      <c r="BY81" s="33"/>
      <c r="BZ81" s="33"/>
      <c r="CA81" s="33"/>
      <c r="CB81" s="33"/>
      <c r="CC81" s="33"/>
      <c r="CD81" s="33"/>
      <c r="CE81" s="33"/>
      <c r="CF81" s="33"/>
      <c r="CG81" s="33"/>
      <c r="CH81" s="33"/>
      <c r="CI81" s="33"/>
      <c r="CJ81" s="33"/>
      <c r="CK81" s="33"/>
      <c r="CL81" s="33">
        <f t="shared" si="1"/>
        <v>0</v>
      </c>
      <c r="CM81" s="33">
        <f>'Old Balance Sheet'!R81 + 'ACPL Calculations - 1.0'!S81 + 'ACPL Calculations - 2.0'!S81</f>
        <v>0</v>
      </c>
      <c r="CN81" s="33">
        <f>'Old Balance Sheet'!S81 + 'ACPL Calculations - 1.0'!T81 + 'ACPL Calculations - 2.0'!T81</f>
        <v>0</v>
      </c>
      <c r="CO81" s="33">
        <f t="shared" si="2"/>
        <v>0</v>
      </c>
      <c r="CP81" s="33">
        <f>'Old Balance Sheet'!T81 + 'ACPL Calculations - 1.0'!V81 + 'ACPL Calculations - 2.0'!V81</f>
        <v>0</v>
      </c>
      <c r="CQ81" s="33">
        <f>'Old Balance Sheet'!U81 + 'ACPL Calculations - 1.0'!W81 + 'ACPL Calculations - 2.0'!W81</f>
        <v>0</v>
      </c>
      <c r="CR81" s="33">
        <f>'Old Balance Sheet'!V81 + 'ACPL Calculations - 1.0'!X81 + 'ACPL Calculations - 2.0'!X81</f>
        <v>0</v>
      </c>
      <c r="CS81" s="33">
        <f t="shared" si="3"/>
        <v>0</v>
      </c>
      <c r="CT81" s="35"/>
      <c r="CU81" s="35"/>
      <c r="CV81" s="35"/>
      <c r="CW81" s="36">
        <f>'Old Balance Sheet'!W81 + 'ACPL Calculations - 1.0'!Z81 + 'ACPL Calculations - 2.0'!Z81</f>
        <v>0</v>
      </c>
      <c r="CX81" s="36">
        <f>'Old Balance Sheet'!X81 + 'ACPL Calculations - 1.0'!AA81 + 'ACPL Calculations - 2.0'!AA81</f>
        <v>0</v>
      </c>
      <c r="CY81" s="37">
        <v>0.0</v>
      </c>
      <c r="CZ81" s="38">
        <f>'Old Balance Sheet'!Y81 + 'ACPL Calculations - 1.0'!AB81 + 'ACPL Calculations - 2.0'!AB81</f>
        <v>0</v>
      </c>
      <c r="DA81" s="38">
        <f>'Old Balance Sheet'!Z81 + 'ACPL Calculations - 1.0'!AC81 + 'ACPL Calculations - 2.0'!AC81</f>
        <v>0</v>
      </c>
      <c r="DB81" s="38">
        <f>'Old Balance Sheet'!AA81 + 'ACPL Calculations - 1.0'!AD81 + 'ACPL Calculations - 2.0'!AD81</f>
        <v>0</v>
      </c>
      <c r="DC81" s="38">
        <f>'Old Balance Sheet'!AB81 + 'ACPL Calculations - 1.0'!AE81 + 'ACPL Calculations - 2.0'!AE81</f>
        <v>0</v>
      </c>
      <c r="DD81" s="38">
        <f t="shared" si="4"/>
        <v>0</v>
      </c>
      <c r="DE81" s="33">
        <f t="shared" si="5"/>
        <v>0</v>
      </c>
      <c r="DF81" s="35">
        <v>0.0</v>
      </c>
      <c r="DG81" s="35">
        <v>0.0</v>
      </c>
      <c r="DH81" s="35">
        <v>0.0</v>
      </c>
      <c r="DI81" s="35">
        <v>0.0</v>
      </c>
      <c r="DJ81" s="35">
        <v>0.0</v>
      </c>
      <c r="DK81" s="35">
        <v>0.0</v>
      </c>
      <c r="DL81" s="35">
        <v>0.0</v>
      </c>
      <c r="DM81" s="35">
        <v>0.0</v>
      </c>
      <c r="DN81" s="31">
        <v>0.0</v>
      </c>
      <c r="DO81" s="31">
        <v>0.0</v>
      </c>
      <c r="DP81" s="31">
        <v>0.0</v>
      </c>
      <c r="DQ81" s="31">
        <v>0.0</v>
      </c>
      <c r="DR81" s="31">
        <v>0.0</v>
      </c>
      <c r="DS81" s="31">
        <v>0.0</v>
      </c>
      <c r="DT81" s="31">
        <f>'Old Balance Sheet'!AC81</f>
        <v>0</v>
      </c>
      <c r="DU81" s="31">
        <f>DT81 + SUMIFS('Payments Log'!D:D, 'Payments Log'!B:B, A81, 'Payments Log'!L:L, "Approved", 'Payments Log'!M:M, "Credit") + 'Old Balance Sheet'!AD81 - 'Old Balance Sheet'!AC81</f>
        <v>0</v>
      </c>
      <c r="DV81" s="31">
        <f>SUMIFS('Payments Log'!D:D, 'Payments Log'!B:B, A81, 'Payments Log'!L:L, "Approved", 'Payments Log'!M:M, "Adjustment Credit") - SUMIFS('Payments Log'!D:D, 'Payments Log'!B:B, A81, 'Payments Log'!L:L, "Approved", 'Payments Log'!M:M, "Adjustment Debit") + 'Old Balance Sheet'!AE81</f>
        <v>0</v>
      </c>
      <c r="DW81" s="31">
        <f>IF(MAXIFS('Payments Log'!N:N, 'Payments Log'!L:L, "Approved", 'Payments Log'!M:M, "Credit", 'Payments Log'!B:B, A81) &gt; MAXIFS('Payments Log'!N:N, 'Payments Log'!L:L, "Approved", 'Payments Log'!M:M, "Virtual Credit", 'Payments Log'!B:B, A81), 0, SUMIFS('Payments Log'!D:D, 'Payments Log'!N:N, MAXIFS('Payments Log'!N:N, 'Payments Log'!L:L, "Approved", 'Payments Log'!M:M, "Virtual Credit", 'Payments Log'!B:B, A81)))</f>
        <v>0</v>
      </c>
      <c r="DX81" s="33">
        <f t="shared" si="6"/>
        <v>0</v>
      </c>
      <c r="DY81" s="33">
        <f t="shared" si="7"/>
        <v>0</v>
      </c>
      <c r="DZ81" s="33">
        <f t="shared" si="8"/>
        <v>0</v>
      </c>
      <c r="EA81" s="25" t="str">
        <f>(Sheet1!N81)</f>
        <v>Chaudhary Automobiles - Hisar</v>
      </c>
      <c r="EB81" s="25" t="str">
        <f>(Sheet1!O81)</f>
        <v>1pI_tDns4A7jbcl0nEvEO_u0FclM2PyV1AT-2Q2Dx2Jo</v>
      </c>
      <c r="EC81" s="26" t="str">
        <f>(Sheet1!P81)</f>
        <v>Sub Dealer</v>
      </c>
      <c r="ED81" s="34" t="s">
        <v>13</v>
      </c>
    </row>
    <row r="82">
      <c r="A82" s="25" t="str">
        <f>(Sheet1!A82)</f>
        <v>1te-rw28wyEruXSSOAJhw4UGEPXdsOYHDVLF_IaZTrdY</v>
      </c>
      <c r="B82" s="25" t="str">
        <f>(Sheet1!B82)</f>
        <v>Himanshu Automobile (KHG)</v>
      </c>
      <c r="C82" s="30" t="s">
        <v>13</v>
      </c>
      <c r="D82" s="30" t="s">
        <v>72</v>
      </c>
      <c r="E82" s="30" t="s">
        <v>3820</v>
      </c>
      <c r="F82" s="31">
        <v>205.0</v>
      </c>
      <c r="G82" s="32" t="s">
        <v>3818</v>
      </c>
      <c r="H82" s="31">
        <v>100.0</v>
      </c>
      <c r="I82" s="33">
        <f>'Old Balance Sheet'!A82 + 'ACPL Calculations - 1.0'!A82 + 'ACPL Calculations - 2.0'!A82</f>
        <v>0</v>
      </c>
      <c r="J82" s="30" t="s">
        <v>3820</v>
      </c>
      <c r="K82" s="31">
        <v>205.0</v>
      </c>
      <c r="L82" s="32" t="s">
        <v>3818</v>
      </c>
      <c r="M82" s="31">
        <v>100.0</v>
      </c>
      <c r="N82" s="33">
        <f>'Old Balance Sheet'!B82 + 'ACPL Calculations - 1.0'!B82 + 'ACPL Calculations - 2.0'!B82</f>
        <v>0</v>
      </c>
      <c r="O82" s="30" t="s">
        <v>3820</v>
      </c>
      <c r="P82" s="31">
        <v>290.0</v>
      </c>
      <c r="Q82" s="32" t="s">
        <v>3818</v>
      </c>
      <c r="R82" s="31">
        <v>100.0</v>
      </c>
      <c r="S82" s="33">
        <f>'Old Balance Sheet'!C82 + 'ACPL Calculations - 1.0'!C82 + 'ACPL Calculations - 2.0'!C82</f>
        <v>0</v>
      </c>
      <c r="T82" s="30" t="s">
        <v>3820</v>
      </c>
      <c r="U82" s="31">
        <v>375.0</v>
      </c>
      <c r="V82" s="32" t="s">
        <v>3818</v>
      </c>
      <c r="W82" s="31">
        <v>100.0</v>
      </c>
      <c r="X82" s="33">
        <f>'Old Balance Sheet'!D82 + 'ACPL Calculations - 1.0'!D82 + 'ACPL Calculations - 2.0'!D82</f>
        <v>0</v>
      </c>
      <c r="Y82" s="30" t="s">
        <v>3820</v>
      </c>
      <c r="Z82" s="31">
        <v>460.0</v>
      </c>
      <c r="AA82" s="32" t="s">
        <v>3818</v>
      </c>
      <c r="AB82" s="31">
        <v>100.0</v>
      </c>
      <c r="AC82" s="33">
        <f>'Old Balance Sheet'!E82 + 'ACPL Calculations - 1.0'!E82 + 'ACPL Calculations - 2.0'!E82</f>
        <v>0</v>
      </c>
      <c r="AD82" s="30" t="s">
        <v>3820</v>
      </c>
      <c r="AE82" s="34">
        <v>838.99</v>
      </c>
      <c r="AF82" s="32" t="s">
        <v>3818</v>
      </c>
      <c r="AG82" s="31">
        <v>100.0</v>
      </c>
      <c r="AH82" s="33">
        <f>'Old Balance Sheet'!F82 + 'ACPL Calculations - 1.0'!F82 + 'ACPL Calculations - 2.0'!F82</f>
        <v>0</v>
      </c>
      <c r="AI82" s="30" t="s">
        <v>3820</v>
      </c>
      <c r="AJ82" s="31">
        <v>375.0</v>
      </c>
      <c r="AK82" s="32" t="s">
        <v>3818</v>
      </c>
      <c r="AL82" s="31">
        <v>100.0</v>
      </c>
      <c r="AM82" s="33">
        <f>'Old Balance Sheet'!G82 + 'ACPL Calculations - 1.0'!G82 + 'ACPL Calculations - 2.0'!G82</f>
        <v>0</v>
      </c>
      <c r="AN82" s="30" t="s">
        <v>3820</v>
      </c>
      <c r="AO82" s="31">
        <v>290.0</v>
      </c>
      <c r="AP82" s="32" t="s">
        <v>3818</v>
      </c>
      <c r="AQ82" s="31">
        <v>100.0</v>
      </c>
      <c r="AR82" s="33">
        <f>'Old Balance Sheet'!H82 + 'ACPL Calculations - 1.0'!H82 + 'ACPL Calculations - 2.0'!H82</f>
        <v>0</v>
      </c>
      <c r="AS82" s="30" t="s">
        <v>3819</v>
      </c>
      <c r="AT82" s="31">
        <v>838.99</v>
      </c>
      <c r="AU82" s="32" t="s">
        <v>3818</v>
      </c>
      <c r="AV82" s="31">
        <v>100.0</v>
      </c>
      <c r="AW82" s="33">
        <f>'Old Balance Sheet'!I82 + 'ACPL Calculations - 1.0'!I82 + 'ACPL Calculations - 2.0'!I82</f>
        <v>0</v>
      </c>
      <c r="AX82" s="30" t="s">
        <v>3820</v>
      </c>
      <c r="AY82" s="31">
        <v>290.0</v>
      </c>
      <c r="AZ82" s="32" t="s">
        <v>3818</v>
      </c>
      <c r="BA82" s="31">
        <v>100.0</v>
      </c>
      <c r="BB82" s="33">
        <f>'Old Balance Sheet'!J82 + 'ACPL Calculations - 1.0'!J82 + 'ACPL Calculations - 2.0'!J82</f>
        <v>0</v>
      </c>
      <c r="BC82" s="30" t="s">
        <v>3820</v>
      </c>
      <c r="BD82" s="31">
        <v>205.0</v>
      </c>
      <c r="BE82" s="32" t="s">
        <v>3818</v>
      </c>
      <c r="BF82" s="31">
        <v>100.0</v>
      </c>
      <c r="BG82" s="33">
        <f>'Old Balance Sheet'!K82 + 'ACPL Calculations - 1.0'!K82 + 'ACPL Calculations - 2.0'!K82</f>
        <v>0</v>
      </c>
      <c r="BH82" s="30" t="s">
        <v>3820</v>
      </c>
      <c r="BI82" s="31">
        <v>205.0</v>
      </c>
      <c r="BJ82" s="32" t="s">
        <v>3818</v>
      </c>
      <c r="BK82" s="31">
        <v>100.0</v>
      </c>
      <c r="BL82" s="33">
        <f>'Old Balance Sheet'!L82 + 'ACPL Calculations - 1.0'!L82 + 'ACPL Calculations - 2.0'!L82</f>
        <v>0</v>
      </c>
      <c r="BM82" s="33"/>
      <c r="BN82" s="33"/>
      <c r="BO82" s="33"/>
      <c r="BP82" s="33"/>
      <c r="BQ82" s="33"/>
      <c r="BR82" s="33"/>
      <c r="BS82" s="33"/>
      <c r="BT82" s="33"/>
      <c r="BU82" s="33"/>
      <c r="BV82" s="33"/>
      <c r="BW82" s="33"/>
      <c r="BX82" s="33"/>
      <c r="BY82" s="33"/>
      <c r="BZ82" s="33"/>
      <c r="CA82" s="33"/>
      <c r="CB82" s="33"/>
      <c r="CC82" s="33"/>
      <c r="CD82" s="33"/>
      <c r="CE82" s="33"/>
      <c r="CF82" s="33"/>
      <c r="CG82" s="33"/>
      <c r="CH82" s="33"/>
      <c r="CI82" s="33"/>
      <c r="CJ82" s="33"/>
      <c r="CK82" s="33"/>
      <c r="CL82" s="33">
        <f t="shared" si="1"/>
        <v>0</v>
      </c>
      <c r="CM82" s="33">
        <f>'Old Balance Sheet'!R82 + 'ACPL Calculations - 1.0'!S82 + 'ACPL Calculations - 2.0'!S82</f>
        <v>0</v>
      </c>
      <c r="CN82" s="33">
        <f>'Old Balance Sheet'!S82 + 'ACPL Calculations - 1.0'!T82 + 'ACPL Calculations - 2.0'!T82</f>
        <v>0</v>
      </c>
      <c r="CO82" s="33">
        <f t="shared" si="2"/>
        <v>0</v>
      </c>
      <c r="CP82" s="33">
        <f>'Old Balance Sheet'!T82 + 'ACPL Calculations - 1.0'!V82 + 'ACPL Calculations - 2.0'!V82</f>
        <v>0</v>
      </c>
      <c r="CQ82" s="33">
        <f>'Old Balance Sheet'!U82 + 'ACPL Calculations - 1.0'!W82 + 'ACPL Calculations - 2.0'!W82</f>
        <v>0</v>
      </c>
      <c r="CR82" s="33">
        <f>'Old Balance Sheet'!V82 + 'ACPL Calculations - 1.0'!X82 + 'ACPL Calculations - 2.0'!X82</f>
        <v>0</v>
      </c>
      <c r="CS82" s="33">
        <f t="shared" si="3"/>
        <v>0</v>
      </c>
      <c r="CT82" s="35"/>
      <c r="CU82" s="35"/>
      <c r="CV82" s="35"/>
      <c r="CW82" s="36">
        <f>'Old Balance Sheet'!W82 + 'ACPL Calculations - 1.0'!Z82 + 'ACPL Calculations - 2.0'!Z82</f>
        <v>0</v>
      </c>
      <c r="CX82" s="36">
        <f>'Old Balance Sheet'!X82 + 'ACPL Calculations - 1.0'!AA82 + 'ACPL Calculations - 2.0'!AA82</f>
        <v>0</v>
      </c>
      <c r="CY82" s="37">
        <v>0.0</v>
      </c>
      <c r="CZ82" s="38">
        <f>'Old Balance Sheet'!Y82 + 'ACPL Calculations - 1.0'!AB82 + 'ACPL Calculations - 2.0'!AB82</f>
        <v>0</v>
      </c>
      <c r="DA82" s="38">
        <f>'Old Balance Sheet'!Z82 + 'ACPL Calculations - 1.0'!AC82 + 'ACPL Calculations - 2.0'!AC82</f>
        <v>0</v>
      </c>
      <c r="DB82" s="38">
        <f>'Old Balance Sheet'!AA82 + 'ACPL Calculations - 1.0'!AD82 + 'ACPL Calculations - 2.0'!AD82</f>
        <v>0</v>
      </c>
      <c r="DC82" s="38">
        <f>'Old Balance Sheet'!AB82 + 'ACPL Calculations - 1.0'!AE82 + 'ACPL Calculations - 2.0'!AE82</f>
        <v>0</v>
      </c>
      <c r="DD82" s="38">
        <f t="shared" si="4"/>
        <v>0</v>
      </c>
      <c r="DE82" s="33">
        <f t="shared" si="5"/>
        <v>0</v>
      </c>
      <c r="DF82" s="35">
        <v>0.0</v>
      </c>
      <c r="DG82" s="35">
        <v>0.0</v>
      </c>
      <c r="DH82" s="35">
        <v>0.0</v>
      </c>
      <c r="DI82" s="35">
        <v>0.0</v>
      </c>
      <c r="DJ82" s="35">
        <v>0.0</v>
      </c>
      <c r="DK82" s="35">
        <v>0.0</v>
      </c>
      <c r="DL82" s="35">
        <v>0.0</v>
      </c>
      <c r="DM82" s="35">
        <v>0.0</v>
      </c>
      <c r="DN82" s="31">
        <v>0.0</v>
      </c>
      <c r="DO82" s="31">
        <v>0.0</v>
      </c>
      <c r="DP82" s="31">
        <v>0.0</v>
      </c>
      <c r="DQ82" s="31">
        <v>0.0</v>
      </c>
      <c r="DR82" s="31">
        <v>0.0</v>
      </c>
      <c r="DS82" s="31">
        <v>0.0</v>
      </c>
      <c r="DT82" s="31">
        <f>'Old Balance Sheet'!AC82</f>
        <v>0</v>
      </c>
      <c r="DU82" s="31">
        <f>DT82 + SUMIFS('Payments Log'!D:D, 'Payments Log'!B:B, A82, 'Payments Log'!L:L, "Approved", 'Payments Log'!M:M, "Credit") + 'Old Balance Sheet'!AD82 - 'Old Balance Sheet'!AC82</f>
        <v>0</v>
      </c>
      <c r="DV82" s="31">
        <f>SUMIFS('Payments Log'!D:D, 'Payments Log'!B:B, A82, 'Payments Log'!L:L, "Approved", 'Payments Log'!M:M, "Adjustment Credit") - SUMIFS('Payments Log'!D:D, 'Payments Log'!B:B, A82, 'Payments Log'!L:L, "Approved", 'Payments Log'!M:M, "Adjustment Debit") + 'Old Balance Sheet'!AE82</f>
        <v>0</v>
      </c>
      <c r="DW82" s="31">
        <f>IF(MAXIFS('Payments Log'!N:N, 'Payments Log'!L:L, "Approved", 'Payments Log'!M:M, "Credit", 'Payments Log'!B:B, A82) &gt; MAXIFS('Payments Log'!N:N, 'Payments Log'!L:L, "Approved", 'Payments Log'!M:M, "Virtual Credit", 'Payments Log'!B:B, A82), 0, SUMIFS('Payments Log'!D:D, 'Payments Log'!N:N, MAXIFS('Payments Log'!N:N, 'Payments Log'!L:L, "Approved", 'Payments Log'!M:M, "Virtual Credit", 'Payments Log'!B:B, A82)))</f>
        <v>0</v>
      </c>
      <c r="DX82" s="33">
        <f t="shared" si="6"/>
        <v>0</v>
      </c>
      <c r="DY82" s="33">
        <f t="shared" si="7"/>
        <v>0</v>
      </c>
      <c r="DZ82" s="33">
        <f t="shared" si="8"/>
        <v>0</v>
      </c>
      <c r="EA82" s="25" t="str">
        <f>(Sheet1!N82)</f>
        <v>Himanshu Automobile (KHG)</v>
      </c>
      <c r="EB82" s="25" t="str">
        <f>(Sheet1!O82)</f>
        <v>1te-rw28wyEruXSSOAJhw4UGEPXdsOYHDVLF_IaZTrdY</v>
      </c>
      <c r="EC82" s="26" t="str">
        <f>(Sheet1!P82)</f>
        <v>Dealer</v>
      </c>
      <c r="ED82" s="34" t="s">
        <v>13</v>
      </c>
    </row>
    <row r="83">
      <c r="A83" s="25" t="str">
        <f>(Sheet1!A83)</f>
        <v>1YGpVDN0ELgWGDdcU8lnhIXzjT7NqPXsCaqGWqE3ma8o</v>
      </c>
      <c r="B83" s="25" t="str">
        <f>(Sheet1!B83)</f>
        <v>TR Motors - Kundali (KEG)</v>
      </c>
      <c r="C83" s="30" t="s">
        <v>13</v>
      </c>
      <c r="D83" s="30" t="s">
        <v>72</v>
      </c>
      <c r="E83" s="30" t="s">
        <v>3817</v>
      </c>
      <c r="F83" s="31">
        <v>205.0</v>
      </c>
      <c r="G83" s="32" t="s">
        <v>3818</v>
      </c>
      <c r="H83" s="31">
        <v>100.0</v>
      </c>
      <c r="I83" s="33">
        <f>'Old Balance Sheet'!A83 + 'ACPL Calculations - 1.0'!A83 + 'ACPL Calculations - 2.0'!A83</f>
        <v>0</v>
      </c>
      <c r="J83" s="30" t="s">
        <v>3817</v>
      </c>
      <c r="K83" s="31">
        <v>205.0</v>
      </c>
      <c r="L83" s="32" t="s">
        <v>3818</v>
      </c>
      <c r="M83" s="31">
        <v>100.0</v>
      </c>
      <c r="N83" s="33">
        <f>'Old Balance Sheet'!B83 + 'ACPL Calculations - 1.0'!B83 + 'ACPL Calculations - 2.0'!B83</f>
        <v>0</v>
      </c>
      <c r="O83" s="30" t="s">
        <v>3817</v>
      </c>
      <c r="P83" s="31">
        <v>290.0</v>
      </c>
      <c r="Q83" s="32" t="s">
        <v>3818</v>
      </c>
      <c r="R83" s="31">
        <v>100.0</v>
      </c>
      <c r="S83" s="33">
        <f>'Old Balance Sheet'!C83 + 'ACPL Calculations - 1.0'!C83 + 'ACPL Calculations - 2.0'!C83</f>
        <v>0</v>
      </c>
      <c r="T83" s="30" t="s">
        <v>3817</v>
      </c>
      <c r="U83" s="31">
        <v>375.0</v>
      </c>
      <c r="V83" s="32" t="s">
        <v>3818</v>
      </c>
      <c r="W83" s="31">
        <v>100.0</v>
      </c>
      <c r="X83" s="33">
        <f>'Old Balance Sheet'!D83 + 'ACPL Calculations - 1.0'!D83 + 'ACPL Calculations - 2.0'!D83</f>
        <v>0</v>
      </c>
      <c r="Y83" s="30" t="s">
        <v>3817</v>
      </c>
      <c r="Z83" s="31">
        <v>460.0</v>
      </c>
      <c r="AA83" s="32" t="s">
        <v>3818</v>
      </c>
      <c r="AB83" s="31">
        <v>100.0</v>
      </c>
      <c r="AC83" s="33">
        <f>'Old Balance Sheet'!E83 + 'ACPL Calculations - 1.0'!E83 + 'ACPL Calculations - 2.0'!E83</f>
        <v>0</v>
      </c>
      <c r="AD83" s="30" t="s">
        <v>3817</v>
      </c>
      <c r="AE83" s="34">
        <v>838.99</v>
      </c>
      <c r="AF83" s="32" t="s">
        <v>3818</v>
      </c>
      <c r="AG83" s="31">
        <v>100.0</v>
      </c>
      <c r="AH83" s="33">
        <f>'Old Balance Sheet'!F83 + 'ACPL Calculations - 1.0'!F83 + 'ACPL Calculations - 2.0'!F83</f>
        <v>0</v>
      </c>
      <c r="AI83" s="30" t="s">
        <v>3817</v>
      </c>
      <c r="AJ83" s="31">
        <v>375.0</v>
      </c>
      <c r="AK83" s="32" t="s">
        <v>3818</v>
      </c>
      <c r="AL83" s="31">
        <v>100.0</v>
      </c>
      <c r="AM83" s="33">
        <f>'Old Balance Sheet'!G83 + 'ACPL Calculations - 1.0'!G83 + 'ACPL Calculations - 2.0'!G83</f>
        <v>0</v>
      </c>
      <c r="AN83" s="30" t="s">
        <v>3817</v>
      </c>
      <c r="AO83" s="31">
        <v>290.0</v>
      </c>
      <c r="AP83" s="32" t="s">
        <v>3818</v>
      </c>
      <c r="AQ83" s="31">
        <v>100.0</v>
      </c>
      <c r="AR83" s="33">
        <f>'Old Balance Sheet'!H83 + 'ACPL Calculations - 1.0'!H83 + 'ACPL Calculations - 2.0'!H83</f>
        <v>0</v>
      </c>
      <c r="AS83" s="30" t="s">
        <v>3819</v>
      </c>
      <c r="AT83" s="31">
        <v>838.99</v>
      </c>
      <c r="AU83" s="32" t="s">
        <v>3818</v>
      </c>
      <c r="AV83" s="31">
        <v>100.0</v>
      </c>
      <c r="AW83" s="33">
        <f>'Old Balance Sheet'!I83 + 'ACPL Calculations - 1.0'!I83 + 'ACPL Calculations - 2.0'!I83</f>
        <v>0</v>
      </c>
      <c r="AX83" s="30" t="s">
        <v>3817</v>
      </c>
      <c r="AY83" s="31">
        <v>290.0</v>
      </c>
      <c r="AZ83" s="32" t="s">
        <v>3818</v>
      </c>
      <c r="BA83" s="31">
        <v>100.0</v>
      </c>
      <c r="BB83" s="33">
        <f>'Old Balance Sheet'!J83 + 'ACPL Calculations - 1.0'!J83 + 'ACPL Calculations - 2.0'!J83</f>
        <v>0</v>
      </c>
      <c r="BC83" s="30" t="s">
        <v>3817</v>
      </c>
      <c r="BD83" s="31">
        <v>205.0</v>
      </c>
      <c r="BE83" s="32" t="s">
        <v>3818</v>
      </c>
      <c r="BF83" s="31">
        <v>100.0</v>
      </c>
      <c r="BG83" s="33">
        <f>'Old Balance Sheet'!K83 + 'ACPL Calculations - 1.0'!K83 + 'ACPL Calculations - 2.0'!K83</f>
        <v>0</v>
      </c>
      <c r="BH83" s="30" t="s">
        <v>3817</v>
      </c>
      <c r="BI83" s="31">
        <v>205.0</v>
      </c>
      <c r="BJ83" s="32" t="s">
        <v>3818</v>
      </c>
      <c r="BK83" s="31">
        <v>100.0</v>
      </c>
      <c r="BL83" s="33">
        <f>'Old Balance Sheet'!L83 + 'ACPL Calculations - 1.0'!L83 + 'ACPL Calculations - 2.0'!L83</f>
        <v>0</v>
      </c>
      <c r="BM83" s="33"/>
      <c r="BN83" s="33"/>
      <c r="BO83" s="33"/>
      <c r="BP83" s="33"/>
      <c r="BQ83" s="33"/>
      <c r="BR83" s="33"/>
      <c r="BS83" s="33"/>
      <c r="BT83" s="33"/>
      <c r="BU83" s="33"/>
      <c r="BV83" s="33"/>
      <c r="BW83" s="33"/>
      <c r="BX83" s="33"/>
      <c r="BY83" s="33"/>
      <c r="BZ83" s="33"/>
      <c r="CA83" s="33"/>
      <c r="CB83" s="33"/>
      <c r="CC83" s="33"/>
      <c r="CD83" s="33"/>
      <c r="CE83" s="33"/>
      <c r="CF83" s="33"/>
      <c r="CG83" s="33"/>
      <c r="CH83" s="33"/>
      <c r="CI83" s="33"/>
      <c r="CJ83" s="33"/>
      <c r="CK83" s="33"/>
      <c r="CL83" s="33">
        <f t="shared" si="1"/>
        <v>0</v>
      </c>
      <c r="CM83" s="33">
        <f>'Old Balance Sheet'!R83 + 'ACPL Calculations - 1.0'!S83 + 'ACPL Calculations - 2.0'!S83</f>
        <v>0</v>
      </c>
      <c r="CN83" s="33">
        <f>'Old Balance Sheet'!S83 + 'ACPL Calculations - 1.0'!T83 + 'ACPL Calculations - 2.0'!T83</f>
        <v>0</v>
      </c>
      <c r="CO83" s="33">
        <f t="shared" si="2"/>
        <v>0</v>
      </c>
      <c r="CP83" s="33">
        <f>'Old Balance Sheet'!T83 + 'ACPL Calculations - 1.0'!V83 + 'ACPL Calculations - 2.0'!V83</f>
        <v>0</v>
      </c>
      <c r="CQ83" s="33">
        <f>'Old Balance Sheet'!U83 + 'ACPL Calculations - 1.0'!W83 + 'ACPL Calculations - 2.0'!W83</f>
        <v>0</v>
      </c>
      <c r="CR83" s="33">
        <f>'Old Balance Sheet'!V83 + 'ACPL Calculations - 1.0'!X83 + 'ACPL Calculations - 2.0'!X83</f>
        <v>0</v>
      </c>
      <c r="CS83" s="33">
        <f t="shared" si="3"/>
        <v>0</v>
      </c>
      <c r="CT83" s="35"/>
      <c r="CU83" s="35"/>
      <c r="CV83" s="35"/>
      <c r="CW83" s="36">
        <f>'Old Balance Sheet'!W83 + 'ACPL Calculations - 1.0'!Z83 + 'ACPL Calculations - 2.0'!Z83</f>
        <v>0</v>
      </c>
      <c r="CX83" s="36">
        <f>'Old Balance Sheet'!X83 + 'ACPL Calculations - 1.0'!AA83 + 'ACPL Calculations - 2.0'!AA83</f>
        <v>0</v>
      </c>
      <c r="CY83" s="37">
        <v>0.0</v>
      </c>
      <c r="CZ83" s="38">
        <f>'Old Balance Sheet'!Y83 + 'ACPL Calculations - 1.0'!AB83 + 'ACPL Calculations - 2.0'!AB83</f>
        <v>0</v>
      </c>
      <c r="DA83" s="38">
        <f>'Old Balance Sheet'!Z83 + 'ACPL Calculations - 1.0'!AC83 + 'ACPL Calculations - 2.0'!AC83</f>
        <v>0</v>
      </c>
      <c r="DB83" s="38">
        <f>'Old Balance Sheet'!AA83 + 'ACPL Calculations - 1.0'!AD83 + 'ACPL Calculations - 2.0'!AD83</f>
        <v>0</v>
      </c>
      <c r="DC83" s="38">
        <f>'Old Balance Sheet'!AB83 + 'ACPL Calculations - 1.0'!AE83 + 'ACPL Calculations - 2.0'!AE83</f>
        <v>0</v>
      </c>
      <c r="DD83" s="38">
        <f t="shared" si="4"/>
        <v>0</v>
      </c>
      <c r="DE83" s="33">
        <f t="shared" si="5"/>
        <v>0</v>
      </c>
      <c r="DF83" s="35">
        <v>0.0</v>
      </c>
      <c r="DG83" s="35">
        <v>0.0</v>
      </c>
      <c r="DH83" s="35">
        <v>0.0</v>
      </c>
      <c r="DI83" s="35">
        <v>0.0</v>
      </c>
      <c r="DJ83" s="35">
        <v>0.0</v>
      </c>
      <c r="DK83" s="35">
        <v>0.0</v>
      </c>
      <c r="DL83" s="35">
        <v>0.0</v>
      </c>
      <c r="DM83" s="35">
        <v>0.0</v>
      </c>
      <c r="DN83" s="31">
        <v>0.0</v>
      </c>
      <c r="DO83" s="31">
        <v>0.0</v>
      </c>
      <c r="DP83" s="31">
        <v>0.0</v>
      </c>
      <c r="DQ83" s="31">
        <v>0.0</v>
      </c>
      <c r="DR83" s="31">
        <v>0.0</v>
      </c>
      <c r="DS83" s="31">
        <v>0.0</v>
      </c>
      <c r="DT83" s="31">
        <f>'Old Balance Sheet'!AC83</f>
        <v>0</v>
      </c>
      <c r="DU83" s="31">
        <f>DT83 + SUMIFS('Payments Log'!D:D, 'Payments Log'!B:B, A83, 'Payments Log'!L:L, "Approved", 'Payments Log'!M:M, "Credit") + 'Old Balance Sheet'!AD83 - 'Old Balance Sheet'!AC83</f>
        <v>0</v>
      </c>
      <c r="DV83" s="31">
        <f>SUMIFS('Payments Log'!D:D, 'Payments Log'!B:B, A83, 'Payments Log'!L:L, "Approved", 'Payments Log'!M:M, "Adjustment Credit") - SUMIFS('Payments Log'!D:D, 'Payments Log'!B:B, A83, 'Payments Log'!L:L, "Approved", 'Payments Log'!M:M, "Adjustment Debit") + 'Old Balance Sheet'!AE83</f>
        <v>0</v>
      </c>
      <c r="DW83" s="31">
        <f>IF(MAXIFS('Payments Log'!N:N, 'Payments Log'!L:L, "Approved", 'Payments Log'!M:M, "Credit", 'Payments Log'!B:B, A83) &gt; MAXIFS('Payments Log'!N:N, 'Payments Log'!L:L, "Approved", 'Payments Log'!M:M, "Virtual Credit", 'Payments Log'!B:B, A83), 0, SUMIFS('Payments Log'!D:D, 'Payments Log'!N:N, MAXIFS('Payments Log'!N:N, 'Payments Log'!L:L, "Approved", 'Payments Log'!M:M, "Virtual Credit", 'Payments Log'!B:B, A83)))</f>
        <v>0</v>
      </c>
      <c r="DX83" s="33">
        <f t="shared" si="6"/>
        <v>0</v>
      </c>
      <c r="DY83" s="33">
        <f t="shared" si="7"/>
        <v>0</v>
      </c>
      <c r="DZ83" s="33">
        <f t="shared" si="8"/>
        <v>0</v>
      </c>
      <c r="EA83" s="25" t="str">
        <f>(Sheet1!N83)</f>
        <v>Krishna Enterprise - Gohana</v>
      </c>
      <c r="EB83" s="25" t="str">
        <f>(Sheet1!O83)</f>
        <v>1hR0JpXiceB7xWAHLNEwMyaE9wlUgF4ljP0RD80dtSd0</v>
      </c>
      <c r="EC83" s="26" t="str">
        <f>(Sheet1!P83)</f>
        <v>Sub Dealer</v>
      </c>
      <c r="ED83" s="34" t="s">
        <v>13</v>
      </c>
    </row>
    <row r="84">
      <c r="A84" s="25" t="str">
        <f>(Sheet1!A84)</f>
        <v>1th0hj2blk-gBbR7lpmA16YsAj_ttAS2Hct4wjY5lY2o</v>
      </c>
      <c r="B84" s="25" t="str">
        <f>(Sheet1!B84)</f>
        <v>Johri Auto Mobile-Uklana (CAH)</v>
      </c>
      <c r="C84" s="30" t="s">
        <v>13</v>
      </c>
      <c r="D84" s="30" t="s">
        <v>72</v>
      </c>
      <c r="E84" s="30" t="s">
        <v>3817</v>
      </c>
      <c r="F84" s="31">
        <v>205.0</v>
      </c>
      <c r="G84" s="32" t="s">
        <v>3818</v>
      </c>
      <c r="H84" s="31">
        <v>100.0</v>
      </c>
      <c r="I84" s="33">
        <f>'Old Balance Sheet'!A84 + 'ACPL Calculations - 1.0'!A84 + 'ACPL Calculations - 2.0'!A84</f>
        <v>0</v>
      </c>
      <c r="J84" s="30" t="s">
        <v>3817</v>
      </c>
      <c r="K84" s="31">
        <v>205.0</v>
      </c>
      <c r="L84" s="32" t="s">
        <v>3818</v>
      </c>
      <c r="M84" s="31">
        <v>100.0</v>
      </c>
      <c r="N84" s="33">
        <f>'Old Balance Sheet'!B84 + 'ACPL Calculations - 1.0'!B84 + 'ACPL Calculations - 2.0'!B84</f>
        <v>0</v>
      </c>
      <c r="O84" s="30" t="s">
        <v>3817</v>
      </c>
      <c r="P84" s="31">
        <v>290.0</v>
      </c>
      <c r="Q84" s="32" t="s">
        <v>3818</v>
      </c>
      <c r="R84" s="31">
        <v>100.0</v>
      </c>
      <c r="S84" s="33">
        <f>'Old Balance Sheet'!C84 + 'ACPL Calculations - 1.0'!C84 + 'ACPL Calculations - 2.0'!C84</f>
        <v>0</v>
      </c>
      <c r="T84" s="30" t="s">
        <v>3817</v>
      </c>
      <c r="U84" s="31">
        <v>375.0</v>
      </c>
      <c r="V84" s="32" t="s">
        <v>3818</v>
      </c>
      <c r="W84" s="31">
        <v>100.0</v>
      </c>
      <c r="X84" s="33">
        <f>'Old Balance Sheet'!D84 + 'ACPL Calculations - 1.0'!D84 + 'ACPL Calculations - 2.0'!D84</f>
        <v>0</v>
      </c>
      <c r="Y84" s="30" t="s">
        <v>3817</v>
      </c>
      <c r="Z84" s="31">
        <v>460.0</v>
      </c>
      <c r="AA84" s="32" t="s">
        <v>3818</v>
      </c>
      <c r="AB84" s="31">
        <v>100.0</v>
      </c>
      <c r="AC84" s="33">
        <f>'Old Balance Sheet'!E84 + 'ACPL Calculations - 1.0'!E84 + 'ACPL Calculations - 2.0'!E84</f>
        <v>0</v>
      </c>
      <c r="AD84" s="30" t="s">
        <v>3817</v>
      </c>
      <c r="AE84" s="34">
        <v>838.99</v>
      </c>
      <c r="AF84" s="32" t="s">
        <v>3818</v>
      </c>
      <c r="AG84" s="31">
        <v>100.0</v>
      </c>
      <c r="AH84" s="33">
        <f>'Old Balance Sheet'!F84 + 'ACPL Calculations - 1.0'!F84 + 'ACPL Calculations - 2.0'!F84</f>
        <v>0</v>
      </c>
      <c r="AI84" s="30" t="s">
        <v>3817</v>
      </c>
      <c r="AJ84" s="31">
        <v>375.0</v>
      </c>
      <c r="AK84" s="32" t="s">
        <v>3818</v>
      </c>
      <c r="AL84" s="31">
        <v>100.0</v>
      </c>
      <c r="AM84" s="33">
        <f>'Old Balance Sheet'!G84 + 'ACPL Calculations - 1.0'!G84 + 'ACPL Calculations - 2.0'!G84</f>
        <v>0</v>
      </c>
      <c r="AN84" s="30" t="s">
        <v>3817</v>
      </c>
      <c r="AO84" s="31">
        <v>290.0</v>
      </c>
      <c r="AP84" s="32" t="s">
        <v>3818</v>
      </c>
      <c r="AQ84" s="31">
        <v>100.0</v>
      </c>
      <c r="AR84" s="33">
        <f>'Old Balance Sheet'!H84 + 'ACPL Calculations - 1.0'!H84 + 'ACPL Calculations - 2.0'!H84</f>
        <v>0</v>
      </c>
      <c r="AS84" s="30" t="s">
        <v>3819</v>
      </c>
      <c r="AT84" s="31">
        <v>838.99</v>
      </c>
      <c r="AU84" s="32" t="s">
        <v>3818</v>
      </c>
      <c r="AV84" s="31">
        <v>100.0</v>
      </c>
      <c r="AW84" s="33">
        <f>'Old Balance Sheet'!I84 + 'ACPL Calculations - 1.0'!I84 + 'ACPL Calculations - 2.0'!I84</f>
        <v>0</v>
      </c>
      <c r="AX84" s="30" t="s">
        <v>3817</v>
      </c>
      <c r="AY84" s="31">
        <v>290.0</v>
      </c>
      <c r="AZ84" s="32" t="s">
        <v>3818</v>
      </c>
      <c r="BA84" s="31">
        <v>100.0</v>
      </c>
      <c r="BB84" s="33">
        <f>'Old Balance Sheet'!J84 + 'ACPL Calculations - 1.0'!J84 + 'ACPL Calculations - 2.0'!J84</f>
        <v>0</v>
      </c>
      <c r="BC84" s="30" t="s">
        <v>3817</v>
      </c>
      <c r="BD84" s="31">
        <v>205.0</v>
      </c>
      <c r="BE84" s="32" t="s">
        <v>3818</v>
      </c>
      <c r="BF84" s="31">
        <v>100.0</v>
      </c>
      <c r="BG84" s="33">
        <f>'Old Balance Sheet'!K84 + 'ACPL Calculations - 1.0'!K84 + 'ACPL Calculations - 2.0'!K84</f>
        <v>0</v>
      </c>
      <c r="BH84" s="30" t="s">
        <v>3817</v>
      </c>
      <c r="BI84" s="31">
        <v>205.0</v>
      </c>
      <c r="BJ84" s="32" t="s">
        <v>3818</v>
      </c>
      <c r="BK84" s="31">
        <v>100.0</v>
      </c>
      <c r="BL84" s="33">
        <f>'Old Balance Sheet'!L84 + 'ACPL Calculations - 1.0'!L84 + 'ACPL Calculations - 2.0'!L84</f>
        <v>0</v>
      </c>
      <c r="BM84" s="33"/>
      <c r="BN84" s="33"/>
      <c r="BO84" s="33"/>
      <c r="BP84" s="33"/>
      <c r="BQ84" s="33"/>
      <c r="BR84" s="33"/>
      <c r="BS84" s="33"/>
      <c r="BT84" s="33"/>
      <c r="BU84" s="33"/>
      <c r="BV84" s="33"/>
      <c r="BW84" s="33"/>
      <c r="BX84" s="33"/>
      <c r="BY84" s="33"/>
      <c r="BZ84" s="33"/>
      <c r="CA84" s="33"/>
      <c r="CB84" s="33"/>
      <c r="CC84" s="33"/>
      <c r="CD84" s="33"/>
      <c r="CE84" s="33"/>
      <c r="CF84" s="33"/>
      <c r="CG84" s="33"/>
      <c r="CH84" s="33"/>
      <c r="CI84" s="33"/>
      <c r="CJ84" s="33"/>
      <c r="CK84" s="33"/>
      <c r="CL84" s="33">
        <f t="shared" si="1"/>
        <v>0</v>
      </c>
      <c r="CM84" s="33">
        <f>'Old Balance Sheet'!R84 + 'ACPL Calculations - 1.0'!S84 + 'ACPL Calculations - 2.0'!S84</f>
        <v>0</v>
      </c>
      <c r="CN84" s="33">
        <f>'Old Balance Sheet'!S84 + 'ACPL Calculations - 1.0'!T84 + 'ACPL Calculations - 2.0'!T84</f>
        <v>0</v>
      </c>
      <c r="CO84" s="33">
        <f t="shared" si="2"/>
        <v>0</v>
      </c>
      <c r="CP84" s="33">
        <f>'Old Balance Sheet'!T84 + 'ACPL Calculations - 1.0'!V84 + 'ACPL Calculations - 2.0'!V84</f>
        <v>0</v>
      </c>
      <c r="CQ84" s="33">
        <f>'Old Balance Sheet'!U84 + 'ACPL Calculations - 1.0'!W84 + 'ACPL Calculations - 2.0'!W84</f>
        <v>0</v>
      </c>
      <c r="CR84" s="33">
        <f>'Old Balance Sheet'!V84 + 'ACPL Calculations - 1.0'!X84 + 'ACPL Calculations - 2.0'!X84</f>
        <v>0</v>
      </c>
      <c r="CS84" s="33">
        <f t="shared" si="3"/>
        <v>0</v>
      </c>
      <c r="CT84" s="35"/>
      <c r="CU84" s="35"/>
      <c r="CV84" s="35"/>
      <c r="CW84" s="36">
        <f>'Old Balance Sheet'!W84 + 'ACPL Calculations - 1.0'!Z84 + 'ACPL Calculations - 2.0'!Z84</f>
        <v>0</v>
      </c>
      <c r="CX84" s="36">
        <f>'Old Balance Sheet'!X84 + 'ACPL Calculations - 1.0'!AA84 + 'ACPL Calculations - 2.0'!AA84</f>
        <v>0</v>
      </c>
      <c r="CY84" s="37">
        <v>0.0</v>
      </c>
      <c r="CZ84" s="38">
        <f>'Old Balance Sheet'!Y84 + 'ACPL Calculations - 1.0'!AB84 + 'ACPL Calculations - 2.0'!AB84</f>
        <v>0</v>
      </c>
      <c r="DA84" s="38">
        <f>'Old Balance Sheet'!Z84 + 'ACPL Calculations - 1.0'!AC84 + 'ACPL Calculations - 2.0'!AC84</f>
        <v>0</v>
      </c>
      <c r="DB84" s="38">
        <f>'Old Balance Sheet'!AA84 + 'ACPL Calculations - 1.0'!AD84 + 'ACPL Calculations - 2.0'!AD84</f>
        <v>0</v>
      </c>
      <c r="DC84" s="38">
        <f>'Old Balance Sheet'!AB84 + 'ACPL Calculations - 1.0'!AE84 + 'ACPL Calculations - 2.0'!AE84</f>
        <v>0</v>
      </c>
      <c r="DD84" s="38">
        <f t="shared" si="4"/>
        <v>0</v>
      </c>
      <c r="DE84" s="33">
        <f t="shared" si="5"/>
        <v>0</v>
      </c>
      <c r="DF84" s="35">
        <v>0.0</v>
      </c>
      <c r="DG84" s="35">
        <v>0.0</v>
      </c>
      <c r="DH84" s="35">
        <v>0.0</v>
      </c>
      <c r="DI84" s="35">
        <v>0.0</v>
      </c>
      <c r="DJ84" s="35">
        <v>0.0</v>
      </c>
      <c r="DK84" s="35">
        <v>0.0</v>
      </c>
      <c r="DL84" s="35">
        <v>0.0</v>
      </c>
      <c r="DM84" s="35">
        <v>0.0</v>
      </c>
      <c r="DN84" s="31">
        <v>0.0</v>
      </c>
      <c r="DO84" s="31">
        <v>0.0</v>
      </c>
      <c r="DP84" s="31">
        <v>0.0</v>
      </c>
      <c r="DQ84" s="31">
        <v>0.0</v>
      </c>
      <c r="DR84" s="31">
        <v>0.0</v>
      </c>
      <c r="DS84" s="31">
        <v>0.0</v>
      </c>
      <c r="DT84" s="31">
        <f>'Old Balance Sheet'!AC84</f>
        <v>0</v>
      </c>
      <c r="DU84" s="31">
        <f>DT84 + SUMIFS('Payments Log'!D:D, 'Payments Log'!B:B, A84, 'Payments Log'!L:L, "Approved", 'Payments Log'!M:M, "Credit") + 'Old Balance Sheet'!AD84 - 'Old Balance Sheet'!AC84</f>
        <v>0</v>
      </c>
      <c r="DV84" s="31">
        <f>SUMIFS('Payments Log'!D:D, 'Payments Log'!B:B, A84, 'Payments Log'!L:L, "Approved", 'Payments Log'!M:M, "Adjustment Credit") - SUMIFS('Payments Log'!D:D, 'Payments Log'!B:B, A84, 'Payments Log'!L:L, "Approved", 'Payments Log'!M:M, "Adjustment Debit") + 'Old Balance Sheet'!AE84</f>
        <v>0</v>
      </c>
      <c r="DW84" s="31">
        <f>IF(MAXIFS('Payments Log'!N:N, 'Payments Log'!L:L, "Approved", 'Payments Log'!M:M, "Credit", 'Payments Log'!B:B, A84) &gt; MAXIFS('Payments Log'!N:N, 'Payments Log'!L:L, "Approved", 'Payments Log'!M:M, "Virtual Credit", 'Payments Log'!B:B, A84), 0, SUMIFS('Payments Log'!D:D, 'Payments Log'!N:N, MAXIFS('Payments Log'!N:N, 'Payments Log'!L:L, "Approved", 'Payments Log'!M:M, "Virtual Credit", 'Payments Log'!B:B, A84)))</f>
        <v>0</v>
      </c>
      <c r="DX84" s="33">
        <f t="shared" si="6"/>
        <v>0</v>
      </c>
      <c r="DY84" s="33">
        <f t="shared" si="7"/>
        <v>0</v>
      </c>
      <c r="DZ84" s="33">
        <f t="shared" si="8"/>
        <v>0</v>
      </c>
      <c r="EA84" s="25" t="str">
        <f>(Sheet1!N84)</f>
        <v>Chaudhary Automobiles - Hisar</v>
      </c>
      <c r="EB84" s="25" t="str">
        <f>(Sheet1!O84)</f>
        <v>1pI_tDns4A7jbcl0nEvEO_u0FclM2PyV1AT-2Q2Dx2Jo</v>
      </c>
      <c r="EC84" s="26" t="str">
        <f>(Sheet1!P84)</f>
        <v>Sub Dealer</v>
      </c>
      <c r="ED84" s="34" t="s">
        <v>13</v>
      </c>
    </row>
    <row r="85">
      <c r="A85" s="25" t="str">
        <f>(Sheet1!A85)</f>
        <v>1M25XSc1w8NZMexWP6izPWIwiJI8ces6yFAUV3fB4-pA</v>
      </c>
      <c r="B85" s="25" t="str">
        <f>(Sheet1!B85)</f>
        <v>Narwana Automobiles - Narwana</v>
      </c>
      <c r="C85" s="30" t="s">
        <v>13</v>
      </c>
      <c r="D85" s="30" t="s">
        <v>72</v>
      </c>
      <c r="E85" s="30" t="s">
        <v>3817</v>
      </c>
      <c r="F85" s="31">
        <v>205.0</v>
      </c>
      <c r="G85" s="32" t="s">
        <v>3818</v>
      </c>
      <c r="H85" s="31">
        <v>100.0</v>
      </c>
      <c r="I85" s="33">
        <f>'Old Balance Sheet'!A85 + 'ACPL Calculations - 1.0'!A85 + 'ACPL Calculations - 2.0'!A85</f>
        <v>0</v>
      </c>
      <c r="J85" s="30" t="s">
        <v>3817</v>
      </c>
      <c r="K85" s="31">
        <v>205.0</v>
      </c>
      <c r="L85" s="32" t="s">
        <v>3818</v>
      </c>
      <c r="M85" s="31">
        <v>100.0</v>
      </c>
      <c r="N85" s="33">
        <f>'Old Balance Sheet'!B85 + 'ACPL Calculations - 1.0'!B85 + 'ACPL Calculations - 2.0'!B85</f>
        <v>0</v>
      </c>
      <c r="O85" s="30" t="s">
        <v>3817</v>
      </c>
      <c r="P85" s="31">
        <v>290.0</v>
      </c>
      <c r="Q85" s="32" t="s">
        <v>3818</v>
      </c>
      <c r="R85" s="31">
        <v>100.0</v>
      </c>
      <c r="S85" s="33">
        <f>'Old Balance Sheet'!C85 + 'ACPL Calculations - 1.0'!C85 + 'ACPL Calculations - 2.0'!C85</f>
        <v>0</v>
      </c>
      <c r="T85" s="30" t="s">
        <v>3817</v>
      </c>
      <c r="U85" s="31">
        <v>375.0</v>
      </c>
      <c r="V85" s="32" t="s">
        <v>3818</v>
      </c>
      <c r="W85" s="31">
        <v>100.0</v>
      </c>
      <c r="X85" s="33">
        <f>'Old Balance Sheet'!D85 + 'ACPL Calculations - 1.0'!D85 + 'ACPL Calculations - 2.0'!D85</f>
        <v>0</v>
      </c>
      <c r="Y85" s="30" t="s">
        <v>3817</v>
      </c>
      <c r="Z85" s="31">
        <v>460.0</v>
      </c>
      <c r="AA85" s="32" t="s">
        <v>3818</v>
      </c>
      <c r="AB85" s="31">
        <v>100.0</v>
      </c>
      <c r="AC85" s="33">
        <f>'Old Balance Sheet'!E85 + 'ACPL Calculations - 1.0'!E85 + 'ACPL Calculations - 2.0'!E85</f>
        <v>0</v>
      </c>
      <c r="AD85" s="30" t="s">
        <v>3817</v>
      </c>
      <c r="AE85" s="34">
        <v>838.99</v>
      </c>
      <c r="AF85" s="32" t="s">
        <v>3818</v>
      </c>
      <c r="AG85" s="31">
        <v>100.0</v>
      </c>
      <c r="AH85" s="33">
        <f>'Old Balance Sheet'!F85 + 'ACPL Calculations - 1.0'!F85 + 'ACPL Calculations - 2.0'!F85</f>
        <v>0</v>
      </c>
      <c r="AI85" s="30" t="s">
        <v>3817</v>
      </c>
      <c r="AJ85" s="31">
        <v>375.0</v>
      </c>
      <c r="AK85" s="32" t="s">
        <v>3818</v>
      </c>
      <c r="AL85" s="31">
        <v>100.0</v>
      </c>
      <c r="AM85" s="33">
        <f>'Old Balance Sheet'!G85 + 'ACPL Calculations - 1.0'!G85 + 'ACPL Calculations - 2.0'!G85</f>
        <v>0</v>
      </c>
      <c r="AN85" s="30" t="s">
        <v>3817</v>
      </c>
      <c r="AO85" s="31">
        <v>290.0</v>
      </c>
      <c r="AP85" s="32" t="s">
        <v>3818</v>
      </c>
      <c r="AQ85" s="31">
        <v>100.0</v>
      </c>
      <c r="AR85" s="33">
        <f>'Old Balance Sheet'!H85 + 'ACPL Calculations - 1.0'!H85 + 'ACPL Calculations - 2.0'!H85</f>
        <v>0</v>
      </c>
      <c r="AS85" s="30" t="s">
        <v>3819</v>
      </c>
      <c r="AT85" s="31">
        <v>838.99</v>
      </c>
      <c r="AU85" s="32" t="s">
        <v>3818</v>
      </c>
      <c r="AV85" s="31">
        <v>100.0</v>
      </c>
      <c r="AW85" s="33">
        <f>'Old Balance Sheet'!I85 + 'ACPL Calculations - 1.0'!I85 + 'ACPL Calculations - 2.0'!I85</f>
        <v>0</v>
      </c>
      <c r="AX85" s="30" t="s">
        <v>3817</v>
      </c>
      <c r="AY85" s="31">
        <v>290.0</v>
      </c>
      <c r="AZ85" s="32" t="s">
        <v>3818</v>
      </c>
      <c r="BA85" s="31">
        <v>100.0</v>
      </c>
      <c r="BB85" s="33">
        <f>'Old Balance Sheet'!J85 + 'ACPL Calculations - 1.0'!J85 + 'ACPL Calculations - 2.0'!J85</f>
        <v>0</v>
      </c>
      <c r="BC85" s="30" t="s">
        <v>3817</v>
      </c>
      <c r="BD85" s="31">
        <v>205.0</v>
      </c>
      <c r="BE85" s="32" t="s">
        <v>3818</v>
      </c>
      <c r="BF85" s="31">
        <v>100.0</v>
      </c>
      <c r="BG85" s="33">
        <f>'Old Balance Sheet'!K85 + 'ACPL Calculations - 1.0'!K85 + 'ACPL Calculations - 2.0'!K85</f>
        <v>0</v>
      </c>
      <c r="BH85" s="30" t="s">
        <v>3817</v>
      </c>
      <c r="BI85" s="31">
        <v>205.0</v>
      </c>
      <c r="BJ85" s="32" t="s">
        <v>3818</v>
      </c>
      <c r="BK85" s="31">
        <v>100.0</v>
      </c>
      <c r="BL85" s="33">
        <f>'Old Balance Sheet'!L85 + 'ACPL Calculations - 1.0'!L85 + 'ACPL Calculations - 2.0'!L85</f>
        <v>0</v>
      </c>
      <c r="BM85" s="33"/>
      <c r="BN85" s="33"/>
      <c r="BO85" s="33"/>
      <c r="BP85" s="33"/>
      <c r="BQ85" s="33"/>
      <c r="BR85" s="33"/>
      <c r="BS85" s="33"/>
      <c r="BT85" s="33"/>
      <c r="BU85" s="33"/>
      <c r="BV85" s="33"/>
      <c r="BW85" s="33"/>
      <c r="BX85" s="33"/>
      <c r="BY85" s="33"/>
      <c r="BZ85" s="33"/>
      <c r="CA85" s="33"/>
      <c r="CB85" s="33"/>
      <c r="CC85" s="33"/>
      <c r="CD85" s="33"/>
      <c r="CE85" s="33"/>
      <c r="CF85" s="33"/>
      <c r="CG85" s="33"/>
      <c r="CH85" s="33"/>
      <c r="CI85" s="33"/>
      <c r="CJ85" s="33"/>
      <c r="CK85" s="33"/>
      <c r="CL85" s="33">
        <f t="shared" si="1"/>
        <v>0</v>
      </c>
      <c r="CM85" s="33">
        <f>'Old Balance Sheet'!R85 + 'ACPL Calculations - 1.0'!S85 + 'ACPL Calculations - 2.0'!S85</f>
        <v>0</v>
      </c>
      <c r="CN85" s="33">
        <f>'Old Balance Sheet'!S85 + 'ACPL Calculations - 1.0'!T85 + 'ACPL Calculations - 2.0'!T85</f>
        <v>0</v>
      </c>
      <c r="CO85" s="33">
        <f t="shared" si="2"/>
        <v>0</v>
      </c>
      <c r="CP85" s="33">
        <f>'Old Balance Sheet'!T85 + 'ACPL Calculations - 1.0'!V85 + 'ACPL Calculations - 2.0'!V85</f>
        <v>0</v>
      </c>
      <c r="CQ85" s="33">
        <f>'Old Balance Sheet'!U85 + 'ACPL Calculations - 1.0'!W85 + 'ACPL Calculations - 2.0'!W85</f>
        <v>0</v>
      </c>
      <c r="CR85" s="33">
        <f>'Old Balance Sheet'!V85 + 'ACPL Calculations - 1.0'!X85 + 'ACPL Calculations - 2.0'!X85</f>
        <v>0</v>
      </c>
      <c r="CS85" s="33">
        <f t="shared" si="3"/>
        <v>0</v>
      </c>
      <c r="CT85" s="35"/>
      <c r="CU85" s="35"/>
      <c r="CV85" s="35"/>
      <c r="CW85" s="36">
        <f>'Old Balance Sheet'!W85 + 'ACPL Calculations - 1.0'!Z85 + 'ACPL Calculations - 2.0'!Z85</f>
        <v>0</v>
      </c>
      <c r="CX85" s="36">
        <f>'Old Balance Sheet'!X85 + 'ACPL Calculations - 1.0'!AA85 + 'ACPL Calculations - 2.0'!AA85</f>
        <v>0</v>
      </c>
      <c r="CY85" s="37">
        <v>0.0</v>
      </c>
      <c r="CZ85" s="38">
        <f>'Old Balance Sheet'!Y85 + 'ACPL Calculations - 1.0'!AB85 + 'ACPL Calculations - 2.0'!AB85</f>
        <v>0</v>
      </c>
      <c r="DA85" s="38">
        <f>'Old Balance Sheet'!Z85 + 'ACPL Calculations - 1.0'!AC85 + 'ACPL Calculations - 2.0'!AC85</f>
        <v>0</v>
      </c>
      <c r="DB85" s="38">
        <f>'Old Balance Sheet'!AA85 + 'ACPL Calculations - 1.0'!AD85 + 'ACPL Calculations - 2.0'!AD85</f>
        <v>0</v>
      </c>
      <c r="DC85" s="38">
        <f>'Old Balance Sheet'!AB85 + 'ACPL Calculations - 1.0'!AE85 + 'ACPL Calculations - 2.0'!AE85</f>
        <v>0</v>
      </c>
      <c r="DD85" s="38">
        <f t="shared" si="4"/>
        <v>0</v>
      </c>
      <c r="DE85" s="33">
        <f t="shared" si="5"/>
        <v>0</v>
      </c>
      <c r="DF85" s="35">
        <v>0.0</v>
      </c>
      <c r="DG85" s="35">
        <v>0.0</v>
      </c>
      <c r="DH85" s="35">
        <v>0.0</v>
      </c>
      <c r="DI85" s="35">
        <v>0.0</v>
      </c>
      <c r="DJ85" s="35">
        <v>0.0</v>
      </c>
      <c r="DK85" s="35">
        <v>0.0</v>
      </c>
      <c r="DL85" s="35">
        <v>0.0</v>
      </c>
      <c r="DM85" s="35">
        <v>0.0</v>
      </c>
      <c r="DN85" s="31">
        <v>0.0</v>
      </c>
      <c r="DO85" s="31">
        <v>0.0</v>
      </c>
      <c r="DP85" s="31">
        <v>0.0</v>
      </c>
      <c r="DQ85" s="31">
        <v>0.0</v>
      </c>
      <c r="DR85" s="31">
        <v>0.0</v>
      </c>
      <c r="DS85" s="31">
        <v>0.0</v>
      </c>
      <c r="DT85" s="31">
        <f>'Old Balance Sheet'!AC85</f>
        <v>-390</v>
      </c>
      <c r="DU85" s="31">
        <f>DT85 + SUMIFS('Payments Log'!D:D, 'Payments Log'!B:B, A85, 'Payments Log'!L:L, "Approved", 'Payments Log'!M:M, "Credit") + 'Old Balance Sheet'!AD85 - 'Old Balance Sheet'!AC85</f>
        <v>-390</v>
      </c>
      <c r="DV85" s="31">
        <f>SUMIFS('Payments Log'!D:D, 'Payments Log'!B:B, A85, 'Payments Log'!L:L, "Approved", 'Payments Log'!M:M, "Adjustment Credit") - SUMIFS('Payments Log'!D:D, 'Payments Log'!B:B, A85, 'Payments Log'!L:L, "Approved", 'Payments Log'!M:M, "Adjustment Debit") + 'Old Balance Sheet'!AE85</f>
        <v>390</v>
      </c>
      <c r="DW85" s="31">
        <f>IF(MAXIFS('Payments Log'!N:N, 'Payments Log'!L:L, "Approved", 'Payments Log'!M:M, "Credit", 'Payments Log'!B:B, A85) &gt; MAXIFS('Payments Log'!N:N, 'Payments Log'!L:L, "Approved", 'Payments Log'!M:M, "Virtual Credit", 'Payments Log'!B:B, A85), 0, SUMIFS('Payments Log'!D:D, 'Payments Log'!N:N, MAXIFS('Payments Log'!N:N, 'Payments Log'!L:L, "Approved", 'Payments Log'!M:M, "Virtual Credit", 'Payments Log'!B:B, A85)))</f>
        <v>0</v>
      </c>
      <c r="DX85" s="33">
        <f t="shared" si="6"/>
        <v>0</v>
      </c>
      <c r="DY85" s="33">
        <f t="shared" si="7"/>
        <v>0</v>
      </c>
      <c r="DZ85" s="33">
        <f t="shared" si="8"/>
        <v>0</v>
      </c>
      <c r="EA85" s="25" t="str">
        <f>(Sheet1!N85)</f>
        <v>Narwana Automobiles - Narwana</v>
      </c>
      <c r="EB85" s="25" t="str">
        <f>(Sheet1!O85)</f>
        <v>1M25XSc1w8NZMexWP6izPWIwiJI8ces6yFAUV3fB4-pA</v>
      </c>
      <c r="EC85" s="26" t="str">
        <f>(Sheet1!P85)</f>
        <v>Dealer</v>
      </c>
      <c r="ED85" s="34" t="s">
        <v>13</v>
      </c>
    </row>
    <row r="86">
      <c r="A86" s="25" t="str">
        <f>(Sheet1!A86)</f>
        <v>1UIyqHTLBGZ9oJJifSEPsCIcKejmqUySrjCf7ZVdx8Gs</v>
      </c>
      <c r="B86" s="25" t="str">
        <f>(Sheet1!B86)</f>
        <v>Shiv Auto- Balsamand</v>
      </c>
      <c r="C86" s="30" t="s">
        <v>13</v>
      </c>
      <c r="D86" s="30" t="s">
        <v>72</v>
      </c>
      <c r="E86" s="30" t="s">
        <v>3817</v>
      </c>
      <c r="F86" s="31">
        <v>205.0</v>
      </c>
      <c r="G86" s="32" t="s">
        <v>3818</v>
      </c>
      <c r="H86" s="31">
        <v>100.0</v>
      </c>
      <c r="I86" s="33">
        <f>'Old Balance Sheet'!A86 + 'ACPL Calculations - 1.0'!A86 + 'ACPL Calculations - 2.0'!A86</f>
        <v>0</v>
      </c>
      <c r="J86" s="30" t="s">
        <v>3817</v>
      </c>
      <c r="K86" s="31">
        <v>205.0</v>
      </c>
      <c r="L86" s="32" t="s">
        <v>3818</v>
      </c>
      <c r="M86" s="31">
        <v>100.0</v>
      </c>
      <c r="N86" s="33">
        <f>'Old Balance Sheet'!B86 + 'ACPL Calculations - 1.0'!B86 + 'ACPL Calculations - 2.0'!B86</f>
        <v>0</v>
      </c>
      <c r="O86" s="30" t="s">
        <v>3817</v>
      </c>
      <c r="P86" s="31">
        <v>290.0</v>
      </c>
      <c r="Q86" s="32" t="s">
        <v>3818</v>
      </c>
      <c r="R86" s="31">
        <v>100.0</v>
      </c>
      <c r="S86" s="33">
        <f>'Old Balance Sheet'!C86 + 'ACPL Calculations - 1.0'!C86 + 'ACPL Calculations - 2.0'!C86</f>
        <v>0</v>
      </c>
      <c r="T86" s="30" t="s">
        <v>3817</v>
      </c>
      <c r="U86" s="31">
        <v>375.0</v>
      </c>
      <c r="V86" s="32" t="s">
        <v>3818</v>
      </c>
      <c r="W86" s="31">
        <v>100.0</v>
      </c>
      <c r="X86" s="33">
        <f>'Old Balance Sheet'!D86 + 'ACPL Calculations - 1.0'!D86 + 'ACPL Calculations - 2.0'!D86</f>
        <v>0</v>
      </c>
      <c r="Y86" s="30" t="s">
        <v>3817</v>
      </c>
      <c r="Z86" s="31">
        <v>460.0</v>
      </c>
      <c r="AA86" s="32" t="s">
        <v>3818</v>
      </c>
      <c r="AB86" s="31">
        <v>100.0</v>
      </c>
      <c r="AC86" s="33">
        <f>'Old Balance Sheet'!E86 + 'ACPL Calculations - 1.0'!E86 + 'ACPL Calculations - 2.0'!E86</f>
        <v>0</v>
      </c>
      <c r="AD86" s="30" t="s">
        <v>3817</v>
      </c>
      <c r="AE86" s="34">
        <v>838.99</v>
      </c>
      <c r="AF86" s="32" t="s">
        <v>3818</v>
      </c>
      <c r="AG86" s="31">
        <v>100.0</v>
      </c>
      <c r="AH86" s="33">
        <f>'Old Balance Sheet'!F86 + 'ACPL Calculations - 1.0'!F86 + 'ACPL Calculations - 2.0'!F86</f>
        <v>0</v>
      </c>
      <c r="AI86" s="30" t="s">
        <v>3817</v>
      </c>
      <c r="AJ86" s="31">
        <v>375.0</v>
      </c>
      <c r="AK86" s="32" t="s">
        <v>3818</v>
      </c>
      <c r="AL86" s="31">
        <v>100.0</v>
      </c>
      <c r="AM86" s="33">
        <f>'Old Balance Sheet'!G86 + 'ACPL Calculations - 1.0'!G86 + 'ACPL Calculations - 2.0'!G86</f>
        <v>0</v>
      </c>
      <c r="AN86" s="30" t="s">
        <v>3817</v>
      </c>
      <c r="AO86" s="31">
        <v>290.0</v>
      </c>
      <c r="AP86" s="32" t="s">
        <v>3818</v>
      </c>
      <c r="AQ86" s="31">
        <v>100.0</v>
      </c>
      <c r="AR86" s="33">
        <f>'Old Balance Sheet'!H86 + 'ACPL Calculations - 1.0'!H86 + 'ACPL Calculations - 2.0'!H86</f>
        <v>0</v>
      </c>
      <c r="AS86" s="30" t="s">
        <v>3819</v>
      </c>
      <c r="AT86" s="31">
        <v>838.99</v>
      </c>
      <c r="AU86" s="32" t="s">
        <v>3818</v>
      </c>
      <c r="AV86" s="31">
        <v>100.0</v>
      </c>
      <c r="AW86" s="33">
        <f>'Old Balance Sheet'!I86 + 'ACPL Calculations - 1.0'!I86 + 'ACPL Calculations - 2.0'!I86</f>
        <v>0</v>
      </c>
      <c r="AX86" s="30" t="s">
        <v>3817</v>
      </c>
      <c r="AY86" s="31">
        <v>290.0</v>
      </c>
      <c r="AZ86" s="32" t="s">
        <v>3818</v>
      </c>
      <c r="BA86" s="31">
        <v>100.0</v>
      </c>
      <c r="BB86" s="33">
        <f>'Old Balance Sheet'!J86 + 'ACPL Calculations - 1.0'!J86 + 'ACPL Calculations - 2.0'!J86</f>
        <v>0</v>
      </c>
      <c r="BC86" s="30" t="s">
        <v>3817</v>
      </c>
      <c r="BD86" s="31">
        <v>205.0</v>
      </c>
      <c r="BE86" s="32" t="s">
        <v>3818</v>
      </c>
      <c r="BF86" s="31">
        <v>100.0</v>
      </c>
      <c r="BG86" s="33">
        <f>'Old Balance Sheet'!K86 + 'ACPL Calculations - 1.0'!K86 + 'ACPL Calculations - 2.0'!K86</f>
        <v>0</v>
      </c>
      <c r="BH86" s="30" t="s">
        <v>3817</v>
      </c>
      <c r="BI86" s="31">
        <v>205.0</v>
      </c>
      <c r="BJ86" s="32" t="s">
        <v>3818</v>
      </c>
      <c r="BK86" s="31">
        <v>100.0</v>
      </c>
      <c r="BL86" s="33">
        <f>'Old Balance Sheet'!L86 + 'ACPL Calculations - 1.0'!L86 + 'ACPL Calculations - 2.0'!L86</f>
        <v>0</v>
      </c>
      <c r="BM86" s="33"/>
      <c r="BN86" s="33"/>
      <c r="BO86" s="33"/>
      <c r="BP86" s="33"/>
      <c r="BQ86" s="33"/>
      <c r="BR86" s="33"/>
      <c r="BS86" s="33"/>
      <c r="BT86" s="33"/>
      <c r="BU86" s="33"/>
      <c r="BV86" s="33"/>
      <c r="BW86" s="33"/>
      <c r="BX86" s="33"/>
      <c r="BY86" s="33"/>
      <c r="BZ86" s="33"/>
      <c r="CA86" s="33"/>
      <c r="CB86" s="33"/>
      <c r="CC86" s="33"/>
      <c r="CD86" s="33"/>
      <c r="CE86" s="33"/>
      <c r="CF86" s="33"/>
      <c r="CG86" s="33"/>
      <c r="CH86" s="33"/>
      <c r="CI86" s="33"/>
      <c r="CJ86" s="33"/>
      <c r="CK86" s="33"/>
      <c r="CL86" s="33">
        <f t="shared" si="1"/>
        <v>0</v>
      </c>
      <c r="CM86" s="33">
        <f>'Old Balance Sheet'!R86 + 'ACPL Calculations - 1.0'!S86 + 'ACPL Calculations - 2.0'!S86</f>
        <v>0</v>
      </c>
      <c r="CN86" s="33">
        <f>'Old Balance Sheet'!S86 + 'ACPL Calculations - 1.0'!T86 + 'ACPL Calculations - 2.0'!T86</f>
        <v>0</v>
      </c>
      <c r="CO86" s="33">
        <f t="shared" si="2"/>
        <v>0</v>
      </c>
      <c r="CP86" s="33">
        <f>'Old Balance Sheet'!T86 + 'ACPL Calculations - 1.0'!V86 + 'ACPL Calculations - 2.0'!V86</f>
        <v>0</v>
      </c>
      <c r="CQ86" s="33">
        <f>'Old Balance Sheet'!U86 + 'ACPL Calculations - 1.0'!W86 + 'ACPL Calculations - 2.0'!W86</f>
        <v>0</v>
      </c>
      <c r="CR86" s="33">
        <f>'Old Balance Sheet'!V86 + 'ACPL Calculations - 1.0'!X86 + 'ACPL Calculations - 2.0'!X86</f>
        <v>0</v>
      </c>
      <c r="CS86" s="33">
        <f t="shared" si="3"/>
        <v>0</v>
      </c>
      <c r="CT86" s="35"/>
      <c r="CU86" s="35"/>
      <c r="CV86" s="35"/>
      <c r="CW86" s="36">
        <f>'Old Balance Sheet'!W86 + 'ACPL Calculations - 1.0'!Z86 + 'ACPL Calculations - 2.0'!Z86</f>
        <v>0</v>
      </c>
      <c r="CX86" s="36">
        <f>'Old Balance Sheet'!X86 + 'ACPL Calculations - 1.0'!AA86 + 'ACPL Calculations - 2.0'!AA86</f>
        <v>0</v>
      </c>
      <c r="CY86" s="37">
        <v>0.0</v>
      </c>
      <c r="CZ86" s="38">
        <f>'Old Balance Sheet'!Y86 + 'ACPL Calculations - 1.0'!AB86 + 'ACPL Calculations - 2.0'!AB86</f>
        <v>0</v>
      </c>
      <c r="DA86" s="38">
        <f>'Old Balance Sheet'!Z86 + 'ACPL Calculations - 1.0'!AC86 + 'ACPL Calculations - 2.0'!AC86</f>
        <v>0</v>
      </c>
      <c r="DB86" s="38">
        <f>'Old Balance Sheet'!AA86 + 'ACPL Calculations - 1.0'!AD86 + 'ACPL Calculations - 2.0'!AD86</f>
        <v>0</v>
      </c>
      <c r="DC86" s="38">
        <f>'Old Balance Sheet'!AB86 + 'ACPL Calculations - 1.0'!AE86 + 'ACPL Calculations - 2.0'!AE86</f>
        <v>0</v>
      </c>
      <c r="DD86" s="38">
        <f t="shared" si="4"/>
        <v>0</v>
      </c>
      <c r="DE86" s="33">
        <f t="shared" si="5"/>
        <v>0</v>
      </c>
      <c r="DF86" s="35">
        <v>0.0</v>
      </c>
      <c r="DG86" s="35">
        <v>0.0</v>
      </c>
      <c r="DH86" s="35">
        <v>0.0</v>
      </c>
      <c r="DI86" s="35">
        <v>0.0</v>
      </c>
      <c r="DJ86" s="35">
        <v>0.0</v>
      </c>
      <c r="DK86" s="35">
        <v>0.0</v>
      </c>
      <c r="DL86" s="35">
        <v>0.0</v>
      </c>
      <c r="DM86" s="35">
        <v>0.0</v>
      </c>
      <c r="DN86" s="31">
        <v>0.0</v>
      </c>
      <c r="DO86" s="31">
        <v>0.0</v>
      </c>
      <c r="DP86" s="31">
        <v>0.0</v>
      </c>
      <c r="DQ86" s="31">
        <v>0.0</v>
      </c>
      <c r="DR86" s="31">
        <v>0.0</v>
      </c>
      <c r="DS86" s="31">
        <v>0.0</v>
      </c>
      <c r="DT86" s="31">
        <f>'Old Balance Sheet'!AC86</f>
        <v>0</v>
      </c>
      <c r="DU86" s="31">
        <f>DT86 + SUMIFS('Payments Log'!D:D, 'Payments Log'!B:B, A86, 'Payments Log'!L:L, "Approved", 'Payments Log'!M:M, "Credit") + 'Old Balance Sheet'!AD86 - 'Old Balance Sheet'!AC86</f>
        <v>0</v>
      </c>
      <c r="DV86" s="31">
        <f>SUMIFS('Payments Log'!D:D, 'Payments Log'!B:B, A86, 'Payments Log'!L:L, "Approved", 'Payments Log'!M:M, "Adjustment Credit") - SUMIFS('Payments Log'!D:D, 'Payments Log'!B:B, A86, 'Payments Log'!L:L, "Approved", 'Payments Log'!M:M, "Adjustment Debit") + 'Old Balance Sheet'!AE86</f>
        <v>0</v>
      </c>
      <c r="DW86" s="31">
        <f>IF(MAXIFS('Payments Log'!N:N, 'Payments Log'!L:L, "Approved", 'Payments Log'!M:M, "Credit", 'Payments Log'!B:B, A86) &gt; MAXIFS('Payments Log'!N:N, 'Payments Log'!L:L, "Approved", 'Payments Log'!M:M, "Virtual Credit", 'Payments Log'!B:B, A86), 0, SUMIFS('Payments Log'!D:D, 'Payments Log'!N:N, MAXIFS('Payments Log'!N:N, 'Payments Log'!L:L, "Approved", 'Payments Log'!M:M, "Virtual Credit", 'Payments Log'!B:B, A86)))</f>
        <v>0</v>
      </c>
      <c r="DX86" s="33">
        <f t="shared" si="6"/>
        <v>0</v>
      </c>
      <c r="DY86" s="33">
        <f t="shared" si="7"/>
        <v>0</v>
      </c>
      <c r="DZ86" s="33">
        <f t="shared" si="8"/>
        <v>0</v>
      </c>
      <c r="EA86" s="25" t="str">
        <f>(Sheet1!N86)</f>
        <v>Chaudhary Automobiles - Hisar</v>
      </c>
      <c r="EB86" s="25" t="str">
        <f>(Sheet1!O86)</f>
        <v>1pI_tDns4A7jbcl0nEvEO_u0FclM2PyV1AT-2Q2Dx2Jo</v>
      </c>
      <c r="EC86" s="26" t="str">
        <f>(Sheet1!P86)</f>
        <v>Sub Dealer</v>
      </c>
      <c r="ED86" s="34" t="s">
        <v>13</v>
      </c>
    </row>
    <row r="87">
      <c r="A87" s="25" t="str">
        <f>(Sheet1!A87)</f>
        <v>1Q4aI-AB3iqaBUsFrzL3oASW-2tjkwXyAtJSO1Lx4Z04</v>
      </c>
      <c r="B87" s="25" t="str">
        <f>(Sheet1!B87)</f>
        <v>SAINI AUTOMOBILES-HANSI</v>
      </c>
      <c r="C87" s="30" t="s">
        <v>13</v>
      </c>
      <c r="D87" s="30" t="s">
        <v>72</v>
      </c>
      <c r="E87" s="30" t="s">
        <v>3817</v>
      </c>
      <c r="F87" s="31">
        <v>205.0</v>
      </c>
      <c r="G87" s="32" t="s">
        <v>3818</v>
      </c>
      <c r="H87" s="31">
        <v>100.0</v>
      </c>
      <c r="I87" s="33">
        <f>'Old Balance Sheet'!A87 + 'ACPL Calculations - 1.0'!A87 + 'ACPL Calculations - 2.0'!A87</f>
        <v>0</v>
      </c>
      <c r="J87" s="30" t="s">
        <v>3817</v>
      </c>
      <c r="K87" s="31">
        <v>205.0</v>
      </c>
      <c r="L87" s="32" t="s">
        <v>3818</v>
      </c>
      <c r="M87" s="31">
        <v>100.0</v>
      </c>
      <c r="N87" s="33">
        <f>'Old Balance Sheet'!B87 + 'ACPL Calculations - 1.0'!B87 + 'ACPL Calculations - 2.0'!B87</f>
        <v>0</v>
      </c>
      <c r="O87" s="30" t="s">
        <v>3817</v>
      </c>
      <c r="P87" s="31">
        <v>290.0</v>
      </c>
      <c r="Q87" s="32" t="s">
        <v>3818</v>
      </c>
      <c r="R87" s="31">
        <v>100.0</v>
      </c>
      <c r="S87" s="33">
        <f>'Old Balance Sheet'!C87 + 'ACPL Calculations - 1.0'!C87 + 'ACPL Calculations - 2.0'!C87</f>
        <v>0</v>
      </c>
      <c r="T87" s="30" t="s">
        <v>3817</v>
      </c>
      <c r="U87" s="31">
        <v>375.0</v>
      </c>
      <c r="V87" s="32" t="s">
        <v>3818</v>
      </c>
      <c r="W87" s="31">
        <v>100.0</v>
      </c>
      <c r="X87" s="33">
        <f>'Old Balance Sheet'!D87 + 'ACPL Calculations - 1.0'!D87 + 'ACPL Calculations - 2.0'!D87</f>
        <v>0</v>
      </c>
      <c r="Y87" s="30" t="s">
        <v>3817</v>
      </c>
      <c r="Z87" s="31">
        <v>460.0</v>
      </c>
      <c r="AA87" s="32" t="s">
        <v>3818</v>
      </c>
      <c r="AB87" s="31">
        <v>100.0</v>
      </c>
      <c r="AC87" s="33">
        <f>'Old Balance Sheet'!E87 + 'ACPL Calculations - 1.0'!E87 + 'ACPL Calculations - 2.0'!E87</f>
        <v>0</v>
      </c>
      <c r="AD87" s="30" t="s">
        <v>3817</v>
      </c>
      <c r="AE87" s="34">
        <v>838.99</v>
      </c>
      <c r="AF87" s="32" t="s">
        <v>3818</v>
      </c>
      <c r="AG87" s="31">
        <v>100.0</v>
      </c>
      <c r="AH87" s="33">
        <f>'Old Balance Sheet'!F87 + 'ACPL Calculations - 1.0'!F87 + 'ACPL Calculations - 2.0'!F87</f>
        <v>0</v>
      </c>
      <c r="AI87" s="30" t="s">
        <v>3817</v>
      </c>
      <c r="AJ87" s="31">
        <v>375.0</v>
      </c>
      <c r="AK87" s="32" t="s">
        <v>3818</v>
      </c>
      <c r="AL87" s="31">
        <v>100.0</v>
      </c>
      <c r="AM87" s="33">
        <f>'Old Balance Sheet'!G87 + 'ACPL Calculations - 1.0'!G87 + 'ACPL Calculations - 2.0'!G87</f>
        <v>0</v>
      </c>
      <c r="AN87" s="30" t="s">
        <v>3817</v>
      </c>
      <c r="AO87" s="31">
        <v>290.0</v>
      </c>
      <c r="AP87" s="32" t="s">
        <v>3818</v>
      </c>
      <c r="AQ87" s="31">
        <v>100.0</v>
      </c>
      <c r="AR87" s="33">
        <f>'Old Balance Sheet'!H87 + 'ACPL Calculations - 1.0'!H87 + 'ACPL Calculations - 2.0'!H87</f>
        <v>0</v>
      </c>
      <c r="AS87" s="30" t="s">
        <v>3819</v>
      </c>
      <c r="AT87" s="31">
        <v>838.99</v>
      </c>
      <c r="AU87" s="32" t="s">
        <v>3818</v>
      </c>
      <c r="AV87" s="31">
        <v>100.0</v>
      </c>
      <c r="AW87" s="33">
        <f>'Old Balance Sheet'!I87 + 'ACPL Calculations - 1.0'!I87 + 'ACPL Calculations - 2.0'!I87</f>
        <v>0</v>
      </c>
      <c r="AX87" s="30" t="s">
        <v>3817</v>
      </c>
      <c r="AY87" s="31">
        <v>290.0</v>
      </c>
      <c r="AZ87" s="32" t="s">
        <v>3818</v>
      </c>
      <c r="BA87" s="31">
        <v>100.0</v>
      </c>
      <c r="BB87" s="33">
        <f>'Old Balance Sheet'!J87 + 'ACPL Calculations - 1.0'!J87 + 'ACPL Calculations - 2.0'!J87</f>
        <v>0</v>
      </c>
      <c r="BC87" s="30" t="s">
        <v>3817</v>
      </c>
      <c r="BD87" s="31">
        <v>205.0</v>
      </c>
      <c r="BE87" s="32" t="s">
        <v>3818</v>
      </c>
      <c r="BF87" s="31">
        <v>100.0</v>
      </c>
      <c r="BG87" s="33">
        <f>'Old Balance Sheet'!K87 + 'ACPL Calculations - 1.0'!K87 + 'ACPL Calculations - 2.0'!K87</f>
        <v>0</v>
      </c>
      <c r="BH87" s="30" t="s">
        <v>3817</v>
      </c>
      <c r="BI87" s="31">
        <v>205.0</v>
      </c>
      <c r="BJ87" s="32" t="s">
        <v>3818</v>
      </c>
      <c r="BK87" s="31">
        <v>100.0</v>
      </c>
      <c r="BL87" s="33">
        <f>'Old Balance Sheet'!L87 + 'ACPL Calculations - 1.0'!L87 + 'ACPL Calculations - 2.0'!L87</f>
        <v>0</v>
      </c>
      <c r="BM87" s="33"/>
      <c r="BN87" s="33"/>
      <c r="BO87" s="33"/>
      <c r="BP87" s="33"/>
      <c r="BQ87" s="33"/>
      <c r="BR87" s="33"/>
      <c r="BS87" s="33"/>
      <c r="BT87" s="33"/>
      <c r="BU87" s="33"/>
      <c r="BV87" s="33"/>
      <c r="BW87" s="33"/>
      <c r="BX87" s="33"/>
      <c r="BY87" s="33"/>
      <c r="BZ87" s="33"/>
      <c r="CA87" s="33"/>
      <c r="CB87" s="33"/>
      <c r="CC87" s="33"/>
      <c r="CD87" s="33"/>
      <c r="CE87" s="33"/>
      <c r="CF87" s="33"/>
      <c r="CG87" s="33"/>
      <c r="CH87" s="33"/>
      <c r="CI87" s="33"/>
      <c r="CJ87" s="33"/>
      <c r="CK87" s="33"/>
      <c r="CL87" s="33">
        <f t="shared" si="1"/>
        <v>0</v>
      </c>
      <c r="CM87" s="33">
        <f>'Old Balance Sheet'!R87 + 'ACPL Calculations - 1.0'!S87 + 'ACPL Calculations - 2.0'!S87</f>
        <v>0</v>
      </c>
      <c r="CN87" s="33">
        <f>'Old Balance Sheet'!S87 + 'ACPL Calculations - 1.0'!T87 + 'ACPL Calculations - 2.0'!T87</f>
        <v>0</v>
      </c>
      <c r="CO87" s="33">
        <f t="shared" si="2"/>
        <v>0</v>
      </c>
      <c r="CP87" s="33">
        <f>'Old Balance Sheet'!T87 + 'ACPL Calculations - 1.0'!V87 + 'ACPL Calculations - 2.0'!V87</f>
        <v>0</v>
      </c>
      <c r="CQ87" s="33">
        <f>'Old Balance Sheet'!U87 + 'ACPL Calculations - 1.0'!W87 + 'ACPL Calculations - 2.0'!W87</f>
        <v>0</v>
      </c>
      <c r="CR87" s="33">
        <f>'Old Balance Sheet'!V87 + 'ACPL Calculations - 1.0'!X87 + 'ACPL Calculations - 2.0'!X87</f>
        <v>0</v>
      </c>
      <c r="CS87" s="33">
        <f t="shared" si="3"/>
        <v>0</v>
      </c>
      <c r="CT87" s="35"/>
      <c r="CU87" s="35"/>
      <c r="CV87" s="35"/>
      <c r="CW87" s="36">
        <f>'Old Balance Sheet'!W87 + 'ACPL Calculations - 1.0'!Z87 + 'ACPL Calculations - 2.0'!Z87</f>
        <v>0</v>
      </c>
      <c r="CX87" s="36">
        <f>'Old Balance Sheet'!X87 + 'ACPL Calculations - 1.0'!AA87 + 'ACPL Calculations - 2.0'!AA87</f>
        <v>0</v>
      </c>
      <c r="CY87" s="37">
        <v>0.0</v>
      </c>
      <c r="CZ87" s="38">
        <f>'Old Balance Sheet'!Y87 + 'ACPL Calculations - 1.0'!AB87 + 'ACPL Calculations - 2.0'!AB87</f>
        <v>0</v>
      </c>
      <c r="DA87" s="38">
        <f>'Old Balance Sheet'!Z87 + 'ACPL Calculations - 1.0'!AC87 + 'ACPL Calculations - 2.0'!AC87</f>
        <v>0</v>
      </c>
      <c r="DB87" s="38">
        <f>'Old Balance Sheet'!AA87 + 'ACPL Calculations - 1.0'!AD87 + 'ACPL Calculations - 2.0'!AD87</f>
        <v>0</v>
      </c>
      <c r="DC87" s="38">
        <f>'Old Balance Sheet'!AB87 + 'ACPL Calculations - 1.0'!AE87 + 'ACPL Calculations - 2.0'!AE87</f>
        <v>0</v>
      </c>
      <c r="DD87" s="38">
        <f t="shared" si="4"/>
        <v>0</v>
      </c>
      <c r="DE87" s="33">
        <f t="shared" si="5"/>
        <v>0</v>
      </c>
      <c r="DF87" s="35">
        <v>0.0</v>
      </c>
      <c r="DG87" s="35">
        <v>0.0</v>
      </c>
      <c r="DH87" s="35">
        <v>0.0</v>
      </c>
      <c r="DI87" s="35">
        <v>0.0</v>
      </c>
      <c r="DJ87" s="35">
        <v>0.0</v>
      </c>
      <c r="DK87" s="35">
        <v>0.0</v>
      </c>
      <c r="DL87" s="35">
        <v>0.0</v>
      </c>
      <c r="DM87" s="35">
        <v>0.0</v>
      </c>
      <c r="DN87" s="31">
        <v>0.0</v>
      </c>
      <c r="DO87" s="31">
        <v>0.0</v>
      </c>
      <c r="DP87" s="31">
        <v>0.0</v>
      </c>
      <c r="DQ87" s="31">
        <v>0.0</v>
      </c>
      <c r="DR87" s="31">
        <v>0.0</v>
      </c>
      <c r="DS87" s="31">
        <v>0.0</v>
      </c>
      <c r="DT87" s="31">
        <f>'Old Balance Sheet'!AC87</f>
        <v>0</v>
      </c>
      <c r="DU87" s="31">
        <f>DT87 + SUMIFS('Payments Log'!D:D, 'Payments Log'!B:B, A87, 'Payments Log'!L:L, "Approved", 'Payments Log'!M:M, "Credit") + 'Old Balance Sheet'!AD87 - 'Old Balance Sheet'!AC87</f>
        <v>0</v>
      </c>
      <c r="DV87" s="31">
        <f>SUMIFS('Payments Log'!D:D, 'Payments Log'!B:B, A87, 'Payments Log'!L:L, "Approved", 'Payments Log'!M:M, "Adjustment Credit") - SUMIFS('Payments Log'!D:D, 'Payments Log'!B:B, A87, 'Payments Log'!L:L, "Approved", 'Payments Log'!M:M, "Adjustment Debit") + 'Old Balance Sheet'!AE87</f>
        <v>0</v>
      </c>
      <c r="DW87" s="31">
        <f>IF(MAXIFS('Payments Log'!N:N, 'Payments Log'!L:L, "Approved", 'Payments Log'!M:M, "Credit", 'Payments Log'!B:B, A87) &gt; MAXIFS('Payments Log'!N:N, 'Payments Log'!L:L, "Approved", 'Payments Log'!M:M, "Virtual Credit", 'Payments Log'!B:B, A87), 0, SUMIFS('Payments Log'!D:D, 'Payments Log'!N:N, MAXIFS('Payments Log'!N:N, 'Payments Log'!L:L, "Approved", 'Payments Log'!M:M, "Virtual Credit", 'Payments Log'!B:B, A87)))</f>
        <v>0</v>
      </c>
      <c r="DX87" s="33">
        <f t="shared" si="6"/>
        <v>0</v>
      </c>
      <c r="DY87" s="33">
        <f t="shared" si="7"/>
        <v>0</v>
      </c>
      <c r="DZ87" s="33">
        <f t="shared" si="8"/>
        <v>0</v>
      </c>
      <c r="EA87" s="25" t="str">
        <f>(Sheet1!N87)</f>
        <v>Chaudhary Automobiles - Hisar</v>
      </c>
      <c r="EB87" s="25" t="str">
        <f>(Sheet1!O87)</f>
        <v>1pI_tDns4A7jbcl0nEvEO_u0FclM2PyV1AT-2Q2Dx2Jo</v>
      </c>
      <c r="EC87" s="26" t="str">
        <f>(Sheet1!P87)</f>
        <v>Sub Dealer</v>
      </c>
      <c r="ED87" s="34" t="s">
        <v>13</v>
      </c>
    </row>
    <row r="88">
      <c r="A88" s="25" t="str">
        <f>(Sheet1!A88)</f>
        <v>1ek0kGrVLOQttU35mRbEycOZ6YRg6Oon_3gkX4EwTum0</v>
      </c>
      <c r="B88" s="25" t="str">
        <f>(Sheet1!B88)</f>
        <v>Sharma auto Mobile-Barwala</v>
      </c>
      <c r="C88" s="30" t="s">
        <v>13</v>
      </c>
      <c r="D88" s="30" t="s">
        <v>72</v>
      </c>
      <c r="E88" s="30" t="s">
        <v>3817</v>
      </c>
      <c r="F88" s="31">
        <v>205.0</v>
      </c>
      <c r="G88" s="32" t="s">
        <v>3818</v>
      </c>
      <c r="H88" s="31">
        <v>100.0</v>
      </c>
      <c r="I88" s="33">
        <f>'Old Balance Sheet'!A88 + 'ACPL Calculations - 1.0'!A88 + 'ACPL Calculations - 2.0'!A88</f>
        <v>0</v>
      </c>
      <c r="J88" s="30" t="s">
        <v>3817</v>
      </c>
      <c r="K88" s="31">
        <v>205.0</v>
      </c>
      <c r="L88" s="32" t="s">
        <v>3818</v>
      </c>
      <c r="M88" s="31">
        <v>100.0</v>
      </c>
      <c r="N88" s="33">
        <f>'Old Balance Sheet'!B88 + 'ACPL Calculations - 1.0'!B88 + 'ACPL Calculations - 2.0'!B88</f>
        <v>0</v>
      </c>
      <c r="O88" s="30" t="s">
        <v>3817</v>
      </c>
      <c r="P88" s="31">
        <v>290.0</v>
      </c>
      <c r="Q88" s="32" t="s">
        <v>3818</v>
      </c>
      <c r="R88" s="31">
        <v>100.0</v>
      </c>
      <c r="S88" s="33">
        <f>'Old Balance Sheet'!C88 + 'ACPL Calculations - 1.0'!C88 + 'ACPL Calculations - 2.0'!C88</f>
        <v>0</v>
      </c>
      <c r="T88" s="30" t="s">
        <v>3817</v>
      </c>
      <c r="U88" s="31">
        <v>375.0</v>
      </c>
      <c r="V88" s="32" t="s">
        <v>3818</v>
      </c>
      <c r="W88" s="31">
        <v>100.0</v>
      </c>
      <c r="X88" s="33">
        <f>'Old Balance Sheet'!D88 + 'ACPL Calculations - 1.0'!D88 + 'ACPL Calculations - 2.0'!D88</f>
        <v>0</v>
      </c>
      <c r="Y88" s="30" t="s">
        <v>3817</v>
      </c>
      <c r="Z88" s="31">
        <v>460.0</v>
      </c>
      <c r="AA88" s="32" t="s">
        <v>3818</v>
      </c>
      <c r="AB88" s="31">
        <v>100.0</v>
      </c>
      <c r="AC88" s="33">
        <f>'Old Balance Sheet'!E88 + 'ACPL Calculations - 1.0'!E88 + 'ACPL Calculations - 2.0'!E88</f>
        <v>0</v>
      </c>
      <c r="AD88" s="30" t="s">
        <v>3817</v>
      </c>
      <c r="AE88" s="34">
        <v>838.99</v>
      </c>
      <c r="AF88" s="32" t="s">
        <v>3818</v>
      </c>
      <c r="AG88" s="31">
        <v>100.0</v>
      </c>
      <c r="AH88" s="33">
        <f>'Old Balance Sheet'!F88 + 'ACPL Calculations - 1.0'!F88 + 'ACPL Calculations - 2.0'!F88</f>
        <v>0</v>
      </c>
      <c r="AI88" s="30" t="s">
        <v>3817</v>
      </c>
      <c r="AJ88" s="31">
        <v>375.0</v>
      </c>
      <c r="AK88" s="32" t="s">
        <v>3818</v>
      </c>
      <c r="AL88" s="31">
        <v>100.0</v>
      </c>
      <c r="AM88" s="33">
        <f>'Old Balance Sheet'!G88 + 'ACPL Calculations - 1.0'!G88 + 'ACPL Calculations - 2.0'!G88</f>
        <v>0</v>
      </c>
      <c r="AN88" s="30" t="s">
        <v>3817</v>
      </c>
      <c r="AO88" s="31">
        <v>290.0</v>
      </c>
      <c r="AP88" s="32" t="s">
        <v>3818</v>
      </c>
      <c r="AQ88" s="31">
        <v>100.0</v>
      </c>
      <c r="AR88" s="33">
        <f>'Old Balance Sheet'!H88 + 'ACPL Calculations - 1.0'!H88 + 'ACPL Calculations - 2.0'!H88</f>
        <v>0</v>
      </c>
      <c r="AS88" s="30" t="s">
        <v>3819</v>
      </c>
      <c r="AT88" s="31">
        <v>838.99</v>
      </c>
      <c r="AU88" s="32" t="s">
        <v>3818</v>
      </c>
      <c r="AV88" s="31">
        <v>100.0</v>
      </c>
      <c r="AW88" s="33">
        <f>'Old Balance Sheet'!I88 + 'ACPL Calculations - 1.0'!I88 + 'ACPL Calculations - 2.0'!I88</f>
        <v>0</v>
      </c>
      <c r="AX88" s="30" t="s">
        <v>3817</v>
      </c>
      <c r="AY88" s="31">
        <v>290.0</v>
      </c>
      <c r="AZ88" s="32" t="s">
        <v>3818</v>
      </c>
      <c r="BA88" s="31">
        <v>100.0</v>
      </c>
      <c r="BB88" s="33">
        <f>'Old Balance Sheet'!J88 + 'ACPL Calculations - 1.0'!J88 + 'ACPL Calculations - 2.0'!J88</f>
        <v>0</v>
      </c>
      <c r="BC88" s="30" t="s">
        <v>3817</v>
      </c>
      <c r="BD88" s="31">
        <v>205.0</v>
      </c>
      <c r="BE88" s="32" t="s">
        <v>3818</v>
      </c>
      <c r="BF88" s="31">
        <v>100.0</v>
      </c>
      <c r="BG88" s="33">
        <f>'Old Balance Sheet'!K88 + 'ACPL Calculations - 1.0'!K88 + 'ACPL Calculations - 2.0'!K88</f>
        <v>0</v>
      </c>
      <c r="BH88" s="30" t="s">
        <v>3817</v>
      </c>
      <c r="BI88" s="31">
        <v>205.0</v>
      </c>
      <c r="BJ88" s="32" t="s">
        <v>3818</v>
      </c>
      <c r="BK88" s="31">
        <v>100.0</v>
      </c>
      <c r="BL88" s="33">
        <f>'Old Balance Sheet'!L88 + 'ACPL Calculations - 1.0'!L88 + 'ACPL Calculations - 2.0'!L88</f>
        <v>0</v>
      </c>
      <c r="BM88" s="33"/>
      <c r="BN88" s="33"/>
      <c r="BO88" s="33"/>
      <c r="BP88" s="33"/>
      <c r="BQ88" s="33"/>
      <c r="BR88" s="33"/>
      <c r="BS88" s="33"/>
      <c r="BT88" s="33"/>
      <c r="BU88" s="33"/>
      <c r="BV88" s="33"/>
      <c r="BW88" s="33"/>
      <c r="BX88" s="33"/>
      <c r="BY88" s="33"/>
      <c r="BZ88" s="33"/>
      <c r="CA88" s="33"/>
      <c r="CB88" s="33"/>
      <c r="CC88" s="33"/>
      <c r="CD88" s="33"/>
      <c r="CE88" s="33"/>
      <c r="CF88" s="33"/>
      <c r="CG88" s="33"/>
      <c r="CH88" s="33"/>
      <c r="CI88" s="33"/>
      <c r="CJ88" s="33"/>
      <c r="CK88" s="33"/>
      <c r="CL88" s="33">
        <f t="shared" si="1"/>
        <v>0</v>
      </c>
      <c r="CM88" s="33">
        <f>'Old Balance Sheet'!R88 + 'ACPL Calculations - 1.0'!S88 + 'ACPL Calculations - 2.0'!S88</f>
        <v>0</v>
      </c>
      <c r="CN88" s="33">
        <f>'Old Balance Sheet'!S88 + 'ACPL Calculations - 1.0'!T88 + 'ACPL Calculations - 2.0'!T88</f>
        <v>0</v>
      </c>
      <c r="CO88" s="33">
        <f t="shared" si="2"/>
        <v>0</v>
      </c>
      <c r="CP88" s="33">
        <f>'Old Balance Sheet'!T88 + 'ACPL Calculations - 1.0'!V88 + 'ACPL Calculations - 2.0'!V88</f>
        <v>0</v>
      </c>
      <c r="CQ88" s="33">
        <f>'Old Balance Sheet'!U88 + 'ACPL Calculations - 1.0'!W88 + 'ACPL Calculations - 2.0'!W88</f>
        <v>0</v>
      </c>
      <c r="CR88" s="33">
        <f>'Old Balance Sheet'!V88 + 'ACPL Calculations - 1.0'!X88 + 'ACPL Calculations - 2.0'!X88</f>
        <v>0</v>
      </c>
      <c r="CS88" s="33">
        <f t="shared" si="3"/>
        <v>0</v>
      </c>
      <c r="CT88" s="35"/>
      <c r="CU88" s="35"/>
      <c r="CV88" s="35"/>
      <c r="CW88" s="36">
        <f>'Old Balance Sheet'!W88 + 'ACPL Calculations - 1.0'!Z88 + 'ACPL Calculations - 2.0'!Z88</f>
        <v>0</v>
      </c>
      <c r="CX88" s="36">
        <f>'Old Balance Sheet'!X88 + 'ACPL Calculations - 1.0'!AA88 + 'ACPL Calculations - 2.0'!AA88</f>
        <v>0</v>
      </c>
      <c r="CY88" s="37">
        <v>0.0</v>
      </c>
      <c r="CZ88" s="38">
        <f>'Old Balance Sheet'!Y88 + 'ACPL Calculations - 1.0'!AB88 + 'ACPL Calculations - 2.0'!AB88</f>
        <v>0</v>
      </c>
      <c r="DA88" s="38">
        <f>'Old Balance Sheet'!Z88 + 'ACPL Calculations - 1.0'!AC88 + 'ACPL Calculations - 2.0'!AC88</f>
        <v>0</v>
      </c>
      <c r="DB88" s="38">
        <f>'Old Balance Sheet'!AA88 + 'ACPL Calculations - 1.0'!AD88 + 'ACPL Calculations - 2.0'!AD88</f>
        <v>0</v>
      </c>
      <c r="DC88" s="38">
        <f>'Old Balance Sheet'!AB88 + 'ACPL Calculations - 1.0'!AE88 + 'ACPL Calculations - 2.0'!AE88</f>
        <v>0</v>
      </c>
      <c r="DD88" s="38">
        <f t="shared" si="4"/>
        <v>0</v>
      </c>
      <c r="DE88" s="33">
        <f t="shared" si="5"/>
        <v>0</v>
      </c>
      <c r="DF88" s="35">
        <v>0.0</v>
      </c>
      <c r="DG88" s="35">
        <v>0.0</v>
      </c>
      <c r="DH88" s="35">
        <v>0.0</v>
      </c>
      <c r="DI88" s="35">
        <v>0.0</v>
      </c>
      <c r="DJ88" s="35">
        <v>0.0</v>
      </c>
      <c r="DK88" s="35">
        <v>0.0</v>
      </c>
      <c r="DL88" s="35">
        <v>0.0</v>
      </c>
      <c r="DM88" s="35">
        <v>0.0</v>
      </c>
      <c r="DN88" s="31">
        <v>0.0</v>
      </c>
      <c r="DO88" s="31">
        <v>0.0</v>
      </c>
      <c r="DP88" s="31">
        <v>0.0</v>
      </c>
      <c r="DQ88" s="31">
        <v>0.0</v>
      </c>
      <c r="DR88" s="31">
        <v>0.0</v>
      </c>
      <c r="DS88" s="31">
        <v>0.0</v>
      </c>
      <c r="DT88" s="31">
        <f>'Old Balance Sheet'!AC88</f>
        <v>0</v>
      </c>
      <c r="DU88" s="31">
        <f>DT88 + SUMIFS('Payments Log'!D:D, 'Payments Log'!B:B, A88, 'Payments Log'!L:L, "Approved", 'Payments Log'!M:M, "Credit") + 'Old Balance Sheet'!AD88 - 'Old Balance Sheet'!AC88</f>
        <v>0</v>
      </c>
      <c r="DV88" s="31">
        <f>SUMIFS('Payments Log'!D:D, 'Payments Log'!B:B, A88, 'Payments Log'!L:L, "Approved", 'Payments Log'!M:M, "Adjustment Credit") - SUMIFS('Payments Log'!D:D, 'Payments Log'!B:B, A88, 'Payments Log'!L:L, "Approved", 'Payments Log'!M:M, "Adjustment Debit") + 'Old Balance Sheet'!AE88</f>
        <v>0</v>
      </c>
      <c r="DW88" s="31">
        <f>IF(MAXIFS('Payments Log'!N:N, 'Payments Log'!L:L, "Approved", 'Payments Log'!M:M, "Credit", 'Payments Log'!B:B, A88) &gt; MAXIFS('Payments Log'!N:N, 'Payments Log'!L:L, "Approved", 'Payments Log'!M:M, "Virtual Credit", 'Payments Log'!B:B, A88), 0, SUMIFS('Payments Log'!D:D, 'Payments Log'!N:N, MAXIFS('Payments Log'!N:N, 'Payments Log'!L:L, "Approved", 'Payments Log'!M:M, "Virtual Credit", 'Payments Log'!B:B, A88)))</f>
        <v>0</v>
      </c>
      <c r="DX88" s="33">
        <f t="shared" si="6"/>
        <v>0</v>
      </c>
      <c r="DY88" s="33">
        <f t="shared" si="7"/>
        <v>0</v>
      </c>
      <c r="DZ88" s="33">
        <f t="shared" si="8"/>
        <v>0</v>
      </c>
      <c r="EA88" s="25" t="str">
        <f>(Sheet1!N88)</f>
        <v>Chaudhary Automobiles - Hisar</v>
      </c>
      <c r="EB88" s="25" t="str">
        <f>(Sheet1!O88)</f>
        <v>1pI_tDns4A7jbcl0nEvEO_u0FclM2PyV1AT-2Q2Dx2Jo</v>
      </c>
      <c r="EC88" s="26" t="str">
        <f>(Sheet1!P88)</f>
        <v>Sub Dealer</v>
      </c>
      <c r="ED88" s="34" t="s">
        <v>13</v>
      </c>
    </row>
    <row r="89">
      <c r="A89" s="25" t="str">
        <f>(Sheet1!A89)</f>
        <v>15e1MPdmX1KahSQrgQP1EiQhxwoiZU-49rilJy51h_W8</v>
      </c>
      <c r="B89" s="25" t="str">
        <f>(Sheet1!B89)</f>
        <v>Chaudhary Auto Agency - Kaithal</v>
      </c>
      <c r="C89" s="30" t="s">
        <v>13</v>
      </c>
      <c r="D89" s="30" t="s">
        <v>72</v>
      </c>
      <c r="E89" s="30" t="s">
        <v>3817</v>
      </c>
      <c r="F89" s="31">
        <v>205.0</v>
      </c>
      <c r="G89" s="32" t="s">
        <v>3818</v>
      </c>
      <c r="H89" s="31">
        <v>100.0</v>
      </c>
      <c r="I89" s="33">
        <f>'Old Balance Sheet'!A89 + 'ACPL Calculations - 1.0'!A89 + 'ACPL Calculations - 2.0'!A89</f>
        <v>0</v>
      </c>
      <c r="J89" s="30" t="s">
        <v>3817</v>
      </c>
      <c r="K89" s="31">
        <v>205.0</v>
      </c>
      <c r="L89" s="32" t="s">
        <v>3818</v>
      </c>
      <c r="M89" s="31">
        <v>100.0</v>
      </c>
      <c r="N89" s="33">
        <f>'Old Balance Sheet'!B89 + 'ACPL Calculations - 1.0'!B89 + 'ACPL Calculations - 2.0'!B89</f>
        <v>0</v>
      </c>
      <c r="O89" s="30" t="s">
        <v>3817</v>
      </c>
      <c r="P89" s="31">
        <v>290.0</v>
      </c>
      <c r="Q89" s="32" t="s">
        <v>3818</v>
      </c>
      <c r="R89" s="31">
        <v>100.0</v>
      </c>
      <c r="S89" s="33">
        <f>'Old Balance Sheet'!C89 + 'ACPL Calculations - 1.0'!C89 + 'ACPL Calculations - 2.0'!C89</f>
        <v>0</v>
      </c>
      <c r="T89" s="30" t="s">
        <v>3817</v>
      </c>
      <c r="U89" s="31">
        <v>375.0</v>
      </c>
      <c r="V89" s="32" t="s">
        <v>3818</v>
      </c>
      <c r="W89" s="31">
        <v>100.0</v>
      </c>
      <c r="X89" s="33">
        <f>'Old Balance Sheet'!D89 + 'ACPL Calculations - 1.0'!D89 + 'ACPL Calculations - 2.0'!D89</f>
        <v>0</v>
      </c>
      <c r="Y89" s="30" t="s">
        <v>3817</v>
      </c>
      <c r="Z89" s="31">
        <v>460.0</v>
      </c>
      <c r="AA89" s="32" t="s">
        <v>3818</v>
      </c>
      <c r="AB89" s="31">
        <v>100.0</v>
      </c>
      <c r="AC89" s="33">
        <f>'Old Balance Sheet'!E89 + 'ACPL Calculations - 1.0'!E89 + 'ACPL Calculations - 2.0'!E89</f>
        <v>0</v>
      </c>
      <c r="AD89" s="30" t="s">
        <v>3817</v>
      </c>
      <c r="AE89" s="34">
        <v>838.99</v>
      </c>
      <c r="AF89" s="32" t="s">
        <v>3818</v>
      </c>
      <c r="AG89" s="31">
        <v>100.0</v>
      </c>
      <c r="AH89" s="33">
        <f>'Old Balance Sheet'!F89 + 'ACPL Calculations - 1.0'!F89 + 'ACPL Calculations - 2.0'!F89</f>
        <v>0</v>
      </c>
      <c r="AI89" s="30" t="s">
        <v>3817</v>
      </c>
      <c r="AJ89" s="31">
        <v>375.0</v>
      </c>
      <c r="AK89" s="32" t="s">
        <v>3818</v>
      </c>
      <c r="AL89" s="31">
        <v>100.0</v>
      </c>
      <c r="AM89" s="33">
        <f>'Old Balance Sheet'!G89 + 'ACPL Calculations - 1.0'!G89 + 'ACPL Calculations - 2.0'!G89</f>
        <v>0</v>
      </c>
      <c r="AN89" s="30" t="s">
        <v>3817</v>
      </c>
      <c r="AO89" s="31">
        <v>290.0</v>
      </c>
      <c r="AP89" s="32" t="s">
        <v>3818</v>
      </c>
      <c r="AQ89" s="31">
        <v>100.0</v>
      </c>
      <c r="AR89" s="33">
        <f>'Old Balance Sheet'!H89 + 'ACPL Calculations - 1.0'!H89 + 'ACPL Calculations - 2.0'!H89</f>
        <v>0</v>
      </c>
      <c r="AS89" s="30" t="s">
        <v>3819</v>
      </c>
      <c r="AT89" s="31">
        <v>838.99</v>
      </c>
      <c r="AU89" s="32" t="s">
        <v>3818</v>
      </c>
      <c r="AV89" s="31">
        <v>100.0</v>
      </c>
      <c r="AW89" s="33">
        <f>'Old Balance Sheet'!I89 + 'ACPL Calculations - 1.0'!I89 + 'ACPL Calculations - 2.0'!I89</f>
        <v>0</v>
      </c>
      <c r="AX89" s="30" t="s">
        <v>3817</v>
      </c>
      <c r="AY89" s="31">
        <v>290.0</v>
      </c>
      <c r="AZ89" s="32" t="s">
        <v>3818</v>
      </c>
      <c r="BA89" s="31">
        <v>100.0</v>
      </c>
      <c r="BB89" s="33">
        <f>'Old Balance Sheet'!J89 + 'ACPL Calculations - 1.0'!J89 + 'ACPL Calculations - 2.0'!J89</f>
        <v>0</v>
      </c>
      <c r="BC89" s="30" t="s">
        <v>3817</v>
      </c>
      <c r="BD89" s="31">
        <v>205.0</v>
      </c>
      <c r="BE89" s="32" t="s">
        <v>3818</v>
      </c>
      <c r="BF89" s="31">
        <v>100.0</v>
      </c>
      <c r="BG89" s="33">
        <f>'Old Balance Sheet'!K89 + 'ACPL Calculations - 1.0'!K89 + 'ACPL Calculations - 2.0'!K89</f>
        <v>0</v>
      </c>
      <c r="BH89" s="30" t="s">
        <v>3817</v>
      </c>
      <c r="BI89" s="31">
        <v>205.0</v>
      </c>
      <c r="BJ89" s="32" t="s">
        <v>3818</v>
      </c>
      <c r="BK89" s="31">
        <v>100.0</v>
      </c>
      <c r="BL89" s="33">
        <f>'Old Balance Sheet'!L89 + 'ACPL Calculations - 1.0'!L89 + 'ACPL Calculations - 2.0'!L89</f>
        <v>0</v>
      </c>
      <c r="BM89" s="33"/>
      <c r="BN89" s="33"/>
      <c r="BO89" s="33"/>
      <c r="BP89" s="33"/>
      <c r="BQ89" s="33"/>
      <c r="BR89" s="33"/>
      <c r="BS89" s="33"/>
      <c r="BT89" s="33"/>
      <c r="BU89" s="33"/>
      <c r="BV89" s="33"/>
      <c r="BW89" s="33"/>
      <c r="BX89" s="33"/>
      <c r="BY89" s="33"/>
      <c r="BZ89" s="33"/>
      <c r="CA89" s="33"/>
      <c r="CB89" s="33"/>
      <c r="CC89" s="33"/>
      <c r="CD89" s="33"/>
      <c r="CE89" s="33"/>
      <c r="CF89" s="33"/>
      <c r="CG89" s="33"/>
      <c r="CH89" s="33"/>
      <c r="CI89" s="33"/>
      <c r="CJ89" s="33"/>
      <c r="CK89" s="33"/>
      <c r="CL89" s="33">
        <f t="shared" si="1"/>
        <v>0</v>
      </c>
      <c r="CM89" s="33">
        <f>'Old Balance Sheet'!R89 + 'ACPL Calculations - 1.0'!S89 + 'ACPL Calculations - 2.0'!S89</f>
        <v>0</v>
      </c>
      <c r="CN89" s="33">
        <f>'Old Balance Sheet'!S89 + 'ACPL Calculations - 1.0'!T89 + 'ACPL Calculations - 2.0'!T89</f>
        <v>0</v>
      </c>
      <c r="CO89" s="33">
        <f t="shared" si="2"/>
        <v>0</v>
      </c>
      <c r="CP89" s="33">
        <f>'Old Balance Sheet'!T89 + 'ACPL Calculations - 1.0'!V89 + 'ACPL Calculations - 2.0'!V89</f>
        <v>0</v>
      </c>
      <c r="CQ89" s="33">
        <f>'Old Balance Sheet'!U89 + 'ACPL Calculations - 1.0'!W89 + 'ACPL Calculations - 2.0'!W89</f>
        <v>0</v>
      </c>
      <c r="CR89" s="33">
        <f>'Old Balance Sheet'!V89 + 'ACPL Calculations - 1.0'!X89 + 'ACPL Calculations - 2.0'!X89</f>
        <v>0</v>
      </c>
      <c r="CS89" s="33">
        <f t="shared" si="3"/>
        <v>0</v>
      </c>
      <c r="CT89" s="35"/>
      <c r="CU89" s="35"/>
      <c r="CV89" s="35"/>
      <c r="CW89" s="36">
        <f>'Old Balance Sheet'!W89 + 'ACPL Calculations - 1.0'!Z89 + 'ACPL Calculations - 2.0'!Z89</f>
        <v>0</v>
      </c>
      <c r="CX89" s="36">
        <f>'Old Balance Sheet'!X89 + 'ACPL Calculations - 1.0'!AA89 + 'ACPL Calculations - 2.0'!AA89</f>
        <v>0</v>
      </c>
      <c r="CY89" s="37">
        <v>0.0</v>
      </c>
      <c r="CZ89" s="38">
        <f>'Old Balance Sheet'!Y89 + 'ACPL Calculations - 1.0'!AB89 + 'ACPL Calculations - 2.0'!AB89</f>
        <v>0</v>
      </c>
      <c r="DA89" s="38">
        <f>'Old Balance Sheet'!Z89 + 'ACPL Calculations - 1.0'!AC89 + 'ACPL Calculations - 2.0'!AC89</f>
        <v>0</v>
      </c>
      <c r="DB89" s="38">
        <f>'Old Balance Sheet'!AA89 + 'ACPL Calculations - 1.0'!AD89 + 'ACPL Calculations - 2.0'!AD89</f>
        <v>0</v>
      </c>
      <c r="DC89" s="38">
        <f>'Old Balance Sheet'!AB89 + 'ACPL Calculations - 1.0'!AE89 + 'ACPL Calculations - 2.0'!AE89</f>
        <v>0</v>
      </c>
      <c r="DD89" s="38">
        <f t="shared" si="4"/>
        <v>0</v>
      </c>
      <c r="DE89" s="33">
        <f t="shared" si="5"/>
        <v>0</v>
      </c>
      <c r="DF89" s="35">
        <v>0.0</v>
      </c>
      <c r="DG89" s="35">
        <v>0.0</v>
      </c>
      <c r="DH89" s="35">
        <v>0.0</v>
      </c>
      <c r="DI89" s="35">
        <v>0.0</v>
      </c>
      <c r="DJ89" s="35">
        <v>0.0</v>
      </c>
      <c r="DK89" s="35">
        <v>0.0</v>
      </c>
      <c r="DL89" s="35">
        <v>0.0</v>
      </c>
      <c r="DM89" s="35">
        <v>0.0</v>
      </c>
      <c r="DN89" s="31">
        <v>0.0</v>
      </c>
      <c r="DO89" s="31">
        <v>0.0</v>
      </c>
      <c r="DP89" s="31">
        <v>0.0</v>
      </c>
      <c r="DQ89" s="31">
        <v>0.0</v>
      </c>
      <c r="DR89" s="31">
        <v>0.0</v>
      </c>
      <c r="DS89" s="31">
        <v>0.0</v>
      </c>
      <c r="DT89" s="31">
        <f>'Old Balance Sheet'!AC89</f>
        <v>0</v>
      </c>
      <c r="DU89" s="31">
        <f>DT89 + SUMIFS('Payments Log'!D:D, 'Payments Log'!B:B, A89, 'Payments Log'!L:L, "Approved", 'Payments Log'!M:M, "Credit") + 'Old Balance Sheet'!AD89 - 'Old Balance Sheet'!AC89</f>
        <v>0</v>
      </c>
      <c r="DV89" s="31">
        <f>SUMIFS('Payments Log'!D:D, 'Payments Log'!B:B, A89, 'Payments Log'!L:L, "Approved", 'Payments Log'!M:M, "Adjustment Credit") - SUMIFS('Payments Log'!D:D, 'Payments Log'!B:B, A89, 'Payments Log'!L:L, "Approved", 'Payments Log'!M:M, "Adjustment Debit") + 'Old Balance Sheet'!AE89</f>
        <v>0</v>
      </c>
      <c r="DW89" s="31">
        <f>IF(MAXIFS('Payments Log'!N:N, 'Payments Log'!L:L, "Approved", 'Payments Log'!M:M, "Credit", 'Payments Log'!B:B, A89) &gt; MAXIFS('Payments Log'!N:N, 'Payments Log'!L:L, "Approved", 'Payments Log'!M:M, "Virtual Credit", 'Payments Log'!B:B, A89), 0, SUMIFS('Payments Log'!D:D, 'Payments Log'!N:N, MAXIFS('Payments Log'!N:N, 'Payments Log'!L:L, "Approved", 'Payments Log'!M:M, "Virtual Credit", 'Payments Log'!B:B, A89)))</f>
        <v>0</v>
      </c>
      <c r="DX89" s="33">
        <f t="shared" si="6"/>
        <v>0</v>
      </c>
      <c r="DY89" s="33">
        <f t="shared" si="7"/>
        <v>0</v>
      </c>
      <c r="DZ89" s="33">
        <f t="shared" si="8"/>
        <v>0</v>
      </c>
      <c r="EA89" s="25" t="str">
        <f>(Sheet1!N89)</f>
        <v>Chaudhary Auto Agency - Kaithal</v>
      </c>
      <c r="EB89" s="25" t="str">
        <f>(Sheet1!O89)</f>
        <v>15e1MPdmX1KahSQrgQP1EiQhxwoiZU-49rilJy51h_W8</v>
      </c>
      <c r="EC89" s="26" t="str">
        <f>(Sheet1!P89)</f>
        <v>Dealer</v>
      </c>
      <c r="ED89" s="34" t="s">
        <v>13</v>
      </c>
    </row>
    <row r="90">
      <c r="A90" s="25" t="str">
        <f>(Sheet1!A90)</f>
        <v>1DHuoK3CPfNh_Joggi61wQdiSIly5OZEhbKVvkkW9X5U</v>
      </c>
      <c r="B90" s="25" t="str">
        <f>(Sheet1!B90)</f>
        <v>Saraswati Enterprises - Pehowa</v>
      </c>
      <c r="C90" s="30" t="s">
        <v>13</v>
      </c>
      <c r="D90" s="30" t="s">
        <v>72</v>
      </c>
      <c r="E90" s="30" t="s">
        <v>3817</v>
      </c>
      <c r="F90" s="31">
        <v>205.0</v>
      </c>
      <c r="G90" s="32" t="s">
        <v>3818</v>
      </c>
      <c r="H90" s="31">
        <v>100.0</v>
      </c>
      <c r="I90" s="33">
        <f>'Old Balance Sheet'!A90 + 'ACPL Calculations - 1.0'!A90 + 'ACPL Calculations - 2.0'!A90</f>
        <v>0</v>
      </c>
      <c r="J90" s="30" t="s">
        <v>3817</v>
      </c>
      <c r="K90" s="31">
        <v>205.0</v>
      </c>
      <c r="L90" s="32" t="s">
        <v>3818</v>
      </c>
      <c r="M90" s="31">
        <v>100.0</v>
      </c>
      <c r="N90" s="33">
        <f>'Old Balance Sheet'!B90 + 'ACPL Calculations - 1.0'!B90 + 'ACPL Calculations - 2.0'!B90</f>
        <v>0</v>
      </c>
      <c r="O90" s="30" t="s">
        <v>3817</v>
      </c>
      <c r="P90" s="31">
        <v>290.0</v>
      </c>
      <c r="Q90" s="32" t="s">
        <v>3818</v>
      </c>
      <c r="R90" s="31">
        <v>100.0</v>
      </c>
      <c r="S90" s="33">
        <f>'Old Balance Sheet'!C90 + 'ACPL Calculations - 1.0'!C90 + 'ACPL Calculations - 2.0'!C90</f>
        <v>0</v>
      </c>
      <c r="T90" s="30" t="s">
        <v>3817</v>
      </c>
      <c r="U90" s="31">
        <v>375.0</v>
      </c>
      <c r="V90" s="32" t="s">
        <v>3818</v>
      </c>
      <c r="W90" s="31">
        <v>100.0</v>
      </c>
      <c r="X90" s="33">
        <f>'Old Balance Sheet'!D90 + 'ACPL Calculations - 1.0'!D90 + 'ACPL Calculations - 2.0'!D90</f>
        <v>0</v>
      </c>
      <c r="Y90" s="30" t="s">
        <v>3817</v>
      </c>
      <c r="Z90" s="31">
        <v>460.0</v>
      </c>
      <c r="AA90" s="32" t="s">
        <v>3818</v>
      </c>
      <c r="AB90" s="31">
        <v>100.0</v>
      </c>
      <c r="AC90" s="33">
        <f>'Old Balance Sheet'!E90 + 'ACPL Calculations - 1.0'!E90 + 'ACPL Calculations - 2.0'!E90</f>
        <v>0</v>
      </c>
      <c r="AD90" s="30" t="s">
        <v>3817</v>
      </c>
      <c r="AE90" s="34">
        <v>838.99</v>
      </c>
      <c r="AF90" s="32" t="s">
        <v>3818</v>
      </c>
      <c r="AG90" s="31">
        <v>100.0</v>
      </c>
      <c r="AH90" s="33">
        <f>'Old Balance Sheet'!F90 + 'ACPL Calculations - 1.0'!F90 + 'ACPL Calculations - 2.0'!F90</f>
        <v>0</v>
      </c>
      <c r="AI90" s="30" t="s">
        <v>3817</v>
      </c>
      <c r="AJ90" s="31">
        <v>375.0</v>
      </c>
      <c r="AK90" s="32" t="s">
        <v>3818</v>
      </c>
      <c r="AL90" s="31">
        <v>100.0</v>
      </c>
      <c r="AM90" s="33">
        <f>'Old Balance Sheet'!G90 + 'ACPL Calculations - 1.0'!G90 + 'ACPL Calculations - 2.0'!G90</f>
        <v>0</v>
      </c>
      <c r="AN90" s="30" t="s">
        <v>3817</v>
      </c>
      <c r="AO90" s="31">
        <v>290.0</v>
      </c>
      <c r="AP90" s="32" t="s">
        <v>3818</v>
      </c>
      <c r="AQ90" s="31">
        <v>100.0</v>
      </c>
      <c r="AR90" s="33">
        <f>'Old Balance Sheet'!H90 + 'ACPL Calculations - 1.0'!H90 + 'ACPL Calculations - 2.0'!H90</f>
        <v>0</v>
      </c>
      <c r="AS90" s="30" t="s">
        <v>3819</v>
      </c>
      <c r="AT90" s="31">
        <v>838.99</v>
      </c>
      <c r="AU90" s="32" t="s">
        <v>3818</v>
      </c>
      <c r="AV90" s="31">
        <v>100.0</v>
      </c>
      <c r="AW90" s="33">
        <f>'Old Balance Sheet'!I90 + 'ACPL Calculations - 1.0'!I90 + 'ACPL Calculations - 2.0'!I90</f>
        <v>0</v>
      </c>
      <c r="AX90" s="30" t="s">
        <v>3817</v>
      </c>
      <c r="AY90" s="31">
        <v>290.0</v>
      </c>
      <c r="AZ90" s="32" t="s">
        <v>3818</v>
      </c>
      <c r="BA90" s="31">
        <v>100.0</v>
      </c>
      <c r="BB90" s="33">
        <f>'Old Balance Sheet'!J90 + 'ACPL Calculations - 1.0'!J90 + 'ACPL Calculations - 2.0'!J90</f>
        <v>0</v>
      </c>
      <c r="BC90" s="30" t="s">
        <v>3817</v>
      </c>
      <c r="BD90" s="31">
        <v>205.0</v>
      </c>
      <c r="BE90" s="32" t="s">
        <v>3818</v>
      </c>
      <c r="BF90" s="31">
        <v>100.0</v>
      </c>
      <c r="BG90" s="33">
        <f>'Old Balance Sheet'!K90 + 'ACPL Calculations - 1.0'!K90 + 'ACPL Calculations - 2.0'!K90</f>
        <v>0</v>
      </c>
      <c r="BH90" s="30" t="s">
        <v>3817</v>
      </c>
      <c r="BI90" s="31">
        <v>205.0</v>
      </c>
      <c r="BJ90" s="32" t="s">
        <v>3818</v>
      </c>
      <c r="BK90" s="31">
        <v>100.0</v>
      </c>
      <c r="BL90" s="33">
        <f>'Old Balance Sheet'!L90 + 'ACPL Calculations - 1.0'!L90 + 'ACPL Calculations - 2.0'!L90</f>
        <v>0</v>
      </c>
      <c r="BM90" s="33"/>
      <c r="BN90" s="33"/>
      <c r="BO90" s="33"/>
      <c r="BP90" s="33"/>
      <c r="BQ90" s="33"/>
      <c r="BR90" s="33"/>
      <c r="BS90" s="33"/>
      <c r="BT90" s="33"/>
      <c r="BU90" s="33"/>
      <c r="BV90" s="33"/>
      <c r="BW90" s="33"/>
      <c r="BX90" s="33"/>
      <c r="BY90" s="33"/>
      <c r="BZ90" s="33"/>
      <c r="CA90" s="33"/>
      <c r="CB90" s="33"/>
      <c r="CC90" s="33"/>
      <c r="CD90" s="33"/>
      <c r="CE90" s="33"/>
      <c r="CF90" s="33"/>
      <c r="CG90" s="33"/>
      <c r="CH90" s="33"/>
      <c r="CI90" s="33"/>
      <c r="CJ90" s="33"/>
      <c r="CK90" s="33"/>
      <c r="CL90" s="33">
        <f t="shared" si="1"/>
        <v>0</v>
      </c>
      <c r="CM90" s="33">
        <f>'Old Balance Sheet'!R90 + 'ACPL Calculations - 1.0'!S90 + 'ACPL Calculations - 2.0'!S90</f>
        <v>0</v>
      </c>
      <c r="CN90" s="33">
        <f>'Old Balance Sheet'!S90 + 'ACPL Calculations - 1.0'!T90 + 'ACPL Calculations - 2.0'!T90</f>
        <v>0</v>
      </c>
      <c r="CO90" s="33">
        <f t="shared" si="2"/>
        <v>0</v>
      </c>
      <c r="CP90" s="33">
        <f>'Old Balance Sheet'!T90 + 'ACPL Calculations - 1.0'!V90 + 'ACPL Calculations - 2.0'!V90</f>
        <v>0</v>
      </c>
      <c r="CQ90" s="33">
        <f>'Old Balance Sheet'!U90 + 'ACPL Calculations - 1.0'!W90 + 'ACPL Calculations - 2.0'!W90</f>
        <v>0</v>
      </c>
      <c r="CR90" s="33">
        <f>'Old Balance Sheet'!V90 + 'ACPL Calculations - 1.0'!X90 + 'ACPL Calculations - 2.0'!X90</f>
        <v>0</v>
      </c>
      <c r="CS90" s="33">
        <f t="shared" si="3"/>
        <v>0</v>
      </c>
      <c r="CT90" s="35"/>
      <c r="CU90" s="35"/>
      <c r="CV90" s="35"/>
      <c r="CW90" s="36">
        <f>'Old Balance Sheet'!W90 + 'ACPL Calculations - 1.0'!Z90 + 'ACPL Calculations - 2.0'!Z90</f>
        <v>0</v>
      </c>
      <c r="CX90" s="36">
        <f>'Old Balance Sheet'!X90 + 'ACPL Calculations - 1.0'!AA90 + 'ACPL Calculations - 2.0'!AA90</f>
        <v>0</v>
      </c>
      <c r="CY90" s="37">
        <v>0.0</v>
      </c>
      <c r="CZ90" s="38">
        <f>'Old Balance Sheet'!Y90 + 'ACPL Calculations - 1.0'!AB90 + 'ACPL Calculations - 2.0'!AB90</f>
        <v>0</v>
      </c>
      <c r="DA90" s="38">
        <f>'Old Balance Sheet'!Z90 + 'ACPL Calculations - 1.0'!AC90 + 'ACPL Calculations - 2.0'!AC90</f>
        <v>0</v>
      </c>
      <c r="DB90" s="38">
        <f>'Old Balance Sheet'!AA90 + 'ACPL Calculations - 1.0'!AD90 + 'ACPL Calculations - 2.0'!AD90</f>
        <v>0</v>
      </c>
      <c r="DC90" s="38">
        <f>'Old Balance Sheet'!AB90 + 'ACPL Calculations - 1.0'!AE90 + 'ACPL Calculations - 2.0'!AE90</f>
        <v>0</v>
      </c>
      <c r="DD90" s="38">
        <f t="shared" si="4"/>
        <v>0</v>
      </c>
      <c r="DE90" s="33">
        <f t="shared" si="5"/>
        <v>0</v>
      </c>
      <c r="DF90" s="35">
        <v>0.0</v>
      </c>
      <c r="DG90" s="35">
        <v>0.0</v>
      </c>
      <c r="DH90" s="35">
        <v>0.0</v>
      </c>
      <c r="DI90" s="35">
        <v>0.0</v>
      </c>
      <c r="DJ90" s="35">
        <v>0.0</v>
      </c>
      <c r="DK90" s="35">
        <v>0.0</v>
      </c>
      <c r="DL90" s="35">
        <v>0.0</v>
      </c>
      <c r="DM90" s="35">
        <v>0.0</v>
      </c>
      <c r="DN90" s="31">
        <v>0.0</v>
      </c>
      <c r="DO90" s="31">
        <v>0.0</v>
      </c>
      <c r="DP90" s="31">
        <v>0.0</v>
      </c>
      <c r="DQ90" s="31">
        <v>0.0</v>
      </c>
      <c r="DR90" s="31">
        <v>0.0</v>
      </c>
      <c r="DS90" s="31">
        <v>0.0</v>
      </c>
      <c r="DT90" s="31">
        <f>'Old Balance Sheet'!AC90</f>
        <v>0</v>
      </c>
      <c r="DU90" s="31">
        <f>DT90 + SUMIFS('Payments Log'!D:D, 'Payments Log'!B:B, A90, 'Payments Log'!L:L, "Approved", 'Payments Log'!M:M, "Credit") + 'Old Balance Sheet'!AD90 - 'Old Balance Sheet'!AC90</f>
        <v>0</v>
      </c>
      <c r="DV90" s="31">
        <f>SUMIFS('Payments Log'!D:D, 'Payments Log'!B:B, A90, 'Payments Log'!L:L, "Approved", 'Payments Log'!M:M, "Adjustment Credit") - SUMIFS('Payments Log'!D:D, 'Payments Log'!B:B, A90, 'Payments Log'!L:L, "Approved", 'Payments Log'!M:M, "Adjustment Debit") + 'Old Balance Sheet'!AE90</f>
        <v>0</v>
      </c>
      <c r="DW90" s="31">
        <f>IF(MAXIFS('Payments Log'!N:N, 'Payments Log'!L:L, "Approved", 'Payments Log'!M:M, "Credit", 'Payments Log'!B:B, A90) &gt; MAXIFS('Payments Log'!N:N, 'Payments Log'!L:L, "Approved", 'Payments Log'!M:M, "Virtual Credit", 'Payments Log'!B:B, A90), 0, SUMIFS('Payments Log'!D:D, 'Payments Log'!N:N, MAXIFS('Payments Log'!N:N, 'Payments Log'!L:L, "Approved", 'Payments Log'!M:M, "Virtual Credit", 'Payments Log'!B:B, A90)))</f>
        <v>0</v>
      </c>
      <c r="DX90" s="33">
        <f t="shared" si="6"/>
        <v>0</v>
      </c>
      <c r="DY90" s="33">
        <f t="shared" si="7"/>
        <v>0</v>
      </c>
      <c r="DZ90" s="33">
        <f t="shared" si="8"/>
        <v>0</v>
      </c>
      <c r="EA90" s="25" t="str">
        <f>(Sheet1!N90)</f>
        <v>Saraswati Enterprises - Pehowa</v>
      </c>
      <c r="EB90" s="25" t="str">
        <f>(Sheet1!O90)</f>
        <v>1DHuoK3CPfNh_Joggi61wQdiSIly5OZEhbKVvkkW9X5U</v>
      </c>
      <c r="EC90" s="26" t="str">
        <f>(Sheet1!P90)</f>
        <v>Dealer</v>
      </c>
      <c r="ED90" s="34" t="s">
        <v>13</v>
      </c>
    </row>
    <row r="91">
      <c r="A91" s="25" t="str">
        <f>(Sheet1!A91)</f>
        <v>1TuBCieryI5B9C4qUUscd4DG93Cj0YeOolwC7hs56SEg</v>
      </c>
      <c r="B91" s="25" t="str">
        <f>(Sheet1!B91)</f>
        <v>VPS HERO - KURUKSHETRA</v>
      </c>
      <c r="C91" s="30" t="s">
        <v>13</v>
      </c>
      <c r="D91" s="30" t="s">
        <v>72</v>
      </c>
      <c r="E91" s="30" t="s">
        <v>3817</v>
      </c>
      <c r="F91" s="31">
        <v>205.0</v>
      </c>
      <c r="G91" s="32" t="s">
        <v>3818</v>
      </c>
      <c r="H91" s="31">
        <v>100.0</v>
      </c>
      <c r="I91" s="33">
        <f>'Old Balance Sheet'!A91 + 'ACPL Calculations - 1.0'!A91 + 'ACPL Calculations - 2.0'!A91</f>
        <v>0</v>
      </c>
      <c r="J91" s="30" t="s">
        <v>3817</v>
      </c>
      <c r="K91" s="31">
        <v>205.0</v>
      </c>
      <c r="L91" s="32" t="s">
        <v>3818</v>
      </c>
      <c r="M91" s="31">
        <v>100.0</v>
      </c>
      <c r="N91" s="33">
        <f>'Old Balance Sheet'!B91 + 'ACPL Calculations - 1.0'!B91 + 'ACPL Calculations - 2.0'!B91</f>
        <v>0</v>
      </c>
      <c r="O91" s="30" t="s">
        <v>3817</v>
      </c>
      <c r="P91" s="31">
        <v>290.0</v>
      </c>
      <c r="Q91" s="32" t="s">
        <v>3818</v>
      </c>
      <c r="R91" s="31">
        <v>100.0</v>
      </c>
      <c r="S91" s="33">
        <f>'Old Balance Sheet'!C91 + 'ACPL Calculations - 1.0'!C91 + 'ACPL Calculations - 2.0'!C91</f>
        <v>0</v>
      </c>
      <c r="T91" s="30" t="s">
        <v>3817</v>
      </c>
      <c r="U91" s="31">
        <v>375.0</v>
      </c>
      <c r="V91" s="32" t="s">
        <v>3818</v>
      </c>
      <c r="W91" s="31">
        <v>100.0</v>
      </c>
      <c r="X91" s="33">
        <f>'Old Balance Sheet'!D91 + 'ACPL Calculations - 1.0'!D91 + 'ACPL Calculations - 2.0'!D91</f>
        <v>0</v>
      </c>
      <c r="Y91" s="30" t="s">
        <v>3817</v>
      </c>
      <c r="Z91" s="31">
        <v>460.0</v>
      </c>
      <c r="AA91" s="32" t="s">
        <v>3818</v>
      </c>
      <c r="AB91" s="31">
        <v>100.0</v>
      </c>
      <c r="AC91" s="33">
        <f>'Old Balance Sheet'!E91 + 'ACPL Calculations - 1.0'!E91 + 'ACPL Calculations - 2.0'!E91</f>
        <v>0</v>
      </c>
      <c r="AD91" s="30" t="s">
        <v>3817</v>
      </c>
      <c r="AE91" s="34">
        <v>838.99</v>
      </c>
      <c r="AF91" s="32" t="s">
        <v>3818</v>
      </c>
      <c r="AG91" s="31">
        <v>100.0</v>
      </c>
      <c r="AH91" s="33">
        <f>'Old Balance Sheet'!F91 + 'ACPL Calculations - 1.0'!F91 + 'ACPL Calculations - 2.0'!F91</f>
        <v>0</v>
      </c>
      <c r="AI91" s="30" t="s">
        <v>3817</v>
      </c>
      <c r="AJ91" s="31">
        <v>375.0</v>
      </c>
      <c r="AK91" s="32" t="s">
        <v>3818</v>
      </c>
      <c r="AL91" s="31">
        <v>100.0</v>
      </c>
      <c r="AM91" s="33">
        <f>'Old Balance Sheet'!G91 + 'ACPL Calculations - 1.0'!G91 + 'ACPL Calculations - 2.0'!G91</f>
        <v>0</v>
      </c>
      <c r="AN91" s="30" t="s">
        <v>3817</v>
      </c>
      <c r="AO91" s="31">
        <v>290.0</v>
      </c>
      <c r="AP91" s="32" t="s">
        <v>3818</v>
      </c>
      <c r="AQ91" s="31">
        <v>100.0</v>
      </c>
      <c r="AR91" s="33">
        <f>'Old Balance Sheet'!H91 + 'ACPL Calculations - 1.0'!H91 + 'ACPL Calculations - 2.0'!H91</f>
        <v>0</v>
      </c>
      <c r="AS91" s="30" t="s">
        <v>3819</v>
      </c>
      <c r="AT91" s="31">
        <v>838.99</v>
      </c>
      <c r="AU91" s="32" t="s">
        <v>3818</v>
      </c>
      <c r="AV91" s="31">
        <v>100.0</v>
      </c>
      <c r="AW91" s="33">
        <f>'Old Balance Sheet'!I91 + 'ACPL Calculations - 1.0'!I91 + 'ACPL Calculations - 2.0'!I91</f>
        <v>0</v>
      </c>
      <c r="AX91" s="30" t="s">
        <v>3817</v>
      </c>
      <c r="AY91" s="31">
        <v>290.0</v>
      </c>
      <c r="AZ91" s="32" t="s">
        <v>3818</v>
      </c>
      <c r="BA91" s="31">
        <v>100.0</v>
      </c>
      <c r="BB91" s="33">
        <f>'Old Balance Sheet'!J91 + 'ACPL Calculations - 1.0'!J91 + 'ACPL Calculations - 2.0'!J91</f>
        <v>0</v>
      </c>
      <c r="BC91" s="30" t="s">
        <v>3817</v>
      </c>
      <c r="BD91" s="31">
        <v>205.0</v>
      </c>
      <c r="BE91" s="32" t="s">
        <v>3818</v>
      </c>
      <c r="BF91" s="31">
        <v>100.0</v>
      </c>
      <c r="BG91" s="33">
        <f>'Old Balance Sheet'!K91 + 'ACPL Calculations - 1.0'!K91 + 'ACPL Calculations - 2.0'!K91</f>
        <v>0</v>
      </c>
      <c r="BH91" s="30" t="s">
        <v>3817</v>
      </c>
      <c r="BI91" s="31">
        <v>205.0</v>
      </c>
      <c r="BJ91" s="32" t="s">
        <v>3818</v>
      </c>
      <c r="BK91" s="31">
        <v>100.0</v>
      </c>
      <c r="BL91" s="33">
        <f>'Old Balance Sheet'!L91 + 'ACPL Calculations - 1.0'!L91 + 'ACPL Calculations - 2.0'!L91</f>
        <v>0</v>
      </c>
      <c r="BM91" s="33"/>
      <c r="BN91" s="33"/>
      <c r="BO91" s="33"/>
      <c r="BP91" s="33"/>
      <c r="BQ91" s="33"/>
      <c r="BR91" s="33"/>
      <c r="BS91" s="33"/>
      <c r="BT91" s="33"/>
      <c r="BU91" s="33"/>
      <c r="BV91" s="33"/>
      <c r="BW91" s="33"/>
      <c r="BX91" s="33"/>
      <c r="BY91" s="33"/>
      <c r="BZ91" s="33"/>
      <c r="CA91" s="33"/>
      <c r="CB91" s="33"/>
      <c r="CC91" s="33"/>
      <c r="CD91" s="33"/>
      <c r="CE91" s="33"/>
      <c r="CF91" s="33"/>
      <c r="CG91" s="33"/>
      <c r="CH91" s="33"/>
      <c r="CI91" s="33"/>
      <c r="CJ91" s="33"/>
      <c r="CK91" s="33"/>
      <c r="CL91" s="33">
        <f t="shared" si="1"/>
        <v>0</v>
      </c>
      <c r="CM91" s="33">
        <f>'Old Balance Sheet'!R91 + 'ACPL Calculations - 1.0'!S91 + 'ACPL Calculations - 2.0'!S91</f>
        <v>0</v>
      </c>
      <c r="CN91" s="33">
        <f>'Old Balance Sheet'!S91 + 'ACPL Calculations - 1.0'!T91 + 'ACPL Calculations - 2.0'!T91</f>
        <v>0</v>
      </c>
      <c r="CO91" s="33">
        <f t="shared" si="2"/>
        <v>0</v>
      </c>
      <c r="CP91" s="33">
        <f>'Old Balance Sheet'!T91 + 'ACPL Calculations - 1.0'!V91 + 'ACPL Calculations - 2.0'!V91</f>
        <v>0</v>
      </c>
      <c r="CQ91" s="33">
        <f>'Old Balance Sheet'!U91 + 'ACPL Calculations - 1.0'!W91 + 'ACPL Calculations - 2.0'!W91</f>
        <v>0</v>
      </c>
      <c r="CR91" s="33">
        <f>'Old Balance Sheet'!V91 + 'ACPL Calculations - 1.0'!X91 + 'ACPL Calculations - 2.0'!X91</f>
        <v>0</v>
      </c>
      <c r="CS91" s="33">
        <f t="shared" si="3"/>
        <v>0</v>
      </c>
      <c r="CT91" s="35"/>
      <c r="CU91" s="35"/>
      <c r="CV91" s="35"/>
      <c r="CW91" s="36">
        <f>'Old Balance Sheet'!W91 + 'ACPL Calculations - 1.0'!Z91 + 'ACPL Calculations - 2.0'!Z91</f>
        <v>0</v>
      </c>
      <c r="CX91" s="36">
        <f>'Old Balance Sheet'!X91 + 'ACPL Calculations - 1.0'!AA91 + 'ACPL Calculations - 2.0'!AA91</f>
        <v>0</v>
      </c>
      <c r="CY91" s="37">
        <v>0.0</v>
      </c>
      <c r="CZ91" s="38">
        <f>'Old Balance Sheet'!Y91 + 'ACPL Calculations - 1.0'!AB91 + 'ACPL Calculations - 2.0'!AB91</f>
        <v>0</v>
      </c>
      <c r="DA91" s="38">
        <f>'Old Balance Sheet'!Z91 + 'ACPL Calculations - 1.0'!AC91 + 'ACPL Calculations - 2.0'!AC91</f>
        <v>0</v>
      </c>
      <c r="DB91" s="38">
        <f>'Old Balance Sheet'!AA91 + 'ACPL Calculations - 1.0'!AD91 + 'ACPL Calculations - 2.0'!AD91</f>
        <v>0</v>
      </c>
      <c r="DC91" s="38">
        <f>'Old Balance Sheet'!AB91 + 'ACPL Calculations - 1.0'!AE91 + 'ACPL Calculations - 2.0'!AE91</f>
        <v>0</v>
      </c>
      <c r="DD91" s="38">
        <f t="shared" si="4"/>
        <v>0</v>
      </c>
      <c r="DE91" s="33">
        <f t="shared" si="5"/>
        <v>0</v>
      </c>
      <c r="DF91" s="35">
        <v>0.0</v>
      </c>
      <c r="DG91" s="35">
        <v>0.0</v>
      </c>
      <c r="DH91" s="35">
        <v>0.0</v>
      </c>
      <c r="DI91" s="35">
        <v>0.0</v>
      </c>
      <c r="DJ91" s="35">
        <v>0.0</v>
      </c>
      <c r="DK91" s="35">
        <v>0.0</v>
      </c>
      <c r="DL91" s="35">
        <v>0.0</v>
      </c>
      <c r="DM91" s="35">
        <v>0.0</v>
      </c>
      <c r="DN91" s="31">
        <v>0.0</v>
      </c>
      <c r="DO91" s="31">
        <v>0.0</v>
      </c>
      <c r="DP91" s="31">
        <v>0.0</v>
      </c>
      <c r="DQ91" s="31">
        <v>0.0</v>
      </c>
      <c r="DR91" s="31">
        <v>0.0</v>
      </c>
      <c r="DS91" s="31">
        <v>0.0</v>
      </c>
      <c r="DT91" s="31">
        <f>'Old Balance Sheet'!AC91</f>
        <v>0</v>
      </c>
      <c r="DU91" s="31">
        <f>DT91 + SUMIFS('Payments Log'!D:D, 'Payments Log'!B:B, A91, 'Payments Log'!L:L, "Approved", 'Payments Log'!M:M, "Credit") + 'Old Balance Sheet'!AD91 - 'Old Balance Sheet'!AC91</f>
        <v>0</v>
      </c>
      <c r="DV91" s="31">
        <f>SUMIFS('Payments Log'!D:D, 'Payments Log'!B:B, A91, 'Payments Log'!L:L, "Approved", 'Payments Log'!M:M, "Adjustment Credit") - SUMIFS('Payments Log'!D:D, 'Payments Log'!B:B, A91, 'Payments Log'!L:L, "Approved", 'Payments Log'!M:M, "Adjustment Debit") + 'Old Balance Sheet'!AE91</f>
        <v>0</v>
      </c>
      <c r="DW91" s="31">
        <f>IF(MAXIFS('Payments Log'!N:N, 'Payments Log'!L:L, "Approved", 'Payments Log'!M:M, "Credit", 'Payments Log'!B:B, A91) &gt; MAXIFS('Payments Log'!N:N, 'Payments Log'!L:L, "Approved", 'Payments Log'!M:M, "Virtual Credit", 'Payments Log'!B:B, A91), 0, SUMIFS('Payments Log'!D:D, 'Payments Log'!N:N, MAXIFS('Payments Log'!N:N, 'Payments Log'!L:L, "Approved", 'Payments Log'!M:M, "Virtual Credit", 'Payments Log'!B:B, A91)))</f>
        <v>0</v>
      </c>
      <c r="DX91" s="33">
        <f t="shared" si="6"/>
        <v>0</v>
      </c>
      <c r="DY91" s="33">
        <f t="shared" si="7"/>
        <v>0</v>
      </c>
      <c r="DZ91" s="33">
        <f t="shared" si="8"/>
        <v>0</v>
      </c>
      <c r="EA91" s="25" t="str">
        <f>(Sheet1!N91)</f>
        <v>VPS HERO - KURUKSHETRA</v>
      </c>
      <c r="EB91" s="25" t="str">
        <f>(Sheet1!O91)</f>
        <v>1TuBCieryI5B9C4qUUscd4DG93Cj0YeOolwC7hs56SEg</v>
      </c>
      <c r="EC91" s="26" t="str">
        <f>(Sheet1!P91)</f>
        <v>Dealer</v>
      </c>
      <c r="ED91" s="34" t="s">
        <v>13</v>
      </c>
    </row>
    <row r="92">
      <c r="A92" s="25" t="str">
        <f>(Sheet1!A92)</f>
        <v>1eiTogQPi-sHfdl6mZbOd9WL047mVrKOSLuFH6hsfT4U</v>
      </c>
      <c r="B92" s="25" t="str">
        <f>(Sheet1!B92)</f>
        <v>Rohit Automobiles - Yamuna Nagar</v>
      </c>
      <c r="C92" s="30" t="s">
        <v>13</v>
      </c>
      <c r="D92" s="30" t="s">
        <v>72</v>
      </c>
      <c r="E92" s="30" t="s">
        <v>3817</v>
      </c>
      <c r="F92" s="31">
        <v>205.0</v>
      </c>
      <c r="G92" s="32" t="s">
        <v>3818</v>
      </c>
      <c r="H92" s="31">
        <v>100.0</v>
      </c>
      <c r="I92" s="33">
        <f>'Old Balance Sheet'!A92 + 'ACPL Calculations - 1.0'!A92 + 'ACPL Calculations - 2.0'!A92</f>
        <v>0</v>
      </c>
      <c r="J92" s="30" t="s">
        <v>3817</v>
      </c>
      <c r="K92" s="31">
        <v>205.0</v>
      </c>
      <c r="L92" s="32" t="s">
        <v>3818</v>
      </c>
      <c r="M92" s="31">
        <v>100.0</v>
      </c>
      <c r="N92" s="33">
        <f>'Old Balance Sheet'!B92 + 'ACPL Calculations - 1.0'!B92 + 'ACPL Calculations - 2.0'!B92</f>
        <v>0</v>
      </c>
      <c r="O92" s="30" t="s">
        <v>3817</v>
      </c>
      <c r="P92" s="31">
        <v>290.0</v>
      </c>
      <c r="Q92" s="32" t="s">
        <v>3818</v>
      </c>
      <c r="R92" s="31">
        <v>100.0</v>
      </c>
      <c r="S92" s="33">
        <f>'Old Balance Sheet'!C92 + 'ACPL Calculations - 1.0'!C92 + 'ACPL Calculations - 2.0'!C92</f>
        <v>0</v>
      </c>
      <c r="T92" s="30" t="s">
        <v>3817</v>
      </c>
      <c r="U92" s="31">
        <v>375.0</v>
      </c>
      <c r="V92" s="32" t="s">
        <v>3818</v>
      </c>
      <c r="W92" s="31">
        <v>100.0</v>
      </c>
      <c r="X92" s="33">
        <f>'Old Balance Sheet'!D92 + 'ACPL Calculations - 1.0'!D92 + 'ACPL Calculations - 2.0'!D92</f>
        <v>0</v>
      </c>
      <c r="Y92" s="30" t="s">
        <v>3817</v>
      </c>
      <c r="Z92" s="31">
        <v>460.0</v>
      </c>
      <c r="AA92" s="32" t="s">
        <v>3818</v>
      </c>
      <c r="AB92" s="31">
        <v>100.0</v>
      </c>
      <c r="AC92" s="33">
        <f>'Old Balance Sheet'!E92 + 'ACPL Calculations - 1.0'!E92 + 'ACPL Calculations - 2.0'!E92</f>
        <v>0</v>
      </c>
      <c r="AD92" s="30" t="s">
        <v>3817</v>
      </c>
      <c r="AE92" s="34">
        <v>838.99</v>
      </c>
      <c r="AF92" s="32" t="s">
        <v>3818</v>
      </c>
      <c r="AG92" s="31">
        <v>100.0</v>
      </c>
      <c r="AH92" s="33">
        <f>'Old Balance Sheet'!F92 + 'ACPL Calculations - 1.0'!F92 + 'ACPL Calculations - 2.0'!F92</f>
        <v>0</v>
      </c>
      <c r="AI92" s="30" t="s">
        <v>3817</v>
      </c>
      <c r="AJ92" s="31">
        <v>375.0</v>
      </c>
      <c r="AK92" s="32" t="s">
        <v>3818</v>
      </c>
      <c r="AL92" s="31">
        <v>100.0</v>
      </c>
      <c r="AM92" s="33">
        <f>'Old Balance Sheet'!G92 + 'ACPL Calculations - 1.0'!G92 + 'ACPL Calculations - 2.0'!G92</f>
        <v>0</v>
      </c>
      <c r="AN92" s="30" t="s">
        <v>3817</v>
      </c>
      <c r="AO92" s="31">
        <v>290.0</v>
      </c>
      <c r="AP92" s="32" t="s">
        <v>3818</v>
      </c>
      <c r="AQ92" s="31">
        <v>100.0</v>
      </c>
      <c r="AR92" s="33">
        <f>'Old Balance Sheet'!H92 + 'ACPL Calculations - 1.0'!H92 + 'ACPL Calculations - 2.0'!H92</f>
        <v>0</v>
      </c>
      <c r="AS92" s="30" t="s">
        <v>3819</v>
      </c>
      <c r="AT92" s="31">
        <v>838.99</v>
      </c>
      <c r="AU92" s="32" t="s">
        <v>3818</v>
      </c>
      <c r="AV92" s="31">
        <v>100.0</v>
      </c>
      <c r="AW92" s="33">
        <f>'Old Balance Sheet'!I92 + 'ACPL Calculations - 1.0'!I92 + 'ACPL Calculations - 2.0'!I92</f>
        <v>0</v>
      </c>
      <c r="AX92" s="30" t="s">
        <v>3817</v>
      </c>
      <c r="AY92" s="31">
        <v>290.0</v>
      </c>
      <c r="AZ92" s="32" t="s">
        <v>3818</v>
      </c>
      <c r="BA92" s="31">
        <v>100.0</v>
      </c>
      <c r="BB92" s="33">
        <f>'Old Balance Sheet'!J92 + 'ACPL Calculations - 1.0'!J92 + 'ACPL Calculations - 2.0'!J92</f>
        <v>0</v>
      </c>
      <c r="BC92" s="30" t="s">
        <v>3817</v>
      </c>
      <c r="BD92" s="31">
        <v>205.0</v>
      </c>
      <c r="BE92" s="32" t="s">
        <v>3818</v>
      </c>
      <c r="BF92" s="31">
        <v>100.0</v>
      </c>
      <c r="BG92" s="33">
        <f>'Old Balance Sheet'!K92 + 'ACPL Calculations - 1.0'!K92 + 'ACPL Calculations - 2.0'!K92</f>
        <v>0</v>
      </c>
      <c r="BH92" s="30" t="s">
        <v>3817</v>
      </c>
      <c r="BI92" s="31">
        <v>205.0</v>
      </c>
      <c r="BJ92" s="32" t="s">
        <v>3818</v>
      </c>
      <c r="BK92" s="31">
        <v>100.0</v>
      </c>
      <c r="BL92" s="33">
        <f>'Old Balance Sheet'!L92 + 'ACPL Calculations - 1.0'!L92 + 'ACPL Calculations - 2.0'!L92</f>
        <v>0</v>
      </c>
      <c r="BM92" s="33"/>
      <c r="BN92" s="33"/>
      <c r="BO92" s="33"/>
      <c r="BP92" s="33"/>
      <c r="BQ92" s="33"/>
      <c r="BR92" s="33"/>
      <c r="BS92" s="33"/>
      <c r="BT92" s="33"/>
      <c r="BU92" s="33"/>
      <c r="BV92" s="33"/>
      <c r="BW92" s="33"/>
      <c r="BX92" s="33"/>
      <c r="BY92" s="33"/>
      <c r="BZ92" s="33"/>
      <c r="CA92" s="33"/>
      <c r="CB92" s="33"/>
      <c r="CC92" s="33"/>
      <c r="CD92" s="33"/>
      <c r="CE92" s="33"/>
      <c r="CF92" s="33"/>
      <c r="CG92" s="33"/>
      <c r="CH92" s="33"/>
      <c r="CI92" s="33"/>
      <c r="CJ92" s="33"/>
      <c r="CK92" s="33"/>
      <c r="CL92" s="33">
        <f t="shared" si="1"/>
        <v>0</v>
      </c>
      <c r="CM92" s="33">
        <f>'Old Balance Sheet'!R92 + 'ACPL Calculations - 1.0'!S92 + 'ACPL Calculations - 2.0'!S92</f>
        <v>0</v>
      </c>
      <c r="CN92" s="33">
        <f>'Old Balance Sheet'!S92 + 'ACPL Calculations - 1.0'!T92 + 'ACPL Calculations - 2.0'!T92</f>
        <v>0</v>
      </c>
      <c r="CO92" s="33">
        <f t="shared" si="2"/>
        <v>0</v>
      </c>
      <c r="CP92" s="33">
        <f>'Old Balance Sheet'!T92 + 'ACPL Calculations - 1.0'!V92 + 'ACPL Calculations - 2.0'!V92</f>
        <v>0</v>
      </c>
      <c r="CQ92" s="33">
        <f>'Old Balance Sheet'!U92 + 'ACPL Calculations - 1.0'!W92 + 'ACPL Calculations - 2.0'!W92</f>
        <v>0</v>
      </c>
      <c r="CR92" s="33">
        <f>'Old Balance Sheet'!V92 + 'ACPL Calculations - 1.0'!X92 + 'ACPL Calculations - 2.0'!X92</f>
        <v>0</v>
      </c>
      <c r="CS92" s="33">
        <f t="shared" si="3"/>
        <v>0</v>
      </c>
      <c r="CT92" s="35"/>
      <c r="CU92" s="35"/>
      <c r="CV92" s="35"/>
      <c r="CW92" s="36">
        <f>'Old Balance Sheet'!W92 + 'ACPL Calculations - 1.0'!Z92 + 'ACPL Calculations - 2.0'!Z92</f>
        <v>0</v>
      </c>
      <c r="CX92" s="36">
        <f>'Old Balance Sheet'!X92 + 'ACPL Calculations - 1.0'!AA92 + 'ACPL Calculations - 2.0'!AA92</f>
        <v>0</v>
      </c>
      <c r="CY92" s="37">
        <v>0.0</v>
      </c>
      <c r="CZ92" s="38">
        <f>'Old Balance Sheet'!Y92 + 'ACPL Calculations - 1.0'!AB92 + 'ACPL Calculations - 2.0'!AB92</f>
        <v>0</v>
      </c>
      <c r="DA92" s="38">
        <f>'Old Balance Sheet'!Z92 + 'ACPL Calculations - 1.0'!AC92 + 'ACPL Calculations - 2.0'!AC92</f>
        <v>0</v>
      </c>
      <c r="DB92" s="38">
        <f>'Old Balance Sheet'!AA92 + 'ACPL Calculations - 1.0'!AD92 + 'ACPL Calculations - 2.0'!AD92</f>
        <v>0</v>
      </c>
      <c r="DC92" s="38">
        <f>'Old Balance Sheet'!AB92 + 'ACPL Calculations - 1.0'!AE92 + 'ACPL Calculations - 2.0'!AE92</f>
        <v>0</v>
      </c>
      <c r="DD92" s="38">
        <f t="shared" si="4"/>
        <v>0</v>
      </c>
      <c r="DE92" s="33">
        <f t="shared" si="5"/>
        <v>0</v>
      </c>
      <c r="DF92" s="35">
        <v>0.0</v>
      </c>
      <c r="DG92" s="35">
        <v>0.0</v>
      </c>
      <c r="DH92" s="35">
        <v>0.0</v>
      </c>
      <c r="DI92" s="35">
        <v>0.0</v>
      </c>
      <c r="DJ92" s="35">
        <v>0.0</v>
      </c>
      <c r="DK92" s="35">
        <v>0.0</v>
      </c>
      <c r="DL92" s="35">
        <v>0.0</v>
      </c>
      <c r="DM92" s="35">
        <v>0.0</v>
      </c>
      <c r="DN92" s="31">
        <v>0.0</v>
      </c>
      <c r="DO92" s="31">
        <v>0.0</v>
      </c>
      <c r="DP92" s="31">
        <v>0.0</v>
      </c>
      <c r="DQ92" s="31">
        <v>0.0</v>
      </c>
      <c r="DR92" s="31">
        <v>0.0</v>
      </c>
      <c r="DS92" s="31">
        <v>0.0</v>
      </c>
      <c r="DT92" s="31">
        <f>'Old Balance Sheet'!AC92</f>
        <v>0</v>
      </c>
      <c r="DU92" s="31">
        <f>DT92 + SUMIFS('Payments Log'!D:D, 'Payments Log'!B:B, A92, 'Payments Log'!L:L, "Approved", 'Payments Log'!M:M, "Credit") + 'Old Balance Sheet'!AD92 - 'Old Balance Sheet'!AC92</f>
        <v>0</v>
      </c>
      <c r="DV92" s="31">
        <f>SUMIFS('Payments Log'!D:D, 'Payments Log'!B:B, A92, 'Payments Log'!L:L, "Approved", 'Payments Log'!M:M, "Adjustment Credit") - SUMIFS('Payments Log'!D:D, 'Payments Log'!B:B, A92, 'Payments Log'!L:L, "Approved", 'Payments Log'!M:M, "Adjustment Debit") + 'Old Balance Sheet'!AE92</f>
        <v>0</v>
      </c>
      <c r="DW92" s="31">
        <f>IF(MAXIFS('Payments Log'!N:N, 'Payments Log'!L:L, "Approved", 'Payments Log'!M:M, "Credit", 'Payments Log'!B:B, A92) &gt; MAXIFS('Payments Log'!N:N, 'Payments Log'!L:L, "Approved", 'Payments Log'!M:M, "Virtual Credit", 'Payments Log'!B:B, A92), 0, SUMIFS('Payments Log'!D:D, 'Payments Log'!N:N, MAXIFS('Payments Log'!N:N, 'Payments Log'!L:L, "Approved", 'Payments Log'!M:M, "Virtual Credit", 'Payments Log'!B:B, A92)))</f>
        <v>0</v>
      </c>
      <c r="DX92" s="33">
        <f t="shared" si="6"/>
        <v>0</v>
      </c>
      <c r="DY92" s="33">
        <f t="shared" si="7"/>
        <v>0</v>
      </c>
      <c r="DZ92" s="33">
        <f t="shared" si="8"/>
        <v>0</v>
      </c>
      <c r="EA92" s="25" t="str">
        <f>(Sheet1!N92)</f>
        <v>Rohit Automobiles - Yamuna Nagar</v>
      </c>
      <c r="EB92" s="25" t="str">
        <f>(Sheet1!O92)</f>
        <v>1eiTogQPi-sHfdl6mZbOd9WL047mVrKOSLuFH6hsfT4U</v>
      </c>
      <c r="EC92" s="26" t="str">
        <f>(Sheet1!P92)</f>
        <v>Dealer</v>
      </c>
      <c r="ED92" s="34" t="s">
        <v>13</v>
      </c>
    </row>
    <row r="93">
      <c r="A93" s="25" t="str">
        <f>(Sheet1!A93)</f>
        <v>1K6oaFfzdWrW0ygNwDwWBmlm6lWJxWCUD9ydsyisVA7A</v>
      </c>
      <c r="B93" s="25" t="str">
        <f>(Sheet1!B93)</f>
        <v>Sahib Motors - Panipat</v>
      </c>
      <c r="C93" s="30" t="s">
        <v>13</v>
      </c>
      <c r="D93" s="30" t="s">
        <v>72</v>
      </c>
      <c r="E93" s="30" t="s">
        <v>3817</v>
      </c>
      <c r="F93" s="31">
        <v>205.0</v>
      </c>
      <c r="G93" s="32" t="s">
        <v>3818</v>
      </c>
      <c r="H93" s="31">
        <v>100.0</v>
      </c>
      <c r="I93" s="33">
        <f>'Old Balance Sheet'!A93 + 'ACPL Calculations - 1.0'!A93 + 'ACPL Calculations - 2.0'!A93</f>
        <v>0</v>
      </c>
      <c r="J93" s="30" t="s">
        <v>3817</v>
      </c>
      <c r="K93" s="31">
        <v>205.0</v>
      </c>
      <c r="L93" s="32" t="s">
        <v>3818</v>
      </c>
      <c r="M93" s="31">
        <v>100.0</v>
      </c>
      <c r="N93" s="33">
        <f>'Old Balance Sheet'!B93 + 'ACPL Calculations - 1.0'!B93 + 'ACPL Calculations - 2.0'!B93</f>
        <v>0</v>
      </c>
      <c r="O93" s="30" t="s">
        <v>3817</v>
      </c>
      <c r="P93" s="31">
        <v>290.0</v>
      </c>
      <c r="Q93" s="32" t="s">
        <v>3818</v>
      </c>
      <c r="R93" s="31">
        <v>100.0</v>
      </c>
      <c r="S93" s="33">
        <f>'Old Balance Sheet'!C93 + 'ACPL Calculations - 1.0'!C93 + 'ACPL Calculations - 2.0'!C93</f>
        <v>0</v>
      </c>
      <c r="T93" s="30" t="s">
        <v>3817</v>
      </c>
      <c r="U93" s="31">
        <v>375.0</v>
      </c>
      <c r="V93" s="32" t="s">
        <v>3818</v>
      </c>
      <c r="W93" s="31">
        <v>100.0</v>
      </c>
      <c r="X93" s="33">
        <f>'Old Balance Sheet'!D93 + 'ACPL Calculations - 1.0'!D93 + 'ACPL Calculations - 2.0'!D93</f>
        <v>0</v>
      </c>
      <c r="Y93" s="30" t="s">
        <v>3817</v>
      </c>
      <c r="Z93" s="31">
        <v>460.0</v>
      </c>
      <c r="AA93" s="32" t="s">
        <v>3818</v>
      </c>
      <c r="AB93" s="31">
        <v>100.0</v>
      </c>
      <c r="AC93" s="33">
        <f>'Old Balance Sheet'!E93 + 'ACPL Calculations - 1.0'!E93 + 'ACPL Calculations - 2.0'!E93</f>
        <v>0</v>
      </c>
      <c r="AD93" s="30" t="s">
        <v>3817</v>
      </c>
      <c r="AE93" s="34">
        <v>838.99</v>
      </c>
      <c r="AF93" s="32" t="s">
        <v>3818</v>
      </c>
      <c r="AG93" s="31">
        <v>100.0</v>
      </c>
      <c r="AH93" s="33">
        <f>'Old Balance Sheet'!F93 + 'ACPL Calculations - 1.0'!F93 + 'ACPL Calculations - 2.0'!F93</f>
        <v>0</v>
      </c>
      <c r="AI93" s="30" t="s">
        <v>3817</v>
      </c>
      <c r="AJ93" s="31">
        <v>375.0</v>
      </c>
      <c r="AK93" s="32" t="s">
        <v>3818</v>
      </c>
      <c r="AL93" s="31">
        <v>100.0</v>
      </c>
      <c r="AM93" s="33">
        <f>'Old Balance Sheet'!G93 + 'ACPL Calculations - 1.0'!G93 + 'ACPL Calculations - 2.0'!G93</f>
        <v>0</v>
      </c>
      <c r="AN93" s="30" t="s">
        <v>3817</v>
      </c>
      <c r="AO93" s="31">
        <v>290.0</v>
      </c>
      <c r="AP93" s="32" t="s">
        <v>3818</v>
      </c>
      <c r="AQ93" s="31">
        <v>100.0</v>
      </c>
      <c r="AR93" s="33">
        <f>'Old Balance Sheet'!H93 + 'ACPL Calculations - 1.0'!H93 + 'ACPL Calculations - 2.0'!H93</f>
        <v>0</v>
      </c>
      <c r="AS93" s="30" t="s">
        <v>3819</v>
      </c>
      <c r="AT93" s="31">
        <v>838.99</v>
      </c>
      <c r="AU93" s="32" t="s">
        <v>3818</v>
      </c>
      <c r="AV93" s="31">
        <v>100.0</v>
      </c>
      <c r="AW93" s="33">
        <f>'Old Balance Sheet'!I93 + 'ACPL Calculations - 1.0'!I93 + 'ACPL Calculations - 2.0'!I93</f>
        <v>0</v>
      </c>
      <c r="AX93" s="30" t="s">
        <v>3817</v>
      </c>
      <c r="AY93" s="31">
        <v>290.0</v>
      </c>
      <c r="AZ93" s="32" t="s">
        <v>3818</v>
      </c>
      <c r="BA93" s="31">
        <v>100.0</v>
      </c>
      <c r="BB93" s="33">
        <f>'Old Balance Sheet'!J93 + 'ACPL Calculations - 1.0'!J93 + 'ACPL Calculations - 2.0'!J93</f>
        <v>0</v>
      </c>
      <c r="BC93" s="30" t="s">
        <v>3817</v>
      </c>
      <c r="BD93" s="31">
        <v>205.0</v>
      </c>
      <c r="BE93" s="32" t="s">
        <v>3818</v>
      </c>
      <c r="BF93" s="31">
        <v>100.0</v>
      </c>
      <c r="BG93" s="33">
        <f>'Old Balance Sheet'!K93 + 'ACPL Calculations - 1.0'!K93 + 'ACPL Calculations - 2.0'!K93</f>
        <v>0</v>
      </c>
      <c r="BH93" s="30" t="s">
        <v>3817</v>
      </c>
      <c r="BI93" s="31">
        <v>205.0</v>
      </c>
      <c r="BJ93" s="32" t="s">
        <v>3818</v>
      </c>
      <c r="BK93" s="31">
        <v>100.0</v>
      </c>
      <c r="BL93" s="33">
        <f>'Old Balance Sheet'!L93 + 'ACPL Calculations - 1.0'!L93 + 'ACPL Calculations - 2.0'!L93</f>
        <v>0</v>
      </c>
      <c r="BM93" s="33"/>
      <c r="BN93" s="33"/>
      <c r="BO93" s="33"/>
      <c r="BP93" s="33"/>
      <c r="BQ93" s="33"/>
      <c r="BR93" s="33"/>
      <c r="BS93" s="33"/>
      <c r="BT93" s="33"/>
      <c r="BU93" s="33"/>
      <c r="BV93" s="33"/>
      <c r="BW93" s="33"/>
      <c r="BX93" s="33"/>
      <c r="BY93" s="33"/>
      <c r="BZ93" s="33"/>
      <c r="CA93" s="33"/>
      <c r="CB93" s="33"/>
      <c r="CC93" s="33"/>
      <c r="CD93" s="33"/>
      <c r="CE93" s="33"/>
      <c r="CF93" s="33"/>
      <c r="CG93" s="33"/>
      <c r="CH93" s="33"/>
      <c r="CI93" s="33"/>
      <c r="CJ93" s="33"/>
      <c r="CK93" s="33"/>
      <c r="CL93" s="33">
        <f t="shared" si="1"/>
        <v>0</v>
      </c>
      <c r="CM93" s="33">
        <f>'Old Balance Sheet'!R93 + 'ACPL Calculations - 1.0'!S93 + 'ACPL Calculations - 2.0'!S93</f>
        <v>0</v>
      </c>
      <c r="CN93" s="33">
        <f>'Old Balance Sheet'!S93 + 'ACPL Calculations - 1.0'!T93 + 'ACPL Calculations - 2.0'!T93</f>
        <v>0</v>
      </c>
      <c r="CO93" s="33">
        <f t="shared" si="2"/>
        <v>0</v>
      </c>
      <c r="CP93" s="33">
        <f>'Old Balance Sheet'!T93 + 'ACPL Calculations - 1.0'!V93 + 'ACPL Calculations - 2.0'!V93</f>
        <v>0</v>
      </c>
      <c r="CQ93" s="33">
        <f>'Old Balance Sheet'!U93 + 'ACPL Calculations - 1.0'!W93 + 'ACPL Calculations - 2.0'!W93</f>
        <v>0</v>
      </c>
      <c r="CR93" s="33">
        <f>'Old Balance Sheet'!V93 + 'ACPL Calculations - 1.0'!X93 + 'ACPL Calculations - 2.0'!X93</f>
        <v>0</v>
      </c>
      <c r="CS93" s="33">
        <f t="shared" si="3"/>
        <v>0</v>
      </c>
      <c r="CT93" s="35"/>
      <c r="CU93" s="35"/>
      <c r="CV93" s="35"/>
      <c r="CW93" s="36">
        <f>'Old Balance Sheet'!W93 + 'ACPL Calculations - 1.0'!Z93 + 'ACPL Calculations - 2.0'!Z93</f>
        <v>0</v>
      </c>
      <c r="CX93" s="36">
        <f>'Old Balance Sheet'!X93 + 'ACPL Calculations - 1.0'!AA93 + 'ACPL Calculations - 2.0'!AA93</f>
        <v>0</v>
      </c>
      <c r="CY93" s="37">
        <v>0.0</v>
      </c>
      <c r="CZ93" s="38">
        <f>'Old Balance Sheet'!Y93 + 'ACPL Calculations - 1.0'!AB93 + 'ACPL Calculations - 2.0'!AB93</f>
        <v>0</v>
      </c>
      <c r="DA93" s="38">
        <f>'Old Balance Sheet'!Z93 + 'ACPL Calculations - 1.0'!AC93 + 'ACPL Calculations - 2.0'!AC93</f>
        <v>0</v>
      </c>
      <c r="DB93" s="38">
        <f>'Old Balance Sheet'!AA93 + 'ACPL Calculations - 1.0'!AD93 + 'ACPL Calculations - 2.0'!AD93</f>
        <v>0</v>
      </c>
      <c r="DC93" s="38">
        <f>'Old Balance Sheet'!AB93 + 'ACPL Calculations - 1.0'!AE93 + 'ACPL Calculations - 2.0'!AE93</f>
        <v>0</v>
      </c>
      <c r="DD93" s="38">
        <f t="shared" si="4"/>
        <v>0</v>
      </c>
      <c r="DE93" s="33">
        <f t="shared" si="5"/>
        <v>0</v>
      </c>
      <c r="DF93" s="35">
        <v>0.0</v>
      </c>
      <c r="DG93" s="35">
        <v>0.0</v>
      </c>
      <c r="DH93" s="35">
        <v>0.0</v>
      </c>
      <c r="DI93" s="35">
        <v>0.0</v>
      </c>
      <c r="DJ93" s="35">
        <v>0.0</v>
      </c>
      <c r="DK93" s="35">
        <v>0.0</v>
      </c>
      <c r="DL93" s="35">
        <v>0.0</v>
      </c>
      <c r="DM93" s="35">
        <v>0.0</v>
      </c>
      <c r="DN93" s="31">
        <v>0.0</v>
      </c>
      <c r="DO93" s="31">
        <v>0.0</v>
      </c>
      <c r="DP93" s="31">
        <v>0.0</v>
      </c>
      <c r="DQ93" s="31">
        <v>0.0</v>
      </c>
      <c r="DR93" s="31">
        <v>0.0</v>
      </c>
      <c r="DS93" s="31">
        <v>0.0</v>
      </c>
      <c r="DT93" s="31">
        <f>'Old Balance Sheet'!AC93</f>
        <v>0</v>
      </c>
      <c r="DU93" s="31">
        <f>DT93 + SUMIFS('Payments Log'!D:D, 'Payments Log'!B:B, A93, 'Payments Log'!L:L, "Approved", 'Payments Log'!M:M, "Credit") + 'Old Balance Sheet'!AD93 - 'Old Balance Sheet'!AC93</f>
        <v>0</v>
      </c>
      <c r="DV93" s="31">
        <f>SUMIFS('Payments Log'!D:D, 'Payments Log'!B:B, A93, 'Payments Log'!L:L, "Approved", 'Payments Log'!M:M, "Adjustment Credit") - SUMIFS('Payments Log'!D:D, 'Payments Log'!B:B, A93, 'Payments Log'!L:L, "Approved", 'Payments Log'!M:M, "Adjustment Debit") + 'Old Balance Sheet'!AE93</f>
        <v>0</v>
      </c>
      <c r="DW93" s="31">
        <f>IF(MAXIFS('Payments Log'!N:N, 'Payments Log'!L:L, "Approved", 'Payments Log'!M:M, "Credit", 'Payments Log'!B:B, A93) &gt; MAXIFS('Payments Log'!N:N, 'Payments Log'!L:L, "Approved", 'Payments Log'!M:M, "Virtual Credit", 'Payments Log'!B:B, A93), 0, SUMIFS('Payments Log'!D:D, 'Payments Log'!N:N, MAXIFS('Payments Log'!N:N, 'Payments Log'!L:L, "Approved", 'Payments Log'!M:M, "Virtual Credit", 'Payments Log'!B:B, A93)))</f>
        <v>0</v>
      </c>
      <c r="DX93" s="33">
        <f t="shared" si="6"/>
        <v>0</v>
      </c>
      <c r="DY93" s="33">
        <f t="shared" si="7"/>
        <v>0</v>
      </c>
      <c r="DZ93" s="33">
        <f t="shared" si="8"/>
        <v>0</v>
      </c>
      <c r="EA93" s="25" t="str">
        <f>(Sheet1!N93)</f>
        <v>Sahib Motors - Panipat</v>
      </c>
      <c r="EB93" s="25" t="str">
        <f>(Sheet1!O93)</f>
        <v>1K6oaFfzdWrW0ygNwDwWBmlm6lWJxWCUD9ydsyisVA7A</v>
      </c>
      <c r="EC93" s="26" t="str">
        <f>(Sheet1!P93)</f>
        <v>Dealer</v>
      </c>
      <c r="ED93" s="34" t="s">
        <v>13</v>
      </c>
    </row>
    <row r="94">
      <c r="A94" s="25" t="str">
        <f>(Sheet1!A94)</f>
        <v>1-Ht1VJM8lu7HceWxxtL7iafzmbHFLLgtLF3OJk7V8IQ</v>
      </c>
      <c r="B94" s="25" t="str">
        <f>(Sheet1!B94)</f>
        <v>LAKSHMI AUTOMOBILES - GHARAUNDA</v>
      </c>
      <c r="C94" s="30" t="s">
        <v>13</v>
      </c>
      <c r="D94" s="30" t="s">
        <v>72</v>
      </c>
      <c r="E94" s="30" t="s">
        <v>3817</v>
      </c>
      <c r="F94" s="31">
        <v>205.0</v>
      </c>
      <c r="G94" s="32" t="s">
        <v>3818</v>
      </c>
      <c r="H94" s="31">
        <v>100.0</v>
      </c>
      <c r="I94" s="33">
        <f>'Old Balance Sheet'!A94 + 'ACPL Calculations - 1.0'!A94 + 'ACPL Calculations - 2.0'!A94</f>
        <v>0</v>
      </c>
      <c r="J94" s="30" t="s">
        <v>3817</v>
      </c>
      <c r="K94" s="31">
        <v>205.0</v>
      </c>
      <c r="L94" s="32" t="s">
        <v>3818</v>
      </c>
      <c r="M94" s="31">
        <v>100.0</v>
      </c>
      <c r="N94" s="33">
        <f>'Old Balance Sheet'!B94 + 'ACPL Calculations - 1.0'!B94 + 'ACPL Calculations - 2.0'!B94</f>
        <v>0</v>
      </c>
      <c r="O94" s="30" t="s">
        <v>3817</v>
      </c>
      <c r="P94" s="31">
        <v>290.0</v>
      </c>
      <c r="Q94" s="32" t="s">
        <v>3818</v>
      </c>
      <c r="R94" s="31">
        <v>100.0</v>
      </c>
      <c r="S94" s="33">
        <f>'Old Balance Sheet'!C94 + 'ACPL Calculations - 1.0'!C94 + 'ACPL Calculations - 2.0'!C94</f>
        <v>0</v>
      </c>
      <c r="T94" s="30" t="s">
        <v>3817</v>
      </c>
      <c r="U94" s="31">
        <v>375.0</v>
      </c>
      <c r="V94" s="32" t="s">
        <v>3818</v>
      </c>
      <c r="W94" s="31">
        <v>100.0</v>
      </c>
      <c r="X94" s="33">
        <f>'Old Balance Sheet'!D94 + 'ACPL Calculations - 1.0'!D94 + 'ACPL Calculations - 2.0'!D94</f>
        <v>0</v>
      </c>
      <c r="Y94" s="30" t="s">
        <v>3817</v>
      </c>
      <c r="Z94" s="31">
        <v>460.0</v>
      </c>
      <c r="AA94" s="32" t="s">
        <v>3818</v>
      </c>
      <c r="AB94" s="31">
        <v>100.0</v>
      </c>
      <c r="AC94" s="33">
        <f>'Old Balance Sheet'!E94 + 'ACPL Calculations - 1.0'!E94 + 'ACPL Calculations - 2.0'!E94</f>
        <v>0</v>
      </c>
      <c r="AD94" s="30" t="s">
        <v>3817</v>
      </c>
      <c r="AE94" s="34">
        <v>838.99</v>
      </c>
      <c r="AF94" s="32" t="s">
        <v>3818</v>
      </c>
      <c r="AG94" s="31">
        <v>100.0</v>
      </c>
      <c r="AH94" s="33">
        <f>'Old Balance Sheet'!F94 + 'ACPL Calculations - 1.0'!F94 + 'ACPL Calculations - 2.0'!F94</f>
        <v>0</v>
      </c>
      <c r="AI94" s="30" t="s">
        <v>3817</v>
      </c>
      <c r="AJ94" s="31">
        <v>375.0</v>
      </c>
      <c r="AK94" s="32" t="s">
        <v>3818</v>
      </c>
      <c r="AL94" s="31">
        <v>100.0</v>
      </c>
      <c r="AM94" s="33">
        <f>'Old Balance Sheet'!G94 + 'ACPL Calculations - 1.0'!G94 + 'ACPL Calculations - 2.0'!G94</f>
        <v>0</v>
      </c>
      <c r="AN94" s="30" t="s">
        <v>3817</v>
      </c>
      <c r="AO94" s="31">
        <v>290.0</v>
      </c>
      <c r="AP94" s="32" t="s">
        <v>3818</v>
      </c>
      <c r="AQ94" s="31">
        <v>100.0</v>
      </c>
      <c r="AR94" s="33">
        <f>'Old Balance Sheet'!H94 + 'ACPL Calculations - 1.0'!H94 + 'ACPL Calculations - 2.0'!H94</f>
        <v>0</v>
      </c>
      <c r="AS94" s="30" t="s">
        <v>3819</v>
      </c>
      <c r="AT94" s="31">
        <v>838.99</v>
      </c>
      <c r="AU94" s="32" t="s">
        <v>3818</v>
      </c>
      <c r="AV94" s="31">
        <v>100.0</v>
      </c>
      <c r="AW94" s="33">
        <f>'Old Balance Sheet'!I94 + 'ACPL Calculations - 1.0'!I94 + 'ACPL Calculations - 2.0'!I94</f>
        <v>0</v>
      </c>
      <c r="AX94" s="30" t="s">
        <v>3817</v>
      </c>
      <c r="AY94" s="31">
        <v>290.0</v>
      </c>
      <c r="AZ94" s="32" t="s">
        <v>3818</v>
      </c>
      <c r="BA94" s="31">
        <v>100.0</v>
      </c>
      <c r="BB94" s="33">
        <f>'Old Balance Sheet'!J94 + 'ACPL Calculations - 1.0'!J94 + 'ACPL Calculations - 2.0'!J94</f>
        <v>0</v>
      </c>
      <c r="BC94" s="30" t="s">
        <v>3817</v>
      </c>
      <c r="BD94" s="31">
        <v>205.0</v>
      </c>
      <c r="BE94" s="32" t="s">
        <v>3818</v>
      </c>
      <c r="BF94" s="31">
        <v>100.0</v>
      </c>
      <c r="BG94" s="33">
        <f>'Old Balance Sheet'!K94 + 'ACPL Calculations - 1.0'!K94 + 'ACPL Calculations - 2.0'!K94</f>
        <v>0</v>
      </c>
      <c r="BH94" s="30" t="s">
        <v>3817</v>
      </c>
      <c r="BI94" s="31">
        <v>205.0</v>
      </c>
      <c r="BJ94" s="32" t="s">
        <v>3818</v>
      </c>
      <c r="BK94" s="31">
        <v>100.0</v>
      </c>
      <c r="BL94" s="33">
        <f>'Old Balance Sheet'!L94 + 'ACPL Calculations - 1.0'!L94 + 'ACPL Calculations - 2.0'!L94</f>
        <v>0</v>
      </c>
      <c r="BM94" s="33"/>
      <c r="BN94" s="33"/>
      <c r="BO94" s="33"/>
      <c r="BP94" s="33"/>
      <c r="BQ94" s="33"/>
      <c r="BR94" s="33"/>
      <c r="BS94" s="33"/>
      <c r="BT94" s="33"/>
      <c r="BU94" s="33"/>
      <c r="BV94" s="33"/>
      <c r="BW94" s="33"/>
      <c r="BX94" s="33"/>
      <c r="BY94" s="33"/>
      <c r="BZ94" s="33"/>
      <c r="CA94" s="33"/>
      <c r="CB94" s="33"/>
      <c r="CC94" s="33"/>
      <c r="CD94" s="33"/>
      <c r="CE94" s="33"/>
      <c r="CF94" s="33"/>
      <c r="CG94" s="33"/>
      <c r="CH94" s="33"/>
      <c r="CI94" s="33"/>
      <c r="CJ94" s="33"/>
      <c r="CK94" s="33"/>
      <c r="CL94" s="33">
        <f t="shared" si="1"/>
        <v>0</v>
      </c>
      <c r="CM94" s="33">
        <f>'Old Balance Sheet'!R94 + 'ACPL Calculations - 1.0'!S94 + 'ACPL Calculations - 2.0'!S94</f>
        <v>0</v>
      </c>
      <c r="CN94" s="33">
        <f>'Old Balance Sheet'!S94 + 'ACPL Calculations - 1.0'!T94 + 'ACPL Calculations - 2.0'!T94</f>
        <v>0</v>
      </c>
      <c r="CO94" s="33">
        <f t="shared" si="2"/>
        <v>0</v>
      </c>
      <c r="CP94" s="33">
        <f>'Old Balance Sheet'!T94 + 'ACPL Calculations - 1.0'!V94 + 'ACPL Calculations - 2.0'!V94</f>
        <v>0</v>
      </c>
      <c r="CQ94" s="33">
        <f>'Old Balance Sheet'!U94 + 'ACPL Calculations - 1.0'!W94 + 'ACPL Calculations - 2.0'!W94</f>
        <v>0</v>
      </c>
      <c r="CR94" s="33">
        <f>'Old Balance Sheet'!V94 + 'ACPL Calculations - 1.0'!X94 + 'ACPL Calculations - 2.0'!X94</f>
        <v>0</v>
      </c>
      <c r="CS94" s="33">
        <f t="shared" si="3"/>
        <v>0</v>
      </c>
      <c r="CT94" s="35"/>
      <c r="CU94" s="35"/>
      <c r="CV94" s="35"/>
      <c r="CW94" s="36">
        <f>'Old Balance Sheet'!W94 + 'ACPL Calculations - 1.0'!Z94 + 'ACPL Calculations - 2.0'!Z94</f>
        <v>0</v>
      </c>
      <c r="CX94" s="36">
        <f>'Old Balance Sheet'!X94 + 'ACPL Calculations - 1.0'!AA94 + 'ACPL Calculations - 2.0'!AA94</f>
        <v>0</v>
      </c>
      <c r="CY94" s="37">
        <v>0.0</v>
      </c>
      <c r="CZ94" s="38">
        <f>'Old Balance Sheet'!Y94 + 'ACPL Calculations - 1.0'!AB94 + 'ACPL Calculations - 2.0'!AB94</f>
        <v>0</v>
      </c>
      <c r="DA94" s="38">
        <f>'Old Balance Sheet'!Z94 + 'ACPL Calculations - 1.0'!AC94 + 'ACPL Calculations - 2.0'!AC94</f>
        <v>0</v>
      </c>
      <c r="DB94" s="38">
        <f>'Old Balance Sheet'!AA94 + 'ACPL Calculations - 1.0'!AD94 + 'ACPL Calculations - 2.0'!AD94</f>
        <v>0</v>
      </c>
      <c r="DC94" s="38">
        <f>'Old Balance Sheet'!AB94 + 'ACPL Calculations - 1.0'!AE94 + 'ACPL Calculations - 2.0'!AE94</f>
        <v>0</v>
      </c>
      <c r="DD94" s="38">
        <f t="shared" si="4"/>
        <v>0</v>
      </c>
      <c r="DE94" s="33">
        <f t="shared" si="5"/>
        <v>0</v>
      </c>
      <c r="DF94" s="35">
        <v>0.0</v>
      </c>
      <c r="DG94" s="35">
        <v>0.0</v>
      </c>
      <c r="DH94" s="35">
        <v>0.0</v>
      </c>
      <c r="DI94" s="35">
        <v>0.0</v>
      </c>
      <c r="DJ94" s="35">
        <v>0.0</v>
      </c>
      <c r="DK94" s="35">
        <v>0.0</v>
      </c>
      <c r="DL94" s="35">
        <v>0.0</v>
      </c>
      <c r="DM94" s="35">
        <v>0.0</v>
      </c>
      <c r="DN94" s="31">
        <v>0.0</v>
      </c>
      <c r="DO94" s="31">
        <v>0.0</v>
      </c>
      <c r="DP94" s="31">
        <v>0.0</v>
      </c>
      <c r="DQ94" s="31">
        <v>0.0</v>
      </c>
      <c r="DR94" s="31">
        <v>0.0</v>
      </c>
      <c r="DS94" s="31">
        <v>0.0</v>
      </c>
      <c r="DT94" s="31">
        <f>'Old Balance Sheet'!AC94</f>
        <v>-7514</v>
      </c>
      <c r="DU94" s="31">
        <f>DT94 + SUMIFS('Payments Log'!D:D, 'Payments Log'!B:B, A94, 'Payments Log'!L:L, "Approved", 'Payments Log'!M:M, "Credit") + 'Old Balance Sheet'!AD94 - 'Old Balance Sheet'!AC94</f>
        <v>-7514</v>
      </c>
      <c r="DV94" s="31">
        <f>SUMIFS('Payments Log'!D:D, 'Payments Log'!B:B, A94, 'Payments Log'!L:L, "Approved", 'Payments Log'!M:M, "Adjustment Credit") - SUMIFS('Payments Log'!D:D, 'Payments Log'!B:B, A94, 'Payments Log'!L:L, "Approved", 'Payments Log'!M:M, "Adjustment Debit") + 'Old Balance Sheet'!AE94</f>
        <v>0</v>
      </c>
      <c r="DW94" s="31">
        <f>IF(MAXIFS('Payments Log'!N:N, 'Payments Log'!L:L, "Approved", 'Payments Log'!M:M, "Credit", 'Payments Log'!B:B, A94) &gt; MAXIFS('Payments Log'!N:N, 'Payments Log'!L:L, "Approved", 'Payments Log'!M:M, "Virtual Credit", 'Payments Log'!B:B, A94), 0, SUMIFS('Payments Log'!D:D, 'Payments Log'!N:N, MAXIFS('Payments Log'!N:N, 'Payments Log'!L:L, "Approved", 'Payments Log'!M:M, "Virtual Credit", 'Payments Log'!B:B, A94)))</f>
        <v>0</v>
      </c>
      <c r="DX94" s="33">
        <f t="shared" si="6"/>
        <v>-7514</v>
      </c>
      <c r="DY94" s="33">
        <f t="shared" si="7"/>
        <v>-7514</v>
      </c>
      <c r="DZ94" s="33">
        <f t="shared" si="8"/>
        <v>-7514</v>
      </c>
      <c r="EA94" s="25" t="str">
        <f>(Sheet1!N94)</f>
        <v>LAKSHMI AUTOMOBILES - GHARAUNDA</v>
      </c>
      <c r="EB94" s="25" t="str">
        <f>(Sheet1!O94)</f>
        <v>1-Ht1VJM8lu7HceWxxtL7iafzmbHFLLgtLF3OJk7V8IQ</v>
      </c>
      <c r="EC94" s="26" t="str">
        <f>(Sheet1!P94)</f>
        <v>Dealer</v>
      </c>
      <c r="ED94" s="34" t="s">
        <v>13</v>
      </c>
    </row>
    <row r="95">
      <c r="A95" s="25" t="str">
        <f>(Sheet1!A95)</f>
        <v>1Wxkr9M9brzH_Qd8RBgAFdg3jgvfV-5e6mlbAaitWxss</v>
      </c>
      <c r="B95" s="25" t="str">
        <f>(Sheet1!B95)</f>
        <v>Testing Ravi</v>
      </c>
      <c r="C95" s="30" t="s">
        <v>13</v>
      </c>
      <c r="D95" s="30" t="s">
        <v>72</v>
      </c>
      <c r="E95" s="30" t="s">
        <v>3817</v>
      </c>
      <c r="F95" s="31">
        <v>205.0</v>
      </c>
      <c r="G95" s="32" t="s">
        <v>3818</v>
      </c>
      <c r="H95" s="31">
        <v>100.0</v>
      </c>
      <c r="I95" s="33">
        <f>'Old Balance Sheet'!A95 + 'ACPL Calculations - 1.0'!A95 + 'ACPL Calculations - 2.0'!A95</f>
        <v>0</v>
      </c>
      <c r="J95" s="30" t="s">
        <v>3817</v>
      </c>
      <c r="K95" s="31">
        <v>205.0</v>
      </c>
      <c r="L95" s="32" t="s">
        <v>3818</v>
      </c>
      <c r="M95" s="31">
        <v>100.0</v>
      </c>
      <c r="N95" s="33">
        <f>'Old Balance Sheet'!B95 + 'ACPL Calculations - 1.0'!B95 + 'ACPL Calculations - 2.0'!B95</f>
        <v>0</v>
      </c>
      <c r="O95" s="30" t="s">
        <v>3817</v>
      </c>
      <c r="P95" s="31">
        <v>290.0</v>
      </c>
      <c r="Q95" s="32" t="s">
        <v>3818</v>
      </c>
      <c r="R95" s="31">
        <v>100.0</v>
      </c>
      <c r="S95" s="33">
        <f>'Old Balance Sheet'!C95 + 'ACPL Calculations - 1.0'!C95 + 'ACPL Calculations - 2.0'!C95</f>
        <v>0</v>
      </c>
      <c r="T95" s="30" t="s">
        <v>3817</v>
      </c>
      <c r="U95" s="31">
        <v>375.0</v>
      </c>
      <c r="V95" s="32" t="s">
        <v>3818</v>
      </c>
      <c r="W95" s="31">
        <v>100.0</v>
      </c>
      <c r="X95" s="33">
        <f>'Old Balance Sheet'!D95 + 'ACPL Calculations - 1.0'!D95 + 'ACPL Calculations - 2.0'!D95</f>
        <v>0</v>
      </c>
      <c r="Y95" s="30" t="s">
        <v>3817</v>
      </c>
      <c r="Z95" s="31">
        <v>460.0</v>
      </c>
      <c r="AA95" s="32" t="s">
        <v>3818</v>
      </c>
      <c r="AB95" s="31">
        <v>100.0</v>
      </c>
      <c r="AC95" s="33">
        <f>'Old Balance Sheet'!E95 + 'ACPL Calculations - 1.0'!E95 + 'ACPL Calculations - 2.0'!E95</f>
        <v>0</v>
      </c>
      <c r="AD95" s="30" t="s">
        <v>3817</v>
      </c>
      <c r="AE95" s="34">
        <v>838.99</v>
      </c>
      <c r="AF95" s="32" t="s">
        <v>3818</v>
      </c>
      <c r="AG95" s="31">
        <v>100.0</v>
      </c>
      <c r="AH95" s="33">
        <f>'Old Balance Sheet'!F95 + 'ACPL Calculations - 1.0'!F95 + 'ACPL Calculations - 2.0'!F95</f>
        <v>0</v>
      </c>
      <c r="AI95" s="30" t="s">
        <v>3817</v>
      </c>
      <c r="AJ95" s="31">
        <v>375.0</v>
      </c>
      <c r="AK95" s="32" t="s">
        <v>3818</v>
      </c>
      <c r="AL95" s="31">
        <v>100.0</v>
      </c>
      <c r="AM95" s="33">
        <f>'Old Balance Sheet'!G95 + 'ACPL Calculations - 1.0'!G95 + 'ACPL Calculations - 2.0'!G95</f>
        <v>0</v>
      </c>
      <c r="AN95" s="30" t="s">
        <v>3817</v>
      </c>
      <c r="AO95" s="31">
        <v>290.0</v>
      </c>
      <c r="AP95" s="32" t="s">
        <v>3818</v>
      </c>
      <c r="AQ95" s="31">
        <v>100.0</v>
      </c>
      <c r="AR95" s="33">
        <f>'Old Balance Sheet'!H95 + 'ACPL Calculations - 1.0'!H95 + 'ACPL Calculations - 2.0'!H95</f>
        <v>0</v>
      </c>
      <c r="AS95" s="30" t="s">
        <v>3819</v>
      </c>
      <c r="AT95" s="31">
        <v>838.99</v>
      </c>
      <c r="AU95" s="32" t="s">
        <v>3818</v>
      </c>
      <c r="AV95" s="31">
        <v>100.0</v>
      </c>
      <c r="AW95" s="33">
        <f>'Old Balance Sheet'!I95 + 'ACPL Calculations - 1.0'!I95 + 'ACPL Calculations - 2.0'!I95</f>
        <v>0</v>
      </c>
      <c r="AX95" s="30" t="s">
        <v>3817</v>
      </c>
      <c r="AY95" s="31">
        <v>290.0</v>
      </c>
      <c r="AZ95" s="32" t="s">
        <v>3818</v>
      </c>
      <c r="BA95" s="31">
        <v>100.0</v>
      </c>
      <c r="BB95" s="33">
        <f>'Old Balance Sheet'!J95 + 'ACPL Calculations - 1.0'!J95 + 'ACPL Calculations - 2.0'!J95</f>
        <v>0</v>
      </c>
      <c r="BC95" s="30" t="s">
        <v>3817</v>
      </c>
      <c r="BD95" s="31">
        <v>205.0</v>
      </c>
      <c r="BE95" s="32" t="s">
        <v>3818</v>
      </c>
      <c r="BF95" s="31">
        <v>100.0</v>
      </c>
      <c r="BG95" s="33">
        <f>'Old Balance Sheet'!K95 + 'ACPL Calculations - 1.0'!K95 + 'ACPL Calculations - 2.0'!K95</f>
        <v>0</v>
      </c>
      <c r="BH95" s="30" t="s">
        <v>3817</v>
      </c>
      <c r="BI95" s="31">
        <v>205.0</v>
      </c>
      <c r="BJ95" s="32" t="s">
        <v>3818</v>
      </c>
      <c r="BK95" s="31">
        <v>100.0</v>
      </c>
      <c r="BL95" s="33">
        <f>'Old Balance Sheet'!L95 + 'ACPL Calculations - 1.0'!L95 + 'ACPL Calculations - 2.0'!L95</f>
        <v>0</v>
      </c>
      <c r="BM95" s="33"/>
      <c r="BN95" s="33"/>
      <c r="BO95" s="33"/>
      <c r="BP95" s="33"/>
      <c r="BQ95" s="33"/>
      <c r="BR95" s="33"/>
      <c r="BS95" s="33"/>
      <c r="BT95" s="33"/>
      <c r="BU95" s="33"/>
      <c r="BV95" s="33"/>
      <c r="BW95" s="33"/>
      <c r="BX95" s="33"/>
      <c r="BY95" s="33"/>
      <c r="BZ95" s="33"/>
      <c r="CA95" s="33"/>
      <c r="CB95" s="33"/>
      <c r="CC95" s="33"/>
      <c r="CD95" s="33"/>
      <c r="CE95" s="33"/>
      <c r="CF95" s="33"/>
      <c r="CG95" s="33"/>
      <c r="CH95" s="33"/>
      <c r="CI95" s="33"/>
      <c r="CJ95" s="33"/>
      <c r="CK95" s="33"/>
      <c r="CL95" s="33">
        <f t="shared" si="1"/>
        <v>0</v>
      </c>
      <c r="CM95" s="33">
        <f>'Old Balance Sheet'!R95 + 'ACPL Calculations - 1.0'!S95 + 'ACPL Calculations - 2.0'!S95</f>
        <v>0</v>
      </c>
      <c r="CN95" s="33">
        <f>'Old Balance Sheet'!S95 + 'ACPL Calculations - 1.0'!T95 + 'ACPL Calculations - 2.0'!T95</f>
        <v>0</v>
      </c>
      <c r="CO95" s="33">
        <f t="shared" si="2"/>
        <v>0</v>
      </c>
      <c r="CP95" s="33">
        <f>'Old Balance Sheet'!T95 + 'ACPL Calculations - 1.0'!V95 + 'ACPL Calculations - 2.0'!V95</f>
        <v>0</v>
      </c>
      <c r="CQ95" s="33">
        <f>'Old Balance Sheet'!U95 + 'ACPL Calculations - 1.0'!W95 + 'ACPL Calculations - 2.0'!W95</f>
        <v>0</v>
      </c>
      <c r="CR95" s="33">
        <f>'Old Balance Sheet'!V95 + 'ACPL Calculations - 1.0'!X95 + 'ACPL Calculations - 2.0'!X95</f>
        <v>0</v>
      </c>
      <c r="CS95" s="33">
        <f t="shared" si="3"/>
        <v>0</v>
      </c>
      <c r="CT95" s="35"/>
      <c r="CU95" s="35"/>
      <c r="CV95" s="35"/>
      <c r="CW95" s="36">
        <f>'Old Balance Sheet'!W95 + 'ACPL Calculations - 1.0'!Z95 + 'ACPL Calculations - 2.0'!Z95</f>
        <v>0</v>
      </c>
      <c r="CX95" s="36">
        <f>'Old Balance Sheet'!X95 + 'ACPL Calculations - 1.0'!AA95 + 'ACPL Calculations - 2.0'!AA95</f>
        <v>0</v>
      </c>
      <c r="CY95" s="37">
        <v>0.0</v>
      </c>
      <c r="CZ95" s="38">
        <f>'Old Balance Sheet'!Y95 + 'ACPL Calculations - 1.0'!AB95 + 'ACPL Calculations - 2.0'!AB95</f>
        <v>0</v>
      </c>
      <c r="DA95" s="38">
        <f>'Old Balance Sheet'!Z95 + 'ACPL Calculations - 1.0'!AC95 + 'ACPL Calculations - 2.0'!AC95</f>
        <v>0</v>
      </c>
      <c r="DB95" s="38">
        <f>'Old Balance Sheet'!AA95 + 'ACPL Calculations - 1.0'!AD95 + 'ACPL Calculations - 2.0'!AD95</f>
        <v>0</v>
      </c>
      <c r="DC95" s="38">
        <f>'Old Balance Sheet'!AB95 + 'ACPL Calculations - 1.0'!AE95 + 'ACPL Calculations - 2.0'!AE95</f>
        <v>0</v>
      </c>
      <c r="DD95" s="38">
        <f t="shared" si="4"/>
        <v>0</v>
      </c>
      <c r="DE95" s="33">
        <f t="shared" si="5"/>
        <v>0</v>
      </c>
      <c r="DF95" s="35">
        <v>0.0</v>
      </c>
      <c r="DG95" s="35">
        <v>0.0</v>
      </c>
      <c r="DH95" s="35">
        <v>0.0</v>
      </c>
      <c r="DI95" s="35">
        <v>0.0</v>
      </c>
      <c r="DJ95" s="35">
        <v>0.0</v>
      </c>
      <c r="DK95" s="35">
        <v>0.0</v>
      </c>
      <c r="DL95" s="35">
        <v>0.0</v>
      </c>
      <c r="DM95" s="35">
        <v>0.0</v>
      </c>
      <c r="DN95" s="31">
        <v>0.0</v>
      </c>
      <c r="DO95" s="31">
        <v>0.0</v>
      </c>
      <c r="DP95" s="31">
        <v>0.0</v>
      </c>
      <c r="DQ95" s="31">
        <v>0.0</v>
      </c>
      <c r="DR95" s="31">
        <v>0.0</v>
      </c>
      <c r="DS95" s="31">
        <v>0.0</v>
      </c>
      <c r="DT95" s="31">
        <f>'Old Balance Sheet'!AC95</f>
        <v>0</v>
      </c>
      <c r="DU95" s="31">
        <f>DT95 + SUMIFS('Payments Log'!D:D, 'Payments Log'!B:B, A95, 'Payments Log'!L:L, "Approved", 'Payments Log'!M:M, "Credit") + 'Old Balance Sheet'!AD95 - 'Old Balance Sheet'!AC95</f>
        <v>0</v>
      </c>
      <c r="DV95" s="31">
        <f>SUMIFS('Payments Log'!D:D, 'Payments Log'!B:B, A95, 'Payments Log'!L:L, "Approved", 'Payments Log'!M:M, "Adjustment Credit") - SUMIFS('Payments Log'!D:D, 'Payments Log'!B:B, A95, 'Payments Log'!L:L, "Approved", 'Payments Log'!M:M, "Adjustment Debit") + 'Old Balance Sheet'!AE95</f>
        <v>0</v>
      </c>
      <c r="DW95" s="31">
        <f>IF(MAXIFS('Payments Log'!N:N, 'Payments Log'!L:L, "Approved", 'Payments Log'!M:M, "Credit", 'Payments Log'!B:B, A95) &gt; MAXIFS('Payments Log'!N:N, 'Payments Log'!L:L, "Approved", 'Payments Log'!M:M, "Virtual Credit", 'Payments Log'!B:B, A95), 0, SUMIFS('Payments Log'!D:D, 'Payments Log'!N:N, MAXIFS('Payments Log'!N:N, 'Payments Log'!L:L, "Approved", 'Payments Log'!M:M, "Virtual Credit", 'Payments Log'!B:B, A95)))</f>
        <v>0</v>
      </c>
      <c r="DX95" s="33">
        <f t="shared" si="6"/>
        <v>0</v>
      </c>
      <c r="DY95" s="33">
        <f t="shared" si="7"/>
        <v>0</v>
      </c>
      <c r="DZ95" s="33">
        <f t="shared" si="8"/>
        <v>0</v>
      </c>
      <c r="EA95" s="25" t="str">
        <f>(Sheet1!N95)</f>
        <v>Testing Ravi</v>
      </c>
      <c r="EB95" s="25" t="str">
        <f>(Sheet1!O95)</f>
        <v>1Wxkr9M9brzH_Qd8RBgAFdg3jgvfV-5e6mlbAaitWxss</v>
      </c>
      <c r="EC95" s="26" t="str">
        <f>(Sheet1!P95)</f>
        <v>Dealer</v>
      </c>
      <c r="ED95" s="34" t="s">
        <v>13</v>
      </c>
    </row>
    <row r="96">
      <c r="A96" s="25" t="str">
        <f>(Sheet1!A96)</f>
        <v>1KaEmNIMK0XXiIsA6XQ7GNELp4AsXjf8BnThrJvzVk2Q</v>
      </c>
      <c r="B96" s="25" t="str">
        <f>(Sheet1!B96)</f>
        <v>National Automobile - Jind</v>
      </c>
      <c r="C96" s="30" t="s">
        <v>13</v>
      </c>
      <c r="D96" s="30" t="s">
        <v>72</v>
      </c>
      <c r="E96" s="30" t="s">
        <v>3817</v>
      </c>
      <c r="F96" s="31">
        <v>205.0</v>
      </c>
      <c r="G96" s="32" t="s">
        <v>3818</v>
      </c>
      <c r="H96" s="31">
        <v>100.0</v>
      </c>
      <c r="I96" s="33">
        <f>'Old Balance Sheet'!A96 + 'ACPL Calculations - 1.0'!A96 + 'ACPL Calculations - 2.0'!A96</f>
        <v>0</v>
      </c>
      <c r="J96" s="30" t="s">
        <v>3817</v>
      </c>
      <c r="K96" s="31">
        <v>205.0</v>
      </c>
      <c r="L96" s="32" t="s">
        <v>3818</v>
      </c>
      <c r="M96" s="31">
        <v>100.0</v>
      </c>
      <c r="N96" s="33">
        <f>'Old Balance Sheet'!B96 + 'ACPL Calculations - 1.0'!B96 + 'ACPL Calculations - 2.0'!B96</f>
        <v>0</v>
      </c>
      <c r="O96" s="30" t="s">
        <v>3817</v>
      </c>
      <c r="P96" s="31">
        <v>290.0</v>
      </c>
      <c r="Q96" s="32" t="s">
        <v>3818</v>
      </c>
      <c r="R96" s="31">
        <v>100.0</v>
      </c>
      <c r="S96" s="33">
        <f>'Old Balance Sheet'!C96 + 'ACPL Calculations - 1.0'!C96 + 'ACPL Calculations - 2.0'!C96</f>
        <v>0</v>
      </c>
      <c r="T96" s="30" t="s">
        <v>3817</v>
      </c>
      <c r="U96" s="31">
        <v>375.0</v>
      </c>
      <c r="V96" s="32" t="s">
        <v>3818</v>
      </c>
      <c r="W96" s="31">
        <v>100.0</v>
      </c>
      <c r="X96" s="33">
        <f>'Old Balance Sheet'!D96 + 'ACPL Calculations - 1.0'!D96 + 'ACPL Calculations - 2.0'!D96</f>
        <v>0</v>
      </c>
      <c r="Y96" s="30" t="s">
        <v>3817</v>
      </c>
      <c r="Z96" s="31">
        <v>460.0</v>
      </c>
      <c r="AA96" s="32" t="s">
        <v>3818</v>
      </c>
      <c r="AB96" s="31">
        <v>100.0</v>
      </c>
      <c r="AC96" s="33">
        <f>'Old Balance Sheet'!E96 + 'ACPL Calculations - 1.0'!E96 + 'ACPL Calculations - 2.0'!E96</f>
        <v>0</v>
      </c>
      <c r="AD96" s="30" t="s">
        <v>3817</v>
      </c>
      <c r="AE96" s="34">
        <v>838.99</v>
      </c>
      <c r="AF96" s="32" t="s">
        <v>3818</v>
      </c>
      <c r="AG96" s="31">
        <v>100.0</v>
      </c>
      <c r="AH96" s="33">
        <f>'Old Balance Sheet'!F96 + 'ACPL Calculations - 1.0'!F96 + 'ACPL Calculations - 2.0'!F96</f>
        <v>0</v>
      </c>
      <c r="AI96" s="30" t="s">
        <v>3817</v>
      </c>
      <c r="AJ96" s="31">
        <v>375.0</v>
      </c>
      <c r="AK96" s="32" t="s">
        <v>3818</v>
      </c>
      <c r="AL96" s="31">
        <v>100.0</v>
      </c>
      <c r="AM96" s="33">
        <f>'Old Balance Sheet'!G96 + 'ACPL Calculations - 1.0'!G96 + 'ACPL Calculations - 2.0'!G96</f>
        <v>0</v>
      </c>
      <c r="AN96" s="30" t="s">
        <v>3817</v>
      </c>
      <c r="AO96" s="31">
        <v>290.0</v>
      </c>
      <c r="AP96" s="32" t="s">
        <v>3818</v>
      </c>
      <c r="AQ96" s="31">
        <v>100.0</v>
      </c>
      <c r="AR96" s="33">
        <f>'Old Balance Sheet'!H96 + 'ACPL Calculations - 1.0'!H96 + 'ACPL Calculations - 2.0'!H96</f>
        <v>0</v>
      </c>
      <c r="AS96" s="30" t="s">
        <v>3819</v>
      </c>
      <c r="AT96" s="31">
        <v>838.99</v>
      </c>
      <c r="AU96" s="32" t="s">
        <v>3818</v>
      </c>
      <c r="AV96" s="31">
        <v>100.0</v>
      </c>
      <c r="AW96" s="33">
        <f>'Old Balance Sheet'!I96 + 'ACPL Calculations - 1.0'!I96 + 'ACPL Calculations - 2.0'!I96</f>
        <v>0</v>
      </c>
      <c r="AX96" s="30" t="s">
        <v>3817</v>
      </c>
      <c r="AY96" s="31">
        <v>290.0</v>
      </c>
      <c r="AZ96" s="32" t="s">
        <v>3818</v>
      </c>
      <c r="BA96" s="31">
        <v>100.0</v>
      </c>
      <c r="BB96" s="33">
        <f>'Old Balance Sheet'!J96 + 'ACPL Calculations - 1.0'!J96 + 'ACPL Calculations - 2.0'!J96</f>
        <v>0</v>
      </c>
      <c r="BC96" s="30" t="s">
        <v>3817</v>
      </c>
      <c r="BD96" s="31">
        <v>205.0</v>
      </c>
      <c r="BE96" s="32" t="s">
        <v>3818</v>
      </c>
      <c r="BF96" s="31">
        <v>100.0</v>
      </c>
      <c r="BG96" s="33">
        <f>'Old Balance Sheet'!K96 + 'ACPL Calculations - 1.0'!K96 + 'ACPL Calculations - 2.0'!K96</f>
        <v>0</v>
      </c>
      <c r="BH96" s="30" t="s">
        <v>3817</v>
      </c>
      <c r="BI96" s="31">
        <v>205.0</v>
      </c>
      <c r="BJ96" s="32" t="s">
        <v>3818</v>
      </c>
      <c r="BK96" s="31">
        <v>100.0</v>
      </c>
      <c r="BL96" s="33">
        <f>'Old Balance Sheet'!L96 + 'ACPL Calculations - 1.0'!L96 + 'ACPL Calculations - 2.0'!L96</f>
        <v>0</v>
      </c>
      <c r="BM96" s="33"/>
      <c r="BN96" s="33"/>
      <c r="BO96" s="33"/>
      <c r="BP96" s="33"/>
      <c r="BQ96" s="33"/>
      <c r="BR96" s="33"/>
      <c r="BS96" s="33"/>
      <c r="BT96" s="33"/>
      <c r="BU96" s="33"/>
      <c r="BV96" s="33"/>
      <c r="BW96" s="33"/>
      <c r="BX96" s="33"/>
      <c r="BY96" s="33"/>
      <c r="BZ96" s="33"/>
      <c r="CA96" s="33"/>
      <c r="CB96" s="33"/>
      <c r="CC96" s="33"/>
      <c r="CD96" s="33"/>
      <c r="CE96" s="33"/>
      <c r="CF96" s="33"/>
      <c r="CG96" s="33"/>
      <c r="CH96" s="33"/>
      <c r="CI96" s="33"/>
      <c r="CJ96" s="33"/>
      <c r="CK96" s="33"/>
      <c r="CL96" s="33">
        <f t="shared" si="1"/>
        <v>0</v>
      </c>
      <c r="CM96" s="33">
        <f>'Old Balance Sheet'!R96 + 'ACPL Calculations - 1.0'!S96 + 'ACPL Calculations - 2.0'!S96</f>
        <v>0</v>
      </c>
      <c r="CN96" s="33">
        <f>'Old Balance Sheet'!S96 + 'ACPL Calculations - 1.0'!T96 + 'ACPL Calculations - 2.0'!T96</f>
        <v>0</v>
      </c>
      <c r="CO96" s="33">
        <f t="shared" si="2"/>
        <v>0</v>
      </c>
      <c r="CP96" s="33">
        <f>'Old Balance Sheet'!T96 + 'ACPL Calculations - 1.0'!V96 + 'ACPL Calculations - 2.0'!V96</f>
        <v>0</v>
      </c>
      <c r="CQ96" s="33">
        <f>'Old Balance Sheet'!U96 + 'ACPL Calculations - 1.0'!W96 + 'ACPL Calculations - 2.0'!W96</f>
        <v>0</v>
      </c>
      <c r="CR96" s="33">
        <f>'Old Balance Sheet'!V96 + 'ACPL Calculations - 1.0'!X96 + 'ACPL Calculations - 2.0'!X96</f>
        <v>0</v>
      </c>
      <c r="CS96" s="33">
        <f t="shared" si="3"/>
        <v>0</v>
      </c>
      <c r="CT96" s="35"/>
      <c r="CU96" s="35"/>
      <c r="CV96" s="35"/>
      <c r="CW96" s="36">
        <f>'Old Balance Sheet'!W96 + 'ACPL Calculations - 1.0'!Z96 + 'ACPL Calculations - 2.0'!Z96</f>
        <v>0</v>
      </c>
      <c r="CX96" s="36">
        <f>'Old Balance Sheet'!X96 + 'ACPL Calculations - 1.0'!AA96 + 'ACPL Calculations - 2.0'!AA96</f>
        <v>0</v>
      </c>
      <c r="CY96" s="37">
        <v>0.0</v>
      </c>
      <c r="CZ96" s="38">
        <f>'Old Balance Sheet'!Y96 + 'ACPL Calculations - 1.0'!AB96 + 'ACPL Calculations - 2.0'!AB96</f>
        <v>0</v>
      </c>
      <c r="DA96" s="38">
        <f>'Old Balance Sheet'!Z96 + 'ACPL Calculations - 1.0'!AC96 + 'ACPL Calculations - 2.0'!AC96</f>
        <v>0</v>
      </c>
      <c r="DB96" s="38">
        <f>'Old Balance Sheet'!AA96 + 'ACPL Calculations - 1.0'!AD96 + 'ACPL Calculations - 2.0'!AD96</f>
        <v>0</v>
      </c>
      <c r="DC96" s="38">
        <f>'Old Balance Sheet'!AB96 + 'ACPL Calculations - 1.0'!AE96 + 'ACPL Calculations - 2.0'!AE96</f>
        <v>0</v>
      </c>
      <c r="DD96" s="38">
        <f t="shared" si="4"/>
        <v>0</v>
      </c>
      <c r="DE96" s="33">
        <f t="shared" si="5"/>
        <v>0</v>
      </c>
      <c r="DF96" s="35">
        <v>0.0</v>
      </c>
      <c r="DG96" s="35">
        <v>0.0</v>
      </c>
      <c r="DH96" s="35">
        <v>0.0</v>
      </c>
      <c r="DI96" s="35">
        <v>0.0</v>
      </c>
      <c r="DJ96" s="35">
        <v>0.0</v>
      </c>
      <c r="DK96" s="35">
        <v>0.0</v>
      </c>
      <c r="DL96" s="35">
        <v>0.0</v>
      </c>
      <c r="DM96" s="35">
        <v>0.0</v>
      </c>
      <c r="DN96" s="31">
        <v>0.0</v>
      </c>
      <c r="DO96" s="31">
        <v>0.0</v>
      </c>
      <c r="DP96" s="31">
        <v>0.0</v>
      </c>
      <c r="DQ96" s="31">
        <v>0.0</v>
      </c>
      <c r="DR96" s="31">
        <v>0.0</v>
      </c>
      <c r="DS96" s="31">
        <v>0.0</v>
      </c>
      <c r="DT96" s="31">
        <f>'Old Balance Sheet'!AC96</f>
        <v>-69831</v>
      </c>
      <c r="DU96" s="31">
        <f>DT96 + SUMIFS('Payments Log'!D:D, 'Payments Log'!B:B, A96, 'Payments Log'!L:L, "Approved", 'Payments Log'!M:M, "Credit") + 'Old Balance Sheet'!AD96 - 'Old Balance Sheet'!AC96</f>
        <v>-69831</v>
      </c>
      <c r="DV96" s="31">
        <f>SUMIFS('Payments Log'!D:D, 'Payments Log'!B:B, A96, 'Payments Log'!L:L, "Approved", 'Payments Log'!M:M, "Adjustment Credit") - SUMIFS('Payments Log'!D:D, 'Payments Log'!B:B, A96, 'Payments Log'!L:L, "Approved", 'Payments Log'!M:M, "Adjustment Debit") + 'Old Balance Sheet'!AE96</f>
        <v>0</v>
      </c>
      <c r="DW96" s="31">
        <f>IF(MAXIFS('Payments Log'!N:N, 'Payments Log'!L:L, "Approved", 'Payments Log'!M:M, "Credit", 'Payments Log'!B:B, A96) &gt; MAXIFS('Payments Log'!N:N, 'Payments Log'!L:L, "Approved", 'Payments Log'!M:M, "Virtual Credit", 'Payments Log'!B:B, A96), 0, SUMIFS('Payments Log'!D:D, 'Payments Log'!N:N, MAXIFS('Payments Log'!N:N, 'Payments Log'!L:L, "Approved", 'Payments Log'!M:M, "Virtual Credit", 'Payments Log'!B:B, A96)))</f>
        <v>0</v>
      </c>
      <c r="DX96" s="33">
        <f t="shared" si="6"/>
        <v>-69831</v>
      </c>
      <c r="DY96" s="33">
        <f t="shared" si="7"/>
        <v>-69831</v>
      </c>
      <c r="DZ96" s="33">
        <f t="shared" si="8"/>
        <v>-69831</v>
      </c>
      <c r="EA96" s="25" t="str">
        <f>(Sheet1!N96)</f>
        <v>National Automobile - Jind</v>
      </c>
      <c r="EB96" s="25" t="str">
        <f>(Sheet1!O96)</f>
        <v>1KaEmNIMK0XXiIsA6XQ7GNELp4AsXjf8BnThrJvzVk2Q</v>
      </c>
      <c r="EC96" s="26" t="str">
        <f>(Sheet1!P96)</f>
        <v>Dealer</v>
      </c>
      <c r="ED96" s="34" t="s">
        <v>13</v>
      </c>
    </row>
    <row r="97">
      <c r="A97" s="25" t="str">
        <f>(Sheet1!A97)</f>
        <v>1kk6retEj7a8ElwHKY3kD7Cti9VMfyX-Nt8jZobYqikg</v>
      </c>
      <c r="B97" s="25" t="str">
        <f>(Sheet1!B97)</f>
        <v>Karan Automobiles - Dabwali</v>
      </c>
      <c r="C97" s="30" t="s">
        <v>13</v>
      </c>
      <c r="D97" s="30" t="s">
        <v>72</v>
      </c>
      <c r="E97" s="30" t="s">
        <v>3817</v>
      </c>
      <c r="F97" s="31">
        <v>205.0</v>
      </c>
      <c r="G97" s="32" t="s">
        <v>3818</v>
      </c>
      <c r="H97" s="31">
        <v>100.0</v>
      </c>
      <c r="I97" s="33">
        <f>'Old Balance Sheet'!A97 + 'ACPL Calculations - 1.0'!A97 + 'ACPL Calculations - 2.0'!A97</f>
        <v>0</v>
      </c>
      <c r="J97" s="30" t="s">
        <v>3817</v>
      </c>
      <c r="K97" s="31">
        <v>205.0</v>
      </c>
      <c r="L97" s="32" t="s">
        <v>3818</v>
      </c>
      <c r="M97" s="31">
        <v>100.0</v>
      </c>
      <c r="N97" s="33">
        <f>'Old Balance Sheet'!B97 + 'ACPL Calculations - 1.0'!B97 + 'ACPL Calculations - 2.0'!B97</f>
        <v>0</v>
      </c>
      <c r="O97" s="30" t="s">
        <v>3817</v>
      </c>
      <c r="P97" s="31">
        <v>290.0</v>
      </c>
      <c r="Q97" s="32" t="s">
        <v>3818</v>
      </c>
      <c r="R97" s="31">
        <v>100.0</v>
      </c>
      <c r="S97" s="33">
        <f>'Old Balance Sheet'!C97 + 'ACPL Calculations - 1.0'!C97 + 'ACPL Calculations - 2.0'!C97</f>
        <v>0</v>
      </c>
      <c r="T97" s="30" t="s">
        <v>3817</v>
      </c>
      <c r="U97" s="31">
        <v>375.0</v>
      </c>
      <c r="V97" s="32" t="s">
        <v>3818</v>
      </c>
      <c r="W97" s="31">
        <v>100.0</v>
      </c>
      <c r="X97" s="33">
        <f>'Old Balance Sheet'!D97 + 'ACPL Calculations - 1.0'!D97 + 'ACPL Calculations - 2.0'!D97</f>
        <v>0</v>
      </c>
      <c r="Y97" s="30" t="s">
        <v>3817</v>
      </c>
      <c r="Z97" s="31">
        <v>460.0</v>
      </c>
      <c r="AA97" s="32" t="s">
        <v>3818</v>
      </c>
      <c r="AB97" s="31">
        <v>100.0</v>
      </c>
      <c r="AC97" s="33">
        <f>'Old Balance Sheet'!E97 + 'ACPL Calculations - 1.0'!E97 + 'ACPL Calculations - 2.0'!E97</f>
        <v>0</v>
      </c>
      <c r="AD97" s="30" t="s">
        <v>3817</v>
      </c>
      <c r="AE97" s="34">
        <v>838.99</v>
      </c>
      <c r="AF97" s="32" t="s">
        <v>3818</v>
      </c>
      <c r="AG97" s="31">
        <v>100.0</v>
      </c>
      <c r="AH97" s="33">
        <f>'Old Balance Sheet'!F97 + 'ACPL Calculations - 1.0'!F97 + 'ACPL Calculations - 2.0'!F97</f>
        <v>0</v>
      </c>
      <c r="AI97" s="30" t="s">
        <v>3817</v>
      </c>
      <c r="AJ97" s="31">
        <v>375.0</v>
      </c>
      <c r="AK97" s="32" t="s">
        <v>3818</v>
      </c>
      <c r="AL97" s="31">
        <v>100.0</v>
      </c>
      <c r="AM97" s="33">
        <f>'Old Balance Sheet'!G97 + 'ACPL Calculations - 1.0'!G97 + 'ACPL Calculations - 2.0'!G97</f>
        <v>0</v>
      </c>
      <c r="AN97" s="30" t="s">
        <v>3817</v>
      </c>
      <c r="AO97" s="31">
        <v>290.0</v>
      </c>
      <c r="AP97" s="32" t="s">
        <v>3818</v>
      </c>
      <c r="AQ97" s="31">
        <v>100.0</v>
      </c>
      <c r="AR97" s="33">
        <f>'Old Balance Sheet'!H97 + 'ACPL Calculations - 1.0'!H97 + 'ACPL Calculations - 2.0'!H97</f>
        <v>0</v>
      </c>
      <c r="AS97" s="30" t="s">
        <v>3819</v>
      </c>
      <c r="AT97" s="31">
        <v>838.99</v>
      </c>
      <c r="AU97" s="32" t="s">
        <v>3818</v>
      </c>
      <c r="AV97" s="31">
        <v>100.0</v>
      </c>
      <c r="AW97" s="33">
        <f>'Old Balance Sheet'!I97 + 'ACPL Calculations - 1.0'!I97 + 'ACPL Calculations - 2.0'!I97</f>
        <v>0</v>
      </c>
      <c r="AX97" s="30" t="s">
        <v>3817</v>
      </c>
      <c r="AY97" s="31">
        <v>290.0</v>
      </c>
      <c r="AZ97" s="32" t="s">
        <v>3818</v>
      </c>
      <c r="BA97" s="31">
        <v>100.0</v>
      </c>
      <c r="BB97" s="33">
        <f>'Old Balance Sheet'!J97 + 'ACPL Calculations - 1.0'!J97 + 'ACPL Calculations - 2.0'!J97</f>
        <v>0</v>
      </c>
      <c r="BC97" s="30" t="s">
        <v>3817</v>
      </c>
      <c r="BD97" s="31">
        <v>205.0</v>
      </c>
      <c r="BE97" s="32" t="s">
        <v>3818</v>
      </c>
      <c r="BF97" s="31">
        <v>100.0</v>
      </c>
      <c r="BG97" s="33">
        <f>'Old Balance Sheet'!K97 + 'ACPL Calculations - 1.0'!K97 + 'ACPL Calculations - 2.0'!K97</f>
        <v>0</v>
      </c>
      <c r="BH97" s="30" t="s">
        <v>3817</v>
      </c>
      <c r="BI97" s="31">
        <v>205.0</v>
      </c>
      <c r="BJ97" s="32" t="s">
        <v>3818</v>
      </c>
      <c r="BK97" s="31">
        <v>100.0</v>
      </c>
      <c r="BL97" s="33">
        <f>'Old Balance Sheet'!L97 + 'ACPL Calculations - 1.0'!L97 + 'ACPL Calculations - 2.0'!L97</f>
        <v>0</v>
      </c>
      <c r="BM97" s="33"/>
      <c r="BN97" s="33"/>
      <c r="BO97" s="33"/>
      <c r="BP97" s="33"/>
      <c r="BQ97" s="33"/>
      <c r="BR97" s="33"/>
      <c r="BS97" s="33"/>
      <c r="BT97" s="33"/>
      <c r="BU97" s="33"/>
      <c r="BV97" s="33"/>
      <c r="BW97" s="33"/>
      <c r="BX97" s="33"/>
      <c r="BY97" s="33"/>
      <c r="BZ97" s="33"/>
      <c r="CA97" s="33"/>
      <c r="CB97" s="33"/>
      <c r="CC97" s="33"/>
      <c r="CD97" s="33"/>
      <c r="CE97" s="33"/>
      <c r="CF97" s="33"/>
      <c r="CG97" s="33"/>
      <c r="CH97" s="33"/>
      <c r="CI97" s="33"/>
      <c r="CJ97" s="33"/>
      <c r="CK97" s="33"/>
      <c r="CL97" s="33">
        <f t="shared" si="1"/>
        <v>0</v>
      </c>
      <c r="CM97" s="33">
        <f>'Old Balance Sheet'!R97 + 'ACPL Calculations - 1.0'!S97 + 'ACPL Calculations - 2.0'!S97</f>
        <v>0</v>
      </c>
      <c r="CN97" s="33">
        <f>'Old Balance Sheet'!S97 + 'ACPL Calculations - 1.0'!T97 + 'ACPL Calculations - 2.0'!T97</f>
        <v>0</v>
      </c>
      <c r="CO97" s="33">
        <f t="shared" si="2"/>
        <v>0</v>
      </c>
      <c r="CP97" s="33">
        <f>'Old Balance Sheet'!T97 + 'ACPL Calculations - 1.0'!V97 + 'ACPL Calculations - 2.0'!V97</f>
        <v>0</v>
      </c>
      <c r="CQ97" s="33">
        <f>'Old Balance Sheet'!U97 + 'ACPL Calculations - 1.0'!W97 + 'ACPL Calculations - 2.0'!W97</f>
        <v>0</v>
      </c>
      <c r="CR97" s="33">
        <f>'Old Balance Sheet'!V97 + 'ACPL Calculations - 1.0'!X97 + 'ACPL Calculations - 2.0'!X97</f>
        <v>0</v>
      </c>
      <c r="CS97" s="33">
        <f t="shared" si="3"/>
        <v>0</v>
      </c>
      <c r="CT97" s="35"/>
      <c r="CU97" s="35"/>
      <c r="CV97" s="35"/>
      <c r="CW97" s="36">
        <f>'Old Balance Sheet'!W97 + 'ACPL Calculations - 1.0'!Z97 + 'ACPL Calculations - 2.0'!Z97</f>
        <v>0</v>
      </c>
      <c r="CX97" s="36">
        <f>'Old Balance Sheet'!X97 + 'ACPL Calculations - 1.0'!AA97 + 'ACPL Calculations - 2.0'!AA97</f>
        <v>0</v>
      </c>
      <c r="CY97" s="37">
        <v>0.0</v>
      </c>
      <c r="CZ97" s="38">
        <f>'Old Balance Sheet'!Y97 + 'ACPL Calculations - 1.0'!AB97 + 'ACPL Calculations - 2.0'!AB97</f>
        <v>0</v>
      </c>
      <c r="DA97" s="38">
        <f>'Old Balance Sheet'!Z97 + 'ACPL Calculations - 1.0'!AC97 + 'ACPL Calculations - 2.0'!AC97</f>
        <v>0</v>
      </c>
      <c r="DB97" s="38">
        <f>'Old Balance Sheet'!AA97 + 'ACPL Calculations - 1.0'!AD97 + 'ACPL Calculations - 2.0'!AD97</f>
        <v>0</v>
      </c>
      <c r="DC97" s="38">
        <f>'Old Balance Sheet'!AB97 + 'ACPL Calculations - 1.0'!AE97 + 'ACPL Calculations - 2.0'!AE97</f>
        <v>0</v>
      </c>
      <c r="DD97" s="38">
        <f t="shared" si="4"/>
        <v>0</v>
      </c>
      <c r="DE97" s="33">
        <f t="shared" si="5"/>
        <v>0</v>
      </c>
      <c r="DF97" s="35">
        <v>0.0</v>
      </c>
      <c r="DG97" s="35">
        <v>0.0</v>
      </c>
      <c r="DH97" s="35">
        <v>0.0</v>
      </c>
      <c r="DI97" s="35">
        <v>0.0</v>
      </c>
      <c r="DJ97" s="35">
        <v>0.0</v>
      </c>
      <c r="DK97" s="35">
        <v>0.0</v>
      </c>
      <c r="DL97" s="35">
        <v>0.0</v>
      </c>
      <c r="DM97" s="35">
        <v>0.0</v>
      </c>
      <c r="DN97" s="31">
        <v>0.0</v>
      </c>
      <c r="DO97" s="31">
        <v>0.0</v>
      </c>
      <c r="DP97" s="31">
        <v>0.0</v>
      </c>
      <c r="DQ97" s="31">
        <v>0.0</v>
      </c>
      <c r="DR97" s="31">
        <v>0.0</v>
      </c>
      <c r="DS97" s="31">
        <v>0.0</v>
      </c>
      <c r="DT97" s="31">
        <f>'Old Balance Sheet'!AC97</f>
        <v>1387</v>
      </c>
      <c r="DU97" s="31">
        <f>DT97 + SUMIFS('Payments Log'!D:D, 'Payments Log'!B:B, A97, 'Payments Log'!L:L, "Approved", 'Payments Log'!M:M, "Credit") + 'Old Balance Sheet'!AD97 - 'Old Balance Sheet'!AC97</f>
        <v>1387</v>
      </c>
      <c r="DV97" s="31">
        <f>SUMIFS('Payments Log'!D:D, 'Payments Log'!B:B, A97, 'Payments Log'!L:L, "Approved", 'Payments Log'!M:M, "Adjustment Credit") - SUMIFS('Payments Log'!D:D, 'Payments Log'!B:B, A97, 'Payments Log'!L:L, "Approved", 'Payments Log'!M:M, "Adjustment Debit") + 'Old Balance Sheet'!AE97</f>
        <v>0</v>
      </c>
      <c r="DW97" s="31">
        <f>IF(MAXIFS('Payments Log'!N:N, 'Payments Log'!L:L, "Approved", 'Payments Log'!M:M, "Credit", 'Payments Log'!B:B, A97) &gt; MAXIFS('Payments Log'!N:N, 'Payments Log'!L:L, "Approved", 'Payments Log'!M:M, "Virtual Credit", 'Payments Log'!B:B, A97), 0, SUMIFS('Payments Log'!D:D, 'Payments Log'!N:N, MAXIFS('Payments Log'!N:N, 'Payments Log'!L:L, "Approved", 'Payments Log'!M:M, "Virtual Credit", 'Payments Log'!B:B, A97)))</f>
        <v>0</v>
      </c>
      <c r="DX97" s="33">
        <f t="shared" si="6"/>
        <v>1387</v>
      </c>
      <c r="DY97" s="33">
        <f t="shared" si="7"/>
        <v>1387</v>
      </c>
      <c r="DZ97" s="33">
        <f t="shared" si="8"/>
        <v>1387</v>
      </c>
      <c r="EA97" s="25" t="str">
        <f>(Sheet1!N97)</f>
        <v>Karan Automobiles - Dabwali</v>
      </c>
      <c r="EB97" s="25" t="str">
        <f>(Sheet1!O97)</f>
        <v>1kk6retEj7a8ElwHKY3kD7Cti9VMfyX-Nt8jZobYqikg</v>
      </c>
      <c r="EC97" s="26" t="str">
        <f>(Sheet1!P97)</f>
        <v>Dealer</v>
      </c>
      <c r="ED97" s="34" t="s">
        <v>13</v>
      </c>
    </row>
    <row r="98">
      <c r="A98" s="25" t="str">
        <f>(Sheet1!A98)</f>
        <v>13RsJ1T_W8o2VNE9w100mgEYjOaU-1jlpABRILPpMAjs</v>
      </c>
      <c r="B98" s="25" t="str">
        <f>(Sheet1!B98)</f>
        <v>Ajit Automobiles - Ellenabad</v>
      </c>
      <c r="C98" s="30" t="s">
        <v>13</v>
      </c>
      <c r="D98" s="30" t="s">
        <v>72</v>
      </c>
      <c r="E98" s="30" t="s">
        <v>3817</v>
      </c>
      <c r="F98" s="31">
        <v>205.0</v>
      </c>
      <c r="G98" s="32" t="s">
        <v>3818</v>
      </c>
      <c r="H98" s="31">
        <v>100.0</v>
      </c>
      <c r="I98" s="33">
        <f>'Old Balance Sheet'!A98 + 'ACPL Calculations - 1.0'!A98 + 'ACPL Calculations - 2.0'!A98</f>
        <v>0</v>
      </c>
      <c r="J98" s="30" t="s">
        <v>3817</v>
      </c>
      <c r="K98" s="31">
        <v>205.0</v>
      </c>
      <c r="L98" s="32" t="s">
        <v>3818</v>
      </c>
      <c r="M98" s="31">
        <v>100.0</v>
      </c>
      <c r="N98" s="33">
        <f>'Old Balance Sheet'!B98 + 'ACPL Calculations - 1.0'!B98 + 'ACPL Calculations - 2.0'!B98</f>
        <v>0</v>
      </c>
      <c r="O98" s="30" t="s">
        <v>3817</v>
      </c>
      <c r="P98" s="31">
        <v>290.0</v>
      </c>
      <c r="Q98" s="32" t="s">
        <v>3818</v>
      </c>
      <c r="R98" s="31">
        <v>100.0</v>
      </c>
      <c r="S98" s="33">
        <f>'Old Balance Sheet'!C98 + 'ACPL Calculations - 1.0'!C98 + 'ACPL Calculations - 2.0'!C98</f>
        <v>0</v>
      </c>
      <c r="T98" s="30" t="s">
        <v>3817</v>
      </c>
      <c r="U98" s="31">
        <v>375.0</v>
      </c>
      <c r="V98" s="32" t="s">
        <v>3818</v>
      </c>
      <c r="W98" s="31">
        <v>100.0</v>
      </c>
      <c r="X98" s="33">
        <f>'Old Balance Sheet'!D98 + 'ACPL Calculations - 1.0'!D98 + 'ACPL Calculations - 2.0'!D98</f>
        <v>0</v>
      </c>
      <c r="Y98" s="30" t="s">
        <v>3817</v>
      </c>
      <c r="Z98" s="31">
        <v>460.0</v>
      </c>
      <c r="AA98" s="32" t="s">
        <v>3818</v>
      </c>
      <c r="AB98" s="31">
        <v>100.0</v>
      </c>
      <c r="AC98" s="33">
        <f>'Old Balance Sheet'!E98 + 'ACPL Calculations - 1.0'!E98 + 'ACPL Calculations - 2.0'!E98</f>
        <v>0</v>
      </c>
      <c r="AD98" s="30" t="s">
        <v>3817</v>
      </c>
      <c r="AE98" s="34">
        <v>838.99</v>
      </c>
      <c r="AF98" s="32" t="s">
        <v>3818</v>
      </c>
      <c r="AG98" s="31">
        <v>100.0</v>
      </c>
      <c r="AH98" s="33">
        <f>'Old Balance Sheet'!F98 + 'ACPL Calculations - 1.0'!F98 + 'ACPL Calculations - 2.0'!F98</f>
        <v>0</v>
      </c>
      <c r="AI98" s="30" t="s">
        <v>3817</v>
      </c>
      <c r="AJ98" s="31">
        <v>375.0</v>
      </c>
      <c r="AK98" s="32" t="s">
        <v>3818</v>
      </c>
      <c r="AL98" s="31">
        <v>100.0</v>
      </c>
      <c r="AM98" s="33">
        <f>'Old Balance Sheet'!G98 + 'ACPL Calculations - 1.0'!G98 + 'ACPL Calculations - 2.0'!G98</f>
        <v>0</v>
      </c>
      <c r="AN98" s="30" t="s">
        <v>3817</v>
      </c>
      <c r="AO98" s="31">
        <v>290.0</v>
      </c>
      <c r="AP98" s="32" t="s">
        <v>3818</v>
      </c>
      <c r="AQ98" s="31">
        <v>100.0</v>
      </c>
      <c r="AR98" s="33">
        <f>'Old Balance Sheet'!H98 + 'ACPL Calculations - 1.0'!H98 + 'ACPL Calculations - 2.0'!H98</f>
        <v>0</v>
      </c>
      <c r="AS98" s="30" t="s">
        <v>3819</v>
      </c>
      <c r="AT98" s="31">
        <v>838.99</v>
      </c>
      <c r="AU98" s="32" t="s">
        <v>3818</v>
      </c>
      <c r="AV98" s="31">
        <v>100.0</v>
      </c>
      <c r="AW98" s="33">
        <f>'Old Balance Sheet'!I98 + 'ACPL Calculations - 1.0'!I98 + 'ACPL Calculations - 2.0'!I98</f>
        <v>0</v>
      </c>
      <c r="AX98" s="30" t="s">
        <v>3817</v>
      </c>
      <c r="AY98" s="31">
        <v>290.0</v>
      </c>
      <c r="AZ98" s="32" t="s">
        <v>3818</v>
      </c>
      <c r="BA98" s="31">
        <v>100.0</v>
      </c>
      <c r="BB98" s="33">
        <f>'Old Balance Sheet'!J98 + 'ACPL Calculations - 1.0'!J98 + 'ACPL Calculations - 2.0'!J98</f>
        <v>0</v>
      </c>
      <c r="BC98" s="30" t="s">
        <v>3817</v>
      </c>
      <c r="BD98" s="31">
        <v>205.0</v>
      </c>
      <c r="BE98" s="32" t="s">
        <v>3818</v>
      </c>
      <c r="BF98" s="31">
        <v>100.0</v>
      </c>
      <c r="BG98" s="33">
        <f>'Old Balance Sheet'!K98 + 'ACPL Calculations - 1.0'!K98 + 'ACPL Calculations - 2.0'!K98</f>
        <v>0</v>
      </c>
      <c r="BH98" s="30" t="s">
        <v>3817</v>
      </c>
      <c r="BI98" s="31">
        <v>205.0</v>
      </c>
      <c r="BJ98" s="32" t="s">
        <v>3818</v>
      </c>
      <c r="BK98" s="31">
        <v>100.0</v>
      </c>
      <c r="BL98" s="33">
        <f>'Old Balance Sheet'!L98 + 'ACPL Calculations - 1.0'!L98 + 'ACPL Calculations - 2.0'!L98</f>
        <v>0</v>
      </c>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f t="shared" si="1"/>
        <v>0</v>
      </c>
      <c r="CM98" s="33">
        <f>'Old Balance Sheet'!R98 + 'ACPL Calculations - 1.0'!S98 + 'ACPL Calculations - 2.0'!S98</f>
        <v>0</v>
      </c>
      <c r="CN98" s="33">
        <f>'Old Balance Sheet'!S98 + 'ACPL Calculations - 1.0'!T98 + 'ACPL Calculations - 2.0'!T98</f>
        <v>0</v>
      </c>
      <c r="CO98" s="33">
        <f t="shared" si="2"/>
        <v>0</v>
      </c>
      <c r="CP98" s="33">
        <f>'Old Balance Sheet'!T98 + 'ACPL Calculations - 1.0'!V98 + 'ACPL Calculations - 2.0'!V98</f>
        <v>0</v>
      </c>
      <c r="CQ98" s="33">
        <f>'Old Balance Sheet'!U98 + 'ACPL Calculations - 1.0'!W98 + 'ACPL Calculations - 2.0'!W98</f>
        <v>0</v>
      </c>
      <c r="CR98" s="33">
        <f>'Old Balance Sheet'!V98 + 'ACPL Calculations - 1.0'!X98 + 'ACPL Calculations - 2.0'!X98</f>
        <v>0</v>
      </c>
      <c r="CS98" s="33">
        <f t="shared" si="3"/>
        <v>0</v>
      </c>
      <c r="CT98" s="35"/>
      <c r="CU98" s="35"/>
      <c r="CV98" s="35"/>
      <c r="CW98" s="36">
        <f>'Old Balance Sheet'!W98 + 'ACPL Calculations - 1.0'!Z98 + 'ACPL Calculations - 2.0'!Z98</f>
        <v>0</v>
      </c>
      <c r="CX98" s="36">
        <f>'Old Balance Sheet'!X98 + 'ACPL Calculations - 1.0'!AA98 + 'ACPL Calculations - 2.0'!AA98</f>
        <v>0</v>
      </c>
      <c r="CY98" s="37">
        <v>0.0</v>
      </c>
      <c r="CZ98" s="38">
        <f>'Old Balance Sheet'!Y98 + 'ACPL Calculations - 1.0'!AB98 + 'ACPL Calculations - 2.0'!AB98</f>
        <v>0</v>
      </c>
      <c r="DA98" s="38">
        <f>'Old Balance Sheet'!Z98 + 'ACPL Calculations - 1.0'!AC98 + 'ACPL Calculations - 2.0'!AC98</f>
        <v>0</v>
      </c>
      <c r="DB98" s="38">
        <f>'Old Balance Sheet'!AA98 + 'ACPL Calculations - 1.0'!AD98 + 'ACPL Calculations - 2.0'!AD98</f>
        <v>0</v>
      </c>
      <c r="DC98" s="38">
        <f>'Old Balance Sheet'!AB98 + 'ACPL Calculations - 1.0'!AE98 + 'ACPL Calculations - 2.0'!AE98</f>
        <v>0</v>
      </c>
      <c r="DD98" s="38">
        <f t="shared" si="4"/>
        <v>0</v>
      </c>
      <c r="DE98" s="33">
        <f t="shared" si="5"/>
        <v>0</v>
      </c>
      <c r="DF98" s="35">
        <v>0.0</v>
      </c>
      <c r="DG98" s="35">
        <v>0.0</v>
      </c>
      <c r="DH98" s="35">
        <v>0.0</v>
      </c>
      <c r="DI98" s="35">
        <v>0.0</v>
      </c>
      <c r="DJ98" s="35">
        <v>0.0</v>
      </c>
      <c r="DK98" s="35">
        <v>0.0</v>
      </c>
      <c r="DL98" s="35">
        <v>0.0</v>
      </c>
      <c r="DM98" s="35">
        <v>0.0</v>
      </c>
      <c r="DN98" s="31">
        <v>0.0</v>
      </c>
      <c r="DO98" s="31">
        <v>0.0</v>
      </c>
      <c r="DP98" s="31">
        <v>0.0</v>
      </c>
      <c r="DQ98" s="31">
        <v>0.0</v>
      </c>
      <c r="DR98" s="31">
        <v>0.0</v>
      </c>
      <c r="DS98" s="31">
        <v>0.0</v>
      </c>
      <c r="DT98" s="31">
        <f>'Old Balance Sheet'!AC98</f>
        <v>0</v>
      </c>
      <c r="DU98" s="31">
        <f>DT98 + SUMIFS('Payments Log'!D:D, 'Payments Log'!B:B, A98, 'Payments Log'!L:L, "Approved", 'Payments Log'!M:M, "Credit") + 'Old Balance Sheet'!AD98 - 'Old Balance Sheet'!AC98</f>
        <v>0</v>
      </c>
      <c r="DV98" s="31">
        <f>SUMIFS('Payments Log'!D:D, 'Payments Log'!B:B, A98, 'Payments Log'!L:L, "Approved", 'Payments Log'!M:M, "Adjustment Credit") - SUMIFS('Payments Log'!D:D, 'Payments Log'!B:B, A98, 'Payments Log'!L:L, "Approved", 'Payments Log'!M:M, "Adjustment Debit") + 'Old Balance Sheet'!AE98</f>
        <v>0</v>
      </c>
      <c r="DW98" s="31">
        <f>IF(MAXIFS('Payments Log'!N:N, 'Payments Log'!L:L, "Approved", 'Payments Log'!M:M, "Credit", 'Payments Log'!B:B, A98) &gt; MAXIFS('Payments Log'!N:N, 'Payments Log'!L:L, "Approved", 'Payments Log'!M:M, "Virtual Credit", 'Payments Log'!B:B, A98), 0, SUMIFS('Payments Log'!D:D, 'Payments Log'!N:N, MAXIFS('Payments Log'!N:N, 'Payments Log'!L:L, "Approved", 'Payments Log'!M:M, "Virtual Credit", 'Payments Log'!B:B, A98)))</f>
        <v>0</v>
      </c>
      <c r="DX98" s="33">
        <f t="shared" si="6"/>
        <v>0</v>
      </c>
      <c r="DY98" s="33">
        <f t="shared" si="7"/>
        <v>0</v>
      </c>
      <c r="DZ98" s="33">
        <f t="shared" si="8"/>
        <v>0</v>
      </c>
      <c r="EA98" s="25" t="str">
        <f>(Sheet1!N98)</f>
        <v>Ajit Automobiles - Ellenabad</v>
      </c>
      <c r="EB98" s="25" t="str">
        <f>(Sheet1!O98)</f>
        <v>13RsJ1T_W8o2VNE9w100mgEYjOaU-1jlpABRILPpMAjs</v>
      </c>
      <c r="EC98" s="26" t="str">
        <f>(Sheet1!P98)</f>
        <v>Dealer</v>
      </c>
      <c r="ED98" s="34" t="s">
        <v>13</v>
      </c>
    </row>
    <row r="99">
      <c r="A99" s="25" t="str">
        <f>(Sheet1!A99)</f>
        <v>1nEWA1qF6Gna7lK-YjdC89uY5m1GPuTi_8hhe6AxW12M</v>
      </c>
      <c r="B99" s="25" t="str">
        <f>(Sheet1!B99)</f>
        <v>Shivam Auto - Rohtak</v>
      </c>
      <c r="C99" s="30" t="s">
        <v>13</v>
      </c>
      <c r="D99" s="30" t="s">
        <v>72</v>
      </c>
      <c r="E99" s="30" t="s">
        <v>3820</v>
      </c>
      <c r="F99" s="31">
        <v>0.0</v>
      </c>
      <c r="G99" s="32" t="s">
        <v>3818</v>
      </c>
      <c r="H99" s="31">
        <v>100.0</v>
      </c>
      <c r="I99" s="33">
        <f>'Old Balance Sheet'!A99 + 'ACPL Calculations - 1.0'!A99 + 'ACPL Calculations - 2.0'!A99</f>
        <v>1</v>
      </c>
      <c r="J99" s="30" t="s">
        <v>3820</v>
      </c>
      <c r="K99" s="31">
        <v>0.0</v>
      </c>
      <c r="L99" s="32" t="s">
        <v>3818</v>
      </c>
      <c r="M99" s="31">
        <v>100.0</v>
      </c>
      <c r="N99" s="33">
        <f>'Old Balance Sheet'!B99 + 'ACPL Calculations - 1.0'!B99 + 'ACPL Calculations - 2.0'!B99</f>
        <v>0</v>
      </c>
      <c r="O99" s="30" t="s">
        <v>3820</v>
      </c>
      <c r="P99" s="31">
        <v>0.0</v>
      </c>
      <c r="Q99" s="32" t="s">
        <v>3818</v>
      </c>
      <c r="R99" s="31">
        <v>100.0</v>
      </c>
      <c r="S99" s="33">
        <f>'Old Balance Sheet'!C99 + 'ACPL Calculations - 1.0'!C99 + 'ACPL Calculations - 2.0'!C99</f>
        <v>0</v>
      </c>
      <c r="T99" s="30" t="s">
        <v>3820</v>
      </c>
      <c r="U99" s="31">
        <v>0.0</v>
      </c>
      <c r="V99" s="32" t="s">
        <v>3818</v>
      </c>
      <c r="W99" s="31">
        <v>100.0</v>
      </c>
      <c r="X99" s="33">
        <f>'Old Balance Sheet'!D99 + 'ACPL Calculations - 1.0'!D99 + 'ACPL Calculations - 2.0'!D99</f>
        <v>0</v>
      </c>
      <c r="Y99" s="30" t="s">
        <v>3820</v>
      </c>
      <c r="Z99" s="31">
        <v>0.0</v>
      </c>
      <c r="AA99" s="32" t="s">
        <v>3818</v>
      </c>
      <c r="AB99" s="31">
        <v>100.0</v>
      </c>
      <c r="AC99" s="33">
        <f>'Old Balance Sheet'!E99 + 'ACPL Calculations - 1.0'!E99 + 'ACPL Calculations - 2.0'!E99</f>
        <v>0</v>
      </c>
      <c r="AD99" s="30" t="s">
        <v>3820</v>
      </c>
      <c r="AE99" s="34">
        <v>838.99</v>
      </c>
      <c r="AF99" s="32" t="s">
        <v>3818</v>
      </c>
      <c r="AG99" s="31">
        <v>100.0</v>
      </c>
      <c r="AH99" s="33">
        <f>'Old Balance Sheet'!F99 + 'ACPL Calculations - 1.0'!F99 + 'ACPL Calculations - 2.0'!F99</f>
        <v>0</v>
      </c>
      <c r="AI99" s="30" t="s">
        <v>3820</v>
      </c>
      <c r="AJ99" s="31">
        <v>0.0</v>
      </c>
      <c r="AK99" s="32" t="s">
        <v>3818</v>
      </c>
      <c r="AL99" s="31">
        <v>100.0</v>
      </c>
      <c r="AM99" s="33">
        <f>'Old Balance Sheet'!G99 + 'ACPL Calculations - 1.0'!G99 + 'ACPL Calculations - 2.0'!G99</f>
        <v>0</v>
      </c>
      <c r="AN99" s="30" t="s">
        <v>3820</v>
      </c>
      <c r="AO99" s="31">
        <v>0.0</v>
      </c>
      <c r="AP99" s="32" t="s">
        <v>3818</v>
      </c>
      <c r="AQ99" s="31">
        <v>100.0</v>
      </c>
      <c r="AR99" s="33">
        <f>'Old Balance Sheet'!H99 + 'ACPL Calculations - 1.0'!H99 + 'ACPL Calculations - 2.0'!H99</f>
        <v>0</v>
      </c>
      <c r="AS99" s="30" t="s">
        <v>3820</v>
      </c>
      <c r="AT99" s="31">
        <v>838.99</v>
      </c>
      <c r="AU99" s="32" t="s">
        <v>3818</v>
      </c>
      <c r="AV99" s="31">
        <v>100.0</v>
      </c>
      <c r="AW99" s="33">
        <f>'Old Balance Sheet'!I99 + 'ACPL Calculations - 1.0'!I99 + 'ACPL Calculations - 2.0'!I99</f>
        <v>0</v>
      </c>
      <c r="AX99" s="30" t="s">
        <v>3820</v>
      </c>
      <c r="AY99" s="31">
        <v>290.0</v>
      </c>
      <c r="AZ99" s="32" t="s">
        <v>3818</v>
      </c>
      <c r="BA99" s="31">
        <v>100.0</v>
      </c>
      <c r="BB99" s="33">
        <f>'Old Balance Sheet'!J99 + 'ACPL Calculations - 1.0'!J99 + 'ACPL Calculations - 2.0'!J99</f>
        <v>0</v>
      </c>
      <c r="BC99" s="30" t="s">
        <v>3820</v>
      </c>
      <c r="BD99" s="31">
        <v>205.0</v>
      </c>
      <c r="BE99" s="32" t="s">
        <v>3818</v>
      </c>
      <c r="BF99" s="31">
        <v>100.0</v>
      </c>
      <c r="BG99" s="33">
        <f>'Old Balance Sheet'!K99 + 'ACPL Calculations - 1.0'!K99 + 'ACPL Calculations - 2.0'!K99</f>
        <v>0</v>
      </c>
      <c r="BH99" s="30" t="s">
        <v>3820</v>
      </c>
      <c r="BI99" s="31">
        <v>205.0</v>
      </c>
      <c r="BJ99" s="32" t="s">
        <v>3818</v>
      </c>
      <c r="BK99" s="31">
        <v>100.0</v>
      </c>
      <c r="BL99" s="33">
        <f>'Old Balance Sheet'!L99 + 'ACPL Calculations - 1.0'!L99 + 'ACPL Calculations - 2.0'!L99</f>
        <v>0</v>
      </c>
      <c r="BM99" s="33"/>
      <c r="BN99" s="33"/>
      <c r="BO99" s="33"/>
      <c r="BP99" s="33"/>
      <c r="BQ99" s="33"/>
      <c r="BR99" s="33"/>
      <c r="BS99" s="33"/>
      <c r="BT99" s="33"/>
      <c r="BU99" s="33"/>
      <c r="BV99" s="33"/>
      <c r="BW99" s="33"/>
      <c r="BX99" s="33"/>
      <c r="BY99" s="33"/>
      <c r="BZ99" s="33"/>
      <c r="CA99" s="33"/>
      <c r="CB99" s="33"/>
      <c r="CC99" s="33"/>
      <c r="CD99" s="33"/>
      <c r="CE99" s="33"/>
      <c r="CF99" s="33"/>
      <c r="CG99" s="33"/>
      <c r="CH99" s="33"/>
      <c r="CI99" s="33"/>
      <c r="CJ99" s="33"/>
      <c r="CK99" s="33"/>
      <c r="CL99" s="33">
        <f t="shared" si="1"/>
        <v>1</v>
      </c>
      <c r="CM99" s="33">
        <f>'Old Balance Sheet'!R99 + 'ACPL Calculations - 1.0'!S99 + 'ACPL Calculations - 2.0'!S99</f>
        <v>390</v>
      </c>
      <c r="CN99" s="33">
        <f>'Old Balance Sheet'!S99 + 'ACPL Calculations - 1.0'!T99 + 'ACPL Calculations - 2.0'!T99</f>
        <v>0</v>
      </c>
      <c r="CO99" s="33">
        <f t="shared" si="2"/>
        <v>59.5</v>
      </c>
      <c r="CP99" s="33">
        <f>'Old Balance Sheet'!T99 + 'ACPL Calculations - 1.0'!V99 + 'ACPL Calculations - 2.0'!V99</f>
        <v>29.75</v>
      </c>
      <c r="CQ99" s="33">
        <f>'Old Balance Sheet'!U99 + 'ACPL Calculations - 1.0'!W99 + 'ACPL Calculations - 2.0'!W99</f>
        <v>29.75</v>
      </c>
      <c r="CR99" s="33">
        <f>'Old Balance Sheet'!V99 + 'ACPL Calculations - 1.0'!X99 + 'ACPL Calculations - 2.0'!X99</f>
        <v>0</v>
      </c>
      <c r="CS99" s="33">
        <f t="shared" si="3"/>
        <v>59.5</v>
      </c>
      <c r="CT99" s="35"/>
      <c r="CU99" s="35"/>
      <c r="CV99" s="35"/>
      <c r="CW99" s="36">
        <f>'Old Balance Sheet'!W99 + 'ACPL Calculations - 1.0'!Z99 + 'ACPL Calculations - 2.0'!Z99</f>
        <v>390</v>
      </c>
      <c r="CX99" s="36">
        <f>'Old Balance Sheet'!X99 + 'ACPL Calculations - 1.0'!AA99 + 'ACPL Calculations - 2.0'!AA99</f>
        <v>66.11</v>
      </c>
      <c r="CY99" s="37">
        <v>0.0</v>
      </c>
      <c r="CZ99" s="38">
        <f>'Old Balance Sheet'!Y99 + 'ACPL Calculations - 1.0'!AB99 + 'ACPL Calculations - 2.0'!AB99</f>
        <v>323.89</v>
      </c>
      <c r="DA99" s="38">
        <f>'Old Balance Sheet'!Z99 + 'ACPL Calculations - 1.0'!AC99 + 'ACPL Calculations - 2.0'!AC99</f>
        <v>0</v>
      </c>
      <c r="DB99" s="38">
        <f>'Old Balance Sheet'!AA99 + 'ACPL Calculations - 1.0'!AD99 + 'ACPL Calculations - 2.0'!AD99</f>
        <v>6.61</v>
      </c>
      <c r="DC99" s="38">
        <f>'Old Balance Sheet'!AB99 + 'ACPL Calculations - 1.0'!AE99 + 'ACPL Calculations - 2.0'!AE99</f>
        <v>323.89</v>
      </c>
      <c r="DD99" s="38">
        <f t="shared" si="4"/>
        <v>323.89</v>
      </c>
      <c r="DE99" s="33">
        <f t="shared" si="5"/>
        <v>323.89</v>
      </c>
      <c r="DF99" s="35">
        <v>0.0</v>
      </c>
      <c r="DG99" s="35">
        <v>0.0</v>
      </c>
      <c r="DH99" s="35">
        <v>0.0</v>
      </c>
      <c r="DI99" s="35">
        <v>0.0</v>
      </c>
      <c r="DJ99" s="35">
        <v>0.0</v>
      </c>
      <c r="DK99" s="35">
        <v>0.0</v>
      </c>
      <c r="DL99" s="35">
        <v>0.0</v>
      </c>
      <c r="DM99" s="35">
        <v>0.0</v>
      </c>
      <c r="DN99" s="31">
        <v>0.0</v>
      </c>
      <c r="DO99" s="31">
        <v>0.0</v>
      </c>
      <c r="DP99" s="31">
        <v>0.0</v>
      </c>
      <c r="DQ99" s="31">
        <v>0.0</v>
      </c>
      <c r="DR99" s="31">
        <v>0.0</v>
      </c>
      <c r="DS99" s="31">
        <v>0.0</v>
      </c>
      <c r="DT99" s="31">
        <f>'Old Balance Sheet'!AC99</f>
        <v>-450</v>
      </c>
      <c r="DU99" s="31">
        <f>DT99 + SUMIFS('Payments Log'!D:D, 'Payments Log'!B:B, A99, 'Payments Log'!L:L, "Approved", 'Payments Log'!M:M, "Credit") + 'Old Balance Sheet'!AD99 - 'Old Balance Sheet'!AC99</f>
        <v>-450</v>
      </c>
      <c r="DV99" s="31">
        <f>SUMIFS('Payments Log'!D:D, 'Payments Log'!B:B, A99, 'Payments Log'!L:L, "Approved", 'Payments Log'!M:M, "Adjustment Credit") - SUMIFS('Payments Log'!D:D, 'Payments Log'!B:B, A99, 'Payments Log'!L:L, "Approved", 'Payments Log'!M:M, "Adjustment Debit") + 'Old Balance Sheet'!AE99</f>
        <v>840</v>
      </c>
      <c r="DW99" s="31">
        <f>IF(MAXIFS('Payments Log'!N:N, 'Payments Log'!L:L, "Approved", 'Payments Log'!M:M, "Credit", 'Payments Log'!B:B, A99) &gt; MAXIFS('Payments Log'!N:N, 'Payments Log'!L:L, "Approved", 'Payments Log'!M:M, "Virtual Credit", 'Payments Log'!B:B, A99), 0, SUMIFS('Payments Log'!D:D, 'Payments Log'!N:N, MAXIFS('Payments Log'!N:N, 'Payments Log'!L:L, "Approved", 'Payments Log'!M:M, "Virtual Credit", 'Payments Log'!B:B, A99)))</f>
        <v>0</v>
      </c>
      <c r="DX99" s="33">
        <f t="shared" si="6"/>
        <v>0</v>
      </c>
      <c r="DY99" s="33">
        <f t="shared" si="7"/>
        <v>323.89</v>
      </c>
      <c r="DZ99" s="33">
        <f t="shared" si="8"/>
        <v>323.89</v>
      </c>
      <c r="EA99" s="25" t="str">
        <f>(Sheet1!N99)</f>
        <v>Shivam Auto - Rohtak</v>
      </c>
      <c r="EB99" s="25" t="str">
        <f>(Sheet1!O99)</f>
        <v>1nEWA1qF6Gna7lK-YjdC89uY5m1GPuTi_8hhe6AxW12M</v>
      </c>
      <c r="EC99" s="26" t="str">
        <f>(Sheet1!P99)</f>
        <v>Dealer</v>
      </c>
      <c r="ED99" s="34" t="s">
        <v>13</v>
      </c>
    </row>
    <row r="100">
      <c r="A100" s="25" t="str">
        <f>(Sheet1!A100)</f>
        <v>1ajtc9H9LQaAwROSG0sPyjJHA38yC9DyS1xGLXYi7kSg</v>
      </c>
      <c r="B100" s="25" t="str">
        <f>(Sheet1!B100)</f>
        <v>Singla Auto Agency- Tilpata</v>
      </c>
      <c r="C100" s="30" t="s">
        <v>13</v>
      </c>
      <c r="D100" s="30" t="s">
        <v>72</v>
      </c>
      <c r="E100" s="30" t="s">
        <v>3820</v>
      </c>
      <c r="F100" s="31">
        <v>170.0</v>
      </c>
      <c r="G100" s="32" t="s">
        <v>3818</v>
      </c>
      <c r="H100" s="31">
        <v>100.0</v>
      </c>
      <c r="I100" s="33">
        <f>'Old Balance Sheet'!A100 + 'ACPL Calculations - 1.0'!A100 + 'ACPL Calculations - 2.0'!A100</f>
        <v>0</v>
      </c>
      <c r="J100" s="30" t="s">
        <v>3820</v>
      </c>
      <c r="K100" s="31">
        <v>170.0</v>
      </c>
      <c r="L100" s="32" t="s">
        <v>3818</v>
      </c>
      <c r="M100" s="31">
        <v>100.0</v>
      </c>
      <c r="N100" s="33">
        <f>'Old Balance Sheet'!B100 + 'ACPL Calculations - 1.0'!B100 + 'ACPL Calculations - 2.0'!B100</f>
        <v>0</v>
      </c>
      <c r="O100" s="30" t="s">
        <v>3820</v>
      </c>
      <c r="P100" s="31">
        <v>170.0</v>
      </c>
      <c r="Q100" s="32" t="s">
        <v>3818</v>
      </c>
      <c r="R100" s="31">
        <v>100.0</v>
      </c>
      <c r="S100" s="33">
        <f>'Old Balance Sheet'!C100 + 'ACPL Calculations - 1.0'!C100 + 'ACPL Calculations - 2.0'!C100</f>
        <v>0</v>
      </c>
      <c r="T100" s="30" t="s">
        <v>3820</v>
      </c>
      <c r="U100" s="31">
        <v>170.0</v>
      </c>
      <c r="V100" s="32" t="s">
        <v>3818</v>
      </c>
      <c r="W100" s="31">
        <v>100.0</v>
      </c>
      <c r="X100" s="33">
        <f>'Old Balance Sheet'!D100 + 'ACPL Calculations - 1.0'!D100 + 'ACPL Calculations - 2.0'!D100</f>
        <v>0</v>
      </c>
      <c r="Y100" s="30" t="s">
        <v>3820</v>
      </c>
      <c r="Z100" s="31">
        <v>170.0</v>
      </c>
      <c r="AA100" s="32" t="s">
        <v>3818</v>
      </c>
      <c r="AB100" s="31">
        <v>100.0</v>
      </c>
      <c r="AC100" s="33">
        <f>'Old Balance Sheet'!E100 + 'ACPL Calculations - 1.0'!E100 + 'ACPL Calculations - 2.0'!E100</f>
        <v>0</v>
      </c>
      <c r="AD100" s="30" t="s">
        <v>3820</v>
      </c>
      <c r="AE100" s="34">
        <v>838.99</v>
      </c>
      <c r="AF100" s="32" t="s">
        <v>3818</v>
      </c>
      <c r="AG100" s="31">
        <v>100.0</v>
      </c>
      <c r="AH100" s="33">
        <f>'Old Balance Sheet'!F100 + 'ACPL Calculations - 1.0'!F100 + 'ACPL Calculations - 2.0'!F100</f>
        <v>0</v>
      </c>
      <c r="AI100" s="30" t="s">
        <v>3820</v>
      </c>
      <c r="AJ100" s="31">
        <v>375.0</v>
      </c>
      <c r="AK100" s="32" t="s">
        <v>3818</v>
      </c>
      <c r="AL100" s="31">
        <v>100.0</v>
      </c>
      <c r="AM100" s="33">
        <f>'Old Balance Sheet'!G100 + 'ACPL Calculations - 1.0'!G100 + 'ACPL Calculations - 2.0'!G100</f>
        <v>0</v>
      </c>
      <c r="AN100" s="30" t="s">
        <v>3820</v>
      </c>
      <c r="AO100" s="31">
        <v>290.0</v>
      </c>
      <c r="AP100" s="32" t="s">
        <v>3818</v>
      </c>
      <c r="AQ100" s="31">
        <v>100.0</v>
      </c>
      <c r="AR100" s="33">
        <f>'Old Balance Sheet'!H100 + 'ACPL Calculations - 1.0'!H100 + 'ACPL Calculations - 2.0'!H100</f>
        <v>0</v>
      </c>
      <c r="AS100" s="30" t="s">
        <v>3819</v>
      </c>
      <c r="AT100" s="31">
        <v>838.99</v>
      </c>
      <c r="AU100" s="32" t="s">
        <v>3818</v>
      </c>
      <c r="AV100" s="31">
        <v>100.0</v>
      </c>
      <c r="AW100" s="33">
        <f>'Old Balance Sheet'!I100 + 'ACPL Calculations - 1.0'!I100 + 'ACPL Calculations - 2.0'!I100</f>
        <v>0</v>
      </c>
      <c r="AX100" s="30" t="s">
        <v>3820</v>
      </c>
      <c r="AY100" s="31">
        <v>290.0</v>
      </c>
      <c r="AZ100" s="32" t="s">
        <v>3818</v>
      </c>
      <c r="BA100" s="31">
        <v>100.0</v>
      </c>
      <c r="BB100" s="33">
        <f>'Old Balance Sheet'!J100 + 'ACPL Calculations - 1.0'!J100 + 'ACPL Calculations - 2.0'!J100</f>
        <v>0</v>
      </c>
      <c r="BC100" s="30" t="s">
        <v>3820</v>
      </c>
      <c r="BD100" s="31">
        <v>205.0</v>
      </c>
      <c r="BE100" s="32" t="s">
        <v>3818</v>
      </c>
      <c r="BF100" s="31">
        <v>100.0</v>
      </c>
      <c r="BG100" s="33">
        <f>'Old Balance Sheet'!K100 + 'ACPL Calculations - 1.0'!K100 + 'ACPL Calculations - 2.0'!K100</f>
        <v>0</v>
      </c>
      <c r="BH100" s="30" t="s">
        <v>3820</v>
      </c>
      <c r="BI100" s="31">
        <v>205.0</v>
      </c>
      <c r="BJ100" s="32" t="s">
        <v>3818</v>
      </c>
      <c r="BK100" s="31">
        <v>100.0</v>
      </c>
      <c r="BL100" s="33">
        <f>'Old Balance Sheet'!L100 + 'ACPL Calculations - 1.0'!L100 + 'ACPL Calculations - 2.0'!L100</f>
        <v>0</v>
      </c>
      <c r="BM100" s="33"/>
      <c r="BN100" s="33"/>
      <c r="BO100" s="33"/>
      <c r="BP100" s="33"/>
      <c r="BQ100" s="33"/>
      <c r="BR100" s="33"/>
      <c r="BS100" s="33"/>
      <c r="BT100" s="33"/>
      <c r="BU100" s="33"/>
      <c r="BV100" s="33"/>
      <c r="BW100" s="33"/>
      <c r="BX100" s="33"/>
      <c r="BY100" s="33"/>
      <c r="BZ100" s="33"/>
      <c r="CA100" s="33"/>
      <c r="CB100" s="33"/>
      <c r="CC100" s="33"/>
      <c r="CD100" s="33"/>
      <c r="CE100" s="33"/>
      <c r="CF100" s="33"/>
      <c r="CG100" s="33"/>
      <c r="CH100" s="33"/>
      <c r="CI100" s="33"/>
      <c r="CJ100" s="33"/>
      <c r="CK100" s="33"/>
      <c r="CL100" s="33">
        <f t="shared" si="1"/>
        <v>0</v>
      </c>
      <c r="CM100" s="33">
        <f>'Old Balance Sheet'!R100 + 'ACPL Calculations - 1.0'!S100 + 'ACPL Calculations - 2.0'!S100</f>
        <v>0</v>
      </c>
      <c r="CN100" s="33">
        <f>'Old Balance Sheet'!S100 + 'ACPL Calculations - 1.0'!T100 + 'ACPL Calculations - 2.0'!T100</f>
        <v>0</v>
      </c>
      <c r="CO100" s="33">
        <f t="shared" si="2"/>
        <v>0</v>
      </c>
      <c r="CP100" s="33">
        <f>'Old Balance Sheet'!T100 + 'ACPL Calculations - 1.0'!V100 + 'ACPL Calculations - 2.0'!V100</f>
        <v>0</v>
      </c>
      <c r="CQ100" s="33">
        <f>'Old Balance Sheet'!U100 + 'ACPL Calculations - 1.0'!W100 + 'ACPL Calculations - 2.0'!W100</f>
        <v>0</v>
      </c>
      <c r="CR100" s="33">
        <f>'Old Balance Sheet'!V100 + 'ACPL Calculations - 1.0'!X100 + 'ACPL Calculations - 2.0'!X100</f>
        <v>0</v>
      </c>
      <c r="CS100" s="33">
        <f t="shared" si="3"/>
        <v>0</v>
      </c>
      <c r="CT100" s="35"/>
      <c r="CU100" s="35"/>
      <c r="CV100" s="35"/>
      <c r="CW100" s="36">
        <f>'Old Balance Sheet'!W100 + 'ACPL Calculations - 1.0'!Z100 + 'ACPL Calculations - 2.0'!Z100</f>
        <v>0</v>
      </c>
      <c r="CX100" s="36">
        <f>'Old Balance Sheet'!X100 + 'ACPL Calculations - 1.0'!AA100 + 'ACPL Calculations - 2.0'!AA100</f>
        <v>0</v>
      </c>
      <c r="CY100" s="37">
        <v>0.0</v>
      </c>
      <c r="CZ100" s="38">
        <f>'Old Balance Sheet'!Y100 + 'ACPL Calculations - 1.0'!AB100 + 'ACPL Calculations - 2.0'!AB100</f>
        <v>0</v>
      </c>
      <c r="DA100" s="38">
        <f>'Old Balance Sheet'!Z100 + 'ACPL Calculations - 1.0'!AC100 + 'ACPL Calculations - 2.0'!AC100</f>
        <v>0</v>
      </c>
      <c r="DB100" s="38">
        <f>'Old Balance Sheet'!AA100 + 'ACPL Calculations - 1.0'!AD100 + 'ACPL Calculations - 2.0'!AD100</f>
        <v>0</v>
      </c>
      <c r="DC100" s="38">
        <f>'Old Balance Sheet'!AB100 + 'ACPL Calculations - 1.0'!AE100 + 'ACPL Calculations - 2.0'!AE100</f>
        <v>0</v>
      </c>
      <c r="DD100" s="38">
        <f t="shared" si="4"/>
        <v>0</v>
      </c>
      <c r="DE100" s="33">
        <f t="shared" si="5"/>
        <v>0</v>
      </c>
      <c r="DF100" s="35">
        <v>0.0</v>
      </c>
      <c r="DG100" s="35">
        <v>0.0</v>
      </c>
      <c r="DH100" s="35">
        <v>0.0</v>
      </c>
      <c r="DI100" s="35">
        <v>0.0</v>
      </c>
      <c r="DJ100" s="35">
        <v>0.0</v>
      </c>
      <c r="DK100" s="35">
        <v>0.0</v>
      </c>
      <c r="DL100" s="35">
        <v>0.0</v>
      </c>
      <c r="DM100" s="35">
        <v>0.0</v>
      </c>
      <c r="DN100" s="31">
        <v>0.0</v>
      </c>
      <c r="DO100" s="31">
        <v>0.0</v>
      </c>
      <c r="DP100" s="31">
        <v>0.0</v>
      </c>
      <c r="DQ100" s="31">
        <v>0.0</v>
      </c>
      <c r="DR100" s="31">
        <v>0.0</v>
      </c>
      <c r="DS100" s="31">
        <v>0.0</v>
      </c>
      <c r="DT100" s="31">
        <f>'Old Balance Sheet'!AC100</f>
        <v>0</v>
      </c>
      <c r="DU100" s="31">
        <f>DT100 + SUMIFS('Payments Log'!D:D, 'Payments Log'!B:B, A100, 'Payments Log'!L:L, "Approved", 'Payments Log'!M:M, "Credit") + 'Old Balance Sheet'!AD100 - 'Old Balance Sheet'!AC100</f>
        <v>0</v>
      </c>
      <c r="DV100" s="31">
        <f>SUMIFS('Payments Log'!D:D, 'Payments Log'!B:B, A100, 'Payments Log'!L:L, "Approved", 'Payments Log'!M:M, "Adjustment Credit") - SUMIFS('Payments Log'!D:D, 'Payments Log'!B:B, A100, 'Payments Log'!L:L, "Approved", 'Payments Log'!M:M, "Adjustment Debit") + 'Old Balance Sheet'!AE100</f>
        <v>0</v>
      </c>
      <c r="DW100" s="31">
        <f>IF(MAXIFS('Payments Log'!N:N, 'Payments Log'!L:L, "Approved", 'Payments Log'!M:M, "Credit", 'Payments Log'!B:B, A100) &gt; MAXIFS('Payments Log'!N:N, 'Payments Log'!L:L, "Approved", 'Payments Log'!M:M, "Virtual Credit", 'Payments Log'!B:B, A100), 0, SUMIFS('Payments Log'!D:D, 'Payments Log'!N:N, MAXIFS('Payments Log'!N:N, 'Payments Log'!L:L, "Approved", 'Payments Log'!M:M, "Virtual Credit", 'Payments Log'!B:B, A100)))</f>
        <v>0</v>
      </c>
      <c r="DX100" s="33">
        <f t="shared" si="6"/>
        <v>0</v>
      </c>
      <c r="DY100" s="33">
        <f t="shared" si="7"/>
        <v>0</v>
      </c>
      <c r="DZ100" s="33">
        <f t="shared" si="8"/>
        <v>0</v>
      </c>
      <c r="EA100" s="25" t="str">
        <f>(Sheet1!N100)</f>
        <v>Singla Auto Agencies (Noida)</v>
      </c>
      <c r="EB100" s="25" t="str">
        <f>(Sheet1!O100)</f>
        <v>1aig_7rzTvnQej6pxtLbGhfZNPUH2VLzHk2NHcxmPOhg</v>
      </c>
      <c r="EC100" s="26" t="str">
        <f>(Sheet1!P100)</f>
        <v>Sub Dealer</v>
      </c>
      <c r="ED100" s="34" t="s">
        <v>13</v>
      </c>
    </row>
    <row r="101">
      <c r="A101" s="25" t="str">
        <f>(Sheet1!A101)</f>
        <v>1RoojyyM-QnJWkU4BEw5RvwkrV0urtgRc4XGLN4gN_Y4</v>
      </c>
      <c r="B101" s="25" t="str">
        <f>(Sheet1!B101)</f>
        <v>Gaurav Automobiles - Safidon</v>
      </c>
      <c r="C101" s="30" t="s">
        <v>13</v>
      </c>
      <c r="D101" s="30" t="s">
        <v>72</v>
      </c>
      <c r="E101" s="30" t="s">
        <v>3817</v>
      </c>
      <c r="F101" s="31">
        <v>205.0</v>
      </c>
      <c r="G101" s="32" t="s">
        <v>3818</v>
      </c>
      <c r="H101" s="31">
        <v>100.0</v>
      </c>
      <c r="I101" s="33">
        <f>'Old Balance Sheet'!A101 + 'ACPL Calculations - 1.0'!A101 + 'ACPL Calculations - 2.0'!A101</f>
        <v>0</v>
      </c>
      <c r="J101" s="30" t="s">
        <v>3817</v>
      </c>
      <c r="K101" s="31">
        <v>205.0</v>
      </c>
      <c r="L101" s="32" t="s">
        <v>3818</v>
      </c>
      <c r="M101" s="31">
        <v>100.0</v>
      </c>
      <c r="N101" s="33">
        <f>'Old Balance Sheet'!B101 + 'ACPL Calculations - 1.0'!B101 + 'ACPL Calculations - 2.0'!B101</f>
        <v>0</v>
      </c>
      <c r="O101" s="30" t="s">
        <v>3817</v>
      </c>
      <c r="P101" s="31">
        <v>290.0</v>
      </c>
      <c r="Q101" s="32" t="s">
        <v>3818</v>
      </c>
      <c r="R101" s="31">
        <v>100.0</v>
      </c>
      <c r="S101" s="33">
        <f>'Old Balance Sheet'!C101 + 'ACPL Calculations - 1.0'!C101 + 'ACPL Calculations - 2.0'!C101</f>
        <v>0</v>
      </c>
      <c r="T101" s="30" t="s">
        <v>3817</v>
      </c>
      <c r="U101" s="31">
        <v>375.0</v>
      </c>
      <c r="V101" s="32" t="s">
        <v>3818</v>
      </c>
      <c r="W101" s="31">
        <v>100.0</v>
      </c>
      <c r="X101" s="33">
        <f>'Old Balance Sheet'!D101 + 'ACPL Calculations - 1.0'!D101 + 'ACPL Calculations - 2.0'!D101</f>
        <v>0</v>
      </c>
      <c r="Y101" s="30" t="s">
        <v>3817</v>
      </c>
      <c r="Z101" s="31">
        <v>460.0</v>
      </c>
      <c r="AA101" s="32" t="s">
        <v>3818</v>
      </c>
      <c r="AB101" s="31">
        <v>100.0</v>
      </c>
      <c r="AC101" s="33">
        <f>'Old Balance Sheet'!E101 + 'ACPL Calculations - 1.0'!E101 + 'ACPL Calculations - 2.0'!E101</f>
        <v>0</v>
      </c>
      <c r="AD101" s="30" t="s">
        <v>3817</v>
      </c>
      <c r="AE101" s="34">
        <v>838.99</v>
      </c>
      <c r="AF101" s="32" t="s">
        <v>3818</v>
      </c>
      <c r="AG101" s="31">
        <v>100.0</v>
      </c>
      <c r="AH101" s="33">
        <f>'Old Balance Sheet'!F101 + 'ACPL Calculations - 1.0'!F101 + 'ACPL Calculations - 2.0'!F101</f>
        <v>0</v>
      </c>
      <c r="AI101" s="30" t="s">
        <v>3817</v>
      </c>
      <c r="AJ101" s="31">
        <v>375.0</v>
      </c>
      <c r="AK101" s="32" t="s">
        <v>3818</v>
      </c>
      <c r="AL101" s="31">
        <v>100.0</v>
      </c>
      <c r="AM101" s="33">
        <f>'Old Balance Sheet'!G101 + 'ACPL Calculations - 1.0'!G101 + 'ACPL Calculations - 2.0'!G101</f>
        <v>0</v>
      </c>
      <c r="AN101" s="30" t="s">
        <v>3817</v>
      </c>
      <c r="AO101" s="31">
        <v>290.0</v>
      </c>
      <c r="AP101" s="32" t="s">
        <v>3818</v>
      </c>
      <c r="AQ101" s="31">
        <v>100.0</v>
      </c>
      <c r="AR101" s="33">
        <f>'Old Balance Sheet'!H101 + 'ACPL Calculations - 1.0'!H101 + 'ACPL Calculations - 2.0'!H101</f>
        <v>0</v>
      </c>
      <c r="AS101" s="30" t="s">
        <v>3819</v>
      </c>
      <c r="AT101" s="31">
        <v>838.99</v>
      </c>
      <c r="AU101" s="32" t="s">
        <v>3818</v>
      </c>
      <c r="AV101" s="31">
        <v>100.0</v>
      </c>
      <c r="AW101" s="33">
        <f>'Old Balance Sheet'!I101 + 'ACPL Calculations - 1.0'!I101 + 'ACPL Calculations - 2.0'!I101</f>
        <v>0</v>
      </c>
      <c r="AX101" s="30" t="s">
        <v>3817</v>
      </c>
      <c r="AY101" s="31">
        <v>290.0</v>
      </c>
      <c r="AZ101" s="32" t="s">
        <v>3818</v>
      </c>
      <c r="BA101" s="31">
        <v>100.0</v>
      </c>
      <c r="BB101" s="33">
        <f>'Old Balance Sheet'!J101 + 'ACPL Calculations - 1.0'!J101 + 'ACPL Calculations - 2.0'!J101</f>
        <v>0</v>
      </c>
      <c r="BC101" s="30" t="s">
        <v>3817</v>
      </c>
      <c r="BD101" s="31">
        <v>205.0</v>
      </c>
      <c r="BE101" s="32" t="s">
        <v>3818</v>
      </c>
      <c r="BF101" s="31">
        <v>100.0</v>
      </c>
      <c r="BG101" s="33">
        <f>'Old Balance Sheet'!K101 + 'ACPL Calculations - 1.0'!K101 + 'ACPL Calculations - 2.0'!K101</f>
        <v>0</v>
      </c>
      <c r="BH101" s="30" t="s">
        <v>3817</v>
      </c>
      <c r="BI101" s="31">
        <v>205.0</v>
      </c>
      <c r="BJ101" s="32" t="s">
        <v>3818</v>
      </c>
      <c r="BK101" s="31">
        <v>100.0</v>
      </c>
      <c r="BL101" s="33">
        <f>'Old Balance Sheet'!L101 + 'ACPL Calculations - 1.0'!L101 + 'ACPL Calculations - 2.0'!L101</f>
        <v>0</v>
      </c>
      <c r="BM101" s="33"/>
      <c r="BN101" s="33"/>
      <c r="BO101" s="33"/>
      <c r="BP101" s="33"/>
      <c r="BQ101" s="33"/>
      <c r="BR101" s="33"/>
      <c r="BS101" s="33"/>
      <c r="BT101" s="33"/>
      <c r="BU101" s="33"/>
      <c r="BV101" s="33"/>
      <c r="BW101" s="33"/>
      <c r="BX101" s="33"/>
      <c r="BY101" s="33"/>
      <c r="BZ101" s="33"/>
      <c r="CA101" s="33"/>
      <c r="CB101" s="33"/>
      <c r="CC101" s="33"/>
      <c r="CD101" s="33"/>
      <c r="CE101" s="33"/>
      <c r="CF101" s="33"/>
      <c r="CG101" s="33"/>
      <c r="CH101" s="33"/>
      <c r="CI101" s="33"/>
      <c r="CJ101" s="33"/>
      <c r="CK101" s="33"/>
      <c r="CL101" s="33">
        <f t="shared" si="1"/>
        <v>0</v>
      </c>
      <c r="CM101" s="33">
        <f>'Old Balance Sheet'!R101 + 'ACPL Calculations - 1.0'!S101 + 'ACPL Calculations - 2.0'!S101</f>
        <v>0</v>
      </c>
      <c r="CN101" s="33">
        <f>'Old Balance Sheet'!S101 + 'ACPL Calculations - 1.0'!T101 + 'ACPL Calculations - 2.0'!T101</f>
        <v>0</v>
      </c>
      <c r="CO101" s="33">
        <f t="shared" si="2"/>
        <v>0</v>
      </c>
      <c r="CP101" s="33">
        <f>'Old Balance Sheet'!T101 + 'ACPL Calculations - 1.0'!V101 + 'ACPL Calculations - 2.0'!V101</f>
        <v>0</v>
      </c>
      <c r="CQ101" s="33">
        <f>'Old Balance Sheet'!U101 + 'ACPL Calculations - 1.0'!W101 + 'ACPL Calculations - 2.0'!W101</f>
        <v>0</v>
      </c>
      <c r="CR101" s="33">
        <f>'Old Balance Sheet'!V101 + 'ACPL Calculations - 1.0'!X101 + 'ACPL Calculations - 2.0'!X101</f>
        <v>0</v>
      </c>
      <c r="CS101" s="33">
        <f t="shared" si="3"/>
        <v>0</v>
      </c>
      <c r="CT101" s="35"/>
      <c r="CU101" s="35"/>
      <c r="CV101" s="35"/>
      <c r="CW101" s="36">
        <f>'Old Balance Sheet'!W101 + 'ACPL Calculations - 1.0'!Z101 + 'ACPL Calculations - 2.0'!Z101</f>
        <v>0</v>
      </c>
      <c r="CX101" s="36">
        <f>'Old Balance Sheet'!X101 + 'ACPL Calculations - 1.0'!AA101 + 'ACPL Calculations - 2.0'!AA101</f>
        <v>0</v>
      </c>
      <c r="CY101" s="37">
        <v>0.0</v>
      </c>
      <c r="CZ101" s="38">
        <f>'Old Balance Sheet'!Y101 + 'ACPL Calculations - 1.0'!AB101 + 'ACPL Calculations - 2.0'!AB101</f>
        <v>0</v>
      </c>
      <c r="DA101" s="38">
        <f>'Old Balance Sheet'!Z101 + 'ACPL Calculations - 1.0'!AC101 + 'ACPL Calculations - 2.0'!AC101</f>
        <v>0</v>
      </c>
      <c r="DB101" s="38">
        <f>'Old Balance Sheet'!AA101 + 'ACPL Calculations - 1.0'!AD101 + 'ACPL Calculations - 2.0'!AD101</f>
        <v>0</v>
      </c>
      <c r="DC101" s="38">
        <f>'Old Balance Sheet'!AB101 + 'ACPL Calculations - 1.0'!AE101 + 'ACPL Calculations - 2.0'!AE101</f>
        <v>0</v>
      </c>
      <c r="DD101" s="38">
        <f t="shared" si="4"/>
        <v>0</v>
      </c>
      <c r="DE101" s="33">
        <f t="shared" si="5"/>
        <v>0</v>
      </c>
      <c r="DF101" s="35">
        <v>0.0</v>
      </c>
      <c r="DG101" s="35">
        <v>0.0</v>
      </c>
      <c r="DH101" s="35">
        <v>0.0</v>
      </c>
      <c r="DI101" s="35">
        <v>0.0</v>
      </c>
      <c r="DJ101" s="35">
        <v>0.0</v>
      </c>
      <c r="DK101" s="35">
        <v>0.0</v>
      </c>
      <c r="DL101" s="35">
        <v>0.0</v>
      </c>
      <c r="DM101" s="35">
        <v>0.0</v>
      </c>
      <c r="DN101" s="31">
        <v>0.0</v>
      </c>
      <c r="DO101" s="31">
        <v>0.0</v>
      </c>
      <c r="DP101" s="31">
        <v>0.0</v>
      </c>
      <c r="DQ101" s="31">
        <v>0.0</v>
      </c>
      <c r="DR101" s="31">
        <v>0.0</v>
      </c>
      <c r="DS101" s="31">
        <v>0.0</v>
      </c>
      <c r="DT101" s="31">
        <f>'Old Balance Sheet'!AC101</f>
        <v>0</v>
      </c>
      <c r="DU101" s="31">
        <f>DT101 + SUMIFS('Payments Log'!D:D, 'Payments Log'!B:B, A101, 'Payments Log'!L:L, "Approved", 'Payments Log'!M:M, "Credit") + 'Old Balance Sheet'!AD101 - 'Old Balance Sheet'!AC101</f>
        <v>0</v>
      </c>
      <c r="DV101" s="31">
        <f>SUMIFS('Payments Log'!D:D, 'Payments Log'!B:B, A101, 'Payments Log'!L:L, "Approved", 'Payments Log'!M:M, "Adjustment Credit") - SUMIFS('Payments Log'!D:D, 'Payments Log'!B:B, A101, 'Payments Log'!L:L, "Approved", 'Payments Log'!M:M, "Adjustment Debit") + 'Old Balance Sheet'!AE101</f>
        <v>0</v>
      </c>
      <c r="DW101" s="31">
        <f>IF(MAXIFS('Payments Log'!N:N, 'Payments Log'!L:L, "Approved", 'Payments Log'!M:M, "Credit", 'Payments Log'!B:B, A101) &gt; MAXIFS('Payments Log'!N:N, 'Payments Log'!L:L, "Approved", 'Payments Log'!M:M, "Virtual Credit", 'Payments Log'!B:B, A101), 0, SUMIFS('Payments Log'!D:D, 'Payments Log'!N:N, MAXIFS('Payments Log'!N:N, 'Payments Log'!L:L, "Approved", 'Payments Log'!M:M, "Virtual Credit", 'Payments Log'!B:B, A101)))</f>
        <v>0</v>
      </c>
      <c r="DX101" s="33">
        <f t="shared" si="6"/>
        <v>0</v>
      </c>
      <c r="DY101" s="33">
        <f t="shared" si="7"/>
        <v>0</v>
      </c>
      <c r="DZ101" s="33">
        <f t="shared" si="8"/>
        <v>0</v>
      </c>
      <c r="EA101" s="25" t="str">
        <f>(Sheet1!N101)</f>
        <v>National Automobile - Jind</v>
      </c>
      <c r="EB101" s="25" t="str">
        <f>(Sheet1!O101)</f>
        <v>1KaEmNIMK0XXiIsA6XQ7GNELp4AsXjf8BnThrJvzVk2Q</v>
      </c>
      <c r="EC101" s="26" t="str">
        <f>(Sheet1!P101)</f>
        <v>Sub Dealer</v>
      </c>
      <c r="ED101" s="34" t="s">
        <v>13</v>
      </c>
    </row>
    <row r="102">
      <c r="A102" s="25" t="str">
        <f>(Sheet1!A102)</f>
        <v>1mvO39KISdJTTFZrNPXYSBSiguynUfxnAQ_H-EBPwdG4</v>
      </c>
      <c r="B102" s="25" t="str">
        <f>(Sheet1!B102)</f>
        <v>KANHA MOTORS</v>
      </c>
      <c r="C102" s="30" t="s">
        <v>13</v>
      </c>
      <c r="D102" s="30" t="s">
        <v>72</v>
      </c>
      <c r="E102" s="30" t="s">
        <v>3817</v>
      </c>
      <c r="F102" s="31">
        <v>205.0</v>
      </c>
      <c r="G102" s="32" t="s">
        <v>3818</v>
      </c>
      <c r="H102" s="31">
        <v>100.0</v>
      </c>
      <c r="I102" s="33">
        <f>'Old Balance Sheet'!A102 + 'ACPL Calculations - 1.0'!A102 + 'ACPL Calculations - 2.0'!A102</f>
        <v>0</v>
      </c>
      <c r="J102" s="30" t="s">
        <v>3817</v>
      </c>
      <c r="K102" s="31">
        <v>205.0</v>
      </c>
      <c r="L102" s="32" t="s">
        <v>3818</v>
      </c>
      <c r="M102" s="31">
        <v>100.0</v>
      </c>
      <c r="N102" s="33">
        <f>'Old Balance Sheet'!B102 + 'ACPL Calculations - 1.0'!B102 + 'ACPL Calculations - 2.0'!B102</f>
        <v>0</v>
      </c>
      <c r="O102" s="30" t="s">
        <v>3817</v>
      </c>
      <c r="P102" s="31">
        <v>290.0</v>
      </c>
      <c r="Q102" s="32" t="s">
        <v>3818</v>
      </c>
      <c r="R102" s="31">
        <v>100.0</v>
      </c>
      <c r="S102" s="33">
        <f>'Old Balance Sheet'!C102 + 'ACPL Calculations - 1.0'!C102 + 'ACPL Calculations - 2.0'!C102</f>
        <v>0</v>
      </c>
      <c r="T102" s="30" t="s">
        <v>3817</v>
      </c>
      <c r="U102" s="31">
        <v>375.0</v>
      </c>
      <c r="V102" s="32" t="s">
        <v>3818</v>
      </c>
      <c r="W102" s="31">
        <v>100.0</v>
      </c>
      <c r="X102" s="33">
        <f>'Old Balance Sheet'!D102 + 'ACPL Calculations - 1.0'!D102 + 'ACPL Calculations - 2.0'!D102</f>
        <v>0</v>
      </c>
      <c r="Y102" s="30" t="s">
        <v>3817</v>
      </c>
      <c r="Z102" s="31">
        <v>460.0</v>
      </c>
      <c r="AA102" s="32" t="s">
        <v>3818</v>
      </c>
      <c r="AB102" s="31">
        <v>100.0</v>
      </c>
      <c r="AC102" s="33">
        <f>'Old Balance Sheet'!E102 + 'ACPL Calculations - 1.0'!E102 + 'ACPL Calculations - 2.0'!E102</f>
        <v>0</v>
      </c>
      <c r="AD102" s="30" t="s">
        <v>3817</v>
      </c>
      <c r="AE102" s="34">
        <v>838.99</v>
      </c>
      <c r="AF102" s="32" t="s">
        <v>3818</v>
      </c>
      <c r="AG102" s="31">
        <v>100.0</v>
      </c>
      <c r="AH102" s="33">
        <f>'Old Balance Sheet'!F102 + 'ACPL Calculations - 1.0'!F102 + 'ACPL Calculations - 2.0'!F102</f>
        <v>0</v>
      </c>
      <c r="AI102" s="30" t="s">
        <v>3817</v>
      </c>
      <c r="AJ102" s="31">
        <v>375.0</v>
      </c>
      <c r="AK102" s="32" t="s">
        <v>3818</v>
      </c>
      <c r="AL102" s="31">
        <v>100.0</v>
      </c>
      <c r="AM102" s="33">
        <f>'Old Balance Sheet'!G102 + 'ACPL Calculations - 1.0'!G102 + 'ACPL Calculations - 2.0'!G102</f>
        <v>0</v>
      </c>
      <c r="AN102" s="30" t="s">
        <v>3817</v>
      </c>
      <c r="AO102" s="31">
        <v>290.0</v>
      </c>
      <c r="AP102" s="32" t="s">
        <v>3818</v>
      </c>
      <c r="AQ102" s="31">
        <v>100.0</v>
      </c>
      <c r="AR102" s="33">
        <f>'Old Balance Sheet'!H102 + 'ACPL Calculations - 1.0'!H102 + 'ACPL Calculations - 2.0'!H102</f>
        <v>0</v>
      </c>
      <c r="AS102" s="30" t="s">
        <v>3819</v>
      </c>
      <c r="AT102" s="31">
        <v>838.99</v>
      </c>
      <c r="AU102" s="32" t="s">
        <v>3818</v>
      </c>
      <c r="AV102" s="31">
        <v>100.0</v>
      </c>
      <c r="AW102" s="33">
        <f>'Old Balance Sheet'!I102 + 'ACPL Calculations - 1.0'!I102 + 'ACPL Calculations - 2.0'!I102</f>
        <v>0</v>
      </c>
      <c r="AX102" s="30" t="s">
        <v>3817</v>
      </c>
      <c r="AY102" s="31">
        <v>290.0</v>
      </c>
      <c r="AZ102" s="32" t="s">
        <v>3818</v>
      </c>
      <c r="BA102" s="31">
        <v>100.0</v>
      </c>
      <c r="BB102" s="33">
        <f>'Old Balance Sheet'!J102 + 'ACPL Calculations - 1.0'!J102 + 'ACPL Calculations - 2.0'!J102</f>
        <v>0</v>
      </c>
      <c r="BC102" s="30" t="s">
        <v>3817</v>
      </c>
      <c r="BD102" s="31">
        <v>205.0</v>
      </c>
      <c r="BE102" s="32" t="s">
        <v>3818</v>
      </c>
      <c r="BF102" s="31">
        <v>100.0</v>
      </c>
      <c r="BG102" s="33">
        <f>'Old Balance Sheet'!K102 + 'ACPL Calculations - 1.0'!K102 + 'ACPL Calculations - 2.0'!K102</f>
        <v>0</v>
      </c>
      <c r="BH102" s="30" t="s">
        <v>3817</v>
      </c>
      <c r="BI102" s="31">
        <v>205.0</v>
      </c>
      <c r="BJ102" s="32" t="s">
        <v>3818</v>
      </c>
      <c r="BK102" s="31">
        <v>100.0</v>
      </c>
      <c r="BL102" s="33">
        <f>'Old Balance Sheet'!L102 + 'ACPL Calculations - 1.0'!L102 + 'ACPL Calculations - 2.0'!L102</f>
        <v>0</v>
      </c>
      <c r="BM102" s="33"/>
      <c r="BN102" s="33"/>
      <c r="BO102" s="33"/>
      <c r="BP102" s="33"/>
      <c r="BQ102" s="33"/>
      <c r="BR102" s="33"/>
      <c r="BS102" s="33"/>
      <c r="BT102" s="33"/>
      <c r="BU102" s="33"/>
      <c r="BV102" s="33"/>
      <c r="BW102" s="33"/>
      <c r="BX102" s="33"/>
      <c r="BY102" s="33"/>
      <c r="BZ102" s="33"/>
      <c r="CA102" s="33"/>
      <c r="CB102" s="33"/>
      <c r="CC102" s="33"/>
      <c r="CD102" s="33"/>
      <c r="CE102" s="33"/>
      <c r="CF102" s="33"/>
      <c r="CG102" s="33"/>
      <c r="CH102" s="33"/>
      <c r="CI102" s="33"/>
      <c r="CJ102" s="33"/>
      <c r="CK102" s="33"/>
      <c r="CL102" s="33">
        <f t="shared" si="1"/>
        <v>0</v>
      </c>
      <c r="CM102" s="33">
        <f>'Old Balance Sheet'!R102 + 'ACPL Calculations - 1.0'!S102 + 'ACPL Calculations - 2.0'!S102</f>
        <v>0</v>
      </c>
      <c r="CN102" s="33">
        <f>'Old Balance Sheet'!S102 + 'ACPL Calculations - 1.0'!T102 + 'ACPL Calculations - 2.0'!T102</f>
        <v>0</v>
      </c>
      <c r="CO102" s="33">
        <f t="shared" si="2"/>
        <v>0</v>
      </c>
      <c r="CP102" s="33">
        <f>'Old Balance Sheet'!T102 + 'ACPL Calculations - 1.0'!V102 + 'ACPL Calculations - 2.0'!V102</f>
        <v>0</v>
      </c>
      <c r="CQ102" s="33">
        <f>'Old Balance Sheet'!U102 + 'ACPL Calculations - 1.0'!W102 + 'ACPL Calculations - 2.0'!W102</f>
        <v>0</v>
      </c>
      <c r="CR102" s="33">
        <f>'Old Balance Sheet'!V102 + 'ACPL Calculations - 1.0'!X102 + 'ACPL Calculations - 2.0'!X102</f>
        <v>0</v>
      </c>
      <c r="CS102" s="33">
        <f t="shared" si="3"/>
        <v>0</v>
      </c>
      <c r="CT102" s="35"/>
      <c r="CU102" s="35"/>
      <c r="CV102" s="35"/>
      <c r="CW102" s="36">
        <f>'Old Balance Sheet'!W102 + 'ACPL Calculations - 1.0'!Z102 + 'ACPL Calculations - 2.0'!Z102</f>
        <v>0</v>
      </c>
      <c r="CX102" s="36">
        <f>'Old Balance Sheet'!X102 + 'ACPL Calculations - 1.0'!AA102 + 'ACPL Calculations - 2.0'!AA102</f>
        <v>0</v>
      </c>
      <c r="CY102" s="37">
        <v>0.0</v>
      </c>
      <c r="CZ102" s="38">
        <f>'Old Balance Sheet'!Y102 + 'ACPL Calculations - 1.0'!AB102 + 'ACPL Calculations - 2.0'!AB102</f>
        <v>0</v>
      </c>
      <c r="DA102" s="38">
        <f>'Old Balance Sheet'!Z102 + 'ACPL Calculations - 1.0'!AC102 + 'ACPL Calculations - 2.0'!AC102</f>
        <v>0</v>
      </c>
      <c r="DB102" s="38">
        <f>'Old Balance Sheet'!AA102 + 'ACPL Calculations - 1.0'!AD102 + 'ACPL Calculations - 2.0'!AD102</f>
        <v>0</v>
      </c>
      <c r="DC102" s="38">
        <f>'Old Balance Sheet'!AB102 + 'ACPL Calculations - 1.0'!AE102 + 'ACPL Calculations - 2.0'!AE102</f>
        <v>0</v>
      </c>
      <c r="DD102" s="38">
        <f t="shared" si="4"/>
        <v>0</v>
      </c>
      <c r="DE102" s="33">
        <f t="shared" si="5"/>
        <v>0</v>
      </c>
      <c r="DF102" s="35">
        <v>0.0</v>
      </c>
      <c r="DG102" s="35">
        <v>0.0</v>
      </c>
      <c r="DH102" s="35">
        <v>0.0</v>
      </c>
      <c r="DI102" s="35">
        <v>0.0</v>
      </c>
      <c r="DJ102" s="35">
        <v>0.0</v>
      </c>
      <c r="DK102" s="35">
        <v>0.0</v>
      </c>
      <c r="DL102" s="35">
        <v>0.0</v>
      </c>
      <c r="DM102" s="35">
        <v>0.0</v>
      </c>
      <c r="DN102" s="31">
        <v>0.0</v>
      </c>
      <c r="DO102" s="31">
        <v>0.0</v>
      </c>
      <c r="DP102" s="31">
        <v>0.0</v>
      </c>
      <c r="DQ102" s="31">
        <v>0.0</v>
      </c>
      <c r="DR102" s="31">
        <v>0.0</v>
      </c>
      <c r="DS102" s="31">
        <v>0.0</v>
      </c>
      <c r="DT102" s="31">
        <f>'Old Balance Sheet'!AC102</f>
        <v>0</v>
      </c>
      <c r="DU102" s="31">
        <f>DT102 + SUMIFS('Payments Log'!D:D, 'Payments Log'!B:B, A102, 'Payments Log'!L:L, "Approved", 'Payments Log'!M:M, "Credit") + 'Old Balance Sheet'!AD102 - 'Old Balance Sheet'!AC102</f>
        <v>0</v>
      </c>
      <c r="DV102" s="31">
        <f>SUMIFS('Payments Log'!D:D, 'Payments Log'!B:B, A102, 'Payments Log'!L:L, "Approved", 'Payments Log'!M:M, "Adjustment Credit") - SUMIFS('Payments Log'!D:D, 'Payments Log'!B:B, A102, 'Payments Log'!L:L, "Approved", 'Payments Log'!M:M, "Adjustment Debit") + 'Old Balance Sheet'!AE102</f>
        <v>0</v>
      </c>
      <c r="DW102" s="31">
        <f>IF(MAXIFS('Payments Log'!N:N, 'Payments Log'!L:L, "Approved", 'Payments Log'!M:M, "Credit", 'Payments Log'!B:B, A102) &gt; MAXIFS('Payments Log'!N:N, 'Payments Log'!L:L, "Approved", 'Payments Log'!M:M, "Virtual Credit", 'Payments Log'!B:B, A102), 0, SUMIFS('Payments Log'!D:D, 'Payments Log'!N:N, MAXIFS('Payments Log'!N:N, 'Payments Log'!L:L, "Approved", 'Payments Log'!M:M, "Virtual Credit", 'Payments Log'!B:B, A102)))</f>
        <v>0</v>
      </c>
      <c r="DX102" s="33">
        <f t="shared" si="6"/>
        <v>0</v>
      </c>
      <c r="DY102" s="33">
        <f t="shared" si="7"/>
        <v>0</v>
      </c>
      <c r="DZ102" s="33">
        <f t="shared" si="8"/>
        <v>0</v>
      </c>
      <c r="EA102" s="25" t="str">
        <f>(Sheet1!N102)</f>
        <v>Shri Durga Motors</v>
      </c>
      <c r="EB102" s="25" t="str">
        <f>(Sheet1!O102)</f>
        <v>1LnxzSZR-Hn1GFJEM91CqSDi8yQ1-11OqyVT04QUkFAM</v>
      </c>
      <c r="EC102" s="26" t="str">
        <f>(Sheet1!P102)</f>
        <v>Sub Dealer</v>
      </c>
      <c r="ED102" s="34" t="s">
        <v>13</v>
      </c>
    </row>
    <row r="103">
      <c r="A103" s="25" t="str">
        <f>(Sheet1!A103)</f>
        <v>1RuulKhAraOSJneBIfAUOQbLBn9JvoSu3eYaWMZ5M-aI</v>
      </c>
      <c r="B103" s="25" t="str">
        <f>(Sheet1!B103)</f>
        <v>RINKU AUTOMOBILES</v>
      </c>
      <c r="C103" s="30" t="s">
        <v>13</v>
      </c>
      <c r="D103" s="30" t="s">
        <v>72</v>
      </c>
      <c r="E103" s="30" t="s">
        <v>3817</v>
      </c>
      <c r="F103" s="31">
        <v>205.0</v>
      </c>
      <c r="G103" s="32" t="s">
        <v>3818</v>
      </c>
      <c r="H103" s="31">
        <v>100.0</v>
      </c>
      <c r="I103" s="33">
        <f>'Old Balance Sheet'!A103 + 'ACPL Calculations - 1.0'!A103 + 'ACPL Calculations - 2.0'!A103</f>
        <v>0</v>
      </c>
      <c r="J103" s="30" t="s">
        <v>3817</v>
      </c>
      <c r="K103" s="31">
        <v>205.0</v>
      </c>
      <c r="L103" s="32" t="s">
        <v>3818</v>
      </c>
      <c r="M103" s="31">
        <v>100.0</v>
      </c>
      <c r="N103" s="33">
        <f>'Old Balance Sheet'!B103 + 'ACPL Calculations - 1.0'!B103 + 'ACPL Calculations - 2.0'!B103</f>
        <v>0</v>
      </c>
      <c r="O103" s="30" t="s">
        <v>3817</v>
      </c>
      <c r="P103" s="31">
        <v>290.0</v>
      </c>
      <c r="Q103" s="32" t="s">
        <v>3818</v>
      </c>
      <c r="R103" s="31">
        <v>100.0</v>
      </c>
      <c r="S103" s="33">
        <f>'Old Balance Sheet'!C103 + 'ACPL Calculations - 1.0'!C103 + 'ACPL Calculations - 2.0'!C103</f>
        <v>0</v>
      </c>
      <c r="T103" s="30" t="s">
        <v>3817</v>
      </c>
      <c r="U103" s="31">
        <v>375.0</v>
      </c>
      <c r="V103" s="32" t="s">
        <v>3818</v>
      </c>
      <c r="W103" s="31">
        <v>100.0</v>
      </c>
      <c r="X103" s="33">
        <f>'Old Balance Sheet'!D103 + 'ACPL Calculations - 1.0'!D103 + 'ACPL Calculations - 2.0'!D103</f>
        <v>0</v>
      </c>
      <c r="Y103" s="30" t="s">
        <v>3817</v>
      </c>
      <c r="Z103" s="31">
        <v>460.0</v>
      </c>
      <c r="AA103" s="32" t="s">
        <v>3818</v>
      </c>
      <c r="AB103" s="31">
        <v>100.0</v>
      </c>
      <c r="AC103" s="33">
        <f>'Old Balance Sheet'!E103 + 'ACPL Calculations - 1.0'!E103 + 'ACPL Calculations - 2.0'!E103</f>
        <v>0</v>
      </c>
      <c r="AD103" s="30" t="s">
        <v>3817</v>
      </c>
      <c r="AE103" s="34">
        <v>838.99</v>
      </c>
      <c r="AF103" s="32" t="s">
        <v>3818</v>
      </c>
      <c r="AG103" s="31">
        <v>100.0</v>
      </c>
      <c r="AH103" s="33">
        <f>'Old Balance Sheet'!F103 + 'ACPL Calculations - 1.0'!F103 + 'ACPL Calculations - 2.0'!F103</f>
        <v>0</v>
      </c>
      <c r="AI103" s="30" t="s">
        <v>3817</v>
      </c>
      <c r="AJ103" s="31">
        <v>375.0</v>
      </c>
      <c r="AK103" s="32" t="s">
        <v>3818</v>
      </c>
      <c r="AL103" s="31">
        <v>100.0</v>
      </c>
      <c r="AM103" s="33">
        <f>'Old Balance Sheet'!G103 + 'ACPL Calculations - 1.0'!G103 + 'ACPL Calculations - 2.0'!G103</f>
        <v>0</v>
      </c>
      <c r="AN103" s="30" t="s">
        <v>3817</v>
      </c>
      <c r="AO103" s="31">
        <v>290.0</v>
      </c>
      <c r="AP103" s="32" t="s">
        <v>3818</v>
      </c>
      <c r="AQ103" s="31">
        <v>100.0</v>
      </c>
      <c r="AR103" s="33">
        <f>'Old Balance Sheet'!H103 + 'ACPL Calculations - 1.0'!H103 + 'ACPL Calculations - 2.0'!H103</f>
        <v>0</v>
      </c>
      <c r="AS103" s="30" t="s">
        <v>3819</v>
      </c>
      <c r="AT103" s="31">
        <v>838.99</v>
      </c>
      <c r="AU103" s="32" t="s">
        <v>3818</v>
      </c>
      <c r="AV103" s="31">
        <v>100.0</v>
      </c>
      <c r="AW103" s="33">
        <f>'Old Balance Sheet'!I103 + 'ACPL Calculations - 1.0'!I103 + 'ACPL Calculations - 2.0'!I103</f>
        <v>0</v>
      </c>
      <c r="AX103" s="30" t="s">
        <v>3817</v>
      </c>
      <c r="AY103" s="31">
        <v>290.0</v>
      </c>
      <c r="AZ103" s="32" t="s">
        <v>3818</v>
      </c>
      <c r="BA103" s="31">
        <v>100.0</v>
      </c>
      <c r="BB103" s="33">
        <f>'Old Balance Sheet'!J103 + 'ACPL Calculations - 1.0'!J103 + 'ACPL Calculations - 2.0'!J103</f>
        <v>0</v>
      </c>
      <c r="BC103" s="30" t="s">
        <v>3817</v>
      </c>
      <c r="BD103" s="31">
        <v>205.0</v>
      </c>
      <c r="BE103" s="32" t="s">
        <v>3818</v>
      </c>
      <c r="BF103" s="31">
        <v>100.0</v>
      </c>
      <c r="BG103" s="33">
        <f>'Old Balance Sheet'!K103 + 'ACPL Calculations - 1.0'!K103 + 'ACPL Calculations - 2.0'!K103</f>
        <v>0</v>
      </c>
      <c r="BH103" s="30" t="s">
        <v>3817</v>
      </c>
      <c r="BI103" s="31">
        <v>205.0</v>
      </c>
      <c r="BJ103" s="32" t="s">
        <v>3818</v>
      </c>
      <c r="BK103" s="31">
        <v>100.0</v>
      </c>
      <c r="BL103" s="33">
        <f>'Old Balance Sheet'!L103 + 'ACPL Calculations - 1.0'!L103 + 'ACPL Calculations - 2.0'!L103</f>
        <v>0</v>
      </c>
      <c r="BM103" s="33"/>
      <c r="BN103" s="33"/>
      <c r="BO103" s="33"/>
      <c r="BP103" s="33"/>
      <c r="BQ103" s="33"/>
      <c r="BR103" s="33"/>
      <c r="BS103" s="33"/>
      <c r="BT103" s="33"/>
      <c r="BU103" s="33"/>
      <c r="BV103" s="33"/>
      <c r="BW103" s="33"/>
      <c r="BX103" s="33"/>
      <c r="BY103" s="33"/>
      <c r="BZ103" s="33"/>
      <c r="CA103" s="33"/>
      <c r="CB103" s="33"/>
      <c r="CC103" s="33"/>
      <c r="CD103" s="33"/>
      <c r="CE103" s="33"/>
      <c r="CF103" s="33"/>
      <c r="CG103" s="33"/>
      <c r="CH103" s="33"/>
      <c r="CI103" s="33"/>
      <c r="CJ103" s="33"/>
      <c r="CK103" s="33"/>
      <c r="CL103" s="33">
        <f t="shared" si="1"/>
        <v>0</v>
      </c>
      <c r="CM103" s="33">
        <f>'Old Balance Sheet'!R103 + 'ACPL Calculations - 1.0'!S103 + 'ACPL Calculations - 2.0'!S103</f>
        <v>0</v>
      </c>
      <c r="CN103" s="33">
        <f>'Old Balance Sheet'!S103 + 'ACPL Calculations - 1.0'!T103 + 'ACPL Calculations - 2.0'!T103</f>
        <v>0</v>
      </c>
      <c r="CO103" s="33">
        <f t="shared" si="2"/>
        <v>0</v>
      </c>
      <c r="CP103" s="33">
        <f>'Old Balance Sheet'!T103 + 'ACPL Calculations - 1.0'!V103 + 'ACPL Calculations - 2.0'!V103</f>
        <v>0</v>
      </c>
      <c r="CQ103" s="33">
        <f>'Old Balance Sheet'!U103 + 'ACPL Calculations - 1.0'!W103 + 'ACPL Calculations - 2.0'!W103</f>
        <v>0</v>
      </c>
      <c r="CR103" s="33">
        <f>'Old Balance Sheet'!V103 + 'ACPL Calculations - 1.0'!X103 + 'ACPL Calculations - 2.0'!X103</f>
        <v>0</v>
      </c>
      <c r="CS103" s="33">
        <f t="shared" si="3"/>
        <v>0</v>
      </c>
      <c r="CT103" s="35"/>
      <c r="CU103" s="35"/>
      <c r="CV103" s="35"/>
      <c r="CW103" s="36">
        <f>'Old Balance Sheet'!W103 + 'ACPL Calculations - 1.0'!Z103 + 'ACPL Calculations - 2.0'!Z103</f>
        <v>0</v>
      </c>
      <c r="CX103" s="36">
        <f>'Old Balance Sheet'!X103 + 'ACPL Calculations - 1.0'!AA103 + 'ACPL Calculations - 2.0'!AA103</f>
        <v>0</v>
      </c>
      <c r="CY103" s="37">
        <v>0.0</v>
      </c>
      <c r="CZ103" s="38">
        <f>'Old Balance Sheet'!Y103 + 'ACPL Calculations - 1.0'!AB103 + 'ACPL Calculations - 2.0'!AB103</f>
        <v>0</v>
      </c>
      <c r="DA103" s="38">
        <f>'Old Balance Sheet'!Z103 + 'ACPL Calculations - 1.0'!AC103 + 'ACPL Calculations - 2.0'!AC103</f>
        <v>0</v>
      </c>
      <c r="DB103" s="38">
        <f>'Old Balance Sheet'!AA103 + 'ACPL Calculations - 1.0'!AD103 + 'ACPL Calculations - 2.0'!AD103</f>
        <v>0</v>
      </c>
      <c r="DC103" s="38">
        <f>'Old Balance Sheet'!AB103 + 'ACPL Calculations - 1.0'!AE103 + 'ACPL Calculations - 2.0'!AE103</f>
        <v>0</v>
      </c>
      <c r="DD103" s="38">
        <f t="shared" si="4"/>
        <v>0</v>
      </c>
      <c r="DE103" s="33">
        <f t="shared" si="5"/>
        <v>0</v>
      </c>
      <c r="DF103" s="35">
        <v>0.0</v>
      </c>
      <c r="DG103" s="35">
        <v>0.0</v>
      </c>
      <c r="DH103" s="35">
        <v>0.0</v>
      </c>
      <c r="DI103" s="35">
        <v>0.0</v>
      </c>
      <c r="DJ103" s="35">
        <v>0.0</v>
      </c>
      <c r="DK103" s="35">
        <v>0.0</v>
      </c>
      <c r="DL103" s="35">
        <v>0.0</v>
      </c>
      <c r="DM103" s="35">
        <v>0.0</v>
      </c>
      <c r="DN103" s="31">
        <v>0.0</v>
      </c>
      <c r="DO103" s="31">
        <v>0.0</v>
      </c>
      <c r="DP103" s="31">
        <v>0.0</v>
      </c>
      <c r="DQ103" s="31">
        <v>0.0</v>
      </c>
      <c r="DR103" s="31">
        <v>0.0</v>
      </c>
      <c r="DS103" s="31">
        <v>0.0</v>
      </c>
      <c r="DT103" s="31">
        <f>'Old Balance Sheet'!AC103</f>
        <v>0</v>
      </c>
      <c r="DU103" s="31">
        <f>DT103 + SUMIFS('Payments Log'!D:D, 'Payments Log'!B:B, A103, 'Payments Log'!L:L, "Approved", 'Payments Log'!M:M, "Credit") + 'Old Balance Sheet'!AD103 - 'Old Balance Sheet'!AC103</f>
        <v>0</v>
      </c>
      <c r="DV103" s="31">
        <f>SUMIFS('Payments Log'!D:D, 'Payments Log'!B:B, A103, 'Payments Log'!L:L, "Approved", 'Payments Log'!M:M, "Adjustment Credit") - SUMIFS('Payments Log'!D:D, 'Payments Log'!B:B, A103, 'Payments Log'!L:L, "Approved", 'Payments Log'!M:M, "Adjustment Debit") + 'Old Balance Sheet'!AE103</f>
        <v>0</v>
      </c>
      <c r="DW103" s="31">
        <f>IF(MAXIFS('Payments Log'!N:N, 'Payments Log'!L:L, "Approved", 'Payments Log'!M:M, "Credit", 'Payments Log'!B:B, A103) &gt; MAXIFS('Payments Log'!N:N, 'Payments Log'!L:L, "Approved", 'Payments Log'!M:M, "Virtual Credit", 'Payments Log'!B:B, A103), 0, SUMIFS('Payments Log'!D:D, 'Payments Log'!N:N, MAXIFS('Payments Log'!N:N, 'Payments Log'!L:L, "Approved", 'Payments Log'!M:M, "Virtual Credit", 'Payments Log'!B:B, A103)))</f>
        <v>0</v>
      </c>
      <c r="DX103" s="33">
        <f t="shared" si="6"/>
        <v>0</v>
      </c>
      <c r="DY103" s="33">
        <f t="shared" si="7"/>
        <v>0</v>
      </c>
      <c r="DZ103" s="33">
        <f t="shared" si="8"/>
        <v>0</v>
      </c>
      <c r="EA103" s="25" t="str">
        <f>(Sheet1!N103)</f>
        <v>Shri Durga Motors</v>
      </c>
      <c r="EB103" s="25" t="str">
        <f>(Sheet1!O103)</f>
        <v>1LnxzSZR-Hn1GFJEM91CqSDi8yQ1-11OqyVT04QUkFAM</v>
      </c>
      <c r="EC103" s="26" t="str">
        <f>(Sheet1!P103)</f>
        <v>Sub Dealer</v>
      </c>
      <c r="ED103" s="34" t="s">
        <v>13</v>
      </c>
    </row>
    <row r="104">
      <c r="A104" s="25" t="str">
        <f>(Sheet1!A104)</f>
        <v>1Z4ZANLU0BXFj5_cuQpCVhqL-_dbEpnMn3rbGL3bya7g</v>
      </c>
      <c r="B104" s="25" t="str">
        <f>(Sheet1!B104)</f>
        <v>TRIAMBIKE MOTORS</v>
      </c>
      <c r="C104" s="30" t="s">
        <v>13</v>
      </c>
      <c r="D104" s="30" t="s">
        <v>72</v>
      </c>
      <c r="E104" s="30" t="s">
        <v>3817</v>
      </c>
      <c r="F104" s="31">
        <v>205.0</v>
      </c>
      <c r="G104" s="32" t="s">
        <v>3818</v>
      </c>
      <c r="H104" s="31">
        <v>100.0</v>
      </c>
      <c r="I104" s="33">
        <f>'Old Balance Sheet'!A104 + 'ACPL Calculations - 1.0'!A104 + 'ACPL Calculations - 2.0'!A104</f>
        <v>0</v>
      </c>
      <c r="J104" s="30" t="s">
        <v>3817</v>
      </c>
      <c r="K104" s="31">
        <v>205.0</v>
      </c>
      <c r="L104" s="32" t="s">
        <v>3818</v>
      </c>
      <c r="M104" s="31">
        <v>100.0</v>
      </c>
      <c r="N104" s="33">
        <f>'Old Balance Sheet'!B104 + 'ACPL Calculations - 1.0'!B104 + 'ACPL Calculations - 2.0'!B104</f>
        <v>0</v>
      </c>
      <c r="O104" s="30" t="s">
        <v>3817</v>
      </c>
      <c r="P104" s="31">
        <v>290.0</v>
      </c>
      <c r="Q104" s="32" t="s">
        <v>3818</v>
      </c>
      <c r="R104" s="31">
        <v>100.0</v>
      </c>
      <c r="S104" s="33">
        <f>'Old Balance Sheet'!C104 + 'ACPL Calculations - 1.0'!C104 + 'ACPL Calculations - 2.0'!C104</f>
        <v>0</v>
      </c>
      <c r="T104" s="30" t="s">
        <v>3817</v>
      </c>
      <c r="U104" s="31">
        <v>375.0</v>
      </c>
      <c r="V104" s="32" t="s">
        <v>3818</v>
      </c>
      <c r="W104" s="31">
        <v>100.0</v>
      </c>
      <c r="X104" s="33">
        <f>'Old Balance Sheet'!D104 + 'ACPL Calculations - 1.0'!D104 + 'ACPL Calculations - 2.0'!D104</f>
        <v>0</v>
      </c>
      <c r="Y104" s="30" t="s">
        <v>3817</v>
      </c>
      <c r="Z104" s="31">
        <v>460.0</v>
      </c>
      <c r="AA104" s="32" t="s">
        <v>3818</v>
      </c>
      <c r="AB104" s="31">
        <v>100.0</v>
      </c>
      <c r="AC104" s="33">
        <f>'Old Balance Sheet'!E104 + 'ACPL Calculations - 1.0'!E104 + 'ACPL Calculations - 2.0'!E104</f>
        <v>0</v>
      </c>
      <c r="AD104" s="30" t="s">
        <v>3817</v>
      </c>
      <c r="AE104" s="34">
        <v>838.99</v>
      </c>
      <c r="AF104" s="32" t="s">
        <v>3818</v>
      </c>
      <c r="AG104" s="31">
        <v>100.0</v>
      </c>
      <c r="AH104" s="33">
        <f>'Old Balance Sheet'!F104 + 'ACPL Calculations - 1.0'!F104 + 'ACPL Calculations - 2.0'!F104</f>
        <v>0</v>
      </c>
      <c r="AI104" s="30" t="s">
        <v>3817</v>
      </c>
      <c r="AJ104" s="31">
        <v>375.0</v>
      </c>
      <c r="AK104" s="32" t="s">
        <v>3818</v>
      </c>
      <c r="AL104" s="31">
        <v>100.0</v>
      </c>
      <c r="AM104" s="33">
        <f>'Old Balance Sheet'!G104 + 'ACPL Calculations - 1.0'!G104 + 'ACPL Calculations - 2.0'!G104</f>
        <v>0</v>
      </c>
      <c r="AN104" s="30" t="s">
        <v>3817</v>
      </c>
      <c r="AO104" s="31">
        <v>290.0</v>
      </c>
      <c r="AP104" s="32" t="s">
        <v>3818</v>
      </c>
      <c r="AQ104" s="31">
        <v>100.0</v>
      </c>
      <c r="AR104" s="33">
        <f>'Old Balance Sheet'!H104 + 'ACPL Calculations - 1.0'!H104 + 'ACPL Calculations - 2.0'!H104</f>
        <v>0</v>
      </c>
      <c r="AS104" s="30" t="s">
        <v>3819</v>
      </c>
      <c r="AT104" s="31">
        <v>838.99</v>
      </c>
      <c r="AU104" s="32" t="s">
        <v>3818</v>
      </c>
      <c r="AV104" s="31">
        <v>100.0</v>
      </c>
      <c r="AW104" s="33">
        <f>'Old Balance Sheet'!I104 + 'ACPL Calculations - 1.0'!I104 + 'ACPL Calculations - 2.0'!I104</f>
        <v>0</v>
      </c>
      <c r="AX104" s="30" t="s">
        <v>3817</v>
      </c>
      <c r="AY104" s="31">
        <v>290.0</v>
      </c>
      <c r="AZ104" s="32" t="s">
        <v>3818</v>
      </c>
      <c r="BA104" s="31">
        <v>100.0</v>
      </c>
      <c r="BB104" s="33">
        <f>'Old Balance Sheet'!J104 + 'ACPL Calculations - 1.0'!J104 + 'ACPL Calculations - 2.0'!J104</f>
        <v>0</v>
      </c>
      <c r="BC104" s="30" t="s">
        <v>3817</v>
      </c>
      <c r="BD104" s="31">
        <v>205.0</v>
      </c>
      <c r="BE104" s="32" t="s">
        <v>3818</v>
      </c>
      <c r="BF104" s="31">
        <v>100.0</v>
      </c>
      <c r="BG104" s="33">
        <f>'Old Balance Sheet'!K104 + 'ACPL Calculations - 1.0'!K104 + 'ACPL Calculations - 2.0'!K104</f>
        <v>0</v>
      </c>
      <c r="BH104" s="30" t="s">
        <v>3817</v>
      </c>
      <c r="BI104" s="31">
        <v>205.0</v>
      </c>
      <c r="BJ104" s="32" t="s">
        <v>3818</v>
      </c>
      <c r="BK104" s="31">
        <v>100.0</v>
      </c>
      <c r="BL104" s="33">
        <f>'Old Balance Sheet'!L104 + 'ACPL Calculations - 1.0'!L104 + 'ACPL Calculations - 2.0'!L104</f>
        <v>0</v>
      </c>
      <c r="BM104" s="33"/>
      <c r="BN104" s="33"/>
      <c r="BO104" s="33"/>
      <c r="BP104" s="33"/>
      <c r="BQ104" s="33"/>
      <c r="BR104" s="33"/>
      <c r="BS104" s="33"/>
      <c r="BT104" s="33"/>
      <c r="BU104" s="33"/>
      <c r="BV104" s="33"/>
      <c r="BW104" s="33"/>
      <c r="BX104" s="33"/>
      <c r="BY104" s="33"/>
      <c r="BZ104" s="33"/>
      <c r="CA104" s="33"/>
      <c r="CB104" s="33"/>
      <c r="CC104" s="33"/>
      <c r="CD104" s="33"/>
      <c r="CE104" s="33"/>
      <c r="CF104" s="33"/>
      <c r="CG104" s="33"/>
      <c r="CH104" s="33"/>
      <c r="CI104" s="33"/>
      <c r="CJ104" s="33"/>
      <c r="CK104" s="33"/>
      <c r="CL104" s="33">
        <f t="shared" si="1"/>
        <v>0</v>
      </c>
      <c r="CM104" s="33">
        <f>'Old Balance Sheet'!R104 + 'ACPL Calculations - 1.0'!S104 + 'ACPL Calculations - 2.0'!S104</f>
        <v>0</v>
      </c>
      <c r="CN104" s="33">
        <f>'Old Balance Sheet'!S104 + 'ACPL Calculations - 1.0'!T104 + 'ACPL Calculations - 2.0'!T104</f>
        <v>0</v>
      </c>
      <c r="CO104" s="33">
        <f t="shared" si="2"/>
        <v>0</v>
      </c>
      <c r="CP104" s="33">
        <f>'Old Balance Sheet'!T104 + 'ACPL Calculations - 1.0'!V104 + 'ACPL Calculations - 2.0'!V104</f>
        <v>0</v>
      </c>
      <c r="CQ104" s="33">
        <f>'Old Balance Sheet'!U104 + 'ACPL Calculations - 1.0'!W104 + 'ACPL Calculations - 2.0'!W104</f>
        <v>0</v>
      </c>
      <c r="CR104" s="33">
        <f>'Old Balance Sheet'!V104 + 'ACPL Calculations - 1.0'!X104 + 'ACPL Calculations - 2.0'!X104</f>
        <v>0</v>
      </c>
      <c r="CS104" s="33">
        <f t="shared" si="3"/>
        <v>0</v>
      </c>
      <c r="CT104" s="35"/>
      <c r="CU104" s="35"/>
      <c r="CV104" s="35"/>
      <c r="CW104" s="36">
        <f>'Old Balance Sheet'!W104 + 'ACPL Calculations - 1.0'!Z104 + 'ACPL Calculations - 2.0'!Z104</f>
        <v>0</v>
      </c>
      <c r="CX104" s="36">
        <f>'Old Balance Sheet'!X104 + 'ACPL Calculations - 1.0'!AA104 + 'ACPL Calculations - 2.0'!AA104</f>
        <v>0</v>
      </c>
      <c r="CY104" s="37">
        <v>0.0</v>
      </c>
      <c r="CZ104" s="38">
        <f>'Old Balance Sheet'!Y104 + 'ACPL Calculations - 1.0'!AB104 + 'ACPL Calculations - 2.0'!AB104</f>
        <v>0</v>
      </c>
      <c r="DA104" s="38">
        <f>'Old Balance Sheet'!Z104 + 'ACPL Calculations - 1.0'!AC104 + 'ACPL Calculations - 2.0'!AC104</f>
        <v>0</v>
      </c>
      <c r="DB104" s="38">
        <f>'Old Balance Sheet'!AA104 + 'ACPL Calculations - 1.0'!AD104 + 'ACPL Calculations - 2.0'!AD104</f>
        <v>0</v>
      </c>
      <c r="DC104" s="38">
        <f>'Old Balance Sheet'!AB104 + 'ACPL Calculations - 1.0'!AE104 + 'ACPL Calculations - 2.0'!AE104</f>
        <v>0</v>
      </c>
      <c r="DD104" s="38">
        <f t="shared" si="4"/>
        <v>0</v>
      </c>
      <c r="DE104" s="33">
        <f t="shared" si="5"/>
        <v>0</v>
      </c>
      <c r="DF104" s="35">
        <v>0.0</v>
      </c>
      <c r="DG104" s="35">
        <v>0.0</v>
      </c>
      <c r="DH104" s="35">
        <v>0.0</v>
      </c>
      <c r="DI104" s="35">
        <v>0.0</v>
      </c>
      <c r="DJ104" s="35">
        <v>0.0</v>
      </c>
      <c r="DK104" s="35">
        <v>0.0</v>
      </c>
      <c r="DL104" s="35">
        <v>0.0</v>
      </c>
      <c r="DM104" s="35">
        <v>0.0</v>
      </c>
      <c r="DN104" s="31">
        <v>0.0</v>
      </c>
      <c r="DO104" s="31">
        <v>0.0</v>
      </c>
      <c r="DP104" s="31">
        <v>0.0</v>
      </c>
      <c r="DQ104" s="31">
        <v>0.0</v>
      </c>
      <c r="DR104" s="31">
        <v>0.0</v>
      </c>
      <c r="DS104" s="31">
        <v>0.0</v>
      </c>
      <c r="DT104" s="31">
        <f>'Old Balance Sheet'!AC104</f>
        <v>0</v>
      </c>
      <c r="DU104" s="31">
        <f>DT104 + SUMIFS('Payments Log'!D:D, 'Payments Log'!B:B, A104, 'Payments Log'!L:L, "Approved", 'Payments Log'!M:M, "Credit") + 'Old Balance Sheet'!AD104 - 'Old Balance Sheet'!AC104</f>
        <v>0</v>
      </c>
      <c r="DV104" s="31">
        <f>SUMIFS('Payments Log'!D:D, 'Payments Log'!B:B, A104, 'Payments Log'!L:L, "Approved", 'Payments Log'!M:M, "Adjustment Credit") - SUMIFS('Payments Log'!D:D, 'Payments Log'!B:B, A104, 'Payments Log'!L:L, "Approved", 'Payments Log'!M:M, "Adjustment Debit") + 'Old Balance Sheet'!AE104</f>
        <v>0</v>
      </c>
      <c r="DW104" s="31">
        <f>IF(MAXIFS('Payments Log'!N:N, 'Payments Log'!L:L, "Approved", 'Payments Log'!M:M, "Credit", 'Payments Log'!B:B, A104) &gt; MAXIFS('Payments Log'!N:N, 'Payments Log'!L:L, "Approved", 'Payments Log'!M:M, "Virtual Credit", 'Payments Log'!B:B, A104), 0, SUMIFS('Payments Log'!D:D, 'Payments Log'!N:N, MAXIFS('Payments Log'!N:N, 'Payments Log'!L:L, "Approved", 'Payments Log'!M:M, "Virtual Credit", 'Payments Log'!B:B, A104)))</f>
        <v>0</v>
      </c>
      <c r="DX104" s="33">
        <f t="shared" si="6"/>
        <v>0</v>
      </c>
      <c r="DY104" s="33">
        <f t="shared" si="7"/>
        <v>0</v>
      </c>
      <c r="DZ104" s="33">
        <f t="shared" si="8"/>
        <v>0</v>
      </c>
      <c r="EA104" s="25" t="str">
        <f>(Sheet1!N104)</f>
        <v>Shri Durga Motors</v>
      </c>
      <c r="EB104" s="25" t="str">
        <f>(Sheet1!O104)</f>
        <v>1LnxzSZR-Hn1GFJEM91CqSDi8yQ1-11OqyVT04QUkFAM</v>
      </c>
      <c r="EC104" s="26" t="str">
        <f>(Sheet1!P104)</f>
        <v>Sub Dealer</v>
      </c>
      <c r="ED104" s="34" t="s">
        <v>13</v>
      </c>
    </row>
    <row r="105">
      <c r="A105" s="25" t="str">
        <f>(Sheet1!A105)</f>
        <v>1fUQnKuEtcNauUdHQbe2Uqem42il1atlCNxeSWUXTiaA</v>
      </c>
      <c r="B105" s="25" t="str">
        <f>(Sheet1!B105)</f>
        <v>TRIAMBIKE MOTORS</v>
      </c>
      <c r="C105" s="30" t="s">
        <v>13</v>
      </c>
      <c r="D105" s="30" t="s">
        <v>72</v>
      </c>
      <c r="E105" s="30" t="s">
        <v>3817</v>
      </c>
      <c r="F105" s="31">
        <v>205.0</v>
      </c>
      <c r="G105" s="32" t="s">
        <v>3818</v>
      </c>
      <c r="H105" s="31">
        <v>100.0</v>
      </c>
      <c r="I105" s="33">
        <f>'Old Balance Sheet'!A105 + 'ACPL Calculations - 1.0'!A105 + 'ACPL Calculations - 2.0'!A105</f>
        <v>0</v>
      </c>
      <c r="J105" s="30" t="s">
        <v>3817</v>
      </c>
      <c r="K105" s="31">
        <v>205.0</v>
      </c>
      <c r="L105" s="32" t="s">
        <v>3818</v>
      </c>
      <c r="M105" s="31">
        <v>100.0</v>
      </c>
      <c r="N105" s="33">
        <f>'Old Balance Sheet'!B105 + 'ACPL Calculations - 1.0'!B105 + 'ACPL Calculations - 2.0'!B105</f>
        <v>0</v>
      </c>
      <c r="O105" s="30" t="s">
        <v>3817</v>
      </c>
      <c r="P105" s="31">
        <v>290.0</v>
      </c>
      <c r="Q105" s="32" t="s">
        <v>3818</v>
      </c>
      <c r="R105" s="31">
        <v>100.0</v>
      </c>
      <c r="S105" s="33">
        <f>'Old Balance Sheet'!C105 + 'ACPL Calculations - 1.0'!C105 + 'ACPL Calculations - 2.0'!C105</f>
        <v>0</v>
      </c>
      <c r="T105" s="30" t="s">
        <v>3817</v>
      </c>
      <c r="U105" s="31">
        <v>375.0</v>
      </c>
      <c r="V105" s="32" t="s">
        <v>3818</v>
      </c>
      <c r="W105" s="31">
        <v>100.0</v>
      </c>
      <c r="X105" s="33">
        <f>'Old Balance Sheet'!D105 + 'ACPL Calculations - 1.0'!D105 + 'ACPL Calculations - 2.0'!D105</f>
        <v>0</v>
      </c>
      <c r="Y105" s="30" t="s">
        <v>3817</v>
      </c>
      <c r="Z105" s="31">
        <v>460.0</v>
      </c>
      <c r="AA105" s="32" t="s">
        <v>3818</v>
      </c>
      <c r="AB105" s="31">
        <v>100.0</v>
      </c>
      <c r="AC105" s="33">
        <f>'Old Balance Sheet'!E105 + 'ACPL Calculations - 1.0'!E105 + 'ACPL Calculations - 2.0'!E105</f>
        <v>0</v>
      </c>
      <c r="AD105" s="30" t="s">
        <v>3817</v>
      </c>
      <c r="AE105" s="34">
        <v>838.99</v>
      </c>
      <c r="AF105" s="32" t="s">
        <v>3818</v>
      </c>
      <c r="AG105" s="31">
        <v>100.0</v>
      </c>
      <c r="AH105" s="33">
        <f>'Old Balance Sheet'!F105 + 'ACPL Calculations - 1.0'!F105 + 'ACPL Calculations - 2.0'!F105</f>
        <v>0</v>
      </c>
      <c r="AI105" s="30" t="s">
        <v>3817</v>
      </c>
      <c r="AJ105" s="31">
        <v>375.0</v>
      </c>
      <c r="AK105" s="32" t="s">
        <v>3818</v>
      </c>
      <c r="AL105" s="31">
        <v>100.0</v>
      </c>
      <c r="AM105" s="33">
        <f>'Old Balance Sheet'!G105 + 'ACPL Calculations - 1.0'!G105 + 'ACPL Calculations - 2.0'!G105</f>
        <v>0</v>
      </c>
      <c r="AN105" s="30" t="s">
        <v>3817</v>
      </c>
      <c r="AO105" s="31">
        <v>290.0</v>
      </c>
      <c r="AP105" s="32" t="s">
        <v>3818</v>
      </c>
      <c r="AQ105" s="31">
        <v>100.0</v>
      </c>
      <c r="AR105" s="33">
        <f>'Old Balance Sheet'!H105 + 'ACPL Calculations - 1.0'!H105 + 'ACPL Calculations - 2.0'!H105</f>
        <v>0</v>
      </c>
      <c r="AS105" s="30" t="s">
        <v>3819</v>
      </c>
      <c r="AT105" s="31">
        <v>838.99</v>
      </c>
      <c r="AU105" s="32" t="s">
        <v>3818</v>
      </c>
      <c r="AV105" s="31">
        <v>100.0</v>
      </c>
      <c r="AW105" s="33">
        <f>'Old Balance Sheet'!I105 + 'ACPL Calculations - 1.0'!I105 + 'ACPL Calculations - 2.0'!I105</f>
        <v>0</v>
      </c>
      <c r="AX105" s="30" t="s">
        <v>3817</v>
      </c>
      <c r="AY105" s="31">
        <v>290.0</v>
      </c>
      <c r="AZ105" s="32" t="s">
        <v>3818</v>
      </c>
      <c r="BA105" s="31">
        <v>100.0</v>
      </c>
      <c r="BB105" s="33">
        <f>'Old Balance Sheet'!J105 + 'ACPL Calculations - 1.0'!J105 + 'ACPL Calculations - 2.0'!J105</f>
        <v>0</v>
      </c>
      <c r="BC105" s="30" t="s">
        <v>3817</v>
      </c>
      <c r="BD105" s="31">
        <v>205.0</v>
      </c>
      <c r="BE105" s="32" t="s">
        <v>3818</v>
      </c>
      <c r="BF105" s="31">
        <v>100.0</v>
      </c>
      <c r="BG105" s="33">
        <f>'Old Balance Sheet'!K105 + 'ACPL Calculations - 1.0'!K105 + 'ACPL Calculations - 2.0'!K105</f>
        <v>0</v>
      </c>
      <c r="BH105" s="30" t="s">
        <v>3817</v>
      </c>
      <c r="BI105" s="31">
        <v>205.0</v>
      </c>
      <c r="BJ105" s="32" t="s">
        <v>3818</v>
      </c>
      <c r="BK105" s="31">
        <v>100.0</v>
      </c>
      <c r="BL105" s="33">
        <f>'Old Balance Sheet'!L105 + 'ACPL Calculations - 1.0'!L105 + 'ACPL Calculations - 2.0'!L105</f>
        <v>0</v>
      </c>
      <c r="BM105" s="33"/>
      <c r="BN105" s="33"/>
      <c r="BO105" s="33"/>
      <c r="BP105" s="33"/>
      <c r="BQ105" s="33"/>
      <c r="BR105" s="33"/>
      <c r="BS105" s="33"/>
      <c r="BT105" s="33"/>
      <c r="BU105" s="33"/>
      <c r="BV105" s="33"/>
      <c r="BW105" s="33"/>
      <c r="BX105" s="33"/>
      <c r="BY105" s="33"/>
      <c r="BZ105" s="33"/>
      <c r="CA105" s="33"/>
      <c r="CB105" s="33"/>
      <c r="CC105" s="33"/>
      <c r="CD105" s="33"/>
      <c r="CE105" s="33"/>
      <c r="CF105" s="33"/>
      <c r="CG105" s="33"/>
      <c r="CH105" s="33"/>
      <c r="CI105" s="33"/>
      <c r="CJ105" s="33"/>
      <c r="CK105" s="33"/>
      <c r="CL105" s="33">
        <f t="shared" si="1"/>
        <v>0</v>
      </c>
      <c r="CM105" s="33">
        <f>'Old Balance Sheet'!R105 + 'ACPL Calculations - 1.0'!S105 + 'ACPL Calculations - 2.0'!S105</f>
        <v>0</v>
      </c>
      <c r="CN105" s="33">
        <f>'Old Balance Sheet'!S105 + 'ACPL Calculations - 1.0'!T105 + 'ACPL Calculations - 2.0'!T105</f>
        <v>0</v>
      </c>
      <c r="CO105" s="33">
        <f t="shared" si="2"/>
        <v>0</v>
      </c>
      <c r="CP105" s="33">
        <f>'Old Balance Sheet'!T105 + 'ACPL Calculations - 1.0'!V105 + 'ACPL Calculations - 2.0'!V105</f>
        <v>0</v>
      </c>
      <c r="CQ105" s="33">
        <f>'Old Balance Sheet'!U105 + 'ACPL Calculations - 1.0'!W105 + 'ACPL Calculations - 2.0'!W105</f>
        <v>0</v>
      </c>
      <c r="CR105" s="33">
        <f>'Old Balance Sheet'!V105 + 'ACPL Calculations - 1.0'!X105 + 'ACPL Calculations - 2.0'!X105</f>
        <v>0</v>
      </c>
      <c r="CS105" s="33">
        <f t="shared" si="3"/>
        <v>0</v>
      </c>
      <c r="CT105" s="35"/>
      <c r="CU105" s="35"/>
      <c r="CV105" s="35"/>
      <c r="CW105" s="36">
        <f>'Old Balance Sheet'!W105 + 'ACPL Calculations - 1.0'!Z105 + 'ACPL Calculations - 2.0'!Z105</f>
        <v>0</v>
      </c>
      <c r="CX105" s="36">
        <f>'Old Balance Sheet'!X105 + 'ACPL Calculations - 1.0'!AA105 + 'ACPL Calculations - 2.0'!AA105</f>
        <v>0</v>
      </c>
      <c r="CY105" s="37">
        <v>0.0</v>
      </c>
      <c r="CZ105" s="38">
        <f>'Old Balance Sheet'!Y105 + 'ACPL Calculations - 1.0'!AB105 + 'ACPL Calculations - 2.0'!AB105</f>
        <v>0</v>
      </c>
      <c r="DA105" s="38">
        <f>'Old Balance Sheet'!Z105 + 'ACPL Calculations - 1.0'!AC105 + 'ACPL Calculations - 2.0'!AC105</f>
        <v>0</v>
      </c>
      <c r="DB105" s="38">
        <f>'Old Balance Sheet'!AA105 + 'ACPL Calculations - 1.0'!AD105 + 'ACPL Calculations - 2.0'!AD105</f>
        <v>0</v>
      </c>
      <c r="DC105" s="38">
        <f>'Old Balance Sheet'!AB105 + 'ACPL Calculations - 1.0'!AE105 + 'ACPL Calculations - 2.0'!AE105</f>
        <v>0</v>
      </c>
      <c r="DD105" s="38">
        <f t="shared" si="4"/>
        <v>0</v>
      </c>
      <c r="DE105" s="33">
        <f t="shared" si="5"/>
        <v>0</v>
      </c>
      <c r="DF105" s="35">
        <v>0.0</v>
      </c>
      <c r="DG105" s="35">
        <v>0.0</v>
      </c>
      <c r="DH105" s="35">
        <v>0.0</v>
      </c>
      <c r="DI105" s="35">
        <v>0.0</v>
      </c>
      <c r="DJ105" s="35">
        <v>0.0</v>
      </c>
      <c r="DK105" s="35">
        <v>0.0</v>
      </c>
      <c r="DL105" s="35">
        <v>0.0</v>
      </c>
      <c r="DM105" s="35">
        <v>0.0</v>
      </c>
      <c r="DN105" s="31">
        <v>0.0</v>
      </c>
      <c r="DO105" s="31">
        <v>0.0</v>
      </c>
      <c r="DP105" s="31">
        <v>0.0</v>
      </c>
      <c r="DQ105" s="31">
        <v>0.0</v>
      </c>
      <c r="DR105" s="31">
        <v>0.0</v>
      </c>
      <c r="DS105" s="31">
        <v>0.0</v>
      </c>
      <c r="DT105" s="31">
        <f>'Old Balance Sheet'!AC105</f>
        <v>0</v>
      </c>
      <c r="DU105" s="31">
        <f>DT105 + SUMIFS('Payments Log'!D:D, 'Payments Log'!B:B, A105, 'Payments Log'!L:L, "Approved", 'Payments Log'!M:M, "Credit") + 'Old Balance Sheet'!AD105 - 'Old Balance Sheet'!AC105</f>
        <v>0</v>
      </c>
      <c r="DV105" s="31">
        <f>SUMIFS('Payments Log'!D:D, 'Payments Log'!B:B, A105, 'Payments Log'!L:L, "Approved", 'Payments Log'!M:M, "Adjustment Credit") - SUMIFS('Payments Log'!D:D, 'Payments Log'!B:B, A105, 'Payments Log'!L:L, "Approved", 'Payments Log'!M:M, "Adjustment Debit") + 'Old Balance Sheet'!AE105</f>
        <v>0</v>
      </c>
      <c r="DW105" s="31">
        <f>IF(MAXIFS('Payments Log'!N:N, 'Payments Log'!L:L, "Approved", 'Payments Log'!M:M, "Credit", 'Payments Log'!B:B, A105) &gt; MAXIFS('Payments Log'!N:N, 'Payments Log'!L:L, "Approved", 'Payments Log'!M:M, "Virtual Credit", 'Payments Log'!B:B, A105), 0, SUMIFS('Payments Log'!D:D, 'Payments Log'!N:N, MAXIFS('Payments Log'!N:N, 'Payments Log'!L:L, "Approved", 'Payments Log'!M:M, "Virtual Credit", 'Payments Log'!B:B, A105)))</f>
        <v>0</v>
      </c>
      <c r="DX105" s="33">
        <f t="shared" si="6"/>
        <v>0</v>
      </c>
      <c r="DY105" s="33">
        <f t="shared" si="7"/>
        <v>0</v>
      </c>
      <c r="DZ105" s="33">
        <f t="shared" si="8"/>
        <v>0</v>
      </c>
      <c r="EA105" s="25" t="str">
        <f>(Sheet1!N105)</f>
        <v>Shri Durga Motors</v>
      </c>
      <c r="EB105" s="25" t="str">
        <f>(Sheet1!O105)</f>
        <v>1LnxzSZR-Hn1GFJEM91CqSDi8yQ1-11OqyVT04QUkFAM</v>
      </c>
      <c r="EC105" s="26" t="str">
        <f>(Sheet1!P105)</f>
        <v>Sub Dealer</v>
      </c>
      <c r="ED105" s="34" t="s">
        <v>13</v>
      </c>
    </row>
    <row r="106">
      <c r="A106" s="25" t="str">
        <f>(Sheet1!A106)</f>
        <v>11B-8kSH0gJgoCgMmv0w8C_6P4qZyG7h6hdldCVMJqNA</v>
      </c>
      <c r="B106" s="25" t="str">
        <f>(Sheet1!B106)</f>
        <v>AGARSEN AUTOMOBILE</v>
      </c>
      <c r="C106" s="30" t="s">
        <v>13</v>
      </c>
      <c r="D106" s="30" t="s">
        <v>72</v>
      </c>
      <c r="E106" s="30" t="s">
        <v>3817</v>
      </c>
      <c r="F106" s="31">
        <v>205.0</v>
      </c>
      <c r="G106" s="32" t="s">
        <v>3818</v>
      </c>
      <c r="H106" s="31">
        <v>100.0</v>
      </c>
      <c r="I106" s="33">
        <f>'Old Balance Sheet'!A106 + 'ACPL Calculations - 1.0'!A106 + 'ACPL Calculations - 2.0'!A106</f>
        <v>0</v>
      </c>
      <c r="J106" s="30" t="s">
        <v>3817</v>
      </c>
      <c r="K106" s="31">
        <v>205.0</v>
      </c>
      <c r="L106" s="32" t="s">
        <v>3818</v>
      </c>
      <c r="M106" s="31">
        <v>100.0</v>
      </c>
      <c r="N106" s="33">
        <f>'Old Balance Sheet'!B106 + 'ACPL Calculations - 1.0'!B106 + 'ACPL Calculations - 2.0'!B106</f>
        <v>0</v>
      </c>
      <c r="O106" s="30" t="s">
        <v>3817</v>
      </c>
      <c r="P106" s="31">
        <v>290.0</v>
      </c>
      <c r="Q106" s="32" t="s">
        <v>3818</v>
      </c>
      <c r="R106" s="31">
        <v>100.0</v>
      </c>
      <c r="S106" s="33">
        <f>'Old Balance Sheet'!C106 + 'ACPL Calculations - 1.0'!C106 + 'ACPL Calculations - 2.0'!C106</f>
        <v>0</v>
      </c>
      <c r="T106" s="30" t="s">
        <v>3817</v>
      </c>
      <c r="U106" s="31">
        <v>375.0</v>
      </c>
      <c r="V106" s="32" t="s">
        <v>3818</v>
      </c>
      <c r="W106" s="31">
        <v>100.0</v>
      </c>
      <c r="X106" s="33">
        <f>'Old Balance Sheet'!D106 + 'ACPL Calculations - 1.0'!D106 + 'ACPL Calculations - 2.0'!D106</f>
        <v>0</v>
      </c>
      <c r="Y106" s="30" t="s">
        <v>3817</v>
      </c>
      <c r="Z106" s="31">
        <v>460.0</v>
      </c>
      <c r="AA106" s="32" t="s">
        <v>3818</v>
      </c>
      <c r="AB106" s="31">
        <v>100.0</v>
      </c>
      <c r="AC106" s="33">
        <f>'Old Balance Sheet'!E106 + 'ACPL Calculations - 1.0'!E106 + 'ACPL Calculations - 2.0'!E106</f>
        <v>0</v>
      </c>
      <c r="AD106" s="30" t="s">
        <v>3817</v>
      </c>
      <c r="AE106" s="34">
        <v>838.99</v>
      </c>
      <c r="AF106" s="32" t="s">
        <v>3818</v>
      </c>
      <c r="AG106" s="31">
        <v>100.0</v>
      </c>
      <c r="AH106" s="33">
        <f>'Old Balance Sheet'!F106 + 'ACPL Calculations - 1.0'!F106 + 'ACPL Calculations - 2.0'!F106</f>
        <v>0</v>
      </c>
      <c r="AI106" s="30" t="s">
        <v>3817</v>
      </c>
      <c r="AJ106" s="31">
        <v>375.0</v>
      </c>
      <c r="AK106" s="32" t="s">
        <v>3818</v>
      </c>
      <c r="AL106" s="31">
        <v>100.0</v>
      </c>
      <c r="AM106" s="33">
        <f>'Old Balance Sheet'!G106 + 'ACPL Calculations - 1.0'!G106 + 'ACPL Calculations - 2.0'!G106</f>
        <v>0</v>
      </c>
      <c r="AN106" s="30" t="s">
        <v>3817</v>
      </c>
      <c r="AO106" s="31">
        <v>290.0</v>
      </c>
      <c r="AP106" s="32" t="s">
        <v>3818</v>
      </c>
      <c r="AQ106" s="31">
        <v>100.0</v>
      </c>
      <c r="AR106" s="33">
        <f>'Old Balance Sheet'!H106 + 'ACPL Calculations - 1.0'!H106 + 'ACPL Calculations - 2.0'!H106</f>
        <v>0</v>
      </c>
      <c r="AS106" s="30" t="s">
        <v>3819</v>
      </c>
      <c r="AT106" s="31">
        <v>838.99</v>
      </c>
      <c r="AU106" s="32" t="s">
        <v>3818</v>
      </c>
      <c r="AV106" s="31">
        <v>100.0</v>
      </c>
      <c r="AW106" s="33">
        <f>'Old Balance Sheet'!I106 + 'ACPL Calculations - 1.0'!I106 + 'ACPL Calculations - 2.0'!I106</f>
        <v>0</v>
      </c>
      <c r="AX106" s="30" t="s">
        <v>3817</v>
      </c>
      <c r="AY106" s="31">
        <v>290.0</v>
      </c>
      <c r="AZ106" s="32" t="s">
        <v>3818</v>
      </c>
      <c r="BA106" s="31">
        <v>100.0</v>
      </c>
      <c r="BB106" s="33">
        <f>'Old Balance Sheet'!J106 + 'ACPL Calculations - 1.0'!J106 + 'ACPL Calculations - 2.0'!J106</f>
        <v>0</v>
      </c>
      <c r="BC106" s="30" t="s">
        <v>3817</v>
      </c>
      <c r="BD106" s="31">
        <v>205.0</v>
      </c>
      <c r="BE106" s="32" t="s">
        <v>3818</v>
      </c>
      <c r="BF106" s="31">
        <v>100.0</v>
      </c>
      <c r="BG106" s="33">
        <f>'Old Balance Sheet'!K106 + 'ACPL Calculations - 1.0'!K106 + 'ACPL Calculations - 2.0'!K106</f>
        <v>0</v>
      </c>
      <c r="BH106" s="30" t="s">
        <v>3817</v>
      </c>
      <c r="BI106" s="31">
        <v>205.0</v>
      </c>
      <c r="BJ106" s="32" t="s">
        <v>3818</v>
      </c>
      <c r="BK106" s="31">
        <v>100.0</v>
      </c>
      <c r="BL106" s="33">
        <f>'Old Balance Sheet'!L106 + 'ACPL Calculations - 1.0'!L106 + 'ACPL Calculations - 2.0'!L106</f>
        <v>0</v>
      </c>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f t="shared" si="1"/>
        <v>0</v>
      </c>
      <c r="CM106" s="33">
        <f>'Old Balance Sheet'!R106 + 'ACPL Calculations - 1.0'!S106 + 'ACPL Calculations - 2.0'!S106</f>
        <v>0</v>
      </c>
      <c r="CN106" s="33">
        <f>'Old Balance Sheet'!S106 + 'ACPL Calculations - 1.0'!T106 + 'ACPL Calculations - 2.0'!T106</f>
        <v>0</v>
      </c>
      <c r="CO106" s="33">
        <f t="shared" si="2"/>
        <v>0</v>
      </c>
      <c r="CP106" s="33">
        <f>'Old Balance Sheet'!T106 + 'ACPL Calculations - 1.0'!V106 + 'ACPL Calculations - 2.0'!V106</f>
        <v>0</v>
      </c>
      <c r="CQ106" s="33">
        <f>'Old Balance Sheet'!U106 + 'ACPL Calculations - 1.0'!W106 + 'ACPL Calculations - 2.0'!W106</f>
        <v>0</v>
      </c>
      <c r="CR106" s="33">
        <f>'Old Balance Sheet'!V106 + 'ACPL Calculations - 1.0'!X106 + 'ACPL Calculations - 2.0'!X106</f>
        <v>0</v>
      </c>
      <c r="CS106" s="33">
        <f t="shared" si="3"/>
        <v>0</v>
      </c>
      <c r="CT106" s="35"/>
      <c r="CU106" s="35"/>
      <c r="CV106" s="35"/>
      <c r="CW106" s="36">
        <f>'Old Balance Sheet'!W106 + 'ACPL Calculations - 1.0'!Z106 + 'ACPL Calculations - 2.0'!Z106</f>
        <v>0</v>
      </c>
      <c r="CX106" s="36">
        <f>'Old Balance Sheet'!X106 + 'ACPL Calculations - 1.0'!AA106 + 'ACPL Calculations - 2.0'!AA106</f>
        <v>0</v>
      </c>
      <c r="CY106" s="37">
        <v>0.0</v>
      </c>
      <c r="CZ106" s="38">
        <f>'Old Balance Sheet'!Y106 + 'ACPL Calculations - 1.0'!AB106 + 'ACPL Calculations - 2.0'!AB106</f>
        <v>0</v>
      </c>
      <c r="DA106" s="38">
        <f>'Old Balance Sheet'!Z106 + 'ACPL Calculations - 1.0'!AC106 + 'ACPL Calculations - 2.0'!AC106</f>
        <v>0</v>
      </c>
      <c r="DB106" s="38">
        <f>'Old Balance Sheet'!AA106 + 'ACPL Calculations - 1.0'!AD106 + 'ACPL Calculations - 2.0'!AD106</f>
        <v>0</v>
      </c>
      <c r="DC106" s="38">
        <f>'Old Balance Sheet'!AB106 + 'ACPL Calculations - 1.0'!AE106 + 'ACPL Calculations - 2.0'!AE106</f>
        <v>0</v>
      </c>
      <c r="DD106" s="38">
        <f t="shared" si="4"/>
        <v>0</v>
      </c>
      <c r="DE106" s="33">
        <f t="shared" si="5"/>
        <v>0</v>
      </c>
      <c r="DF106" s="35">
        <v>0.0</v>
      </c>
      <c r="DG106" s="35">
        <v>0.0</v>
      </c>
      <c r="DH106" s="35">
        <v>0.0</v>
      </c>
      <c r="DI106" s="35">
        <v>0.0</v>
      </c>
      <c r="DJ106" s="35">
        <v>0.0</v>
      </c>
      <c r="DK106" s="35">
        <v>0.0</v>
      </c>
      <c r="DL106" s="35">
        <v>0.0</v>
      </c>
      <c r="DM106" s="35">
        <v>0.0</v>
      </c>
      <c r="DN106" s="31">
        <v>0.0</v>
      </c>
      <c r="DO106" s="31">
        <v>0.0</v>
      </c>
      <c r="DP106" s="31">
        <v>0.0</v>
      </c>
      <c r="DQ106" s="31">
        <v>0.0</v>
      </c>
      <c r="DR106" s="31">
        <v>0.0</v>
      </c>
      <c r="DS106" s="31">
        <v>0.0</v>
      </c>
      <c r="DT106" s="31">
        <f>'Old Balance Sheet'!AC106</f>
        <v>0</v>
      </c>
      <c r="DU106" s="31">
        <f>DT106 + SUMIFS('Payments Log'!D:D, 'Payments Log'!B:B, A106, 'Payments Log'!L:L, "Approved", 'Payments Log'!M:M, "Credit") + 'Old Balance Sheet'!AD106 - 'Old Balance Sheet'!AC106</f>
        <v>0</v>
      </c>
      <c r="DV106" s="31">
        <f>SUMIFS('Payments Log'!D:D, 'Payments Log'!B:B, A106, 'Payments Log'!L:L, "Approved", 'Payments Log'!M:M, "Adjustment Credit") - SUMIFS('Payments Log'!D:D, 'Payments Log'!B:B, A106, 'Payments Log'!L:L, "Approved", 'Payments Log'!M:M, "Adjustment Debit") + 'Old Balance Sheet'!AE106</f>
        <v>0</v>
      </c>
      <c r="DW106" s="31">
        <f>IF(MAXIFS('Payments Log'!N:N, 'Payments Log'!L:L, "Approved", 'Payments Log'!M:M, "Credit", 'Payments Log'!B:B, A106) &gt; MAXIFS('Payments Log'!N:N, 'Payments Log'!L:L, "Approved", 'Payments Log'!M:M, "Virtual Credit", 'Payments Log'!B:B, A106), 0, SUMIFS('Payments Log'!D:D, 'Payments Log'!N:N, MAXIFS('Payments Log'!N:N, 'Payments Log'!L:L, "Approved", 'Payments Log'!M:M, "Virtual Credit", 'Payments Log'!B:B, A106)))</f>
        <v>0</v>
      </c>
      <c r="DX106" s="33">
        <f t="shared" si="6"/>
        <v>0</v>
      </c>
      <c r="DY106" s="33">
        <f t="shared" si="7"/>
        <v>0</v>
      </c>
      <c r="DZ106" s="33">
        <f t="shared" si="8"/>
        <v>0</v>
      </c>
      <c r="EA106" s="25" t="str">
        <f>(Sheet1!N106)</f>
        <v>Shri Durga Motors</v>
      </c>
      <c r="EB106" s="25" t="str">
        <f>(Sheet1!O106)</f>
        <v>1LnxzSZR-Hn1GFJEM91CqSDi8yQ1-11OqyVT04QUkFAM</v>
      </c>
      <c r="EC106" s="26" t="str">
        <f>(Sheet1!P106)</f>
        <v>Sub Dealer</v>
      </c>
      <c r="ED106" s="34" t="s">
        <v>13</v>
      </c>
    </row>
    <row r="107">
      <c r="A107" s="25" t="str">
        <f>(Sheet1!A107)</f>
        <v>1a7hE99lXmj_QqvEYsr78Q6N1-mxcmCnbqEiJRN1RUOk</v>
      </c>
      <c r="B107" s="25" t="str">
        <f>(Sheet1!B107)</f>
        <v>SOLANKI MOTORS</v>
      </c>
      <c r="C107" s="30" t="s">
        <v>13</v>
      </c>
      <c r="D107" s="30" t="s">
        <v>72</v>
      </c>
      <c r="E107" s="30" t="s">
        <v>3817</v>
      </c>
      <c r="F107" s="31">
        <v>205.0</v>
      </c>
      <c r="G107" s="32" t="s">
        <v>3818</v>
      </c>
      <c r="H107" s="31">
        <v>100.0</v>
      </c>
      <c r="I107" s="33">
        <f>'Old Balance Sheet'!A107 + 'ACPL Calculations - 1.0'!A107 + 'ACPL Calculations - 2.0'!A107</f>
        <v>0</v>
      </c>
      <c r="J107" s="30" t="s">
        <v>3817</v>
      </c>
      <c r="K107" s="31">
        <v>205.0</v>
      </c>
      <c r="L107" s="32" t="s">
        <v>3818</v>
      </c>
      <c r="M107" s="31">
        <v>100.0</v>
      </c>
      <c r="N107" s="33">
        <f>'Old Balance Sheet'!B107 + 'ACPL Calculations - 1.0'!B107 + 'ACPL Calculations - 2.0'!B107</f>
        <v>0</v>
      </c>
      <c r="O107" s="30" t="s">
        <v>3817</v>
      </c>
      <c r="P107" s="31">
        <v>290.0</v>
      </c>
      <c r="Q107" s="32" t="s">
        <v>3818</v>
      </c>
      <c r="R107" s="31">
        <v>100.0</v>
      </c>
      <c r="S107" s="33">
        <f>'Old Balance Sheet'!C107 + 'ACPL Calculations - 1.0'!C107 + 'ACPL Calculations - 2.0'!C107</f>
        <v>0</v>
      </c>
      <c r="T107" s="30" t="s">
        <v>3817</v>
      </c>
      <c r="U107" s="31">
        <v>375.0</v>
      </c>
      <c r="V107" s="32" t="s">
        <v>3818</v>
      </c>
      <c r="W107" s="31">
        <v>100.0</v>
      </c>
      <c r="X107" s="33">
        <f>'Old Balance Sheet'!D107 + 'ACPL Calculations - 1.0'!D107 + 'ACPL Calculations - 2.0'!D107</f>
        <v>0</v>
      </c>
      <c r="Y107" s="30" t="s">
        <v>3817</v>
      </c>
      <c r="Z107" s="31">
        <v>460.0</v>
      </c>
      <c r="AA107" s="32" t="s">
        <v>3818</v>
      </c>
      <c r="AB107" s="31">
        <v>100.0</v>
      </c>
      <c r="AC107" s="33">
        <f>'Old Balance Sheet'!E107 + 'ACPL Calculations - 1.0'!E107 + 'ACPL Calculations - 2.0'!E107</f>
        <v>0</v>
      </c>
      <c r="AD107" s="30" t="s">
        <v>3817</v>
      </c>
      <c r="AE107" s="34">
        <v>838.99</v>
      </c>
      <c r="AF107" s="32" t="s">
        <v>3818</v>
      </c>
      <c r="AG107" s="31">
        <v>100.0</v>
      </c>
      <c r="AH107" s="33">
        <f>'Old Balance Sheet'!F107 + 'ACPL Calculations - 1.0'!F107 + 'ACPL Calculations - 2.0'!F107</f>
        <v>0</v>
      </c>
      <c r="AI107" s="30" t="s">
        <v>3817</v>
      </c>
      <c r="AJ107" s="31">
        <v>375.0</v>
      </c>
      <c r="AK107" s="32" t="s">
        <v>3818</v>
      </c>
      <c r="AL107" s="31">
        <v>100.0</v>
      </c>
      <c r="AM107" s="33">
        <f>'Old Balance Sheet'!G107 + 'ACPL Calculations - 1.0'!G107 + 'ACPL Calculations - 2.0'!G107</f>
        <v>0</v>
      </c>
      <c r="AN107" s="30" t="s">
        <v>3817</v>
      </c>
      <c r="AO107" s="31">
        <v>290.0</v>
      </c>
      <c r="AP107" s="32" t="s">
        <v>3818</v>
      </c>
      <c r="AQ107" s="31">
        <v>100.0</v>
      </c>
      <c r="AR107" s="33">
        <f>'Old Balance Sheet'!H107 + 'ACPL Calculations - 1.0'!H107 + 'ACPL Calculations - 2.0'!H107</f>
        <v>0</v>
      </c>
      <c r="AS107" s="30" t="s">
        <v>3819</v>
      </c>
      <c r="AT107" s="31">
        <v>838.99</v>
      </c>
      <c r="AU107" s="32" t="s">
        <v>3818</v>
      </c>
      <c r="AV107" s="31">
        <v>100.0</v>
      </c>
      <c r="AW107" s="33">
        <f>'Old Balance Sheet'!I107 + 'ACPL Calculations - 1.0'!I107 + 'ACPL Calculations - 2.0'!I107</f>
        <v>0</v>
      </c>
      <c r="AX107" s="30" t="s">
        <v>3817</v>
      </c>
      <c r="AY107" s="31">
        <v>290.0</v>
      </c>
      <c r="AZ107" s="32" t="s">
        <v>3818</v>
      </c>
      <c r="BA107" s="31">
        <v>100.0</v>
      </c>
      <c r="BB107" s="33">
        <f>'Old Balance Sheet'!J107 + 'ACPL Calculations - 1.0'!J107 + 'ACPL Calculations - 2.0'!J107</f>
        <v>0</v>
      </c>
      <c r="BC107" s="30" t="s">
        <v>3817</v>
      </c>
      <c r="BD107" s="31">
        <v>205.0</v>
      </c>
      <c r="BE107" s="32" t="s">
        <v>3818</v>
      </c>
      <c r="BF107" s="31">
        <v>100.0</v>
      </c>
      <c r="BG107" s="33">
        <f>'Old Balance Sheet'!K107 + 'ACPL Calculations - 1.0'!K107 + 'ACPL Calculations - 2.0'!K107</f>
        <v>0</v>
      </c>
      <c r="BH107" s="30" t="s">
        <v>3817</v>
      </c>
      <c r="BI107" s="31">
        <v>205.0</v>
      </c>
      <c r="BJ107" s="32" t="s">
        <v>3818</v>
      </c>
      <c r="BK107" s="31">
        <v>100.0</v>
      </c>
      <c r="BL107" s="33">
        <f>'Old Balance Sheet'!L107 + 'ACPL Calculations - 1.0'!L107 + 'ACPL Calculations - 2.0'!L107</f>
        <v>0</v>
      </c>
      <c r="BM107" s="33"/>
      <c r="BN107" s="33"/>
      <c r="BO107" s="33"/>
      <c r="BP107" s="33"/>
      <c r="BQ107" s="33"/>
      <c r="BR107" s="33"/>
      <c r="BS107" s="33"/>
      <c r="BT107" s="33"/>
      <c r="BU107" s="33"/>
      <c r="BV107" s="33"/>
      <c r="BW107" s="33"/>
      <c r="BX107" s="33"/>
      <c r="BY107" s="33"/>
      <c r="BZ107" s="33"/>
      <c r="CA107" s="33"/>
      <c r="CB107" s="33"/>
      <c r="CC107" s="33"/>
      <c r="CD107" s="33"/>
      <c r="CE107" s="33"/>
      <c r="CF107" s="33"/>
      <c r="CG107" s="33"/>
      <c r="CH107" s="33"/>
      <c r="CI107" s="33"/>
      <c r="CJ107" s="33"/>
      <c r="CK107" s="33"/>
      <c r="CL107" s="33">
        <f t="shared" si="1"/>
        <v>0</v>
      </c>
      <c r="CM107" s="33">
        <f>'Old Balance Sheet'!R107 + 'ACPL Calculations - 1.0'!S107 + 'ACPL Calculations - 2.0'!S107</f>
        <v>0</v>
      </c>
      <c r="CN107" s="33">
        <f>'Old Balance Sheet'!S107 + 'ACPL Calculations - 1.0'!T107 + 'ACPL Calculations - 2.0'!T107</f>
        <v>0</v>
      </c>
      <c r="CO107" s="33">
        <f t="shared" si="2"/>
        <v>0</v>
      </c>
      <c r="CP107" s="33">
        <f>'Old Balance Sheet'!T107 + 'ACPL Calculations - 1.0'!V107 + 'ACPL Calculations - 2.0'!V107</f>
        <v>0</v>
      </c>
      <c r="CQ107" s="33">
        <f>'Old Balance Sheet'!U107 + 'ACPL Calculations - 1.0'!W107 + 'ACPL Calculations - 2.0'!W107</f>
        <v>0</v>
      </c>
      <c r="CR107" s="33">
        <f>'Old Balance Sheet'!V107 + 'ACPL Calculations - 1.0'!X107 + 'ACPL Calculations - 2.0'!X107</f>
        <v>0</v>
      </c>
      <c r="CS107" s="33">
        <f t="shared" si="3"/>
        <v>0</v>
      </c>
      <c r="CT107" s="35"/>
      <c r="CU107" s="35"/>
      <c r="CV107" s="35"/>
      <c r="CW107" s="36">
        <f>'Old Balance Sheet'!W107 + 'ACPL Calculations - 1.0'!Z107 + 'ACPL Calculations - 2.0'!Z107</f>
        <v>0</v>
      </c>
      <c r="CX107" s="36">
        <f>'Old Balance Sheet'!X107 + 'ACPL Calculations - 1.0'!AA107 + 'ACPL Calculations - 2.0'!AA107</f>
        <v>0</v>
      </c>
      <c r="CY107" s="37">
        <v>0.0</v>
      </c>
      <c r="CZ107" s="38">
        <f>'Old Balance Sheet'!Y107 + 'ACPL Calculations - 1.0'!AB107 + 'ACPL Calculations - 2.0'!AB107</f>
        <v>0</v>
      </c>
      <c r="DA107" s="38">
        <f>'Old Balance Sheet'!Z107 + 'ACPL Calculations - 1.0'!AC107 + 'ACPL Calculations - 2.0'!AC107</f>
        <v>0</v>
      </c>
      <c r="DB107" s="38">
        <f>'Old Balance Sheet'!AA107 + 'ACPL Calculations - 1.0'!AD107 + 'ACPL Calculations - 2.0'!AD107</f>
        <v>0</v>
      </c>
      <c r="DC107" s="38">
        <f>'Old Balance Sheet'!AB107 + 'ACPL Calculations - 1.0'!AE107 + 'ACPL Calculations - 2.0'!AE107</f>
        <v>0</v>
      </c>
      <c r="DD107" s="38">
        <f t="shared" si="4"/>
        <v>0</v>
      </c>
      <c r="DE107" s="33">
        <f t="shared" si="5"/>
        <v>0</v>
      </c>
      <c r="DF107" s="35">
        <v>0.0</v>
      </c>
      <c r="DG107" s="35">
        <v>0.0</v>
      </c>
      <c r="DH107" s="35">
        <v>0.0</v>
      </c>
      <c r="DI107" s="35">
        <v>0.0</v>
      </c>
      <c r="DJ107" s="35">
        <v>0.0</v>
      </c>
      <c r="DK107" s="35">
        <v>0.0</v>
      </c>
      <c r="DL107" s="35">
        <v>0.0</v>
      </c>
      <c r="DM107" s="35">
        <v>0.0</v>
      </c>
      <c r="DN107" s="31">
        <v>0.0</v>
      </c>
      <c r="DO107" s="31">
        <v>0.0</v>
      </c>
      <c r="DP107" s="31">
        <v>0.0</v>
      </c>
      <c r="DQ107" s="31">
        <v>0.0</v>
      </c>
      <c r="DR107" s="31">
        <v>0.0</v>
      </c>
      <c r="DS107" s="31">
        <v>0.0</v>
      </c>
      <c r="DT107" s="31">
        <f>'Old Balance Sheet'!AC107</f>
        <v>0</v>
      </c>
      <c r="DU107" s="31">
        <f>DT107 + SUMIFS('Payments Log'!D:D, 'Payments Log'!B:B, A107, 'Payments Log'!L:L, "Approved", 'Payments Log'!M:M, "Credit") + 'Old Balance Sheet'!AD107 - 'Old Balance Sheet'!AC107</f>
        <v>0</v>
      </c>
      <c r="DV107" s="31">
        <f>SUMIFS('Payments Log'!D:D, 'Payments Log'!B:B, A107, 'Payments Log'!L:L, "Approved", 'Payments Log'!M:M, "Adjustment Credit") - SUMIFS('Payments Log'!D:D, 'Payments Log'!B:B, A107, 'Payments Log'!L:L, "Approved", 'Payments Log'!M:M, "Adjustment Debit") + 'Old Balance Sheet'!AE107</f>
        <v>0</v>
      </c>
      <c r="DW107" s="31">
        <f>IF(MAXIFS('Payments Log'!N:N, 'Payments Log'!L:L, "Approved", 'Payments Log'!M:M, "Credit", 'Payments Log'!B:B, A107) &gt; MAXIFS('Payments Log'!N:N, 'Payments Log'!L:L, "Approved", 'Payments Log'!M:M, "Virtual Credit", 'Payments Log'!B:B, A107), 0, SUMIFS('Payments Log'!D:D, 'Payments Log'!N:N, MAXIFS('Payments Log'!N:N, 'Payments Log'!L:L, "Approved", 'Payments Log'!M:M, "Virtual Credit", 'Payments Log'!B:B, A107)))</f>
        <v>0</v>
      </c>
      <c r="DX107" s="33">
        <f t="shared" si="6"/>
        <v>0</v>
      </c>
      <c r="DY107" s="33">
        <f t="shared" si="7"/>
        <v>0</v>
      </c>
      <c r="DZ107" s="33">
        <f t="shared" si="8"/>
        <v>0</v>
      </c>
      <c r="EA107" s="25" t="str">
        <f>(Sheet1!N107)</f>
        <v>Shri Durga Motors</v>
      </c>
      <c r="EB107" s="25" t="str">
        <f>(Sheet1!O107)</f>
        <v>1LnxzSZR-Hn1GFJEM91CqSDi8yQ1-11OqyVT04QUkFAM</v>
      </c>
      <c r="EC107" s="26" t="str">
        <f>(Sheet1!P107)</f>
        <v>Sub Dealer</v>
      </c>
      <c r="ED107" s="34" t="s">
        <v>13</v>
      </c>
    </row>
    <row r="108">
      <c r="A108" s="25" t="str">
        <f>(Sheet1!A108)</f>
        <v>17j5aRjD4kTe3VvlO2qpEFolWacmd9riwj8nppSGLohk</v>
      </c>
      <c r="B108" s="25" t="str">
        <f>(Sheet1!B108)</f>
        <v>Durga Auto - SMP</v>
      </c>
      <c r="C108" s="30" t="s">
        <v>13</v>
      </c>
      <c r="D108" s="30" t="s">
        <v>72</v>
      </c>
      <c r="E108" s="30" t="s">
        <v>3817</v>
      </c>
      <c r="F108" s="31">
        <v>205.0</v>
      </c>
      <c r="G108" s="32" t="s">
        <v>3818</v>
      </c>
      <c r="H108" s="31">
        <v>100.0</v>
      </c>
      <c r="I108" s="33">
        <f>'Old Balance Sheet'!A108 + 'ACPL Calculations - 1.0'!A108 + 'ACPL Calculations - 2.0'!A108</f>
        <v>0</v>
      </c>
      <c r="J108" s="30" t="s">
        <v>3817</v>
      </c>
      <c r="K108" s="31">
        <v>205.0</v>
      </c>
      <c r="L108" s="32" t="s">
        <v>3818</v>
      </c>
      <c r="M108" s="31">
        <v>100.0</v>
      </c>
      <c r="N108" s="33">
        <f>'Old Balance Sheet'!B108 + 'ACPL Calculations - 1.0'!B108 + 'ACPL Calculations - 2.0'!B108</f>
        <v>0</v>
      </c>
      <c r="O108" s="30" t="s">
        <v>3817</v>
      </c>
      <c r="P108" s="31">
        <v>290.0</v>
      </c>
      <c r="Q108" s="32" t="s">
        <v>3818</v>
      </c>
      <c r="R108" s="31">
        <v>100.0</v>
      </c>
      <c r="S108" s="33">
        <f>'Old Balance Sheet'!C108 + 'ACPL Calculations - 1.0'!C108 + 'ACPL Calculations - 2.0'!C108</f>
        <v>0</v>
      </c>
      <c r="T108" s="30" t="s">
        <v>3817</v>
      </c>
      <c r="U108" s="31">
        <v>375.0</v>
      </c>
      <c r="V108" s="32" t="s">
        <v>3818</v>
      </c>
      <c r="W108" s="31">
        <v>100.0</v>
      </c>
      <c r="X108" s="33">
        <f>'Old Balance Sheet'!D108 + 'ACPL Calculations - 1.0'!D108 + 'ACPL Calculations - 2.0'!D108</f>
        <v>0</v>
      </c>
      <c r="Y108" s="30" t="s">
        <v>3817</v>
      </c>
      <c r="Z108" s="31">
        <v>460.0</v>
      </c>
      <c r="AA108" s="32" t="s">
        <v>3818</v>
      </c>
      <c r="AB108" s="31">
        <v>100.0</v>
      </c>
      <c r="AC108" s="33">
        <f>'Old Balance Sheet'!E108 + 'ACPL Calculations - 1.0'!E108 + 'ACPL Calculations - 2.0'!E108</f>
        <v>0</v>
      </c>
      <c r="AD108" s="30" t="s">
        <v>3817</v>
      </c>
      <c r="AE108" s="34">
        <v>838.99</v>
      </c>
      <c r="AF108" s="32" t="s">
        <v>3818</v>
      </c>
      <c r="AG108" s="31">
        <v>100.0</v>
      </c>
      <c r="AH108" s="33">
        <f>'Old Balance Sheet'!F108 + 'ACPL Calculations - 1.0'!F108 + 'ACPL Calculations - 2.0'!F108</f>
        <v>0</v>
      </c>
      <c r="AI108" s="30" t="s">
        <v>3817</v>
      </c>
      <c r="AJ108" s="31">
        <v>375.0</v>
      </c>
      <c r="AK108" s="32" t="s">
        <v>3818</v>
      </c>
      <c r="AL108" s="31">
        <v>100.0</v>
      </c>
      <c r="AM108" s="33">
        <f>'Old Balance Sheet'!G108 + 'ACPL Calculations - 1.0'!G108 + 'ACPL Calculations - 2.0'!G108</f>
        <v>0</v>
      </c>
      <c r="AN108" s="30" t="s">
        <v>3817</v>
      </c>
      <c r="AO108" s="31">
        <v>290.0</v>
      </c>
      <c r="AP108" s="32" t="s">
        <v>3818</v>
      </c>
      <c r="AQ108" s="31">
        <v>100.0</v>
      </c>
      <c r="AR108" s="33">
        <f>'Old Balance Sheet'!H108 + 'ACPL Calculations - 1.0'!H108 + 'ACPL Calculations - 2.0'!H108</f>
        <v>0</v>
      </c>
      <c r="AS108" s="30" t="s">
        <v>3819</v>
      </c>
      <c r="AT108" s="31">
        <v>838.99</v>
      </c>
      <c r="AU108" s="32" t="s">
        <v>3818</v>
      </c>
      <c r="AV108" s="31">
        <v>100.0</v>
      </c>
      <c r="AW108" s="33">
        <f>'Old Balance Sheet'!I108 + 'ACPL Calculations - 1.0'!I108 + 'ACPL Calculations - 2.0'!I108</f>
        <v>0</v>
      </c>
      <c r="AX108" s="30" t="s">
        <v>3817</v>
      </c>
      <c r="AY108" s="31">
        <v>290.0</v>
      </c>
      <c r="AZ108" s="32" t="s">
        <v>3818</v>
      </c>
      <c r="BA108" s="31">
        <v>100.0</v>
      </c>
      <c r="BB108" s="33">
        <f>'Old Balance Sheet'!J108 + 'ACPL Calculations - 1.0'!J108 + 'ACPL Calculations - 2.0'!J108</f>
        <v>0</v>
      </c>
      <c r="BC108" s="30" t="s">
        <v>3817</v>
      </c>
      <c r="BD108" s="31">
        <v>205.0</v>
      </c>
      <c r="BE108" s="32" t="s">
        <v>3818</v>
      </c>
      <c r="BF108" s="31">
        <v>100.0</v>
      </c>
      <c r="BG108" s="33">
        <f>'Old Balance Sheet'!K108 + 'ACPL Calculations - 1.0'!K108 + 'ACPL Calculations - 2.0'!K108</f>
        <v>0</v>
      </c>
      <c r="BH108" s="30" t="s">
        <v>3817</v>
      </c>
      <c r="BI108" s="31">
        <v>205.0</v>
      </c>
      <c r="BJ108" s="32" t="s">
        <v>3818</v>
      </c>
      <c r="BK108" s="31">
        <v>100.0</v>
      </c>
      <c r="BL108" s="33">
        <f>'Old Balance Sheet'!L108 + 'ACPL Calculations - 1.0'!L108 + 'ACPL Calculations - 2.0'!L108</f>
        <v>0</v>
      </c>
      <c r="BM108" s="33"/>
      <c r="BN108" s="33"/>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f t="shared" si="1"/>
        <v>0</v>
      </c>
      <c r="CM108" s="33">
        <f>'Old Balance Sheet'!R108 + 'ACPL Calculations - 1.0'!S108 + 'ACPL Calculations - 2.0'!S108</f>
        <v>0</v>
      </c>
      <c r="CN108" s="33">
        <f>'Old Balance Sheet'!S108 + 'ACPL Calculations - 1.0'!T108 + 'ACPL Calculations - 2.0'!T108</f>
        <v>0</v>
      </c>
      <c r="CO108" s="33">
        <f t="shared" si="2"/>
        <v>0</v>
      </c>
      <c r="CP108" s="33">
        <f>'Old Balance Sheet'!T108 + 'ACPL Calculations - 1.0'!V108 + 'ACPL Calculations - 2.0'!V108</f>
        <v>0</v>
      </c>
      <c r="CQ108" s="33">
        <f>'Old Balance Sheet'!U108 + 'ACPL Calculations - 1.0'!W108 + 'ACPL Calculations - 2.0'!W108</f>
        <v>0</v>
      </c>
      <c r="CR108" s="33">
        <f>'Old Balance Sheet'!V108 + 'ACPL Calculations - 1.0'!X108 + 'ACPL Calculations - 2.0'!X108</f>
        <v>0</v>
      </c>
      <c r="CS108" s="33">
        <f t="shared" si="3"/>
        <v>0</v>
      </c>
      <c r="CT108" s="35"/>
      <c r="CU108" s="35"/>
      <c r="CV108" s="35"/>
      <c r="CW108" s="36">
        <f>'Old Balance Sheet'!W108 + 'ACPL Calculations - 1.0'!Z108 + 'ACPL Calculations - 2.0'!Z108</f>
        <v>0</v>
      </c>
      <c r="CX108" s="36">
        <f>'Old Balance Sheet'!X108 + 'ACPL Calculations - 1.0'!AA108 + 'ACPL Calculations - 2.0'!AA108</f>
        <v>0</v>
      </c>
      <c r="CY108" s="37">
        <v>0.0</v>
      </c>
      <c r="CZ108" s="38">
        <f>'Old Balance Sheet'!Y108 + 'ACPL Calculations - 1.0'!AB108 + 'ACPL Calculations - 2.0'!AB108</f>
        <v>0</v>
      </c>
      <c r="DA108" s="38">
        <f>'Old Balance Sheet'!Z108 + 'ACPL Calculations - 1.0'!AC108 + 'ACPL Calculations - 2.0'!AC108</f>
        <v>0</v>
      </c>
      <c r="DB108" s="38">
        <f>'Old Balance Sheet'!AA108 + 'ACPL Calculations - 1.0'!AD108 + 'ACPL Calculations - 2.0'!AD108</f>
        <v>0</v>
      </c>
      <c r="DC108" s="38">
        <f>'Old Balance Sheet'!AB108 + 'ACPL Calculations - 1.0'!AE108 + 'ACPL Calculations - 2.0'!AE108</f>
        <v>0</v>
      </c>
      <c r="DD108" s="38">
        <f t="shared" si="4"/>
        <v>0</v>
      </c>
      <c r="DE108" s="33">
        <f t="shared" si="5"/>
        <v>0</v>
      </c>
      <c r="DF108" s="35">
        <v>0.0</v>
      </c>
      <c r="DG108" s="35">
        <v>0.0</v>
      </c>
      <c r="DH108" s="35">
        <v>0.0</v>
      </c>
      <c r="DI108" s="35">
        <v>0.0</v>
      </c>
      <c r="DJ108" s="35">
        <v>0.0</v>
      </c>
      <c r="DK108" s="35">
        <v>0.0</v>
      </c>
      <c r="DL108" s="35">
        <v>0.0</v>
      </c>
      <c r="DM108" s="35">
        <v>0.0</v>
      </c>
      <c r="DN108" s="31">
        <v>0.0</v>
      </c>
      <c r="DO108" s="31">
        <v>0.0</v>
      </c>
      <c r="DP108" s="31">
        <v>0.0</v>
      </c>
      <c r="DQ108" s="31">
        <v>0.0</v>
      </c>
      <c r="DR108" s="31">
        <v>0.0</v>
      </c>
      <c r="DS108" s="31">
        <v>0.0</v>
      </c>
      <c r="DT108" s="31">
        <f>'Old Balance Sheet'!AC108</f>
        <v>0</v>
      </c>
      <c r="DU108" s="31">
        <f>DT108 + SUMIFS('Payments Log'!D:D, 'Payments Log'!B:B, A108, 'Payments Log'!L:L, "Approved", 'Payments Log'!M:M, "Credit") + 'Old Balance Sheet'!AD108 - 'Old Balance Sheet'!AC108</f>
        <v>0</v>
      </c>
      <c r="DV108" s="31">
        <f>SUMIFS('Payments Log'!D:D, 'Payments Log'!B:B, A108, 'Payments Log'!L:L, "Approved", 'Payments Log'!M:M, "Adjustment Credit") - SUMIFS('Payments Log'!D:D, 'Payments Log'!B:B, A108, 'Payments Log'!L:L, "Approved", 'Payments Log'!M:M, "Adjustment Debit") + 'Old Balance Sheet'!AE108</f>
        <v>0</v>
      </c>
      <c r="DW108" s="31">
        <f>IF(MAXIFS('Payments Log'!N:N, 'Payments Log'!L:L, "Approved", 'Payments Log'!M:M, "Credit", 'Payments Log'!B:B, A108) &gt; MAXIFS('Payments Log'!N:N, 'Payments Log'!L:L, "Approved", 'Payments Log'!M:M, "Virtual Credit", 'Payments Log'!B:B, A108), 0, SUMIFS('Payments Log'!D:D, 'Payments Log'!N:N, MAXIFS('Payments Log'!N:N, 'Payments Log'!L:L, "Approved", 'Payments Log'!M:M, "Virtual Credit", 'Payments Log'!B:B, A108)))</f>
        <v>0</v>
      </c>
      <c r="DX108" s="33">
        <f t="shared" si="6"/>
        <v>0</v>
      </c>
      <c r="DY108" s="33">
        <f t="shared" si="7"/>
        <v>0</v>
      </c>
      <c r="DZ108" s="33">
        <f t="shared" si="8"/>
        <v>0</v>
      </c>
      <c r="EA108" s="25" t="str">
        <f>(Sheet1!N108)</f>
        <v>Sahib Motors - Panipat</v>
      </c>
      <c r="EB108" s="25" t="str">
        <f>(Sheet1!O108)</f>
        <v>1K6oaFfzdWrW0ygNwDwWBmlm6lWJxWCUD9ydsyisVA7A</v>
      </c>
      <c r="EC108" s="26" t="str">
        <f>(Sheet1!P108)</f>
        <v>Sub Dealer</v>
      </c>
      <c r="ED108" s="34" t="s">
        <v>13</v>
      </c>
    </row>
    <row r="109">
      <c r="A109" s="25" t="str">
        <f>(Sheet1!A109)</f>
        <v>1t3gopzk1OTS3KoTW1PbFTMhVF5pTGTgKOkW5Lr73qQs</v>
      </c>
      <c r="B109" s="25" t="str">
        <f>(Sheet1!B109)</f>
        <v>Dev Vaahan- Hero Palwal</v>
      </c>
      <c r="C109" s="30" t="s">
        <v>13</v>
      </c>
      <c r="D109" s="30" t="s">
        <v>72</v>
      </c>
      <c r="E109" s="30" t="s">
        <v>3817</v>
      </c>
      <c r="F109" s="31">
        <v>205.0</v>
      </c>
      <c r="G109" s="32" t="s">
        <v>3818</v>
      </c>
      <c r="H109" s="31">
        <v>100.0</v>
      </c>
      <c r="I109" s="33">
        <f>'Old Balance Sheet'!A109 + 'ACPL Calculations - 1.0'!A109 + 'ACPL Calculations - 2.0'!A109</f>
        <v>0</v>
      </c>
      <c r="J109" s="30" t="s">
        <v>3817</v>
      </c>
      <c r="K109" s="31">
        <v>205.0</v>
      </c>
      <c r="L109" s="32" t="s">
        <v>3818</v>
      </c>
      <c r="M109" s="31">
        <v>100.0</v>
      </c>
      <c r="N109" s="33">
        <f>'Old Balance Sheet'!B109 + 'ACPL Calculations - 1.0'!B109 + 'ACPL Calculations - 2.0'!B109</f>
        <v>0</v>
      </c>
      <c r="O109" s="30" t="s">
        <v>3817</v>
      </c>
      <c r="P109" s="31">
        <v>290.0</v>
      </c>
      <c r="Q109" s="32" t="s">
        <v>3818</v>
      </c>
      <c r="R109" s="31">
        <v>100.0</v>
      </c>
      <c r="S109" s="33">
        <f>'Old Balance Sheet'!C109 + 'ACPL Calculations - 1.0'!C109 + 'ACPL Calculations - 2.0'!C109</f>
        <v>0</v>
      </c>
      <c r="T109" s="30" t="s">
        <v>3817</v>
      </c>
      <c r="U109" s="31">
        <v>375.0</v>
      </c>
      <c r="V109" s="32" t="s">
        <v>3818</v>
      </c>
      <c r="W109" s="31">
        <v>100.0</v>
      </c>
      <c r="X109" s="33">
        <f>'Old Balance Sheet'!D109 + 'ACPL Calculations - 1.0'!D109 + 'ACPL Calculations - 2.0'!D109</f>
        <v>0</v>
      </c>
      <c r="Y109" s="30" t="s">
        <v>3817</v>
      </c>
      <c r="Z109" s="31">
        <v>460.0</v>
      </c>
      <c r="AA109" s="32" t="s">
        <v>3818</v>
      </c>
      <c r="AB109" s="31">
        <v>100.0</v>
      </c>
      <c r="AC109" s="33">
        <f>'Old Balance Sheet'!E109 + 'ACPL Calculations - 1.0'!E109 + 'ACPL Calculations - 2.0'!E109</f>
        <v>0</v>
      </c>
      <c r="AD109" s="30" t="s">
        <v>3817</v>
      </c>
      <c r="AE109" s="34">
        <v>838.99</v>
      </c>
      <c r="AF109" s="32" t="s">
        <v>3818</v>
      </c>
      <c r="AG109" s="31">
        <v>100.0</v>
      </c>
      <c r="AH109" s="33">
        <f>'Old Balance Sheet'!F109 + 'ACPL Calculations - 1.0'!F109 + 'ACPL Calculations - 2.0'!F109</f>
        <v>0</v>
      </c>
      <c r="AI109" s="30" t="s">
        <v>3817</v>
      </c>
      <c r="AJ109" s="31">
        <v>375.0</v>
      </c>
      <c r="AK109" s="32" t="s">
        <v>3818</v>
      </c>
      <c r="AL109" s="31">
        <v>100.0</v>
      </c>
      <c r="AM109" s="33">
        <f>'Old Balance Sheet'!G109 + 'ACPL Calculations - 1.0'!G109 + 'ACPL Calculations - 2.0'!G109</f>
        <v>0</v>
      </c>
      <c r="AN109" s="30" t="s">
        <v>3817</v>
      </c>
      <c r="AO109" s="31">
        <v>290.0</v>
      </c>
      <c r="AP109" s="32" t="s">
        <v>3818</v>
      </c>
      <c r="AQ109" s="31">
        <v>100.0</v>
      </c>
      <c r="AR109" s="33">
        <f>'Old Balance Sheet'!H109 + 'ACPL Calculations - 1.0'!H109 + 'ACPL Calculations - 2.0'!H109</f>
        <v>0</v>
      </c>
      <c r="AS109" s="30" t="s">
        <v>3819</v>
      </c>
      <c r="AT109" s="31">
        <v>838.99</v>
      </c>
      <c r="AU109" s="32" t="s">
        <v>3818</v>
      </c>
      <c r="AV109" s="31">
        <v>100.0</v>
      </c>
      <c r="AW109" s="33">
        <f>'Old Balance Sheet'!I109 + 'ACPL Calculations - 1.0'!I109 + 'ACPL Calculations - 2.0'!I109</f>
        <v>0</v>
      </c>
      <c r="AX109" s="30" t="s">
        <v>3817</v>
      </c>
      <c r="AY109" s="31">
        <v>290.0</v>
      </c>
      <c r="AZ109" s="32" t="s">
        <v>3818</v>
      </c>
      <c r="BA109" s="31">
        <v>100.0</v>
      </c>
      <c r="BB109" s="33">
        <f>'Old Balance Sheet'!J109 + 'ACPL Calculations - 1.0'!J109 + 'ACPL Calculations - 2.0'!J109</f>
        <v>0</v>
      </c>
      <c r="BC109" s="30" t="s">
        <v>3817</v>
      </c>
      <c r="BD109" s="31">
        <v>205.0</v>
      </c>
      <c r="BE109" s="32" t="s">
        <v>3818</v>
      </c>
      <c r="BF109" s="31">
        <v>100.0</v>
      </c>
      <c r="BG109" s="33">
        <f>'Old Balance Sheet'!K109 + 'ACPL Calculations - 1.0'!K109 + 'ACPL Calculations - 2.0'!K109</f>
        <v>0</v>
      </c>
      <c r="BH109" s="30" t="s">
        <v>3817</v>
      </c>
      <c r="BI109" s="31">
        <v>205.0</v>
      </c>
      <c r="BJ109" s="32" t="s">
        <v>3818</v>
      </c>
      <c r="BK109" s="31">
        <v>100.0</v>
      </c>
      <c r="BL109" s="33">
        <f>'Old Balance Sheet'!L109 + 'ACPL Calculations - 1.0'!L109 + 'ACPL Calculations - 2.0'!L109</f>
        <v>0</v>
      </c>
      <c r="BM109" s="33"/>
      <c r="BN109" s="33"/>
      <c r="BO109" s="33"/>
      <c r="BP109" s="33"/>
      <c r="BQ109" s="33"/>
      <c r="BR109" s="33"/>
      <c r="BS109" s="33"/>
      <c r="BT109" s="33"/>
      <c r="BU109" s="33"/>
      <c r="BV109" s="33"/>
      <c r="BW109" s="33"/>
      <c r="BX109" s="33"/>
      <c r="BY109" s="33"/>
      <c r="BZ109" s="33"/>
      <c r="CA109" s="33"/>
      <c r="CB109" s="33"/>
      <c r="CC109" s="33"/>
      <c r="CD109" s="33"/>
      <c r="CE109" s="33"/>
      <c r="CF109" s="33"/>
      <c r="CG109" s="33"/>
      <c r="CH109" s="33"/>
      <c r="CI109" s="33"/>
      <c r="CJ109" s="33"/>
      <c r="CK109" s="33"/>
      <c r="CL109" s="33">
        <f t="shared" si="1"/>
        <v>0</v>
      </c>
      <c r="CM109" s="33">
        <f>'Old Balance Sheet'!R109 + 'ACPL Calculations - 1.0'!S109 + 'ACPL Calculations - 2.0'!S109</f>
        <v>0</v>
      </c>
      <c r="CN109" s="33">
        <f>'Old Balance Sheet'!S109 + 'ACPL Calculations - 1.0'!T109 + 'ACPL Calculations - 2.0'!T109</f>
        <v>0</v>
      </c>
      <c r="CO109" s="33">
        <f t="shared" si="2"/>
        <v>0</v>
      </c>
      <c r="CP109" s="33">
        <f>'Old Balance Sheet'!T109 + 'ACPL Calculations - 1.0'!V109 + 'ACPL Calculations - 2.0'!V109</f>
        <v>0</v>
      </c>
      <c r="CQ109" s="33">
        <f>'Old Balance Sheet'!U109 + 'ACPL Calculations - 1.0'!W109 + 'ACPL Calculations - 2.0'!W109</f>
        <v>0</v>
      </c>
      <c r="CR109" s="33">
        <f>'Old Balance Sheet'!V109 + 'ACPL Calculations - 1.0'!X109 + 'ACPL Calculations - 2.0'!X109</f>
        <v>0</v>
      </c>
      <c r="CS109" s="33">
        <f t="shared" si="3"/>
        <v>0</v>
      </c>
      <c r="CT109" s="35"/>
      <c r="CU109" s="35"/>
      <c r="CV109" s="35"/>
      <c r="CW109" s="36">
        <f>'Old Balance Sheet'!W109 + 'ACPL Calculations - 1.0'!Z109 + 'ACPL Calculations - 2.0'!Z109</f>
        <v>0</v>
      </c>
      <c r="CX109" s="36">
        <f>'Old Balance Sheet'!X109 + 'ACPL Calculations - 1.0'!AA109 + 'ACPL Calculations - 2.0'!AA109</f>
        <v>0</v>
      </c>
      <c r="CY109" s="37">
        <v>0.0</v>
      </c>
      <c r="CZ109" s="38">
        <f>'Old Balance Sheet'!Y109 + 'ACPL Calculations - 1.0'!AB109 + 'ACPL Calculations - 2.0'!AB109</f>
        <v>0</v>
      </c>
      <c r="DA109" s="38">
        <f>'Old Balance Sheet'!Z109 + 'ACPL Calculations - 1.0'!AC109 + 'ACPL Calculations - 2.0'!AC109</f>
        <v>0</v>
      </c>
      <c r="DB109" s="38">
        <f>'Old Balance Sheet'!AA109 + 'ACPL Calculations - 1.0'!AD109 + 'ACPL Calculations - 2.0'!AD109</f>
        <v>0</v>
      </c>
      <c r="DC109" s="38">
        <f>'Old Balance Sheet'!AB109 + 'ACPL Calculations - 1.0'!AE109 + 'ACPL Calculations - 2.0'!AE109</f>
        <v>0</v>
      </c>
      <c r="DD109" s="38">
        <f t="shared" si="4"/>
        <v>0</v>
      </c>
      <c r="DE109" s="33">
        <f t="shared" si="5"/>
        <v>0</v>
      </c>
      <c r="DF109" s="35">
        <v>0.0</v>
      </c>
      <c r="DG109" s="35">
        <v>0.0</v>
      </c>
      <c r="DH109" s="35">
        <v>0.0</v>
      </c>
      <c r="DI109" s="35">
        <v>0.0</v>
      </c>
      <c r="DJ109" s="35">
        <v>0.0</v>
      </c>
      <c r="DK109" s="35">
        <v>0.0</v>
      </c>
      <c r="DL109" s="35">
        <v>0.0</v>
      </c>
      <c r="DM109" s="35">
        <v>0.0</v>
      </c>
      <c r="DN109" s="31">
        <v>0.0</v>
      </c>
      <c r="DO109" s="31">
        <v>0.0</v>
      </c>
      <c r="DP109" s="31">
        <v>0.0</v>
      </c>
      <c r="DQ109" s="31">
        <v>0.0</v>
      </c>
      <c r="DR109" s="31">
        <v>0.0</v>
      </c>
      <c r="DS109" s="31">
        <v>0.0</v>
      </c>
      <c r="DT109" s="31">
        <f>'Old Balance Sheet'!AC109</f>
        <v>0</v>
      </c>
      <c r="DU109" s="31">
        <f>DT109 + SUMIFS('Payments Log'!D:D, 'Payments Log'!B:B, A109, 'Payments Log'!L:L, "Approved", 'Payments Log'!M:M, "Credit") + 'Old Balance Sheet'!AD109 - 'Old Balance Sheet'!AC109</f>
        <v>0</v>
      </c>
      <c r="DV109" s="31">
        <f>SUMIFS('Payments Log'!D:D, 'Payments Log'!B:B, A109, 'Payments Log'!L:L, "Approved", 'Payments Log'!M:M, "Adjustment Credit") - SUMIFS('Payments Log'!D:D, 'Payments Log'!B:B, A109, 'Payments Log'!L:L, "Approved", 'Payments Log'!M:M, "Adjustment Debit") + 'Old Balance Sheet'!AE109</f>
        <v>0</v>
      </c>
      <c r="DW109" s="31">
        <f>IF(MAXIFS('Payments Log'!N:N, 'Payments Log'!L:L, "Approved", 'Payments Log'!M:M, "Credit", 'Payments Log'!B:B, A109) &gt; MAXIFS('Payments Log'!N:N, 'Payments Log'!L:L, "Approved", 'Payments Log'!M:M, "Virtual Credit", 'Payments Log'!B:B, A109), 0, SUMIFS('Payments Log'!D:D, 'Payments Log'!N:N, MAXIFS('Payments Log'!N:N, 'Payments Log'!L:L, "Approved", 'Payments Log'!M:M, "Virtual Credit", 'Payments Log'!B:B, A109)))</f>
        <v>0</v>
      </c>
      <c r="DX109" s="33">
        <f t="shared" si="6"/>
        <v>0</v>
      </c>
      <c r="DY109" s="33">
        <f t="shared" si="7"/>
        <v>0</v>
      </c>
      <c r="DZ109" s="33">
        <f t="shared" si="8"/>
        <v>0</v>
      </c>
      <c r="EA109" s="25" t="str">
        <f>(Sheet1!N109)</f>
        <v>Dev Vaahan- Hero Palwal</v>
      </c>
      <c r="EB109" s="25" t="str">
        <f>(Sheet1!O109)</f>
        <v>1t3gopzk1OTS3KoTW1PbFTMhVF5pTGTgKOkW5Lr73qQs</v>
      </c>
      <c r="EC109" s="26" t="str">
        <f>(Sheet1!P109)</f>
        <v>Dealer</v>
      </c>
      <c r="ED109" s="34" t="s">
        <v>13</v>
      </c>
    </row>
    <row r="110">
      <c r="A110" s="25" t="str">
        <f>(Sheet1!A110)</f>
        <v>1MantqYN_L9u1phKAd2tRf1JbAshYFDLMdeUkvTdUQ8E</v>
      </c>
      <c r="B110" s="25" t="str">
        <f>(Sheet1!B110)</f>
        <v>BD MOTORS TVS - GURGAON</v>
      </c>
      <c r="C110" s="30" t="s">
        <v>13</v>
      </c>
      <c r="D110" s="30" t="s">
        <v>72</v>
      </c>
      <c r="E110" s="30" t="s">
        <v>3817</v>
      </c>
      <c r="F110" s="31">
        <v>205.0</v>
      </c>
      <c r="G110" s="32" t="s">
        <v>3818</v>
      </c>
      <c r="H110" s="31">
        <v>100.0</v>
      </c>
      <c r="I110" s="33">
        <f>'Old Balance Sheet'!A110 + 'ACPL Calculations - 1.0'!A110 + 'ACPL Calculations - 2.0'!A110</f>
        <v>0</v>
      </c>
      <c r="J110" s="30" t="s">
        <v>3817</v>
      </c>
      <c r="K110" s="31">
        <v>205.0</v>
      </c>
      <c r="L110" s="32" t="s">
        <v>3818</v>
      </c>
      <c r="M110" s="31">
        <v>100.0</v>
      </c>
      <c r="N110" s="33">
        <f>'Old Balance Sheet'!B110 + 'ACPL Calculations - 1.0'!B110 + 'ACPL Calculations - 2.0'!B110</f>
        <v>0</v>
      </c>
      <c r="O110" s="30" t="s">
        <v>3817</v>
      </c>
      <c r="P110" s="31">
        <v>290.0</v>
      </c>
      <c r="Q110" s="32" t="s">
        <v>3818</v>
      </c>
      <c r="R110" s="31">
        <v>100.0</v>
      </c>
      <c r="S110" s="33">
        <f>'Old Balance Sheet'!C110 + 'ACPL Calculations - 1.0'!C110 + 'ACPL Calculations - 2.0'!C110</f>
        <v>0</v>
      </c>
      <c r="T110" s="30" t="s">
        <v>3817</v>
      </c>
      <c r="U110" s="31">
        <v>375.0</v>
      </c>
      <c r="V110" s="32" t="s">
        <v>3818</v>
      </c>
      <c r="W110" s="31">
        <v>100.0</v>
      </c>
      <c r="X110" s="33">
        <f>'Old Balance Sheet'!D110 + 'ACPL Calculations - 1.0'!D110 + 'ACPL Calculations - 2.0'!D110</f>
        <v>0</v>
      </c>
      <c r="Y110" s="30" t="s">
        <v>3817</v>
      </c>
      <c r="Z110" s="31">
        <v>460.0</v>
      </c>
      <c r="AA110" s="32" t="s">
        <v>3818</v>
      </c>
      <c r="AB110" s="31">
        <v>100.0</v>
      </c>
      <c r="AC110" s="33">
        <f>'Old Balance Sheet'!E110 + 'ACPL Calculations - 1.0'!E110 + 'ACPL Calculations - 2.0'!E110</f>
        <v>0</v>
      </c>
      <c r="AD110" s="30" t="s">
        <v>3817</v>
      </c>
      <c r="AE110" s="34">
        <v>838.99</v>
      </c>
      <c r="AF110" s="32" t="s">
        <v>3818</v>
      </c>
      <c r="AG110" s="31">
        <v>100.0</v>
      </c>
      <c r="AH110" s="33">
        <f>'Old Balance Sheet'!F110 + 'ACPL Calculations - 1.0'!F110 + 'ACPL Calculations - 2.0'!F110</f>
        <v>0</v>
      </c>
      <c r="AI110" s="30" t="s">
        <v>3817</v>
      </c>
      <c r="AJ110" s="31">
        <v>375.0</v>
      </c>
      <c r="AK110" s="32" t="s">
        <v>3818</v>
      </c>
      <c r="AL110" s="31">
        <v>100.0</v>
      </c>
      <c r="AM110" s="33">
        <f>'Old Balance Sheet'!G110 + 'ACPL Calculations - 1.0'!G110 + 'ACPL Calculations - 2.0'!G110</f>
        <v>0</v>
      </c>
      <c r="AN110" s="30" t="s">
        <v>3817</v>
      </c>
      <c r="AO110" s="31">
        <v>290.0</v>
      </c>
      <c r="AP110" s="32" t="s">
        <v>3818</v>
      </c>
      <c r="AQ110" s="31">
        <v>100.0</v>
      </c>
      <c r="AR110" s="33">
        <f>'Old Balance Sheet'!H110 + 'ACPL Calculations - 1.0'!H110 + 'ACPL Calculations - 2.0'!H110</f>
        <v>0</v>
      </c>
      <c r="AS110" s="30" t="s">
        <v>3819</v>
      </c>
      <c r="AT110" s="31">
        <v>838.99</v>
      </c>
      <c r="AU110" s="32" t="s">
        <v>3818</v>
      </c>
      <c r="AV110" s="31">
        <v>100.0</v>
      </c>
      <c r="AW110" s="33">
        <f>'Old Balance Sheet'!I110 + 'ACPL Calculations - 1.0'!I110 + 'ACPL Calculations - 2.0'!I110</f>
        <v>0</v>
      </c>
      <c r="AX110" s="30" t="s">
        <v>3817</v>
      </c>
      <c r="AY110" s="31">
        <v>290.0</v>
      </c>
      <c r="AZ110" s="32" t="s">
        <v>3818</v>
      </c>
      <c r="BA110" s="31">
        <v>100.0</v>
      </c>
      <c r="BB110" s="33">
        <f>'Old Balance Sheet'!J110 + 'ACPL Calculations - 1.0'!J110 + 'ACPL Calculations - 2.0'!J110</f>
        <v>0</v>
      </c>
      <c r="BC110" s="30" t="s">
        <v>3817</v>
      </c>
      <c r="BD110" s="31">
        <v>205.0</v>
      </c>
      <c r="BE110" s="32" t="s">
        <v>3818</v>
      </c>
      <c r="BF110" s="31">
        <v>100.0</v>
      </c>
      <c r="BG110" s="33">
        <f>'Old Balance Sheet'!K110 + 'ACPL Calculations - 1.0'!K110 + 'ACPL Calculations - 2.0'!K110</f>
        <v>0</v>
      </c>
      <c r="BH110" s="30" t="s">
        <v>3817</v>
      </c>
      <c r="BI110" s="31">
        <v>205.0</v>
      </c>
      <c r="BJ110" s="32" t="s">
        <v>3818</v>
      </c>
      <c r="BK110" s="31">
        <v>100.0</v>
      </c>
      <c r="BL110" s="33">
        <f>'Old Balance Sheet'!L110 + 'ACPL Calculations - 1.0'!L110 + 'ACPL Calculations - 2.0'!L110</f>
        <v>0</v>
      </c>
      <c r="BM110" s="33"/>
      <c r="BN110" s="33"/>
      <c r="BO110" s="33"/>
      <c r="BP110" s="33"/>
      <c r="BQ110" s="33"/>
      <c r="BR110" s="33"/>
      <c r="BS110" s="33"/>
      <c r="BT110" s="33"/>
      <c r="BU110" s="33"/>
      <c r="BV110" s="33"/>
      <c r="BW110" s="33"/>
      <c r="BX110" s="33"/>
      <c r="BY110" s="33"/>
      <c r="BZ110" s="33"/>
      <c r="CA110" s="33"/>
      <c r="CB110" s="33"/>
      <c r="CC110" s="33"/>
      <c r="CD110" s="33"/>
      <c r="CE110" s="33"/>
      <c r="CF110" s="33"/>
      <c r="CG110" s="33"/>
      <c r="CH110" s="33"/>
      <c r="CI110" s="33"/>
      <c r="CJ110" s="33"/>
      <c r="CK110" s="33"/>
      <c r="CL110" s="33">
        <f t="shared" si="1"/>
        <v>0</v>
      </c>
      <c r="CM110" s="33">
        <f>'Old Balance Sheet'!R110 + 'ACPL Calculations - 1.0'!S110 + 'ACPL Calculations - 2.0'!S110</f>
        <v>0</v>
      </c>
      <c r="CN110" s="33">
        <f>'Old Balance Sheet'!S110 + 'ACPL Calculations - 1.0'!T110 + 'ACPL Calculations - 2.0'!T110</f>
        <v>0</v>
      </c>
      <c r="CO110" s="33">
        <f t="shared" si="2"/>
        <v>0</v>
      </c>
      <c r="CP110" s="33">
        <f>'Old Balance Sheet'!T110 + 'ACPL Calculations - 1.0'!V110 + 'ACPL Calculations - 2.0'!V110</f>
        <v>0</v>
      </c>
      <c r="CQ110" s="33">
        <f>'Old Balance Sheet'!U110 + 'ACPL Calculations - 1.0'!W110 + 'ACPL Calculations - 2.0'!W110</f>
        <v>0</v>
      </c>
      <c r="CR110" s="33">
        <f>'Old Balance Sheet'!V110 + 'ACPL Calculations - 1.0'!X110 + 'ACPL Calculations - 2.0'!X110</f>
        <v>0</v>
      </c>
      <c r="CS110" s="33">
        <f t="shared" si="3"/>
        <v>0</v>
      </c>
      <c r="CT110" s="35"/>
      <c r="CU110" s="35"/>
      <c r="CV110" s="35"/>
      <c r="CW110" s="36">
        <f>'Old Balance Sheet'!W110 + 'ACPL Calculations - 1.0'!Z110 + 'ACPL Calculations - 2.0'!Z110</f>
        <v>0</v>
      </c>
      <c r="CX110" s="36">
        <f>'Old Balance Sheet'!X110 + 'ACPL Calculations - 1.0'!AA110 + 'ACPL Calculations - 2.0'!AA110</f>
        <v>0</v>
      </c>
      <c r="CY110" s="37">
        <v>0.0</v>
      </c>
      <c r="CZ110" s="38">
        <f>'Old Balance Sheet'!Y110 + 'ACPL Calculations - 1.0'!AB110 + 'ACPL Calculations - 2.0'!AB110</f>
        <v>0</v>
      </c>
      <c r="DA110" s="38">
        <f>'Old Balance Sheet'!Z110 + 'ACPL Calculations - 1.0'!AC110 + 'ACPL Calculations - 2.0'!AC110</f>
        <v>0</v>
      </c>
      <c r="DB110" s="38">
        <f>'Old Balance Sheet'!AA110 + 'ACPL Calculations - 1.0'!AD110 + 'ACPL Calculations - 2.0'!AD110</f>
        <v>0</v>
      </c>
      <c r="DC110" s="38">
        <f>'Old Balance Sheet'!AB110 + 'ACPL Calculations - 1.0'!AE110 + 'ACPL Calculations - 2.0'!AE110</f>
        <v>0</v>
      </c>
      <c r="DD110" s="38">
        <f t="shared" si="4"/>
        <v>0</v>
      </c>
      <c r="DE110" s="33">
        <f t="shared" si="5"/>
        <v>0</v>
      </c>
      <c r="DF110" s="35">
        <v>0.0</v>
      </c>
      <c r="DG110" s="35">
        <v>0.0</v>
      </c>
      <c r="DH110" s="35">
        <v>0.0</v>
      </c>
      <c r="DI110" s="35">
        <v>0.0</v>
      </c>
      <c r="DJ110" s="35">
        <v>0.0</v>
      </c>
      <c r="DK110" s="35">
        <v>0.0</v>
      </c>
      <c r="DL110" s="35">
        <v>0.0</v>
      </c>
      <c r="DM110" s="35">
        <v>0.0</v>
      </c>
      <c r="DN110" s="31">
        <v>0.0</v>
      </c>
      <c r="DO110" s="31">
        <v>0.0</v>
      </c>
      <c r="DP110" s="31">
        <v>0.0</v>
      </c>
      <c r="DQ110" s="31">
        <v>0.0</v>
      </c>
      <c r="DR110" s="31">
        <v>0.0</v>
      </c>
      <c r="DS110" s="31">
        <v>0.0</v>
      </c>
      <c r="DT110" s="31">
        <f>'Old Balance Sheet'!AC110</f>
        <v>-350</v>
      </c>
      <c r="DU110" s="31">
        <f>DT110 + SUMIFS('Payments Log'!D:D, 'Payments Log'!B:B, A110, 'Payments Log'!L:L, "Approved", 'Payments Log'!M:M, "Credit") + 'Old Balance Sheet'!AD110 - 'Old Balance Sheet'!AC110</f>
        <v>-350</v>
      </c>
      <c r="DV110" s="31">
        <f>SUMIFS('Payments Log'!D:D, 'Payments Log'!B:B, A110, 'Payments Log'!L:L, "Approved", 'Payments Log'!M:M, "Adjustment Credit") - SUMIFS('Payments Log'!D:D, 'Payments Log'!B:B, A110, 'Payments Log'!L:L, "Approved", 'Payments Log'!M:M, "Adjustment Debit") + 'Old Balance Sheet'!AE110</f>
        <v>350</v>
      </c>
      <c r="DW110" s="31">
        <f>IF(MAXIFS('Payments Log'!N:N, 'Payments Log'!L:L, "Approved", 'Payments Log'!M:M, "Credit", 'Payments Log'!B:B, A110) &gt; MAXIFS('Payments Log'!N:N, 'Payments Log'!L:L, "Approved", 'Payments Log'!M:M, "Virtual Credit", 'Payments Log'!B:B, A110), 0, SUMIFS('Payments Log'!D:D, 'Payments Log'!N:N, MAXIFS('Payments Log'!N:N, 'Payments Log'!L:L, "Approved", 'Payments Log'!M:M, "Virtual Credit", 'Payments Log'!B:B, A110)))</f>
        <v>0</v>
      </c>
      <c r="DX110" s="33">
        <f t="shared" si="6"/>
        <v>0</v>
      </c>
      <c r="DY110" s="33">
        <f t="shared" si="7"/>
        <v>0</v>
      </c>
      <c r="DZ110" s="33">
        <f t="shared" si="8"/>
        <v>0</v>
      </c>
      <c r="EA110" s="25" t="str">
        <f>(Sheet1!N110)</f>
        <v>BD MOTORS TVS - GURGAON</v>
      </c>
      <c r="EB110" s="25" t="str">
        <f>(Sheet1!O110)</f>
        <v>1MantqYN_L9u1phKAd2tRf1JbAshYFDLMdeUkvTdUQ8E</v>
      </c>
      <c r="EC110" s="26" t="str">
        <f>(Sheet1!P110)</f>
        <v>Dealer</v>
      </c>
      <c r="ED110" s="34" t="s">
        <v>13</v>
      </c>
    </row>
    <row r="111">
      <c r="A111" s="25" t="str">
        <f>(Sheet1!A111)</f>
        <v>176zvh_D144kr5dn49FjVWXAIKjjIO1Wqb6zAj_kGTr4</v>
      </c>
      <c r="B111" s="25" t="str">
        <f>(Sheet1!B111)</f>
        <v>Sai Auto</v>
      </c>
      <c r="C111" s="30" t="s">
        <v>13</v>
      </c>
      <c r="D111" s="30" t="s">
        <v>72</v>
      </c>
      <c r="E111" s="30" t="s">
        <v>3817</v>
      </c>
      <c r="F111" s="31">
        <v>205.0</v>
      </c>
      <c r="G111" s="32" t="s">
        <v>3818</v>
      </c>
      <c r="H111" s="31">
        <v>100.0</v>
      </c>
      <c r="I111" s="33">
        <f>'Old Balance Sheet'!A111 + 'ACPL Calculations - 1.0'!A111 + 'ACPL Calculations - 2.0'!A111</f>
        <v>0</v>
      </c>
      <c r="J111" s="30" t="s">
        <v>3817</v>
      </c>
      <c r="K111" s="31">
        <v>205.0</v>
      </c>
      <c r="L111" s="32" t="s">
        <v>3818</v>
      </c>
      <c r="M111" s="31">
        <v>100.0</v>
      </c>
      <c r="N111" s="33">
        <f>'Old Balance Sheet'!B111 + 'ACPL Calculations - 1.0'!B111 + 'ACPL Calculations - 2.0'!B111</f>
        <v>0</v>
      </c>
      <c r="O111" s="30" t="s">
        <v>3817</v>
      </c>
      <c r="P111" s="31">
        <v>290.0</v>
      </c>
      <c r="Q111" s="32" t="s">
        <v>3818</v>
      </c>
      <c r="R111" s="31">
        <v>100.0</v>
      </c>
      <c r="S111" s="33">
        <f>'Old Balance Sheet'!C111 + 'ACPL Calculations - 1.0'!C111 + 'ACPL Calculations - 2.0'!C111</f>
        <v>1</v>
      </c>
      <c r="T111" s="30" t="s">
        <v>3817</v>
      </c>
      <c r="U111" s="31">
        <v>375.0</v>
      </c>
      <c r="V111" s="32" t="s">
        <v>3818</v>
      </c>
      <c r="W111" s="31">
        <v>100.0</v>
      </c>
      <c r="X111" s="33">
        <f>'Old Balance Sheet'!D111 + 'ACPL Calculations - 1.0'!D111 + 'ACPL Calculations - 2.0'!D111</f>
        <v>0</v>
      </c>
      <c r="Y111" s="30" t="s">
        <v>3817</v>
      </c>
      <c r="Z111" s="31">
        <v>460.0</v>
      </c>
      <c r="AA111" s="32" t="s">
        <v>3818</v>
      </c>
      <c r="AB111" s="31">
        <v>100.0</v>
      </c>
      <c r="AC111" s="33">
        <f>'Old Balance Sheet'!E111 + 'ACPL Calculations - 1.0'!E111 + 'ACPL Calculations - 2.0'!E111</f>
        <v>0</v>
      </c>
      <c r="AD111" s="30" t="s">
        <v>3817</v>
      </c>
      <c r="AE111" s="34">
        <v>838.99</v>
      </c>
      <c r="AF111" s="32" t="s">
        <v>3818</v>
      </c>
      <c r="AG111" s="31">
        <v>100.0</v>
      </c>
      <c r="AH111" s="33">
        <f>'Old Balance Sheet'!F111 + 'ACPL Calculations - 1.0'!F111 + 'ACPL Calculations - 2.0'!F111</f>
        <v>0</v>
      </c>
      <c r="AI111" s="30" t="s">
        <v>3817</v>
      </c>
      <c r="AJ111" s="31">
        <v>375.0</v>
      </c>
      <c r="AK111" s="32" t="s">
        <v>3818</v>
      </c>
      <c r="AL111" s="31">
        <v>100.0</v>
      </c>
      <c r="AM111" s="33">
        <f>'Old Balance Sheet'!G111 + 'ACPL Calculations - 1.0'!G111 + 'ACPL Calculations - 2.0'!G111</f>
        <v>0</v>
      </c>
      <c r="AN111" s="30" t="s">
        <v>3817</v>
      </c>
      <c r="AO111" s="31">
        <v>290.0</v>
      </c>
      <c r="AP111" s="32" t="s">
        <v>3818</v>
      </c>
      <c r="AQ111" s="31">
        <v>100.0</v>
      </c>
      <c r="AR111" s="33">
        <f>'Old Balance Sheet'!H111 + 'ACPL Calculations - 1.0'!H111 + 'ACPL Calculations - 2.0'!H111</f>
        <v>0</v>
      </c>
      <c r="AS111" s="30" t="s">
        <v>3819</v>
      </c>
      <c r="AT111" s="31">
        <v>838.99</v>
      </c>
      <c r="AU111" s="32" t="s">
        <v>3818</v>
      </c>
      <c r="AV111" s="31">
        <v>100.0</v>
      </c>
      <c r="AW111" s="33">
        <f>'Old Balance Sheet'!I111 + 'ACPL Calculations - 1.0'!I111 + 'ACPL Calculations - 2.0'!I111</f>
        <v>0</v>
      </c>
      <c r="AX111" s="30" t="s">
        <v>3817</v>
      </c>
      <c r="AY111" s="31">
        <v>290.0</v>
      </c>
      <c r="AZ111" s="32" t="s">
        <v>3818</v>
      </c>
      <c r="BA111" s="31">
        <v>100.0</v>
      </c>
      <c r="BB111" s="33">
        <f>'Old Balance Sheet'!J111 + 'ACPL Calculations - 1.0'!J111 + 'ACPL Calculations - 2.0'!J111</f>
        <v>0</v>
      </c>
      <c r="BC111" s="30" t="s">
        <v>3817</v>
      </c>
      <c r="BD111" s="31">
        <v>205.0</v>
      </c>
      <c r="BE111" s="32" t="s">
        <v>3818</v>
      </c>
      <c r="BF111" s="31">
        <v>100.0</v>
      </c>
      <c r="BG111" s="33">
        <f>'Old Balance Sheet'!K111 + 'ACPL Calculations - 1.0'!K111 + 'ACPL Calculations - 2.0'!K111</f>
        <v>0</v>
      </c>
      <c r="BH111" s="30" t="s">
        <v>3817</v>
      </c>
      <c r="BI111" s="31">
        <v>205.0</v>
      </c>
      <c r="BJ111" s="32" t="s">
        <v>3818</v>
      </c>
      <c r="BK111" s="31">
        <v>100.0</v>
      </c>
      <c r="BL111" s="33">
        <f>'Old Balance Sheet'!L111 + 'ACPL Calculations - 1.0'!L111 + 'ACPL Calculations - 2.0'!L111</f>
        <v>0</v>
      </c>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f t="shared" si="1"/>
        <v>1</v>
      </c>
      <c r="CM111" s="33">
        <f>'Old Balance Sheet'!R111 + 'ACPL Calculations - 1.0'!S111 + 'ACPL Calculations - 2.0'!S111</f>
        <v>442</v>
      </c>
      <c r="CN111" s="33">
        <f>'Old Balance Sheet'!S111 + 'ACPL Calculations - 1.0'!T111 + 'ACPL Calculations - 2.0'!T111</f>
        <v>205</v>
      </c>
      <c r="CO111" s="33">
        <f t="shared" si="2"/>
        <v>272.42</v>
      </c>
      <c r="CP111" s="33">
        <f>'Old Balance Sheet'!T111 + 'ACPL Calculations - 1.0'!V111 + 'ACPL Calculations - 2.0'!V111</f>
        <v>0</v>
      </c>
      <c r="CQ111" s="33">
        <f>'Old Balance Sheet'!U111 + 'ACPL Calculations - 1.0'!W111 + 'ACPL Calculations - 2.0'!W111</f>
        <v>0</v>
      </c>
      <c r="CR111" s="33">
        <f>'Old Balance Sheet'!V111 + 'ACPL Calculations - 1.0'!X111 + 'ACPL Calculations - 2.0'!X111</f>
        <v>67.42</v>
      </c>
      <c r="CS111" s="33">
        <f t="shared" si="3"/>
        <v>67.42</v>
      </c>
      <c r="CT111" s="35"/>
      <c r="CU111" s="35"/>
      <c r="CV111" s="35"/>
      <c r="CW111" s="36">
        <f>'Old Balance Sheet'!W111 + 'ACPL Calculations - 1.0'!Z111 + 'ACPL Calculations - 2.0'!Z111</f>
        <v>289.38</v>
      </c>
      <c r="CX111" s="36">
        <f>'Old Balance Sheet'!X111 + 'ACPL Calculations - 1.0'!AA111 + 'ACPL Calculations - 2.0'!AA111</f>
        <v>289.38</v>
      </c>
      <c r="CY111" s="37">
        <v>0.0</v>
      </c>
      <c r="CZ111" s="38">
        <f>'Old Balance Sheet'!Y111 + 'ACPL Calculations - 1.0'!AB111 + 'ACPL Calculations - 2.0'!AB111</f>
        <v>0</v>
      </c>
      <c r="DA111" s="38">
        <f>'Old Balance Sheet'!Z111 + 'ACPL Calculations - 1.0'!AC111 + 'ACPL Calculations - 2.0'!AC111</f>
        <v>152.62</v>
      </c>
      <c r="DB111" s="38">
        <f>'Old Balance Sheet'!AA111 + 'ACPL Calculations - 1.0'!AD111 + 'ACPL Calculations - 2.0'!AD111</f>
        <v>16.96</v>
      </c>
      <c r="DC111" s="38">
        <f>'Old Balance Sheet'!AB111 + 'ACPL Calculations - 1.0'!AE111 + 'ACPL Calculations - 2.0'!AE111</f>
        <v>0</v>
      </c>
      <c r="DD111" s="38">
        <f t="shared" si="4"/>
        <v>0</v>
      </c>
      <c r="DE111" s="33">
        <f t="shared" si="5"/>
        <v>0</v>
      </c>
      <c r="DF111" s="35">
        <v>0.0</v>
      </c>
      <c r="DG111" s="35">
        <v>0.0</v>
      </c>
      <c r="DH111" s="35">
        <v>0.0</v>
      </c>
      <c r="DI111" s="35">
        <v>0.0</v>
      </c>
      <c r="DJ111" s="35">
        <v>0.0</v>
      </c>
      <c r="DK111" s="35">
        <v>0.0</v>
      </c>
      <c r="DL111" s="35">
        <v>0.0</v>
      </c>
      <c r="DM111" s="35">
        <v>0.0</v>
      </c>
      <c r="DN111" s="31">
        <v>0.0</v>
      </c>
      <c r="DO111" s="31">
        <v>0.0</v>
      </c>
      <c r="DP111" s="31">
        <v>0.0</v>
      </c>
      <c r="DQ111" s="31">
        <v>0.0</v>
      </c>
      <c r="DR111" s="31">
        <v>0.0</v>
      </c>
      <c r="DS111" s="31">
        <v>0.0</v>
      </c>
      <c r="DT111" s="31">
        <f>'Old Balance Sheet'!AC111</f>
        <v>150</v>
      </c>
      <c r="DU111" s="31">
        <f>DT111 + SUMIFS('Payments Log'!D:D, 'Payments Log'!B:B, A111, 'Payments Log'!L:L, "Approved", 'Payments Log'!M:M, "Credit") + 'Old Balance Sheet'!AD111 - 'Old Balance Sheet'!AC111</f>
        <v>150</v>
      </c>
      <c r="DV111" s="31">
        <f>SUMIFS('Payments Log'!D:D, 'Payments Log'!B:B, A111, 'Payments Log'!L:L, "Approved", 'Payments Log'!M:M, "Adjustment Credit") - SUMIFS('Payments Log'!D:D, 'Payments Log'!B:B, A111, 'Payments Log'!L:L, "Approved", 'Payments Log'!M:M, "Adjustment Debit") + 'Old Balance Sheet'!AE111</f>
        <v>139.38</v>
      </c>
      <c r="DW111" s="31">
        <f>IF(MAXIFS('Payments Log'!N:N, 'Payments Log'!L:L, "Approved", 'Payments Log'!M:M, "Credit", 'Payments Log'!B:B, A111) &gt; MAXIFS('Payments Log'!N:N, 'Payments Log'!L:L, "Approved", 'Payments Log'!M:M, "Virtual Credit", 'Payments Log'!B:B, A111), 0, SUMIFS('Payments Log'!D:D, 'Payments Log'!N:N, MAXIFS('Payments Log'!N:N, 'Payments Log'!L:L, "Approved", 'Payments Log'!M:M, "Virtual Credit", 'Payments Log'!B:B, A111)))</f>
        <v>0</v>
      </c>
      <c r="DX111" s="33">
        <f t="shared" si="6"/>
        <v>0</v>
      </c>
      <c r="DY111" s="33">
        <f t="shared" si="7"/>
        <v>0</v>
      </c>
      <c r="DZ111" s="33">
        <f t="shared" si="8"/>
        <v>0</v>
      </c>
      <c r="EA111" s="25" t="str">
        <f>(Sheet1!N111)</f>
        <v>Sai Auto</v>
      </c>
      <c r="EB111" s="25" t="str">
        <f>(Sheet1!O111)</f>
        <v>176zvh_D144kr5dn49FjVWXAIKjjIO1Wqb6zAj_kGTr4</v>
      </c>
      <c r="EC111" s="26" t="str">
        <f>(Sheet1!P111)</f>
        <v>Dealer</v>
      </c>
      <c r="ED111" s="34" t="s">
        <v>13</v>
      </c>
    </row>
    <row r="112">
      <c r="A112" s="25" t="str">
        <f>(Sheet1!A112)</f>
        <v>1C_6P8aZHJLH36sahBuwDXCSV6YfPH0RInIufKGWcO4E</v>
      </c>
      <c r="B112" s="25" t="str">
        <f>(Sheet1!B112)</f>
        <v>VAW Narona</v>
      </c>
      <c r="C112" s="30" t="s">
        <v>13</v>
      </c>
      <c r="D112" s="30" t="s">
        <v>72</v>
      </c>
      <c r="E112" s="30" t="s">
        <v>3820</v>
      </c>
      <c r="F112" s="31">
        <v>170.0</v>
      </c>
      <c r="G112" s="32" t="s">
        <v>3818</v>
      </c>
      <c r="H112" s="31">
        <v>100.0</v>
      </c>
      <c r="I112" s="33">
        <f>'Old Balance Sheet'!A112 + 'ACPL Calculations - 1.0'!A112 + 'ACPL Calculations - 2.0'!A112</f>
        <v>0</v>
      </c>
      <c r="J112" s="30" t="s">
        <v>3820</v>
      </c>
      <c r="K112" s="31">
        <v>170.0</v>
      </c>
      <c r="L112" s="32" t="s">
        <v>3818</v>
      </c>
      <c r="M112" s="31">
        <v>100.0</v>
      </c>
      <c r="N112" s="33">
        <f>'Old Balance Sheet'!B112 + 'ACPL Calculations - 1.0'!B112 + 'ACPL Calculations - 2.0'!B112</f>
        <v>0</v>
      </c>
      <c r="O112" s="30" t="s">
        <v>3820</v>
      </c>
      <c r="P112" s="31">
        <v>170.0</v>
      </c>
      <c r="Q112" s="32" t="s">
        <v>3818</v>
      </c>
      <c r="R112" s="31">
        <v>100.0</v>
      </c>
      <c r="S112" s="33">
        <f>'Old Balance Sheet'!C112 + 'ACPL Calculations - 1.0'!C112 + 'ACPL Calculations - 2.0'!C112</f>
        <v>0</v>
      </c>
      <c r="T112" s="30" t="s">
        <v>3820</v>
      </c>
      <c r="U112" s="31">
        <v>170.0</v>
      </c>
      <c r="V112" s="32" t="s">
        <v>3818</v>
      </c>
      <c r="W112" s="31">
        <v>100.0</v>
      </c>
      <c r="X112" s="33">
        <f>'Old Balance Sheet'!D112 + 'ACPL Calculations - 1.0'!D112 + 'ACPL Calculations - 2.0'!D112</f>
        <v>0</v>
      </c>
      <c r="Y112" s="30" t="s">
        <v>3820</v>
      </c>
      <c r="Z112" s="31">
        <v>170.0</v>
      </c>
      <c r="AA112" s="32" t="s">
        <v>3818</v>
      </c>
      <c r="AB112" s="31">
        <v>100.0</v>
      </c>
      <c r="AC112" s="33">
        <f>'Old Balance Sheet'!E112 + 'ACPL Calculations - 1.0'!E112 + 'ACPL Calculations - 2.0'!E112</f>
        <v>746</v>
      </c>
      <c r="AD112" s="30" t="s">
        <v>3820</v>
      </c>
      <c r="AE112" s="34">
        <v>838.99</v>
      </c>
      <c r="AF112" s="32" t="s">
        <v>3818</v>
      </c>
      <c r="AG112" s="31">
        <v>100.0</v>
      </c>
      <c r="AH112" s="33">
        <f>'Old Balance Sheet'!F112 + 'ACPL Calculations - 1.0'!F112 + 'ACPL Calculations - 2.0'!F112</f>
        <v>0</v>
      </c>
      <c r="AI112" s="30" t="s">
        <v>3820</v>
      </c>
      <c r="AJ112" s="31">
        <v>170.0</v>
      </c>
      <c r="AK112" s="32" t="s">
        <v>3818</v>
      </c>
      <c r="AL112" s="31">
        <v>100.0</v>
      </c>
      <c r="AM112" s="33">
        <f>'Old Balance Sheet'!G112 + 'ACPL Calculations - 1.0'!G112 + 'ACPL Calculations - 2.0'!G112</f>
        <v>0</v>
      </c>
      <c r="AN112" s="30" t="s">
        <v>3820</v>
      </c>
      <c r="AO112" s="31">
        <v>170.0</v>
      </c>
      <c r="AP112" s="32" t="s">
        <v>3818</v>
      </c>
      <c r="AQ112" s="31">
        <v>100.0</v>
      </c>
      <c r="AR112" s="33">
        <f>'Old Balance Sheet'!H112 + 'ACPL Calculations - 1.0'!H112 + 'ACPL Calculations - 2.0'!H112</f>
        <v>0</v>
      </c>
      <c r="AS112" s="30" t="s">
        <v>3819</v>
      </c>
      <c r="AT112" s="31">
        <v>838.99</v>
      </c>
      <c r="AU112" s="32" t="s">
        <v>3818</v>
      </c>
      <c r="AV112" s="31">
        <v>100.0</v>
      </c>
      <c r="AW112" s="33">
        <f>'Old Balance Sheet'!I112 + 'ACPL Calculations - 1.0'!I112 + 'ACPL Calculations - 2.0'!I112</f>
        <v>0</v>
      </c>
      <c r="AX112" s="30" t="s">
        <v>3820</v>
      </c>
      <c r="AY112" s="31">
        <v>290.0</v>
      </c>
      <c r="AZ112" s="32" t="s">
        <v>3818</v>
      </c>
      <c r="BA112" s="31">
        <v>100.0</v>
      </c>
      <c r="BB112" s="33">
        <f>'Old Balance Sheet'!J112 + 'ACPL Calculations - 1.0'!J112 + 'ACPL Calculations - 2.0'!J112</f>
        <v>0</v>
      </c>
      <c r="BC112" s="30" t="s">
        <v>3820</v>
      </c>
      <c r="BD112" s="31">
        <v>205.0</v>
      </c>
      <c r="BE112" s="32" t="s">
        <v>3818</v>
      </c>
      <c r="BF112" s="31">
        <v>100.0</v>
      </c>
      <c r="BG112" s="33">
        <f>'Old Balance Sheet'!K112 + 'ACPL Calculations - 1.0'!K112 + 'ACPL Calculations - 2.0'!K112</f>
        <v>0</v>
      </c>
      <c r="BH112" s="30" t="s">
        <v>3820</v>
      </c>
      <c r="BI112" s="31">
        <v>205.0</v>
      </c>
      <c r="BJ112" s="32" t="s">
        <v>3818</v>
      </c>
      <c r="BK112" s="31">
        <v>100.0</v>
      </c>
      <c r="BL112" s="33">
        <f>'Old Balance Sheet'!L112 + 'ACPL Calculations - 1.0'!L112 + 'ACPL Calculations - 2.0'!L112</f>
        <v>0</v>
      </c>
      <c r="BM112" s="33"/>
      <c r="BN112" s="33"/>
      <c r="BO112" s="33"/>
      <c r="BP112" s="33"/>
      <c r="BQ112" s="33"/>
      <c r="BR112" s="33"/>
      <c r="BS112" s="33"/>
      <c r="BT112" s="33"/>
      <c r="BU112" s="33"/>
      <c r="BV112" s="33"/>
      <c r="BW112" s="33"/>
      <c r="BX112" s="33"/>
      <c r="BY112" s="33"/>
      <c r="BZ112" s="33"/>
      <c r="CA112" s="33"/>
      <c r="CB112" s="33"/>
      <c r="CC112" s="33"/>
      <c r="CD112" s="33"/>
      <c r="CE112" s="33"/>
      <c r="CF112" s="33"/>
      <c r="CG112" s="33"/>
      <c r="CH112" s="33"/>
      <c r="CI112" s="33"/>
      <c r="CJ112" s="33"/>
      <c r="CK112" s="33"/>
      <c r="CL112" s="33">
        <f t="shared" si="1"/>
        <v>746</v>
      </c>
      <c r="CM112" s="33">
        <f>'Old Balance Sheet'!R112 + 'ACPL Calculations - 1.0'!S112 + 'ACPL Calculations - 2.0'!S112</f>
        <v>1380100</v>
      </c>
      <c r="CN112" s="33">
        <f>'Old Balance Sheet'!S112 + 'ACPL Calculations - 1.0'!T112 + 'ACPL Calculations - 2.0'!T112</f>
        <v>126820</v>
      </c>
      <c r="CO112" s="33">
        <f t="shared" si="2"/>
        <v>337341.2</v>
      </c>
      <c r="CP112" s="33">
        <f>'Old Balance Sheet'!T112 + 'ACPL Calculations - 1.0'!V112 + 'ACPL Calculations - 2.0'!V112</f>
        <v>0</v>
      </c>
      <c r="CQ112" s="33">
        <f>'Old Balance Sheet'!U112 + 'ACPL Calculations - 1.0'!W112 + 'ACPL Calculations - 2.0'!W112</f>
        <v>0</v>
      </c>
      <c r="CR112" s="33">
        <f>'Old Balance Sheet'!V112 + 'ACPL Calculations - 1.0'!X112 + 'ACPL Calculations - 2.0'!X112</f>
        <v>210521.2</v>
      </c>
      <c r="CS112" s="33">
        <f t="shared" si="3"/>
        <v>210521.2</v>
      </c>
      <c r="CT112" s="35"/>
      <c r="CU112" s="35"/>
      <c r="CV112" s="35"/>
      <c r="CW112" s="36">
        <f>'Old Balance Sheet'!W112 + 'ACPL Calculations - 1.0'!Z112 + 'ACPL Calculations - 2.0'!Z112</f>
        <v>0</v>
      </c>
      <c r="CX112" s="36">
        <f>'Old Balance Sheet'!X112 + 'ACPL Calculations - 1.0'!AA112 + 'ACPL Calculations - 2.0'!AA112</f>
        <v>0</v>
      </c>
      <c r="CY112" s="37">
        <v>0.0</v>
      </c>
      <c r="CZ112" s="38">
        <f>'Old Balance Sheet'!Y112 + 'ACPL Calculations - 1.0'!AB112 + 'ACPL Calculations - 2.0'!AB112</f>
        <v>0</v>
      </c>
      <c r="DA112" s="38">
        <f>'Old Balance Sheet'!Z112 + 'ACPL Calculations - 1.0'!AC112 + 'ACPL Calculations - 2.0'!AC112</f>
        <v>0</v>
      </c>
      <c r="DB112" s="38">
        <f>'Old Balance Sheet'!AA112 + 'ACPL Calculations - 1.0'!AD112 + 'ACPL Calculations - 2.0'!AD112</f>
        <v>0</v>
      </c>
      <c r="DC112" s="38">
        <f>'Old Balance Sheet'!AB112 + 'ACPL Calculations - 1.0'!AE112 + 'ACPL Calculations - 2.0'!AE112</f>
        <v>0</v>
      </c>
      <c r="DD112" s="38">
        <f t="shared" si="4"/>
        <v>0</v>
      </c>
      <c r="DE112" s="33">
        <f t="shared" si="5"/>
        <v>0</v>
      </c>
      <c r="DF112" s="35">
        <v>0.0</v>
      </c>
      <c r="DG112" s="35">
        <v>0.0</v>
      </c>
      <c r="DH112" s="35">
        <v>0.0</v>
      </c>
      <c r="DI112" s="35">
        <v>0.0</v>
      </c>
      <c r="DJ112" s="35">
        <v>0.0</v>
      </c>
      <c r="DK112" s="35">
        <v>0.0</v>
      </c>
      <c r="DL112" s="35">
        <v>0.0</v>
      </c>
      <c r="DM112" s="35">
        <v>0.0</v>
      </c>
      <c r="DN112" s="31">
        <v>0.0</v>
      </c>
      <c r="DO112" s="31">
        <v>0.0</v>
      </c>
      <c r="DP112" s="31">
        <v>0.0</v>
      </c>
      <c r="DQ112" s="31">
        <v>0.0</v>
      </c>
      <c r="DR112" s="31">
        <v>0.0</v>
      </c>
      <c r="DS112" s="31">
        <v>0.0</v>
      </c>
      <c r="DT112" s="31">
        <f>'Old Balance Sheet'!AC112</f>
        <v>0</v>
      </c>
      <c r="DU112" s="31">
        <f>DT112 + SUMIFS('Payments Log'!D:D, 'Payments Log'!B:B, A112, 'Payments Log'!L:L, "Approved", 'Payments Log'!M:M, "Credit") + 'Old Balance Sheet'!AD112 - 'Old Balance Sheet'!AC112</f>
        <v>0</v>
      </c>
      <c r="DV112" s="31">
        <f>SUMIFS('Payments Log'!D:D, 'Payments Log'!B:B, A112, 'Payments Log'!L:L, "Approved", 'Payments Log'!M:M, "Adjustment Credit") - SUMIFS('Payments Log'!D:D, 'Payments Log'!B:B, A112, 'Payments Log'!L:L, "Approved", 'Payments Log'!M:M, "Adjustment Debit") + 'Old Balance Sheet'!AE112</f>
        <v>0</v>
      </c>
      <c r="DW112" s="31">
        <f>IF(MAXIFS('Payments Log'!N:N, 'Payments Log'!L:L, "Approved", 'Payments Log'!M:M, "Credit", 'Payments Log'!B:B, A112) &gt; MAXIFS('Payments Log'!N:N, 'Payments Log'!L:L, "Approved", 'Payments Log'!M:M, "Virtual Credit", 'Payments Log'!B:B, A112), 0, SUMIFS('Payments Log'!D:D, 'Payments Log'!N:N, MAXIFS('Payments Log'!N:N, 'Payments Log'!L:L, "Approved", 'Payments Log'!M:M, "Virtual Credit", 'Payments Log'!B:B, A112)))</f>
        <v>0</v>
      </c>
      <c r="DX112" s="33">
        <f t="shared" si="6"/>
        <v>0</v>
      </c>
      <c r="DY112" s="33">
        <f t="shared" si="7"/>
        <v>0</v>
      </c>
      <c r="DZ112" s="33">
        <f t="shared" si="8"/>
        <v>0</v>
      </c>
      <c r="EA112" s="25" t="str">
        <f>(Sheet1!N112)</f>
        <v>Vikas Autowheels</v>
      </c>
      <c r="EB112" s="25" t="str">
        <f>(Sheet1!O112)</f>
        <v>1944RLX7T1M23YXRXYoMnJ6nD_bKLldQXRpFRA0rDLvg</v>
      </c>
      <c r="EC112" s="26" t="str">
        <f>(Sheet1!P112)</f>
        <v>Sub Dealer</v>
      </c>
      <c r="ED112" s="34" t="s">
        <v>13</v>
      </c>
    </row>
    <row r="113">
      <c r="A113" s="25" t="str">
        <f>(Sheet1!A113)</f>
        <v>1olMJPxdvTblXlRJ5Kke7BysRgQVWxsLISMo98ayU8oo</v>
      </c>
      <c r="B113" s="25" t="str">
        <f>(Sheet1!B113)</f>
        <v>Gaurav arora</v>
      </c>
      <c r="C113" s="30" t="s">
        <v>13</v>
      </c>
      <c r="D113" s="30" t="s">
        <v>72</v>
      </c>
      <c r="E113" s="30" t="s">
        <v>3817</v>
      </c>
      <c r="F113" s="31">
        <v>205.0</v>
      </c>
      <c r="G113" s="32" t="s">
        <v>3818</v>
      </c>
      <c r="H113" s="31">
        <v>100.0</v>
      </c>
      <c r="I113" s="33">
        <f>'Old Balance Sheet'!A113 + 'ACPL Calculations - 1.0'!A113 + 'ACPL Calculations - 2.0'!A113</f>
        <v>0</v>
      </c>
      <c r="J113" s="30" t="s">
        <v>3817</v>
      </c>
      <c r="K113" s="31">
        <v>205.0</v>
      </c>
      <c r="L113" s="32" t="s">
        <v>3818</v>
      </c>
      <c r="M113" s="31">
        <v>100.0</v>
      </c>
      <c r="N113" s="33">
        <f>'Old Balance Sheet'!B113 + 'ACPL Calculations - 1.0'!B113 + 'ACPL Calculations - 2.0'!B113</f>
        <v>0</v>
      </c>
      <c r="O113" s="30" t="s">
        <v>3817</v>
      </c>
      <c r="P113" s="31">
        <v>290.0</v>
      </c>
      <c r="Q113" s="32" t="s">
        <v>3818</v>
      </c>
      <c r="R113" s="31">
        <v>100.0</v>
      </c>
      <c r="S113" s="33">
        <f>'Old Balance Sheet'!C113 + 'ACPL Calculations - 1.0'!C113 + 'ACPL Calculations - 2.0'!C113</f>
        <v>0</v>
      </c>
      <c r="T113" s="30" t="s">
        <v>3817</v>
      </c>
      <c r="U113" s="31">
        <v>375.0</v>
      </c>
      <c r="V113" s="32" t="s">
        <v>3818</v>
      </c>
      <c r="W113" s="31">
        <v>100.0</v>
      </c>
      <c r="X113" s="33">
        <f>'Old Balance Sheet'!D113 + 'ACPL Calculations - 1.0'!D113 + 'ACPL Calculations - 2.0'!D113</f>
        <v>0</v>
      </c>
      <c r="Y113" s="30" t="s">
        <v>3817</v>
      </c>
      <c r="Z113" s="31">
        <v>460.0</v>
      </c>
      <c r="AA113" s="32" t="s">
        <v>3818</v>
      </c>
      <c r="AB113" s="31">
        <v>100.0</v>
      </c>
      <c r="AC113" s="33">
        <f>'Old Balance Sheet'!E113 + 'ACPL Calculations - 1.0'!E113 + 'ACPL Calculations - 2.0'!E113</f>
        <v>0</v>
      </c>
      <c r="AD113" s="30" t="s">
        <v>3817</v>
      </c>
      <c r="AE113" s="34">
        <v>838.99</v>
      </c>
      <c r="AF113" s="32" t="s">
        <v>3818</v>
      </c>
      <c r="AG113" s="31">
        <v>100.0</v>
      </c>
      <c r="AH113" s="33">
        <f>'Old Balance Sheet'!F113 + 'ACPL Calculations - 1.0'!F113 + 'ACPL Calculations - 2.0'!F113</f>
        <v>0</v>
      </c>
      <c r="AI113" s="30" t="s">
        <v>3817</v>
      </c>
      <c r="AJ113" s="31">
        <v>375.0</v>
      </c>
      <c r="AK113" s="32" t="s">
        <v>3818</v>
      </c>
      <c r="AL113" s="31">
        <v>100.0</v>
      </c>
      <c r="AM113" s="33">
        <f>'Old Balance Sheet'!G113 + 'ACPL Calculations - 1.0'!G113 + 'ACPL Calculations - 2.0'!G113</f>
        <v>0</v>
      </c>
      <c r="AN113" s="30" t="s">
        <v>3817</v>
      </c>
      <c r="AO113" s="31">
        <v>290.0</v>
      </c>
      <c r="AP113" s="32" t="s">
        <v>3818</v>
      </c>
      <c r="AQ113" s="31">
        <v>100.0</v>
      </c>
      <c r="AR113" s="33">
        <f>'Old Balance Sheet'!H113 + 'ACPL Calculations - 1.0'!H113 + 'ACPL Calculations - 2.0'!H113</f>
        <v>0</v>
      </c>
      <c r="AS113" s="30" t="s">
        <v>3819</v>
      </c>
      <c r="AT113" s="31">
        <v>838.99</v>
      </c>
      <c r="AU113" s="32" t="s">
        <v>3818</v>
      </c>
      <c r="AV113" s="31">
        <v>100.0</v>
      </c>
      <c r="AW113" s="33">
        <f>'Old Balance Sheet'!I113 + 'ACPL Calculations - 1.0'!I113 + 'ACPL Calculations - 2.0'!I113</f>
        <v>0</v>
      </c>
      <c r="AX113" s="30" t="s">
        <v>3817</v>
      </c>
      <c r="AY113" s="31">
        <v>290.0</v>
      </c>
      <c r="AZ113" s="32" t="s">
        <v>3818</v>
      </c>
      <c r="BA113" s="31">
        <v>100.0</v>
      </c>
      <c r="BB113" s="33">
        <f>'Old Balance Sheet'!J113 + 'ACPL Calculations - 1.0'!J113 + 'ACPL Calculations - 2.0'!J113</f>
        <v>0</v>
      </c>
      <c r="BC113" s="30" t="s">
        <v>3817</v>
      </c>
      <c r="BD113" s="31">
        <v>205.0</v>
      </c>
      <c r="BE113" s="32" t="s">
        <v>3818</v>
      </c>
      <c r="BF113" s="31">
        <v>100.0</v>
      </c>
      <c r="BG113" s="33">
        <f>'Old Balance Sheet'!K113 + 'ACPL Calculations - 1.0'!K113 + 'ACPL Calculations - 2.0'!K113</f>
        <v>0</v>
      </c>
      <c r="BH113" s="30" t="s">
        <v>3817</v>
      </c>
      <c r="BI113" s="31">
        <v>205.0</v>
      </c>
      <c r="BJ113" s="32" t="s">
        <v>3818</v>
      </c>
      <c r="BK113" s="31">
        <v>100.0</v>
      </c>
      <c r="BL113" s="33">
        <f>'Old Balance Sheet'!L113 + 'ACPL Calculations - 1.0'!L113 + 'ACPL Calculations - 2.0'!L113</f>
        <v>0</v>
      </c>
      <c r="BM113" s="33"/>
      <c r="BN113" s="33"/>
      <c r="BO113" s="33"/>
      <c r="BP113" s="33"/>
      <c r="BQ113" s="33"/>
      <c r="BR113" s="33"/>
      <c r="BS113" s="33"/>
      <c r="BT113" s="33"/>
      <c r="BU113" s="33"/>
      <c r="BV113" s="33"/>
      <c r="BW113" s="33"/>
      <c r="BX113" s="33"/>
      <c r="BY113" s="33"/>
      <c r="BZ113" s="33"/>
      <c r="CA113" s="33"/>
      <c r="CB113" s="33"/>
      <c r="CC113" s="33"/>
      <c r="CD113" s="33"/>
      <c r="CE113" s="33"/>
      <c r="CF113" s="33"/>
      <c r="CG113" s="33"/>
      <c r="CH113" s="33"/>
      <c r="CI113" s="33"/>
      <c r="CJ113" s="33"/>
      <c r="CK113" s="33"/>
      <c r="CL113" s="33">
        <f t="shared" si="1"/>
        <v>0</v>
      </c>
      <c r="CM113" s="33">
        <f>'Old Balance Sheet'!R113 + 'ACPL Calculations - 1.0'!S113 + 'ACPL Calculations - 2.0'!S113</f>
        <v>0</v>
      </c>
      <c r="CN113" s="33">
        <f>'Old Balance Sheet'!S113 + 'ACPL Calculations - 1.0'!T113 + 'ACPL Calculations - 2.0'!T113</f>
        <v>0</v>
      </c>
      <c r="CO113" s="33">
        <f t="shared" si="2"/>
        <v>0</v>
      </c>
      <c r="CP113" s="33">
        <f>'Old Balance Sheet'!T113 + 'ACPL Calculations - 1.0'!V113 + 'ACPL Calculations - 2.0'!V113</f>
        <v>0</v>
      </c>
      <c r="CQ113" s="33">
        <f>'Old Balance Sheet'!U113 + 'ACPL Calculations - 1.0'!W113 + 'ACPL Calculations - 2.0'!W113</f>
        <v>0</v>
      </c>
      <c r="CR113" s="33">
        <f>'Old Balance Sheet'!V113 + 'ACPL Calculations - 1.0'!X113 + 'ACPL Calculations - 2.0'!X113</f>
        <v>0</v>
      </c>
      <c r="CS113" s="33">
        <f t="shared" si="3"/>
        <v>0</v>
      </c>
      <c r="CT113" s="35"/>
      <c r="CU113" s="35"/>
      <c r="CV113" s="35"/>
      <c r="CW113" s="36">
        <f>'Old Balance Sheet'!W113 + 'ACPL Calculations - 1.0'!Z113 + 'ACPL Calculations - 2.0'!Z113</f>
        <v>0</v>
      </c>
      <c r="CX113" s="36">
        <f>'Old Balance Sheet'!X113 + 'ACPL Calculations - 1.0'!AA113 + 'ACPL Calculations - 2.0'!AA113</f>
        <v>0</v>
      </c>
      <c r="CY113" s="37">
        <v>0.0</v>
      </c>
      <c r="CZ113" s="38">
        <f>'Old Balance Sheet'!Y113 + 'ACPL Calculations - 1.0'!AB113 + 'ACPL Calculations - 2.0'!AB113</f>
        <v>0</v>
      </c>
      <c r="DA113" s="38">
        <f>'Old Balance Sheet'!Z113 + 'ACPL Calculations - 1.0'!AC113 + 'ACPL Calculations - 2.0'!AC113</f>
        <v>0</v>
      </c>
      <c r="DB113" s="38">
        <f>'Old Balance Sheet'!AA113 + 'ACPL Calculations - 1.0'!AD113 + 'ACPL Calculations - 2.0'!AD113</f>
        <v>0</v>
      </c>
      <c r="DC113" s="38">
        <f>'Old Balance Sheet'!AB113 + 'ACPL Calculations - 1.0'!AE113 + 'ACPL Calculations - 2.0'!AE113</f>
        <v>0</v>
      </c>
      <c r="DD113" s="38">
        <f t="shared" si="4"/>
        <v>0</v>
      </c>
      <c r="DE113" s="33">
        <f t="shared" si="5"/>
        <v>0</v>
      </c>
      <c r="DF113" s="35">
        <v>0.0</v>
      </c>
      <c r="DG113" s="35">
        <v>0.0</v>
      </c>
      <c r="DH113" s="35">
        <v>0.0</v>
      </c>
      <c r="DI113" s="35">
        <v>0.0</v>
      </c>
      <c r="DJ113" s="35">
        <v>0.0</v>
      </c>
      <c r="DK113" s="35">
        <v>0.0</v>
      </c>
      <c r="DL113" s="35">
        <v>0.0</v>
      </c>
      <c r="DM113" s="35">
        <v>0.0</v>
      </c>
      <c r="DN113" s="31">
        <v>0.0</v>
      </c>
      <c r="DO113" s="31">
        <v>0.0</v>
      </c>
      <c r="DP113" s="31">
        <v>0.0</v>
      </c>
      <c r="DQ113" s="31">
        <v>0.0</v>
      </c>
      <c r="DR113" s="31">
        <v>0.0</v>
      </c>
      <c r="DS113" s="31">
        <v>0.0</v>
      </c>
      <c r="DT113" s="31">
        <f>'Old Balance Sheet'!AC113</f>
        <v>0</v>
      </c>
      <c r="DU113" s="31">
        <f>DT113 + SUMIFS('Payments Log'!D:D, 'Payments Log'!B:B, A113, 'Payments Log'!L:L, "Approved", 'Payments Log'!M:M, "Credit") + 'Old Balance Sheet'!AD113 - 'Old Balance Sheet'!AC113</f>
        <v>0</v>
      </c>
      <c r="DV113" s="31">
        <f>SUMIFS('Payments Log'!D:D, 'Payments Log'!B:B, A113, 'Payments Log'!L:L, "Approved", 'Payments Log'!M:M, "Adjustment Credit") - SUMIFS('Payments Log'!D:D, 'Payments Log'!B:B, A113, 'Payments Log'!L:L, "Approved", 'Payments Log'!M:M, "Adjustment Debit") + 'Old Balance Sheet'!AE113</f>
        <v>0</v>
      </c>
      <c r="DW113" s="31">
        <f>IF(MAXIFS('Payments Log'!N:N, 'Payments Log'!L:L, "Approved", 'Payments Log'!M:M, "Credit", 'Payments Log'!B:B, A113) &gt; MAXIFS('Payments Log'!N:N, 'Payments Log'!L:L, "Approved", 'Payments Log'!M:M, "Virtual Credit", 'Payments Log'!B:B, A113), 0, SUMIFS('Payments Log'!D:D, 'Payments Log'!N:N, MAXIFS('Payments Log'!N:N, 'Payments Log'!L:L, "Approved", 'Payments Log'!M:M, "Virtual Credit", 'Payments Log'!B:B, A113)))</f>
        <v>0</v>
      </c>
      <c r="DX113" s="33">
        <f t="shared" si="6"/>
        <v>0</v>
      </c>
      <c r="DY113" s="33">
        <f t="shared" si="7"/>
        <v>0</v>
      </c>
      <c r="DZ113" s="33">
        <f t="shared" si="8"/>
        <v>0</v>
      </c>
      <c r="EA113" s="25" t="str">
        <f>(Sheet1!N113)</f>
        <v>MPS</v>
      </c>
      <c r="EB113" s="25" t="str">
        <f>(Sheet1!O113)</f>
        <v>1ClXh28BQwwGN7Q42xt0Dc8b_R_3jweBItLcbwVq3Rj0</v>
      </c>
      <c r="EC113" s="26" t="str">
        <f>(Sheet1!P113)</f>
        <v>Sub Dealer</v>
      </c>
      <c r="ED113" s="34" t="s">
        <v>13</v>
      </c>
    </row>
    <row r="114">
      <c r="A114" s="25" t="str">
        <f>(Sheet1!A114)</f>
        <v>10my9j6PucXwYa7gh_WvsXD6uPvI-yhWp3q1FQznHVc8</v>
      </c>
      <c r="B114" s="25" t="str">
        <f>(Sheet1!B114)</f>
        <v>Sohna Honda</v>
      </c>
      <c r="C114" s="30" t="s">
        <v>13</v>
      </c>
      <c r="D114" s="30" t="s">
        <v>72</v>
      </c>
      <c r="E114" s="30" t="s">
        <v>3817</v>
      </c>
      <c r="F114" s="31">
        <v>205.0</v>
      </c>
      <c r="G114" s="32" t="s">
        <v>3818</v>
      </c>
      <c r="H114" s="31">
        <v>100.0</v>
      </c>
      <c r="I114" s="33">
        <f>'Old Balance Sheet'!A114 + 'ACPL Calculations - 1.0'!A114 + 'ACPL Calculations - 2.0'!A114</f>
        <v>0</v>
      </c>
      <c r="J114" s="30" t="s">
        <v>3817</v>
      </c>
      <c r="K114" s="31">
        <v>205.0</v>
      </c>
      <c r="L114" s="32" t="s">
        <v>3818</v>
      </c>
      <c r="M114" s="31">
        <v>100.0</v>
      </c>
      <c r="N114" s="33">
        <f>'Old Balance Sheet'!B114 + 'ACPL Calculations - 1.0'!B114 + 'ACPL Calculations - 2.0'!B114</f>
        <v>0</v>
      </c>
      <c r="O114" s="30" t="s">
        <v>3817</v>
      </c>
      <c r="P114" s="31">
        <v>290.0</v>
      </c>
      <c r="Q114" s="32" t="s">
        <v>3818</v>
      </c>
      <c r="R114" s="31">
        <v>100.0</v>
      </c>
      <c r="S114" s="33">
        <f>'Old Balance Sheet'!C114 + 'ACPL Calculations - 1.0'!C114 + 'ACPL Calculations - 2.0'!C114</f>
        <v>0</v>
      </c>
      <c r="T114" s="30" t="s">
        <v>3817</v>
      </c>
      <c r="U114" s="31">
        <v>375.0</v>
      </c>
      <c r="V114" s="32" t="s">
        <v>3818</v>
      </c>
      <c r="W114" s="31">
        <v>100.0</v>
      </c>
      <c r="X114" s="33">
        <f>'Old Balance Sheet'!D114 + 'ACPL Calculations - 1.0'!D114 + 'ACPL Calculations - 2.0'!D114</f>
        <v>0</v>
      </c>
      <c r="Y114" s="30" t="s">
        <v>3817</v>
      </c>
      <c r="Z114" s="31">
        <v>460.0</v>
      </c>
      <c r="AA114" s="32" t="s">
        <v>3818</v>
      </c>
      <c r="AB114" s="31">
        <v>100.0</v>
      </c>
      <c r="AC114" s="33">
        <f>'Old Balance Sheet'!E114 + 'ACPL Calculations - 1.0'!E114 + 'ACPL Calculations - 2.0'!E114</f>
        <v>0</v>
      </c>
      <c r="AD114" s="30" t="s">
        <v>3817</v>
      </c>
      <c r="AE114" s="34">
        <v>838.99</v>
      </c>
      <c r="AF114" s="32" t="s">
        <v>3818</v>
      </c>
      <c r="AG114" s="31">
        <v>100.0</v>
      </c>
      <c r="AH114" s="33">
        <f>'Old Balance Sheet'!F114 + 'ACPL Calculations - 1.0'!F114 + 'ACPL Calculations - 2.0'!F114</f>
        <v>0</v>
      </c>
      <c r="AI114" s="30" t="s">
        <v>3817</v>
      </c>
      <c r="AJ114" s="31">
        <v>375.0</v>
      </c>
      <c r="AK114" s="32" t="s">
        <v>3818</v>
      </c>
      <c r="AL114" s="31">
        <v>100.0</v>
      </c>
      <c r="AM114" s="33">
        <f>'Old Balance Sheet'!G114 + 'ACPL Calculations - 1.0'!G114 + 'ACPL Calculations - 2.0'!G114</f>
        <v>0</v>
      </c>
      <c r="AN114" s="30" t="s">
        <v>3817</v>
      </c>
      <c r="AO114" s="31">
        <v>290.0</v>
      </c>
      <c r="AP114" s="32" t="s">
        <v>3818</v>
      </c>
      <c r="AQ114" s="31">
        <v>100.0</v>
      </c>
      <c r="AR114" s="33">
        <f>'Old Balance Sheet'!H114 + 'ACPL Calculations - 1.0'!H114 + 'ACPL Calculations - 2.0'!H114</f>
        <v>0</v>
      </c>
      <c r="AS114" s="30" t="s">
        <v>3819</v>
      </c>
      <c r="AT114" s="31">
        <v>838.99</v>
      </c>
      <c r="AU114" s="32" t="s">
        <v>3818</v>
      </c>
      <c r="AV114" s="31">
        <v>100.0</v>
      </c>
      <c r="AW114" s="33">
        <f>'Old Balance Sheet'!I114 + 'ACPL Calculations - 1.0'!I114 + 'ACPL Calculations - 2.0'!I114</f>
        <v>0</v>
      </c>
      <c r="AX114" s="30" t="s">
        <v>3817</v>
      </c>
      <c r="AY114" s="31">
        <v>290.0</v>
      </c>
      <c r="AZ114" s="32" t="s">
        <v>3818</v>
      </c>
      <c r="BA114" s="31">
        <v>100.0</v>
      </c>
      <c r="BB114" s="33">
        <f>'Old Balance Sheet'!J114 + 'ACPL Calculations - 1.0'!J114 + 'ACPL Calculations - 2.0'!J114</f>
        <v>0</v>
      </c>
      <c r="BC114" s="30" t="s">
        <v>3817</v>
      </c>
      <c r="BD114" s="31">
        <v>205.0</v>
      </c>
      <c r="BE114" s="32" t="s">
        <v>3818</v>
      </c>
      <c r="BF114" s="31">
        <v>100.0</v>
      </c>
      <c r="BG114" s="33">
        <f>'Old Balance Sheet'!K114 + 'ACPL Calculations - 1.0'!K114 + 'ACPL Calculations - 2.0'!K114</f>
        <v>0</v>
      </c>
      <c r="BH114" s="30" t="s">
        <v>3817</v>
      </c>
      <c r="BI114" s="31">
        <v>205.0</v>
      </c>
      <c r="BJ114" s="32" t="s">
        <v>3818</v>
      </c>
      <c r="BK114" s="31">
        <v>100.0</v>
      </c>
      <c r="BL114" s="33">
        <f>'Old Balance Sheet'!L114 + 'ACPL Calculations - 1.0'!L114 + 'ACPL Calculations - 2.0'!L114</f>
        <v>0</v>
      </c>
      <c r="BM114" s="33"/>
      <c r="BN114" s="33"/>
      <c r="BO114" s="33"/>
      <c r="BP114" s="33"/>
      <c r="BQ114" s="33"/>
      <c r="BR114" s="33"/>
      <c r="BS114" s="33"/>
      <c r="BT114" s="33"/>
      <c r="BU114" s="33"/>
      <c r="BV114" s="33"/>
      <c r="BW114" s="33"/>
      <c r="BX114" s="33"/>
      <c r="BY114" s="33"/>
      <c r="BZ114" s="33"/>
      <c r="CA114" s="33"/>
      <c r="CB114" s="33"/>
      <c r="CC114" s="33"/>
      <c r="CD114" s="33"/>
      <c r="CE114" s="33"/>
      <c r="CF114" s="33"/>
      <c r="CG114" s="33"/>
      <c r="CH114" s="33"/>
      <c r="CI114" s="33"/>
      <c r="CJ114" s="33"/>
      <c r="CK114" s="33"/>
      <c r="CL114" s="33">
        <f t="shared" si="1"/>
        <v>0</v>
      </c>
      <c r="CM114" s="33">
        <f>'Old Balance Sheet'!R114 + 'ACPL Calculations - 1.0'!S114 + 'ACPL Calculations - 2.0'!S114</f>
        <v>0</v>
      </c>
      <c r="CN114" s="33">
        <f>'Old Balance Sheet'!S114 + 'ACPL Calculations - 1.0'!T114 + 'ACPL Calculations - 2.0'!T114</f>
        <v>0</v>
      </c>
      <c r="CO114" s="33">
        <f t="shared" si="2"/>
        <v>0</v>
      </c>
      <c r="CP114" s="33">
        <f>'Old Balance Sheet'!T114 + 'ACPL Calculations - 1.0'!V114 + 'ACPL Calculations - 2.0'!V114</f>
        <v>0</v>
      </c>
      <c r="CQ114" s="33">
        <f>'Old Balance Sheet'!U114 + 'ACPL Calculations - 1.0'!W114 + 'ACPL Calculations - 2.0'!W114</f>
        <v>0</v>
      </c>
      <c r="CR114" s="33">
        <f>'Old Balance Sheet'!V114 + 'ACPL Calculations - 1.0'!X114 + 'ACPL Calculations - 2.0'!X114</f>
        <v>0</v>
      </c>
      <c r="CS114" s="33">
        <f t="shared" si="3"/>
        <v>0</v>
      </c>
      <c r="CT114" s="35"/>
      <c r="CU114" s="35"/>
      <c r="CV114" s="35"/>
      <c r="CW114" s="36">
        <f>'Old Balance Sheet'!W114 + 'ACPL Calculations - 1.0'!Z114 + 'ACPL Calculations - 2.0'!Z114</f>
        <v>0</v>
      </c>
      <c r="CX114" s="36">
        <f>'Old Balance Sheet'!X114 + 'ACPL Calculations - 1.0'!AA114 + 'ACPL Calculations - 2.0'!AA114</f>
        <v>0</v>
      </c>
      <c r="CY114" s="37">
        <v>0.0</v>
      </c>
      <c r="CZ114" s="38">
        <f>'Old Balance Sheet'!Y114 + 'ACPL Calculations - 1.0'!AB114 + 'ACPL Calculations - 2.0'!AB114</f>
        <v>0</v>
      </c>
      <c r="DA114" s="38">
        <f>'Old Balance Sheet'!Z114 + 'ACPL Calculations - 1.0'!AC114 + 'ACPL Calculations - 2.0'!AC114</f>
        <v>0</v>
      </c>
      <c r="DB114" s="38">
        <f>'Old Balance Sheet'!AA114 + 'ACPL Calculations - 1.0'!AD114 + 'ACPL Calculations - 2.0'!AD114</f>
        <v>0</v>
      </c>
      <c r="DC114" s="38">
        <f>'Old Balance Sheet'!AB114 + 'ACPL Calculations - 1.0'!AE114 + 'ACPL Calculations - 2.0'!AE114</f>
        <v>0</v>
      </c>
      <c r="DD114" s="38">
        <f t="shared" si="4"/>
        <v>0</v>
      </c>
      <c r="DE114" s="33">
        <f t="shared" si="5"/>
        <v>0</v>
      </c>
      <c r="DF114" s="35">
        <v>0.0</v>
      </c>
      <c r="DG114" s="35">
        <v>0.0</v>
      </c>
      <c r="DH114" s="35">
        <v>0.0</v>
      </c>
      <c r="DI114" s="35">
        <v>0.0</v>
      </c>
      <c r="DJ114" s="35">
        <v>0.0</v>
      </c>
      <c r="DK114" s="35">
        <v>0.0</v>
      </c>
      <c r="DL114" s="35">
        <v>0.0</v>
      </c>
      <c r="DM114" s="35">
        <v>0.0</v>
      </c>
      <c r="DN114" s="31">
        <v>0.0</v>
      </c>
      <c r="DO114" s="31">
        <v>0.0</v>
      </c>
      <c r="DP114" s="31">
        <v>0.0</v>
      </c>
      <c r="DQ114" s="31">
        <v>0.0</v>
      </c>
      <c r="DR114" s="31">
        <v>0.0</v>
      </c>
      <c r="DS114" s="31">
        <v>0.0</v>
      </c>
      <c r="DT114" s="31">
        <f>'Old Balance Sheet'!AC114</f>
        <v>-767</v>
      </c>
      <c r="DU114" s="31">
        <f>DT114 + SUMIFS('Payments Log'!D:D, 'Payments Log'!B:B, A114, 'Payments Log'!L:L, "Approved", 'Payments Log'!M:M, "Credit") + 'Old Balance Sheet'!AD114 - 'Old Balance Sheet'!AC114</f>
        <v>-767</v>
      </c>
      <c r="DV114" s="31">
        <f>SUMIFS('Payments Log'!D:D, 'Payments Log'!B:B, A114, 'Payments Log'!L:L, "Approved", 'Payments Log'!M:M, "Adjustment Credit") - SUMIFS('Payments Log'!D:D, 'Payments Log'!B:B, A114, 'Payments Log'!L:L, "Approved", 'Payments Log'!M:M, "Adjustment Debit") + 'Old Balance Sheet'!AE114</f>
        <v>0</v>
      </c>
      <c r="DW114" s="31">
        <f>IF(MAXIFS('Payments Log'!N:N, 'Payments Log'!L:L, "Approved", 'Payments Log'!M:M, "Credit", 'Payments Log'!B:B, A114) &gt; MAXIFS('Payments Log'!N:N, 'Payments Log'!L:L, "Approved", 'Payments Log'!M:M, "Virtual Credit", 'Payments Log'!B:B, A114), 0, SUMIFS('Payments Log'!D:D, 'Payments Log'!N:N, MAXIFS('Payments Log'!N:N, 'Payments Log'!L:L, "Approved", 'Payments Log'!M:M, "Virtual Credit", 'Payments Log'!B:B, A114)))</f>
        <v>0</v>
      </c>
      <c r="DX114" s="33">
        <f t="shared" si="6"/>
        <v>-767</v>
      </c>
      <c r="DY114" s="33">
        <f t="shared" si="7"/>
        <v>-767</v>
      </c>
      <c r="DZ114" s="33">
        <f t="shared" si="8"/>
        <v>-767</v>
      </c>
      <c r="EA114" s="25" t="str">
        <f>(Sheet1!N114)</f>
        <v>Sohna Honda</v>
      </c>
      <c r="EB114" s="25" t="str">
        <f>(Sheet1!O114)</f>
        <v>10my9j6PucXwYa7gh_WvsXD6uPvI-yhWp3q1FQznHVc8</v>
      </c>
      <c r="EC114" s="26" t="str">
        <f>(Sheet1!P114)</f>
        <v>Sub Dealer</v>
      </c>
      <c r="ED114" s="34" t="s">
        <v>13</v>
      </c>
    </row>
    <row r="115">
      <c r="A115" s="25" t="str">
        <f>(Sheet1!A115)</f>
        <v>1hwxal2Fqa0hEplduGUGitsJlZ0mEGEOEYh3fdHugU9o</v>
      </c>
      <c r="B115" s="25" t="str">
        <f>(Sheet1!B115)</f>
        <v>Shree Balaji Automobiles - Fatehabad</v>
      </c>
      <c r="C115" s="30" t="s">
        <v>13</v>
      </c>
      <c r="D115" s="30" t="s">
        <v>72</v>
      </c>
      <c r="E115" s="30" t="s">
        <v>3820</v>
      </c>
      <c r="F115" s="31">
        <v>205.0</v>
      </c>
      <c r="G115" s="32" t="s">
        <v>3818</v>
      </c>
      <c r="H115" s="31">
        <v>100.0</v>
      </c>
      <c r="I115" s="33">
        <f>'Old Balance Sheet'!A115 + 'ACPL Calculations - 1.0'!A115 + 'ACPL Calculations - 2.0'!A115</f>
        <v>0</v>
      </c>
      <c r="J115" s="30" t="s">
        <v>3820</v>
      </c>
      <c r="K115" s="31">
        <v>205.0</v>
      </c>
      <c r="L115" s="32" t="s">
        <v>3818</v>
      </c>
      <c r="M115" s="31">
        <v>100.0</v>
      </c>
      <c r="N115" s="33">
        <f>'Old Balance Sheet'!B115 + 'ACPL Calculations - 1.0'!B115 + 'ACPL Calculations - 2.0'!B115</f>
        <v>0</v>
      </c>
      <c r="O115" s="30" t="s">
        <v>3820</v>
      </c>
      <c r="P115" s="31">
        <v>290.0</v>
      </c>
      <c r="Q115" s="32" t="s">
        <v>3818</v>
      </c>
      <c r="R115" s="31">
        <v>100.0</v>
      </c>
      <c r="S115" s="33">
        <f>'Old Balance Sheet'!C115 + 'ACPL Calculations - 1.0'!C115 + 'ACPL Calculations - 2.0'!C115</f>
        <v>0</v>
      </c>
      <c r="T115" s="30" t="s">
        <v>3820</v>
      </c>
      <c r="U115" s="31">
        <v>375.0</v>
      </c>
      <c r="V115" s="32" t="s">
        <v>3818</v>
      </c>
      <c r="W115" s="31">
        <v>100.0</v>
      </c>
      <c r="X115" s="33">
        <f>'Old Balance Sheet'!D115 + 'ACPL Calculations - 1.0'!D115 + 'ACPL Calculations - 2.0'!D115</f>
        <v>0</v>
      </c>
      <c r="Y115" s="30" t="s">
        <v>3820</v>
      </c>
      <c r="Z115" s="31">
        <v>460.0</v>
      </c>
      <c r="AA115" s="32" t="s">
        <v>3818</v>
      </c>
      <c r="AB115" s="31">
        <v>100.0</v>
      </c>
      <c r="AC115" s="33">
        <f>'Old Balance Sheet'!E115 + 'ACPL Calculations - 1.0'!E115 + 'ACPL Calculations - 2.0'!E115</f>
        <v>32</v>
      </c>
      <c r="AD115" s="30" t="s">
        <v>3820</v>
      </c>
      <c r="AE115" s="34">
        <v>838.99</v>
      </c>
      <c r="AF115" s="32" t="s">
        <v>3818</v>
      </c>
      <c r="AG115" s="31">
        <v>100.0</v>
      </c>
      <c r="AH115" s="33">
        <f>'Old Balance Sheet'!F115 + 'ACPL Calculations - 1.0'!F115 + 'ACPL Calculations - 2.0'!F115</f>
        <v>0</v>
      </c>
      <c r="AI115" s="30" t="s">
        <v>3820</v>
      </c>
      <c r="AJ115" s="31">
        <v>375.0</v>
      </c>
      <c r="AK115" s="32" t="s">
        <v>3818</v>
      </c>
      <c r="AL115" s="31">
        <v>100.0</v>
      </c>
      <c r="AM115" s="33">
        <f>'Old Balance Sheet'!G115 + 'ACPL Calculations - 1.0'!G115 + 'ACPL Calculations - 2.0'!G115</f>
        <v>0</v>
      </c>
      <c r="AN115" s="30" t="s">
        <v>3820</v>
      </c>
      <c r="AO115" s="31">
        <v>290.0</v>
      </c>
      <c r="AP115" s="32" t="s">
        <v>3818</v>
      </c>
      <c r="AQ115" s="31">
        <v>100.0</v>
      </c>
      <c r="AR115" s="33">
        <f>'Old Balance Sheet'!H115 + 'ACPL Calculations - 1.0'!H115 + 'ACPL Calculations - 2.0'!H115</f>
        <v>0</v>
      </c>
      <c r="AS115" s="30" t="s">
        <v>3819</v>
      </c>
      <c r="AT115" s="31">
        <v>838.99</v>
      </c>
      <c r="AU115" s="32" t="s">
        <v>3818</v>
      </c>
      <c r="AV115" s="31">
        <v>100.0</v>
      </c>
      <c r="AW115" s="33">
        <f>'Old Balance Sheet'!I115 + 'ACPL Calculations - 1.0'!I115 + 'ACPL Calculations - 2.0'!I115</f>
        <v>0</v>
      </c>
      <c r="AX115" s="30" t="s">
        <v>3820</v>
      </c>
      <c r="AY115" s="31">
        <v>290.0</v>
      </c>
      <c r="AZ115" s="32" t="s">
        <v>3818</v>
      </c>
      <c r="BA115" s="31">
        <v>100.0</v>
      </c>
      <c r="BB115" s="33">
        <f>'Old Balance Sheet'!J115 + 'ACPL Calculations - 1.0'!J115 + 'ACPL Calculations - 2.0'!J115</f>
        <v>0</v>
      </c>
      <c r="BC115" s="30" t="s">
        <v>3820</v>
      </c>
      <c r="BD115" s="31">
        <v>205.0</v>
      </c>
      <c r="BE115" s="32" t="s">
        <v>3818</v>
      </c>
      <c r="BF115" s="31">
        <v>100.0</v>
      </c>
      <c r="BG115" s="33">
        <f>'Old Balance Sheet'!K115 + 'ACPL Calculations - 1.0'!K115 + 'ACPL Calculations - 2.0'!K115</f>
        <v>0</v>
      </c>
      <c r="BH115" s="30" t="s">
        <v>3820</v>
      </c>
      <c r="BI115" s="31">
        <v>205.0</v>
      </c>
      <c r="BJ115" s="32" t="s">
        <v>3818</v>
      </c>
      <c r="BK115" s="31">
        <v>100.0</v>
      </c>
      <c r="BL115" s="33">
        <f>'Old Balance Sheet'!L115 + 'ACPL Calculations - 1.0'!L115 + 'ACPL Calculations - 2.0'!L115</f>
        <v>0</v>
      </c>
      <c r="BM115" s="33"/>
      <c r="BN115" s="33"/>
      <c r="BO115" s="33"/>
      <c r="BP115" s="33"/>
      <c r="BQ115" s="33"/>
      <c r="BR115" s="33"/>
      <c r="BS115" s="33"/>
      <c r="BT115" s="33"/>
      <c r="BU115" s="33"/>
      <c r="BV115" s="33"/>
      <c r="BW115" s="33"/>
      <c r="BX115" s="33"/>
      <c r="BY115" s="33"/>
      <c r="BZ115" s="33"/>
      <c r="CA115" s="33"/>
      <c r="CB115" s="33"/>
      <c r="CC115" s="33"/>
      <c r="CD115" s="33"/>
      <c r="CE115" s="33"/>
      <c r="CF115" s="33"/>
      <c r="CG115" s="33"/>
      <c r="CH115" s="33"/>
      <c r="CI115" s="33"/>
      <c r="CJ115" s="33"/>
      <c r="CK115" s="33"/>
      <c r="CL115" s="33">
        <f t="shared" si="1"/>
        <v>32</v>
      </c>
      <c r="CM115" s="33">
        <f>'Old Balance Sheet'!R115 + 'ACPL Calculations - 1.0'!S115 + 'ACPL Calculations - 2.0'!S115</f>
        <v>38400</v>
      </c>
      <c r="CN115" s="33">
        <f>'Old Balance Sheet'!S115 + 'ACPL Calculations - 1.0'!T115 + 'ACPL Calculations - 2.0'!T115</f>
        <v>14720</v>
      </c>
      <c r="CO115" s="33">
        <f t="shared" si="2"/>
        <v>20577.9</v>
      </c>
      <c r="CP115" s="33">
        <f>'Old Balance Sheet'!T115 + 'ACPL Calculations - 1.0'!V115 + 'ACPL Calculations - 2.0'!V115</f>
        <v>2745.9</v>
      </c>
      <c r="CQ115" s="33">
        <f>'Old Balance Sheet'!U115 + 'ACPL Calculations - 1.0'!W115 + 'ACPL Calculations - 2.0'!W115</f>
        <v>2745.9</v>
      </c>
      <c r="CR115" s="33">
        <f>'Old Balance Sheet'!V115 + 'ACPL Calculations - 1.0'!X115 + 'ACPL Calculations - 2.0'!X115</f>
        <v>366.1</v>
      </c>
      <c r="CS115" s="33">
        <f t="shared" si="3"/>
        <v>5857.9</v>
      </c>
      <c r="CT115" s="35"/>
      <c r="CU115" s="35"/>
      <c r="CV115" s="35"/>
      <c r="CW115" s="36">
        <f>'Old Balance Sheet'!W115 + 'ACPL Calculations - 1.0'!Z115 + 'ACPL Calculations - 2.0'!Z115</f>
        <v>38400</v>
      </c>
      <c r="CX115" s="36">
        <f>'Old Balance Sheet'!X115 + 'ACPL Calculations - 1.0'!AA115 + 'ACPL Calculations - 2.0'!AA115</f>
        <v>20934.38</v>
      </c>
      <c r="CY115" s="37">
        <v>0.0</v>
      </c>
      <c r="CZ115" s="38">
        <f>'Old Balance Sheet'!Y115 + 'ACPL Calculations - 1.0'!AB115 + 'ACPL Calculations - 2.0'!AB115</f>
        <v>17465.62</v>
      </c>
      <c r="DA115" s="38">
        <f>'Old Balance Sheet'!Z115 + 'ACPL Calculations - 1.0'!AC115 + 'ACPL Calculations - 2.0'!AC115</f>
        <v>0</v>
      </c>
      <c r="DB115" s="38">
        <f>'Old Balance Sheet'!AA115 + 'ACPL Calculations - 1.0'!AD115 + 'ACPL Calculations - 2.0'!AD115</f>
        <v>356.48</v>
      </c>
      <c r="DC115" s="38">
        <f>'Old Balance Sheet'!AB115 + 'ACPL Calculations - 1.0'!AE115 + 'ACPL Calculations - 2.0'!AE115</f>
        <v>17465.62</v>
      </c>
      <c r="DD115" s="38">
        <f t="shared" si="4"/>
        <v>17465.62</v>
      </c>
      <c r="DE115" s="33">
        <f t="shared" si="5"/>
        <v>17465.62</v>
      </c>
      <c r="DF115" s="35">
        <v>0.0</v>
      </c>
      <c r="DG115" s="35">
        <v>0.0</v>
      </c>
      <c r="DH115" s="35">
        <v>0.0</v>
      </c>
      <c r="DI115" s="35">
        <v>0.0</v>
      </c>
      <c r="DJ115" s="35">
        <v>0.0</v>
      </c>
      <c r="DK115" s="35">
        <v>0.0</v>
      </c>
      <c r="DL115" s="35">
        <v>0.0</v>
      </c>
      <c r="DM115" s="35">
        <v>0.0</v>
      </c>
      <c r="DN115" s="31">
        <v>0.0</v>
      </c>
      <c r="DO115" s="31">
        <v>0.0</v>
      </c>
      <c r="DP115" s="31">
        <v>0.0</v>
      </c>
      <c r="DQ115" s="31">
        <v>0.0</v>
      </c>
      <c r="DR115" s="31">
        <v>0.0</v>
      </c>
      <c r="DS115" s="31">
        <v>0.0</v>
      </c>
      <c r="DT115" s="31">
        <f>'Old Balance Sheet'!AC115</f>
        <v>-227552</v>
      </c>
      <c r="DU115" s="31">
        <f>DT115 + SUMIFS('Payments Log'!D:D, 'Payments Log'!B:B, A115, 'Payments Log'!L:L, "Approved", 'Payments Log'!M:M, "Credit") + 'Old Balance Sheet'!AD115 - 'Old Balance Sheet'!AC115</f>
        <v>37200</v>
      </c>
      <c r="DV115" s="31">
        <f>SUMIFS('Payments Log'!D:D, 'Payments Log'!B:B, A115, 'Payments Log'!L:L, "Approved", 'Payments Log'!M:M, "Adjustment Credit") - SUMIFS('Payments Log'!D:D, 'Payments Log'!B:B, A115, 'Payments Log'!L:L, "Approved", 'Payments Log'!M:M, "Adjustment Debit") + 'Old Balance Sheet'!AE115</f>
        <v>1200</v>
      </c>
      <c r="DW115" s="31">
        <f>IF(MAXIFS('Payments Log'!N:N, 'Payments Log'!L:L, "Approved", 'Payments Log'!M:M, "Credit", 'Payments Log'!B:B, A115) &gt; MAXIFS('Payments Log'!N:N, 'Payments Log'!L:L, "Approved", 'Payments Log'!M:M, "Virtual Credit", 'Payments Log'!B:B, A115), 0, SUMIFS('Payments Log'!D:D, 'Payments Log'!N:N, MAXIFS('Payments Log'!N:N, 'Payments Log'!L:L, "Approved", 'Payments Log'!M:M, "Virtual Credit", 'Payments Log'!B:B, A115)))</f>
        <v>0</v>
      </c>
      <c r="DX115" s="33">
        <f t="shared" si="6"/>
        <v>0</v>
      </c>
      <c r="DY115" s="33">
        <f t="shared" si="7"/>
        <v>17465.62</v>
      </c>
      <c r="DZ115" s="33">
        <f t="shared" si="8"/>
        <v>17465.62</v>
      </c>
      <c r="EA115" s="25" t="str">
        <f>(Sheet1!N115)</f>
        <v>Shree Balaji Automobiles - Fatehabad</v>
      </c>
      <c r="EB115" s="25" t="str">
        <f>(Sheet1!O115)</f>
        <v>1hwxal2Fqa0hEplduGUGitsJlZ0mEGEOEYh3fdHugU9o</v>
      </c>
      <c r="EC115" s="26" t="str">
        <f>(Sheet1!P115)</f>
        <v>Dealer</v>
      </c>
      <c r="ED115" s="34" t="s">
        <v>13</v>
      </c>
    </row>
    <row r="116">
      <c r="A116" s="25" t="str">
        <f>(Sheet1!A116)</f>
        <v>1AyozEGLZqJCcdssyT5lh9p367qkQ4ixlLx7VhIkGjas</v>
      </c>
      <c r="B116" s="25" t="str">
        <f>(Sheet1!B116)</f>
        <v>Shri Krishna Auto - Rohtak</v>
      </c>
      <c r="C116" s="30" t="s">
        <v>13</v>
      </c>
      <c r="D116" s="30" t="s">
        <v>72</v>
      </c>
      <c r="E116" s="30" t="s">
        <v>3817</v>
      </c>
      <c r="F116" s="31">
        <v>205.0</v>
      </c>
      <c r="G116" s="32" t="s">
        <v>3818</v>
      </c>
      <c r="H116" s="31">
        <v>100.0</v>
      </c>
      <c r="I116" s="33">
        <f>'Old Balance Sheet'!A116 + 'ACPL Calculations - 1.0'!A116 + 'ACPL Calculations - 2.0'!A116</f>
        <v>0</v>
      </c>
      <c r="J116" s="30" t="s">
        <v>3817</v>
      </c>
      <c r="K116" s="31">
        <v>205.0</v>
      </c>
      <c r="L116" s="32" t="s">
        <v>3818</v>
      </c>
      <c r="M116" s="31">
        <v>100.0</v>
      </c>
      <c r="N116" s="33">
        <f>'Old Balance Sheet'!B116 + 'ACPL Calculations - 1.0'!B116 + 'ACPL Calculations - 2.0'!B116</f>
        <v>0</v>
      </c>
      <c r="O116" s="30" t="s">
        <v>3817</v>
      </c>
      <c r="P116" s="31">
        <v>290.0</v>
      </c>
      <c r="Q116" s="32" t="s">
        <v>3818</v>
      </c>
      <c r="R116" s="31">
        <v>100.0</v>
      </c>
      <c r="S116" s="33">
        <f>'Old Balance Sheet'!C116 + 'ACPL Calculations - 1.0'!C116 + 'ACPL Calculations - 2.0'!C116</f>
        <v>0</v>
      </c>
      <c r="T116" s="30" t="s">
        <v>3817</v>
      </c>
      <c r="U116" s="31">
        <v>375.0</v>
      </c>
      <c r="V116" s="32" t="s">
        <v>3818</v>
      </c>
      <c r="W116" s="31">
        <v>100.0</v>
      </c>
      <c r="X116" s="33">
        <f>'Old Balance Sheet'!D116 + 'ACPL Calculations - 1.0'!D116 + 'ACPL Calculations - 2.0'!D116</f>
        <v>0</v>
      </c>
      <c r="Y116" s="30" t="s">
        <v>3817</v>
      </c>
      <c r="Z116" s="31">
        <v>460.0</v>
      </c>
      <c r="AA116" s="32" t="s">
        <v>3818</v>
      </c>
      <c r="AB116" s="31">
        <v>100.0</v>
      </c>
      <c r="AC116" s="33">
        <f>'Old Balance Sheet'!E116 + 'ACPL Calculations - 1.0'!E116 + 'ACPL Calculations - 2.0'!E116</f>
        <v>0</v>
      </c>
      <c r="AD116" s="30" t="s">
        <v>3817</v>
      </c>
      <c r="AE116" s="34">
        <v>838.99</v>
      </c>
      <c r="AF116" s="32" t="s">
        <v>3818</v>
      </c>
      <c r="AG116" s="31">
        <v>100.0</v>
      </c>
      <c r="AH116" s="33">
        <f>'Old Balance Sheet'!F116 + 'ACPL Calculations - 1.0'!F116 + 'ACPL Calculations - 2.0'!F116</f>
        <v>0</v>
      </c>
      <c r="AI116" s="30" t="s">
        <v>3817</v>
      </c>
      <c r="AJ116" s="31">
        <v>375.0</v>
      </c>
      <c r="AK116" s="32" t="s">
        <v>3818</v>
      </c>
      <c r="AL116" s="31">
        <v>100.0</v>
      </c>
      <c r="AM116" s="33">
        <f>'Old Balance Sheet'!G116 + 'ACPL Calculations - 1.0'!G116 + 'ACPL Calculations - 2.0'!G116</f>
        <v>0</v>
      </c>
      <c r="AN116" s="30" t="s">
        <v>3817</v>
      </c>
      <c r="AO116" s="31">
        <v>290.0</v>
      </c>
      <c r="AP116" s="32" t="s">
        <v>3818</v>
      </c>
      <c r="AQ116" s="31">
        <v>100.0</v>
      </c>
      <c r="AR116" s="33">
        <f>'Old Balance Sheet'!H116 + 'ACPL Calculations - 1.0'!H116 + 'ACPL Calculations - 2.0'!H116</f>
        <v>0</v>
      </c>
      <c r="AS116" s="30" t="s">
        <v>3819</v>
      </c>
      <c r="AT116" s="31">
        <v>838.99</v>
      </c>
      <c r="AU116" s="32" t="s">
        <v>3818</v>
      </c>
      <c r="AV116" s="31">
        <v>100.0</v>
      </c>
      <c r="AW116" s="33">
        <f>'Old Balance Sheet'!I116 + 'ACPL Calculations - 1.0'!I116 + 'ACPL Calculations - 2.0'!I116</f>
        <v>0</v>
      </c>
      <c r="AX116" s="30" t="s">
        <v>3817</v>
      </c>
      <c r="AY116" s="31">
        <v>290.0</v>
      </c>
      <c r="AZ116" s="32" t="s">
        <v>3818</v>
      </c>
      <c r="BA116" s="31">
        <v>100.0</v>
      </c>
      <c r="BB116" s="33">
        <f>'Old Balance Sheet'!J116 + 'ACPL Calculations - 1.0'!J116 + 'ACPL Calculations - 2.0'!J116</f>
        <v>0</v>
      </c>
      <c r="BC116" s="30" t="s">
        <v>3817</v>
      </c>
      <c r="BD116" s="31">
        <v>205.0</v>
      </c>
      <c r="BE116" s="32" t="s">
        <v>3818</v>
      </c>
      <c r="BF116" s="31">
        <v>100.0</v>
      </c>
      <c r="BG116" s="33">
        <f>'Old Balance Sheet'!K116 + 'ACPL Calculations - 1.0'!K116 + 'ACPL Calculations - 2.0'!K116</f>
        <v>0</v>
      </c>
      <c r="BH116" s="30" t="s">
        <v>3817</v>
      </c>
      <c r="BI116" s="31">
        <v>205.0</v>
      </c>
      <c r="BJ116" s="32" t="s">
        <v>3818</v>
      </c>
      <c r="BK116" s="31">
        <v>100.0</v>
      </c>
      <c r="BL116" s="33">
        <f>'Old Balance Sheet'!L116 + 'ACPL Calculations - 1.0'!L116 + 'ACPL Calculations - 2.0'!L116</f>
        <v>0</v>
      </c>
      <c r="BM116" s="33"/>
      <c r="BN116" s="33"/>
      <c r="BO116" s="33"/>
      <c r="BP116" s="33"/>
      <c r="BQ116" s="33"/>
      <c r="BR116" s="33"/>
      <c r="BS116" s="33"/>
      <c r="BT116" s="33"/>
      <c r="BU116" s="33"/>
      <c r="BV116" s="33"/>
      <c r="BW116" s="33"/>
      <c r="BX116" s="33"/>
      <c r="BY116" s="33"/>
      <c r="BZ116" s="33"/>
      <c r="CA116" s="33"/>
      <c r="CB116" s="33"/>
      <c r="CC116" s="33"/>
      <c r="CD116" s="33"/>
      <c r="CE116" s="33"/>
      <c r="CF116" s="33"/>
      <c r="CG116" s="33"/>
      <c r="CH116" s="33"/>
      <c r="CI116" s="33"/>
      <c r="CJ116" s="33"/>
      <c r="CK116" s="33"/>
      <c r="CL116" s="33">
        <f t="shared" si="1"/>
        <v>0</v>
      </c>
      <c r="CM116" s="33">
        <f>'Old Balance Sheet'!R116 + 'ACPL Calculations - 1.0'!S116 + 'ACPL Calculations - 2.0'!S116</f>
        <v>0</v>
      </c>
      <c r="CN116" s="33">
        <f>'Old Balance Sheet'!S116 + 'ACPL Calculations - 1.0'!T116 + 'ACPL Calculations - 2.0'!T116</f>
        <v>0</v>
      </c>
      <c r="CO116" s="33">
        <f t="shared" si="2"/>
        <v>0</v>
      </c>
      <c r="CP116" s="33">
        <f>'Old Balance Sheet'!T116 + 'ACPL Calculations - 1.0'!V116 + 'ACPL Calculations - 2.0'!V116</f>
        <v>0</v>
      </c>
      <c r="CQ116" s="33">
        <f>'Old Balance Sheet'!U116 + 'ACPL Calculations - 1.0'!W116 + 'ACPL Calculations - 2.0'!W116</f>
        <v>0</v>
      </c>
      <c r="CR116" s="33">
        <f>'Old Balance Sheet'!V116 + 'ACPL Calculations - 1.0'!X116 + 'ACPL Calculations - 2.0'!X116</f>
        <v>0</v>
      </c>
      <c r="CS116" s="33">
        <f t="shared" si="3"/>
        <v>0</v>
      </c>
      <c r="CT116" s="35"/>
      <c r="CU116" s="35"/>
      <c r="CV116" s="35"/>
      <c r="CW116" s="36">
        <f>'Old Balance Sheet'!W116 + 'ACPL Calculations - 1.0'!Z116 + 'ACPL Calculations - 2.0'!Z116</f>
        <v>0</v>
      </c>
      <c r="CX116" s="36">
        <f>'Old Balance Sheet'!X116 + 'ACPL Calculations - 1.0'!AA116 + 'ACPL Calculations - 2.0'!AA116</f>
        <v>0</v>
      </c>
      <c r="CY116" s="37">
        <v>0.0</v>
      </c>
      <c r="CZ116" s="38">
        <f>'Old Balance Sheet'!Y116 + 'ACPL Calculations - 1.0'!AB116 + 'ACPL Calculations - 2.0'!AB116</f>
        <v>0</v>
      </c>
      <c r="DA116" s="38">
        <f>'Old Balance Sheet'!Z116 + 'ACPL Calculations - 1.0'!AC116 + 'ACPL Calculations - 2.0'!AC116</f>
        <v>0</v>
      </c>
      <c r="DB116" s="38">
        <f>'Old Balance Sheet'!AA116 + 'ACPL Calculations - 1.0'!AD116 + 'ACPL Calculations - 2.0'!AD116</f>
        <v>0</v>
      </c>
      <c r="DC116" s="38">
        <f>'Old Balance Sheet'!AB116 + 'ACPL Calculations - 1.0'!AE116 + 'ACPL Calculations - 2.0'!AE116</f>
        <v>0</v>
      </c>
      <c r="DD116" s="38">
        <f t="shared" si="4"/>
        <v>0</v>
      </c>
      <c r="DE116" s="33">
        <f t="shared" si="5"/>
        <v>0</v>
      </c>
      <c r="DF116" s="35">
        <v>0.0</v>
      </c>
      <c r="DG116" s="35">
        <v>0.0</v>
      </c>
      <c r="DH116" s="35">
        <v>0.0</v>
      </c>
      <c r="DI116" s="35">
        <v>0.0</v>
      </c>
      <c r="DJ116" s="35">
        <v>0.0</v>
      </c>
      <c r="DK116" s="35">
        <v>0.0</v>
      </c>
      <c r="DL116" s="35">
        <v>0.0</v>
      </c>
      <c r="DM116" s="35">
        <v>0.0</v>
      </c>
      <c r="DN116" s="31">
        <v>0.0</v>
      </c>
      <c r="DO116" s="31">
        <v>0.0</v>
      </c>
      <c r="DP116" s="31">
        <v>0.0</v>
      </c>
      <c r="DQ116" s="31">
        <v>0.0</v>
      </c>
      <c r="DR116" s="31">
        <v>0.0</v>
      </c>
      <c r="DS116" s="31">
        <v>0.0</v>
      </c>
      <c r="DT116" s="31">
        <f>'Old Balance Sheet'!AC116</f>
        <v>0</v>
      </c>
      <c r="DU116" s="31">
        <f>DT116 + SUMIFS('Payments Log'!D:D, 'Payments Log'!B:B, A116, 'Payments Log'!L:L, "Approved", 'Payments Log'!M:M, "Credit") + 'Old Balance Sheet'!AD116 - 'Old Balance Sheet'!AC116</f>
        <v>0</v>
      </c>
      <c r="DV116" s="31">
        <f>SUMIFS('Payments Log'!D:D, 'Payments Log'!B:B, A116, 'Payments Log'!L:L, "Approved", 'Payments Log'!M:M, "Adjustment Credit") - SUMIFS('Payments Log'!D:D, 'Payments Log'!B:B, A116, 'Payments Log'!L:L, "Approved", 'Payments Log'!M:M, "Adjustment Debit") + 'Old Balance Sheet'!AE116</f>
        <v>0</v>
      </c>
      <c r="DW116" s="31">
        <f>IF(MAXIFS('Payments Log'!N:N, 'Payments Log'!L:L, "Approved", 'Payments Log'!M:M, "Credit", 'Payments Log'!B:B, A116) &gt; MAXIFS('Payments Log'!N:N, 'Payments Log'!L:L, "Approved", 'Payments Log'!M:M, "Virtual Credit", 'Payments Log'!B:B, A116), 0, SUMIFS('Payments Log'!D:D, 'Payments Log'!N:N, MAXIFS('Payments Log'!N:N, 'Payments Log'!L:L, "Approved", 'Payments Log'!M:M, "Virtual Credit", 'Payments Log'!B:B, A116)))</f>
        <v>0</v>
      </c>
      <c r="DX116" s="33">
        <f t="shared" si="6"/>
        <v>0</v>
      </c>
      <c r="DY116" s="33">
        <f t="shared" si="7"/>
        <v>0</v>
      </c>
      <c r="DZ116" s="33">
        <f t="shared" si="8"/>
        <v>0</v>
      </c>
      <c r="EA116" s="25" t="str">
        <f>(Sheet1!N116)</f>
        <v>Shri Krishna Auto - Rohtak</v>
      </c>
      <c r="EB116" s="25" t="str">
        <f>(Sheet1!O116)</f>
        <v>1AyozEGLZqJCcdssyT5lh9p367qkQ4ixlLx7VhIkGjas</v>
      </c>
      <c r="EC116" s="26" t="str">
        <f>(Sheet1!P116)</f>
        <v>Dealer</v>
      </c>
      <c r="ED116" s="34" t="s">
        <v>13</v>
      </c>
    </row>
    <row r="117">
      <c r="A117" s="25" t="str">
        <f>(Sheet1!A117)</f>
        <v>1vT3QczjVeQXI3BUHWLVlmriSeWuoyjUZOrXtNn1poas</v>
      </c>
      <c r="B117" s="25" t="str">
        <f>(Sheet1!B117)</f>
        <v>Ratandeep Motors - Sultanpur</v>
      </c>
      <c r="C117" s="30" t="s">
        <v>13</v>
      </c>
      <c r="D117" s="30" t="s">
        <v>72</v>
      </c>
      <c r="E117" s="30" t="s">
        <v>3817</v>
      </c>
      <c r="F117" s="31">
        <v>205.0</v>
      </c>
      <c r="G117" s="32" t="s">
        <v>3818</v>
      </c>
      <c r="H117" s="31">
        <v>100.0</v>
      </c>
      <c r="I117" s="33">
        <f>'Old Balance Sheet'!A117 + 'ACPL Calculations - 1.0'!A117 + 'ACPL Calculations - 2.0'!A117</f>
        <v>0</v>
      </c>
      <c r="J117" s="30" t="s">
        <v>3817</v>
      </c>
      <c r="K117" s="31">
        <v>205.0</v>
      </c>
      <c r="L117" s="32" t="s">
        <v>3818</v>
      </c>
      <c r="M117" s="31">
        <v>100.0</v>
      </c>
      <c r="N117" s="33">
        <f>'Old Balance Sheet'!B117 + 'ACPL Calculations - 1.0'!B117 + 'ACPL Calculations - 2.0'!B117</f>
        <v>0</v>
      </c>
      <c r="O117" s="30" t="s">
        <v>3817</v>
      </c>
      <c r="P117" s="31">
        <v>290.0</v>
      </c>
      <c r="Q117" s="32" t="s">
        <v>3818</v>
      </c>
      <c r="R117" s="31">
        <v>100.0</v>
      </c>
      <c r="S117" s="33">
        <f>'Old Balance Sheet'!C117 + 'ACPL Calculations - 1.0'!C117 + 'ACPL Calculations - 2.0'!C117</f>
        <v>0</v>
      </c>
      <c r="T117" s="30" t="s">
        <v>3817</v>
      </c>
      <c r="U117" s="31">
        <v>375.0</v>
      </c>
      <c r="V117" s="32" t="s">
        <v>3818</v>
      </c>
      <c r="W117" s="31">
        <v>100.0</v>
      </c>
      <c r="X117" s="33">
        <f>'Old Balance Sheet'!D117 + 'ACPL Calculations - 1.0'!D117 + 'ACPL Calculations - 2.0'!D117</f>
        <v>0</v>
      </c>
      <c r="Y117" s="30" t="s">
        <v>3817</v>
      </c>
      <c r="Z117" s="31">
        <v>460.0</v>
      </c>
      <c r="AA117" s="32" t="s">
        <v>3818</v>
      </c>
      <c r="AB117" s="31">
        <v>100.0</v>
      </c>
      <c r="AC117" s="33">
        <f>'Old Balance Sheet'!E117 + 'ACPL Calculations - 1.0'!E117 + 'ACPL Calculations - 2.0'!E117</f>
        <v>0</v>
      </c>
      <c r="AD117" s="30" t="s">
        <v>3817</v>
      </c>
      <c r="AE117" s="34">
        <v>838.99</v>
      </c>
      <c r="AF117" s="32" t="s">
        <v>3818</v>
      </c>
      <c r="AG117" s="31">
        <v>100.0</v>
      </c>
      <c r="AH117" s="33">
        <f>'Old Balance Sheet'!F117 + 'ACPL Calculations - 1.0'!F117 + 'ACPL Calculations - 2.0'!F117</f>
        <v>0</v>
      </c>
      <c r="AI117" s="30" t="s">
        <v>3817</v>
      </c>
      <c r="AJ117" s="31">
        <v>375.0</v>
      </c>
      <c r="AK117" s="32" t="s">
        <v>3818</v>
      </c>
      <c r="AL117" s="31">
        <v>100.0</v>
      </c>
      <c r="AM117" s="33">
        <f>'Old Balance Sheet'!G117 + 'ACPL Calculations - 1.0'!G117 + 'ACPL Calculations - 2.0'!G117</f>
        <v>0</v>
      </c>
      <c r="AN117" s="30" t="s">
        <v>3817</v>
      </c>
      <c r="AO117" s="31">
        <v>290.0</v>
      </c>
      <c r="AP117" s="32" t="s">
        <v>3818</v>
      </c>
      <c r="AQ117" s="31">
        <v>100.0</v>
      </c>
      <c r="AR117" s="33">
        <f>'Old Balance Sheet'!H117 + 'ACPL Calculations - 1.0'!H117 + 'ACPL Calculations - 2.0'!H117</f>
        <v>0</v>
      </c>
      <c r="AS117" s="30" t="s">
        <v>3819</v>
      </c>
      <c r="AT117" s="31">
        <v>838.99</v>
      </c>
      <c r="AU117" s="32" t="s">
        <v>3818</v>
      </c>
      <c r="AV117" s="31">
        <v>100.0</v>
      </c>
      <c r="AW117" s="33">
        <f>'Old Balance Sheet'!I117 + 'ACPL Calculations - 1.0'!I117 + 'ACPL Calculations - 2.0'!I117</f>
        <v>0</v>
      </c>
      <c r="AX117" s="30" t="s">
        <v>3817</v>
      </c>
      <c r="AY117" s="31">
        <v>290.0</v>
      </c>
      <c r="AZ117" s="32" t="s">
        <v>3818</v>
      </c>
      <c r="BA117" s="31">
        <v>100.0</v>
      </c>
      <c r="BB117" s="33">
        <f>'Old Balance Sheet'!J117 + 'ACPL Calculations - 1.0'!J117 + 'ACPL Calculations - 2.0'!J117</f>
        <v>0</v>
      </c>
      <c r="BC117" s="30" t="s">
        <v>3817</v>
      </c>
      <c r="BD117" s="31">
        <v>205.0</v>
      </c>
      <c r="BE117" s="32" t="s">
        <v>3818</v>
      </c>
      <c r="BF117" s="31">
        <v>100.0</v>
      </c>
      <c r="BG117" s="33">
        <f>'Old Balance Sheet'!K117 + 'ACPL Calculations - 1.0'!K117 + 'ACPL Calculations - 2.0'!K117</f>
        <v>0</v>
      </c>
      <c r="BH117" s="30" t="s">
        <v>3817</v>
      </c>
      <c r="BI117" s="31">
        <v>205.0</v>
      </c>
      <c r="BJ117" s="32" t="s">
        <v>3818</v>
      </c>
      <c r="BK117" s="31">
        <v>100.0</v>
      </c>
      <c r="BL117" s="33">
        <f>'Old Balance Sheet'!L117 + 'ACPL Calculations - 1.0'!L117 + 'ACPL Calculations - 2.0'!L117</f>
        <v>0</v>
      </c>
      <c r="BM117" s="33"/>
      <c r="BN117" s="33"/>
      <c r="BO117" s="33"/>
      <c r="BP117" s="33"/>
      <c r="BQ117" s="33"/>
      <c r="BR117" s="33"/>
      <c r="BS117" s="33"/>
      <c r="BT117" s="33"/>
      <c r="BU117" s="33"/>
      <c r="BV117" s="33"/>
      <c r="BW117" s="33"/>
      <c r="BX117" s="33"/>
      <c r="BY117" s="33"/>
      <c r="BZ117" s="33"/>
      <c r="CA117" s="33"/>
      <c r="CB117" s="33"/>
      <c r="CC117" s="33"/>
      <c r="CD117" s="33"/>
      <c r="CE117" s="33"/>
      <c r="CF117" s="33"/>
      <c r="CG117" s="33"/>
      <c r="CH117" s="33"/>
      <c r="CI117" s="33"/>
      <c r="CJ117" s="33"/>
      <c r="CK117" s="33"/>
      <c r="CL117" s="33">
        <f t="shared" si="1"/>
        <v>0</v>
      </c>
      <c r="CM117" s="33">
        <f>'Old Balance Sheet'!R117 + 'ACPL Calculations - 1.0'!S117 + 'ACPL Calculations - 2.0'!S117</f>
        <v>0</v>
      </c>
      <c r="CN117" s="33">
        <f>'Old Balance Sheet'!S117 + 'ACPL Calculations - 1.0'!T117 + 'ACPL Calculations - 2.0'!T117</f>
        <v>0</v>
      </c>
      <c r="CO117" s="33">
        <f t="shared" si="2"/>
        <v>0</v>
      </c>
      <c r="CP117" s="33">
        <f>'Old Balance Sheet'!T117 + 'ACPL Calculations - 1.0'!V117 + 'ACPL Calculations - 2.0'!V117</f>
        <v>0</v>
      </c>
      <c r="CQ117" s="33">
        <f>'Old Balance Sheet'!U117 + 'ACPL Calculations - 1.0'!W117 + 'ACPL Calculations - 2.0'!W117</f>
        <v>0</v>
      </c>
      <c r="CR117" s="33">
        <f>'Old Balance Sheet'!V117 + 'ACPL Calculations - 1.0'!X117 + 'ACPL Calculations - 2.0'!X117</f>
        <v>0</v>
      </c>
      <c r="CS117" s="33">
        <f t="shared" si="3"/>
        <v>0</v>
      </c>
      <c r="CT117" s="35"/>
      <c r="CU117" s="35"/>
      <c r="CV117" s="35"/>
      <c r="CW117" s="36">
        <f>'Old Balance Sheet'!W117 + 'ACPL Calculations - 1.0'!Z117 + 'ACPL Calculations - 2.0'!Z117</f>
        <v>0</v>
      </c>
      <c r="CX117" s="36">
        <f>'Old Balance Sheet'!X117 + 'ACPL Calculations - 1.0'!AA117 + 'ACPL Calculations - 2.0'!AA117</f>
        <v>0</v>
      </c>
      <c r="CY117" s="37">
        <v>0.0</v>
      </c>
      <c r="CZ117" s="38">
        <f>'Old Balance Sheet'!Y117 + 'ACPL Calculations - 1.0'!AB117 + 'ACPL Calculations - 2.0'!AB117</f>
        <v>0</v>
      </c>
      <c r="DA117" s="38">
        <f>'Old Balance Sheet'!Z117 + 'ACPL Calculations - 1.0'!AC117 + 'ACPL Calculations - 2.0'!AC117</f>
        <v>0</v>
      </c>
      <c r="DB117" s="38">
        <f>'Old Balance Sheet'!AA117 + 'ACPL Calculations - 1.0'!AD117 + 'ACPL Calculations - 2.0'!AD117</f>
        <v>0</v>
      </c>
      <c r="DC117" s="38">
        <f>'Old Balance Sheet'!AB117 + 'ACPL Calculations - 1.0'!AE117 + 'ACPL Calculations - 2.0'!AE117</f>
        <v>0</v>
      </c>
      <c r="DD117" s="38">
        <f t="shared" si="4"/>
        <v>0</v>
      </c>
      <c r="DE117" s="33">
        <f t="shared" si="5"/>
        <v>0</v>
      </c>
      <c r="DF117" s="35">
        <v>0.0</v>
      </c>
      <c r="DG117" s="35">
        <v>0.0</v>
      </c>
      <c r="DH117" s="35">
        <v>0.0</v>
      </c>
      <c r="DI117" s="35">
        <v>0.0</v>
      </c>
      <c r="DJ117" s="35">
        <v>0.0</v>
      </c>
      <c r="DK117" s="35">
        <v>0.0</v>
      </c>
      <c r="DL117" s="35">
        <v>0.0</v>
      </c>
      <c r="DM117" s="35">
        <v>0.0</v>
      </c>
      <c r="DN117" s="31">
        <v>0.0</v>
      </c>
      <c r="DO117" s="31">
        <v>0.0</v>
      </c>
      <c r="DP117" s="31">
        <v>0.0</v>
      </c>
      <c r="DQ117" s="31">
        <v>0.0</v>
      </c>
      <c r="DR117" s="31">
        <v>0.0</v>
      </c>
      <c r="DS117" s="31">
        <v>0.0</v>
      </c>
      <c r="DT117" s="31">
        <f>'Old Balance Sheet'!AC117</f>
        <v>-85028</v>
      </c>
      <c r="DU117" s="31">
        <f>DT117 + SUMIFS('Payments Log'!D:D, 'Payments Log'!B:B, A117, 'Payments Log'!L:L, "Approved", 'Payments Log'!M:M, "Credit") + 'Old Balance Sheet'!AD117 - 'Old Balance Sheet'!AC117</f>
        <v>-85028</v>
      </c>
      <c r="DV117" s="31">
        <f>SUMIFS('Payments Log'!D:D, 'Payments Log'!B:B, A117, 'Payments Log'!L:L, "Approved", 'Payments Log'!M:M, "Adjustment Credit") - SUMIFS('Payments Log'!D:D, 'Payments Log'!B:B, A117, 'Payments Log'!L:L, "Approved", 'Payments Log'!M:M, "Adjustment Debit") + 'Old Balance Sheet'!AE117</f>
        <v>0</v>
      </c>
      <c r="DW117" s="31">
        <f>IF(MAXIFS('Payments Log'!N:N, 'Payments Log'!L:L, "Approved", 'Payments Log'!M:M, "Credit", 'Payments Log'!B:B, A117) &gt; MAXIFS('Payments Log'!N:N, 'Payments Log'!L:L, "Approved", 'Payments Log'!M:M, "Virtual Credit", 'Payments Log'!B:B, A117), 0, SUMIFS('Payments Log'!D:D, 'Payments Log'!N:N, MAXIFS('Payments Log'!N:N, 'Payments Log'!L:L, "Approved", 'Payments Log'!M:M, "Virtual Credit", 'Payments Log'!B:B, A117)))</f>
        <v>0</v>
      </c>
      <c r="DX117" s="33">
        <f t="shared" si="6"/>
        <v>-85028</v>
      </c>
      <c r="DY117" s="33">
        <f t="shared" si="7"/>
        <v>-85028</v>
      </c>
      <c r="DZ117" s="33">
        <f t="shared" si="8"/>
        <v>-85028</v>
      </c>
      <c r="EA117" s="25" t="str">
        <f>(Sheet1!N117)</f>
        <v>Ratandeep Motors - Sultanpur</v>
      </c>
      <c r="EB117" s="25" t="str">
        <f>(Sheet1!O117)</f>
        <v>1vT3QczjVeQXI3BUHWLVlmriSeWuoyjUZOrXtNn1poas</v>
      </c>
      <c r="EC117" s="26" t="str">
        <f>(Sheet1!P117)</f>
        <v>Dealer</v>
      </c>
      <c r="ED117" s="34" t="s">
        <v>13</v>
      </c>
    </row>
    <row r="118">
      <c r="A118" s="25" t="str">
        <f>(Sheet1!A118)</f>
        <v>1tXTdyZsoSXVb9B3iBitP1V6V5cBJgmDdDrd7x6dN0R4</v>
      </c>
      <c r="B118" s="25" t="str">
        <f>(Sheet1!B118)</f>
        <v>Vijay Auto Agency (AAA) - Borna</v>
      </c>
      <c r="C118" s="30" t="s">
        <v>13</v>
      </c>
      <c r="D118" s="30" t="s">
        <v>72</v>
      </c>
      <c r="E118" s="30" t="s">
        <v>3819</v>
      </c>
      <c r="F118" s="40">
        <v>155.0</v>
      </c>
      <c r="G118" s="32" t="s">
        <v>3818</v>
      </c>
      <c r="H118" s="31">
        <v>100.0</v>
      </c>
      <c r="I118" s="33">
        <f>'Old Balance Sheet'!A118 + 'ACPL Calculations - 1.0'!A118 + 'ACPL Calculations - 2.0'!A118</f>
        <v>0</v>
      </c>
      <c r="J118" s="30" t="s">
        <v>3819</v>
      </c>
      <c r="K118" s="31">
        <v>155.0</v>
      </c>
      <c r="L118" s="32" t="s">
        <v>3818</v>
      </c>
      <c r="M118" s="31">
        <v>100.0</v>
      </c>
      <c r="N118" s="33">
        <f>'Old Balance Sheet'!B118 + 'ACPL Calculations - 1.0'!B118 + 'ACPL Calculations - 2.0'!B118</f>
        <v>0</v>
      </c>
      <c r="O118" s="30" t="s">
        <v>3819</v>
      </c>
      <c r="P118" s="31">
        <v>155.0</v>
      </c>
      <c r="Q118" s="32" t="s">
        <v>3818</v>
      </c>
      <c r="R118" s="31">
        <v>100.0</v>
      </c>
      <c r="S118" s="33">
        <f>'Old Balance Sheet'!C118 + 'ACPL Calculations - 1.0'!C118 + 'ACPL Calculations - 2.0'!C118</f>
        <v>0</v>
      </c>
      <c r="T118" s="30" t="s">
        <v>3819</v>
      </c>
      <c r="U118" s="31">
        <v>155.0</v>
      </c>
      <c r="V118" s="32" t="s">
        <v>3818</v>
      </c>
      <c r="W118" s="31">
        <v>100.0</v>
      </c>
      <c r="X118" s="33">
        <f>'Old Balance Sheet'!D118 + 'ACPL Calculations - 1.0'!D118 + 'ACPL Calculations - 2.0'!D118</f>
        <v>0</v>
      </c>
      <c r="Y118" s="30" t="s">
        <v>3819</v>
      </c>
      <c r="Z118" s="41">
        <v>155.0</v>
      </c>
      <c r="AA118" s="32" t="s">
        <v>3818</v>
      </c>
      <c r="AB118" s="31">
        <v>100.0</v>
      </c>
      <c r="AC118" s="33">
        <f>'Old Balance Sheet'!E118 + 'ACPL Calculations - 1.0'!E118 + 'ACPL Calculations - 2.0'!E118</f>
        <v>4</v>
      </c>
      <c r="AD118" s="30" t="s">
        <v>3819</v>
      </c>
      <c r="AE118" s="34">
        <v>838.99</v>
      </c>
      <c r="AF118" s="32" t="s">
        <v>3818</v>
      </c>
      <c r="AG118" s="31">
        <v>100.0</v>
      </c>
      <c r="AH118" s="33">
        <f>'Old Balance Sheet'!F118 + 'ACPL Calculations - 1.0'!F118 + 'ACPL Calculations - 2.0'!F118</f>
        <v>0</v>
      </c>
      <c r="AI118" s="30" t="s">
        <v>3819</v>
      </c>
      <c r="AJ118" s="31">
        <v>155.0</v>
      </c>
      <c r="AK118" s="32" t="s">
        <v>3818</v>
      </c>
      <c r="AL118" s="31">
        <v>100.0</v>
      </c>
      <c r="AM118" s="33">
        <f>'Old Balance Sheet'!G118 + 'ACPL Calculations - 1.0'!G118 + 'ACPL Calculations - 2.0'!G118</f>
        <v>0</v>
      </c>
      <c r="AN118" s="30" t="s">
        <v>3819</v>
      </c>
      <c r="AO118" s="31">
        <v>155.0</v>
      </c>
      <c r="AP118" s="32" t="s">
        <v>3818</v>
      </c>
      <c r="AQ118" s="31">
        <v>100.0</v>
      </c>
      <c r="AR118" s="33">
        <f>'Old Balance Sheet'!H118 + 'ACPL Calculations - 1.0'!H118 + 'ACPL Calculations - 2.0'!H118</f>
        <v>0</v>
      </c>
      <c r="AS118" s="30" t="s">
        <v>3819</v>
      </c>
      <c r="AT118" s="31">
        <v>838.99</v>
      </c>
      <c r="AU118" s="32" t="s">
        <v>3818</v>
      </c>
      <c r="AV118" s="31">
        <v>100.0</v>
      </c>
      <c r="AW118" s="33">
        <f>'Old Balance Sheet'!I118 + 'ACPL Calculations - 1.0'!I118 + 'ACPL Calculations - 2.0'!I118</f>
        <v>0</v>
      </c>
      <c r="AX118" s="30" t="s">
        <v>3819</v>
      </c>
      <c r="AY118" s="31">
        <v>155.0</v>
      </c>
      <c r="AZ118" s="32" t="s">
        <v>3818</v>
      </c>
      <c r="BA118" s="31">
        <v>100.0</v>
      </c>
      <c r="BB118" s="33">
        <f>'Old Balance Sheet'!J118 + 'ACPL Calculations - 1.0'!J118 + 'ACPL Calculations - 2.0'!J118</f>
        <v>0</v>
      </c>
      <c r="BC118" s="30" t="s">
        <v>3819</v>
      </c>
      <c r="BD118" s="31">
        <v>155.0</v>
      </c>
      <c r="BE118" s="32" t="s">
        <v>3818</v>
      </c>
      <c r="BF118" s="31">
        <v>100.0</v>
      </c>
      <c r="BG118" s="33">
        <f>'Old Balance Sheet'!K118 + 'ACPL Calculations - 1.0'!K118 + 'ACPL Calculations - 2.0'!K118</f>
        <v>0</v>
      </c>
      <c r="BH118" s="30" t="s">
        <v>3819</v>
      </c>
      <c r="BI118" s="31">
        <v>155.0</v>
      </c>
      <c r="BJ118" s="32" t="s">
        <v>3818</v>
      </c>
      <c r="BK118" s="31">
        <v>100.0</v>
      </c>
      <c r="BL118" s="33">
        <f>'Old Balance Sheet'!L118 + 'ACPL Calculations - 1.0'!L118 + 'ACPL Calculations - 2.0'!L118</f>
        <v>0</v>
      </c>
      <c r="BM118" s="33"/>
      <c r="BN118" s="33"/>
      <c r="BO118" s="33"/>
      <c r="BP118" s="33"/>
      <c r="BQ118" s="33"/>
      <c r="BR118" s="33"/>
      <c r="BS118" s="33"/>
      <c r="BT118" s="33"/>
      <c r="BU118" s="33"/>
      <c r="BV118" s="33"/>
      <c r="BW118" s="33"/>
      <c r="BX118" s="33"/>
      <c r="BY118" s="33"/>
      <c r="BZ118" s="33"/>
      <c r="CA118" s="33"/>
      <c r="CB118" s="33"/>
      <c r="CC118" s="33"/>
      <c r="CD118" s="33"/>
      <c r="CE118" s="33"/>
      <c r="CF118" s="33"/>
      <c r="CG118" s="33"/>
      <c r="CH118" s="33"/>
      <c r="CI118" s="33"/>
      <c r="CJ118" s="33"/>
      <c r="CK118" s="33"/>
      <c r="CL118" s="33">
        <f t="shared" si="1"/>
        <v>4</v>
      </c>
      <c r="CM118" s="33">
        <f>'Old Balance Sheet'!R118 + 'ACPL Calculations - 1.0'!S118 + 'ACPL Calculations - 2.0'!S118</f>
        <v>2171.2</v>
      </c>
      <c r="CN118" s="33">
        <f>'Old Balance Sheet'!S118 + 'ACPL Calculations - 1.0'!T118 + 'ACPL Calculations - 2.0'!T118</f>
        <v>1840</v>
      </c>
      <c r="CO118" s="33">
        <f t="shared" si="2"/>
        <v>2171.2</v>
      </c>
      <c r="CP118" s="33">
        <f>'Old Balance Sheet'!T118 + 'ACPL Calculations - 1.0'!V118 + 'ACPL Calculations - 2.0'!V118</f>
        <v>0</v>
      </c>
      <c r="CQ118" s="33">
        <f>'Old Balance Sheet'!U118 + 'ACPL Calculations - 1.0'!W118 + 'ACPL Calculations - 2.0'!W118</f>
        <v>0</v>
      </c>
      <c r="CR118" s="33">
        <f>'Old Balance Sheet'!V118 + 'ACPL Calculations - 1.0'!X118 + 'ACPL Calculations - 2.0'!X118</f>
        <v>331.2</v>
      </c>
      <c r="CS118" s="33">
        <f t="shared" si="3"/>
        <v>331.2</v>
      </c>
      <c r="CT118" s="35"/>
      <c r="CU118" s="35"/>
      <c r="CV118" s="35"/>
      <c r="CW118" s="36">
        <f>'Old Balance Sheet'!W118 + 'ACPL Calculations - 1.0'!Z118 + 'ACPL Calculations - 2.0'!Z118</f>
        <v>0</v>
      </c>
      <c r="CX118" s="36">
        <f>'Old Balance Sheet'!X118 + 'ACPL Calculations - 1.0'!AA118 + 'ACPL Calculations - 2.0'!AA118</f>
        <v>0</v>
      </c>
      <c r="CY118" s="37">
        <v>0.0</v>
      </c>
      <c r="CZ118" s="38">
        <f>'Old Balance Sheet'!Y118 + 'ACPL Calculations - 1.0'!AB118 + 'ACPL Calculations - 2.0'!AB118</f>
        <v>0</v>
      </c>
      <c r="DA118" s="38">
        <f>'Old Balance Sheet'!Z118 + 'ACPL Calculations - 1.0'!AC118 + 'ACPL Calculations - 2.0'!AC118</f>
        <v>0</v>
      </c>
      <c r="DB118" s="38">
        <f>'Old Balance Sheet'!AA118 + 'ACPL Calculations - 1.0'!AD118 + 'ACPL Calculations - 2.0'!AD118</f>
        <v>0</v>
      </c>
      <c r="DC118" s="38">
        <f>'Old Balance Sheet'!AB118 + 'ACPL Calculations - 1.0'!AE118 + 'ACPL Calculations - 2.0'!AE118</f>
        <v>0</v>
      </c>
      <c r="DD118" s="38">
        <f t="shared" si="4"/>
        <v>0</v>
      </c>
      <c r="DE118" s="33">
        <f t="shared" si="5"/>
        <v>0</v>
      </c>
      <c r="DF118" s="35">
        <v>0.0</v>
      </c>
      <c r="DG118" s="35">
        <v>0.0</v>
      </c>
      <c r="DH118" s="35">
        <v>0.0</v>
      </c>
      <c r="DI118" s="35">
        <v>0.0</v>
      </c>
      <c r="DJ118" s="35">
        <v>0.0</v>
      </c>
      <c r="DK118" s="35">
        <v>0.0</v>
      </c>
      <c r="DL118" s="35">
        <v>0.0</v>
      </c>
      <c r="DM118" s="35">
        <v>0.0</v>
      </c>
      <c r="DN118" s="31">
        <v>0.0</v>
      </c>
      <c r="DO118" s="31">
        <v>0.0</v>
      </c>
      <c r="DP118" s="31">
        <v>0.0</v>
      </c>
      <c r="DQ118" s="31">
        <v>0.0</v>
      </c>
      <c r="DR118" s="31">
        <v>0.0</v>
      </c>
      <c r="DS118" s="31">
        <v>0.0</v>
      </c>
      <c r="DT118" s="31">
        <f>'Old Balance Sheet'!AC118</f>
        <v>0</v>
      </c>
      <c r="DU118" s="31">
        <f>DT118 + SUMIFS('Payments Log'!D:D, 'Payments Log'!B:B, A118, 'Payments Log'!L:L, "Approved", 'Payments Log'!M:M, "Credit") + 'Old Balance Sheet'!AD118 - 'Old Balance Sheet'!AC118</f>
        <v>0</v>
      </c>
      <c r="DV118" s="31">
        <f>SUMIFS('Payments Log'!D:D, 'Payments Log'!B:B, A118, 'Payments Log'!L:L, "Approved", 'Payments Log'!M:M, "Adjustment Credit") - SUMIFS('Payments Log'!D:D, 'Payments Log'!B:B, A118, 'Payments Log'!L:L, "Approved", 'Payments Log'!M:M, "Adjustment Debit") + 'Old Balance Sheet'!AE118</f>
        <v>0</v>
      </c>
      <c r="DW118" s="31">
        <f>IF(MAXIFS('Payments Log'!N:N, 'Payments Log'!L:L, "Approved", 'Payments Log'!M:M, "Credit", 'Payments Log'!B:B, A118) &gt; MAXIFS('Payments Log'!N:N, 'Payments Log'!L:L, "Approved", 'Payments Log'!M:M, "Virtual Credit", 'Payments Log'!B:B, A118), 0, SUMIFS('Payments Log'!D:D, 'Payments Log'!N:N, MAXIFS('Payments Log'!N:N, 'Payments Log'!L:L, "Approved", 'Payments Log'!M:M, "Virtual Credit", 'Payments Log'!B:B, A118)))</f>
        <v>0</v>
      </c>
      <c r="DX118" s="33">
        <f t="shared" si="6"/>
        <v>0</v>
      </c>
      <c r="DY118" s="33">
        <f t="shared" si="7"/>
        <v>0</v>
      </c>
      <c r="DZ118" s="33">
        <f t="shared" si="8"/>
        <v>0</v>
      </c>
      <c r="EA118" s="25" t="str">
        <f>(Sheet1!N118)</f>
        <v>AAA</v>
      </c>
      <c r="EB118" s="25" t="str">
        <f>(Sheet1!O118)</f>
        <v>1AjVyIHPgPw3jscNmkTH1qzR2RokK5FZaJLjeNfOiYAA</v>
      </c>
      <c r="EC118" s="26" t="str">
        <f>(Sheet1!P118)</f>
        <v>Sub Dealer</v>
      </c>
      <c r="ED118" s="34" t="s">
        <v>13</v>
      </c>
    </row>
    <row r="119">
      <c r="A119" s="25" t="str">
        <f>(Sheet1!A119)</f>
        <v>11FZlKtFUzBvNAVUVwf1C2KpyoxHhbZTiI7E_EdPr-mg</v>
      </c>
      <c r="B119" s="25" t="str">
        <f>(Sheet1!B119)</f>
        <v>Sumitra Sons - Shahajahanpur</v>
      </c>
      <c r="C119" s="30" t="s">
        <v>13</v>
      </c>
      <c r="D119" s="30" t="s">
        <v>72</v>
      </c>
      <c r="E119" s="30" t="s">
        <v>3817</v>
      </c>
      <c r="F119" s="31">
        <v>170.0</v>
      </c>
      <c r="G119" s="32" t="s">
        <v>3818</v>
      </c>
      <c r="H119" s="31">
        <v>100.0</v>
      </c>
      <c r="I119" s="33">
        <f>'Old Balance Sheet'!A119 + 'ACPL Calculations - 1.0'!A119 + 'ACPL Calculations - 2.0'!A119</f>
        <v>4</v>
      </c>
      <c r="J119" s="30" t="s">
        <v>3817</v>
      </c>
      <c r="K119" s="31">
        <v>205.0</v>
      </c>
      <c r="L119" s="32" t="s">
        <v>3818</v>
      </c>
      <c r="M119" s="31">
        <v>100.0</v>
      </c>
      <c r="N119" s="33">
        <f>'Old Balance Sheet'!B119 + 'ACPL Calculations - 1.0'!B119 + 'ACPL Calculations - 2.0'!B119</f>
        <v>0</v>
      </c>
      <c r="O119" s="30" t="s">
        <v>3817</v>
      </c>
      <c r="P119" s="31">
        <v>290.0</v>
      </c>
      <c r="Q119" s="32" t="s">
        <v>3818</v>
      </c>
      <c r="R119" s="31">
        <v>100.0</v>
      </c>
      <c r="S119" s="33">
        <f>'Old Balance Sheet'!C119 + 'ACPL Calculations - 1.0'!C119 + 'ACPL Calculations - 2.0'!C119</f>
        <v>0</v>
      </c>
      <c r="T119" s="30" t="s">
        <v>3817</v>
      </c>
      <c r="U119" s="31">
        <v>375.0</v>
      </c>
      <c r="V119" s="32" t="s">
        <v>3818</v>
      </c>
      <c r="W119" s="31">
        <v>100.0</v>
      </c>
      <c r="X119" s="33">
        <f>'Old Balance Sheet'!D119 + 'ACPL Calculations - 1.0'!D119 + 'ACPL Calculations - 2.0'!D119</f>
        <v>0</v>
      </c>
      <c r="Y119" s="30" t="s">
        <v>3817</v>
      </c>
      <c r="Z119" s="31">
        <v>250.0</v>
      </c>
      <c r="AA119" s="32" t="s">
        <v>3818</v>
      </c>
      <c r="AB119" s="31">
        <v>100.0</v>
      </c>
      <c r="AC119" s="33">
        <f>'Old Balance Sheet'!E119 + 'ACPL Calculations - 1.0'!E119 + 'ACPL Calculations - 2.0'!E119</f>
        <v>89</v>
      </c>
      <c r="AD119" s="30" t="s">
        <v>3817</v>
      </c>
      <c r="AE119" s="34">
        <v>838.99</v>
      </c>
      <c r="AF119" s="32" t="s">
        <v>3818</v>
      </c>
      <c r="AG119" s="31">
        <v>100.0</v>
      </c>
      <c r="AH119" s="33">
        <f>'Old Balance Sheet'!F119 + 'ACPL Calculations - 1.0'!F119 + 'ACPL Calculations - 2.0'!F119</f>
        <v>0</v>
      </c>
      <c r="AI119" s="30" t="s">
        <v>3817</v>
      </c>
      <c r="AJ119" s="31">
        <v>375.0</v>
      </c>
      <c r="AK119" s="32" t="s">
        <v>3818</v>
      </c>
      <c r="AL119" s="31">
        <v>100.0</v>
      </c>
      <c r="AM119" s="33">
        <f>'Old Balance Sheet'!G119 + 'ACPL Calculations - 1.0'!G119 + 'ACPL Calculations - 2.0'!G119</f>
        <v>0</v>
      </c>
      <c r="AN119" s="30" t="s">
        <v>3817</v>
      </c>
      <c r="AO119" s="31">
        <v>290.0</v>
      </c>
      <c r="AP119" s="32" t="s">
        <v>3818</v>
      </c>
      <c r="AQ119" s="31">
        <v>100.0</v>
      </c>
      <c r="AR119" s="33">
        <f>'Old Balance Sheet'!H119 + 'ACPL Calculations - 1.0'!H119 + 'ACPL Calculations - 2.0'!H119</f>
        <v>0</v>
      </c>
      <c r="AS119" s="30" t="s">
        <v>3819</v>
      </c>
      <c r="AT119" s="31">
        <v>838.99</v>
      </c>
      <c r="AU119" s="32" t="s">
        <v>3818</v>
      </c>
      <c r="AV119" s="31">
        <v>100.0</v>
      </c>
      <c r="AW119" s="33">
        <f>'Old Balance Sheet'!I119 + 'ACPL Calculations - 1.0'!I119 + 'ACPL Calculations - 2.0'!I119</f>
        <v>0</v>
      </c>
      <c r="AX119" s="30" t="s">
        <v>3817</v>
      </c>
      <c r="AY119" s="31">
        <v>290.0</v>
      </c>
      <c r="AZ119" s="32" t="s">
        <v>3818</v>
      </c>
      <c r="BA119" s="31">
        <v>100.0</v>
      </c>
      <c r="BB119" s="33">
        <f>'Old Balance Sheet'!J119 + 'ACPL Calculations - 1.0'!J119 + 'ACPL Calculations - 2.0'!J119</f>
        <v>0</v>
      </c>
      <c r="BC119" s="30" t="s">
        <v>3817</v>
      </c>
      <c r="BD119" s="31">
        <v>205.0</v>
      </c>
      <c r="BE119" s="32" t="s">
        <v>3818</v>
      </c>
      <c r="BF119" s="31">
        <v>100.0</v>
      </c>
      <c r="BG119" s="33">
        <f>'Old Balance Sheet'!K119 + 'ACPL Calculations - 1.0'!K119 + 'ACPL Calculations - 2.0'!K119</f>
        <v>0</v>
      </c>
      <c r="BH119" s="30" t="s">
        <v>3817</v>
      </c>
      <c r="BI119" s="31">
        <v>205.0</v>
      </c>
      <c r="BJ119" s="32" t="s">
        <v>3818</v>
      </c>
      <c r="BK119" s="31">
        <v>100.0</v>
      </c>
      <c r="BL119" s="33">
        <f>'Old Balance Sheet'!L119 + 'ACPL Calculations - 1.0'!L119 + 'ACPL Calculations - 2.0'!L119</f>
        <v>0</v>
      </c>
      <c r="BM119" s="33"/>
      <c r="BN119" s="33"/>
      <c r="BO119" s="33"/>
      <c r="BP119" s="33"/>
      <c r="BQ119" s="33"/>
      <c r="BR119" s="33"/>
      <c r="BS119" s="33"/>
      <c r="BT119" s="33"/>
      <c r="BU119" s="33"/>
      <c r="BV119" s="33"/>
      <c r="BW119" s="33"/>
      <c r="BX119" s="33"/>
      <c r="BY119" s="33"/>
      <c r="BZ119" s="33"/>
      <c r="CA119" s="33"/>
      <c r="CB119" s="33"/>
      <c r="CC119" s="33"/>
      <c r="CD119" s="33"/>
      <c r="CE119" s="33"/>
      <c r="CF119" s="33"/>
      <c r="CG119" s="33"/>
      <c r="CH119" s="33"/>
      <c r="CI119" s="33"/>
      <c r="CJ119" s="33"/>
      <c r="CK119" s="33"/>
      <c r="CL119" s="33">
        <f t="shared" si="1"/>
        <v>93</v>
      </c>
      <c r="CM119" s="33">
        <f>'Old Balance Sheet'!R119 + 'ACPL Calculations - 1.0'!S119 + 'ACPL Calculations - 2.0'!S119</f>
        <v>117092</v>
      </c>
      <c r="CN119" s="33">
        <f>'Old Balance Sheet'!S119 + 'ACPL Calculations - 1.0'!T119 + 'ACPL Calculations - 2.0'!T119</f>
        <v>22930</v>
      </c>
      <c r="CO119" s="33">
        <f t="shared" si="2"/>
        <v>40791.91</v>
      </c>
      <c r="CP119" s="33">
        <f>'Old Balance Sheet'!T119 + 'ACPL Calculations - 1.0'!V119 + 'ACPL Calculations - 2.0'!V119</f>
        <v>0</v>
      </c>
      <c r="CQ119" s="33">
        <f>'Old Balance Sheet'!U119 + 'ACPL Calculations - 1.0'!W119 + 'ACPL Calculations - 2.0'!W119</f>
        <v>0</v>
      </c>
      <c r="CR119" s="33">
        <f>'Old Balance Sheet'!V119 + 'ACPL Calculations - 1.0'!X119 + 'ACPL Calculations - 2.0'!X119</f>
        <v>17861.91</v>
      </c>
      <c r="CS119" s="33">
        <f t="shared" si="3"/>
        <v>17861.91</v>
      </c>
      <c r="CT119" s="35"/>
      <c r="CU119" s="35"/>
      <c r="CV119" s="35"/>
      <c r="CW119" s="36">
        <f>'Old Balance Sheet'!W119 + 'ACPL Calculations - 1.0'!Z119 + 'ACPL Calculations - 2.0'!Z119</f>
        <v>55897</v>
      </c>
      <c r="CX119" s="36">
        <f>'Old Balance Sheet'!X119 + 'ACPL Calculations - 1.0'!AA119 + 'ACPL Calculations - 2.0'!AA119</f>
        <v>55897</v>
      </c>
      <c r="CY119" s="37">
        <v>0.0</v>
      </c>
      <c r="CZ119" s="38">
        <f>'Old Balance Sheet'!Y119 + 'ACPL Calculations - 1.0'!AB119 + 'ACPL Calculations - 2.0'!AB119</f>
        <v>95888.96</v>
      </c>
      <c r="DA119" s="38">
        <f>'Old Balance Sheet'!Z119 + 'ACPL Calculations - 1.0'!AC119 + 'ACPL Calculations - 2.0'!AC119</f>
        <v>91095</v>
      </c>
      <c r="DB119" s="38">
        <f>'Old Balance Sheet'!AA119 + 'ACPL Calculations - 1.0'!AD119 + 'ACPL Calculations - 2.0'!AD119</f>
        <v>4793.96</v>
      </c>
      <c r="DC119" s="38">
        <f>'Old Balance Sheet'!AB119 + 'ACPL Calculations - 1.0'!AE119 + 'ACPL Calculations - 2.0'!AE119</f>
        <v>0</v>
      </c>
      <c r="DD119" s="38">
        <f t="shared" si="4"/>
        <v>0</v>
      </c>
      <c r="DE119" s="33">
        <f t="shared" si="5"/>
        <v>0</v>
      </c>
      <c r="DF119" s="35">
        <v>0.0</v>
      </c>
      <c r="DG119" s="35">
        <v>0.0</v>
      </c>
      <c r="DH119" s="35">
        <v>0.0</v>
      </c>
      <c r="DI119" s="35">
        <v>0.0</v>
      </c>
      <c r="DJ119" s="35">
        <v>0.0</v>
      </c>
      <c r="DK119" s="35">
        <v>0.0</v>
      </c>
      <c r="DL119" s="35">
        <v>0.0</v>
      </c>
      <c r="DM119" s="35">
        <v>0.0</v>
      </c>
      <c r="DN119" s="31">
        <v>0.0</v>
      </c>
      <c r="DO119" s="31">
        <v>0.0</v>
      </c>
      <c r="DP119" s="31">
        <v>0.0</v>
      </c>
      <c r="DQ119" s="31">
        <v>0.0</v>
      </c>
      <c r="DR119" s="31">
        <v>0.0</v>
      </c>
      <c r="DS119" s="31">
        <v>0.0</v>
      </c>
      <c r="DT119" s="31">
        <f>'Old Balance Sheet'!AC119</f>
        <v>-23358</v>
      </c>
      <c r="DU119" s="31">
        <f>DT119 + SUMIFS('Payments Log'!D:D, 'Payments Log'!B:B, A119, 'Payments Log'!L:L, "Approved", 'Payments Log'!M:M, "Credit") + 'Old Balance Sheet'!AD119 - 'Old Balance Sheet'!AC119</f>
        <v>51642</v>
      </c>
      <c r="DV119" s="31">
        <f>SUMIFS('Payments Log'!D:D, 'Payments Log'!B:B, A119, 'Payments Log'!L:L, "Approved", 'Payments Log'!M:M, "Adjustment Credit") - SUMIFS('Payments Log'!D:D, 'Payments Log'!B:B, A119, 'Payments Log'!L:L, "Approved", 'Payments Log'!M:M, "Adjustment Debit") + 'Old Balance Sheet'!AE119</f>
        <v>23358</v>
      </c>
      <c r="DW119" s="31">
        <f>IF(MAXIFS('Payments Log'!N:N, 'Payments Log'!L:L, "Approved", 'Payments Log'!M:M, "Credit", 'Payments Log'!B:B, A119) &gt; MAXIFS('Payments Log'!N:N, 'Payments Log'!L:L, "Approved", 'Payments Log'!M:M, "Virtual Credit", 'Payments Log'!B:B, A119), 0, SUMIFS('Payments Log'!D:D, 'Payments Log'!N:N, MAXIFS('Payments Log'!N:N, 'Payments Log'!L:L, "Approved", 'Payments Log'!M:M, "Virtual Credit", 'Payments Log'!B:B, A119)))</f>
        <v>0</v>
      </c>
      <c r="DX119" s="33">
        <f t="shared" si="6"/>
        <v>19103</v>
      </c>
      <c r="DY119" s="33">
        <f t="shared" si="7"/>
        <v>19103</v>
      </c>
      <c r="DZ119" s="33">
        <f t="shared" si="8"/>
        <v>19103</v>
      </c>
      <c r="EA119" s="25" t="str">
        <f>(Sheet1!N119)</f>
        <v>Sumitra Sons - Shahajahanpur</v>
      </c>
      <c r="EB119" s="25" t="str">
        <f>(Sheet1!O119)</f>
        <v>11FZlKtFUzBvNAVUVwf1C2KpyoxHhbZTiI7E_EdPr-mg</v>
      </c>
      <c r="EC119" s="26" t="str">
        <f>(Sheet1!P119)</f>
        <v>Dealer</v>
      </c>
      <c r="ED119" s="34" t="s">
        <v>13</v>
      </c>
    </row>
    <row r="120">
      <c r="A120" s="25" t="str">
        <f>(Sheet1!A120)</f>
        <v>1Ls4odXuMLfeohk9ZIC00W0M7HKTZolVgkr-fVY8YwrQ</v>
      </c>
      <c r="B120" s="25" t="str">
        <f>(Sheet1!B120)</f>
        <v>R N Motors - Rampur</v>
      </c>
      <c r="C120" s="30" t="s">
        <v>13</v>
      </c>
      <c r="D120" s="30" t="s">
        <v>72</v>
      </c>
      <c r="E120" s="30" t="s">
        <v>3817</v>
      </c>
      <c r="F120" s="31">
        <v>205.0</v>
      </c>
      <c r="G120" s="32" t="s">
        <v>3818</v>
      </c>
      <c r="H120" s="31">
        <v>100.0</v>
      </c>
      <c r="I120" s="33">
        <f>'Old Balance Sheet'!A120 + 'ACPL Calculations - 1.0'!A120 + 'ACPL Calculations - 2.0'!A120</f>
        <v>0</v>
      </c>
      <c r="J120" s="30" t="s">
        <v>3817</v>
      </c>
      <c r="K120" s="31">
        <v>205.0</v>
      </c>
      <c r="L120" s="32" t="s">
        <v>3818</v>
      </c>
      <c r="M120" s="31">
        <v>100.0</v>
      </c>
      <c r="N120" s="33">
        <f>'Old Balance Sheet'!B120 + 'ACPL Calculations - 1.0'!B120 + 'ACPL Calculations - 2.0'!B120</f>
        <v>0</v>
      </c>
      <c r="O120" s="30" t="s">
        <v>3817</v>
      </c>
      <c r="P120" s="31">
        <v>290.0</v>
      </c>
      <c r="Q120" s="32" t="s">
        <v>3818</v>
      </c>
      <c r="R120" s="31">
        <v>100.0</v>
      </c>
      <c r="S120" s="33">
        <f>'Old Balance Sheet'!C120 + 'ACPL Calculations - 1.0'!C120 + 'ACPL Calculations - 2.0'!C120</f>
        <v>0</v>
      </c>
      <c r="T120" s="30" t="s">
        <v>3817</v>
      </c>
      <c r="U120" s="31">
        <v>375.0</v>
      </c>
      <c r="V120" s="32" t="s">
        <v>3818</v>
      </c>
      <c r="W120" s="31">
        <v>100.0</v>
      </c>
      <c r="X120" s="33">
        <f>'Old Balance Sheet'!D120 + 'ACPL Calculations - 1.0'!D120 + 'ACPL Calculations - 2.0'!D120</f>
        <v>0</v>
      </c>
      <c r="Y120" s="30" t="s">
        <v>3817</v>
      </c>
      <c r="Z120" s="31">
        <v>460.0</v>
      </c>
      <c r="AA120" s="32" t="s">
        <v>3818</v>
      </c>
      <c r="AB120" s="31">
        <v>100.0</v>
      </c>
      <c r="AC120" s="33">
        <f>'Old Balance Sheet'!E120 + 'ACPL Calculations - 1.0'!E120 + 'ACPL Calculations - 2.0'!E120</f>
        <v>0</v>
      </c>
      <c r="AD120" s="30" t="s">
        <v>3817</v>
      </c>
      <c r="AE120" s="34">
        <v>838.99</v>
      </c>
      <c r="AF120" s="32" t="s">
        <v>3818</v>
      </c>
      <c r="AG120" s="31">
        <v>100.0</v>
      </c>
      <c r="AH120" s="33">
        <f>'Old Balance Sheet'!F120 + 'ACPL Calculations - 1.0'!F120 + 'ACPL Calculations - 2.0'!F120</f>
        <v>0</v>
      </c>
      <c r="AI120" s="30" t="s">
        <v>3817</v>
      </c>
      <c r="AJ120" s="31">
        <v>375.0</v>
      </c>
      <c r="AK120" s="32" t="s">
        <v>3818</v>
      </c>
      <c r="AL120" s="31">
        <v>100.0</v>
      </c>
      <c r="AM120" s="33">
        <f>'Old Balance Sheet'!G120 + 'ACPL Calculations - 1.0'!G120 + 'ACPL Calculations - 2.0'!G120</f>
        <v>0</v>
      </c>
      <c r="AN120" s="30" t="s">
        <v>3817</v>
      </c>
      <c r="AO120" s="31">
        <v>290.0</v>
      </c>
      <c r="AP120" s="32" t="s">
        <v>3818</v>
      </c>
      <c r="AQ120" s="31">
        <v>100.0</v>
      </c>
      <c r="AR120" s="33">
        <f>'Old Balance Sheet'!H120 + 'ACPL Calculations - 1.0'!H120 + 'ACPL Calculations - 2.0'!H120</f>
        <v>0</v>
      </c>
      <c r="AS120" s="30" t="s">
        <v>3819</v>
      </c>
      <c r="AT120" s="31">
        <v>838.99</v>
      </c>
      <c r="AU120" s="32" t="s">
        <v>3818</v>
      </c>
      <c r="AV120" s="31">
        <v>100.0</v>
      </c>
      <c r="AW120" s="33">
        <f>'Old Balance Sheet'!I120 + 'ACPL Calculations - 1.0'!I120 + 'ACPL Calculations - 2.0'!I120</f>
        <v>0</v>
      </c>
      <c r="AX120" s="30" t="s">
        <v>3817</v>
      </c>
      <c r="AY120" s="31">
        <v>290.0</v>
      </c>
      <c r="AZ120" s="32" t="s">
        <v>3818</v>
      </c>
      <c r="BA120" s="31">
        <v>100.0</v>
      </c>
      <c r="BB120" s="33">
        <f>'Old Balance Sheet'!J120 + 'ACPL Calculations - 1.0'!J120 + 'ACPL Calculations - 2.0'!J120</f>
        <v>0</v>
      </c>
      <c r="BC120" s="30" t="s">
        <v>3817</v>
      </c>
      <c r="BD120" s="31">
        <v>205.0</v>
      </c>
      <c r="BE120" s="32" t="s">
        <v>3818</v>
      </c>
      <c r="BF120" s="31">
        <v>100.0</v>
      </c>
      <c r="BG120" s="33">
        <f>'Old Balance Sheet'!K120 + 'ACPL Calculations - 1.0'!K120 + 'ACPL Calculations - 2.0'!K120</f>
        <v>0</v>
      </c>
      <c r="BH120" s="30" t="s">
        <v>3817</v>
      </c>
      <c r="BI120" s="31">
        <v>205.0</v>
      </c>
      <c r="BJ120" s="32" t="s">
        <v>3818</v>
      </c>
      <c r="BK120" s="31">
        <v>100.0</v>
      </c>
      <c r="BL120" s="33">
        <f>'Old Balance Sheet'!L120 + 'ACPL Calculations - 1.0'!L120 + 'ACPL Calculations - 2.0'!L120</f>
        <v>0</v>
      </c>
      <c r="BM120" s="33"/>
      <c r="BN120" s="33"/>
      <c r="BO120" s="33"/>
      <c r="BP120" s="33"/>
      <c r="BQ120" s="33"/>
      <c r="BR120" s="33"/>
      <c r="BS120" s="33"/>
      <c r="BT120" s="33"/>
      <c r="BU120" s="33"/>
      <c r="BV120" s="33"/>
      <c r="BW120" s="33"/>
      <c r="BX120" s="33"/>
      <c r="BY120" s="33"/>
      <c r="BZ120" s="33"/>
      <c r="CA120" s="33"/>
      <c r="CB120" s="33"/>
      <c r="CC120" s="33"/>
      <c r="CD120" s="33"/>
      <c r="CE120" s="33"/>
      <c r="CF120" s="33"/>
      <c r="CG120" s="33"/>
      <c r="CH120" s="33"/>
      <c r="CI120" s="33"/>
      <c r="CJ120" s="33"/>
      <c r="CK120" s="33"/>
      <c r="CL120" s="33">
        <f t="shared" si="1"/>
        <v>0</v>
      </c>
      <c r="CM120" s="33">
        <f>'Old Balance Sheet'!R120 + 'ACPL Calculations - 1.0'!S120 + 'ACPL Calculations - 2.0'!S120</f>
        <v>0</v>
      </c>
      <c r="CN120" s="33">
        <f>'Old Balance Sheet'!S120 + 'ACPL Calculations - 1.0'!T120 + 'ACPL Calculations - 2.0'!T120</f>
        <v>0</v>
      </c>
      <c r="CO120" s="33">
        <f t="shared" si="2"/>
        <v>0</v>
      </c>
      <c r="CP120" s="33">
        <f>'Old Balance Sheet'!T120 + 'ACPL Calculations - 1.0'!V120 + 'ACPL Calculations - 2.0'!V120</f>
        <v>0</v>
      </c>
      <c r="CQ120" s="33">
        <f>'Old Balance Sheet'!U120 + 'ACPL Calculations - 1.0'!W120 + 'ACPL Calculations - 2.0'!W120</f>
        <v>0</v>
      </c>
      <c r="CR120" s="33">
        <f>'Old Balance Sheet'!V120 + 'ACPL Calculations - 1.0'!X120 + 'ACPL Calculations - 2.0'!X120</f>
        <v>0</v>
      </c>
      <c r="CS120" s="33">
        <f t="shared" si="3"/>
        <v>0</v>
      </c>
      <c r="CT120" s="35"/>
      <c r="CU120" s="35"/>
      <c r="CV120" s="35"/>
      <c r="CW120" s="36">
        <f>'Old Balance Sheet'!W120 + 'ACPL Calculations - 1.0'!Z120 + 'ACPL Calculations - 2.0'!Z120</f>
        <v>0</v>
      </c>
      <c r="CX120" s="36">
        <f>'Old Balance Sheet'!X120 + 'ACPL Calculations - 1.0'!AA120 + 'ACPL Calculations - 2.0'!AA120</f>
        <v>0</v>
      </c>
      <c r="CY120" s="37">
        <v>0.0</v>
      </c>
      <c r="CZ120" s="38">
        <f>'Old Balance Sheet'!Y120 + 'ACPL Calculations - 1.0'!AB120 + 'ACPL Calculations - 2.0'!AB120</f>
        <v>0</v>
      </c>
      <c r="DA120" s="38">
        <f>'Old Balance Sheet'!Z120 + 'ACPL Calculations - 1.0'!AC120 + 'ACPL Calculations - 2.0'!AC120</f>
        <v>0</v>
      </c>
      <c r="DB120" s="38">
        <f>'Old Balance Sheet'!AA120 + 'ACPL Calculations - 1.0'!AD120 + 'ACPL Calculations - 2.0'!AD120</f>
        <v>0</v>
      </c>
      <c r="DC120" s="38">
        <f>'Old Balance Sheet'!AB120 + 'ACPL Calculations - 1.0'!AE120 + 'ACPL Calculations - 2.0'!AE120</f>
        <v>0</v>
      </c>
      <c r="DD120" s="38">
        <f t="shared" si="4"/>
        <v>0</v>
      </c>
      <c r="DE120" s="33">
        <f t="shared" si="5"/>
        <v>0</v>
      </c>
      <c r="DF120" s="35">
        <v>0.0</v>
      </c>
      <c r="DG120" s="35">
        <v>0.0</v>
      </c>
      <c r="DH120" s="35">
        <v>0.0</v>
      </c>
      <c r="DI120" s="35">
        <v>0.0</v>
      </c>
      <c r="DJ120" s="35">
        <v>0.0</v>
      </c>
      <c r="DK120" s="35">
        <v>0.0</v>
      </c>
      <c r="DL120" s="35">
        <v>0.0</v>
      </c>
      <c r="DM120" s="35">
        <v>0.0</v>
      </c>
      <c r="DN120" s="31">
        <v>0.0</v>
      </c>
      <c r="DO120" s="31">
        <v>0.0</v>
      </c>
      <c r="DP120" s="31">
        <v>0.0</v>
      </c>
      <c r="DQ120" s="31">
        <v>0.0</v>
      </c>
      <c r="DR120" s="31">
        <v>0.0</v>
      </c>
      <c r="DS120" s="31">
        <v>0.0</v>
      </c>
      <c r="DT120" s="31">
        <f>'Old Balance Sheet'!AC120</f>
        <v>0</v>
      </c>
      <c r="DU120" s="31">
        <f>DT120 + SUMIFS('Payments Log'!D:D, 'Payments Log'!B:B, A120, 'Payments Log'!L:L, "Approved", 'Payments Log'!M:M, "Credit") + 'Old Balance Sheet'!AD120 - 'Old Balance Sheet'!AC120</f>
        <v>0</v>
      </c>
      <c r="DV120" s="31">
        <f>SUMIFS('Payments Log'!D:D, 'Payments Log'!B:B, A120, 'Payments Log'!L:L, "Approved", 'Payments Log'!M:M, "Adjustment Credit") - SUMIFS('Payments Log'!D:D, 'Payments Log'!B:B, A120, 'Payments Log'!L:L, "Approved", 'Payments Log'!M:M, "Adjustment Debit") + 'Old Balance Sheet'!AE120</f>
        <v>0</v>
      </c>
      <c r="DW120" s="31">
        <f>IF(MAXIFS('Payments Log'!N:N, 'Payments Log'!L:L, "Approved", 'Payments Log'!M:M, "Credit", 'Payments Log'!B:B, A120) &gt; MAXIFS('Payments Log'!N:N, 'Payments Log'!L:L, "Approved", 'Payments Log'!M:M, "Virtual Credit", 'Payments Log'!B:B, A120), 0, SUMIFS('Payments Log'!D:D, 'Payments Log'!N:N, MAXIFS('Payments Log'!N:N, 'Payments Log'!L:L, "Approved", 'Payments Log'!M:M, "Virtual Credit", 'Payments Log'!B:B, A120)))</f>
        <v>0</v>
      </c>
      <c r="DX120" s="33">
        <f t="shared" si="6"/>
        <v>0</v>
      </c>
      <c r="DY120" s="33">
        <f t="shared" si="7"/>
        <v>0</v>
      </c>
      <c r="DZ120" s="33">
        <f t="shared" si="8"/>
        <v>0</v>
      </c>
      <c r="EA120" s="25" t="str">
        <f>(Sheet1!N120)</f>
        <v>R N Motors - Rampur</v>
      </c>
      <c r="EB120" s="25" t="str">
        <f>(Sheet1!O120)</f>
        <v>1Ls4odXuMLfeohk9ZIC00W0M7HKTZolVgkr-fVY8YwrQ</v>
      </c>
      <c r="EC120" s="26" t="str">
        <f>(Sheet1!P120)</f>
        <v>Dealer</v>
      </c>
      <c r="ED120" s="34" t="s">
        <v>13</v>
      </c>
    </row>
    <row r="121">
      <c r="A121" s="25" t="str">
        <f>(Sheet1!A121)</f>
        <v>1egrFzds1dA_qcyd-YeJKBrt74ORJ0Jzk4cfbN-wYoKI</v>
      </c>
      <c r="B121" s="25" t="str">
        <f>(Sheet1!B121)</f>
        <v>Venus Hero Venture - Firozabad</v>
      </c>
      <c r="C121" s="30" t="s">
        <v>13</v>
      </c>
      <c r="D121" s="30" t="s">
        <v>72</v>
      </c>
      <c r="E121" s="30" t="s">
        <v>3820</v>
      </c>
      <c r="F121" s="31">
        <v>185.0</v>
      </c>
      <c r="G121" s="32" t="s">
        <v>3818</v>
      </c>
      <c r="H121" s="31">
        <v>100.0</v>
      </c>
      <c r="I121" s="33">
        <f>'Old Balance Sheet'!A121 + 'ACPL Calculations - 1.0'!A121 + 'ACPL Calculations - 2.0'!A121</f>
        <v>717</v>
      </c>
      <c r="J121" s="30" t="s">
        <v>3820</v>
      </c>
      <c r="K121" s="31">
        <v>205.0</v>
      </c>
      <c r="L121" s="32" t="s">
        <v>3818</v>
      </c>
      <c r="M121" s="31">
        <v>100.0</v>
      </c>
      <c r="N121" s="33">
        <f>'Old Balance Sheet'!B121 + 'ACPL Calculations - 1.0'!B121 + 'ACPL Calculations - 2.0'!B121</f>
        <v>0</v>
      </c>
      <c r="O121" s="30" t="s">
        <v>3820</v>
      </c>
      <c r="P121" s="31">
        <v>290.0</v>
      </c>
      <c r="Q121" s="32" t="s">
        <v>3818</v>
      </c>
      <c r="R121" s="31">
        <v>100.0</v>
      </c>
      <c r="S121" s="33">
        <f>'Old Balance Sheet'!C121 + 'ACPL Calculations - 1.0'!C121 + 'ACPL Calculations - 2.0'!C121</f>
        <v>0</v>
      </c>
      <c r="T121" s="30" t="s">
        <v>3820</v>
      </c>
      <c r="U121" s="31">
        <v>375.0</v>
      </c>
      <c r="V121" s="32" t="s">
        <v>3818</v>
      </c>
      <c r="W121" s="31">
        <v>100.0</v>
      </c>
      <c r="X121" s="33">
        <f>'Old Balance Sheet'!D121 + 'ACPL Calculations - 1.0'!D121 + 'ACPL Calculations - 2.0'!D121</f>
        <v>0</v>
      </c>
      <c r="Y121" s="30" t="s">
        <v>3820</v>
      </c>
      <c r="Z121" s="31">
        <v>400.0</v>
      </c>
      <c r="AA121" s="32" t="s">
        <v>3818</v>
      </c>
      <c r="AB121" s="31">
        <v>100.0</v>
      </c>
      <c r="AC121" s="33">
        <f>'Old Balance Sheet'!E121 + 'ACPL Calculations - 1.0'!E121 + 'ACPL Calculations - 2.0'!E121</f>
        <v>3581</v>
      </c>
      <c r="AD121" s="30" t="s">
        <v>3820</v>
      </c>
      <c r="AE121" s="34">
        <v>838.99</v>
      </c>
      <c r="AF121" s="32" t="s">
        <v>3818</v>
      </c>
      <c r="AG121" s="31">
        <v>100.0</v>
      </c>
      <c r="AH121" s="33">
        <f>'Old Balance Sheet'!F121 + 'ACPL Calculations - 1.0'!F121 + 'ACPL Calculations - 2.0'!F121</f>
        <v>0</v>
      </c>
      <c r="AI121" s="30" t="s">
        <v>3820</v>
      </c>
      <c r="AJ121" s="31">
        <v>375.0</v>
      </c>
      <c r="AK121" s="32" t="s">
        <v>3818</v>
      </c>
      <c r="AL121" s="31">
        <v>100.0</v>
      </c>
      <c r="AM121" s="33">
        <f>'Old Balance Sheet'!G121 + 'ACPL Calculations - 1.0'!G121 + 'ACPL Calculations - 2.0'!G121</f>
        <v>0</v>
      </c>
      <c r="AN121" s="30" t="s">
        <v>3820</v>
      </c>
      <c r="AO121" s="31">
        <v>290.0</v>
      </c>
      <c r="AP121" s="32" t="s">
        <v>3818</v>
      </c>
      <c r="AQ121" s="31">
        <v>100.0</v>
      </c>
      <c r="AR121" s="33">
        <f>'Old Balance Sheet'!H121 + 'ACPL Calculations - 1.0'!H121 + 'ACPL Calculations - 2.0'!H121</f>
        <v>0</v>
      </c>
      <c r="AS121" s="30" t="s">
        <v>3819</v>
      </c>
      <c r="AT121" s="31">
        <v>838.99</v>
      </c>
      <c r="AU121" s="32" t="s">
        <v>3818</v>
      </c>
      <c r="AV121" s="31">
        <v>100.0</v>
      </c>
      <c r="AW121" s="33">
        <f>'Old Balance Sheet'!I121 + 'ACPL Calculations - 1.0'!I121 + 'ACPL Calculations - 2.0'!I121</f>
        <v>0</v>
      </c>
      <c r="AX121" s="30" t="s">
        <v>3820</v>
      </c>
      <c r="AY121" s="31">
        <v>290.0</v>
      </c>
      <c r="AZ121" s="32" t="s">
        <v>3818</v>
      </c>
      <c r="BA121" s="31">
        <v>100.0</v>
      </c>
      <c r="BB121" s="33">
        <f>'Old Balance Sheet'!J121 + 'ACPL Calculations - 1.0'!J121 + 'ACPL Calculations - 2.0'!J121</f>
        <v>0</v>
      </c>
      <c r="BC121" s="30" t="s">
        <v>3820</v>
      </c>
      <c r="BD121" s="31">
        <v>205.0</v>
      </c>
      <c r="BE121" s="32" t="s">
        <v>3818</v>
      </c>
      <c r="BF121" s="31">
        <v>100.0</v>
      </c>
      <c r="BG121" s="33">
        <f>'Old Balance Sheet'!K121 + 'ACPL Calculations - 1.0'!K121 + 'ACPL Calculations - 2.0'!K121</f>
        <v>0</v>
      </c>
      <c r="BH121" s="30" t="s">
        <v>3820</v>
      </c>
      <c r="BI121" s="31">
        <v>205.0</v>
      </c>
      <c r="BJ121" s="32" t="s">
        <v>3818</v>
      </c>
      <c r="BK121" s="31">
        <v>100.0</v>
      </c>
      <c r="BL121" s="33">
        <f>'Old Balance Sheet'!L121 + 'ACPL Calculations - 1.0'!L121 + 'ACPL Calculations - 2.0'!L121</f>
        <v>0</v>
      </c>
      <c r="BM121" s="33"/>
      <c r="BN121" s="33"/>
      <c r="BO121" s="33"/>
      <c r="BP121" s="33"/>
      <c r="BQ121" s="33"/>
      <c r="BR121" s="33"/>
      <c r="BS121" s="33"/>
      <c r="BT121" s="33"/>
      <c r="BU121" s="33"/>
      <c r="BV121" s="33"/>
      <c r="BW121" s="33"/>
      <c r="BX121" s="33"/>
      <c r="BY121" s="33"/>
      <c r="BZ121" s="33"/>
      <c r="CA121" s="33"/>
      <c r="CB121" s="33"/>
      <c r="CC121" s="33"/>
      <c r="CD121" s="33"/>
      <c r="CE121" s="33"/>
      <c r="CF121" s="33"/>
      <c r="CG121" s="33"/>
      <c r="CH121" s="33"/>
      <c r="CI121" s="33"/>
      <c r="CJ121" s="33"/>
      <c r="CK121" s="33"/>
      <c r="CL121" s="33">
        <f t="shared" si="1"/>
        <v>4298</v>
      </c>
      <c r="CM121" s="33">
        <f>'Old Balance Sheet'!R121 + 'ACPL Calculations - 1.0'!S121 + 'ACPL Calculations - 2.0'!S121</f>
        <v>4384395</v>
      </c>
      <c r="CN121" s="33">
        <f>'Old Balance Sheet'!S121 + 'ACPL Calculations - 1.0'!T121 + 'ACPL Calculations - 2.0'!T121</f>
        <v>1692125</v>
      </c>
      <c r="CO121" s="33">
        <f t="shared" si="2"/>
        <v>2360932.06</v>
      </c>
      <c r="CP121" s="33">
        <f>'Old Balance Sheet'!T121 + 'ACPL Calculations - 1.0'!V121 + 'ACPL Calculations - 2.0'!V121</f>
        <v>161.08</v>
      </c>
      <c r="CQ121" s="33">
        <f>'Old Balance Sheet'!U121 + 'ACPL Calculations - 1.0'!W121 + 'ACPL Calculations - 2.0'!W121</f>
        <v>161.08</v>
      </c>
      <c r="CR121" s="33">
        <f>'Old Balance Sheet'!V121 + 'ACPL Calculations - 1.0'!X121 + 'ACPL Calculations - 2.0'!X121</f>
        <v>668484.9</v>
      </c>
      <c r="CS121" s="33">
        <f t="shared" si="3"/>
        <v>668807.06</v>
      </c>
      <c r="CT121" s="35"/>
      <c r="CU121" s="35"/>
      <c r="CV121" s="35"/>
      <c r="CW121" s="36">
        <f>'Old Balance Sheet'!W121 + 'ACPL Calculations - 1.0'!Z121 + 'ACPL Calculations - 2.0'!Z121</f>
        <v>4384395</v>
      </c>
      <c r="CX121" s="36">
        <f>'Old Balance Sheet'!X121 + 'ACPL Calculations - 1.0'!AA121 + 'ACPL Calculations - 2.0'!AA121</f>
        <v>2442185.57</v>
      </c>
      <c r="CY121" s="37">
        <v>0.0</v>
      </c>
      <c r="CZ121" s="38">
        <f>'Old Balance Sheet'!Y121 + 'ACPL Calculations - 1.0'!AB121 + 'ACPL Calculations - 2.0'!AB121</f>
        <v>2010182.04</v>
      </c>
      <c r="DA121" s="38">
        <f>'Old Balance Sheet'!Z121 + 'ACPL Calculations - 1.0'!AC121 + 'ACPL Calculations - 2.0'!AC121</f>
        <v>0</v>
      </c>
      <c r="DB121" s="38">
        <f>'Old Balance Sheet'!AA121 + 'ACPL Calculations - 1.0'!AD121 + 'ACPL Calculations - 2.0'!AD121</f>
        <v>81256.01</v>
      </c>
      <c r="DC121" s="38">
        <f>'Old Balance Sheet'!AB121 + 'ACPL Calculations - 1.0'!AE121 + 'ACPL Calculations - 2.0'!AE121</f>
        <v>1942209.43</v>
      </c>
      <c r="DD121" s="38">
        <f t="shared" si="4"/>
        <v>1942209.43</v>
      </c>
      <c r="DE121" s="33">
        <f t="shared" si="5"/>
        <v>1942209.43</v>
      </c>
      <c r="DF121" s="35">
        <v>0.0</v>
      </c>
      <c r="DG121" s="35">
        <v>0.0</v>
      </c>
      <c r="DH121" s="35">
        <v>0.0</v>
      </c>
      <c r="DI121" s="35">
        <v>0.0</v>
      </c>
      <c r="DJ121" s="35">
        <v>0.0</v>
      </c>
      <c r="DK121" s="35">
        <v>0.0</v>
      </c>
      <c r="DL121" s="35">
        <v>0.0</v>
      </c>
      <c r="DM121" s="35">
        <v>0.0</v>
      </c>
      <c r="DN121" s="31">
        <v>0.0</v>
      </c>
      <c r="DO121" s="31">
        <v>0.0</v>
      </c>
      <c r="DP121" s="31">
        <v>0.0</v>
      </c>
      <c r="DQ121" s="31">
        <v>0.0</v>
      </c>
      <c r="DR121" s="31">
        <v>0.0</v>
      </c>
      <c r="DS121" s="31">
        <v>0.0</v>
      </c>
      <c r="DT121" s="31">
        <f>'Old Balance Sheet'!AC121</f>
        <v>-150077</v>
      </c>
      <c r="DU121" s="31">
        <f>DT121 + SUMIFS('Payments Log'!D:D, 'Payments Log'!B:B, A121, 'Payments Log'!L:L, "Approved", 'Payments Log'!M:M, "Credit") + 'Old Balance Sheet'!AD121 - 'Old Balance Sheet'!AC121</f>
        <v>4487895</v>
      </c>
      <c r="DV121" s="31">
        <f>SUMIFS('Payments Log'!D:D, 'Payments Log'!B:B, A121, 'Payments Log'!L:L, "Approved", 'Payments Log'!M:M, "Adjustment Credit") - SUMIFS('Payments Log'!D:D, 'Payments Log'!B:B, A121, 'Payments Log'!L:L, "Approved", 'Payments Log'!M:M, "Adjustment Debit") + 'Old Balance Sheet'!AE121</f>
        <v>613</v>
      </c>
      <c r="DW121" s="31">
        <f>IF(MAXIFS('Payments Log'!N:N, 'Payments Log'!L:L, "Approved", 'Payments Log'!M:M, "Credit", 'Payments Log'!B:B, A121) &gt; MAXIFS('Payments Log'!N:N, 'Payments Log'!L:L, "Approved", 'Payments Log'!M:M, "Virtual Credit", 'Payments Log'!B:B, A121), 0, SUMIFS('Payments Log'!D:D, 'Payments Log'!N:N, MAXIFS('Payments Log'!N:N, 'Payments Log'!L:L, "Approved", 'Payments Log'!M:M, "Virtual Credit", 'Payments Log'!B:B, A121)))</f>
        <v>0</v>
      </c>
      <c r="DX121" s="33">
        <f t="shared" si="6"/>
        <v>104113</v>
      </c>
      <c r="DY121" s="33">
        <f t="shared" si="7"/>
        <v>2046322.43</v>
      </c>
      <c r="DZ121" s="33">
        <f t="shared" si="8"/>
        <v>2046322.43</v>
      </c>
      <c r="EA121" s="25" t="str">
        <f>(Sheet1!N121)</f>
        <v>Venus Hero Venture - Firozabad</v>
      </c>
      <c r="EB121" s="25" t="str">
        <f>(Sheet1!O121)</f>
        <v>1egrFzds1dA_qcyd-YeJKBrt74ORJ0Jzk4cfbN-wYoKI</v>
      </c>
      <c r="EC121" s="26" t="str">
        <f>(Sheet1!P121)</f>
        <v>Dealer</v>
      </c>
      <c r="ED121" s="34" t="s">
        <v>13</v>
      </c>
    </row>
    <row r="122">
      <c r="A122" s="25" t="str">
        <f>(Sheet1!A122)</f>
        <v>1ra6mHCXtOkmX_f5VYmZIM-O0h_lwV1ZF943CChQWm44</v>
      </c>
      <c r="B122" s="25" t="str">
        <f>(Sheet1!B122)</f>
        <v>VAW - Ramghat Road</v>
      </c>
      <c r="C122" s="30" t="s">
        <v>13</v>
      </c>
      <c r="D122" s="30" t="s">
        <v>72</v>
      </c>
      <c r="E122" s="30" t="s">
        <v>3820</v>
      </c>
      <c r="F122" s="31">
        <v>170.0</v>
      </c>
      <c r="G122" s="32" t="s">
        <v>3818</v>
      </c>
      <c r="H122" s="31">
        <v>100.0</v>
      </c>
      <c r="I122" s="33">
        <f>'Old Balance Sheet'!A122 + 'ACPL Calculations - 1.0'!A122 + 'ACPL Calculations - 2.0'!A122</f>
        <v>148</v>
      </c>
      <c r="J122" s="30" t="s">
        <v>3820</v>
      </c>
      <c r="K122" s="31">
        <v>170.0</v>
      </c>
      <c r="L122" s="32" t="s">
        <v>3818</v>
      </c>
      <c r="M122" s="31">
        <v>100.0</v>
      </c>
      <c r="N122" s="33">
        <f>'Old Balance Sheet'!B122 + 'ACPL Calculations - 1.0'!B122 + 'ACPL Calculations - 2.0'!B122</f>
        <v>1</v>
      </c>
      <c r="O122" s="30" t="s">
        <v>3820</v>
      </c>
      <c r="P122" s="31">
        <v>170.0</v>
      </c>
      <c r="Q122" s="32" t="s">
        <v>3818</v>
      </c>
      <c r="R122" s="31">
        <v>100.0</v>
      </c>
      <c r="S122" s="33">
        <f>'Old Balance Sheet'!C122 + 'ACPL Calculations - 1.0'!C122 + 'ACPL Calculations - 2.0'!C122</f>
        <v>0</v>
      </c>
      <c r="T122" s="30" t="s">
        <v>3820</v>
      </c>
      <c r="U122" s="31">
        <v>170.0</v>
      </c>
      <c r="V122" s="32" t="s">
        <v>3818</v>
      </c>
      <c r="W122" s="31">
        <v>100.0</v>
      </c>
      <c r="X122" s="33">
        <f>'Old Balance Sheet'!D122 + 'ACPL Calculations - 1.0'!D122 + 'ACPL Calculations - 2.0'!D122</f>
        <v>0</v>
      </c>
      <c r="Y122" s="30" t="s">
        <v>3820</v>
      </c>
      <c r="Z122" s="31">
        <v>170.0</v>
      </c>
      <c r="AA122" s="32" t="s">
        <v>3818</v>
      </c>
      <c r="AB122" s="31">
        <v>100.0</v>
      </c>
      <c r="AC122" s="33">
        <f>'Old Balance Sheet'!E122 + 'ACPL Calculations - 1.0'!E122 + 'ACPL Calculations - 2.0'!E122</f>
        <v>599</v>
      </c>
      <c r="AD122" s="30" t="s">
        <v>3820</v>
      </c>
      <c r="AE122" s="34">
        <v>838.99</v>
      </c>
      <c r="AF122" s="32" t="s">
        <v>3818</v>
      </c>
      <c r="AG122" s="31">
        <v>100.0</v>
      </c>
      <c r="AH122" s="33">
        <f>'Old Balance Sheet'!F122 + 'ACPL Calculations - 1.0'!F122 + 'ACPL Calculations - 2.0'!F122</f>
        <v>0</v>
      </c>
      <c r="AI122" s="30" t="s">
        <v>3820</v>
      </c>
      <c r="AJ122" s="31">
        <v>170.0</v>
      </c>
      <c r="AK122" s="32" t="s">
        <v>3818</v>
      </c>
      <c r="AL122" s="31">
        <v>100.0</v>
      </c>
      <c r="AM122" s="33">
        <f>'Old Balance Sheet'!G122 + 'ACPL Calculations - 1.0'!G122 + 'ACPL Calculations - 2.0'!G122</f>
        <v>0</v>
      </c>
      <c r="AN122" s="30" t="s">
        <v>3820</v>
      </c>
      <c r="AO122" s="31">
        <v>170.0</v>
      </c>
      <c r="AP122" s="32" t="s">
        <v>3818</v>
      </c>
      <c r="AQ122" s="31">
        <v>100.0</v>
      </c>
      <c r="AR122" s="33">
        <f>'Old Balance Sheet'!H122 + 'ACPL Calculations - 1.0'!H122 + 'ACPL Calculations - 2.0'!H122</f>
        <v>0</v>
      </c>
      <c r="AS122" s="30" t="s">
        <v>3819</v>
      </c>
      <c r="AT122" s="31">
        <v>838.99</v>
      </c>
      <c r="AU122" s="32" t="s">
        <v>3818</v>
      </c>
      <c r="AV122" s="31">
        <v>100.0</v>
      </c>
      <c r="AW122" s="33">
        <f>'Old Balance Sheet'!I122 + 'ACPL Calculations - 1.0'!I122 + 'ACPL Calculations - 2.0'!I122</f>
        <v>0</v>
      </c>
      <c r="AX122" s="30" t="s">
        <v>3820</v>
      </c>
      <c r="AY122" s="31">
        <v>290.0</v>
      </c>
      <c r="AZ122" s="32" t="s">
        <v>3818</v>
      </c>
      <c r="BA122" s="31">
        <v>100.0</v>
      </c>
      <c r="BB122" s="33">
        <f>'Old Balance Sheet'!J122 + 'ACPL Calculations - 1.0'!J122 + 'ACPL Calculations - 2.0'!J122</f>
        <v>0</v>
      </c>
      <c r="BC122" s="30" t="s">
        <v>3820</v>
      </c>
      <c r="BD122" s="31">
        <v>205.0</v>
      </c>
      <c r="BE122" s="32" t="s">
        <v>3818</v>
      </c>
      <c r="BF122" s="31">
        <v>100.0</v>
      </c>
      <c r="BG122" s="33">
        <f>'Old Balance Sheet'!K122 + 'ACPL Calculations - 1.0'!K122 + 'ACPL Calculations - 2.0'!K122</f>
        <v>0</v>
      </c>
      <c r="BH122" s="30" t="s">
        <v>3820</v>
      </c>
      <c r="BI122" s="31">
        <v>205.0</v>
      </c>
      <c r="BJ122" s="32" t="s">
        <v>3818</v>
      </c>
      <c r="BK122" s="31">
        <v>100.0</v>
      </c>
      <c r="BL122" s="33">
        <f>'Old Balance Sheet'!L122 + 'ACPL Calculations - 1.0'!L122 + 'ACPL Calculations - 2.0'!L122</f>
        <v>0</v>
      </c>
      <c r="BM122" s="33"/>
      <c r="BN122" s="33"/>
      <c r="BO122" s="33"/>
      <c r="BP122" s="33"/>
      <c r="BQ122" s="33"/>
      <c r="BR122" s="33"/>
      <c r="BS122" s="33"/>
      <c r="BT122" s="33"/>
      <c r="BU122" s="33"/>
      <c r="BV122" s="33"/>
      <c r="BW122" s="33"/>
      <c r="BX122" s="33"/>
      <c r="BY122" s="33"/>
      <c r="BZ122" s="33"/>
      <c r="CA122" s="33"/>
      <c r="CB122" s="33"/>
      <c r="CC122" s="33"/>
      <c r="CD122" s="33"/>
      <c r="CE122" s="33"/>
      <c r="CF122" s="33"/>
      <c r="CG122" s="33"/>
      <c r="CH122" s="33"/>
      <c r="CI122" s="33"/>
      <c r="CJ122" s="33"/>
      <c r="CK122" s="33"/>
      <c r="CL122" s="33">
        <f t="shared" si="1"/>
        <v>748</v>
      </c>
      <c r="CM122" s="33">
        <f>'Old Balance Sheet'!R122 + 'ACPL Calculations - 1.0'!S122 + 'ACPL Calculations - 2.0'!S122</f>
        <v>1179060</v>
      </c>
      <c r="CN122" s="33">
        <f>'Old Balance Sheet'!S122 + 'ACPL Calculations - 1.0'!T122 + 'ACPL Calculations - 2.0'!T122</f>
        <v>127160</v>
      </c>
      <c r="CO122" s="33">
        <f t="shared" si="2"/>
        <v>307015.09</v>
      </c>
      <c r="CP122" s="33">
        <f>'Old Balance Sheet'!T122 + 'ACPL Calculations - 1.0'!V122 + 'ACPL Calculations - 2.0'!V122</f>
        <v>0</v>
      </c>
      <c r="CQ122" s="33">
        <f>'Old Balance Sheet'!U122 + 'ACPL Calculations - 1.0'!W122 + 'ACPL Calculations - 2.0'!W122</f>
        <v>0</v>
      </c>
      <c r="CR122" s="33">
        <f>'Old Balance Sheet'!V122 + 'ACPL Calculations - 1.0'!X122 + 'ACPL Calculations - 2.0'!X122</f>
        <v>179855.09</v>
      </c>
      <c r="CS122" s="33">
        <f t="shared" si="3"/>
        <v>179855.09</v>
      </c>
      <c r="CT122" s="35"/>
      <c r="CU122" s="35"/>
      <c r="CV122" s="35"/>
      <c r="CW122" s="36">
        <f>'Old Balance Sheet'!W122 + 'ACPL Calculations - 1.0'!Z122 + 'ACPL Calculations - 2.0'!Z122</f>
        <v>0</v>
      </c>
      <c r="CX122" s="36">
        <f>'Old Balance Sheet'!X122 + 'ACPL Calculations - 1.0'!AA122 + 'ACPL Calculations - 2.0'!AA122</f>
        <v>0</v>
      </c>
      <c r="CY122" s="37">
        <v>0.0</v>
      </c>
      <c r="CZ122" s="38">
        <f>'Old Balance Sheet'!Y122 + 'ACPL Calculations - 1.0'!AB122 + 'ACPL Calculations - 2.0'!AB122</f>
        <v>0</v>
      </c>
      <c r="DA122" s="38">
        <f>'Old Balance Sheet'!Z122 + 'ACPL Calculations - 1.0'!AC122 + 'ACPL Calculations - 2.0'!AC122</f>
        <v>0</v>
      </c>
      <c r="DB122" s="38">
        <f>'Old Balance Sheet'!AA122 + 'ACPL Calculations - 1.0'!AD122 + 'ACPL Calculations - 2.0'!AD122</f>
        <v>0</v>
      </c>
      <c r="DC122" s="38">
        <f>'Old Balance Sheet'!AB122 + 'ACPL Calculations - 1.0'!AE122 + 'ACPL Calculations - 2.0'!AE122</f>
        <v>0</v>
      </c>
      <c r="DD122" s="38">
        <f t="shared" si="4"/>
        <v>0</v>
      </c>
      <c r="DE122" s="33">
        <f t="shared" si="5"/>
        <v>0</v>
      </c>
      <c r="DF122" s="35">
        <v>0.0</v>
      </c>
      <c r="DG122" s="35">
        <v>0.0</v>
      </c>
      <c r="DH122" s="35">
        <v>0.0</v>
      </c>
      <c r="DI122" s="35">
        <v>0.0</v>
      </c>
      <c r="DJ122" s="35">
        <v>0.0</v>
      </c>
      <c r="DK122" s="35">
        <v>0.0</v>
      </c>
      <c r="DL122" s="35">
        <v>0.0</v>
      </c>
      <c r="DM122" s="35">
        <v>0.0</v>
      </c>
      <c r="DN122" s="31">
        <v>0.0</v>
      </c>
      <c r="DO122" s="31">
        <v>0.0</v>
      </c>
      <c r="DP122" s="31">
        <v>0.0</v>
      </c>
      <c r="DQ122" s="31">
        <v>0.0</v>
      </c>
      <c r="DR122" s="31">
        <v>0.0</v>
      </c>
      <c r="DS122" s="31">
        <v>0.0</v>
      </c>
      <c r="DT122" s="31">
        <f>'Old Balance Sheet'!AC122</f>
        <v>0</v>
      </c>
      <c r="DU122" s="31">
        <f>DT122 + SUMIFS('Payments Log'!D:D, 'Payments Log'!B:B, A122, 'Payments Log'!L:L, "Approved", 'Payments Log'!M:M, "Credit") + 'Old Balance Sheet'!AD122 - 'Old Balance Sheet'!AC122</f>
        <v>0</v>
      </c>
      <c r="DV122" s="31">
        <f>SUMIFS('Payments Log'!D:D, 'Payments Log'!B:B, A122, 'Payments Log'!L:L, "Approved", 'Payments Log'!M:M, "Adjustment Credit") - SUMIFS('Payments Log'!D:D, 'Payments Log'!B:B, A122, 'Payments Log'!L:L, "Approved", 'Payments Log'!M:M, "Adjustment Debit") + 'Old Balance Sheet'!AE122</f>
        <v>0</v>
      </c>
      <c r="DW122" s="31">
        <f>IF(MAXIFS('Payments Log'!N:N, 'Payments Log'!L:L, "Approved", 'Payments Log'!M:M, "Credit", 'Payments Log'!B:B, A122) &gt; MAXIFS('Payments Log'!N:N, 'Payments Log'!L:L, "Approved", 'Payments Log'!M:M, "Virtual Credit", 'Payments Log'!B:B, A122), 0, SUMIFS('Payments Log'!D:D, 'Payments Log'!N:N, MAXIFS('Payments Log'!N:N, 'Payments Log'!L:L, "Approved", 'Payments Log'!M:M, "Virtual Credit", 'Payments Log'!B:B, A122)))</f>
        <v>0</v>
      </c>
      <c r="DX122" s="33">
        <f t="shared" si="6"/>
        <v>0</v>
      </c>
      <c r="DY122" s="33">
        <f t="shared" si="7"/>
        <v>0</v>
      </c>
      <c r="DZ122" s="33">
        <f t="shared" si="8"/>
        <v>0</v>
      </c>
      <c r="EA122" s="25" t="str">
        <f>(Sheet1!N122)</f>
        <v>Vikas Autowheels</v>
      </c>
      <c r="EB122" s="25" t="str">
        <f>(Sheet1!O122)</f>
        <v>1944RLX7T1M23YXRXYoMnJ6nD_bKLldQXRpFRA0rDLvg</v>
      </c>
      <c r="EC122" s="26" t="str">
        <f>(Sheet1!P122)</f>
        <v>Sub Dealer</v>
      </c>
      <c r="ED122" s="34" t="s">
        <v>13</v>
      </c>
    </row>
    <row r="123">
      <c r="A123" s="25" t="str">
        <f>(Sheet1!A123)</f>
        <v>1TvRQZ8YHmTzU37pKeH-YEX0J0a9zBflsEJs2L0GfFao</v>
      </c>
      <c r="B123" s="25" t="str">
        <f>(Sheet1!B123)</f>
        <v>VAW - Kodiaganj</v>
      </c>
      <c r="C123" s="30" t="s">
        <v>13</v>
      </c>
      <c r="D123" s="30" t="s">
        <v>72</v>
      </c>
      <c r="E123" s="30" t="s">
        <v>3820</v>
      </c>
      <c r="F123" s="31">
        <v>170.0</v>
      </c>
      <c r="G123" s="32" t="s">
        <v>3818</v>
      </c>
      <c r="H123" s="31">
        <v>100.0</v>
      </c>
      <c r="I123" s="33">
        <f>'Old Balance Sheet'!A123 + 'ACPL Calculations - 1.0'!A123 + 'ACPL Calculations - 2.0'!A123</f>
        <v>43</v>
      </c>
      <c r="J123" s="30" t="s">
        <v>3820</v>
      </c>
      <c r="K123" s="31">
        <v>170.0</v>
      </c>
      <c r="L123" s="32" t="s">
        <v>3818</v>
      </c>
      <c r="M123" s="31">
        <v>100.0</v>
      </c>
      <c r="N123" s="33">
        <f>'Old Balance Sheet'!B123 + 'ACPL Calculations - 1.0'!B123 + 'ACPL Calculations - 2.0'!B123</f>
        <v>0</v>
      </c>
      <c r="O123" s="30" t="s">
        <v>3820</v>
      </c>
      <c r="P123" s="31">
        <v>170.0</v>
      </c>
      <c r="Q123" s="32" t="s">
        <v>3818</v>
      </c>
      <c r="R123" s="31">
        <v>100.0</v>
      </c>
      <c r="S123" s="33">
        <f>'Old Balance Sheet'!C123 + 'ACPL Calculations - 1.0'!C123 + 'ACPL Calculations - 2.0'!C123</f>
        <v>0</v>
      </c>
      <c r="T123" s="30" t="s">
        <v>3820</v>
      </c>
      <c r="U123" s="31">
        <v>170.0</v>
      </c>
      <c r="V123" s="32" t="s">
        <v>3818</v>
      </c>
      <c r="W123" s="31">
        <v>100.0</v>
      </c>
      <c r="X123" s="33">
        <f>'Old Balance Sheet'!D123 + 'ACPL Calculations - 1.0'!D123 + 'ACPL Calculations - 2.0'!D123</f>
        <v>0</v>
      </c>
      <c r="Y123" s="30" t="s">
        <v>3820</v>
      </c>
      <c r="Z123" s="31">
        <v>170.0</v>
      </c>
      <c r="AA123" s="32" t="s">
        <v>3818</v>
      </c>
      <c r="AB123" s="31">
        <v>100.0</v>
      </c>
      <c r="AC123" s="33">
        <f>'Old Balance Sheet'!E123 + 'ACPL Calculations - 1.0'!E123 + 'ACPL Calculations - 2.0'!E123</f>
        <v>236</v>
      </c>
      <c r="AD123" s="30" t="s">
        <v>3820</v>
      </c>
      <c r="AE123" s="34">
        <v>838.99</v>
      </c>
      <c r="AF123" s="32" t="s">
        <v>3818</v>
      </c>
      <c r="AG123" s="31">
        <v>100.0</v>
      </c>
      <c r="AH123" s="33">
        <f>'Old Balance Sheet'!F123 + 'ACPL Calculations - 1.0'!F123 + 'ACPL Calculations - 2.0'!F123</f>
        <v>0</v>
      </c>
      <c r="AI123" s="30" t="s">
        <v>3820</v>
      </c>
      <c r="AJ123" s="31">
        <v>170.0</v>
      </c>
      <c r="AK123" s="32" t="s">
        <v>3818</v>
      </c>
      <c r="AL123" s="31">
        <v>100.0</v>
      </c>
      <c r="AM123" s="33">
        <f>'Old Balance Sheet'!G123 + 'ACPL Calculations - 1.0'!G123 + 'ACPL Calculations - 2.0'!G123</f>
        <v>0</v>
      </c>
      <c r="AN123" s="30" t="s">
        <v>3820</v>
      </c>
      <c r="AO123" s="31">
        <v>170.0</v>
      </c>
      <c r="AP123" s="32" t="s">
        <v>3818</v>
      </c>
      <c r="AQ123" s="31">
        <v>100.0</v>
      </c>
      <c r="AR123" s="33">
        <f>'Old Balance Sheet'!H123 + 'ACPL Calculations - 1.0'!H123 + 'ACPL Calculations - 2.0'!H123</f>
        <v>0</v>
      </c>
      <c r="AS123" s="30" t="s">
        <v>3819</v>
      </c>
      <c r="AT123" s="31">
        <v>838.99</v>
      </c>
      <c r="AU123" s="32" t="s">
        <v>3818</v>
      </c>
      <c r="AV123" s="31">
        <v>100.0</v>
      </c>
      <c r="AW123" s="33">
        <f>'Old Balance Sheet'!I123 + 'ACPL Calculations - 1.0'!I123 + 'ACPL Calculations - 2.0'!I123</f>
        <v>0</v>
      </c>
      <c r="AX123" s="30" t="s">
        <v>3820</v>
      </c>
      <c r="AY123" s="31">
        <v>290.0</v>
      </c>
      <c r="AZ123" s="32" t="s">
        <v>3818</v>
      </c>
      <c r="BA123" s="31">
        <v>100.0</v>
      </c>
      <c r="BB123" s="33">
        <f>'Old Balance Sheet'!J123 + 'ACPL Calculations - 1.0'!J123 + 'ACPL Calculations - 2.0'!J123</f>
        <v>0</v>
      </c>
      <c r="BC123" s="30" t="s">
        <v>3820</v>
      </c>
      <c r="BD123" s="31">
        <v>205.0</v>
      </c>
      <c r="BE123" s="32" t="s">
        <v>3818</v>
      </c>
      <c r="BF123" s="31">
        <v>100.0</v>
      </c>
      <c r="BG123" s="33">
        <f>'Old Balance Sheet'!K123 + 'ACPL Calculations - 1.0'!K123 + 'ACPL Calculations - 2.0'!K123</f>
        <v>0</v>
      </c>
      <c r="BH123" s="30" t="s">
        <v>3820</v>
      </c>
      <c r="BI123" s="31">
        <v>205.0</v>
      </c>
      <c r="BJ123" s="32" t="s">
        <v>3818</v>
      </c>
      <c r="BK123" s="31">
        <v>100.0</v>
      </c>
      <c r="BL123" s="33">
        <f>'Old Balance Sheet'!L123 + 'ACPL Calculations - 1.0'!L123 + 'ACPL Calculations - 2.0'!L123</f>
        <v>0</v>
      </c>
      <c r="BM123" s="33"/>
      <c r="BN123" s="33"/>
      <c r="BO123" s="33"/>
      <c r="BP123" s="33"/>
      <c r="BQ123" s="33"/>
      <c r="BR123" s="33"/>
      <c r="BS123" s="33"/>
      <c r="BT123" s="33"/>
      <c r="BU123" s="33"/>
      <c r="BV123" s="33"/>
      <c r="BW123" s="33"/>
      <c r="BX123" s="33"/>
      <c r="BY123" s="33"/>
      <c r="BZ123" s="33"/>
      <c r="CA123" s="33"/>
      <c r="CB123" s="33"/>
      <c r="CC123" s="33"/>
      <c r="CD123" s="33"/>
      <c r="CE123" s="33"/>
      <c r="CF123" s="33"/>
      <c r="CG123" s="33"/>
      <c r="CH123" s="33"/>
      <c r="CI123" s="33"/>
      <c r="CJ123" s="33"/>
      <c r="CK123" s="33"/>
      <c r="CL123" s="33">
        <f t="shared" si="1"/>
        <v>279</v>
      </c>
      <c r="CM123" s="33">
        <f>'Old Balance Sheet'!R123 + 'ACPL Calculations - 1.0'!S123 + 'ACPL Calculations - 2.0'!S123</f>
        <v>457670</v>
      </c>
      <c r="CN123" s="33">
        <f>'Old Balance Sheet'!S123 + 'ACPL Calculations - 1.0'!T123 + 'ACPL Calculations - 2.0'!T123</f>
        <v>47430</v>
      </c>
      <c r="CO123" s="33">
        <f t="shared" si="2"/>
        <v>117243.45</v>
      </c>
      <c r="CP123" s="33">
        <f>'Old Balance Sheet'!T123 + 'ACPL Calculations - 1.0'!V123 + 'ACPL Calculations - 2.0'!V123</f>
        <v>0</v>
      </c>
      <c r="CQ123" s="33">
        <f>'Old Balance Sheet'!U123 + 'ACPL Calculations - 1.0'!W123 + 'ACPL Calculations - 2.0'!W123</f>
        <v>0</v>
      </c>
      <c r="CR123" s="33">
        <f>'Old Balance Sheet'!V123 + 'ACPL Calculations - 1.0'!X123 + 'ACPL Calculations - 2.0'!X123</f>
        <v>69813.45</v>
      </c>
      <c r="CS123" s="33">
        <f t="shared" si="3"/>
        <v>69813.45</v>
      </c>
      <c r="CT123" s="35"/>
      <c r="CU123" s="35"/>
      <c r="CV123" s="35"/>
      <c r="CW123" s="36">
        <f>'Old Balance Sheet'!W123 + 'ACPL Calculations - 1.0'!Z123 + 'ACPL Calculations - 2.0'!Z123</f>
        <v>0</v>
      </c>
      <c r="CX123" s="36">
        <f>'Old Balance Sheet'!X123 + 'ACPL Calculations - 1.0'!AA123 + 'ACPL Calculations - 2.0'!AA123</f>
        <v>0</v>
      </c>
      <c r="CY123" s="37">
        <v>0.0</v>
      </c>
      <c r="CZ123" s="38">
        <f>'Old Balance Sheet'!Y123 + 'ACPL Calculations - 1.0'!AB123 + 'ACPL Calculations - 2.0'!AB123</f>
        <v>0</v>
      </c>
      <c r="DA123" s="38">
        <f>'Old Balance Sheet'!Z123 + 'ACPL Calculations - 1.0'!AC123 + 'ACPL Calculations - 2.0'!AC123</f>
        <v>0</v>
      </c>
      <c r="DB123" s="38">
        <f>'Old Balance Sheet'!AA123 + 'ACPL Calculations - 1.0'!AD123 + 'ACPL Calculations - 2.0'!AD123</f>
        <v>0</v>
      </c>
      <c r="DC123" s="38">
        <f>'Old Balance Sheet'!AB123 + 'ACPL Calculations - 1.0'!AE123 + 'ACPL Calculations - 2.0'!AE123</f>
        <v>0</v>
      </c>
      <c r="DD123" s="38">
        <f t="shared" si="4"/>
        <v>0</v>
      </c>
      <c r="DE123" s="33">
        <f t="shared" si="5"/>
        <v>0</v>
      </c>
      <c r="DF123" s="35">
        <v>0.0</v>
      </c>
      <c r="DG123" s="35">
        <v>0.0</v>
      </c>
      <c r="DH123" s="35">
        <v>0.0</v>
      </c>
      <c r="DI123" s="35">
        <v>0.0</v>
      </c>
      <c r="DJ123" s="35">
        <v>0.0</v>
      </c>
      <c r="DK123" s="35">
        <v>0.0</v>
      </c>
      <c r="DL123" s="35">
        <v>0.0</v>
      </c>
      <c r="DM123" s="35">
        <v>0.0</v>
      </c>
      <c r="DN123" s="31">
        <v>0.0</v>
      </c>
      <c r="DO123" s="31">
        <v>0.0</v>
      </c>
      <c r="DP123" s="31">
        <v>0.0</v>
      </c>
      <c r="DQ123" s="31">
        <v>0.0</v>
      </c>
      <c r="DR123" s="31">
        <v>0.0</v>
      </c>
      <c r="DS123" s="31">
        <v>0.0</v>
      </c>
      <c r="DT123" s="31">
        <f>'Old Balance Sheet'!AC123</f>
        <v>0</v>
      </c>
      <c r="DU123" s="31">
        <f>DT123 + SUMIFS('Payments Log'!D:D, 'Payments Log'!B:B, A123, 'Payments Log'!L:L, "Approved", 'Payments Log'!M:M, "Credit") + 'Old Balance Sheet'!AD123 - 'Old Balance Sheet'!AC123</f>
        <v>0</v>
      </c>
      <c r="DV123" s="31">
        <f>SUMIFS('Payments Log'!D:D, 'Payments Log'!B:B, A123, 'Payments Log'!L:L, "Approved", 'Payments Log'!M:M, "Adjustment Credit") - SUMIFS('Payments Log'!D:D, 'Payments Log'!B:B, A123, 'Payments Log'!L:L, "Approved", 'Payments Log'!M:M, "Adjustment Debit") + 'Old Balance Sheet'!AE123</f>
        <v>0</v>
      </c>
      <c r="DW123" s="31">
        <f>IF(MAXIFS('Payments Log'!N:N, 'Payments Log'!L:L, "Approved", 'Payments Log'!M:M, "Credit", 'Payments Log'!B:B, A123) &gt; MAXIFS('Payments Log'!N:N, 'Payments Log'!L:L, "Approved", 'Payments Log'!M:M, "Virtual Credit", 'Payments Log'!B:B, A123), 0, SUMIFS('Payments Log'!D:D, 'Payments Log'!N:N, MAXIFS('Payments Log'!N:N, 'Payments Log'!L:L, "Approved", 'Payments Log'!M:M, "Virtual Credit", 'Payments Log'!B:B, A123)))</f>
        <v>0</v>
      </c>
      <c r="DX123" s="33">
        <f t="shared" si="6"/>
        <v>0</v>
      </c>
      <c r="DY123" s="33">
        <f t="shared" si="7"/>
        <v>0</v>
      </c>
      <c r="DZ123" s="33">
        <f t="shared" si="8"/>
        <v>0</v>
      </c>
      <c r="EA123" s="25" t="str">
        <f>(Sheet1!N123)</f>
        <v>Vikas Autowheels</v>
      </c>
      <c r="EB123" s="25" t="str">
        <f>(Sheet1!O123)</f>
        <v>1944RLX7T1M23YXRXYoMnJ6nD_bKLldQXRpFRA0rDLvg</v>
      </c>
      <c r="EC123" s="26" t="str">
        <f>(Sheet1!P123)</f>
        <v>Sub Dealer</v>
      </c>
      <c r="ED123" s="34" t="s">
        <v>13</v>
      </c>
    </row>
    <row r="124">
      <c r="A124" s="25" t="str">
        <f>(Sheet1!A124)</f>
        <v>1bYwIVlCfU99TAHdvICTPeCyAgj9qA4D16LviL3oq-wg</v>
      </c>
      <c r="B124" s="25" t="str">
        <f>(Sheet1!B124)</f>
        <v>VAW - Iglas</v>
      </c>
      <c r="C124" s="30" t="s">
        <v>13</v>
      </c>
      <c r="D124" s="30" t="s">
        <v>72</v>
      </c>
      <c r="E124" s="30" t="s">
        <v>3820</v>
      </c>
      <c r="F124" s="31">
        <v>170.0</v>
      </c>
      <c r="G124" s="32" t="s">
        <v>3818</v>
      </c>
      <c r="H124" s="31">
        <v>100.0</v>
      </c>
      <c r="I124" s="33">
        <f>'Old Balance Sheet'!A124 + 'ACPL Calculations - 1.0'!A124 + 'ACPL Calculations - 2.0'!A124</f>
        <v>58</v>
      </c>
      <c r="J124" s="30" t="s">
        <v>3820</v>
      </c>
      <c r="K124" s="31">
        <v>170.0</v>
      </c>
      <c r="L124" s="32" t="s">
        <v>3818</v>
      </c>
      <c r="M124" s="31">
        <v>100.0</v>
      </c>
      <c r="N124" s="33">
        <f>'Old Balance Sheet'!B124 + 'ACPL Calculations - 1.0'!B124 + 'ACPL Calculations - 2.0'!B124</f>
        <v>0</v>
      </c>
      <c r="O124" s="30" t="s">
        <v>3820</v>
      </c>
      <c r="P124" s="31">
        <v>170.0</v>
      </c>
      <c r="Q124" s="32" t="s">
        <v>3818</v>
      </c>
      <c r="R124" s="31">
        <v>100.0</v>
      </c>
      <c r="S124" s="33">
        <f>'Old Balance Sheet'!C124 + 'ACPL Calculations - 1.0'!C124 + 'ACPL Calculations - 2.0'!C124</f>
        <v>0</v>
      </c>
      <c r="T124" s="30" t="s">
        <v>3820</v>
      </c>
      <c r="U124" s="31">
        <v>170.0</v>
      </c>
      <c r="V124" s="32" t="s">
        <v>3818</v>
      </c>
      <c r="W124" s="31">
        <v>100.0</v>
      </c>
      <c r="X124" s="33">
        <f>'Old Balance Sheet'!D124 + 'ACPL Calculations - 1.0'!D124 + 'ACPL Calculations - 2.0'!D124</f>
        <v>0</v>
      </c>
      <c r="Y124" s="30" t="s">
        <v>3820</v>
      </c>
      <c r="Z124" s="31">
        <v>170.0</v>
      </c>
      <c r="AA124" s="32" t="s">
        <v>3818</v>
      </c>
      <c r="AB124" s="31">
        <v>100.0</v>
      </c>
      <c r="AC124" s="33">
        <f>'Old Balance Sheet'!E124 + 'ACPL Calculations - 1.0'!E124 + 'ACPL Calculations - 2.0'!E124</f>
        <v>721</v>
      </c>
      <c r="AD124" s="30" t="s">
        <v>3820</v>
      </c>
      <c r="AE124" s="34">
        <v>838.99</v>
      </c>
      <c r="AF124" s="32" t="s">
        <v>3818</v>
      </c>
      <c r="AG124" s="31">
        <v>100.0</v>
      </c>
      <c r="AH124" s="33">
        <f>'Old Balance Sheet'!F124 + 'ACPL Calculations - 1.0'!F124 + 'ACPL Calculations - 2.0'!F124</f>
        <v>0</v>
      </c>
      <c r="AI124" s="30" t="s">
        <v>3820</v>
      </c>
      <c r="AJ124" s="31">
        <v>170.0</v>
      </c>
      <c r="AK124" s="32" t="s">
        <v>3818</v>
      </c>
      <c r="AL124" s="31">
        <v>100.0</v>
      </c>
      <c r="AM124" s="33">
        <f>'Old Balance Sheet'!G124 + 'ACPL Calculations - 1.0'!G124 + 'ACPL Calculations - 2.0'!G124</f>
        <v>0</v>
      </c>
      <c r="AN124" s="30" t="s">
        <v>3820</v>
      </c>
      <c r="AO124" s="31">
        <v>170.0</v>
      </c>
      <c r="AP124" s="32" t="s">
        <v>3818</v>
      </c>
      <c r="AQ124" s="31">
        <v>100.0</v>
      </c>
      <c r="AR124" s="33">
        <f>'Old Balance Sheet'!H124 + 'ACPL Calculations - 1.0'!H124 + 'ACPL Calculations - 2.0'!H124</f>
        <v>0</v>
      </c>
      <c r="AS124" s="30" t="s">
        <v>3819</v>
      </c>
      <c r="AT124" s="31">
        <v>838.99</v>
      </c>
      <c r="AU124" s="32" t="s">
        <v>3818</v>
      </c>
      <c r="AV124" s="31">
        <v>100.0</v>
      </c>
      <c r="AW124" s="33">
        <f>'Old Balance Sheet'!I124 + 'ACPL Calculations - 1.0'!I124 + 'ACPL Calculations - 2.0'!I124</f>
        <v>0</v>
      </c>
      <c r="AX124" s="30" t="s">
        <v>3820</v>
      </c>
      <c r="AY124" s="31">
        <v>290.0</v>
      </c>
      <c r="AZ124" s="32" t="s">
        <v>3818</v>
      </c>
      <c r="BA124" s="31">
        <v>100.0</v>
      </c>
      <c r="BB124" s="33">
        <f>'Old Balance Sheet'!J124 + 'ACPL Calculations - 1.0'!J124 + 'ACPL Calculations - 2.0'!J124</f>
        <v>0</v>
      </c>
      <c r="BC124" s="30" t="s">
        <v>3820</v>
      </c>
      <c r="BD124" s="31">
        <v>205.0</v>
      </c>
      <c r="BE124" s="32" t="s">
        <v>3818</v>
      </c>
      <c r="BF124" s="31">
        <v>100.0</v>
      </c>
      <c r="BG124" s="33">
        <f>'Old Balance Sheet'!K124 + 'ACPL Calculations - 1.0'!K124 + 'ACPL Calculations - 2.0'!K124</f>
        <v>0</v>
      </c>
      <c r="BH124" s="30" t="s">
        <v>3820</v>
      </c>
      <c r="BI124" s="31">
        <v>205.0</v>
      </c>
      <c r="BJ124" s="32" t="s">
        <v>3818</v>
      </c>
      <c r="BK124" s="31">
        <v>100.0</v>
      </c>
      <c r="BL124" s="33">
        <f>'Old Balance Sheet'!L124 + 'ACPL Calculations - 1.0'!L124 + 'ACPL Calculations - 2.0'!L124</f>
        <v>0</v>
      </c>
      <c r="BM124" s="33"/>
      <c r="BN124" s="33"/>
      <c r="BO124" s="33"/>
      <c r="BP124" s="33"/>
      <c r="BQ124" s="33"/>
      <c r="BR124" s="33"/>
      <c r="BS124" s="33"/>
      <c r="BT124" s="33"/>
      <c r="BU124" s="33"/>
      <c r="BV124" s="33"/>
      <c r="BW124" s="33"/>
      <c r="BX124" s="33"/>
      <c r="BY124" s="33"/>
      <c r="BZ124" s="33"/>
      <c r="CA124" s="33"/>
      <c r="CB124" s="33"/>
      <c r="CC124" s="33"/>
      <c r="CD124" s="33"/>
      <c r="CE124" s="33"/>
      <c r="CF124" s="33"/>
      <c r="CG124" s="33"/>
      <c r="CH124" s="33"/>
      <c r="CI124" s="33"/>
      <c r="CJ124" s="33"/>
      <c r="CK124" s="33"/>
      <c r="CL124" s="33">
        <f t="shared" si="1"/>
        <v>779</v>
      </c>
      <c r="CM124" s="33">
        <f>'Old Balance Sheet'!R124 + 'ACPL Calculations - 1.0'!S124 + 'ACPL Calculations - 2.0'!S124</f>
        <v>1356570</v>
      </c>
      <c r="CN124" s="33">
        <f>'Old Balance Sheet'!S124 + 'ACPL Calculations - 1.0'!T124 + 'ACPL Calculations - 2.0'!T124</f>
        <v>132430</v>
      </c>
      <c r="CO124" s="33">
        <f t="shared" si="2"/>
        <v>339361.88</v>
      </c>
      <c r="CP124" s="33">
        <f>'Old Balance Sheet'!T124 + 'ACPL Calculations - 1.0'!V124 + 'ACPL Calculations - 2.0'!V124</f>
        <v>0</v>
      </c>
      <c r="CQ124" s="33">
        <f>'Old Balance Sheet'!U124 + 'ACPL Calculations - 1.0'!W124 + 'ACPL Calculations - 2.0'!W124</f>
        <v>0</v>
      </c>
      <c r="CR124" s="33">
        <f>'Old Balance Sheet'!V124 + 'ACPL Calculations - 1.0'!X124 + 'ACPL Calculations - 2.0'!X124</f>
        <v>206931.88</v>
      </c>
      <c r="CS124" s="33">
        <f t="shared" si="3"/>
        <v>206931.88</v>
      </c>
      <c r="CT124" s="35"/>
      <c r="CU124" s="35"/>
      <c r="CV124" s="35"/>
      <c r="CW124" s="36">
        <f>'Old Balance Sheet'!W124 + 'ACPL Calculations - 1.0'!Z124 + 'ACPL Calculations - 2.0'!Z124</f>
        <v>0</v>
      </c>
      <c r="CX124" s="36">
        <f>'Old Balance Sheet'!X124 + 'ACPL Calculations - 1.0'!AA124 + 'ACPL Calculations - 2.0'!AA124</f>
        <v>0</v>
      </c>
      <c r="CY124" s="37">
        <v>0.0</v>
      </c>
      <c r="CZ124" s="38">
        <f>'Old Balance Sheet'!Y124 + 'ACPL Calculations - 1.0'!AB124 + 'ACPL Calculations - 2.0'!AB124</f>
        <v>0</v>
      </c>
      <c r="DA124" s="38">
        <f>'Old Balance Sheet'!Z124 + 'ACPL Calculations - 1.0'!AC124 + 'ACPL Calculations - 2.0'!AC124</f>
        <v>0</v>
      </c>
      <c r="DB124" s="38">
        <f>'Old Balance Sheet'!AA124 + 'ACPL Calculations - 1.0'!AD124 + 'ACPL Calculations - 2.0'!AD124</f>
        <v>0</v>
      </c>
      <c r="DC124" s="38">
        <f>'Old Balance Sheet'!AB124 + 'ACPL Calculations - 1.0'!AE124 + 'ACPL Calculations - 2.0'!AE124</f>
        <v>0</v>
      </c>
      <c r="DD124" s="38">
        <f t="shared" si="4"/>
        <v>0</v>
      </c>
      <c r="DE124" s="33">
        <f t="shared" si="5"/>
        <v>0</v>
      </c>
      <c r="DF124" s="35">
        <v>0.0</v>
      </c>
      <c r="DG124" s="35">
        <v>0.0</v>
      </c>
      <c r="DH124" s="35">
        <v>0.0</v>
      </c>
      <c r="DI124" s="35">
        <v>0.0</v>
      </c>
      <c r="DJ124" s="35">
        <v>0.0</v>
      </c>
      <c r="DK124" s="35">
        <v>0.0</v>
      </c>
      <c r="DL124" s="35">
        <v>0.0</v>
      </c>
      <c r="DM124" s="35">
        <v>0.0</v>
      </c>
      <c r="DN124" s="31">
        <v>0.0</v>
      </c>
      <c r="DO124" s="31">
        <v>0.0</v>
      </c>
      <c r="DP124" s="31">
        <v>0.0</v>
      </c>
      <c r="DQ124" s="31">
        <v>0.0</v>
      </c>
      <c r="DR124" s="31">
        <v>0.0</v>
      </c>
      <c r="DS124" s="31">
        <v>0.0</v>
      </c>
      <c r="DT124" s="31">
        <f>'Old Balance Sheet'!AC124</f>
        <v>0</v>
      </c>
      <c r="DU124" s="31">
        <f>DT124 + SUMIFS('Payments Log'!D:D, 'Payments Log'!B:B, A124, 'Payments Log'!L:L, "Approved", 'Payments Log'!M:M, "Credit") + 'Old Balance Sheet'!AD124 - 'Old Balance Sheet'!AC124</f>
        <v>0</v>
      </c>
      <c r="DV124" s="31">
        <f>SUMIFS('Payments Log'!D:D, 'Payments Log'!B:B, A124, 'Payments Log'!L:L, "Approved", 'Payments Log'!M:M, "Adjustment Credit") - SUMIFS('Payments Log'!D:D, 'Payments Log'!B:B, A124, 'Payments Log'!L:L, "Approved", 'Payments Log'!M:M, "Adjustment Debit") + 'Old Balance Sheet'!AE124</f>
        <v>0</v>
      </c>
      <c r="DW124" s="31">
        <f>IF(MAXIFS('Payments Log'!N:N, 'Payments Log'!L:L, "Approved", 'Payments Log'!M:M, "Credit", 'Payments Log'!B:B, A124) &gt; MAXIFS('Payments Log'!N:N, 'Payments Log'!L:L, "Approved", 'Payments Log'!M:M, "Virtual Credit", 'Payments Log'!B:B, A124), 0, SUMIFS('Payments Log'!D:D, 'Payments Log'!N:N, MAXIFS('Payments Log'!N:N, 'Payments Log'!L:L, "Approved", 'Payments Log'!M:M, "Virtual Credit", 'Payments Log'!B:B, A124)))</f>
        <v>0</v>
      </c>
      <c r="DX124" s="33">
        <f t="shared" si="6"/>
        <v>0</v>
      </c>
      <c r="DY124" s="33">
        <f t="shared" si="7"/>
        <v>0</v>
      </c>
      <c r="DZ124" s="33">
        <f t="shared" si="8"/>
        <v>0</v>
      </c>
      <c r="EA124" s="25" t="str">
        <f>(Sheet1!N124)</f>
        <v>Vikas Autowheels</v>
      </c>
      <c r="EB124" s="25" t="str">
        <f>(Sheet1!O124)</f>
        <v>1944RLX7T1M23YXRXYoMnJ6nD_bKLldQXRpFRA0rDLvg</v>
      </c>
      <c r="EC124" s="26" t="str">
        <f>(Sheet1!P124)</f>
        <v>Sub Dealer</v>
      </c>
      <c r="ED124" s="34" t="s">
        <v>13</v>
      </c>
    </row>
    <row r="125">
      <c r="A125" s="25" t="str">
        <f>(Sheet1!A125)</f>
        <v>1n0q72v9I-kw0RzKIviLdrLa2PsoBQvNEL7tOwmkWW5Y</v>
      </c>
      <c r="B125" s="25" t="str">
        <f>(Sheet1!B125)</f>
        <v>VAW - Agra Road</v>
      </c>
      <c r="C125" s="30" t="s">
        <v>13</v>
      </c>
      <c r="D125" s="30" t="s">
        <v>72</v>
      </c>
      <c r="E125" s="30" t="s">
        <v>3820</v>
      </c>
      <c r="F125" s="31">
        <v>170.0</v>
      </c>
      <c r="G125" s="32" t="s">
        <v>3818</v>
      </c>
      <c r="H125" s="31">
        <v>100.0</v>
      </c>
      <c r="I125" s="33">
        <f>'Old Balance Sheet'!A125 + 'ACPL Calculations - 1.0'!A125 + 'ACPL Calculations - 2.0'!A125</f>
        <v>357</v>
      </c>
      <c r="J125" s="30" t="s">
        <v>3820</v>
      </c>
      <c r="K125" s="31">
        <v>170.0</v>
      </c>
      <c r="L125" s="32" t="s">
        <v>3818</v>
      </c>
      <c r="M125" s="31">
        <v>100.0</v>
      </c>
      <c r="N125" s="33">
        <f>'Old Balance Sheet'!B125 + 'ACPL Calculations - 1.0'!B125 + 'ACPL Calculations - 2.0'!B125</f>
        <v>0</v>
      </c>
      <c r="O125" s="30" t="s">
        <v>3820</v>
      </c>
      <c r="P125" s="31">
        <v>170.0</v>
      </c>
      <c r="Q125" s="32" t="s">
        <v>3818</v>
      </c>
      <c r="R125" s="31">
        <v>100.0</v>
      </c>
      <c r="S125" s="33">
        <f>'Old Balance Sheet'!C125 + 'ACPL Calculations - 1.0'!C125 + 'ACPL Calculations - 2.0'!C125</f>
        <v>1</v>
      </c>
      <c r="T125" s="30" t="s">
        <v>3820</v>
      </c>
      <c r="U125" s="31">
        <v>170.0</v>
      </c>
      <c r="V125" s="32" t="s">
        <v>3818</v>
      </c>
      <c r="W125" s="31">
        <v>100.0</v>
      </c>
      <c r="X125" s="33">
        <f>'Old Balance Sheet'!D125 + 'ACPL Calculations - 1.0'!D125 + 'ACPL Calculations - 2.0'!D125</f>
        <v>0</v>
      </c>
      <c r="Y125" s="30" t="s">
        <v>3820</v>
      </c>
      <c r="Z125" s="31">
        <v>170.0</v>
      </c>
      <c r="AA125" s="32" t="s">
        <v>3818</v>
      </c>
      <c r="AB125" s="31">
        <v>100.0</v>
      </c>
      <c r="AC125" s="33">
        <f>'Old Balance Sheet'!E125 + 'ACPL Calculations - 1.0'!E125 + 'ACPL Calculations - 2.0'!E125</f>
        <v>1265</v>
      </c>
      <c r="AD125" s="30" t="s">
        <v>3820</v>
      </c>
      <c r="AE125" s="34">
        <v>838.99</v>
      </c>
      <c r="AF125" s="32" t="s">
        <v>3818</v>
      </c>
      <c r="AG125" s="31">
        <v>100.0</v>
      </c>
      <c r="AH125" s="33">
        <f>'Old Balance Sheet'!F125 + 'ACPL Calculations - 1.0'!F125 + 'ACPL Calculations - 2.0'!F125</f>
        <v>0</v>
      </c>
      <c r="AI125" s="30" t="s">
        <v>3820</v>
      </c>
      <c r="AJ125" s="31">
        <v>170.0</v>
      </c>
      <c r="AK125" s="32" t="s">
        <v>3818</v>
      </c>
      <c r="AL125" s="31">
        <v>100.0</v>
      </c>
      <c r="AM125" s="33">
        <f>'Old Balance Sheet'!G125 + 'ACPL Calculations - 1.0'!G125 + 'ACPL Calculations - 2.0'!G125</f>
        <v>0</v>
      </c>
      <c r="AN125" s="30" t="s">
        <v>3820</v>
      </c>
      <c r="AO125" s="31">
        <v>170.0</v>
      </c>
      <c r="AP125" s="32" t="s">
        <v>3818</v>
      </c>
      <c r="AQ125" s="31">
        <v>100.0</v>
      </c>
      <c r="AR125" s="33">
        <f>'Old Balance Sheet'!H125 + 'ACPL Calculations - 1.0'!H125 + 'ACPL Calculations - 2.0'!H125</f>
        <v>0</v>
      </c>
      <c r="AS125" s="30" t="s">
        <v>3819</v>
      </c>
      <c r="AT125" s="31">
        <v>838.99</v>
      </c>
      <c r="AU125" s="32" t="s">
        <v>3818</v>
      </c>
      <c r="AV125" s="31">
        <v>100.0</v>
      </c>
      <c r="AW125" s="33">
        <f>'Old Balance Sheet'!I125 + 'ACPL Calculations - 1.0'!I125 + 'ACPL Calculations - 2.0'!I125</f>
        <v>0</v>
      </c>
      <c r="AX125" s="30" t="s">
        <v>3820</v>
      </c>
      <c r="AY125" s="31">
        <v>290.0</v>
      </c>
      <c r="AZ125" s="32" t="s">
        <v>3818</v>
      </c>
      <c r="BA125" s="31">
        <v>100.0</v>
      </c>
      <c r="BB125" s="33">
        <f>'Old Balance Sheet'!J125 + 'ACPL Calculations - 1.0'!J125 + 'ACPL Calculations - 2.0'!J125</f>
        <v>0</v>
      </c>
      <c r="BC125" s="30" t="s">
        <v>3820</v>
      </c>
      <c r="BD125" s="31">
        <v>205.0</v>
      </c>
      <c r="BE125" s="32" t="s">
        <v>3818</v>
      </c>
      <c r="BF125" s="31">
        <v>100.0</v>
      </c>
      <c r="BG125" s="33">
        <f>'Old Balance Sheet'!K125 + 'ACPL Calculations - 1.0'!K125 + 'ACPL Calculations - 2.0'!K125</f>
        <v>0</v>
      </c>
      <c r="BH125" s="30" t="s">
        <v>3820</v>
      </c>
      <c r="BI125" s="31">
        <v>205.0</v>
      </c>
      <c r="BJ125" s="32" t="s">
        <v>3818</v>
      </c>
      <c r="BK125" s="31">
        <v>100.0</v>
      </c>
      <c r="BL125" s="33">
        <f>'Old Balance Sheet'!L125 + 'ACPL Calculations - 1.0'!L125 + 'ACPL Calculations - 2.0'!L125</f>
        <v>0</v>
      </c>
      <c r="BM125" s="33"/>
      <c r="BN125" s="33"/>
      <c r="BO125" s="33"/>
      <c r="BP125" s="33"/>
      <c r="BQ125" s="33"/>
      <c r="BR125" s="33"/>
      <c r="BS125" s="33"/>
      <c r="BT125" s="33"/>
      <c r="BU125" s="33"/>
      <c r="BV125" s="33"/>
      <c r="BW125" s="33"/>
      <c r="BX125" s="33"/>
      <c r="BY125" s="33"/>
      <c r="BZ125" s="33"/>
      <c r="CA125" s="33"/>
      <c r="CB125" s="33"/>
      <c r="CC125" s="33"/>
      <c r="CD125" s="33"/>
      <c r="CE125" s="33"/>
      <c r="CF125" s="33"/>
      <c r="CG125" s="33"/>
      <c r="CH125" s="33"/>
      <c r="CI125" s="33"/>
      <c r="CJ125" s="33"/>
      <c r="CK125" s="33"/>
      <c r="CL125" s="33">
        <f t="shared" si="1"/>
        <v>1623</v>
      </c>
      <c r="CM125" s="33">
        <f>'Old Balance Sheet'!R125 + 'ACPL Calculations - 1.0'!S125 + 'ACPL Calculations - 2.0'!S125</f>
        <v>2515072</v>
      </c>
      <c r="CN125" s="33">
        <f>'Old Balance Sheet'!S125 + 'ACPL Calculations - 1.0'!T125 + 'ACPL Calculations - 2.0'!T125</f>
        <v>275910</v>
      </c>
      <c r="CO125" s="33">
        <f t="shared" si="2"/>
        <v>659562.27</v>
      </c>
      <c r="CP125" s="33">
        <f>'Old Balance Sheet'!T125 + 'ACPL Calculations - 1.0'!V125 + 'ACPL Calculations - 2.0'!V125</f>
        <v>0</v>
      </c>
      <c r="CQ125" s="33">
        <f>'Old Balance Sheet'!U125 + 'ACPL Calculations - 1.0'!W125 + 'ACPL Calculations - 2.0'!W125</f>
        <v>0</v>
      </c>
      <c r="CR125" s="33">
        <f>'Old Balance Sheet'!V125 + 'ACPL Calculations - 1.0'!X125 + 'ACPL Calculations - 2.0'!X125</f>
        <v>383652.27</v>
      </c>
      <c r="CS125" s="33">
        <f t="shared" si="3"/>
        <v>383652.27</v>
      </c>
      <c r="CT125" s="35"/>
      <c r="CU125" s="35"/>
      <c r="CV125" s="35"/>
      <c r="CW125" s="36">
        <f>'Old Balance Sheet'!W125 + 'ACPL Calculations - 1.0'!Z125 + 'ACPL Calculations - 2.0'!Z125</f>
        <v>0</v>
      </c>
      <c r="CX125" s="36">
        <f>'Old Balance Sheet'!X125 + 'ACPL Calculations - 1.0'!AA125 + 'ACPL Calculations - 2.0'!AA125</f>
        <v>0</v>
      </c>
      <c r="CY125" s="37">
        <v>0.0</v>
      </c>
      <c r="CZ125" s="38">
        <f>'Old Balance Sheet'!Y125 + 'ACPL Calculations - 1.0'!AB125 + 'ACPL Calculations - 2.0'!AB125</f>
        <v>0</v>
      </c>
      <c r="DA125" s="38">
        <f>'Old Balance Sheet'!Z125 + 'ACPL Calculations - 1.0'!AC125 + 'ACPL Calculations - 2.0'!AC125</f>
        <v>0</v>
      </c>
      <c r="DB125" s="38">
        <f>'Old Balance Sheet'!AA125 + 'ACPL Calculations - 1.0'!AD125 + 'ACPL Calculations - 2.0'!AD125</f>
        <v>0</v>
      </c>
      <c r="DC125" s="38">
        <f>'Old Balance Sheet'!AB125 + 'ACPL Calculations - 1.0'!AE125 + 'ACPL Calculations - 2.0'!AE125</f>
        <v>0</v>
      </c>
      <c r="DD125" s="38">
        <f t="shared" si="4"/>
        <v>0</v>
      </c>
      <c r="DE125" s="33">
        <f t="shared" si="5"/>
        <v>0</v>
      </c>
      <c r="DF125" s="35">
        <v>0.0</v>
      </c>
      <c r="DG125" s="35">
        <v>0.0</v>
      </c>
      <c r="DH125" s="35">
        <v>0.0</v>
      </c>
      <c r="DI125" s="35">
        <v>0.0</v>
      </c>
      <c r="DJ125" s="35">
        <v>0.0</v>
      </c>
      <c r="DK125" s="35">
        <v>0.0</v>
      </c>
      <c r="DL125" s="35">
        <v>0.0</v>
      </c>
      <c r="DM125" s="35">
        <v>0.0</v>
      </c>
      <c r="DN125" s="31">
        <v>0.0</v>
      </c>
      <c r="DO125" s="31">
        <v>0.0</v>
      </c>
      <c r="DP125" s="31">
        <v>0.0</v>
      </c>
      <c r="DQ125" s="31">
        <v>0.0</v>
      </c>
      <c r="DR125" s="31">
        <v>0.0</v>
      </c>
      <c r="DS125" s="31">
        <v>0.0</v>
      </c>
      <c r="DT125" s="31">
        <f>'Old Balance Sheet'!AC125</f>
        <v>0</v>
      </c>
      <c r="DU125" s="31">
        <f>DT125 + SUMIFS('Payments Log'!D:D, 'Payments Log'!B:B, A125, 'Payments Log'!L:L, "Approved", 'Payments Log'!M:M, "Credit") + 'Old Balance Sheet'!AD125 - 'Old Balance Sheet'!AC125</f>
        <v>0</v>
      </c>
      <c r="DV125" s="31">
        <f>SUMIFS('Payments Log'!D:D, 'Payments Log'!B:B, A125, 'Payments Log'!L:L, "Approved", 'Payments Log'!M:M, "Adjustment Credit") - SUMIFS('Payments Log'!D:D, 'Payments Log'!B:B, A125, 'Payments Log'!L:L, "Approved", 'Payments Log'!M:M, "Adjustment Debit") + 'Old Balance Sheet'!AE125</f>
        <v>0</v>
      </c>
      <c r="DW125" s="31">
        <f>IF(MAXIFS('Payments Log'!N:N, 'Payments Log'!L:L, "Approved", 'Payments Log'!M:M, "Credit", 'Payments Log'!B:B, A125) &gt; MAXIFS('Payments Log'!N:N, 'Payments Log'!L:L, "Approved", 'Payments Log'!M:M, "Virtual Credit", 'Payments Log'!B:B, A125), 0, SUMIFS('Payments Log'!D:D, 'Payments Log'!N:N, MAXIFS('Payments Log'!N:N, 'Payments Log'!L:L, "Approved", 'Payments Log'!M:M, "Virtual Credit", 'Payments Log'!B:B, A125)))</f>
        <v>0</v>
      </c>
      <c r="DX125" s="33">
        <f t="shared" si="6"/>
        <v>0</v>
      </c>
      <c r="DY125" s="33">
        <f t="shared" si="7"/>
        <v>0</v>
      </c>
      <c r="DZ125" s="33">
        <f t="shared" si="8"/>
        <v>0</v>
      </c>
      <c r="EA125" s="25" t="str">
        <f>(Sheet1!N125)</f>
        <v>Vikas Autowheels</v>
      </c>
      <c r="EB125" s="25" t="str">
        <f>(Sheet1!O125)</f>
        <v>1944RLX7T1M23YXRXYoMnJ6nD_bKLldQXRpFRA0rDLvg</v>
      </c>
      <c r="EC125" s="26" t="str">
        <f>(Sheet1!P125)</f>
        <v>Sub Dealer</v>
      </c>
      <c r="ED125" s="34" t="s">
        <v>13</v>
      </c>
    </row>
    <row r="126">
      <c r="A126" s="25" t="str">
        <f>(Sheet1!A126)</f>
        <v>1xZLFmrgIQQCVIpiqSQdZXo8Z3s5icym4MeFUuARl1dw</v>
      </c>
      <c r="B126" s="25" t="str">
        <f>(Sheet1!B126)</f>
        <v>OM TVS</v>
      </c>
      <c r="C126" s="30" t="s">
        <v>13</v>
      </c>
      <c r="D126" s="30" t="s">
        <v>72</v>
      </c>
      <c r="E126" s="30" t="s">
        <v>3817</v>
      </c>
      <c r="F126" s="31">
        <v>205.0</v>
      </c>
      <c r="G126" s="32" t="s">
        <v>3818</v>
      </c>
      <c r="H126" s="31">
        <v>100.0</v>
      </c>
      <c r="I126" s="33">
        <f>'Old Balance Sheet'!A126 + 'ACPL Calculations - 1.0'!A126 + 'ACPL Calculations - 2.0'!A126</f>
        <v>0</v>
      </c>
      <c r="J126" s="30" t="s">
        <v>3817</v>
      </c>
      <c r="K126" s="31">
        <v>205.0</v>
      </c>
      <c r="L126" s="32" t="s">
        <v>3818</v>
      </c>
      <c r="M126" s="31">
        <v>100.0</v>
      </c>
      <c r="N126" s="33">
        <f>'Old Balance Sheet'!B126 + 'ACPL Calculations - 1.0'!B126 + 'ACPL Calculations - 2.0'!B126</f>
        <v>0</v>
      </c>
      <c r="O126" s="30" t="s">
        <v>3817</v>
      </c>
      <c r="P126" s="31">
        <v>290.0</v>
      </c>
      <c r="Q126" s="32" t="s">
        <v>3818</v>
      </c>
      <c r="R126" s="31">
        <v>100.0</v>
      </c>
      <c r="S126" s="33">
        <f>'Old Balance Sheet'!C126 + 'ACPL Calculations - 1.0'!C126 + 'ACPL Calculations - 2.0'!C126</f>
        <v>0</v>
      </c>
      <c r="T126" s="30" t="s">
        <v>3817</v>
      </c>
      <c r="U126" s="31">
        <v>375.0</v>
      </c>
      <c r="V126" s="32" t="s">
        <v>3818</v>
      </c>
      <c r="W126" s="31">
        <v>100.0</v>
      </c>
      <c r="X126" s="33">
        <f>'Old Balance Sheet'!D126 + 'ACPL Calculations - 1.0'!D126 + 'ACPL Calculations - 2.0'!D126</f>
        <v>0</v>
      </c>
      <c r="Y126" s="30" t="s">
        <v>3817</v>
      </c>
      <c r="Z126" s="31">
        <v>460.0</v>
      </c>
      <c r="AA126" s="32" t="s">
        <v>3818</v>
      </c>
      <c r="AB126" s="31">
        <v>100.0</v>
      </c>
      <c r="AC126" s="33">
        <f>'Old Balance Sheet'!E126 + 'ACPL Calculations - 1.0'!E126 + 'ACPL Calculations - 2.0'!E126</f>
        <v>0</v>
      </c>
      <c r="AD126" s="30" t="s">
        <v>3817</v>
      </c>
      <c r="AE126" s="34">
        <v>838.99</v>
      </c>
      <c r="AF126" s="32" t="s">
        <v>3818</v>
      </c>
      <c r="AG126" s="31">
        <v>100.0</v>
      </c>
      <c r="AH126" s="33">
        <f>'Old Balance Sheet'!F126 + 'ACPL Calculations - 1.0'!F126 + 'ACPL Calculations - 2.0'!F126</f>
        <v>0</v>
      </c>
      <c r="AI126" s="30" t="s">
        <v>3817</v>
      </c>
      <c r="AJ126" s="31">
        <v>375.0</v>
      </c>
      <c r="AK126" s="32" t="s">
        <v>3818</v>
      </c>
      <c r="AL126" s="31">
        <v>100.0</v>
      </c>
      <c r="AM126" s="33">
        <f>'Old Balance Sheet'!G126 + 'ACPL Calculations - 1.0'!G126 + 'ACPL Calculations - 2.0'!G126</f>
        <v>0</v>
      </c>
      <c r="AN126" s="30" t="s">
        <v>3817</v>
      </c>
      <c r="AO126" s="31">
        <v>290.0</v>
      </c>
      <c r="AP126" s="32" t="s">
        <v>3818</v>
      </c>
      <c r="AQ126" s="31">
        <v>100.0</v>
      </c>
      <c r="AR126" s="33">
        <f>'Old Balance Sheet'!H126 + 'ACPL Calculations - 1.0'!H126 + 'ACPL Calculations - 2.0'!H126</f>
        <v>0</v>
      </c>
      <c r="AS126" s="30" t="s">
        <v>3819</v>
      </c>
      <c r="AT126" s="31">
        <v>838.99</v>
      </c>
      <c r="AU126" s="32" t="s">
        <v>3818</v>
      </c>
      <c r="AV126" s="31">
        <v>100.0</v>
      </c>
      <c r="AW126" s="33">
        <f>'Old Balance Sheet'!I126 + 'ACPL Calculations - 1.0'!I126 + 'ACPL Calculations - 2.0'!I126</f>
        <v>0</v>
      </c>
      <c r="AX126" s="30" t="s">
        <v>3817</v>
      </c>
      <c r="AY126" s="31">
        <v>290.0</v>
      </c>
      <c r="AZ126" s="32" t="s">
        <v>3818</v>
      </c>
      <c r="BA126" s="31">
        <v>100.0</v>
      </c>
      <c r="BB126" s="33">
        <f>'Old Balance Sheet'!J126 + 'ACPL Calculations - 1.0'!J126 + 'ACPL Calculations - 2.0'!J126</f>
        <v>0</v>
      </c>
      <c r="BC126" s="30" t="s">
        <v>3817</v>
      </c>
      <c r="BD126" s="31">
        <v>205.0</v>
      </c>
      <c r="BE126" s="32" t="s">
        <v>3818</v>
      </c>
      <c r="BF126" s="31">
        <v>100.0</v>
      </c>
      <c r="BG126" s="33">
        <f>'Old Balance Sheet'!K126 + 'ACPL Calculations - 1.0'!K126 + 'ACPL Calculations - 2.0'!K126</f>
        <v>0</v>
      </c>
      <c r="BH126" s="30" t="s">
        <v>3817</v>
      </c>
      <c r="BI126" s="31">
        <v>205.0</v>
      </c>
      <c r="BJ126" s="32" t="s">
        <v>3818</v>
      </c>
      <c r="BK126" s="31">
        <v>100.0</v>
      </c>
      <c r="BL126" s="33">
        <f>'Old Balance Sheet'!L126 + 'ACPL Calculations - 1.0'!L126 + 'ACPL Calculations - 2.0'!L126</f>
        <v>0</v>
      </c>
      <c r="BM126" s="33"/>
      <c r="BN126" s="33"/>
      <c r="BO126" s="33"/>
      <c r="BP126" s="33"/>
      <c r="BQ126" s="33"/>
      <c r="BR126" s="33"/>
      <c r="BS126" s="33"/>
      <c r="BT126" s="33"/>
      <c r="BU126" s="33"/>
      <c r="BV126" s="33"/>
      <c r="BW126" s="33"/>
      <c r="BX126" s="33"/>
      <c r="BY126" s="33"/>
      <c r="BZ126" s="33"/>
      <c r="CA126" s="33"/>
      <c r="CB126" s="33"/>
      <c r="CC126" s="33"/>
      <c r="CD126" s="33"/>
      <c r="CE126" s="33"/>
      <c r="CF126" s="33"/>
      <c r="CG126" s="33"/>
      <c r="CH126" s="33"/>
      <c r="CI126" s="33"/>
      <c r="CJ126" s="33"/>
      <c r="CK126" s="33"/>
      <c r="CL126" s="33">
        <f t="shared" si="1"/>
        <v>0</v>
      </c>
      <c r="CM126" s="33">
        <f>'Old Balance Sheet'!R126 + 'ACPL Calculations - 1.0'!S126 + 'ACPL Calculations - 2.0'!S126</f>
        <v>0</v>
      </c>
      <c r="CN126" s="33">
        <f>'Old Balance Sheet'!S126 + 'ACPL Calculations - 1.0'!T126 + 'ACPL Calculations - 2.0'!T126</f>
        <v>0</v>
      </c>
      <c r="CO126" s="33">
        <f t="shared" si="2"/>
        <v>0</v>
      </c>
      <c r="CP126" s="33">
        <f>'Old Balance Sheet'!T126 + 'ACPL Calculations - 1.0'!V126 + 'ACPL Calculations - 2.0'!V126</f>
        <v>0</v>
      </c>
      <c r="CQ126" s="33">
        <f>'Old Balance Sheet'!U126 + 'ACPL Calculations - 1.0'!W126 + 'ACPL Calculations - 2.0'!W126</f>
        <v>0</v>
      </c>
      <c r="CR126" s="33">
        <f>'Old Balance Sheet'!V126 + 'ACPL Calculations - 1.0'!X126 + 'ACPL Calculations - 2.0'!X126</f>
        <v>0</v>
      </c>
      <c r="CS126" s="33">
        <f t="shared" si="3"/>
        <v>0</v>
      </c>
      <c r="CT126" s="35"/>
      <c r="CU126" s="35"/>
      <c r="CV126" s="35"/>
      <c r="CW126" s="36">
        <f>'Old Balance Sheet'!W126 + 'ACPL Calculations - 1.0'!Z126 + 'ACPL Calculations - 2.0'!Z126</f>
        <v>0</v>
      </c>
      <c r="CX126" s="36">
        <f>'Old Balance Sheet'!X126 + 'ACPL Calculations - 1.0'!AA126 + 'ACPL Calculations - 2.0'!AA126</f>
        <v>0</v>
      </c>
      <c r="CY126" s="37">
        <v>0.0</v>
      </c>
      <c r="CZ126" s="38">
        <f>'Old Balance Sheet'!Y126 + 'ACPL Calculations - 1.0'!AB126 + 'ACPL Calculations - 2.0'!AB126</f>
        <v>0</v>
      </c>
      <c r="DA126" s="38">
        <f>'Old Balance Sheet'!Z126 + 'ACPL Calculations - 1.0'!AC126 + 'ACPL Calculations - 2.0'!AC126</f>
        <v>0</v>
      </c>
      <c r="DB126" s="38">
        <f>'Old Balance Sheet'!AA126 + 'ACPL Calculations - 1.0'!AD126 + 'ACPL Calculations - 2.0'!AD126</f>
        <v>0</v>
      </c>
      <c r="DC126" s="38">
        <f>'Old Balance Sheet'!AB126 + 'ACPL Calculations - 1.0'!AE126 + 'ACPL Calculations - 2.0'!AE126</f>
        <v>0</v>
      </c>
      <c r="DD126" s="38">
        <f t="shared" si="4"/>
        <v>0</v>
      </c>
      <c r="DE126" s="33">
        <f t="shared" si="5"/>
        <v>0</v>
      </c>
      <c r="DF126" s="35">
        <v>0.0</v>
      </c>
      <c r="DG126" s="35">
        <v>0.0</v>
      </c>
      <c r="DH126" s="35">
        <v>0.0</v>
      </c>
      <c r="DI126" s="35">
        <v>0.0</v>
      </c>
      <c r="DJ126" s="35">
        <v>0.0</v>
      </c>
      <c r="DK126" s="35">
        <v>0.0</v>
      </c>
      <c r="DL126" s="35">
        <v>0.0</v>
      </c>
      <c r="DM126" s="35">
        <v>0.0</v>
      </c>
      <c r="DN126" s="31">
        <v>0.0</v>
      </c>
      <c r="DO126" s="31">
        <v>0.0</v>
      </c>
      <c r="DP126" s="31">
        <v>0.0</v>
      </c>
      <c r="DQ126" s="31">
        <v>0.0</v>
      </c>
      <c r="DR126" s="31">
        <v>0.0</v>
      </c>
      <c r="DS126" s="31">
        <v>0.0</v>
      </c>
      <c r="DT126" s="31">
        <f>'Old Balance Sheet'!AC126</f>
        <v>0</v>
      </c>
      <c r="DU126" s="31">
        <f>DT126 + SUMIFS('Payments Log'!D:D, 'Payments Log'!B:B, A126, 'Payments Log'!L:L, "Approved", 'Payments Log'!M:M, "Credit") + 'Old Balance Sheet'!AD126 - 'Old Balance Sheet'!AC126</f>
        <v>0</v>
      </c>
      <c r="DV126" s="31">
        <f>SUMIFS('Payments Log'!D:D, 'Payments Log'!B:B, A126, 'Payments Log'!L:L, "Approved", 'Payments Log'!M:M, "Adjustment Credit") - SUMIFS('Payments Log'!D:D, 'Payments Log'!B:B, A126, 'Payments Log'!L:L, "Approved", 'Payments Log'!M:M, "Adjustment Debit") + 'Old Balance Sheet'!AE126</f>
        <v>0</v>
      </c>
      <c r="DW126" s="31">
        <f>IF(MAXIFS('Payments Log'!N:N, 'Payments Log'!L:L, "Approved", 'Payments Log'!M:M, "Credit", 'Payments Log'!B:B, A126) &gt; MAXIFS('Payments Log'!N:N, 'Payments Log'!L:L, "Approved", 'Payments Log'!M:M, "Virtual Credit", 'Payments Log'!B:B, A126), 0, SUMIFS('Payments Log'!D:D, 'Payments Log'!N:N, MAXIFS('Payments Log'!N:N, 'Payments Log'!L:L, "Approved", 'Payments Log'!M:M, "Virtual Credit", 'Payments Log'!B:B, A126)))</f>
        <v>0</v>
      </c>
      <c r="DX126" s="33">
        <f t="shared" si="6"/>
        <v>0</v>
      </c>
      <c r="DY126" s="33">
        <f t="shared" si="7"/>
        <v>0</v>
      </c>
      <c r="DZ126" s="33">
        <f t="shared" si="8"/>
        <v>0</v>
      </c>
      <c r="EA126" s="25" t="str">
        <f>(Sheet1!N126)</f>
        <v>OM TVS</v>
      </c>
      <c r="EB126" s="25" t="str">
        <f>(Sheet1!O126)</f>
        <v>1xZLFmrgIQQCVIpiqSQdZXo8Z3s5icym4MeFUuARl1dw</v>
      </c>
      <c r="EC126" s="26" t="str">
        <f>(Sheet1!P126)</f>
        <v>Dealer</v>
      </c>
      <c r="ED126" s="34" t="s">
        <v>13</v>
      </c>
    </row>
    <row r="127">
      <c r="A127" s="25" t="str">
        <f>(Sheet1!A127)</f>
        <v>1QKcWwefYRSJheyPsGSz_GjUfTv41Syg0k2USNB-hpQs</v>
      </c>
      <c r="B127" s="25" t="str">
        <f>(Sheet1!B127)</f>
        <v>Darshan Sons (Sumitra Sons) - shahjahanpur</v>
      </c>
      <c r="C127" s="30" t="s">
        <v>13</v>
      </c>
      <c r="D127" s="30" t="s">
        <v>72</v>
      </c>
      <c r="E127" s="30" t="s">
        <v>3817</v>
      </c>
      <c r="F127" s="31">
        <v>170.0</v>
      </c>
      <c r="G127" s="32" t="s">
        <v>3818</v>
      </c>
      <c r="H127" s="31">
        <v>100.0</v>
      </c>
      <c r="I127" s="33">
        <f>'Old Balance Sheet'!A127 + 'ACPL Calculations - 1.0'!A127 + 'ACPL Calculations - 2.0'!A127</f>
        <v>0</v>
      </c>
      <c r="J127" s="30" t="s">
        <v>3817</v>
      </c>
      <c r="K127" s="31">
        <v>205.0</v>
      </c>
      <c r="L127" s="32" t="s">
        <v>3818</v>
      </c>
      <c r="M127" s="31">
        <v>100.0</v>
      </c>
      <c r="N127" s="33">
        <f>'Old Balance Sheet'!B127 + 'ACPL Calculations - 1.0'!B127 + 'ACPL Calculations - 2.0'!B127</f>
        <v>0</v>
      </c>
      <c r="O127" s="30" t="s">
        <v>3817</v>
      </c>
      <c r="P127" s="31">
        <v>290.0</v>
      </c>
      <c r="Q127" s="32" t="s">
        <v>3818</v>
      </c>
      <c r="R127" s="31">
        <v>100.0</v>
      </c>
      <c r="S127" s="33">
        <f>'Old Balance Sheet'!C127 + 'ACPL Calculations - 1.0'!C127 + 'ACPL Calculations - 2.0'!C127</f>
        <v>0</v>
      </c>
      <c r="T127" s="30" t="s">
        <v>3817</v>
      </c>
      <c r="U127" s="31">
        <v>375.0</v>
      </c>
      <c r="V127" s="32" t="s">
        <v>3818</v>
      </c>
      <c r="W127" s="31">
        <v>100.0</v>
      </c>
      <c r="X127" s="33">
        <f>'Old Balance Sheet'!D127 + 'ACPL Calculations - 1.0'!D127 + 'ACPL Calculations - 2.0'!D127</f>
        <v>0</v>
      </c>
      <c r="Y127" s="30" t="s">
        <v>3817</v>
      </c>
      <c r="Z127" s="31">
        <v>250.0</v>
      </c>
      <c r="AA127" s="32" t="s">
        <v>3818</v>
      </c>
      <c r="AB127" s="31">
        <v>100.0</v>
      </c>
      <c r="AC127" s="33">
        <f>'Old Balance Sheet'!E127 + 'ACPL Calculations - 1.0'!E127 + 'ACPL Calculations - 2.0'!E127</f>
        <v>0</v>
      </c>
      <c r="AD127" s="30" t="s">
        <v>3817</v>
      </c>
      <c r="AE127" s="34">
        <v>838.99</v>
      </c>
      <c r="AF127" s="32" t="s">
        <v>3818</v>
      </c>
      <c r="AG127" s="31">
        <v>100.0</v>
      </c>
      <c r="AH127" s="33">
        <f>'Old Balance Sheet'!F127 + 'ACPL Calculations - 1.0'!F127 + 'ACPL Calculations - 2.0'!F127</f>
        <v>0</v>
      </c>
      <c r="AI127" s="30" t="s">
        <v>3817</v>
      </c>
      <c r="AJ127" s="31">
        <v>375.0</v>
      </c>
      <c r="AK127" s="32" t="s">
        <v>3818</v>
      </c>
      <c r="AL127" s="31">
        <v>100.0</v>
      </c>
      <c r="AM127" s="33">
        <f>'Old Balance Sheet'!G127 + 'ACPL Calculations - 1.0'!G127 + 'ACPL Calculations - 2.0'!G127</f>
        <v>0</v>
      </c>
      <c r="AN127" s="30" t="s">
        <v>3817</v>
      </c>
      <c r="AO127" s="31">
        <v>290.0</v>
      </c>
      <c r="AP127" s="32" t="s">
        <v>3818</v>
      </c>
      <c r="AQ127" s="31">
        <v>100.0</v>
      </c>
      <c r="AR127" s="33">
        <f>'Old Balance Sheet'!H127 + 'ACPL Calculations - 1.0'!H127 + 'ACPL Calculations - 2.0'!H127</f>
        <v>0</v>
      </c>
      <c r="AS127" s="30" t="s">
        <v>3819</v>
      </c>
      <c r="AT127" s="31">
        <v>838.99</v>
      </c>
      <c r="AU127" s="32" t="s">
        <v>3818</v>
      </c>
      <c r="AV127" s="31">
        <v>100.0</v>
      </c>
      <c r="AW127" s="33">
        <f>'Old Balance Sheet'!I127 + 'ACPL Calculations - 1.0'!I127 + 'ACPL Calculations - 2.0'!I127</f>
        <v>0</v>
      </c>
      <c r="AX127" s="30" t="s">
        <v>3817</v>
      </c>
      <c r="AY127" s="31">
        <v>290.0</v>
      </c>
      <c r="AZ127" s="32" t="s">
        <v>3818</v>
      </c>
      <c r="BA127" s="31">
        <v>100.0</v>
      </c>
      <c r="BB127" s="33">
        <f>'Old Balance Sheet'!J127 + 'ACPL Calculations - 1.0'!J127 + 'ACPL Calculations - 2.0'!J127</f>
        <v>0</v>
      </c>
      <c r="BC127" s="30" t="s">
        <v>3817</v>
      </c>
      <c r="BD127" s="31">
        <v>205.0</v>
      </c>
      <c r="BE127" s="32" t="s">
        <v>3818</v>
      </c>
      <c r="BF127" s="31">
        <v>100.0</v>
      </c>
      <c r="BG127" s="33">
        <f>'Old Balance Sheet'!K127 + 'ACPL Calculations - 1.0'!K127 + 'ACPL Calculations - 2.0'!K127</f>
        <v>0</v>
      </c>
      <c r="BH127" s="30" t="s">
        <v>3817</v>
      </c>
      <c r="BI127" s="31">
        <v>205.0</v>
      </c>
      <c r="BJ127" s="32" t="s">
        <v>3818</v>
      </c>
      <c r="BK127" s="31">
        <v>100.0</v>
      </c>
      <c r="BL127" s="33">
        <f>'Old Balance Sheet'!L127 + 'ACPL Calculations - 1.0'!L127 + 'ACPL Calculations - 2.0'!L127</f>
        <v>0</v>
      </c>
      <c r="BM127" s="33"/>
      <c r="BN127" s="33"/>
      <c r="BO127" s="33"/>
      <c r="BP127" s="33"/>
      <c r="BQ127" s="33"/>
      <c r="BR127" s="33"/>
      <c r="BS127" s="33"/>
      <c r="BT127" s="33"/>
      <c r="BU127" s="33"/>
      <c r="BV127" s="33"/>
      <c r="BW127" s="33"/>
      <c r="BX127" s="33"/>
      <c r="BY127" s="33"/>
      <c r="BZ127" s="33"/>
      <c r="CA127" s="33"/>
      <c r="CB127" s="33"/>
      <c r="CC127" s="33"/>
      <c r="CD127" s="33"/>
      <c r="CE127" s="33"/>
      <c r="CF127" s="33"/>
      <c r="CG127" s="33"/>
      <c r="CH127" s="33"/>
      <c r="CI127" s="33"/>
      <c r="CJ127" s="33"/>
      <c r="CK127" s="33"/>
      <c r="CL127" s="33">
        <f t="shared" si="1"/>
        <v>0</v>
      </c>
      <c r="CM127" s="33">
        <f>'Old Balance Sheet'!R127 + 'ACPL Calculations - 1.0'!S127 + 'ACPL Calculations - 2.0'!S127</f>
        <v>0</v>
      </c>
      <c r="CN127" s="33">
        <f>'Old Balance Sheet'!S127 + 'ACPL Calculations - 1.0'!T127 + 'ACPL Calculations - 2.0'!T127</f>
        <v>0</v>
      </c>
      <c r="CO127" s="33">
        <f t="shared" si="2"/>
        <v>0</v>
      </c>
      <c r="CP127" s="33">
        <f>'Old Balance Sheet'!T127 + 'ACPL Calculations - 1.0'!V127 + 'ACPL Calculations - 2.0'!V127</f>
        <v>0</v>
      </c>
      <c r="CQ127" s="33">
        <f>'Old Balance Sheet'!U127 + 'ACPL Calculations - 1.0'!W127 + 'ACPL Calculations - 2.0'!W127</f>
        <v>0</v>
      </c>
      <c r="CR127" s="33">
        <f>'Old Balance Sheet'!V127 + 'ACPL Calculations - 1.0'!X127 + 'ACPL Calculations - 2.0'!X127</f>
        <v>0</v>
      </c>
      <c r="CS127" s="33">
        <f t="shared" si="3"/>
        <v>0</v>
      </c>
      <c r="CT127" s="35"/>
      <c r="CU127" s="35"/>
      <c r="CV127" s="35"/>
      <c r="CW127" s="36">
        <f>'Old Balance Sheet'!W127 + 'ACPL Calculations - 1.0'!Z127 + 'ACPL Calculations - 2.0'!Z127</f>
        <v>0</v>
      </c>
      <c r="CX127" s="36">
        <f>'Old Balance Sheet'!X127 + 'ACPL Calculations - 1.0'!AA127 + 'ACPL Calculations - 2.0'!AA127</f>
        <v>0</v>
      </c>
      <c r="CY127" s="37">
        <v>0.0</v>
      </c>
      <c r="CZ127" s="38">
        <f>'Old Balance Sheet'!Y127 + 'ACPL Calculations - 1.0'!AB127 + 'ACPL Calculations - 2.0'!AB127</f>
        <v>0</v>
      </c>
      <c r="DA127" s="38">
        <f>'Old Balance Sheet'!Z127 + 'ACPL Calculations - 1.0'!AC127 + 'ACPL Calculations - 2.0'!AC127</f>
        <v>0</v>
      </c>
      <c r="DB127" s="38">
        <f>'Old Balance Sheet'!AA127 + 'ACPL Calculations - 1.0'!AD127 + 'ACPL Calculations - 2.0'!AD127</f>
        <v>0</v>
      </c>
      <c r="DC127" s="38">
        <f>'Old Balance Sheet'!AB127 + 'ACPL Calculations - 1.0'!AE127 + 'ACPL Calculations - 2.0'!AE127</f>
        <v>0</v>
      </c>
      <c r="DD127" s="38">
        <f t="shared" si="4"/>
        <v>0</v>
      </c>
      <c r="DE127" s="33">
        <f t="shared" si="5"/>
        <v>0</v>
      </c>
      <c r="DF127" s="35">
        <v>0.0</v>
      </c>
      <c r="DG127" s="35">
        <v>0.0</v>
      </c>
      <c r="DH127" s="35">
        <v>0.0</v>
      </c>
      <c r="DI127" s="35">
        <v>0.0</v>
      </c>
      <c r="DJ127" s="35">
        <v>0.0</v>
      </c>
      <c r="DK127" s="35">
        <v>0.0</v>
      </c>
      <c r="DL127" s="35">
        <v>0.0</v>
      </c>
      <c r="DM127" s="35">
        <v>0.0</v>
      </c>
      <c r="DN127" s="31">
        <v>0.0</v>
      </c>
      <c r="DO127" s="31">
        <v>0.0</v>
      </c>
      <c r="DP127" s="31">
        <v>0.0</v>
      </c>
      <c r="DQ127" s="31">
        <v>0.0</v>
      </c>
      <c r="DR127" s="31">
        <v>0.0</v>
      </c>
      <c r="DS127" s="31">
        <v>0.0</v>
      </c>
      <c r="DT127" s="31">
        <f>'Old Balance Sheet'!AC127</f>
        <v>0</v>
      </c>
      <c r="DU127" s="31">
        <f>DT127 + SUMIFS('Payments Log'!D:D, 'Payments Log'!B:B, A127, 'Payments Log'!L:L, "Approved", 'Payments Log'!M:M, "Credit") + 'Old Balance Sheet'!AD127 - 'Old Balance Sheet'!AC127</f>
        <v>0</v>
      </c>
      <c r="DV127" s="31">
        <f>SUMIFS('Payments Log'!D:D, 'Payments Log'!B:B, A127, 'Payments Log'!L:L, "Approved", 'Payments Log'!M:M, "Adjustment Credit") - SUMIFS('Payments Log'!D:D, 'Payments Log'!B:B, A127, 'Payments Log'!L:L, "Approved", 'Payments Log'!M:M, "Adjustment Debit") + 'Old Balance Sheet'!AE127</f>
        <v>0</v>
      </c>
      <c r="DW127" s="31">
        <f>IF(MAXIFS('Payments Log'!N:N, 'Payments Log'!L:L, "Approved", 'Payments Log'!M:M, "Credit", 'Payments Log'!B:B, A127) &gt; MAXIFS('Payments Log'!N:N, 'Payments Log'!L:L, "Approved", 'Payments Log'!M:M, "Virtual Credit", 'Payments Log'!B:B, A127), 0, SUMIFS('Payments Log'!D:D, 'Payments Log'!N:N, MAXIFS('Payments Log'!N:N, 'Payments Log'!L:L, "Approved", 'Payments Log'!M:M, "Virtual Credit", 'Payments Log'!B:B, A127)))</f>
        <v>0</v>
      </c>
      <c r="DX127" s="33">
        <f t="shared" si="6"/>
        <v>0</v>
      </c>
      <c r="DY127" s="33">
        <f t="shared" si="7"/>
        <v>0</v>
      </c>
      <c r="DZ127" s="33">
        <f t="shared" si="8"/>
        <v>0</v>
      </c>
      <c r="EA127" s="25" t="str">
        <f>(Sheet1!N127)</f>
        <v>Sumitra Sons - Shahajahanpur</v>
      </c>
      <c r="EB127" s="25" t="str">
        <f>(Sheet1!O127)</f>
        <v>11FZlKtFUzBvNAVUVwf1C2KpyoxHhbZTiI7E_EdPr-mg</v>
      </c>
      <c r="EC127" s="26" t="str">
        <f>(Sheet1!P127)</f>
        <v>Sub Dealer</v>
      </c>
      <c r="ED127" s="34" t="s">
        <v>13</v>
      </c>
    </row>
    <row r="128">
      <c r="A128" s="25" t="str">
        <f>(Sheet1!A128)</f>
        <v>1vMWNNh-aM1nrCnH4Ps5ul1sg36h7ZiVgWbYyiSJDYW8</v>
      </c>
      <c r="B128" s="25" t="str">
        <f>(Sheet1!B128)</f>
        <v>Tarawati Maurya</v>
      </c>
      <c r="C128" s="30" t="s">
        <v>13</v>
      </c>
      <c r="D128" s="30" t="s">
        <v>72</v>
      </c>
      <c r="E128" s="30" t="s">
        <v>3817</v>
      </c>
      <c r="F128" s="31">
        <v>205.0</v>
      </c>
      <c r="G128" s="32" t="s">
        <v>3818</v>
      </c>
      <c r="H128" s="31">
        <v>100.0</v>
      </c>
      <c r="I128" s="33">
        <f>'Old Balance Sheet'!A128 + 'ACPL Calculations - 1.0'!A128 + 'ACPL Calculations - 2.0'!A128</f>
        <v>0</v>
      </c>
      <c r="J128" s="30" t="s">
        <v>3817</v>
      </c>
      <c r="K128" s="31">
        <v>205.0</v>
      </c>
      <c r="L128" s="32" t="s">
        <v>3818</v>
      </c>
      <c r="M128" s="31">
        <v>100.0</v>
      </c>
      <c r="N128" s="33">
        <f>'Old Balance Sheet'!B128 + 'ACPL Calculations - 1.0'!B128 + 'ACPL Calculations - 2.0'!B128</f>
        <v>0</v>
      </c>
      <c r="O128" s="30" t="s">
        <v>3817</v>
      </c>
      <c r="P128" s="31">
        <v>290.0</v>
      </c>
      <c r="Q128" s="32" t="s">
        <v>3818</v>
      </c>
      <c r="R128" s="31">
        <v>100.0</v>
      </c>
      <c r="S128" s="33">
        <f>'Old Balance Sheet'!C128 + 'ACPL Calculations - 1.0'!C128 + 'ACPL Calculations - 2.0'!C128</f>
        <v>0</v>
      </c>
      <c r="T128" s="30" t="s">
        <v>3817</v>
      </c>
      <c r="U128" s="31">
        <v>375.0</v>
      </c>
      <c r="V128" s="32" t="s">
        <v>3818</v>
      </c>
      <c r="W128" s="31">
        <v>100.0</v>
      </c>
      <c r="X128" s="33">
        <f>'Old Balance Sheet'!D128 + 'ACPL Calculations - 1.0'!D128 + 'ACPL Calculations - 2.0'!D128</f>
        <v>0</v>
      </c>
      <c r="Y128" s="30" t="s">
        <v>3817</v>
      </c>
      <c r="Z128" s="31">
        <v>460.0</v>
      </c>
      <c r="AA128" s="32" t="s">
        <v>3818</v>
      </c>
      <c r="AB128" s="31">
        <v>100.0</v>
      </c>
      <c r="AC128" s="33">
        <f>'Old Balance Sheet'!E128 + 'ACPL Calculations - 1.0'!E128 + 'ACPL Calculations - 2.0'!E128</f>
        <v>0</v>
      </c>
      <c r="AD128" s="30" t="s">
        <v>3817</v>
      </c>
      <c r="AE128" s="34">
        <v>838.99</v>
      </c>
      <c r="AF128" s="32" t="s">
        <v>3818</v>
      </c>
      <c r="AG128" s="31">
        <v>100.0</v>
      </c>
      <c r="AH128" s="33">
        <f>'Old Balance Sheet'!F128 + 'ACPL Calculations - 1.0'!F128 + 'ACPL Calculations - 2.0'!F128</f>
        <v>0</v>
      </c>
      <c r="AI128" s="30" t="s">
        <v>3817</v>
      </c>
      <c r="AJ128" s="31">
        <v>375.0</v>
      </c>
      <c r="AK128" s="32" t="s">
        <v>3818</v>
      </c>
      <c r="AL128" s="31">
        <v>100.0</v>
      </c>
      <c r="AM128" s="33">
        <f>'Old Balance Sheet'!G128 + 'ACPL Calculations - 1.0'!G128 + 'ACPL Calculations - 2.0'!G128</f>
        <v>0</v>
      </c>
      <c r="AN128" s="30" t="s">
        <v>3817</v>
      </c>
      <c r="AO128" s="31">
        <v>290.0</v>
      </c>
      <c r="AP128" s="32" t="s">
        <v>3818</v>
      </c>
      <c r="AQ128" s="31">
        <v>100.0</v>
      </c>
      <c r="AR128" s="33">
        <f>'Old Balance Sheet'!H128 + 'ACPL Calculations - 1.0'!H128 + 'ACPL Calculations - 2.0'!H128</f>
        <v>0</v>
      </c>
      <c r="AS128" s="30" t="s">
        <v>3819</v>
      </c>
      <c r="AT128" s="31">
        <v>838.99</v>
      </c>
      <c r="AU128" s="32" t="s">
        <v>3818</v>
      </c>
      <c r="AV128" s="31">
        <v>100.0</v>
      </c>
      <c r="AW128" s="33">
        <f>'Old Balance Sheet'!I128 + 'ACPL Calculations - 1.0'!I128 + 'ACPL Calculations - 2.0'!I128</f>
        <v>0</v>
      </c>
      <c r="AX128" s="30" t="s">
        <v>3817</v>
      </c>
      <c r="AY128" s="31">
        <v>290.0</v>
      </c>
      <c r="AZ128" s="32" t="s">
        <v>3818</v>
      </c>
      <c r="BA128" s="31">
        <v>100.0</v>
      </c>
      <c r="BB128" s="33">
        <f>'Old Balance Sheet'!J128 + 'ACPL Calculations - 1.0'!J128 + 'ACPL Calculations - 2.0'!J128</f>
        <v>0</v>
      </c>
      <c r="BC128" s="30" t="s">
        <v>3817</v>
      </c>
      <c r="BD128" s="31">
        <v>205.0</v>
      </c>
      <c r="BE128" s="32" t="s">
        <v>3818</v>
      </c>
      <c r="BF128" s="31">
        <v>100.0</v>
      </c>
      <c r="BG128" s="33">
        <f>'Old Balance Sheet'!K128 + 'ACPL Calculations - 1.0'!K128 + 'ACPL Calculations - 2.0'!K128</f>
        <v>0</v>
      </c>
      <c r="BH128" s="30" t="s">
        <v>3817</v>
      </c>
      <c r="BI128" s="31">
        <v>205.0</v>
      </c>
      <c r="BJ128" s="32" t="s">
        <v>3818</v>
      </c>
      <c r="BK128" s="31">
        <v>100.0</v>
      </c>
      <c r="BL128" s="33">
        <f>'Old Balance Sheet'!L128 + 'ACPL Calculations - 1.0'!L128 + 'ACPL Calculations - 2.0'!L128</f>
        <v>0</v>
      </c>
      <c r="BM128" s="33"/>
      <c r="BN128" s="33"/>
      <c r="BO128" s="33"/>
      <c r="BP128" s="33"/>
      <c r="BQ128" s="33"/>
      <c r="BR128" s="33"/>
      <c r="BS128" s="33"/>
      <c r="BT128" s="33"/>
      <c r="BU128" s="33"/>
      <c r="BV128" s="33"/>
      <c r="BW128" s="33"/>
      <c r="BX128" s="33"/>
      <c r="BY128" s="33"/>
      <c r="BZ128" s="33"/>
      <c r="CA128" s="33"/>
      <c r="CB128" s="33"/>
      <c r="CC128" s="33"/>
      <c r="CD128" s="33"/>
      <c r="CE128" s="33"/>
      <c r="CF128" s="33"/>
      <c r="CG128" s="33"/>
      <c r="CH128" s="33"/>
      <c r="CI128" s="33"/>
      <c r="CJ128" s="33"/>
      <c r="CK128" s="33"/>
      <c r="CL128" s="33">
        <f t="shared" si="1"/>
        <v>0</v>
      </c>
      <c r="CM128" s="33">
        <f>'Old Balance Sheet'!R128 + 'ACPL Calculations - 1.0'!S128 + 'ACPL Calculations - 2.0'!S128</f>
        <v>0</v>
      </c>
      <c r="CN128" s="33">
        <f>'Old Balance Sheet'!S128 + 'ACPL Calculations - 1.0'!T128 + 'ACPL Calculations - 2.0'!T128</f>
        <v>0</v>
      </c>
      <c r="CO128" s="33">
        <f t="shared" si="2"/>
        <v>0</v>
      </c>
      <c r="CP128" s="33">
        <f>'Old Balance Sheet'!T128 + 'ACPL Calculations - 1.0'!V128 + 'ACPL Calculations - 2.0'!V128</f>
        <v>0</v>
      </c>
      <c r="CQ128" s="33">
        <f>'Old Balance Sheet'!U128 + 'ACPL Calculations - 1.0'!W128 + 'ACPL Calculations - 2.0'!W128</f>
        <v>0</v>
      </c>
      <c r="CR128" s="33">
        <f>'Old Balance Sheet'!V128 + 'ACPL Calculations - 1.0'!X128 + 'ACPL Calculations - 2.0'!X128</f>
        <v>0</v>
      </c>
      <c r="CS128" s="33">
        <f t="shared" si="3"/>
        <v>0</v>
      </c>
      <c r="CT128" s="35"/>
      <c r="CU128" s="35"/>
      <c r="CV128" s="35"/>
      <c r="CW128" s="36">
        <f>'Old Balance Sheet'!W128 + 'ACPL Calculations - 1.0'!Z128 + 'ACPL Calculations - 2.0'!Z128</f>
        <v>0</v>
      </c>
      <c r="CX128" s="36">
        <f>'Old Balance Sheet'!X128 + 'ACPL Calculations - 1.0'!AA128 + 'ACPL Calculations - 2.0'!AA128</f>
        <v>0</v>
      </c>
      <c r="CY128" s="37">
        <v>0.0</v>
      </c>
      <c r="CZ128" s="38">
        <f>'Old Balance Sheet'!Y128 + 'ACPL Calculations - 1.0'!AB128 + 'ACPL Calculations - 2.0'!AB128</f>
        <v>0</v>
      </c>
      <c r="DA128" s="38">
        <f>'Old Balance Sheet'!Z128 + 'ACPL Calculations - 1.0'!AC128 + 'ACPL Calculations - 2.0'!AC128</f>
        <v>0</v>
      </c>
      <c r="DB128" s="38">
        <f>'Old Balance Sheet'!AA128 + 'ACPL Calculations - 1.0'!AD128 + 'ACPL Calculations - 2.0'!AD128</f>
        <v>0</v>
      </c>
      <c r="DC128" s="38">
        <f>'Old Balance Sheet'!AB128 + 'ACPL Calculations - 1.0'!AE128 + 'ACPL Calculations - 2.0'!AE128</f>
        <v>0</v>
      </c>
      <c r="DD128" s="38">
        <f t="shared" si="4"/>
        <v>0</v>
      </c>
      <c r="DE128" s="33">
        <f t="shared" si="5"/>
        <v>0</v>
      </c>
      <c r="DF128" s="35">
        <v>0.0</v>
      </c>
      <c r="DG128" s="35">
        <v>0.0</v>
      </c>
      <c r="DH128" s="35">
        <v>0.0</v>
      </c>
      <c r="DI128" s="35">
        <v>0.0</v>
      </c>
      <c r="DJ128" s="35">
        <v>0.0</v>
      </c>
      <c r="DK128" s="35">
        <v>0.0</v>
      </c>
      <c r="DL128" s="35">
        <v>0.0</v>
      </c>
      <c r="DM128" s="35">
        <v>0.0</v>
      </c>
      <c r="DN128" s="31">
        <v>0.0</v>
      </c>
      <c r="DO128" s="31">
        <v>0.0</v>
      </c>
      <c r="DP128" s="31">
        <v>0.0</v>
      </c>
      <c r="DQ128" s="31">
        <v>0.0</v>
      </c>
      <c r="DR128" s="31">
        <v>0.0</v>
      </c>
      <c r="DS128" s="31">
        <v>0.0</v>
      </c>
      <c r="DT128" s="31">
        <f>'Old Balance Sheet'!AC128</f>
        <v>0</v>
      </c>
      <c r="DU128" s="31">
        <f>DT128 + SUMIFS('Payments Log'!D:D, 'Payments Log'!B:B, A128, 'Payments Log'!L:L, "Approved", 'Payments Log'!M:M, "Credit") + 'Old Balance Sheet'!AD128 - 'Old Balance Sheet'!AC128</f>
        <v>0</v>
      </c>
      <c r="DV128" s="31">
        <f>SUMIFS('Payments Log'!D:D, 'Payments Log'!B:B, A128, 'Payments Log'!L:L, "Approved", 'Payments Log'!M:M, "Adjustment Credit") - SUMIFS('Payments Log'!D:D, 'Payments Log'!B:B, A128, 'Payments Log'!L:L, "Approved", 'Payments Log'!M:M, "Adjustment Debit") + 'Old Balance Sheet'!AE128</f>
        <v>0</v>
      </c>
      <c r="DW128" s="31">
        <f>IF(MAXIFS('Payments Log'!N:N, 'Payments Log'!L:L, "Approved", 'Payments Log'!M:M, "Credit", 'Payments Log'!B:B, A128) &gt; MAXIFS('Payments Log'!N:N, 'Payments Log'!L:L, "Approved", 'Payments Log'!M:M, "Virtual Credit", 'Payments Log'!B:B, A128), 0, SUMIFS('Payments Log'!D:D, 'Payments Log'!N:N, MAXIFS('Payments Log'!N:N, 'Payments Log'!L:L, "Approved", 'Payments Log'!M:M, "Virtual Credit", 'Payments Log'!B:B, A128)))</f>
        <v>0</v>
      </c>
      <c r="DX128" s="33">
        <f t="shared" si="6"/>
        <v>0</v>
      </c>
      <c r="DY128" s="33">
        <f t="shared" si="7"/>
        <v>0</v>
      </c>
      <c r="DZ128" s="33">
        <f t="shared" si="8"/>
        <v>0</v>
      </c>
      <c r="EA128" s="25" t="str">
        <f>(Sheet1!N128)</f>
        <v>Tarawati Maurya</v>
      </c>
      <c r="EB128" s="25" t="str">
        <f>(Sheet1!O128)</f>
        <v>1vMWNNh-aM1nrCnH4Ps5ul1sg36h7ZiVgWbYyiSJDYW8</v>
      </c>
      <c r="EC128" s="26" t="str">
        <f>(Sheet1!P128)</f>
        <v>Dealer</v>
      </c>
      <c r="ED128" s="34" t="s">
        <v>13</v>
      </c>
    </row>
    <row r="129">
      <c r="A129" s="25" t="str">
        <f>(Sheet1!A129)</f>
        <v>18j4yqkTLlff3QgAQzxbikTB9QfvCJyXh60_rLTsgkUA</v>
      </c>
      <c r="B129" s="25" t="str">
        <f>(Sheet1!B129)</f>
        <v>Jassi Motors - Mainpuri</v>
      </c>
      <c r="C129" s="30" t="s">
        <v>13</v>
      </c>
      <c r="D129" s="30" t="s">
        <v>72</v>
      </c>
      <c r="E129" s="30" t="s">
        <v>3820</v>
      </c>
      <c r="F129" s="31">
        <v>205.0</v>
      </c>
      <c r="G129" s="32" t="s">
        <v>3818</v>
      </c>
      <c r="H129" s="31">
        <v>100.0</v>
      </c>
      <c r="I129" s="33">
        <f>'Old Balance Sheet'!A129 + 'ACPL Calculations - 1.0'!A129 + 'ACPL Calculations - 2.0'!A129</f>
        <v>216</v>
      </c>
      <c r="J129" s="30" t="s">
        <v>3820</v>
      </c>
      <c r="K129" s="31">
        <v>205.0</v>
      </c>
      <c r="L129" s="32" t="s">
        <v>3818</v>
      </c>
      <c r="M129" s="31">
        <v>100.0</v>
      </c>
      <c r="N129" s="33">
        <f>'Old Balance Sheet'!B129 + 'ACPL Calculations - 1.0'!B129 + 'ACPL Calculations - 2.0'!B129</f>
        <v>25</v>
      </c>
      <c r="O129" s="30" t="s">
        <v>3820</v>
      </c>
      <c r="P129" s="31">
        <v>290.0</v>
      </c>
      <c r="Q129" s="32" t="s">
        <v>3818</v>
      </c>
      <c r="R129" s="31">
        <v>100.0</v>
      </c>
      <c r="S129" s="33">
        <f>'Old Balance Sheet'!C129 + 'ACPL Calculations - 1.0'!C129 + 'ACPL Calculations - 2.0'!C129</f>
        <v>1</v>
      </c>
      <c r="T129" s="30" t="s">
        <v>3820</v>
      </c>
      <c r="U129" s="31">
        <v>375.0</v>
      </c>
      <c r="V129" s="32" t="s">
        <v>3818</v>
      </c>
      <c r="W129" s="31">
        <v>100.0</v>
      </c>
      <c r="X129" s="33">
        <f>'Old Balance Sheet'!D129 + 'ACPL Calculations - 1.0'!D129 + 'ACPL Calculations - 2.0'!D129</f>
        <v>0</v>
      </c>
      <c r="Y129" s="30" t="s">
        <v>3820</v>
      </c>
      <c r="Z129" s="31">
        <v>460.0</v>
      </c>
      <c r="AA129" s="32" t="s">
        <v>3818</v>
      </c>
      <c r="AB129" s="31">
        <v>100.0</v>
      </c>
      <c r="AC129" s="33">
        <f>'Old Balance Sheet'!E129 + 'ACPL Calculations - 1.0'!E129 + 'ACPL Calculations - 2.0'!E129</f>
        <v>0</v>
      </c>
      <c r="AD129" s="30" t="s">
        <v>3820</v>
      </c>
      <c r="AE129" s="34">
        <v>838.99</v>
      </c>
      <c r="AF129" s="32" t="s">
        <v>3818</v>
      </c>
      <c r="AG129" s="31">
        <v>100.0</v>
      </c>
      <c r="AH129" s="33">
        <f>'Old Balance Sheet'!F129 + 'ACPL Calculations - 1.0'!F129 + 'ACPL Calculations - 2.0'!F129</f>
        <v>0</v>
      </c>
      <c r="AI129" s="30" t="s">
        <v>3820</v>
      </c>
      <c r="AJ129" s="31">
        <v>375.0</v>
      </c>
      <c r="AK129" s="32" t="s">
        <v>3818</v>
      </c>
      <c r="AL129" s="31">
        <v>100.0</v>
      </c>
      <c r="AM129" s="33">
        <f>'Old Balance Sheet'!G129 + 'ACPL Calculations - 1.0'!G129 + 'ACPL Calculations - 2.0'!G129</f>
        <v>0</v>
      </c>
      <c r="AN129" s="30" t="s">
        <v>3820</v>
      </c>
      <c r="AO129" s="31">
        <v>290.0</v>
      </c>
      <c r="AP129" s="32" t="s">
        <v>3818</v>
      </c>
      <c r="AQ129" s="31">
        <v>100.0</v>
      </c>
      <c r="AR129" s="33">
        <f>'Old Balance Sheet'!H129 + 'ACPL Calculations - 1.0'!H129 + 'ACPL Calculations - 2.0'!H129</f>
        <v>0</v>
      </c>
      <c r="AS129" s="30" t="s">
        <v>3819</v>
      </c>
      <c r="AT129" s="31">
        <v>838.99</v>
      </c>
      <c r="AU129" s="32" t="s">
        <v>3818</v>
      </c>
      <c r="AV129" s="31">
        <v>100.0</v>
      </c>
      <c r="AW129" s="33">
        <f>'Old Balance Sheet'!I129 + 'ACPL Calculations - 1.0'!I129 + 'ACPL Calculations - 2.0'!I129</f>
        <v>0</v>
      </c>
      <c r="AX129" s="30" t="s">
        <v>3820</v>
      </c>
      <c r="AY129" s="31">
        <v>290.0</v>
      </c>
      <c r="AZ129" s="32" t="s">
        <v>3818</v>
      </c>
      <c r="BA129" s="31">
        <v>100.0</v>
      </c>
      <c r="BB129" s="33">
        <f>'Old Balance Sheet'!J129 + 'ACPL Calculations - 1.0'!J129 + 'ACPL Calculations - 2.0'!J129</f>
        <v>0</v>
      </c>
      <c r="BC129" s="30" t="s">
        <v>3820</v>
      </c>
      <c r="BD129" s="31">
        <v>205.0</v>
      </c>
      <c r="BE129" s="32" t="s">
        <v>3818</v>
      </c>
      <c r="BF129" s="31">
        <v>100.0</v>
      </c>
      <c r="BG129" s="33">
        <f>'Old Balance Sheet'!K129 + 'ACPL Calculations - 1.0'!K129 + 'ACPL Calculations - 2.0'!K129</f>
        <v>0</v>
      </c>
      <c r="BH129" s="30" t="s">
        <v>3820</v>
      </c>
      <c r="BI129" s="31">
        <v>205.0</v>
      </c>
      <c r="BJ129" s="32" t="s">
        <v>3818</v>
      </c>
      <c r="BK129" s="31">
        <v>100.0</v>
      </c>
      <c r="BL129" s="33">
        <f>'Old Balance Sheet'!L129 + 'ACPL Calculations - 1.0'!L129 + 'ACPL Calculations - 2.0'!L129</f>
        <v>0</v>
      </c>
      <c r="BM129" s="33"/>
      <c r="BN129" s="33"/>
      <c r="BO129" s="33"/>
      <c r="BP129" s="33"/>
      <c r="BQ129" s="33"/>
      <c r="BR129" s="33"/>
      <c r="BS129" s="33"/>
      <c r="BT129" s="33"/>
      <c r="BU129" s="33"/>
      <c r="BV129" s="33"/>
      <c r="BW129" s="33"/>
      <c r="BX129" s="33"/>
      <c r="BY129" s="33"/>
      <c r="BZ129" s="33"/>
      <c r="CA129" s="33"/>
      <c r="CB129" s="33"/>
      <c r="CC129" s="33"/>
      <c r="CD129" s="33"/>
      <c r="CE129" s="33"/>
      <c r="CF129" s="33"/>
      <c r="CG129" s="33"/>
      <c r="CH129" s="33"/>
      <c r="CI129" s="33"/>
      <c r="CJ129" s="33"/>
      <c r="CK129" s="33"/>
      <c r="CL129" s="33">
        <f t="shared" si="1"/>
        <v>242</v>
      </c>
      <c r="CM129" s="33">
        <f>'Old Balance Sheet'!R129 + 'ACPL Calculations - 1.0'!S129 + 'ACPL Calculations - 2.0'!S129</f>
        <v>92430</v>
      </c>
      <c r="CN129" s="33">
        <f>'Old Balance Sheet'!S129 + 'ACPL Calculations - 1.0'!T129 + 'ACPL Calculations - 2.0'!T129</f>
        <v>49695</v>
      </c>
      <c r="CO129" s="33">
        <f t="shared" si="2"/>
        <v>63794.09</v>
      </c>
      <c r="CP129" s="33">
        <f>'Old Balance Sheet'!T129 + 'ACPL Calculations - 1.0'!V129 + 'ACPL Calculations - 2.0'!V129</f>
        <v>0</v>
      </c>
      <c r="CQ129" s="33">
        <f>'Old Balance Sheet'!U129 + 'ACPL Calculations - 1.0'!W129 + 'ACPL Calculations - 2.0'!W129</f>
        <v>0</v>
      </c>
      <c r="CR129" s="33">
        <f>'Old Balance Sheet'!V129 + 'ACPL Calculations - 1.0'!X129 + 'ACPL Calculations - 2.0'!X129</f>
        <v>14099.09</v>
      </c>
      <c r="CS129" s="33">
        <f t="shared" si="3"/>
        <v>14099.09</v>
      </c>
      <c r="CT129" s="35"/>
      <c r="CU129" s="35"/>
      <c r="CV129" s="35"/>
      <c r="CW129" s="36">
        <f>'Old Balance Sheet'!W129 + 'ACPL Calculations - 1.0'!Z129 + 'ACPL Calculations - 2.0'!Z129</f>
        <v>92430</v>
      </c>
      <c r="CX129" s="36">
        <f>'Old Balance Sheet'!X129 + 'ACPL Calculations - 1.0'!AA129 + 'ACPL Calculations - 2.0'!AA129</f>
        <v>64366.64</v>
      </c>
      <c r="CY129" s="37">
        <v>0.0</v>
      </c>
      <c r="CZ129" s="38">
        <f>'Old Balance Sheet'!Y129 + 'ACPL Calculations - 1.0'!AB129 + 'ACPL Calculations - 2.0'!AB129</f>
        <v>28063.36</v>
      </c>
      <c r="DA129" s="38">
        <f>'Old Balance Sheet'!Z129 + 'ACPL Calculations - 1.0'!AC129 + 'ACPL Calculations - 2.0'!AC129</f>
        <v>0</v>
      </c>
      <c r="DB129" s="38">
        <f>'Old Balance Sheet'!AA129 + 'ACPL Calculations - 1.0'!AD129 + 'ACPL Calculations - 2.0'!AD129</f>
        <v>572.56</v>
      </c>
      <c r="DC129" s="38">
        <f>'Old Balance Sheet'!AB129 + 'ACPL Calculations - 1.0'!AE129 + 'ACPL Calculations - 2.0'!AE129</f>
        <v>28063.36</v>
      </c>
      <c r="DD129" s="38">
        <f t="shared" si="4"/>
        <v>28063.36</v>
      </c>
      <c r="DE129" s="33">
        <f t="shared" si="5"/>
        <v>11433.36</v>
      </c>
      <c r="DF129" s="35">
        <v>0.0</v>
      </c>
      <c r="DG129" s="35">
        <v>0.0</v>
      </c>
      <c r="DH129" s="35">
        <v>0.0</v>
      </c>
      <c r="DI129" s="35">
        <v>0.0</v>
      </c>
      <c r="DJ129" s="35">
        <v>0.0</v>
      </c>
      <c r="DK129" s="35">
        <v>0.0</v>
      </c>
      <c r="DL129" s="35">
        <v>0.0</v>
      </c>
      <c r="DM129" s="35">
        <v>0.0</v>
      </c>
      <c r="DN129" s="31">
        <v>0.0</v>
      </c>
      <c r="DO129" s="31">
        <v>0.0</v>
      </c>
      <c r="DP129" s="31">
        <v>0.0</v>
      </c>
      <c r="DQ129" s="31">
        <v>0.0</v>
      </c>
      <c r="DR129" s="31">
        <v>0.0</v>
      </c>
      <c r="DS129" s="31">
        <v>0.0</v>
      </c>
      <c r="DT129" s="31">
        <f>'Old Balance Sheet'!AC129</f>
        <v>2800</v>
      </c>
      <c r="DU129" s="31">
        <f>DT129 + SUMIFS('Payments Log'!D:D, 'Payments Log'!B:B, A129, 'Payments Log'!L:L, "Approved", 'Payments Log'!M:M, "Credit") + 'Old Balance Sheet'!AD129 - 'Old Balance Sheet'!AC129</f>
        <v>75800</v>
      </c>
      <c r="DV129" s="31">
        <f>SUMIFS('Payments Log'!D:D, 'Payments Log'!B:B, A129, 'Payments Log'!L:L, "Approved", 'Payments Log'!M:M, "Adjustment Credit") - SUMIFS('Payments Log'!D:D, 'Payments Log'!B:B, A129, 'Payments Log'!L:L, "Approved", 'Payments Log'!M:M, "Adjustment Debit") + 'Old Balance Sheet'!AE129</f>
        <v>0</v>
      </c>
      <c r="DW129" s="31">
        <f>IF(MAXIFS('Payments Log'!N:N, 'Payments Log'!L:L, "Approved", 'Payments Log'!M:M, "Credit", 'Payments Log'!B:B, A129) &gt; MAXIFS('Payments Log'!N:N, 'Payments Log'!L:L, "Approved", 'Payments Log'!M:M, "Virtual Credit", 'Payments Log'!B:B, A129), 0, SUMIFS('Payments Log'!D:D, 'Payments Log'!N:N, MAXIFS('Payments Log'!N:N, 'Payments Log'!L:L, "Approved", 'Payments Log'!M:M, "Virtual Credit", 'Payments Log'!B:B, A129)))</f>
        <v>0</v>
      </c>
      <c r="DX129" s="33">
        <f t="shared" si="6"/>
        <v>-16630</v>
      </c>
      <c r="DY129" s="33">
        <f t="shared" si="7"/>
        <v>11433.36</v>
      </c>
      <c r="DZ129" s="33">
        <f t="shared" si="8"/>
        <v>11433.36</v>
      </c>
      <c r="EA129" s="25" t="str">
        <f>(Sheet1!N129)</f>
        <v>Jassi Motors - Mainpuri</v>
      </c>
      <c r="EB129" s="25" t="str">
        <f>(Sheet1!O129)</f>
        <v>18j4yqkTLlff3QgAQzxbikTB9QfvCJyXh60_rLTsgkUA</v>
      </c>
      <c r="EC129" s="26" t="str">
        <f>(Sheet1!P129)</f>
        <v>Dealer</v>
      </c>
      <c r="ED129" s="34" t="s">
        <v>13</v>
      </c>
    </row>
    <row r="130">
      <c r="A130" s="25" t="str">
        <f>(Sheet1!A130)</f>
        <v>1dV47fJN9zfoEbGvv71kLmpN6o-gQtGRvXq4lwNICvVc</v>
      </c>
      <c r="B130" s="25" t="str">
        <f>(Sheet1!B130)</f>
        <v>Dhansri Motors - Noida</v>
      </c>
      <c r="C130" s="30" t="s">
        <v>13</v>
      </c>
      <c r="D130" s="30" t="s">
        <v>72</v>
      </c>
      <c r="E130" s="30" t="s">
        <v>3817</v>
      </c>
      <c r="F130" s="31">
        <v>205.0</v>
      </c>
      <c r="G130" s="32" t="s">
        <v>3818</v>
      </c>
      <c r="H130" s="31">
        <v>100.0</v>
      </c>
      <c r="I130" s="33">
        <f>'Old Balance Sheet'!A130 + 'ACPL Calculations - 1.0'!A130 + 'ACPL Calculations - 2.0'!A130</f>
        <v>38</v>
      </c>
      <c r="J130" s="30" t="s">
        <v>3817</v>
      </c>
      <c r="K130" s="31">
        <v>205.0</v>
      </c>
      <c r="L130" s="32" t="s">
        <v>3818</v>
      </c>
      <c r="M130" s="31">
        <v>100.0</v>
      </c>
      <c r="N130" s="33">
        <f>'Old Balance Sheet'!B130 + 'ACPL Calculations - 1.0'!B130 + 'ACPL Calculations - 2.0'!B130</f>
        <v>4</v>
      </c>
      <c r="O130" s="30" t="s">
        <v>3817</v>
      </c>
      <c r="P130" s="31">
        <v>290.0</v>
      </c>
      <c r="Q130" s="32" t="s">
        <v>3818</v>
      </c>
      <c r="R130" s="31">
        <v>100.0</v>
      </c>
      <c r="S130" s="33">
        <f>'Old Balance Sheet'!C130 + 'ACPL Calculations - 1.0'!C130 + 'ACPL Calculations - 2.0'!C130</f>
        <v>11</v>
      </c>
      <c r="T130" s="30" t="s">
        <v>3817</v>
      </c>
      <c r="U130" s="31">
        <v>375.0</v>
      </c>
      <c r="V130" s="32" t="s">
        <v>3818</v>
      </c>
      <c r="W130" s="31">
        <v>100.0</v>
      </c>
      <c r="X130" s="33">
        <f>'Old Balance Sheet'!D130 + 'ACPL Calculations - 1.0'!D130 + 'ACPL Calculations - 2.0'!D130</f>
        <v>30</v>
      </c>
      <c r="Y130" s="30" t="s">
        <v>3817</v>
      </c>
      <c r="Z130" s="31">
        <v>460.0</v>
      </c>
      <c r="AA130" s="32" t="s">
        <v>3818</v>
      </c>
      <c r="AB130" s="31">
        <v>100.0</v>
      </c>
      <c r="AC130" s="33">
        <f>'Old Balance Sheet'!E130 + 'ACPL Calculations - 1.0'!E130 + 'ACPL Calculations - 2.0'!E130</f>
        <v>2803</v>
      </c>
      <c r="AD130" s="30" t="s">
        <v>3817</v>
      </c>
      <c r="AE130" s="34">
        <v>838.99</v>
      </c>
      <c r="AF130" s="32" t="s">
        <v>3818</v>
      </c>
      <c r="AG130" s="31">
        <v>100.0</v>
      </c>
      <c r="AH130" s="33">
        <f>'Old Balance Sheet'!F130 + 'ACPL Calculations - 1.0'!F130 + 'ACPL Calculations - 2.0'!F130</f>
        <v>0</v>
      </c>
      <c r="AI130" s="30" t="s">
        <v>3817</v>
      </c>
      <c r="AJ130" s="31">
        <v>375.0</v>
      </c>
      <c r="AK130" s="32" t="s">
        <v>3818</v>
      </c>
      <c r="AL130" s="31">
        <v>100.0</v>
      </c>
      <c r="AM130" s="33">
        <f>'Old Balance Sheet'!G130 + 'ACPL Calculations - 1.0'!G130 + 'ACPL Calculations - 2.0'!G130</f>
        <v>0</v>
      </c>
      <c r="AN130" s="30" t="s">
        <v>3817</v>
      </c>
      <c r="AO130" s="31">
        <v>290.0</v>
      </c>
      <c r="AP130" s="32" t="s">
        <v>3818</v>
      </c>
      <c r="AQ130" s="31">
        <v>100.0</v>
      </c>
      <c r="AR130" s="33">
        <f>'Old Balance Sheet'!H130 + 'ACPL Calculations - 1.0'!H130 + 'ACPL Calculations - 2.0'!H130</f>
        <v>1</v>
      </c>
      <c r="AS130" s="30" t="s">
        <v>3819</v>
      </c>
      <c r="AT130" s="31">
        <v>838.99</v>
      </c>
      <c r="AU130" s="32" t="s">
        <v>3818</v>
      </c>
      <c r="AV130" s="31">
        <v>100.0</v>
      </c>
      <c r="AW130" s="33">
        <f>'Old Balance Sheet'!I130 + 'ACPL Calculations - 1.0'!I130 + 'ACPL Calculations - 2.0'!I130</f>
        <v>0</v>
      </c>
      <c r="AX130" s="30" t="s">
        <v>3817</v>
      </c>
      <c r="AY130" s="31">
        <v>290.0</v>
      </c>
      <c r="AZ130" s="32" t="s">
        <v>3818</v>
      </c>
      <c r="BA130" s="31">
        <v>100.0</v>
      </c>
      <c r="BB130" s="33">
        <f>'Old Balance Sheet'!J130 + 'ACPL Calculations - 1.0'!J130 + 'ACPL Calculations - 2.0'!J130</f>
        <v>0</v>
      </c>
      <c r="BC130" s="30" t="s">
        <v>3817</v>
      </c>
      <c r="BD130" s="31">
        <v>205.0</v>
      </c>
      <c r="BE130" s="32" t="s">
        <v>3818</v>
      </c>
      <c r="BF130" s="31">
        <v>100.0</v>
      </c>
      <c r="BG130" s="33">
        <f>'Old Balance Sheet'!K130 + 'ACPL Calculations - 1.0'!K130 + 'ACPL Calculations - 2.0'!K130</f>
        <v>0</v>
      </c>
      <c r="BH130" s="30" t="s">
        <v>3817</v>
      </c>
      <c r="BI130" s="31">
        <v>205.0</v>
      </c>
      <c r="BJ130" s="32" t="s">
        <v>3818</v>
      </c>
      <c r="BK130" s="31">
        <v>100.0</v>
      </c>
      <c r="BL130" s="33">
        <f>'Old Balance Sheet'!L130 + 'ACPL Calculations - 1.0'!L130 + 'ACPL Calculations - 2.0'!L130</f>
        <v>0</v>
      </c>
      <c r="BM130" s="33"/>
      <c r="BN130" s="33"/>
      <c r="BO130" s="33"/>
      <c r="BP130" s="33"/>
      <c r="BQ130" s="33"/>
      <c r="BR130" s="33"/>
      <c r="BS130" s="33"/>
      <c r="BT130" s="33"/>
      <c r="BU130" s="33"/>
      <c r="BV130" s="33"/>
      <c r="BW130" s="33"/>
      <c r="BX130" s="33"/>
      <c r="BY130" s="33"/>
      <c r="BZ130" s="33"/>
      <c r="CA130" s="33"/>
      <c r="CB130" s="33"/>
      <c r="CC130" s="33"/>
      <c r="CD130" s="33"/>
      <c r="CE130" s="33"/>
      <c r="CF130" s="33"/>
      <c r="CG130" s="33"/>
      <c r="CH130" s="33"/>
      <c r="CI130" s="33"/>
      <c r="CJ130" s="33"/>
      <c r="CK130" s="33"/>
      <c r="CL130" s="33">
        <f t="shared" si="1"/>
        <v>2887</v>
      </c>
      <c r="CM130" s="33">
        <f>'Old Balance Sheet'!R130 + 'ACPL Calculations - 1.0'!S130 + 'ACPL Calculations - 2.0'!S130</f>
        <v>5236439</v>
      </c>
      <c r="CN130" s="33">
        <f>'Old Balance Sheet'!S130 + 'ACPL Calculations - 1.0'!T130 + 'ACPL Calculations - 2.0'!T130</f>
        <v>1312040</v>
      </c>
      <c r="CO130" s="33">
        <f t="shared" si="2"/>
        <v>2110808.95</v>
      </c>
      <c r="CP130" s="33">
        <f>'Old Balance Sheet'!T130 + 'ACPL Calculations - 1.0'!V130 + 'ACPL Calculations - 2.0'!V130</f>
        <v>0</v>
      </c>
      <c r="CQ130" s="33">
        <f>'Old Balance Sheet'!U130 + 'ACPL Calculations - 1.0'!W130 + 'ACPL Calculations - 2.0'!W130</f>
        <v>0</v>
      </c>
      <c r="CR130" s="33">
        <f>'Old Balance Sheet'!V130 + 'ACPL Calculations - 1.0'!X130 + 'ACPL Calculations - 2.0'!X130</f>
        <v>798768.95</v>
      </c>
      <c r="CS130" s="33">
        <f t="shared" si="3"/>
        <v>798768.95</v>
      </c>
      <c r="CT130" s="35"/>
      <c r="CU130" s="35"/>
      <c r="CV130" s="35"/>
      <c r="CW130" s="36">
        <f>'Old Balance Sheet'!W130 + 'ACPL Calculations - 1.0'!Z130 + 'ACPL Calculations - 2.0'!Z130</f>
        <v>2335140.58</v>
      </c>
      <c r="CX130" s="36">
        <f>'Old Balance Sheet'!X130 + 'ACPL Calculations - 1.0'!AA130 + 'ACPL Calculations - 2.0'!AA130</f>
        <v>2335140.58</v>
      </c>
      <c r="CY130" s="37">
        <v>0.0</v>
      </c>
      <c r="CZ130" s="38">
        <f>'Old Balance Sheet'!Y130 + 'ACPL Calculations - 1.0'!AB130 + 'ACPL Calculations - 2.0'!AB130</f>
        <v>1764683.4</v>
      </c>
      <c r="DA130" s="38">
        <f>'Old Balance Sheet'!Z130 + 'ACPL Calculations - 1.0'!AC130 + 'ACPL Calculations - 2.0'!AC130</f>
        <v>2901298.42</v>
      </c>
      <c r="DB130" s="38">
        <f>'Old Balance Sheet'!AA130 + 'ACPL Calculations - 1.0'!AD130 + 'ACPL Calculations - 2.0'!AD130</f>
        <v>224332.04</v>
      </c>
      <c r="DC130" s="38">
        <f>'Old Balance Sheet'!AB130 + 'ACPL Calculations - 1.0'!AE130 + 'ACPL Calculations - 2.0'!AE130</f>
        <v>0</v>
      </c>
      <c r="DD130" s="38">
        <f t="shared" si="4"/>
        <v>0</v>
      </c>
      <c r="DE130" s="33">
        <f t="shared" si="5"/>
        <v>0</v>
      </c>
      <c r="DF130" s="35">
        <v>0.0</v>
      </c>
      <c r="DG130" s="35">
        <v>0.0</v>
      </c>
      <c r="DH130" s="35">
        <v>0.0</v>
      </c>
      <c r="DI130" s="35">
        <v>0.0</v>
      </c>
      <c r="DJ130" s="35">
        <v>0.0</v>
      </c>
      <c r="DK130" s="35">
        <v>0.0</v>
      </c>
      <c r="DL130" s="35">
        <v>0.0</v>
      </c>
      <c r="DM130" s="35">
        <v>0.0</v>
      </c>
      <c r="DN130" s="31">
        <v>0.0</v>
      </c>
      <c r="DO130" s="31">
        <v>0.0</v>
      </c>
      <c r="DP130" s="31">
        <v>0.0</v>
      </c>
      <c r="DQ130" s="31">
        <v>0.0</v>
      </c>
      <c r="DR130" s="31">
        <v>0.0</v>
      </c>
      <c r="DS130" s="31">
        <v>0.0</v>
      </c>
      <c r="DT130" s="31">
        <f>'Old Balance Sheet'!AC130</f>
        <v>-311633</v>
      </c>
      <c r="DU130" s="31">
        <f>DT130 + SUMIFS('Payments Log'!D:D, 'Payments Log'!B:B, A130, 'Payments Log'!L:L, "Approved", 'Payments Log'!M:M, "Credit") + 'Old Balance Sheet'!AD130 - 'Old Balance Sheet'!AC130</f>
        <v>2238367</v>
      </c>
      <c r="DV130" s="31">
        <f>SUMIFS('Payments Log'!D:D, 'Payments Log'!B:B, A130, 'Payments Log'!L:L, "Approved", 'Payments Log'!M:M, "Adjustment Credit") - SUMIFS('Payments Log'!D:D, 'Payments Log'!B:B, A130, 'Payments Log'!L:L, "Approved", 'Payments Log'!M:M, "Adjustment Debit") + 'Old Balance Sheet'!AE130</f>
        <v>0</v>
      </c>
      <c r="DW130" s="31">
        <f>IF(MAXIFS('Payments Log'!N:N, 'Payments Log'!L:L, "Approved", 'Payments Log'!M:M, "Credit", 'Payments Log'!B:B, A130) &gt; MAXIFS('Payments Log'!N:N, 'Payments Log'!L:L, "Approved", 'Payments Log'!M:M, "Virtual Credit", 'Payments Log'!B:B, A130), 0, SUMIFS('Payments Log'!D:D, 'Payments Log'!N:N, MAXIFS('Payments Log'!N:N, 'Payments Log'!L:L, "Approved", 'Payments Log'!M:M, "Virtual Credit", 'Payments Log'!B:B, A130)))</f>
        <v>0</v>
      </c>
      <c r="DX130" s="33">
        <f t="shared" si="6"/>
        <v>-96773.58</v>
      </c>
      <c r="DY130" s="33">
        <f t="shared" si="7"/>
        <v>-96773.58</v>
      </c>
      <c r="DZ130" s="33">
        <f t="shared" si="8"/>
        <v>-96773.58</v>
      </c>
      <c r="EA130" s="25" t="str">
        <f>(Sheet1!N130)</f>
        <v>Dhansri Motors - Noida</v>
      </c>
      <c r="EB130" s="25" t="str">
        <f>(Sheet1!O130)</f>
        <v>1dV47fJN9zfoEbGvv71kLmpN6o-gQtGRvXq4lwNICvVc</v>
      </c>
      <c r="EC130" s="26" t="str">
        <f>(Sheet1!P130)</f>
        <v>Dealer</v>
      </c>
      <c r="ED130" s="34" t="s">
        <v>13</v>
      </c>
    </row>
    <row r="131">
      <c r="A131" s="25" t="str">
        <f>(Sheet1!A131)</f>
        <v>1QtE2j1s3tO4so4-6brIBcxG25GkuhYSP382fzi5rqdw</v>
      </c>
      <c r="B131" s="25" t="str">
        <f>(Sheet1!B131)</f>
        <v>Lalit Mohan sharma</v>
      </c>
      <c r="C131" s="30" t="s">
        <v>13</v>
      </c>
      <c r="D131" s="30" t="s">
        <v>72</v>
      </c>
      <c r="E131" s="30" t="s">
        <v>3817</v>
      </c>
      <c r="F131" s="31">
        <v>205.0</v>
      </c>
      <c r="G131" s="32" t="s">
        <v>3818</v>
      </c>
      <c r="H131" s="31">
        <v>100.0</v>
      </c>
      <c r="I131" s="33">
        <f>'Old Balance Sheet'!A131 + 'ACPL Calculations - 1.0'!A131 + 'ACPL Calculations - 2.0'!A131</f>
        <v>0</v>
      </c>
      <c r="J131" s="30" t="s">
        <v>3817</v>
      </c>
      <c r="K131" s="31">
        <v>205.0</v>
      </c>
      <c r="L131" s="32" t="s">
        <v>3818</v>
      </c>
      <c r="M131" s="31">
        <v>100.0</v>
      </c>
      <c r="N131" s="33">
        <f>'Old Balance Sheet'!B131 + 'ACPL Calculations - 1.0'!B131 + 'ACPL Calculations - 2.0'!B131</f>
        <v>0</v>
      </c>
      <c r="O131" s="30" t="s">
        <v>3817</v>
      </c>
      <c r="P131" s="31">
        <v>290.0</v>
      </c>
      <c r="Q131" s="32" t="s">
        <v>3818</v>
      </c>
      <c r="R131" s="31">
        <v>100.0</v>
      </c>
      <c r="S131" s="33">
        <f>'Old Balance Sheet'!C131 + 'ACPL Calculations - 1.0'!C131 + 'ACPL Calculations - 2.0'!C131</f>
        <v>0</v>
      </c>
      <c r="T131" s="30" t="s">
        <v>3817</v>
      </c>
      <c r="U131" s="31">
        <v>375.0</v>
      </c>
      <c r="V131" s="32" t="s">
        <v>3818</v>
      </c>
      <c r="W131" s="31">
        <v>100.0</v>
      </c>
      <c r="X131" s="33">
        <f>'Old Balance Sheet'!D131 + 'ACPL Calculations - 1.0'!D131 + 'ACPL Calculations - 2.0'!D131</f>
        <v>0</v>
      </c>
      <c r="Y131" s="30" t="s">
        <v>3817</v>
      </c>
      <c r="Z131" s="31">
        <v>460.0</v>
      </c>
      <c r="AA131" s="32" t="s">
        <v>3818</v>
      </c>
      <c r="AB131" s="31">
        <v>100.0</v>
      </c>
      <c r="AC131" s="33">
        <f>'Old Balance Sheet'!E131 + 'ACPL Calculations - 1.0'!E131 + 'ACPL Calculations - 2.0'!E131</f>
        <v>0</v>
      </c>
      <c r="AD131" s="30" t="s">
        <v>3817</v>
      </c>
      <c r="AE131" s="34">
        <v>838.99</v>
      </c>
      <c r="AF131" s="32" t="s">
        <v>3818</v>
      </c>
      <c r="AG131" s="31">
        <v>100.0</v>
      </c>
      <c r="AH131" s="33">
        <f>'Old Balance Sheet'!F131 + 'ACPL Calculations - 1.0'!F131 + 'ACPL Calculations - 2.0'!F131</f>
        <v>0</v>
      </c>
      <c r="AI131" s="30" t="s">
        <v>3817</v>
      </c>
      <c r="AJ131" s="31">
        <v>375.0</v>
      </c>
      <c r="AK131" s="32" t="s">
        <v>3818</v>
      </c>
      <c r="AL131" s="31">
        <v>100.0</v>
      </c>
      <c r="AM131" s="33">
        <f>'Old Balance Sheet'!G131 + 'ACPL Calculations - 1.0'!G131 + 'ACPL Calculations - 2.0'!G131</f>
        <v>0</v>
      </c>
      <c r="AN131" s="30" t="s">
        <v>3817</v>
      </c>
      <c r="AO131" s="31">
        <v>290.0</v>
      </c>
      <c r="AP131" s="32" t="s">
        <v>3818</v>
      </c>
      <c r="AQ131" s="31">
        <v>100.0</v>
      </c>
      <c r="AR131" s="33">
        <f>'Old Balance Sheet'!H131 + 'ACPL Calculations - 1.0'!H131 + 'ACPL Calculations - 2.0'!H131</f>
        <v>0</v>
      </c>
      <c r="AS131" s="30" t="s">
        <v>3819</v>
      </c>
      <c r="AT131" s="31">
        <v>838.99</v>
      </c>
      <c r="AU131" s="32" t="s">
        <v>3818</v>
      </c>
      <c r="AV131" s="31">
        <v>100.0</v>
      </c>
      <c r="AW131" s="33">
        <f>'Old Balance Sheet'!I131 + 'ACPL Calculations - 1.0'!I131 + 'ACPL Calculations - 2.0'!I131</f>
        <v>0</v>
      </c>
      <c r="AX131" s="30" t="s">
        <v>3817</v>
      </c>
      <c r="AY131" s="31">
        <v>290.0</v>
      </c>
      <c r="AZ131" s="32" t="s">
        <v>3818</v>
      </c>
      <c r="BA131" s="31">
        <v>100.0</v>
      </c>
      <c r="BB131" s="33">
        <f>'Old Balance Sheet'!J131 + 'ACPL Calculations - 1.0'!J131 + 'ACPL Calculations - 2.0'!J131</f>
        <v>0</v>
      </c>
      <c r="BC131" s="30" t="s">
        <v>3817</v>
      </c>
      <c r="BD131" s="31">
        <v>205.0</v>
      </c>
      <c r="BE131" s="32" t="s">
        <v>3818</v>
      </c>
      <c r="BF131" s="31">
        <v>100.0</v>
      </c>
      <c r="BG131" s="33">
        <f>'Old Balance Sheet'!K131 + 'ACPL Calculations - 1.0'!K131 + 'ACPL Calculations - 2.0'!K131</f>
        <v>0</v>
      </c>
      <c r="BH131" s="30" t="s">
        <v>3817</v>
      </c>
      <c r="BI131" s="31">
        <v>205.0</v>
      </c>
      <c r="BJ131" s="32" t="s">
        <v>3818</v>
      </c>
      <c r="BK131" s="31">
        <v>100.0</v>
      </c>
      <c r="BL131" s="33">
        <f>'Old Balance Sheet'!L131 + 'ACPL Calculations - 1.0'!L131 + 'ACPL Calculations - 2.0'!L131</f>
        <v>0</v>
      </c>
      <c r="BM131" s="33"/>
      <c r="BN131" s="33"/>
      <c r="BO131" s="33"/>
      <c r="BP131" s="33"/>
      <c r="BQ131" s="33"/>
      <c r="BR131" s="33"/>
      <c r="BS131" s="33"/>
      <c r="BT131" s="33"/>
      <c r="BU131" s="33"/>
      <c r="BV131" s="33"/>
      <c r="BW131" s="33"/>
      <c r="BX131" s="33"/>
      <c r="BY131" s="33"/>
      <c r="BZ131" s="33"/>
      <c r="CA131" s="33"/>
      <c r="CB131" s="33"/>
      <c r="CC131" s="33"/>
      <c r="CD131" s="33"/>
      <c r="CE131" s="33"/>
      <c r="CF131" s="33"/>
      <c r="CG131" s="33"/>
      <c r="CH131" s="33"/>
      <c r="CI131" s="33"/>
      <c r="CJ131" s="33"/>
      <c r="CK131" s="33"/>
      <c r="CL131" s="33">
        <f t="shared" si="1"/>
        <v>0</v>
      </c>
      <c r="CM131" s="33">
        <f>'Old Balance Sheet'!R131 + 'ACPL Calculations - 1.0'!S131 + 'ACPL Calculations - 2.0'!S131</f>
        <v>0</v>
      </c>
      <c r="CN131" s="33">
        <f>'Old Balance Sheet'!S131 + 'ACPL Calculations - 1.0'!T131 + 'ACPL Calculations - 2.0'!T131</f>
        <v>0</v>
      </c>
      <c r="CO131" s="33">
        <f t="shared" si="2"/>
        <v>0</v>
      </c>
      <c r="CP131" s="33">
        <f>'Old Balance Sheet'!T131 + 'ACPL Calculations - 1.0'!V131 + 'ACPL Calculations - 2.0'!V131</f>
        <v>0</v>
      </c>
      <c r="CQ131" s="33">
        <f>'Old Balance Sheet'!U131 + 'ACPL Calculations - 1.0'!W131 + 'ACPL Calculations - 2.0'!W131</f>
        <v>0</v>
      </c>
      <c r="CR131" s="33">
        <f>'Old Balance Sheet'!V131 + 'ACPL Calculations - 1.0'!X131 + 'ACPL Calculations - 2.0'!X131</f>
        <v>0</v>
      </c>
      <c r="CS131" s="33">
        <f t="shared" si="3"/>
        <v>0</v>
      </c>
      <c r="CT131" s="35"/>
      <c r="CU131" s="35"/>
      <c r="CV131" s="35"/>
      <c r="CW131" s="36">
        <f>'Old Balance Sheet'!W131 + 'ACPL Calculations - 1.0'!Z131 + 'ACPL Calculations - 2.0'!Z131</f>
        <v>0</v>
      </c>
      <c r="CX131" s="36">
        <f>'Old Balance Sheet'!X131 + 'ACPL Calculations - 1.0'!AA131 + 'ACPL Calculations - 2.0'!AA131</f>
        <v>0</v>
      </c>
      <c r="CY131" s="37">
        <v>0.0</v>
      </c>
      <c r="CZ131" s="38">
        <f>'Old Balance Sheet'!Y131 + 'ACPL Calculations - 1.0'!AB131 + 'ACPL Calculations - 2.0'!AB131</f>
        <v>0</v>
      </c>
      <c r="DA131" s="38">
        <f>'Old Balance Sheet'!Z131 + 'ACPL Calculations - 1.0'!AC131 + 'ACPL Calculations - 2.0'!AC131</f>
        <v>0</v>
      </c>
      <c r="DB131" s="38">
        <f>'Old Balance Sheet'!AA131 + 'ACPL Calculations - 1.0'!AD131 + 'ACPL Calculations - 2.0'!AD131</f>
        <v>0</v>
      </c>
      <c r="DC131" s="38">
        <f>'Old Balance Sheet'!AB131 + 'ACPL Calculations - 1.0'!AE131 + 'ACPL Calculations - 2.0'!AE131</f>
        <v>0</v>
      </c>
      <c r="DD131" s="38">
        <f t="shared" si="4"/>
        <v>0</v>
      </c>
      <c r="DE131" s="33">
        <f t="shared" si="5"/>
        <v>0</v>
      </c>
      <c r="DF131" s="35">
        <v>0.0</v>
      </c>
      <c r="DG131" s="35">
        <v>0.0</v>
      </c>
      <c r="DH131" s="35">
        <v>0.0</v>
      </c>
      <c r="DI131" s="35">
        <v>0.0</v>
      </c>
      <c r="DJ131" s="35">
        <v>0.0</v>
      </c>
      <c r="DK131" s="35">
        <v>0.0</v>
      </c>
      <c r="DL131" s="35">
        <v>0.0</v>
      </c>
      <c r="DM131" s="35">
        <v>0.0</v>
      </c>
      <c r="DN131" s="31">
        <v>0.0</v>
      </c>
      <c r="DO131" s="31">
        <v>0.0</v>
      </c>
      <c r="DP131" s="31">
        <v>0.0</v>
      </c>
      <c r="DQ131" s="31">
        <v>0.0</v>
      </c>
      <c r="DR131" s="31">
        <v>0.0</v>
      </c>
      <c r="DS131" s="31">
        <v>0.0</v>
      </c>
      <c r="DT131" s="31">
        <f>'Old Balance Sheet'!AC131</f>
        <v>0</v>
      </c>
      <c r="DU131" s="31">
        <f>DT131 + SUMIFS('Payments Log'!D:D, 'Payments Log'!B:B, A131, 'Payments Log'!L:L, "Approved", 'Payments Log'!M:M, "Credit") + 'Old Balance Sheet'!AD131 - 'Old Balance Sheet'!AC131</f>
        <v>0</v>
      </c>
      <c r="DV131" s="31">
        <f>SUMIFS('Payments Log'!D:D, 'Payments Log'!B:B, A131, 'Payments Log'!L:L, "Approved", 'Payments Log'!M:M, "Adjustment Credit") - SUMIFS('Payments Log'!D:D, 'Payments Log'!B:B, A131, 'Payments Log'!L:L, "Approved", 'Payments Log'!M:M, "Adjustment Debit") + 'Old Balance Sheet'!AE131</f>
        <v>0</v>
      </c>
      <c r="DW131" s="31">
        <f>IF(MAXIFS('Payments Log'!N:N, 'Payments Log'!L:L, "Approved", 'Payments Log'!M:M, "Credit", 'Payments Log'!B:B, A131) &gt; MAXIFS('Payments Log'!N:N, 'Payments Log'!L:L, "Approved", 'Payments Log'!M:M, "Virtual Credit", 'Payments Log'!B:B, A131), 0, SUMIFS('Payments Log'!D:D, 'Payments Log'!N:N, MAXIFS('Payments Log'!N:N, 'Payments Log'!L:L, "Approved", 'Payments Log'!M:M, "Virtual Credit", 'Payments Log'!B:B, A131)))</f>
        <v>0</v>
      </c>
      <c r="DX131" s="33">
        <f t="shared" si="6"/>
        <v>0</v>
      </c>
      <c r="DY131" s="33">
        <f t="shared" si="7"/>
        <v>0</v>
      </c>
      <c r="DZ131" s="33">
        <f t="shared" si="8"/>
        <v>0</v>
      </c>
      <c r="EA131" s="25" t="str">
        <f>(Sheet1!N131)</f>
        <v>Lalit Mohan sharma</v>
      </c>
      <c r="EB131" s="25" t="str">
        <f>(Sheet1!O131)</f>
        <v>1QtE2j1s3tO4so4-6brIBcxG25GkuhYSP382fzi5rqdw</v>
      </c>
      <c r="EC131" s="26" t="str">
        <f>(Sheet1!P131)</f>
        <v>Dealer</v>
      </c>
      <c r="ED131" s="34" t="s">
        <v>13</v>
      </c>
    </row>
    <row r="132">
      <c r="A132" s="25" t="str">
        <f>(Sheet1!A132)</f>
        <v>1d-fClpNuQDkiOpgBIcTAkZx1QbsS35V0oPcKli3TAOc</v>
      </c>
      <c r="B132" s="25" t="str">
        <f>(Sheet1!B132)</f>
        <v>Lalit Mohan Sharma</v>
      </c>
      <c r="C132" s="30" t="s">
        <v>13</v>
      </c>
      <c r="D132" s="30" t="s">
        <v>72</v>
      </c>
      <c r="E132" s="30" t="s">
        <v>3817</v>
      </c>
      <c r="F132" s="31">
        <v>205.0</v>
      </c>
      <c r="G132" s="32" t="s">
        <v>3818</v>
      </c>
      <c r="H132" s="31">
        <v>100.0</v>
      </c>
      <c r="I132" s="33">
        <f>'Old Balance Sheet'!A132 + 'ACPL Calculations - 1.0'!A132 + 'ACPL Calculations - 2.0'!A132</f>
        <v>3</v>
      </c>
      <c r="J132" s="30" t="s">
        <v>3817</v>
      </c>
      <c r="K132" s="31">
        <v>205.0</v>
      </c>
      <c r="L132" s="32" t="s">
        <v>3818</v>
      </c>
      <c r="M132" s="31">
        <v>100.0</v>
      </c>
      <c r="N132" s="33">
        <f>'Old Balance Sheet'!B132 + 'ACPL Calculations - 1.0'!B132 + 'ACPL Calculations - 2.0'!B132</f>
        <v>0</v>
      </c>
      <c r="O132" s="30" t="s">
        <v>3817</v>
      </c>
      <c r="P132" s="31">
        <v>290.0</v>
      </c>
      <c r="Q132" s="32" t="s">
        <v>3818</v>
      </c>
      <c r="R132" s="31">
        <v>100.0</v>
      </c>
      <c r="S132" s="33">
        <f>'Old Balance Sheet'!C132 + 'ACPL Calculations - 1.0'!C132 + 'ACPL Calculations - 2.0'!C132</f>
        <v>0</v>
      </c>
      <c r="T132" s="30" t="s">
        <v>3817</v>
      </c>
      <c r="U132" s="31">
        <v>375.0</v>
      </c>
      <c r="V132" s="32" t="s">
        <v>3818</v>
      </c>
      <c r="W132" s="31">
        <v>100.0</v>
      </c>
      <c r="X132" s="33">
        <f>'Old Balance Sheet'!D132 + 'ACPL Calculations - 1.0'!D132 + 'ACPL Calculations - 2.0'!D132</f>
        <v>0</v>
      </c>
      <c r="Y132" s="30" t="s">
        <v>3817</v>
      </c>
      <c r="Z132" s="31">
        <v>460.0</v>
      </c>
      <c r="AA132" s="32" t="s">
        <v>3818</v>
      </c>
      <c r="AB132" s="31">
        <v>100.0</v>
      </c>
      <c r="AC132" s="33">
        <f>'Old Balance Sheet'!E132 + 'ACPL Calculations - 1.0'!E132 + 'ACPL Calculations - 2.0'!E132</f>
        <v>0</v>
      </c>
      <c r="AD132" s="30" t="s">
        <v>3817</v>
      </c>
      <c r="AE132" s="34">
        <v>838.99</v>
      </c>
      <c r="AF132" s="32" t="s">
        <v>3818</v>
      </c>
      <c r="AG132" s="31">
        <v>100.0</v>
      </c>
      <c r="AH132" s="33">
        <f>'Old Balance Sheet'!F132 + 'ACPL Calculations - 1.0'!F132 + 'ACPL Calculations - 2.0'!F132</f>
        <v>0</v>
      </c>
      <c r="AI132" s="30" t="s">
        <v>3817</v>
      </c>
      <c r="AJ132" s="31">
        <v>375.0</v>
      </c>
      <c r="AK132" s="32" t="s">
        <v>3818</v>
      </c>
      <c r="AL132" s="31">
        <v>100.0</v>
      </c>
      <c r="AM132" s="33">
        <f>'Old Balance Sheet'!G132 + 'ACPL Calculations - 1.0'!G132 + 'ACPL Calculations - 2.0'!G132</f>
        <v>0</v>
      </c>
      <c r="AN132" s="30" t="s">
        <v>3817</v>
      </c>
      <c r="AO132" s="31">
        <v>290.0</v>
      </c>
      <c r="AP132" s="32" t="s">
        <v>3818</v>
      </c>
      <c r="AQ132" s="31">
        <v>100.0</v>
      </c>
      <c r="AR132" s="33">
        <f>'Old Balance Sheet'!H132 + 'ACPL Calculations - 1.0'!H132 + 'ACPL Calculations - 2.0'!H132</f>
        <v>0</v>
      </c>
      <c r="AS132" s="30" t="s">
        <v>3819</v>
      </c>
      <c r="AT132" s="31">
        <v>838.99</v>
      </c>
      <c r="AU132" s="32" t="s">
        <v>3818</v>
      </c>
      <c r="AV132" s="31">
        <v>100.0</v>
      </c>
      <c r="AW132" s="33">
        <f>'Old Balance Sheet'!I132 + 'ACPL Calculations - 1.0'!I132 + 'ACPL Calculations - 2.0'!I132</f>
        <v>0</v>
      </c>
      <c r="AX132" s="30" t="s">
        <v>3817</v>
      </c>
      <c r="AY132" s="31">
        <v>290.0</v>
      </c>
      <c r="AZ132" s="32" t="s">
        <v>3818</v>
      </c>
      <c r="BA132" s="31">
        <v>100.0</v>
      </c>
      <c r="BB132" s="33">
        <f>'Old Balance Sheet'!J132 + 'ACPL Calculations - 1.0'!J132 + 'ACPL Calculations - 2.0'!J132</f>
        <v>0</v>
      </c>
      <c r="BC132" s="30" t="s">
        <v>3817</v>
      </c>
      <c r="BD132" s="31">
        <v>205.0</v>
      </c>
      <c r="BE132" s="32" t="s">
        <v>3818</v>
      </c>
      <c r="BF132" s="31">
        <v>100.0</v>
      </c>
      <c r="BG132" s="33">
        <f>'Old Balance Sheet'!K132 + 'ACPL Calculations - 1.0'!K132 + 'ACPL Calculations - 2.0'!K132</f>
        <v>0</v>
      </c>
      <c r="BH132" s="30" t="s">
        <v>3817</v>
      </c>
      <c r="BI132" s="31">
        <v>205.0</v>
      </c>
      <c r="BJ132" s="32" t="s">
        <v>3818</v>
      </c>
      <c r="BK132" s="31">
        <v>100.0</v>
      </c>
      <c r="BL132" s="33">
        <f>'Old Balance Sheet'!L132 + 'ACPL Calculations - 1.0'!L132 + 'ACPL Calculations - 2.0'!L132</f>
        <v>0</v>
      </c>
      <c r="BM132" s="33"/>
      <c r="BN132" s="33"/>
      <c r="BO132" s="33"/>
      <c r="BP132" s="33"/>
      <c r="BQ132" s="33"/>
      <c r="BR132" s="33"/>
      <c r="BS132" s="33"/>
      <c r="BT132" s="33"/>
      <c r="BU132" s="33"/>
      <c r="BV132" s="33"/>
      <c r="BW132" s="33"/>
      <c r="BX132" s="33"/>
      <c r="BY132" s="33"/>
      <c r="BZ132" s="33"/>
      <c r="CA132" s="33"/>
      <c r="CB132" s="33"/>
      <c r="CC132" s="33"/>
      <c r="CD132" s="33"/>
      <c r="CE132" s="33"/>
      <c r="CF132" s="33"/>
      <c r="CG132" s="33"/>
      <c r="CH132" s="33"/>
      <c r="CI132" s="33"/>
      <c r="CJ132" s="33"/>
      <c r="CK132" s="33"/>
      <c r="CL132" s="33">
        <f t="shared" si="1"/>
        <v>3</v>
      </c>
      <c r="CM132" s="33">
        <f>'Old Balance Sheet'!R132 + 'ACPL Calculations - 1.0'!S132 + 'ACPL Calculations - 2.0'!S132</f>
        <v>1170</v>
      </c>
      <c r="CN132" s="33">
        <f>'Old Balance Sheet'!S132 + 'ACPL Calculations - 1.0'!T132 + 'ACPL Calculations - 2.0'!T132</f>
        <v>615</v>
      </c>
      <c r="CO132" s="33">
        <f t="shared" si="2"/>
        <v>793.47</v>
      </c>
      <c r="CP132" s="33">
        <f>'Old Balance Sheet'!T132 + 'ACPL Calculations - 1.0'!V132 + 'ACPL Calculations - 2.0'!V132</f>
        <v>0</v>
      </c>
      <c r="CQ132" s="33">
        <f>'Old Balance Sheet'!U132 + 'ACPL Calculations - 1.0'!W132 + 'ACPL Calculations - 2.0'!W132</f>
        <v>0</v>
      </c>
      <c r="CR132" s="33">
        <f>'Old Balance Sheet'!V132 + 'ACPL Calculations - 1.0'!X132 + 'ACPL Calculations - 2.0'!X132</f>
        <v>178.47</v>
      </c>
      <c r="CS132" s="33">
        <f t="shared" si="3"/>
        <v>178.47</v>
      </c>
      <c r="CT132" s="35"/>
      <c r="CU132" s="35"/>
      <c r="CV132" s="35"/>
      <c r="CW132" s="36">
        <f>'Old Balance Sheet'!W132 + 'ACPL Calculations - 1.0'!Z132 + 'ACPL Calculations - 2.0'!Z132</f>
        <v>824.85</v>
      </c>
      <c r="CX132" s="36">
        <f>'Old Balance Sheet'!X132 + 'ACPL Calculations - 1.0'!AA132 + 'ACPL Calculations - 2.0'!AA132</f>
        <v>824.85</v>
      </c>
      <c r="CY132" s="37">
        <v>0.0</v>
      </c>
      <c r="CZ132" s="38">
        <f>'Old Balance Sheet'!Y132 + 'ACPL Calculations - 1.0'!AB132 + 'ACPL Calculations - 2.0'!AB132</f>
        <v>125.51</v>
      </c>
      <c r="DA132" s="38">
        <f>'Old Balance Sheet'!Z132 + 'ACPL Calculations - 1.0'!AC132 + 'ACPL Calculations - 2.0'!AC132</f>
        <v>345.15</v>
      </c>
      <c r="DB132" s="38">
        <f>'Old Balance Sheet'!AA132 + 'ACPL Calculations - 1.0'!AD132 + 'ACPL Calculations - 2.0'!AD132</f>
        <v>31.38</v>
      </c>
      <c r="DC132" s="38">
        <f>'Old Balance Sheet'!AB132 + 'ACPL Calculations - 1.0'!AE132 + 'ACPL Calculations - 2.0'!AE132</f>
        <v>0</v>
      </c>
      <c r="DD132" s="38">
        <f t="shared" si="4"/>
        <v>0</v>
      </c>
      <c r="DE132" s="33">
        <f t="shared" si="5"/>
        <v>0</v>
      </c>
      <c r="DF132" s="35">
        <v>0.0</v>
      </c>
      <c r="DG132" s="35">
        <v>0.0</v>
      </c>
      <c r="DH132" s="35">
        <v>0.0</v>
      </c>
      <c r="DI132" s="35">
        <v>0.0</v>
      </c>
      <c r="DJ132" s="35">
        <v>0.0</v>
      </c>
      <c r="DK132" s="35">
        <v>0.0</v>
      </c>
      <c r="DL132" s="35">
        <v>0.0</v>
      </c>
      <c r="DM132" s="35">
        <v>0.0</v>
      </c>
      <c r="DN132" s="31">
        <v>0.0</v>
      </c>
      <c r="DO132" s="31">
        <v>0.0</v>
      </c>
      <c r="DP132" s="31">
        <v>0.0</v>
      </c>
      <c r="DQ132" s="31">
        <v>0.0</v>
      </c>
      <c r="DR132" s="31">
        <v>0.0</v>
      </c>
      <c r="DS132" s="31">
        <v>0.0</v>
      </c>
      <c r="DT132" s="31">
        <f>'Old Balance Sheet'!AC132</f>
        <v>-2340</v>
      </c>
      <c r="DU132" s="31">
        <f>DT132 + SUMIFS('Payments Log'!D:D, 'Payments Log'!B:B, A132, 'Payments Log'!L:L, "Approved", 'Payments Log'!M:M, "Credit") + 'Old Balance Sheet'!AD132 - 'Old Balance Sheet'!AC132</f>
        <v>1554</v>
      </c>
      <c r="DV132" s="31">
        <f>SUMIFS('Payments Log'!D:D, 'Payments Log'!B:B, A132, 'Payments Log'!L:L, "Approved", 'Payments Log'!M:M, "Adjustment Credit") - SUMIFS('Payments Log'!D:D, 'Payments Log'!B:B, A132, 'Payments Log'!L:L, "Approved", 'Payments Log'!M:M, "Adjustment Debit") + 'Old Balance Sheet'!AE132</f>
        <v>0</v>
      </c>
      <c r="DW132" s="31">
        <f>IF(MAXIFS('Payments Log'!N:N, 'Payments Log'!L:L, "Approved", 'Payments Log'!M:M, "Credit", 'Payments Log'!B:B, A132) &gt; MAXIFS('Payments Log'!N:N, 'Payments Log'!L:L, "Approved", 'Payments Log'!M:M, "Virtual Credit", 'Payments Log'!B:B, A132), 0, SUMIFS('Payments Log'!D:D, 'Payments Log'!N:N, MAXIFS('Payments Log'!N:N, 'Payments Log'!L:L, "Approved", 'Payments Log'!M:M, "Virtual Credit", 'Payments Log'!B:B, A132)))</f>
        <v>0</v>
      </c>
      <c r="DX132" s="33">
        <f t="shared" si="6"/>
        <v>729.15</v>
      </c>
      <c r="DY132" s="33">
        <f t="shared" si="7"/>
        <v>729.15</v>
      </c>
      <c r="DZ132" s="33">
        <f t="shared" si="8"/>
        <v>729.15</v>
      </c>
      <c r="EA132" s="25" t="str">
        <f>(Sheet1!N132)</f>
        <v>Lalit Mohan Sharma</v>
      </c>
      <c r="EB132" s="25" t="str">
        <f>(Sheet1!O132)</f>
        <v>1d-fClpNuQDkiOpgBIcTAkZx1QbsS35V0oPcKli3TAOc</v>
      </c>
      <c r="EC132" s="26" t="str">
        <f>(Sheet1!P132)</f>
        <v>Dealer</v>
      </c>
      <c r="ED132" s="34" t="s">
        <v>13</v>
      </c>
    </row>
    <row r="133">
      <c r="A133" s="25" t="str">
        <f>(Sheet1!A133)</f>
        <v>1whkrB_X-9Od4l-1CkkLvnSLfIwfTyRMI1A3rhlUbkHU</v>
      </c>
      <c r="B133" s="25" t="str">
        <f>(Sheet1!B133)</f>
        <v>Titan Automobiles - Chhattisgarh</v>
      </c>
      <c r="C133" s="30" t="s">
        <v>13</v>
      </c>
      <c r="D133" s="30" t="s">
        <v>72</v>
      </c>
      <c r="E133" s="30" t="s">
        <v>3817</v>
      </c>
      <c r="F133" s="31">
        <v>205.0</v>
      </c>
      <c r="G133" s="32" t="s">
        <v>3818</v>
      </c>
      <c r="H133" s="31">
        <v>100.0</v>
      </c>
      <c r="I133" s="33">
        <f>'Old Balance Sheet'!A133 + 'ACPL Calculations - 1.0'!A133 + 'ACPL Calculations - 2.0'!A133</f>
        <v>0</v>
      </c>
      <c r="J133" s="30" t="s">
        <v>3817</v>
      </c>
      <c r="K133" s="31">
        <v>205.0</v>
      </c>
      <c r="L133" s="32" t="s">
        <v>3818</v>
      </c>
      <c r="M133" s="31">
        <v>100.0</v>
      </c>
      <c r="N133" s="33">
        <f>'Old Balance Sheet'!B133 + 'ACPL Calculations - 1.0'!B133 + 'ACPL Calculations - 2.0'!B133</f>
        <v>0</v>
      </c>
      <c r="O133" s="30" t="s">
        <v>3817</v>
      </c>
      <c r="P133" s="31">
        <v>290.0</v>
      </c>
      <c r="Q133" s="32" t="s">
        <v>3818</v>
      </c>
      <c r="R133" s="31">
        <v>100.0</v>
      </c>
      <c r="S133" s="33">
        <f>'Old Balance Sheet'!C133 + 'ACPL Calculations - 1.0'!C133 + 'ACPL Calculations - 2.0'!C133</f>
        <v>539</v>
      </c>
      <c r="T133" s="30" t="s">
        <v>3817</v>
      </c>
      <c r="U133" s="31">
        <v>375.0</v>
      </c>
      <c r="V133" s="32" t="s">
        <v>3818</v>
      </c>
      <c r="W133" s="31">
        <v>100.0</v>
      </c>
      <c r="X133" s="33">
        <f>'Old Balance Sheet'!D133 + 'ACPL Calculations - 1.0'!D133 + 'ACPL Calculations - 2.0'!D133</f>
        <v>0</v>
      </c>
      <c r="Y133" s="30" t="s">
        <v>3817</v>
      </c>
      <c r="Z133" s="31">
        <v>460.0</v>
      </c>
      <c r="AA133" s="32" t="s">
        <v>3818</v>
      </c>
      <c r="AB133" s="31">
        <v>100.0</v>
      </c>
      <c r="AC133" s="33">
        <f>'Old Balance Sheet'!E133 + 'ACPL Calculations - 1.0'!E133 + 'ACPL Calculations - 2.0'!E133</f>
        <v>0</v>
      </c>
      <c r="AD133" s="30" t="s">
        <v>3817</v>
      </c>
      <c r="AE133" s="34">
        <v>838.99</v>
      </c>
      <c r="AF133" s="32" t="s">
        <v>3818</v>
      </c>
      <c r="AG133" s="31">
        <v>100.0</v>
      </c>
      <c r="AH133" s="33">
        <f>'Old Balance Sheet'!F133 + 'ACPL Calculations - 1.0'!F133 + 'ACPL Calculations - 2.0'!F133</f>
        <v>0</v>
      </c>
      <c r="AI133" s="30" t="s">
        <v>3817</v>
      </c>
      <c r="AJ133" s="31">
        <v>375.0</v>
      </c>
      <c r="AK133" s="32" t="s">
        <v>3818</v>
      </c>
      <c r="AL133" s="31">
        <v>100.0</v>
      </c>
      <c r="AM133" s="33">
        <f>'Old Balance Sheet'!G133 + 'ACPL Calculations - 1.0'!G133 + 'ACPL Calculations - 2.0'!G133</f>
        <v>0</v>
      </c>
      <c r="AN133" s="30" t="s">
        <v>3817</v>
      </c>
      <c r="AO133" s="31">
        <v>290.0</v>
      </c>
      <c r="AP133" s="32" t="s">
        <v>3818</v>
      </c>
      <c r="AQ133" s="31">
        <v>100.0</v>
      </c>
      <c r="AR133" s="33">
        <f>'Old Balance Sheet'!H133 + 'ACPL Calculations - 1.0'!H133 + 'ACPL Calculations - 2.0'!H133</f>
        <v>0</v>
      </c>
      <c r="AS133" s="30" t="s">
        <v>3819</v>
      </c>
      <c r="AT133" s="31">
        <v>838.99</v>
      </c>
      <c r="AU133" s="32" t="s">
        <v>3818</v>
      </c>
      <c r="AV133" s="31">
        <v>100.0</v>
      </c>
      <c r="AW133" s="33">
        <f>'Old Balance Sheet'!I133 + 'ACPL Calculations - 1.0'!I133 + 'ACPL Calculations - 2.0'!I133</f>
        <v>0</v>
      </c>
      <c r="AX133" s="30" t="s">
        <v>3817</v>
      </c>
      <c r="AY133" s="31">
        <v>290.0</v>
      </c>
      <c r="AZ133" s="32" t="s">
        <v>3818</v>
      </c>
      <c r="BA133" s="31">
        <v>100.0</v>
      </c>
      <c r="BB133" s="33">
        <f>'Old Balance Sheet'!J133 + 'ACPL Calculations - 1.0'!J133 + 'ACPL Calculations - 2.0'!J133</f>
        <v>0</v>
      </c>
      <c r="BC133" s="30" t="s">
        <v>3817</v>
      </c>
      <c r="BD133" s="31">
        <v>205.0</v>
      </c>
      <c r="BE133" s="32" t="s">
        <v>3818</v>
      </c>
      <c r="BF133" s="31">
        <v>100.0</v>
      </c>
      <c r="BG133" s="33">
        <f>'Old Balance Sheet'!K133 + 'ACPL Calculations - 1.0'!K133 + 'ACPL Calculations - 2.0'!K133</f>
        <v>0</v>
      </c>
      <c r="BH133" s="30" t="s">
        <v>3817</v>
      </c>
      <c r="BI133" s="31">
        <v>205.0</v>
      </c>
      <c r="BJ133" s="32" t="s">
        <v>3818</v>
      </c>
      <c r="BK133" s="31">
        <v>100.0</v>
      </c>
      <c r="BL133" s="33">
        <f>'Old Balance Sheet'!L133 + 'ACPL Calculations - 1.0'!L133 + 'ACPL Calculations - 2.0'!L133</f>
        <v>0</v>
      </c>
      <c r="BM133" s="33"/>
      <c r="BN133" s="33"/>
      <c r="BO133" s="33"/>
      <c r="BP133" s="33"/>
      <c r="BQ133" s="33"/>
      <c r="BR133" s="33"/>
      <c r="BS133" s="33"/>
      <c r="BT133" s="33"/>
      <c r="BU133" s="33"/>
      <c r="BV133" s="33"/>
      <c r="BW133" s="33"/>
      <c r="BX133" s="33"/>
      <c r="BY133" s="33"/>
      <c r="BZ133" s="33"/>
      <c r="CA133" s="33"/>
      <c r="CB133" s="33"/>
      <c r="CC133" s="33"/>
      <c r="CD133" s="33"/>
      <c r="CE133" s="33"/>
      <c r="CF133" s="33"/>
      <c r="CG133" s="33"/>
      <c r="CH133" s="33"/>
      <c r="CI133" s="33"/>
      <c r="CJ133" s="33"/>
      <c r="CK133" s="33"/>
      <c r="CL133" s="33">
        <f t="shared" si="1"/>
        <v>539</v>
      </c>
      <c r="CM133" s="33">
        <f>'Old Balance Sheet'!R133 + 'ACPL Calculations - 1.0'!S133 + 'ACPL Calculations - 2.0'!S133</f>
        <v>238238</v>
      </c>
      <c r="CN133" s="33">
        <f>'Old Balance Sheet'!S133 + 'ACPL Calculations - 1.0'!T133 + 'ACPL Calculations - 2.0'!T133</f>
        <v>110495</v>
      </c>
      <c r="CO133" s="33">
        <f t="shared" si="2"/>
        <v>146834.38</v>
      </c>
      <c r="CP133" s="33">
        <f>'Old Balance Sheet'!T133 + 'ACPL Calculations - 1.0'!V133 + 'ACPL Calculations - 2.0'!V133</f>
        <v>0</v>
      </c>
      <c r="CQ133" s="33">
        <f>'Old Balance Sheet'!U133 + 'ACPL Calculations - 1.0'!W133 + 'ACPL Calculations - 2.0'!W133</f>
        <v>0</v>
      </c>
      <c r="CR133" s="33">
        <f>'Old Balance Sheet'!V133 + 'ACPL Calculations - 1.0'!X133 + 'ACPL Calculations - 2.0'!X133</f>
        <v>36339.38</v>
      </c>
      <c r="CS133" s="33">
        <f t="shared" si="3"/>
        <v>36339.38</v>
      </c>
      <c r="CT133" s="35"/>
      <c r="CU133" s="35"/>
      <c r="CV133" s="35"/>
      <c r="CW133" s="36">
        <f>'Old Balance Sheet'!W133 + 'ACPL Calculations - 1.0'!Z133 + 'ACPL Calculations - 2.0'!Z133</f>
        <v>152261.58</v>
      </c>
      <c r="CX133" s="36">
        <f>'Old Balance Sheet'!X133 + 'ACPL Calculations - 1.0'!AA133 + 'ACPL Calculations - 2.0'!AA133</f>
        <v>152261.58</v>
      </c>
      <c r="CY133" s="37">
        <v>0.0</v>
      </c>
      <c r="CZ133" s="38">
        <f>'Old Balance Sheet'!Y133 + 'ACPL Calculations - 1.0'!AB133 + 'ACPL Calculations - 2.0'!AB133</f>
        <v>74276.04</v>
      </c>
      <c r="DA133" s="38">
        <f>'Old Balance Sheet'!Z133 + 'ACPL Calculations - 1.0'!AC133 + 'ACPL Calculations - 2.0'!AC133</f>
        <v>85976.42</v>
      </c>
      <c r="DB133" s="38">
        <f>'Old Balance Sheet'!AA133 + 'ACPL Calculations - 1.0'!AD133 + 'ACPL Calculations - 2.0'!AD133</f>
        <v>5427.2</v>
      </c>
      <c r="DC133" s="38">
        <f>'Old Balance Sheet'!AB133 + 'ACPL Calculations - 1.0'!AE133 + 'ACPL Calculations - 2.0'!AE133</f>
        <v>0</v>
      </c>
      <c r="DD133" s="38">
        <f t="shared" si="4"/>
        <v>0</v>
      </c>
      <c r="DE133" s="33">
        <f t="shared" si="5"/>
        <v>0</v>
      </c>
      <c r="DF133" s="35">
        <v>0.0</v>
      </c>
      <c r="DG133" s="35">
        <v>0.0</v>
      </c>
      <c r="DH133" s="35">
        <v>0.0</v>
      </c>
      <c r="DI133" s="35">
        <v>0.0</v>
      </c>
      <c r="DJ133" s="35">
        <v>0.0</v>
      </c>
      <c r="DK133" s="35">
        <v>0.0</v>
      </c>
      <c r="DL133" s="35">
        <v>0.0</v>
      </c>
      <c r="DM133" s="35">
        <v>0.0</v>
      </c>
      <c r="DN133" s="31">
        <v>0.0</v>
      </c>
      <c r="DO133" s="31">
        <v>0.0</v>
      </c>
      <c r="DP133" s="31">
        <v>0.0</v>
      </c>
      <c r="DQ133" s="31">
        <v>0.0</v>
      </c>
      <c r="DR133" s="31">
        <v>0.0</v>
      </c>
      <c r="DS133" s="31">
        <v>0.0</v>
      </c>
      <c r="DT133" s="31">
        <f>'Old Balance Sheet'!AC133</f>
        <v>2430</v>
      </c>
      <c r="DU133" s="31">
        <f>DT133 + SUMIFS('Payments Log'!D:D, 'Payments Log'!B:B, A133, 'Payments Log'!L:L, "Approved", 'Payments Log'!M:M, "Credit") + 'Old Balance Sheet'!AD133 - 'Old Balance Sheet'!AC133</f>
        <v>172430</v>
      </c>
      <c r="DV133" s="31">
        <f>SUMIFS('Payments Log'!D:D, 'Payments Log'!B:B, A133, 'Payments Log'!L:L, "Approved", 'Payments Log'!M:M, "Adjustment Credit") - SUMIFS('Payments Log'!D:D, 'Payments Log'!B:B, A133, 'Payments Log'!L:L, "Approved", 'Payments Log'!M:M, "Adjustment Debit") + 'Old Balance Sheet'!AE133</f>
        <v>0</v>
      </c>
      <c r="DW133" s="31">
        <f>IF(MAXIFS('Payments Log'!N:N, 'Payments Log'!L:L, "Approved", 'Payments Log'!M:M, "Credit", 'Payments Log'!B:B, A133) &gt; MAXIFS('Payments Log'!N:N, 'Payments Log'!L:L, "Approved", 'Payments Log'!M:M, "Virtual Credit", 'Payments Log'!B:B, A133), 0, SUMIFS('Payments Log'!D:D, 'Payments Log'!N:N, MAXIFS('Payments Log'!N:N, 'Payments Log'!L:L, "Approved", 'Payments Log'!M:M, "Virtual Credit", 'Payments Log'!B:B, A133)))</f>
        <v>0</v>
      </c>
      <c r="DX133" s="33">
        <f t="shared" si="6"/>
        <v>20168.42</v>
      </c>
      <c r="DY133" s="33">
        <f t="shared" si="7"/>
        <v>20168.42</v>
      </c>
      <c r="DZ133" s="33">
        <f t="shared" si="8"/>
        <v>20168.42</v>
      </c>
      <c r="EA133" s="25" t="str">
        <f>(Sheet1!N133)</f>
        <v>Titan Automobiles - Chhattisgarh</v>
      </c>
      <c r="EB133" s="25" t="str">
        <f>(Sheet1!O133)</f>
        <v>1whkrB_X-9Od4l-1CkkLvnSLfIwfTyRMI1A3rhlUbkHU</v>
      </c>
      <c r="EC133" s="26" t="str">
        <f>(Sheet1!P133)</f>
        <v>Dealer</v>
      </c>
      <c r="ED133" s="34" t="s">
        <v>13</v>
      </c>
    </row>
    <row r="134">
      <c r="A134" s="25" t="str">
        <f>(Sheet1!A134)</f>
        <v>1R-KBg0YkrorE8DStygYpBSvRKir_GExYWSoR962MR28</v>
      </c>
      <c r="B134" s="25" t="str">
        <f>(Sheet1!B134)</f>
        <v>Infinity Auto - Delhi</v>
      </c>
      <c r="C134" s="30" t="s">
        <v>13</v>
      </c>
      <c r="D134" s="30" t="s">
        <v>72</v>
      </c>
      <c r="E134" s="30" t="s">
        <v>3820</v>
      </c>
      <c r="F134" s="31">
        <v>205.0</v>
      </c>
      <c r="G134" s="32" t="s">
        <v>3818</v>
      </c>
      <c r="H134" s="31">
        <v>100.0</v>
      </c>
      <c r="I134" s="33">
        <f>'Old Balance Sheet'!A134 + 'ACPL Calculations - 1.0'!A134 + 'ACPL Calculations - 2.0'!A134</f>
        <v>0</v>
      </c>
      <c r="J134" s="30" t="s">
        <v>3820</v>
      </c>
      <c r="K134" s="31">
        <v>205.0</v>
      </c>
      <c r="L134" s="32" t="s">
        <v>3818</v>
      </c>
      <c r="M134" s="31">
        <v>100.0</v>
      </c>
      <c r="N134" s="33">
        <f>'Old Balance Sheet'!B134 + 'ACPL Calculations - 1.0'!B134 + 'ACPL Calculations - 2.0'!B134</f>
        <v>0</v>
      </c>
      <c r="O134" s="30" t="s">
        <v>3820</v>
      </c>
      <c r="P134" s="31">
        <v>290.0</v>
      </c>
      <c r="Q134" s="32" t="s">
        <v>3818</v>
      </c>
      <c r="R134" s="31">
        <v>100.0</v>
      </c>
      <c r="S134" s="33">
        <f>'Old Balance Sheet'!C134 + 'ACPL Calculations - 1.0'!C134 + 'ACPL Calculations - 2.0'!C134</f>
        <v>0</v>
      </c>
      <c r="T134" s="30" t="s">
        <v>3820</v>
      </c>
      <c r="U134" s="31">
        <v>375.0</v>
      </c>
      <c r="V134" s="32" t="s">
        <v>3818</v>
      </c>
      <c r="W134" s="31">
        <v>100.0</v>
      </c>
      <c r="X134" s="33">
        <f>'Old Balance Sheet'!D134 + 'ACPL Calculations - 1.0'!D134 + 'ACPL Calculations - 2.0'!D134</f>
        <v>0</v>
      </c>
      <c r="Y134" s="30" t="s">
        <v>3820</v>
      </c>
      <c r="Z134" s="31">
        <v>460.0</v>
      </c>
      <c r="AA134" s="32" t="s">
        <v>3818</v>
      </c>
      <c r="AB134" s="31">
        <v>100.0</v>
      </c>
      <c r="AC134" s="33">
        <f>'Old Balance Sheet'!E134 + 'ACPL Calculations - 1.0'!E134 + 'ACPL Calculations - 2.0'!E134</f>
        <v>0</v>
      </c>
      <c r="AD134" s="30" t="s">
        <v>3820</v>
      </c>
      <c r="AE134" s="34">
        <v>838.99</v>
      </c>
      <c r="AF134" s="32" t="s">
        <v>3818</v>
      </c>
      <c r="AG134" s="31">
        <v>100.0</v>
      </c>
      <c r="AH134" s="33">
        <f>'Old Balance Sheet'!F134 + 'ACPL Calculations - 1.0'!F134 + 'ACPL Calculations - 2.0'!F134</f>
        <v>0</v>
      </c>
      <c r="AI134" s="30" t="s">
        <v>3820</v>
      </c>
      <c r="AJ134" s="31">
        <v>375.0</v>
      </c>
      <c r="AK134" s="32" t="s">
        <v>3818</v>
      </c>
      <c r="AL134" s="31">
        <v>100.0</v>
      </c>
      <c r="AM134" s="33">
        <f>'Old Balance Sheet'!G134 + 'ACPL Calculations - 1.0'!G134 + 'ACPL Calculations - 2.0'!G134</f>
        <v>0</v>
      </c>
      <c r="AN134" s="30" t="s">
        <v>3820</v>
      </c>
      <c r="AO134" s="31">
        <v>290.0</v>
      </c>
      <c r="AP134" s="32" t="s">
        <v>3818</v>
      </c>
      <c r="AQ134" s="31">
        <v>100.0</v>
      </c>
      <c r="AR134" s="33">
        <f>'Old Balance Sheet'!H134 + 'ACPL Calculations - 1.0'!H134 + 'ACPL Calculations - 2.0'!H134</f>
        <v>0</v>
      </c>
      <c r="AS134" s="30" t="s">
        <v>3819</v>
      </c>
      <c r="AT134" s="31">
        <v>838.99</v>
      </c>
      <c r="AU134" s="32" t="s">
        <v>3818</v>
      </c>
      <c r="AV134" s="31">
        <v>100.0</v>
      </c>
      <c r="AW134" s="33">
        <f>'Old Balance Sheet'!I134 + 'ACPL Calculations - 1.0'!I134 + 'ACPL Calculations - 2.0'!I134</f>
        <v>0</v>
      </c>
      <c r="AX134" s="30" t="s">
        <v>3820</v>
      </c>
      <c r="AY134" s="31">
        <v>290.0</v>
      </c>
      <c r="AZ134" s="32" t="s">
        <v>3818</v>
      </c>
      <c r="BA134" s="31">
        <v>100.0</v>
      </c>
      <c r="BB134" s="33">
        <f>'Old Balance Sheet'!J134 + 'ACPL Calculations - 1.0'!J134 + 'ACPL Calculations - 2.0'!J134</f>
        <v>0</v>
      </c>
      <c r="BC134" s="30" t="s">
        <v>3820</v>
      </c>
      <c r="BD134" s="31">
        <v>205.0</v>
      </c>
      <c r="BE134" s="32" t="s">
        <v>3818</v>
      </c>
      <c r="BF134" s="31">
        <v>100.0</v>
      </c>
      <c r="BG134" s="33">
        <f>'Old Balance Sheet'!K134 + 'ACPL Calculations - 1.0'!K134 + 'ACPL Calculations - 2.0'!K134</f>
        <v>0</v>
      </c>
      <c r="BH134" s="30" t="s">
        <v>3820</v>
      </c>
      <c r="BI134" s="31">
        <v>205.0</v>
      </c>
      <c r="BJ134" s="32" t="s">
        <v>3818</v>
      </c>
      <c r="BK134" s="31">
        <v>100.0</v>
      </c>
      <c r="BL134" s="33">
        <f>'Old Balance Sheet'!L134 + 'ACPL Calculations - 1.0'!L134 + 'ACPL Calculations - 2.0'!L134</f>
        <v>0</v>
      </c>
      <c r="BM134" s="33"/>
      <c r="BN134" s="33"/>
      <c r="BO134" s="33"/>
      <c r="BP134" s="33"/>
      <c r="BQ134" s="33"/>
      <c r="BR134" s="33"/>
      <c r="BS134" s="33"/>
      <c r="BT134" s="33"/>
      <c r="BU134" s="33"/>
      <c r="BV134" s="33"/>
      <c r="BW134" s="33"/>
      <c r="BX134" s="33"/>
      <c r="BY134" s="33"/>
      <c r="BZ134" s="33"/>
      <c r="CA134" s="33"/>
      <c r="CB134" s="33"/>
      <c r="CC134" s="33"/>
      <c r="CD134" s="33"/>
      <c r="CE134" s="33"/>
      <c r="CF134" s="33"/>
      <c r="CG134" s="33"/>
      <c r="CH134" s="33"/>
      <c r="CI134" s="33"/>
      <c r="CJ134" s="33"/>
      <c r="CK134" s="33"/>
      <c r="CL134" s="33">
        <f t="shared" si="1"/>
        <v>0</v>
      </c>
      <c r="CM134" s="33">
        <f>'Old Balance Sheet'!R134 + 'ACPL Calculations - 1.0'!S134 + 'ACPL Calculations - 2.0'!S134</f>
        <v>0</v>
      </c>
      <c r="CN134" s="33">
        <f>'Old Balance Sheet'!S134 + 'ACPL Calculations - 1.0'!T134 + 'ACPL Calculations - 2.0'!T134</f>
        <v>0</v>
      </c>
      <c r="CO134" s="33">
        <f t="shared" si="2"/>
        <v>0</v>
      </c>
      <c r="CP134" s="33">
        <f>'Old Balance Sheet'!T134 + 'ACPL Calculations - 1.0'!V134 + 'ACPL Calculations - 2.0'!V134</f>
        <v>0</v>
      </c>
      <c r="CQ134" s="33">
        <f>'Old Balance Sheet'!U134 + 'ACPL Calculations - 1.0'!W134 + 'ACPL Calculations - 2.0'!W134</f>
        <v>0</v>
      </c>
      <c r="CR134" s="33">
        <f>'Old Balance Sheet'!V134 + 'ACPL Calculations - 1.0'!X134 + 'ACPL Calculations - 2.0'!X134</f>
        <v>0</v>
      </c>
      <c r="CS134" s="33">
        <f t="shared" si="3"/>
        <v>0</v>
      </c>
      <c r="CT134" s="35"/>
      <c r="CU134" s="35"/>
      <c r="CV134" s="35"/>
      <c r="CW134" s="36">
        <f>'Old Balance Sheet'!W134 + 'ACPL Calculations - 1.0'!Z134 + 'ACPL Calculations - 2.0'!Z134</f>
        <v>0</v>
      </c>
      <c r="CX134" s="36">
        <f>'Old Balance Sheet'!X134 + 'ACPL Calculations - 1.0'!AA134 + 'ACPL Calculations - 2.0'!AA134</f>
        <v>0</v>
      </c>
      <c r="CY134" s="37">
        <v>0.0</v>
      </c>
      <c r="CZ134" s="38">
        <f>'Old Balance Sheet'!Y134 + 'ACPL Calculations - 1.0'!AB134 + 'ACPL Calculations - 2.0'!AB134</f>
        <v>0</v>
      </c>
      <c r="DA134" s="38">
        <f>'Old Balance Sheet'!Z134 + 'ACPL Calculations - 1.0'!AC134 + 'ACPL Calculations - 2.0'!AC134</f>
        <v>0</v>
      </c>
      <c r="DB134" s="38">
        <f>'Old Balance Sheet'!AA134 + 'ACPL Calculations - 1.0'!AD134 + 'ACPL Calculations - 2.0'!AD134</f>
        <v>0</v>
      </c>
      <c r="DC134" s="38">
        <f>'Old Balance Sheet'!AB134 + 'ACPL Calculations - 1.0'!AE134 + 'ACPL Calculations - 2.0'!AE134</f>
        <v>0</v>
      </c>
      <c r="DD134" s="38">
        <f t="shared" si="4"/>
        <v>0</v>
      </c>
      <c r="DE134" s="33">
        <f t="shared" si="5"/>
        <v>0</v>
      </c>
      <c r="DF134" s="35">
        <v>0.0</v>
      </c>
      <c r="DG134" s="35">
        <v>0.0</v>
      </c>
      <c r="DH134" s="35">
        <v>0.0</v>
      </c>
      <c r="DI134" s="35">
        <v>0.0</v>
      </c>
      <c r="DJ134" s="35">
        <v>0.0</v>
      </c>
      <c r="DK134" s="35">
        <v>0.0</v>
      </c>
      <c r="DL134" s="35">
        <v>0.0</v>
      </c>
      <c r="DM134" s="35">
        <v>0.0</v>
      </c>
      <c r="DN134" s="31">
        <v>0.0</v>
      </c>
      <c r="DO134" s="31">
        <v>0.0</v>
      </c>
      <c r="DP134" s="31">
        <v>0.0</v>
      </c>
      <c r="DQ134" s="31">
        <v>0.0</v>
      </c>
      <c r="DR134" s="31">
        <v>0.0</v>
      </c>
      <c r="DS134" s="31">
        <v>0.0</v>
      </c>
      <c r="DT134" s="31">
        <f>'Old Balance Sheet'!AC134</f>
        <v>0</v>
      </c>
      <c r="DU134" s="31">
        <f>DT134 + SUMIFS('Payments Log'!D:D, 'Payments Log'!B:B, A134, 'Payments Log'!L:L, "Approved", 'Payments Log'!M:M, "Credit") + 'Old Balance Sheet'!AD134 - 'Old Balance Sheet'!AC134</f>
        <v>0</v>
      </c>
      <c r="DV134" s="31">
        <f>SUMIFS('Payments Log'!D:D, 'Payments Log'!B:B, A134, 'Payments Log'!L:L, "Approved", 'Payments Log'!M:M, "Adjustment Credit") - SUMIFS('Payments Log'!D:D, 'Payments Log'!B:B, A134, 'Payments Log'!L:L, "Approved", 'Payments Log'!M:M, "Adjustment Debit") + 'Old Balance Sheet'!AE134</f>
        <v>0</v>
      </c>
      <c r="DW134" s="31">
        <f>IF(MAXIFS('Payments Log'!N:N, 'Payments Log'!L:L, "Approved", 'Payments Log'!M:M, "Credit", 'Payments Log'!B:B, A134) &gt; MAXIFS('Payments Log'!N:N, 'Payments Log'!L:L, "Approved", 'Payments Log'!M:M, "Virtual Credit", 'Payments Log'!B:B, A134), 0, SUMIFS('Payments Log'!D:D, 'Payments Log'!N:N, MAXIFS('Payments Log'!N:N, 'Payments Log'!L:L, "Approved", 'Payments Log'!M:M, "Virtual Credit", 'Payments Log'!B:B, A134)))</f>
        <v>0</v>
      </c>
      <c r="DX134" s="33">
        <f t="shared" si="6"/>
        <v>0</v>
      </c>
      <c r="DY134" s="33">
        <f t="shared" si="7"/>
        <v>0</v>
      </c>
      <c r="DZ134" s="33">
        <f t="shared" si="8"/>
        <v>0</v>
      </c>
      <c r="EA134" s="25" t="str">
        <f>(Sheet1!N134)</f>
        <v>Infinity Auto - Delhi</v>
      </c>
      <c r="EB134" s="25" t="str">
        <f>(Sheet1!O134)</f>
        <v>1R-KBg0YkrorE8DStygYpBSvRKir_GExYWSoR962MR28</v>
      </c>
      <c r="EC134" s="26" t="str">
        <f>(Sheet1!P134)</f>
        <v>Dealer</v>
      </c>
      <c r="ED134" s="34" t="s">
        <v>13</v>
      </c>
    </row>
    <row r="135">
      <c r="A135" s="25" t="str">
        <f>(Sheet1!A135)</f>
        <v>1gpkFkt64SOPtUdTLgYHh3ywX3j8A0gBqJpCUqa9mZ2E</v>
      </c>
      <c r="B135" s="25" t="str">
        <f>(Sheet1!B135)</f>
        <v>Shri Ganga Motors(KAB)- DIWAI</v>
      </c>
      <c r="C135" s="30" t="s">
        <v>13</v>
      </c>
      <c r="D135" s="30" t="s">
        <v>72</v>
      </c>
      <c r="E135" s="30" t="s">
        <v>3819</v>
      </c>
      <c r="F135" s="31">
        <v>155.0</v>
      </c>
      <c r="G135" s="32" t="s">
        <v>3818</v>
      </c>
      <c r="H135" s="31">
        <v>100.0</v>
      </c>
      <c r="I135" s="33">
        <f>'Old Balance Sheet'!A135 + 'ACPL Calculations - 1.0'!A135 + 'ACPL Calculations - 2.0'!A135</f>
        <v>25</v>
      </c>
      <c r="J135" s="30" t="s">
        <v>3819</v>
      </c>
      <c r="K135" s="31">
        <v>155.0</v>
      </c>
      <c r="L135" s="32" t="s">
        <v>3818</v>
      </c>
      <c r="M135" s="31">
        <v>100.0</v>
      </c>
      <c r="N135" s="33">
        <f>'Old Balance Sheet'!B135 + 'ACPL Calculations - 1.0'!B135 + 'ACPL Calculations - 2.0'!B135</f>
        <v>0</v>
      </c>
      <c r="O135" s="30" t="s">
        <v>3819</v>
      </c>
      <c r="P135" s="31">
        <v>155.0</v>
      </c>
      <c r="Q135" s="32" t="s">
        <v>3818</v>
      </c>
      <c r="R135" s="31">
        <v>100.0</v>
      </c>
      <c r="S135" s="33">
        <f>'Old Balance Sheet'!C135 + 'ACPL Calculations - 1.0'!C135 + 'ACPL Calculations - 2.0'!C135</f>
        <v>0</v>
      </c>
      <c r="T135" s="30" t="s">
        <v>3819</v>
      </c>
      <c r="U135" s="31">
        <v>155.0</v>
      </c>
      <c r="V135" s="32" t="s">
        <v>3818</v>
      </c>
      <c r="W135" s="31">
        <v>100.0</v>
      </c>
      <c r="X135" s="33">
        <f>'Old Balance Sheet'!D135 + 'ACPL Calculations - 1.0'!D135 + 'ACPL Calculations - 2.0'!D135</f>
        <v>0</v>
      </c>
      <c r="Y135" s="30" t="s">
        <v>3819</v>
      </c>
      <c r="Z135" s="41">
        <v>155.0</v>
      </c>
      <c r="AA135" s="32" t="s">
        <v>3818</v>
      </c>
      <c r="AB135" s="31">
        <v>100.0</v>
      </c>
      <c r="AC135" s="33">
        <f>'Old Balance Sheet'!E135 + 'ACPL Calculations - 1.0'!E135 + 'ACPL Calculations - 2.0'!E135</f>
        <v>991</v>
      </c>
      <c r="AD135" s="30" t="s">
        <v>3819</v>
      </c>
      <c r="AE135" s="34">
        <v>838.99</v>
      </c>
      <c r="AF135" s="32" t="s">
        <v>3818</v>
      </c>
      <c r="AG135" s="31">
        <v>100.0</v>
      </c>
      <c r="AH135" s="33">
        <f>'Old Balance Sheet'!F135 + 'ACPL Calculations - 1.0'!F135 + 'ACPL Calculations - 2.0'!F135</f>
        <v>0</v>
      </c>
      <c r="AI135" s="30" t="s">
        <v>3819</v>
      </c>
      <c r="AJ135" s="31">
        <v>155.0</v>
      </c>
      <c r="AK135" s="32" t="s">
        <v>3818</v>
      </c>
      <c r="AL135" s="31">
        <v>100.0</v>
      </c>
      <c r="AM135" s="33">
        <f>'Old Balance Sheet'!G135 + 'ACPL Calculations - 1.0'!G135 + 'ACPL Calculations - 2.0'!G135</f>
        <v>0</v>
      </c>
      <c r="AN135" s="30" t="s">
        <v>3819</v>
      </c>
      <c r="AO135" s="31">
        <v>155.0</v>
      </c>
      <c r="AP135" s="32" t="s">
        <v>3818</v>
      </c>
      <c r="AQ135" s="31">
        <v>100.0</v>
      </c>
      <c r="AR135" s="33">
        <f>'Old Balance Sheet'!H135 + 'ACPL Calculations - 1.0'!H135 + 'ACPL Calculations - 2.0'!H135</f>
        <v>0</v>
      </c>
      <c r="AS135" s="30" t="s">
        <v>3819</v>
      </c>
      <c r="AT135" s="31">
        <v>838.99</v>
      </c>
      <c r="AU135" s="32" t="s">
        <v>3818</v>
      </c>
      <c r="AV135" s="31">
        <v>100.0</v>
      </c>
      <c r="AW135" s="33">
        <f>'Old Balance Sheet'!I135 + 'ACPL Calculations - 1.0'!I135 + 'ACPL Calculations - 2.0'!I135</f>
        <v>0</v>
      </c>
      <c r="AX135" s="30" t="s">
        <v>3819</v>
      </c>
      <c r="AY135" s="31">
        <v>155.0</v>
      </c>
      <c r="AZ135" s="32" t="s">
        <v>3818</v>
      </c>
      <c r="BA135" s="31">
        <v>100.0</v>
      </c>
      <c r="BB135" s="33">
        <f>'Old Balance Sheet'!J135 + 'ACPL Calculations - 1.0'!J135 + 'ACPL Calculations - 2.0'!J135</f>
        <v>0</v>
      </c>
      <c r="BC135" s="30" t="s">
        <v>3819</v>
      </c>
      <c r="BD135" s="31">
        <v>155.0</v>
      </c>
      <c r="BE135" s="32" t="s">
        <v>3818</v>
      </c>
      <c r="BF135" s="31">
        <v>100.0</v>
      </c>
      <c r="BG135" s="33">
        <f>'Old Balance Sheet'!K135 + 'ACPL Calculations - 1.0'!K135 + 'ACPL Calculations - 2.0'!K135</f>
        <v>0</v>
      </c>
      <c r="BH135" s="30" t="s">
        <v>3819</v>
      </c>
      <c r="BI135" s="31">
        <v>155.0</v>
      </c>
      <c r="BJ135" s="32" t="s">
        <v>3818</v>
      </c>
      <c r="BK135" s="31">
        <v>100.0</v>
      </c>
      <c r="BL135" s="33">
        <f>'Old Balance Sheet'!L135 + 'ACPL Calculations - 1.0'!L135 + 'ACPL Calculations - 2.0'!L135</f>
        <v>0</v>
      </c>
      <c r="BM135" s="33"/>
      <c r="BN135" s="33"/>
      <c r="BO135" s="33"/>
      <c r="BP135" s="33"/>
      <c r="BQ135" s="33"/>
      <c r="BR135" s="33"/>
      <c r="BS135" s="33"/>
      <c r="BT135" s="33"/>
      <c r="BU135" s="33"/>
      <c r="BV135" s="33"/>
      <c r="BW135" s="33"/>
      <c r="BX135" s="33"/>
      <c r="BY135" s="33"/>
      <c r="BZ135" s="33"/>
      <c r="CA135" s="33"/>
      <c r="CB135" s="33"/>
      <c r="CC135" s="33"/>
      <c r="CD135" s="33"/>
      <c r="CE135" s="33"/>
      <c r="CF135" s="33"/>
      <c r="CG135" s="33"/>
      <c r="CH135" s="33"/>
      <c r="CI135" s="33"/>
      <c r="CJ135" s="33"/>
      <c r="CK135" s="33"/>
      <c r="CL135" s="33">
        <f t="shared" si="1"/>
        <v>1016</v>
      </c>
      <c r="CM135" s="33">
        <f>'Old Balance Sheet'!R135 + 'ACPL Calculations - 1.0'!S135 + 'ACPL Calculations - 2.0'!S135</f>
        <v>320619.9</v>
      </c>
      <c r="CN135" s="33">
        <f>'Old Balance Sheet'!S135 + 'ACPL Calculations - 1.0'!T135 + 'ACPL Calculations - 2.0'!T135</f>
        <v>271711.8</v>
      </c>
      <c r="CO135" s="33">
        <f t="shared" si="2"/>
        <v>320619.9</v>
      </c>
      <c r="CP135" s="33">
        <f>'Old Balance Sheet'!T135 + 'ACPL Calculations - 1.0'!V135 + 'ACPL Calculations - 2.0'!V135</f>
        <v>0</v>
      </c>
      <c r="CQ135" s="33">
        <f>'Old Balance Sheet'!U135 + 'ACPL Calculations - 1.0'!W135 + 'ACPL Calculations - 2.0'!W135</f>
        <v>0</v>
      </c>
      <c r="CR135" s="33">
        <f>'Old Balance Sheet'!V135 + 'ACPL Calculations - 1.0'!X135 + 'ACPL Calculations - 2.0'!X135</f>
        <v>48908.1</v>
      </c>
      <c r="CS135" s="33">
        <f t="shared" si="3"/>
        <v>48908.1</v>
      </c>
      <c r="CT135" s="35"/>
      <c r="CU135" s="35"/>
      <c r="CV135" s="35"/>
      <c r="CW135" s="36">
        <f>'Old Balance Sheet'!W135 + 'ACPL Calculations - 1.0'!Z135 + 'ACPL Calculations - 2.0'!Z135</f>
        <v>0</v>
      </c>
      <c r="CX135" s="36">
        <f>'Old Balance Sheet'!X135 + 'ACPL Calculations - 1.0'!AA135 + 'ACPL Calculations - 2.0'!AA135</f>
        <v>0</v>
      </c>
      <c r="CY135" s="37">
        <v>0.0</v>
      </c>
      <c r="CZ135" s="38">
        <f>'Old Balance Sheet'!Y135 + 'ACPL Calculations - 1.0'!AB135 + 'ACPL Calculations - 2.0'!AB135</f>
        <v>0</v>
      </c>
      <c r="DA135" s="38">
        <f>'Old Balance Sheet'!Z135 + 'ACPL Calculations - 1.0'!AC135 + 'ACPL Calculations - 2.0'!AC135</f>
        <v>0</v>
      </c>
      <c r="DB135" s="38">
        <f>'Old Balance Sheet'!AA135 + 'ACPL Calculations - 1.0'!AD135 + 'ACPL Calculations - 2.0'!AD135</f>
        <v>0</v>
      </c>
      <c r="DC135" s="38">
        <f>'Old Balance Sheet'!AB135 + 'ACPL Calculations - 1.0'!AE135 + 'ACPL Calculations - 2.0'!AE135</f>
        <v>0</v>
      </c>
      <c r="DD135" s="38">
        <f t="shared" si="4"/>
        <v>0</v>
      </c>
      <c r="DE135" s="33">
        <f t="shared" si="5"/>
        <v>0</v>
      </c>
      <c r="DF135" s="35">
        <v>0.0</v>
      </c>
      <c r="DG135" s="35">
        <v>0.0</v>
      </c>
      <c r="DH135" s="35">
        <v>0.0</v>
      </c>
      <c r="DI135" s="35">
        <v>0.0</v>
      </c>
      <c r="DJ135" s="35">
        <v>0.0</v>
      </c>
      <c r="DK135" s="35">
        <v>0.0</v>
      </c>
      <c r="DL135" s="35">
        <v>0.0</v>
      </c>
      <c r="DM135" s="35">
        <v>0.0</v>
      </c>
      <c r="DN135" s="31">
        <v>0.0</v>
      </c>
      <c r="DO135" s="31">
        <v>0.0</v>
      </c>
      <c r="DP135" s="31">
        <v>0.0</v>
      </c>
      <c r="DQ135" s="31">
        <v>0.0</v>
      </c>
      <c r="DR135" s="31">
        <v>0.0</v>
      </c>
      <c r="DS135" s="31">
        <v>0.0</v>
      </c>
      <c r="DT135" s="31">
        <f>'Old Balance Sheet'!AC135</f>
        <v>0</v>
      </c>
      <c r="DU135" s="31">
        <f>DT135 + SUMIFS('Payments Log'!D:D, 'Payments Log'!B:B, A135, 'Payments Log'!L:L, "Approved", 'Payments Log'!M:M, "Credit") + 'Old Balance Sheet'!AD135 - 'Old Balance Sheet'!AC135</f>
        <v>0</v>
      </c>
      <c r="DV135" s="31">
        <f>SUMIFS('Payments Log'!D:D, 'Payments Log'!B:B, A135, 'Payments Log'!L:L, "Approved", 'Payments Log'!M:M, "Adjustment Credit") - SUMIFS('Payments Log'!D:D, 'Payments Log'!B:B, A135, 'Payments Log'!L:L, "Approved", 'Payments Log'!M:M, "Adjustment Debit") + 'Old Balance Sheet'!AE135</f>
        <v>0</v>
      </c>
      <c r="DW135" s="31">
        <f>IF(MAXIFS('Payments Log'!N:N, 'Payments Log'!L:L, "Approved", 'Payments Log'!M:M, "Credit", 'Payments Log'!B:B, A135) &gt; MAXIFS('Payments Log'!N:N, 'Payments Log'!L:L, "Approved", 'Payments Log'!M:M, "Virtual Credit", 'Payments Log'!B:B, A135), 0, SUMIFS('Payments Log'!D:D, 'Payments Log'!N:N, MAXIFS('Payments Log'!N:N, 'Payments Log'!L:L, "Approved", 'Payments Log'!M:M, "Virtual Credit", 'Payments Log'!B:B, A135)))</f>
        <v>0</v>
      </c>
      <c r="DX135" s="33">
        <f t="shared" si="6"/>
        <v>0</v>
      </c>
      <c r="DY135" s="33">
        <f t="shared" si="7"/>
        <v>0</v>
      </c>
      <c r="DZ135" s="33">
        <f t="shared" si="8"/>
        <v>0</v>
      </c>
      <c r="EA135" s="25" t="str">
        <f>(Sheet1!N135)</f>
        <v>Krishna Hero - Bulandshahr</v>
      </c>
      <c r="EB135" s="25" t="str">
        <f>(Sheet1!O135)</f>
        <v>1mX_ZCiMgVCd3AONQ2zBbbc9wQ6Mlj2RvmkSWdpWht-8</v>
      </c>
      <c r="EC135" s="26" t="str">
        <f>(Sheet1!P135)</f>
        <v>Sub Dealer</v>
      </c>
      <c r="ED135" s="34" t="s">
        <v>13</v>
      </c>
    </row>
    <row r="136">
      <c r="A136" s="25" t="str">
        <f>(Sheet1!A136)</f>
        <v>10TVZfWpwLQGjQeNEgYtxUDB0Ff-TAcnqGp35yEFO690</v>
      </c>
      <c r="B136" s="25" t="str">
        <f>(Sheet1!B136)</f>
        <v>Raja Motors (KAB) - Anupshahr</v>
      </c>
      <c r="C136" s="30" t="s">
        <v>13</v>
      </c>
      <c r="D136" s="30" t="s">
        <v>72</v>
      </c>
      <c r="E136" s="30" t="s">
        <v>3819</v>
      </c>
      <c r="F136" s="31">
        <v>155.0</v>
      </c>
      <c r="G136" s="32" t="s">
        <v>3818</v>
      </c>
      <c r="H136" s="31">
        <v>100.0</v>
      </c>
      <c r="I136" s="33">
        <f>'Old Balance Sheet'!A136 + 'ACPL Calculations - 1.0'!A136 + 'ACPL Calculations - 2.0'!A136</f>
        <v>0</v>
      </c>
      <c r="J136" s="30" t="s">
        <v>3819</v>
      </c>
      <c r="K136" s="31">
        <v>155.0</v>
      </c>
      <c r="L136" s="32" t="s">
        <v>3818</v>
      </c>
      <c r="M136" s="31">
        <v>100.0</v>
      </c>
      <c r="N136" s="33">
        <f>'Old Balance Sheet'!B136 + 'ACPL Calculations - 1.0'!B136 + 'ACPL Calculations - 2.0'!B136</f>
        <v>0</v>
      </c>
      <c r="O136" s="30" t="s">
        <v>3819</v>
      </c>
      <c r="P136" s="31">
        <v>155.0</v>
      </c>
      <c r="Q136" s="32" t="s">
        <v>3818</v>
      </c>
      <c r="R136" s="31">
        <v>100.0</v>
      </c>
      <c r="S136" s="33">
        <f>'Old Balance Sheet'!C136 + 'ACPL Calculations - 1.0'!C136 + 'ACPL Calculations - 2.0'!C136</f>
        <v>0</v>
      </c>
      <c r="T136" s="30" t="s">
        <v>3819</v>
      </c>
      <c r="U136" s="31">
        <v>155.0</v>
      </c>
      <c r="V136" s="32" t="s">
        <v>3818</v>
      </c>
      <c r="W136" s="31">
        <v>100.0</v>
      </c>
      <c r="X136" s="33">
        <f>'Old Balance Sheet'!D136 + 'ACPL Calculations - 1.0'!D136 + 'ACPL Calculations - 2.0'!D136</f>
        <v>0</v>
      </c>
      <c r="Y136" s="30" t="s">
        <v>3819</v>
      </c>
      <c r="Z136" s="41">
        <v>155.0</v>
      </c>
      <c r="AA136" s="32" t="s">
        <v>3818</v>
      </c>
      <c r="AB136" s="31">
        <v>100.0</v>
      </c>
      <c r="AC136" s="33">
        <f>'Old Balance Sheet'!E136 + 'ACPL Calculations - 1.0'!E136 + 'ACPL Calculations - 2.0'!E136</f>
        <v>0</v>
      </c>
      <c r="AD136" s="30" t="s">
        <v>3819</v>
      </c>
      <c r="AE136" s="34">
        <v>838.99</v>
      </c>
      <c r="AF136" s="32" t="s">
        <v>3818</v>
      </c>
      <c r="AG136" s="31">
        <v>100.0</v>
      </c>
      <c r="AH136" s="33">
        <f>'Old Balance Sheet'!F136 + 'ACPL Calculations - 1.0'!F136 + 'ACPL Calculations - 2.0'!F136</f>
        <v>0</v>
      </c>
      <c r="AI136" s="30" t="s">
        <v>3819</v>
      </c>
      <c r="AJ136" s="31">
        <v>155.0</v>
      </c>
      <c r="AK136" s="32" t="s">
        <v>3818</v>
      </c>
      <c r="AL136" s="31">
        <v>100.0</v>
      </c>
      <c r="AM136" s="33">
        <f>'Old Balance Sheet'!G136 + 'ACPL Calculations - 1.0'!G136 + 'ACPL Calculations - 2.0'!G136</f>
        <v>0</v>
      </c>
      <c r="AN136" s="30" t="s">
        <v>3819</v>
      </c>
      <c r="AO136" s="31">
        <v>155.0</v>
      </c>
      <c r="AP136" s="32" t="s">
        <v>3818</v>
      </c>
      <c r="AQ136" s="31">
        <v>100.0</v>
      </c>
      <c r="AR136" s="33">
        <f>'Old Balance Sheet'!H136 + 'ACPL Calculations - 1.0'!H136 + 'ACPL Calculations - 2.0'!H136</f>
        <v>0</v>
      </c>
      <c r="AS136" s="30" t="s">
        <v>3819</v>
      </c>
      <c r="AT136" s="31">
        <v>838.99</v>
      </c>
      <c r="AU136" s="32" t="s">
        <v>3818</v>
      </c>
      <c r="AV136" s="31">
        <v>100.0</v>
      </c>
      <c r="AW136" s="33">
        <f>'Old Balance Sheet'!I136 + 'ACPL Calculations - 1.0'!I136 + 'ACPL Calculations - 2.0'!I136</f>
        <v>0</v>
      </c>
      <c r="AX136" s="30" t="s">
        <v>3819</v>
      </c>
      <c r="AY136" s="31">
        <v>155.0</v>
      </c>
      <c r="AZ136" s="32" t="s">
        <v>3818</v>
      </c>
      <c r="BA136" s="31">
        <v>100.0</v>
      </c>
      <c r="BB136" s="33">
        <f>'Old Balance Sheet'!J136 + 'ACPL Calculations - 1.0'!J136 + 'ACPL Calculations - 2.0'!J136</f>
        <v>0</v>
      </c>
      <c r="BC136" s="30" t="s">
        <v>3819</v>
      </c>
      <c r="BD136" s="31">
        <v>155.0</v>
      </c>
      <c r="BE136" s="32" t="s">
        <v>3818</v>
      </c>
      <c r="BF136" s="31">
        <v>100.0</v>
      </c>
      <c r="BG136" s="33">
        <f>'Old Balance Sheet'!K136 + 'ACPL Calculations - 1.0'!K136 + 'ACPL Calculations - 2.0'!K136</f>
        <v>0</v>
      </c>
      <c r="BH136" s="30" t="s">
        <v>3819</v>
      </c>
      <c r="BI136" s="31">
        <v>155.0</v>
      </c>
      <c r="BJ136" s="32" t="s">
        <v>3818</v>
      </c>
      <c r="BK136" s="31">
        <v>100.0</v>
      </c>
      <c r="BL136" s="33">
        <f>'Old Balance Sheet'!L136 + 'ACPL Calculations - 1.0'!L136 + 'ACPL Calculations - 2.0'!L136</f>
        <v>0</v>
      </c>
      <c r="BM136" s="33"/>
      <c r="BN136" s="33"/>
      <c r="BO136" s="33"/>
      <c r="BP136" s="33"/>
      <c r="BQ136" s="33"/>
      <c r="BR136" s="33"/>
      <c r="BS136" s="33"/>
      <c r="BT136" s="33"/>
      <c r="BU136" s="33"/>
      <c r="BV136" s="33"/>
      <c r="BW136" s="33"/>
      <c r="BX136" s="33"/>
      <c r="BY136" s="33"/>
      <c r="BZ136" s="33"/>
      <c r="CA136" s="33"/>
      <c r="CB136" s="33"/>
      <c r="CC136" s="33"/>
      <c r="CD136" s="33"/>
      <c r="CE136" s="33"/>
      <c r="CF136" s="33"/>
      <c r="CG136" s="33"/>
      <c r="CH136" s="33"/>
      <c r="CI136" s="33"/>
      <c r="CJ136" s="33"/>
      <c r="CK136" s="33"/>
      <c r="CL136" s="33">
        <f t="shared" si="1"/>
        <v>0</v>
      </c>
      <c r="CM136" s="33">
        <f>'Old Balance Sheet'!R136 + 'ACPL Calculations - 1.0'!S136 + 'ACPL Calculations - 2.0'!S136</f>
        <v>0</v>
      </c>
      <c r="CN136" s="33">
        <f>'Old Balance Sheet'!S136 + 'ACPL Calculations - 1.0'!T136 + 'ACPL Calculations - 2.0'!T136</f>
        <v>0</v>
      </c>
      <c r="CO136" s="33">
        <f t="shared" si="2"/>
        <v>0</v>
      </c>
      <c r="CP136" s="33">
        <f>'Old Balance Sheet'!T136 + 'ACPL Calculations - 1.0'!V136 + 'ACPL Calculations - 2.0'!V136</f>
        <v>0</v>
      </c>
      <c r="CQ136" s="33">
        <f>'Old Balance Sheet'!U136 + 'ACPL Calculations - 1.0'!W136 + 'ACPL Calculations - 2.0'!W136</f>
        <v>0</v>
      </c>
      <c r="CR136" s="33">
        <f>'Old Balance Sheet'!V136 + 'ACPL Calculations - 1.0'!X136 + 'ACPL Calculations - 2.0'!X136</f>
        <v>0</v>
      </c>
      <c r="CS136" s="33">
        <f t="shared" si="3"/>
        <v>0</v>
      </c>
      <c r="CT136" s="35"/>
      <c r="CU136" s="35"/>
      <c r="CV136" s="35"/>
      <c r="CW136" s="36">
        <f>'Old Balance Sheet'!W136 + 'ACPL Calculations - 1.0'!Z136 + 'ACPL Calculations - 2.0'!Z136</f>
        <v>0</v>
      </c>
      <c r="CX136" s="36">
        <f>'Old Balance Sheet'!X136 + 'ACPL Calculations - 1.0'!AA136 + 'ACPL Calculations - 2.0'!AA136</f>
        <v>0</v>
      </c>
      <c r="CY136" s="37">
        <v>0.0</v>
      </c>
      <c r="CZ136" s="38">
        <f>'Old Balance Sheet'!Y136 + 'ACPL Calculations - 1.0'!AB136 + 'ACPL Calculations - 2.0'!AB136</f>
        <v>0</v>
      </c>
      <c r="DA136" s="38">
        <f>'Old Balance Sheet'!Z136 + 'ACPL Calculations - 1.0'!AC136 + 'ACPL Calculations - 2.0'!AC136</f>
        <v>0</v>
      </c>
      <c r="DB136" s="38">
        <f>'Old Balance Sheet'!AA136 + 'ACPL Calculations - 1.0'!AD136 + 'ACPL Calculations - 2.0'!AD136</f>
        <v>0</v>
      </c>
      <c r="DC136" s="38">
        <f>'Old Balance Sheet'!AB136 + 'ACPL Calculations - 1.0'!AE136 + 'ACPL Calculations - 2.0'!AE136</f>
        <v>0</v>
      </c>
      <c r="DD136" s="38">
        <f t="shared" si="4"/>
        <v>0</v>
      </c>
      <c r="DE136" s="33">
        <f t="shared" si="5"/>
        <v>0</v>
      </c>
      <c r="DF136" s="35">
        <v>0.0</v>
      </c>
      <c r="DG136" s="35">
        <v>0.0</v>
      </c>
      <c r="DH136" s="35">
        <v>0.0</v>
      </c>
      <c r="DI136" s="35">
        <v>0.0</v>
      </c>
      <c r="DJ136" s="35">
        <v>0.0</v>
      </c>
      <c r="DK136" s="35">
        <v>0.0</v>
      </c>
      <c r="DL136" s="35">
        <v>0.0</v>
      </c>
      <c r="DM136" s="35">
        <v>0.0</v>
      </c>
      <c r="DN136" s="31">
        <v>0.0</v>
      </c>
      <c r="DO136" s="31">
        <v>0.0</v>
      </c>
      <c r="DP136" s="31">
        <v>0.0</v>
      </c>
      <c r="DQ136" s="31">
        <v>0.0</v>
      </c>
      <c r="DR136" s="31">
        <v>0.0</v>
      </c>
      <c r="DS136" s="31">
        <v>0.0</v>
      </c>
      <c r="DT136" s="31">
        <f>'Old Balance Sheet'!AC136</f>
        <v>0</v>
      </c>
      <c r="DU136" s="31">
        <f>DT136 + SUMIFS('Payments Log'!D:D, 'Payments Log'!B:B, A136, 'Payments Log'!L:L, "Approved", 'Payments Log'!M:M, "Credit") + 'Old Balance Sheet'!AD136 - 'Old Balance Sheet'!AC136</f>
        <v>0</v>
      </c>
      <c r="DV136" s="31">
        <f>SUMIFS('Payments Log'!D:D, 'Payments Log'!B:B, A136, 'Payments Log'!L:L, "Approved", 'Payments Log'!M:M, "Adjustment Credit") - SUMIFS('Payments Log'!D:D, 'Payments Log'!B:B, A136, 'Payments Log'!L:L, "Approved", 'Payments Log'!M:M, "Adjustment Debit") + 'Old Balance Sheet'!AE136</f>
        <v>0</v>
      </c>
      <c r="DW136" s="31">
        <f>IF(MAXIFS('Payments Log'!N:N, 'Payments Log'!L:L, "Approved", 'Payments Log'!M:M, "Credit", 'Payments Log'!B:B, A136) &gt; MAXIFS('Payments Log'!N:N, 'Payments Log'!L:L, "Approved", 'Payments Log'!M:M, "Virtual Credit", 'Payments Log'!B:B, A136), 0, SUMIFS('Payments Log'!D:D, 'Payments Log'!N:N, MAXIFS('Payments Log'!N:N, 'Payments Log'!L:L, "Approved", 'Payments Log'!M:M, "Virtual Credit", 'Payments Log'!B:B, A136)))</f>
        <v>0</v>
      </c>
      <c r="DX136" s="33">
        <f t="shared" si="6"/>
        <v>0</v>
      </c>
      <c r="DY136" s="33">
        <f t="shared" si="7"/>
        <v>0</v>
      </c>
      <c r="DZ136" s="33">
        <f t="shared" si="8"/>
        <v>0</v>
      </c>
      <c r="EA136" s="25" t="str">
        <f>(Sheet1!N136)</f>
        <v>Krishna Hero - Bulandshahr</v>
      </c>
      <c r="EB136" s="25" t="str">
        <f>(Sheet1!O136)</f>
        <v>1mX_ZCiMgVCd3AONQ2zBbbc9wQ6Mlj2RvmkSWdpWht-8</v>
      </c>
      <c r="EC136" s="26" t="str">
        <f>(Sheet1!P136)</f>
        <v>Sub Dealer</v>
      </c>
      <c r="ED136" s="34" t="s">
        <v>13</v>
      </c>
    </row>
    <row r="137">
      <c r="A137" s="25" t="str">
        <f>(Sheet1!A137)</f>
        <v>1_XLcWBp4ERHFxiaI3kI_QYeTmiuf6jLnvzg57PKGdV4</v>
      </c>
      <c r="B137" s="25" t="str">
        <f>(Sheet1!B137)</f>
        <v>Pandit Automobiles (KAB) - Amargarh</v>
      </c>
      <c r="C137" s="30" t="s">
        <v>13</v>
      </c>
      <c r="D137" s="30" t="s">
        <v>72</v>
      </c>
      <c r="E137" s="30" t="s">
        <v>3819</v>
      </c>
      <c r="F137" s="31">
        <v>155.0</v>
      </c>
      <c r="G137" s="32" t="s">
        <v>3818</v>
      </c>
      <c r="H137" s="31">
        <v>100.0</v>
      </c>
      <c r="I137" s="33">
        <f>'Old Balance Sheet'!A137 + 'ACPL Calculations - 1.0'!A137 + 'ACPL Calculations - 2.0'!A137</f>
        <v>9</v>
      </c>
      <c r="J137" s="30" t="s">
        <v>3819</v>
      </c>
      <c r="K137" s="31">
        <v>155.0</v>
      </c>
      <c r="L137" s="32" t="s">
        <v>3818</v>
      </c>
      <c r="M137" s="31">
        <v>100.0</v>
      </c>
      <c r="N137" s="33">
        <f>'Old Balance Sheet'!B137 + 'ACPL Calculations - 1.0'!B137 + 'ACPL Calculations - 2.0'!B137</f>
        <v>0</v>
      </c>
      <c r="O137" s="30" t="s">
        <v>3819</v>
      </c>
      <c r="P137" s="31">
        <v>155.0</v>
      </c>
      <c r="Q137" s="32" t="s">
        <v>3818</v>
      </c>
      <c r="R137" s="31">
        <v>100.0</v>
      </c>
      <c r="S137" s="33">
        <f>'Old Balance Sheet'!C137 + 'ACPL Calculations - 1.0'!C137 + 'ACPL Calculations - 2.0'!C137</f>
        <v>0</v>
      </c>
      <c r="T137" s="30" t="s">
        <v>3819</v>
      </c>
      <c r="U137" s="31">
        <v>155.0</v>
      </c>
      <c r="V137" s="32" t="s">
        <v>3818</v>
      </c>
      <c r="W137" s="31">
        <v>100.0</v>
      </c>
      <c r="X137" s="33">
        <f>'Old Balance Sheet'!D137 + 'ACPL Calculations - 1.0'!D137 + 'ACPL Calculations - 2.0'!D137</f>
        <v>0</v>
      </c>
      <c r="Y137" s="30" t="s">
        <v>3819</v>
      </c>
      <c r="Z137" s="41">
        <v>155.0</v>
      </c>
      <c r="AA137" s="32" t="s">
        <v>3818</v>
      </c>
      <c r="AB137" s="31">
        <v>100.0</v>
      </c>
      <c r="AC137" s="33">
        <f>'Old Balance Sheet'!E137 + 'ACPL Calculations - 1.0'!E137 + 'ACPL Calculations - 2.0'!E137</f>
        <v>298</v>
      </c>
      <c r="AD137" s="30" t="s">
        <v>3819</v>
      </c>
      <c r="AE137" s="34">
        <v>838.99</v>
      </c>
      <c r="AF137" s="32" t="s">
        <v>3818</v>
      </c>
      <c r="AG137" s="31">
        <v>100.0</v>
      </c>
      <c r="AH137" s="33">
        <f>'Old Balance Sheet'!F137 + 'ACPL Calculations - 1.0'!F137 + 'ACPL Calculations - 2.0'!F137</f>
        <v>0</v>
      </c>
      <c r="AI137" s="30" t="s">
        <v>3819</v>
      </c>
      <c r="AJ137" s="31">
        <v>155.0</v>
      </c>
      <c r="AK137" s="32" t="s">
        <v>3818</v>
      </c>
      <c r="AL137" s="31">
        <v>100.0</v>
      </c>
      <c r="AM137" s="33">
        <f>'Old Balance Sheet'!G137 + 'ACPL Calculations - 1.0'!G137 + 'ACPL Calculations - 2.0'!G137</f>
        <v>0</v>
      </c>
      <c r="AN137" s="30" t="s">
        <v>3819</v>
      </c>
      <c r="AO137" s="31">
        <v>155.0</v>
      </c>
      <c r="AP137" s="32" t="s">
        <v>3818</v>
      </c>
      <c r="AQ137" s="31">
        <v>100.0</v>
      </c>
      <c r="AR137" s="33">
        <f>'Old Balance Sheet'!H137 + 'ACPL Calculations - 1.0'!H137 + 'ACPL Calculations - 2.0'!H137</f>
        <v>0</v>
      </c>
      <c r="AS137" s="30" t="s">
        <v>3819</v>
      </c>
      <c r="AT137" s="31">
        <v>838.99</v>
      </c>
      <c r="AU137" s="32" t="s">
        <v>3818</v>
      </c>
      <c r="AV137" s="31">
        <v>100.0</v>
      </c>
      <c r="AW137" s="33">
        <f>'Old Balance Sheet'!I137 + 'ACPL Calculations - 1.0'!I137 + 'ACPL Calculations - 2.0'!I137</f>
        <v>0</v>
      </c>
      <c r="AX137" s="30" t="s">
        <v>3819</v>
      </c>
      <c r="AY137" s="31">
        <v>155.0</v>
      </c>
      <c r="AZ137" s="32" t="s">
        <v>3818</v>
      </c>
      <c r="BA137" s="31">
        <v>100.0</v>
      </c>
      <c r="BB137" s="33">
        <f>'Old Balance Sheet'!J137 + 'ACPL Calculations - 1.0'!J137 + 'ACPL Calculations - 2.0'!J137</f>
        <v>0</v>
      </c>
      <c r="BC137" s="30" t="s">
        <v>3819</v>
      </c>
      <c r="BD137" s="31">
        <v>155.0</v>
      </c>
      <c r="BE137" s="32" t="s">
        <v>3818</v>
      </c>
      <c r="BF137" s="31">
        <v>100.0</v>
      </c>
      <c r="BG137" s="33">
        <f>'Old Balance Sheet'!K137 + 'ACPL Calculations - 1.0'!K137 + 'ACPL Calculations - 2.0'!K137</f>
        <v>0</v>
      </c>
      <c r="BH137" s="30" t="s">
        <v>3819</v>
      </c>
      <c r="BI137" s="31">
        <v>155.0</v>
      </c>
      <c r="BJ137" s="32" t="s">
        <v>3818</v>
      </c>
      <c r="BK137" s="31">
        <v>100.0</v>
      </c>
      <c r="BL137" s="33">
        <f>'Old Balance Sheet'!L137 + 'ACPL Calculations - 1.0'!L137 + 'ACPL Calculations - 2.0'!L137</f>
        <v>0</v>
      </c>
      <c r="BM137" s="33"/>
      <c r="BN137" s="33"/>
      <c r="BO137" s="33"/>
      <c r="BP137" s="33"/>
      <c r="BQ137" s="33"/>
      <c r="BR137" s="33"/>
      <c r="BS137" s="33"/>
      <c r="BT137" s="33"/>
      <c r="BU137" s="33"/>
      <c r="BV137" s="33"/>
      <c r="BW137" s="33"/>
      <c r="BX137" s="33"/>
      <c r="BY137" s="33"/>
      <c r="BZ137" s="33"/>
      <c r="CA137" s="33"/>
      <c r="CB137" s="33"/>
      <c r="CC137" s="33"/>
      <c r="CD137" s="33"/>
      <c r="CE137" s="33"/>
      <c r="CF137" s="33"/>
      <c r="CG137" s="33"/>
      <c r="CH137" s="33"/>
      <c r="CI137" s="33"/>
      <c r="CJ137" s="33"/>
      <c r="CK137" s="33"/>
      <c r="CL137" s="33">
        <f t="shared" si="1"/>
        <v>307</v>
      </c>
      <c r="CM137" s="33">
        <f>'Old Balance Sheet'!R137 + 'ACPL Calculations - 1.0'!S137 + 'ACPL Calculations - 2.0'!S137</f>
        <v>69362.14</v>
      </c>
      <c r="CN137" s="33">
        <f>'Old Balance Sheet'!S137 + 'ACPL Calculations - 1.0'!T137 + 'ACPL Calculations - 2.0'!T137</f>
        <v>58781.48</v>
      </c>
      <c r="CO137" s="33">
        <f t="shared" si="2"/>
        <v>69362.14</v>
      </c>
      <c r="CP137" s="33">
        <f>'Old Balance Sheet'!T137 + 'ACPL Calculations - 1.0'!V137 + 'ACPL Calculations - 2.0'!V137</f>
        <v>0</v>
      </c>
      <c r="CQ137" s="33">
        <f>'Old Balance Sheet'!U137 + 'ACPL Calculations - 1.0'!W137 + 'ACPL Calculations - 2.0'!W137</f>
        <v>0</v>
      </c>
      <c r="CR137" s="33">
        <f>'Old Balance Sheet'!V137 + 'ACPL Calculations - 1.0'!X137 + 'ACPL Calculations - 2.0'!X137</f>
        <v>10580.66</v>
      </c>
      <c r="CS137" s="33">
        <f t="shared" si="3"/>
        <v>10580.66</v>
      </c>
      <c r="CT137" s="35"/>
      <c r="CU137" s="35"/>
      <c r="CV137" s="35"/>
      <c r="CW137" s="36">
        <f>'Old Balance Sheet'!W137 + 'ACPL Calculations - 1.0'!Z137 + 'ACPL Calculations - 2.0'!Z137</f>
        <v>0</v>
      </c>
      <c r="CX137" s="36">
        <f>'Old Balance Sheet'!X137 + 'ACPL Calculations - 1.0'!AA137 + 'ACPL Calculations - 2.0'!AA137</f>
        <v>0</v>
      </c>
      <c r="CY137" s="37">
        <v>0.0</v>
      </c>
      <c r="CZ137" s="38">
        <f>'Old Balance Sheet'!Y137 + 'ACPL Calculations - 1.0'!AB137 + 'ACPL Calculations - 2.0'!AB137</f>
        <v>0</v>
      </c>
      <c r="DA137" s="38">
        <f>'Old Balance Sheet'!Z137 + 'ACPL Calculations - 1.0'!AC137 + 'ACPL Calculations - 2.0'!AC137</f>
        <v>0</v>
      </c>
      <c r="DB137" s="38">
        <f>'Old Balance Sheet'!AA137 + 'ACPL Calculations - 1.0'!AD137 + 'ACPL Calculations - 2.0'!AD137</f>
        <v>0</v>
      </c>
      <c r="DC137" s="38">
        <f>'Old Balance Sheet'!AB137 + 'ACPL Calculations - 1.0'!AE137 + 'ACPL Calculations - 2.0'!AE137</f>
        <v>0</v>
      </c>
      <c r="DD137" s="38">
        <f t="shared" si="4"/>
        <v>0</v>
      </c>
      <c r="DE137" s="33">
        <f t="shared" si="5"/>
        <v>0</v>
      </c>
      <c r="DF137" s="35">
        <v>0.0</v>
      </c>
      <c r="DG137" s="35">
        <v>0.0</v>
      </c>
      <c r="DH137" s="35">
        <v>0.0</v>
      </c>
      <c r="DI137" s="35">
        <v>0.0</v>
      </c>
      <c r="DJ137" s="35">
        <v>0.0</v>
      </c>
      <c r="DK137" s="35">
        <v>0.0</v>
      </c>
      <c r="DL137" s="35">
        <v>0.0</v>
      </c>
      <c r="DM137" s="35">
        <v>0.0</v>
      </c>
      <c r="DN137" s="31">
        <v>0.0</v>
      </c>
      <c r="DO137" s="31">
        <v>0.0</v>
      </c>
      <c r="DP137" s="31">
        <v>0.0</v>
      </c>
      <c r="DQ137" s="31">
        <v>0.0</v>
      </c>
      <c r="DR137" s="31">
        <v>0.0</v>
      </c>
      <c r="DS137" s="31">
        <v>0.0</v>
      </c>
      <c r="DT137" s="31">
        <f>'Old Balance Sheet'!AC137</f>
        <v>0</v>
      </c>
      <c r="DU137" s="31">
        <f>DT137 + SUMIFS('Payments Log'!D:D, 'Payments Log'!B:B, A137, 'Payments Log'!L:L, "Approved", 'Payments Log'!M:M, "Credit") + 'Old Balance Sheet'!AD137 - 'Old Balance Sheet'!AC137</f>
        <v>0</v>
      </c>
      <c r="DV137" s="31">
        <f>SUMIFS('Payments Log'!D:D, 'Payments Log'!B:B, A137, 'Payments Log'!L:L, "Approved", 'Payments Log'!M:M, "Adjustment Credit") - SUMIFS('Payments Log'!D:D, 'Payments Log'!B:B, A137, 'Payments Log'!L:L, "Approved", 'Payments Log'!M:M, "Adjustment Debit") + 'Old Balance Sheet'!AE137</f>
        <v>0</v>
      </c>
      <c r="DW137" s="31">
        <f>IF(MAXIFS('Payments Log'!N:N, 'Payments Log'!L:L, "Approved", 'Payments Log'!M:M, "Credit", 'Payments Log'!B:B, A137) &gt; MAXIFS('Payments Log'!N:N, 'Payments Log'!L:L, "Approved", 'Payments Log'!M:M, "Virtual Credit", 'Payments Log'!B:B, A137), 0, SUMIFS('Payments Log'!D:D, 'Payments Log'!N:N, MAXIFS('Payments Log'!N:N, 'Payments Log'!L:L, "Approved", 'Payments Log'!M:M, "Virtual Credit", 'Payments Log'!B:B, A137)))</f>
        <v>0</v>
      </c>
      <c r="DX137" s="33">
        <f t="shared" si="6"/>
        <v>0</v>
      </c>
      <c r="DY137" s="33">
        <f t="shared" si="7"/>
        <v>0</v>
      </c>
      <c r="DZ137" s="33">
        <f t="shared" si="8"/>
        <v>0</v>
      </c>
      <c r="EA137" s="25" t="str">
        <f>(Sheet1!N137)</f>
        <v>Krishna Hero - Bulandshahr</v>
      </c>
      <c r="EB137" s="25" t="str">
        <f>(Sheet1!O137)</f>
        <v>1mX_ZCiMgVCd3AONQ2zBbbc9wQ6Mlj2RvmkSWdpWht-8</v>
      </c>
      <c r="EC137" s="26" t="str">
        <f>(Sheet1!P137)</f>
        <v>Sub Dealer</v>
      </c>
      <c r="ED137" s="34" t="s">
        <v>13</v>
      </c>
    </row>
    <row r="138">
      <c r="A138" s="25" t="str">
        <f>(Sheet1!A138)</f>
        <v>1Kqyxw-0LSboMEeSuqYrhFgisXxilEf1M2rD8r466Po0</v>
      </c>
      <c r="B138" s="25" t="str">
        <f>(Sheet1!B138)</f>
        <v>Adesh Automobiles (KAB) - Narora</v>
      </c>
      <c r="C138" s="30" t="s">
        <v>13</v>
      </c>
      <c r="D138" s="30" t="s">
        <v>72</v>
      </c>
      <c r="E138" s="30" t="s">
        <v>3819</v>
      </c>
      <c r="F138" s="31">
        <v>155.0</v>
      </c>
      <c r="G138" s="32" t="s">
        <v>3818</v>
      </c>
      <c r="H138" s="31">
        <v>100.0</v>
      </c>
      <c r="I138" s="33">
        <f>'Old Balance Sheet'!A138 + 'ACPL Calculations - 1.0'!A138 + 'ACPL Calculations - 2.0'!A138</f>
        <v>0</v>
      </c>
      <c r="J138" s="30" t="s">
        <v>3819</v>
      </c>
      <c r="K138" s="31">
        <v>155.0</v>
      </c>
      <c r="L138" s="32" t="s">
        <v>3818</v>
      </c>
      <c r="M138" s="31">
        <v>100.0</v>
      </c>
      <c r="N138" s="33">
        <f>'Old Balance Sheet'!B138 + 'ACPL Calculations - 1.0'!B138 + 'ACPL Calculations - 2.0'!B138</f>
        <v>0</v>
      </c>
      <c r="O138" s="30" t="s">
        <v>3819</v>
      </c>
      <c r="P138" s="31">
        <v>155.0</v>
      </c>
      <c r="Q138" s="32" t="s">
        <v>3818</v>
      </c>
      <c r="R138" s="31">
        <v>100.0</v>
      </c>
      <c r="S138" s="33">
        <f>'Old Balance Sheet'!C138 + 'ACPL Calculations - 1.0'!C138 + 'ACPL Calculations - 2.0'!C138</f>
        <v>0</v>
      </c>
      <c r="T138" s="30" t="s">
        <v>3819</v>
      </c>
      <c r="U138" s="31">
        <v>155.0</v>
      </c>
      <c r="V138" s="32" t="s">
        <v>3818</v>
      </c>
      <c r="W138" s="31">
        <v>100.0</v>
      </c>
      <c r="X138" s="33">
        <f>'Old Balance Sheet'!D138 + 'ACPL Calculations - 1.0'!D138 + 'ACPL Calculations - 2.0'!D138</f>
        <v>0</v>
      </c>
      <c r="Y138" s="30" t="s">
        <v>3819</v>
      </c>
      <c r="Z138" s="41">
        <v>155.0</v>
      </c>
      <c r="AA138" s="32" t="s">
        <v>3818</v>
      </c>
      <c r="AB138" s="31">
        <v>100.0</v>
      </c>
      <c r="AC138" s="33">
        <f>'Old Balance Sheet'!E138 + 'ACPL Calculations - 1.0'!E138 + 'ACPL Calculations - 2.0'!E138</f>
        <v>0</v>
      </c>
      <c r="AD138" s="30" t="s">
        <v>3819</v>
      </c>
      <c r="AE138" s="34">
        <v>838.99</v>
      </c>
      <c r="AF138" s="32" t="s">
        <v>3818</v>
      </c>
      <c r="AG138" s="31">
        <v>100.0</v>
      </c>
      <c r="AH138" s="33">
        <f>'Old Balance Sheet'!F138 + 'ACPL Calculations - 1.0'!F138 + 'ACPL Calculations - 2.0'!F138</f>
        <v>0</v>
      </c>
      <c r="AI138" s="30" t="s">
        <v>3819</v>
      </c>
      <c r="AJ138" s="31">
        <v>155.0</v>
      </c>
      <c r="AK138" s="32" t="s">
        <v>3818</v>
      </c>
      <c r="AL138" s="31">
        <v>100.0</v>
      </c>
      <c r="AM138" s="33">
        <f>'Old Balance Sheet'!G138 + 'ACPL Calculations - 1.0'!G138 + 'ACPL Calculations - 2.0'!G138</f>
        <v>0</v>
      </c>
      <c r="AN138" s="30" t="s">
        <v>3819</v>
      </c>
      <c r="AO138" s="31">
        <v>155.0</v>
      </c>
      <c r="AP138" s="32" t="s">
        <v>3818</v>
      </c>
      <c r="AQ138" s="31">
        <v>100.0</v>
      </c>
      <c r="AR138" s="33">
        <f>'Old Balance Sheet'!H138 + 'ACPL Calculations - 1.0'!H138 + 'ACPL Calculations - 2.0'!H138</f>
        <v>0</v>
      </c>
      <c r="AS138" s="30" t="s">
        <v>3819</v>
      </c>
      <c r="AT138" s="31">
        <v>838.99</v>
      </c>
      <c r="AU138" s="32" t="s">
        <v>3818</v>
      </c>
      <c r="AV138" s="31">
        <v>100.0</v>
      </c>
      <c r="AW138" s="33">
        <f>'Old Balance Sheet'!I138 + 'ACPL Calculations - 1.0'!I138 + 'ACPL Calculations - 2.0'!I138</f>
        <v>0</v>
      </c>
      <c r="AX138" s="30" t="s">
        <v>3819</v>
      </c>
      <c r="AY138" s="31">
        <v>155.0</v>
      </c>
      <c r="AZ138" s="32" t="s">
        <v>3818</v>
      </c>
      <c r="BA138" s="31">
        <v>100.0</v>
      </c>
      <c r="BB138" s="33">
        <f>'Old Balance Sheet'!J138 + 'ACPL Calculations - 1.0'!J138 + 'ACPL Calculations - 2.0'!J138</f>
        <v>0</v>
      </c>
      <c r="BC138" s="30" t="s">
        <v>3819</v>
      </c>
      <c r="BD138" s="31">
        <v>155.0</v>
      </c>
      <c r="BE138" s="32" t="s">
        <v>3818</v>
      </c>
      <c r="BF138" s="31">
        <v>100.0</v>
      </c>
      <c r="BG138" s="33">
        <f>'Old Balance Sheet'!K138 + 'ACPL Calculations - 1.0'!K138 + 'ACPL Calculations - 2.0'!K138</f>
        <v>0</v>
      </c>
      <c r="BH138" s="30" t="s">
        <v>3819</v>
      </c>
      <c r="BI138" s="31">
        <v>155.0</v>
      </c>
      <c r="BJ138" s="32" t="s">
        <v>3818</v>
      </c>
      <c r="BK138" s="31">
        <v>100.0</v>
      </c>
      <c r="BL138" s="33">
        <f>'Old Balance Sheet'!L138 + 'ACPL Calculations - 1.0'!L138 + 'ACPL Calculations - 2.0'!L138</f>
        <v>0</v>
      </c>
      <c r="BM138" s="33"/>
      <c r="BN138" s="33"/>
      <c r="BO138" s="33"/>
      <c r="BP138" s="33"/>
      <c r="BQ138" s="33"/>
      <c r="BR138" s="33"/>
      <c r="BS138" s="33"/>
      <c r="BT138" s="33"/>
      <c r="BU138" s="33"/>
      <c r="BV138" s="33"/>
      <c r="BW138" s="33"/>
      <c r="BX138" s="33"/>
      <c r="BY138" s="33"/>
      <c r="BZ138" s="33"/>
      <c r="CA138" s="33"/>
      <c r="CB138" s="33"/>
      <c r="CC138" s="33"/>
      <c r="CD138" s="33"/>
      <c r="CE138" s="33"/>
      <c r="CF138" s="33"/>
      <c r="CG138" s="33"/>
      <c r="CH138" s="33"/>
      <c r="CI138" s="33"/>
      <c r="CJ138" s="33"/>
      <c r="CK138" s="33"/>
      <c r="CL138" s="33">
        <f t="shared" si="1"/>
        <v>0</v>
      </c>
      <c r="CM138" s="33">
        <f>'Old Balance Sheet'!R138 + 'ACPL Calculations - 1.0'!S138 + 'ACPL Calculations - 2.0'!S138</f>
        <v>0</v>
      </c>
      <c r="CN138" s="33">
        <f>'Old Balance Sheet'!S138 + 'ACPL Calculations - 1.0'!T138 + 'ACPL Calculations - 2.0'!T138</f>
        <v>0</v>
      </c>
      <c r="CO138" s="33">
        <f t="shared" si="2"/>
        <v>0</v>
      </c>
      <c r="CP138" s="33">
        <f>'Old Balance Sheet'!T138 + 'ACPL Calculations - 1.0'!V138 + 'ACPL Calculations - 2.0'!V138</f>
        <v>0</v>
      </c>
      <c r="CQ138" s="33">
        <f>'Old Balance Sheet'!U138 + 'ACPL Calculations - 1.0'!W138 + 'ACPL Calculations - 2.0'!W138</f>
        <v>0</v>
      </c>
      <c r="CR138" s="33">
        <f>'Old Balance Sheet'!V138 + 'ACPL Calculations - 1.0'!X138 + 'ACPL Calculations - 2.0'!X138</f>
        <v>0</v>
      </c>
      <c r="CS138" s="33">
        <f t="shared" si="3"/>
        <v>0</v>
      </c>
      <c r="CT138" s="35"/>
      <c r="CU138" s="35"/>
      <c r="CV138" s="35"/>
      <c r="CW138" s="36">
        <f>'Old Balance Sheet'!W138 + 'ACPL Calculations - 1.0'!Z138 + 'ACPL Calculations - 2.0'!Z138</f>
        <v>0</v>
      </c>
      <c r="CX138" s="36">
        <f>'Old Balance Sheet'!X138 + 'ACPL Calculations - 1.0'!AA138 + 'ACPL Calculations - 2.0'!AA138</f>
        <v>0</v>
      </c>
      <c r="CY138" s="37">
        <v>0.0</v>
      </c>
      <c r="CZ138" s="38">
        <f>'Old Balance Sheet'!Y138 + 'ACPL Calculations - 1.0'!AB138 + 'ACPL Calculations - 2.0'!AB138</f>
        <v>0</v>
      </c>
      <c r="DA138" s="38">
        <f>'Old Balance Sheet'!Z138 + 'ACPL Calculations - 1.0'!AC138 + 'ACPL Calculations - 2.0'!AC138</f>
        <v>0</v>
      </c>
      <c r="DB138" s="38">
        <f>'Old Balance Sheet'!AA138 + 'ACPL Calculations - 1.0'!AD138 + 'ACPL Calculations - 2.0'!AD138</f>
        <v>0</v>
      </c>
      <c r="DC138" s="38">
        <f>'Old Balance Sheet'!AB138 + 'ACPL Calculations - 1.0'!AE138 + 'ACPL Calculations - 2.0'!AE138</f>
        <v>0</v>
      </c>
      <c r="DD138" s="38">
        <f t="shared" si="4"/>
        <v>0</v>
      </c>
      <c r="DE138" s="33">
        <f t="shared" si="5"/>
        <v>0</v>
      </c>
      <c r="DF138" s="35">
        <v>0.0</v>
      </c>
      <c r="DG138" s="35">
        <v>0.0</v>
      </c>
      <c r="DH138" s="35">
        <v>0.0</v>
      </c>
      <c r="DI138" s="35">
        <v>0.0</v>
      </c>
      <c r="DJ138" s="35">
        <v>0.0</v>
      </c>
      <c r="DK138" s="35">
        <v>0.0</v>
      </c>
      <c r="DL138" s="35">
        <v>0.0</v>
      </c>
      <c r="DM138" s="35">
        <v>0.0</v>
      </c>
      <c r="DN138" s="31">
        <v>0.0</v>
      </c>
      <c r="DO138" s="31">
        <v>0.0</v>
      </c>
      <c r="DP138" s="31">
        <v>0.0</v>
      </c>
      <c r="DQ138" s="31">
        <v>0.0</v>
      </c>
      <c r="DR138" s="31">
        <v>0.0</v>
      </c>
      <c r="DS138" s="31">
        <v>0.0</v>
      </c>
      <c r="DT138" s="31">
        <f>'Old Balance Sheet'!AC138</f>
        <v>0</v>
      </c>
      <c r="DU138" s="31">
        <f>DT138 + SUMIFS('Payments Log'!D:D, 'Payments Log'!B:B, A138, 'Payments Log'!L:L, "Approved", 'Payments Log'!M:M, "Credit") + 'Old Balance Sheet'!AD138 - 'Old Balance Sheet'!AC138</f>
        <v>0</v>
      </c>
      <c r="DV138" s="31">
        <f>SUMIFS('Payments Log'!D:D, 'Payments Log'!B:B, A138, 'Payments Log'!L:L, "Approved", 'Payments Log'!M:M, "Adjustment Credit") - SUMIFS('Payments Log'!D:D, 'Payments Log'!B:B, A138, 'Payments Log'!L:L, "Approved", 'Payments Log'!M:M, "Adjustment Debit") + 'Old Balance Sheet'!AE138</f>
        <v>0</v>
      </c>
      <c r="DW138" s="31">
        <f>IF(MAXIFS('Payments Log'!N:N, 'Payments Log'!L:L, "Approved", 'Payments Log'!M:M, "Credit", 'Payments Log'!B:B, A138) &gt; MAXIFS('Payments Log'!N:N, 'Payments Log'!L:L, "Approved", 'Payments Log'!M:M, "Virtual Credit", 'Payments Log'!B:B, A138), 0, SUMIFS('Payments Log'!D:D, 'Payments Log'!N:N, MAXIFS('Payments Log'!N:N, 'Payments Log'!L:L, "Approved", 'Payments Log'!M:M, "Virtual Credit", 'Payments Log'!B:B, A138)))</f>
        <v>0</v>
      </c>
      <c r="DX138" s="33">
        <f t="shared" si="6"/>
        <v>0</v>
      </c>
      <c r="DY138" s="33">
        <f t="shared" si="7"/>
        <v>0</v>
      </c>
      <c r="DZ138" s="33">
        <f t="shared" si="8"/>
        <v>0</v>
      </c>
      <c r="EA138" s="25" t="str">
        <f>(Sheet1!N138)</f>
        <v>Krishna Hero - Bulandshahr</v>
      </c>
      <c r="EB138" s="25" t="str">
        <f>(Sheet1!O138)</f>
        <v>1mX_ZCiMgVCd3AONQ2zBbbc9wQ6Mlj2RvmkSWdpWht-8</v>
      </c>
      <c r="EC138" s="26" t="str">
        <f>(Sheet1!P138)</f>
        <v>Sub Dealer</v>
      </c>
      <c r="ED138" s="34" t="s">
        <v>13</v>
      </c>
    </row>
    <row r="139">
      <c r="A139" s="25" t="str">
        <f>(Sheet1!A139)</f>
        <v>1mPIzaGx8rwte8Mf-mRlb6WTN7sBNGOldRNCSH91K3bY</v>
      </c>
      <c r="B139" s="25" t="str">
        <f>(Sheet1!B139)</f>
        <v>Vikas Motors ( KAB)- JAHANGIRABAD</v>
      </c>
      <c r="C139" s="30" t="s">
        <v>13</v>
      </c>
      <c r="D139" s="30" t="s">
        <v>72</v>
      </c>
      <c r="E139" s="30" t="s">
        <v>3819</v>
      </c>
      <c r="F139" s="31">
        <v>155.0</v>
      </c>
      <c r="G139" s="32" t="s">
        <v>3818</v>
      </c>
      <c r="H139" s="31">
        <v>100.0</v>
      </c>
      <c r="I139" s="33">
        <f>'Old Balance Sheet'!A139 + 'ACPL Calculations - 1.0'!A139 + 'ACPL Calculations - 2.0'!A139</f>
        <v>69</v>
      </c>
      <c r="J139" s="30" t="s">
        <v>3819</v>
      </c>
      <c r="K139" s="31">
        <v>155.0</v>
      </c>
      <c r="L139" s="32" t="s">
        <v>3818</v>
      </c>
      <c r="M139" s="31">
        <v>100.0</v>
      </c>
      <c r="N139" s="33">
        <f>'Old Balance Sheet'!B139 + 'ACPL Calculations - 1.0'!B139 + 'ACPL Calculations - 2.0'!B139</f>
        <v>0</v>
      </c>
      <c r="O139" s="30" t="s">
        <v>3819</v>
      </c>
      <c r="P139" s="31">
        <v>155.0</v>
      </c>
      <c r="Q139" s="32" t="s">
        <v>3818</v>
      </c>
      <c r="R139" s="31">
        <v>100.0</v>
      </c>
      <c r="S139" s="33">
        <f>'Old Balance Sheet'!C139 + 'ACPL Calculations - 1.0'!C139 + 'ACPL Calculations - 2.0'!C139</f>
        <v>0</v>
      </c>
      <c r="T139" s="30" t="s">
        <v>3819</v>
      </c>
      <c r="U139" s="31">
        <v>155.0</v>
      </c>
      <c r="V139" s="32" t="s">
        <v>3818</v>
      </c>
      <c r="W139" s="31">
        <v>100.0</v>
      </c>
      <c r="X139" s="33">
        <f>'Old Balance Sheet'!D139 + 'ACPL Calculations - 1.0'!D139 + 'ACPL Calculations - 2.0'!D139</f>
        <v>0</v>
      </c>
      <c r="Y139" s="30" t="s">
        <v>3819</v>
      </c>
      <c r="Z139" s="41">
        <v>155.0</v>
      </c>
      <c r="AA139" s="32" t="s">
        <v>3818</v>
      </c>
      <c r="AB139" s="31">
        <v>100.0</v>
      </c>
      <c r="AC139" s="33">
        <f>'Old Balance Sheet'!E139 + 'ACPL Calculations - 1.0'!E139 + 'ACPL Calculations - 2.0'!E139</f>
        <v>1729</v>
      </c>
      <c r="AD139" s="30" t="s">
        <v>3819</v>
      </c>
      <c r="AE139" s="34">
        <v>838.99</v>
      </c>
      <c r="AF139" s="32" t="s">
        <v>3818</v>
      </c>
      <c r="AG139" s="31">
        <v>100.0</v>
      </c>
      <c r="AH139" s="33">
        <f>'Old Balance Sheet'!F139 + 'ACPL Calculations - 1.0'!F139 + 'ACPL Calculations - 2.0'!F139</f>
        <v>0</v>
      </c>
      <c r="AI139" s="30" t="s">
        <v>3819</v>
      </c>
      <c r="AJ139" s="31">
        <v>155.0</v>
      </c>
      <c r="AK139" s="32" t="s">
        <v>3818</v>
      </c>
      <c r="AL139" s="31">
        <v>100.0</v>
      </c>
      <c r="AM139" s="33">
        <f>'Old Balance Sheet'!G139 + 'ACPL Calculations - 1.0'!G139 + 'ACPL Calculations - 2.0'!G139</f>
        <v>0</v>
      </c>
      <c r="AN139" s="30" t="s">
        <v>3819</v>
      </c>
      <c r="AO139" s="31">
        <v>155.0</v>
      </c>
      <c r="AP139" s="32" t="s">
        <v>3818</v>
      </c>
      <c r="AQ139" s="31">
        <v>100.0</v>
      </c>
      <c r="AR139" s="33">
        <f>'Old Balance Sheet'!H139 + 'ACPL Calculations - 1.0'!H139 + 'ACPL Calculations - 2.0'!H139</f>
        <v>0</v>
      </c>
      <c r="AS139" s="30" t="s">
        <v>3819</v>
      </c>
      <c r="AT139" s="31">
        <v>838.99</v>
      </c>
      <c r="AU139" s="32" t="s">
        <v>3818</v>
      </c>
      <c r="AV139" s="31">
        <v>100.0</v>
      </c>
      <c r="AW139" s="33">
        <f>'Old Balance Sheet'!I139 + 'ACPL Calculations - 1.0'!I139 + 'ACPL Calculations - 2.0'!I139</f>
        <v>0</v>
      </c>
      <c r="AX139" s="30" t="s">
        <v>3819</v>
      </c>
      <c r="AY139" s="31">
        <v>155.0</v>
      </c>
      <c r="AZ139" s="32" t="s">
        <v>3818</v>
      </c>
      <c r="BA139" s="31">
        <v>100.0</v>
      </c>
      <c r="BB139" s="33">
        <f>'Old Balance Sheet'!J139 + 'ACPL Calculations - 1.0'!J139 + 'ACPL Calculations - 2.0'!J139</f>
        <v>0</v>
      </c>
      <c r="BC139" s="30" t="s">
        <v>3819</v>
      </c>
      <c r="BD139" s="31">
        <v>155.0</v>
      </c>
      <c r="BE139" s="32" t="s">
        <v>3818</v>
      </c>
      <c r="BF139" s="31">
        <v>100.0</v>
      </c>
      <c r="BG139" s="33">
        <f>'Old Balance Sheet'!K139 + 'ACPL Calculations - 1.0'!K139 + 'ACPL Calculations - 2.0'!K139</f>
        <v>0</v>
      </c>
      <c r="BH139" s="30" t="s">
        <v>3819</v>
      </c>
      <c r="BI139" s="31">
        <v>155.0</v>
      </c>
      <c r="BJ139" s="32" t="s">
        <v>3818</v>
      </c>
      <c r="BK139" s="31">
        <v>100.0</v>
      </c>
      <c r="BL139" s="33">
        <f>'Old Balance Sheet'!L139 + 'ACPL Calculations - 1.0'!L139 + 'ACPL Calculations - 2.0'!L139</f>
        <v>0</v>
      </c>
      <c r="BM139" s="33"/>
      <c r="BN139" s="33"/>
      <c r="BO139" s="33"/>
      <c r="BP139" s="33"/>
      <c r="BQ139" s="33"/>
      <c r="BR139" s="33"/>
      <c r="BS139" s="33"/>
      <c r="BT139" s="33"/>
      <c r="BU139" s="33"/>
      <c r="BV139" s="33"/>
      <c r="BW139" s="33"/>
      <c r="BX139" s="33"/>
      <c r="BY139" s="33"/>
      <c r="BZ139" s="33"/>
      <c r="CA139" s="33"/>
      <c r="CB139" s="33"/>
      <c r="CC139" s="33"/>
      <c r="CD139" s="33"/>
      <c r="CE139" s="33"/>
      <c r="CF139" s="33"/>
      <c r="CG139" s="33"/>
      <c r="CH139" s="33"/>
      <c r="CI139" s="33"/>
      <c r="CJ139" s="33"/>
      <c r="CK139" s="33"/>
      <c r="CL139" s="33">
        <f t="shared" si="1"/>
        <v>1798</v>
      </c>
      <c r="CM139" s="33">
        <f>'Old Balance Sheet'!R139 + 'ACPL Calculations - 1.0'!S139 + 'ACPL Calculations - 2.0'!S139</f>
        <v>520276.26</v>
      </c>
      <c r="CN139" s="33">
        <f>'Old Balance Sheet'!S139 + 'ACPL Calculations - 1.0'!T139 + 'ACPL Calculations - 2.0'!T139</f>
        <v>440912.12</v>
      </c>
      <c r="CO139" s="33">
        <f t="shared" si="2"/>
        <v>520276.26</v>
      </c>
      <c r="CP139" s="33">
        <f>'Old Balance Sheet'!T139 + 'ACPL Calculations - 1.0'!V139 + 'ACPL Calculations - 2.0'!V139</f>
        <v>0</v>
      </c>
      <c r="CQ139" s="33">
        <f>'Old Balance Sheet'!U139 + 'ACPL Calculations - 1.0'!W139 + 'ACPL Calculations - 2.0'!W139</f>
        <v>0</v>
      </c>
      <c r="CR139" s="33">
        <f>'Old Balance Sheet'!V139 + 'ACPL Calculations - 1.0'!X139 + 'ACPL Calculations - 2.0'!X139</f>
        <v>79364.14</v>
      </c>
      <c r="CS139" s="33">
        <f t="shared" si="3"/>
        <v>79364.14</v>
      </c>
      <c r="CT139" s="35"/>
      <c r="CU139" s="35"/>
      <c r="CV139" s="35"/>
      <c r="CW139" s="36">
        <f>'Old Balance Sheet'!W139 + 'ACPL Calculations - 1.0'!Z139 + 'ACPL Calculations - 2.0'!Z139</f>
        <v>0</v>
      </c>
      <c r="CX139" s="36">
        <f>'Old Balance Sheet'!X139 + 'ACPL Calculations - 1.0'!AA139 + 'ACPL Calculations - 2.0'!AA139</f>
        <v>0</v>
      </c>
      <c r="CY139" s="37">
        <v>0.0</v>
      </c>
      <c r="CZ139" s="38">
        <f>'Old Balance Sheet'!Y139 + 'ACPL Calculations - 1.0'!AB139 + 'ACPL Calculations - 2.0'!AB139</f>
        <v>0</v>
      </c>
      <c r="DA139" s="38">
        <f>'Old Balance Sheet'!Z139 + 'ACPL Calculations - 1.0'!AC139 + 'ACPL Calculations - 2.0'!AC139</f>
        <v>0</v>
      </c>
      <c r="DB139" s="38">
        <f>'Old Balance Sheet'!AA139 + 'ACPL Calculations - 1.0'!AD139 + 'ACPL Calculations - 2.0'!AD139</f>
        <v>0</v>
      </c>
      <c r="DC139" s="38">
        <f>'Old Balance Sheet'!AB139 + 'ACPL Calculations - 1.0'!AE139 + 'ACPL Calculations - 2.0'!AE139</f>
        <v>0</v>
      </c>
      <c r="DD139" s="38">
        <f t="shared" si="4"/>
        <v>0</v>
      </c>
      <c r="DE139" s="33">
        <f t="shared" si="5"/>
        <v>0</v>
      </c>
      <c r="DF139" s="35">
        <v>0.0</v>
      </c>
      <c r="DG139" s="35">
        <v>0.0</v>
      </c>
      <c r="DH139" s="35">
        <v>0.0</v>
      </c>
      <c r="DI139" s="35">
        <v>0.0</v>
      </c>
      <c r="DJ139" s="35">
        <v>0.0</v>
      </c>
      <c r="DK139" s="35">
        <v>0.0</v>
      </c>
      <c r="DL139" s="35">
        <v>0.0</v>
      </c>
      <c r="DM139" s="35">
        <v>0.0</v>
      </c>
      <c r="DN139" s="31">
        <v>0.0</v>
      </c>
      <c r="DO139" s="31">
        <v>0.0</v>
      </c>
      <c r="DP139" s="31">
        <v>0.0</v>
      </c>
      <c r="DQ139" s="31">
        <v>0.0</v>
      </c>
      <c r="DR139" s="31">
        <v>0.0</v>
      </c>
      <c r="DS139" s="31">
        <v>0.0</v>
      </c>
      <c r="DT139" s="31">
        <f>'Old Balance Sheet'!AC139</f>
        <v>0</v>
      </c>
      <c r="DU139" s="31">
        <f>DT139 + SUMIFS('Payments Log'!D:D, 'Payments Log'!B:B, A139, 'Payments Log'!L:L, "Approved", 'Payments Log'!M:M, "Credit") + 'Old Balance Sheet'!AD139 - 'Old Balance Sheet'!AC139</f>
        <v>0</v>
      </c>
      <c r="DV139" s="31">
        <f>SUMIFS('Payments Log'!D:D, 'Payments Log'!B:B, A139, 'Payments Log'!L:L, "Approved", 'Payments Log'!M:M, "Adjustment Credit") - SUMIFS('Payments Log'!D:D, 'Payments Log'!B:B, A139, 'Payments Log'!L:L, "Approved", 'Payments Log'!M:M, "Adjustment Debit") + 'Old Balance Sheet'!AE139</f>
        <v>0</v>
      </c>
      <c r="DW139" s="31">
        <f>IF(MAXIFS('Payments Log'!N:N, 'Payments Log'!L:L, "Approved", 'Payments Log'!M:M, "Credit", 'Payments Log'!B:B, A139) &gt; MAXIFS('Payments Log'!N:N, 'Payments Log'!L:L, "Approved", 'Payments Log'!M:M, "Virtual Credit", 'Payments Log'!B:B, A139), 0, SUMIFS('Payments Log'!D:D, 'Payments Log'!N:N, MAXIFS('Payments Log'!N:N, 'Payments Log'!L:L, "Approved", 'Payments Log'!M:M, "Virtual Credit", 'Payments Log'!B:B, A139)))</f>
        <v>0</v>
      </c>
      <c r="DX139" s="33">
        <f t="shared" si="6"/>
        <v>0</v>
      </c>
      <c r="DY139" s="33">
        <f t="shared" si="7"/>
        <v>0</v>
      </c>
      <c r="DZ139" s="33">
        <f t="shared" si="8"/>
        <v>0</v>
      </c>
      <c r="EA139" s="25" t="str">
        <f>(Sheet1!N139)</f>
        <v>Krishna Hero - Bulandshahr</v>
      </c>
      <c r="EB139" s="25" t="str">
        <f>(Sheet1!O139)</f>
        <v>1mX_ZCiMgVCd3AONQ2zBbbc9wQ6Mlj2RvmkSWdpWht-8</v>
      </c>
      <c r="EC139" s="26" t="str">
        <f>(Sheet1!P139)</f>
        <v>Sub Dealer</v>
      </c>
      <c r="ED139" s="34" t="s">
        <v>13</v>
      </c>
    </row>
    <row r="140">
      <c r="A140" s="25" t="str">
        <f>(Sheet1!A140)</f>
        <v>1mU9iAGn4-HAQ-mbHBoZ8Bo4zVxOSHvTU8RtHuYSW4cI</v>
      </c>
      <c r="B140" s="25" t="str">
        <f>(Sheet1!B140)</f>
        <v>Sonu Motors(KAB)- AURANGABAD</v>
      </c>
      <c r="C140" s="30" t="s">
        <v>13</v>
      </c>
      <c r="D140" s="30" t="s">
        <v>72</v>
      </c>
      <c r="E140" s="30" t="s">
        <v>3819</v>
      </c>
      <c r="F140" s="31">
        <v>155.0</v>
      </c>
      <c r="G140" s="32" t="s">
        <v>3818</v>
      </c>
      <c r="H140" s="31">
        <v>100.0</v>
      </c>
      <c r="I140" s="33">
        <f>'Old Balance Sheet'!A140 + 'ACPL Calculations - 1.0'!A140 + 'ACPL Calculations - 2.0'!A140</f>
        <v>63</v>
      </c>
      <c r="J140" s="30" t="s">
        <v>3819</v>
      </c>
      <c r="K140" s="31">
        <v>155.0</v>
      </c>
      <c r="L140" s="32" t="s">
        <v>3818</v>
      </c>
      <c r="M140" s="31">
        <v>100.0</v>
      </c>
      <c r="N140" s="33">
        <f>'Old Balance Sheet'!B140 + 'ACPL Calculations - 1.0'!B140 + 'ACPL Calculations - 2.0'!B140</f>
        <v>0</v>
      </c>
      <c r="O140" s="30" t="s">
        <v>3819</v>
      </c>
      <c r="P140" s="31">
        <v>155.0</v>
      </c>
      <c r="Q140" s="32" t="s">
        <v>3818</v>
      </c>
      <c r="R140" s="31">
        <v>100.0</v>
      </c>
      <c r="S140" s="33">
        <f>'Old Balance Sheet'!C140 + 'ACPL Calculations - 1.0'!C140 + 'ACPL Calculations - 2.0'!C140</f>
        <v>2</v>
      </c>
      <c r="T140" s="30" t="s">
        <v>3819</v>
      </c>
      <c r="U140" s="31">
        <v>155.0</v>
      </c>
      <c r="V140" s="32" t="s">
        <v>3818</v>
      </c>
      <c r="W140" s="31">
        <v>100.0</v>
      </c>
      <c r="X140" s="33">
        <f>'Old Balance Sheet'!D140 + 'ACPL Calculations - 1.0'!D140 + 'ACPL Calculations - 2.0'!D140</f>
        <v>0</v>
      </c>
      <c r="Y140" s="30" t="s">
        <v>3819</v>
      </c>
      <c r="Z140" s="41">
        <v>155.0</v>
      </c>
      <c r="AA140" s="32" t="s">
        <v>3818</v>
      </c>
      <c r="AB140" s="31">
        <v>100.0</v>
      </c>
      <c r="AC140" s="33">
        <f>'Old Balance Sheet'!E140 + 'ACPL Calculations - 1.0'!E140 + 'ACPL Calculations - 2.0'!E140</f>
        <v>619</v>
      </c>
      <c r="AD140" s="30" t="s">
        <v>3819</v>
      </c>
      <c r="AE140" s="34">
        <v>838.99</v>
      </c>
      <c r="AF140" s="32" t="s">
        <v>3818</v>
      </c>
      <c r="AG140" s="31">
        <v>100.0</v>
      </c>
      <c r="AH140" s="33">
        <f>'Old Balance Sheet'!F140 + 'ACPL Calculations - 1.0'!F140 + 'ACPL Calculations - 2.0'!F140</f>
        <v>0</v>
      </c>
      <c r="AI140" s="30" t="s">
        <v>3819</v>
      </c>
      <c r="AJ140" s="31">
        <v>155.0</v>
      </c>
      <c r="AK140" s="32" t="s">
        <v>3818</v>
      </c>
      <c r="AL140" s="31">
        <v>100.0</v>
      </c>
      <c r="AM140" s="33">
        <f>'Old Balance Sheet'!G140 + 'ACPL Calculations - 1.0'!G140 + 'ACPL Calculations - 2.0'!G140</f>
        <v>0</v>
      </c>
      <c r="AN140" s="30" t="s">
        <v>3819</v>
      </c>
      <c r="AO140" s="31">
        <v>155.0</v>
      </c>
      <c r="AP140" s="32" t="s">
        <v>3818</v>
      </c>
      <c r="AQ140" s="31">
        <v>100.0</v>
      </c>
      <c r="AR140" s="33">
        <f>'Old Balance Sheet'!H140 + 'ACPL Calculations - 1.0'!H140 + 'ACPL Calculations - 2.0'!H140</f>
        <v>0</v>
      </c>
      <c r="AS140" s="30" t="s">
        <v>3819</v>
      </c>
      <c r="AT140" s="31">
        <v>838.99</v>
      </c>
      <c r="AU140" s="32" t="s">
        <v>3818</v>
      </c>
      <c r="AV140" s="31">
        <v>100.0</v>
      </c>
      <c r="AW140" s="33">
        <f>'Old Balance Sheet'!I140 + 'ACPL Calculations - 1.0'!I140 + 'ACPL Calculations - 2.0'!I140</f>
        <v>0</v>
      </c>
      <c r="AX140" s="30" t="s">
        <v>3819</v>
      </c>
      <c r="AY140" s="31">
        <v>155.0</v>
      </c>
      <c r="AZ140" s="32" t="s">
        <v>3818</v>
      </c>
      <c r="BA140" s="31">
        <v>100.0</v>
      </c>
      <c r="BB140" s="33">
        <f>'Old Balance Sheet'!J140 + 'ACPL Calculations - 1.0'!J140 + 'ACPL Calculations - 2.0'!J140</f>
        <v>0</v>
      </c>
      <c r="BC140" s="30" t="s">
        <v>3819</v>
      </c>
      <c r="BD140" s="31">
        <v>155.0</v>
      </c>
      <c r="BE140" s="32" t="s">
        <v>3818</v>
      </c>
      <c r="BF140" s="31">
        <v>100.0</v>
      </c>
      <c r="BG140" s="33">
        <f>'Old Balance Sheet'!K140 + 'ACPL Calculations - 1.0'!K140 + 'ACPL Calculations - 2.0'!K140</f>
        <v>0</v>
      </c>
      <c r="BH140" s="30" t="s">
        <v>3819</v>
      </c>
      <c r="BI140" s="31">
        <v>155.0</v>
      </c>
      <c r="BJ140" s="32" t="s">
        <v>3818</v>
      </c>
      <c r="BK140" s="31">
        <v>100.0</v>
      </c>
      <c r="BL140" s="33">
        <f>'Old Balance Sheet'!L140 + 'ACPL Calculations - 1.0'!L140 + 'ACPL Calculations - 2.0'!L140</f>
        <v>0</v>
      </c>
      <c r="BM140" s="33"/>
      <c r="BN140" s="33"/>
      <c r="BO140" s="33"/>
      <c r="BP140" s="33"/>
      <c r="BQ140" s="33"/>
      <c r="BR140" s="33"/>
      <c r="BS140" s="33"/>
      <c r="BT140" s="33"/>
      <c r="BU140" s="33"/>
      <c r="BV140" s="33"/>
      <c r="BW140" s="33"/>
      <c r="BX140" s="33"/>
      <c r="BY140" s="33"/>
      <c r="BZ140" s="33"/>
      <c r="CA140" s="33"/>
      <c r="CB140" s="33"/>
      <c r="CC140" s="33"/>
      <c r="CD140" s="33"/>
      <c r="CE140" s="33"/>
      <c r="CF140" s="33"/>
      <c r="CG140" s="33"/>
      <c r="CH140" s="33"/>
      <c r="CI140" s="33"/>
      <c r="CJ140" s="33"/>
      <c r="CK140" s="33"/>
      <c r="CL140" s="33">
        <f t="shared" si="1"/>
        <v>684</v>
      </c>
      <c r="CM140" s="33">
        <f>'Old Balance Sheet'!R140 + 'ACPL Calculations - 1.0'!S140 + 'ACPL Calculations - 2.0'!S140</f>
        <v>194809.68</v>
      </c>
      <c r="CN140" s="33">
        <f>'Old Balance Sheet'!S140 + 'ACPL Calculations - 1.0'!T140 + 'ACPL Calculations - 2.0'!T140</f>
        <v>165092.96</v>
      </c>
      <c r="CO140" s="33">
        <f t="shared" si="2"/>
        <v>194809.68</v>
      </c>
      <c r="CP140" s="33">
        <f>'Old Balance Sheet'!T140 + 'ACPL Calculations - 1.0'!V140 + 'ACPL Calculations - 2.0'!V140</f>
        <v>0</v>
      </c>
      <c r="CQ140" s="33">
        <f>'Old Balance Sheet'!U140 + 'ACPL Calculations - 1.0'!W140 + 'ACPL Calculations - 2.0'!W140</f>
        <v>0</v>
      </c>
      <c r="CR140" s="33">
        <f>'Old Balance Sheet'!V140 + 'ACPL Calculations - 1.0'!X140 + 'ACPL Calculations - 2.0'!X140</f>
        <v>29716.72</v>
      </c>
      <c r="CS140" s="33">
        <f t="shared" si="3"/>
        <v>29716.72</v>
      </c>
      <c r="CT140" s="35"/>
      <c r="CU140" s="35"/>
      <c r="CV140" s="35"/>
      <c r="CW140" s="36">
        <f>'Old Balance Sheet'!W140 + 'ACPL Calculations - 1.0'!Z140 + 'ACPL Calculations - 2.0'!Z140</f>
        <v>0</v>
      </c>
      <c r="CX140" s="36">
        <f>'Old Balance Sheet'!X140 + 'ACPL Calculations - 1.0'!AA140 + 'ACPL Calculations - 2.0'!AA140</f>
        <v>0</v>
      </c>
      <c r="CY140" s="37">
        <v>0.0</v>
      </c>
      <c r="CZ140" s="38">
        <f>'Old Balance Sheet'!Y140 + 'ACPL Calculations - 1.0'!AB140 + 'ACPL Calculations - 2.0'!AB140</f>
        <v>0</v>
      </c>
      <c r="DA140" s="38">
        <f>'Old Balance Sheet'!Z140 + 'ACPL Calculations - 1.0'!AC140 + 'ACPL Calculations - 2.0'!AC140</f>
        <v>0</v>
      </c>
      <c r="DB140" s="38">
        <f>'Old Balance Sheet'!AA140 + 'ACPL Calculations - 1.0'!AD140 + 'ACPL Calculations - 2.0'!AD140</f>
        <v>0</v>
      </c>
      <c r="DC140" s="38">
        <f>'Old Balance Sheet'!AB140 + 'ACPL Calculations - 1.0'!AE140 + 'ACPL Calculations - 2.0'!AE140</f>
        <v>0</v>
      </c>
      <c r="DD140" s="38">
        <f t="shared" si="4"/>
        <v>0</v>
      </c>
      <c r="DE140" s="33">
        <f t="shared" si="5"/>
        <v>0</v>
      </c>
      <c r="DF140" s="35">
        <v>0.0</v>
      </c>
      <c r="DG140" s="35">
        <v>0.0</v>
      </c>
      <c r="DH140" s="35">
        <v>0.0</v>
      </c>
      <c r="DI140" s="35">
        <v>0.0</v>
      </c>
      <c r="DJ140" s="35">
        <v>0.0</v>
      </c>
      <c r="DK140" s="35">
        <v>0.0</v>
      </c>
      <c r="DL140" s="35">
        <v>0.0</v>
      </c>
      <c r="DM140" s="35">
        <v>0.0</v>
      </c>
      <c r="DN140" s="31">
        <v>0.0</v>
      </c>
      <c r="DO140" s="31">
        <v>0.0</v>
      </c>
      <c r="DP140" s="31">
        <v>0.0</v>
      </c>
      <c r="DQ140" s="31">
        <v>0.0</v>
      </c>
      <c r="DR140" s="31">
        <v>0.0</v>
      </c>
      <c r="DS140" s="31">
        <v>0.0</v>
      </c>
      <c r="DT140" s="31">
        <f>'Old Balance Sheet'!AC140</f>
        <v>0</v>
      </c>
      <c r="DU140" s="31">
        <f>DT140 + SUMIFS('Payments Log'!D:D, 'Payments Log'!B:B, A140, 'Payments Log'!L:L, "Approved", 'Payments Log'!M:M, "Credit") + 'Old Balance Sheet'!AD140 - 'Old Balance Sheet'!AC140</f>
        <v>0</v>
      </c>
      <c r="DV140" s="31">
        <f>SUMIFS('Payments Log'!D:D, 'Payments Log'!B:B, A140, 'Payments Log'!L:L, "Approved", 'Payments Log'!M:M, "Adjustment Credit") - SUMIFS('Payments Log'!D:D, 'Payments Log'!B:B, A140, 'Payments Log'!L:L, "Approved", 'Payments Log'!M:M, "Adjustment Debit") + 'Old Balance Sheet'!AE140</f>
        <v>0</v>
      </c>
      <c r="DW140" s="31">
        <f>IF(MAXIFS('Payments Log'!N:N, 'Payments Log'!L:L, "Approved", 'Payments Log'!M:M, "Credit", 'Payments Log'!B:B, A140) &gt; MAXIFS('Payments Log'!N:N, 'Payments Log'!L:L, "Approved", 'Payments Log'!M:M, "Virtual Credit", 'Payments Log'!B:B, A140), 0, SUMIFS('Payments Log'!D:D, 'Payments Log'!N:N, MAXIFS('Payments Log'!N:N, 'Payments Log'!L:L, "Approved", 'Payments Log'!M:M, "Virtual Credit", 'Payments Log'!B:B, A140)))</f>
        <v>0</v>
      </c>
      <c r="DX140" s="33">
        <f t="shared" si="6"/>
        <v>0</v>
      </c>
      <c r="DY140" s="33">
        <f t="shared" si="7"/>
        <v>0</v>
      </c>
      <c r="DZ140" s="33">
        <f t="shared" si="8"/>
        <v>0</v>
      </c>
      <c r="EA140" s="25" t="str">
        <f>(Sheet1!N140)</f>
        <v>Krishna Hero - Bulandshahr</v>
      </c>
      <c r="EB140" s="25" t="str">
        <f>(Sheet1!O140)</f>
        <v>1mX_ZCiMgVCd3AONQ2zBbbc9wQ6Mlj2RvmkSWdpWht-8</v>
      </c>
      <c r="EC140" s="26" t="str">
        <f>(Sheet1!P140)</f>
        <v>Sub Dealer</v>
      </c>
      <c r="ED140" s="34" t="s">
        <v>13</v>
      </c>
    </row>
    <row r="141">
      <c r="A141" s="25" t="str">
        <f>(Sheet1!A141)</f>
        <v>1eadD90u_QHYWVVLEumQCr0hMVIKVxHEKRn2KsZZbuqc</v>
      </c>
      <c r="B141" s="25" t="str">
        <f>(Sheet1!B141)</f>
        <v>AMAN HERO - GHAZIABAD</v>
      </c>
      <c r="C141" s="30" t="s">
        <v>13</v>
      </c>
      <c r="D141" s="30" t="s">
        <v>72</v>
      </c>
      <c r="E141" s="30" t="s">
        <v>3820</v>
      </c>
      <c r="F141" s="31">
        <v>205.0</v>
      </c>
      <c r="G141" s="32" t="s">
        <v>3818</v>
      </c>
      <c r="H141" s="31">
        <v>100.0</v>
      </c>
      <c r="I141" s="33">
        <f>'Old Balance Sheet'!A141 + 'ACPL Calculations - 1.0'!A141 + 'ACPL Calculations - 2.0'!A141</f>
        <v>57</v>
      </c>
      <c r="J141" s="30" t="s">
        <v>3820</v>
      </c>
      <c r="K141" s="31">
        <v>205.0</v>
      </c>
      <c r="L141" s="32" t="s">
        <v>3818</v>
      </c>
      <c r="M141" s="31">
        <v>100.0</v>
      </c>
      <c r="N141" s="33">
        <f>'Old Balance Sheet'!B141 + 'ACPL Calculations - 1.0'!B141 + 'ACPL Calculations - 2.0'!B141</f>
        <v>0</v>
      </c>
      <c r="O141" s="30" t="s">
        <v>3820</v>
      </c>
      <c r="P141" s="31">
        <v>290.0</v>
      </c>
      <c r="Q141" s="32" t="s">
        <v>3818</v>
      </c>
      <c r="R141" s="31">
        <v>100.0</v>
      </c>
      <c r="S141" s="33">
        <f>'Old Balance Sheet'!C141 + 'ACPL Calculations - 1.0'!C141 + 'ACPL Calculations - 2.0'!C141</f>
        <v>0</v>
      </c>
      <c r="T141" s="30" t="s">
        <v>3820</v>
      </c>
      <c r="U141" s="31">
        <v>375.0</v>
      </c>
      <c r="V141" s="32" t="s">
        <v>3818</v>
      </c>
      <c r="W141" s="31">
        <v>100.0</v>
      </c>
      <c r="X141" s="33">
        <f>'Old Balance Sheet'!D141 + 'ACPL Calculations - 1.0'!D141 + 'ACPL Calculations - 2.0'!D141</f>
        <v>0</v>
      </c>
      <c r="Y141" s="30" t="s">
        <v>3820</v>
      </c>
      <c r="Z141" s="31">
        <v>460.0</v>
      </c>
      <c r="AA141" s="32" t="s">
        <v>3818</v>
      </c>
      <c r="AB141" s="31">
        <v>100.0</v>
      </c>
      <c r="AC141" s="33">
        <f>'Old Balance Sheet'!E141 + 'ACPL Calculations - 1.0'!E141 + 'ACPL Calculations - 2.0'!E141</f>
        <v>0</v>
      </c>
      <c r="AD141" s="30" t="s">
        <v>3820</v>
      </c>
      <c r="AE141" s="34">
        <v>838.99</v>
      </c>
      <c r="AF141" s="32" t="s">
        <v>3818</v>
      </c>
      <c r="AG141" s="31">
        <v>100.0</v>
      </c>
      <c r="AH141" s="33">
        <f>'Old Balance Sheet'!F141 + 'ACPL Calculations - 1.0'!F141 + 'ACPL Calculations - 2.0'!F141</f>
        <v>0</v>
      </c>
      <c r="AI141" s="30" t="s">
        <v>3820</v>
      </c>
      <c r="AJ141" s="31">
        <v>375.0</v>
      </c>
      <c r="AK141" s="32" t="s">
        <v>3818</v>
      </c>
      <c r="AL141" s="31">
        <v>100.0</v>
      </c>
      <c r="AM141" s="33">
        <f>'Old Balance Sheet'!G141 + 'ACPL Calculations - 1.0'!G141 + 'ACPL Calculations - 2.0'!G141</f>
        <v>0</v>
      </c>
      <c r="AN141" s="30" t="s">
        <v>3820</v>
      </c>
      <c r="AO141" s="31">
        <v>290.0</v>
      </c>
      <c r="AP141" s="32" t="s">
        <v>3818</v>
      </c>
      <c r="AQ141" s="31">
        <v>100.0</v>
      </c>
      <c r="AR141" s="33">
        <f>'Old Balance Sheet'!H141 + 'ACPL Calculations - 1.0'!H141 + 'ACPL Calculations - 2.0'!H141</f>
        <v>0</v>
      </c>
      <c r="AS141" s="30" t="s">
        <v>3819</v>
      </c>
      <c r="AT141" s="31">
        <v>838.99</v>
      </c>
      <c r="AU141" s="32" t="s">
        <v>3818</v>
      </c>
      <c r="AV141" s="31">
        <v>100.0</v>
      </c>
      <c r="AW141" s="33">
        <f>'Old Balance Sheet'!I141 + 'ACPL Calculations - 1.0'!I141 + 'ACPL Calculations - 2.0'!I141</f>
        <v>0</v>
      </c>
      <c r="AX141" s="30" t="s">
        <v>3820</v>
      </c>
      <c r="AY141" s="31">
        <v>290.0</v>
      </c>
      <c r="AZ141" s="32" t="s">
        <v>3818</v>
      </c>
      <c r="BA141" s="31">
        <v>100.0</v>
      </c>
      <c r="BB141" s="33">
        <f>'Old Balance Sheet'!J141 + 'ACPL Calculations - 1.0'!J141 + 'ACPL Calculations - 2.0'!J141</f>
        <v>0</v>
      </c>
      <c r="BC141" s="30" t="s">
        <v>3820</v>
      </c>
      <c r="BD141" s="31">
        <v>205.0</v>
      </c>
      <c r="BE141" s="32" t="s">
        <v>3818</v>
      </c>
      <c r="BF141" s="31">
        <v>100.0</v>
      </c>
      <c r="BG141" s="33">
        <f>'Old Balance Sheet'!K141 + 'ACPL Calculations - 1.0'!K141 + 'ACPL Calculations - 2.0'!K141</f>
        <v>0</v>
      </c>
      <c r="BH141" s="30" t="s">
        <v>3820</v>
      </c>
      <c r="BI141" s="31">
        <v>205.0</v>
      </c>
      <c r="BJ141" s="32" t="s">
        <v>3818</v>
      </c>
      <c r="BK141" s="31">
        <v>100.0</v>
      </c>
      <c r="BL141" s="33">
        <f>'Old Balance Sheet'!L141 + 'ACPL Calculations - 1.0'!L141 + 'ACPL Calculations - 2.0'!L141</f>
        <v>0</v>
      </c>
      <c r="BM141" s="33"/>
      <c r="BN141" s="33"/>
      <c r="BO141" s="33"/>
      <c r="BP141" s="33"/>
      <c r="BQ141" s="33"/>
      <c r="BR141" s="33"/>
      <c r="BS141" s="33"/>
      <c r="BT141" s="33"/>
      <c r="BU141" s="33"/>
      <c r="BV141" s="33"/>
      <c r="BW141" s="33"/>
      <c r="BX141" s="33"/>
      <c r="BY141" s="33"/>
      <c r="BZ141" s="33"/>
      <c r="CA141" s="33"/>
      <c r="CB141" s="33"/>
      <c r="CC141" s="33"/>
      <c r="CD141" s="33"/>
      <c r="CE141" s="33"/>
      <c r="CF141" s="33"/>
      <c r="CG141" s="33"/>
      <c r="CH141" s="33"/>
      <c r="CI141" s="33"/>
      <c r="CJ141" s="33"/>
      <c r="CK141" s="33"/>
      <c r="CL141" s="33">
        <f t="shared" si="1"/>
        <v>57</v>
      </c>
      <c r="CM141" s="33">
        <f>'Old Balance Sheet'!R141 + 'ACPL Calculations - 1.0'!S141 + 'ACPL Calculations - 2.0'!S141</f>
        <v>25570</v>
      </c>
      <c r="CN141" s="33">
        <f>'Old Balance Sheet'!S141 + 'ACPL Calculations - 1.0'!T141 + 'ACPL Calculations - 2.0'!T141</f>
        <v>11685</v>
      </c>
      <c r="CO141" s="33">
        <f t="shared" si="2"/>
        <v>15585.38</v>
      </c>
      <c r="CP141" s="33">
        <f>'Old Balance Sheet'!T141 + 'ACPL Calculations - 1.0'!V141 + 'ACPL Calculations - 2.0'!V141</f>
        <v>0</v>
      </c>
      <c r="CQ141" s="33">
        <f>'Old Balance Sheet'!U141 + 'ACPL Calculations - 1.0'!W141 + 'ACPL Calculations - 2.0'!W141</f>
        <v>0</v>
      </c>
      <c r="CR141" s="33">
        <f>'Old Balance Sheet'!V141 + 'ACPL Calculations - 1.0'!X141 + 'ACPL Calculations - 2.0'!X141</f>
        <v>3900.38</v>
      </c>
      <c r="CS141" s="33">
        <f t="shared" si="3"/>
        <v>3900.38</v>
      </c>
      <c r="CT141" s="35"/>
      <c r="CU141" s="35"/>
      <c r="CV141" s="35"/>
      <c r="CW141" s="36">
        <f>'Old Balance Sheet'!W141 + 'ACPL Calculations - 1.0'!Z141 + 'ACPL Calculations - 2.0'!Z141</f>
        <v>25570</v>
      </c>
      <c r="CX141" s="36">
        <f>'Old Balance Sheet'!X141 + 'ACPL Calculations - 1.0'!AA141 + 'ACPL Calculations - 2.0'!AA141</f>
        <v>15784.95</v>
      </c>
      <c r="CY141" s="37">
        <v>0.0</v>
      </c>
      <c r="CZ141" s="38">
        <f>'Old Balance Sheet'!Y141 + 'ACPL Calculations - 1.0'!AB141 + 'ACPL Calculations - 2.0'!AB141</f>
        <v>9785.05</v>
      </c>
      <c r="DA141" s="38">
        <f>'Old Balance Sheet'!Z141 + 'ACPL Calculations - 1.0'!AC141 + 'ACPL Calculations - 2.0'!AC141</f>
        <v>0</v>
      </c>
      <c r="DB141" s="38">
        <f>'Old Balance Sheet'!AA141 + 'ACPL Calculations - 1.0'!AD141 + 'ACPL Calculations - 2.0'!AD141</f>
        <v>199.67</v>
      </c>
      <c r="DC141" s="38">
        <f>'Old Balance Sheet'!AB141 + 'ACPL Calculations - 1.0'!AE141 + 'ACPL Calculations - 2.0'!AE141</f>
        <v>9785.05</v>
      </c>
      <c r="DD141" s="38">
        <f t="shared" si="4"/>
        <v>9785.05</v>
      </c>
      <c r="DE141" s="33">
        <f t="shared" si="5"/>
        <v>0</v>
      </c>
      <c r="DF141" s="35">
        <v>0.0</v>
      </c>
      <c r="DG141" s="35">
        <v>0.0</v>
      </c>
      <c r="DH141" s="35">
        <v>0.0</v>
      </c>
      <c r="DI141" s="35">
        <v>0.0</v>
      </c>
      <c r="DJ141" s="35">
        <v>0.0</v>
      </c>
      <c r="DK141" s="35">
        <v>0.0</v>
      </c>
      <c r="DL141" s="35">
        <v>0.0</v>
      </c>
      <c r="DM141" s="35">
        <v>0.0</v>
      </c>
      <c r="DN141" s="31">
        <v>0.0</v>
      </c>
      <c r="DO141" s="31">
        <v>0.0</v>
      </c>
      <c r="DP141" s="31">
        <v>0.0</v>
      </c>
      <c r="DQ141" s="31">
        <v>0.0</v>
      </c>
      <c r="DR141" s="31">
        <v>0.0</v>
      </c>
      <c r="DS141" s="31">
        <v>0.0</v>
      </c>
      <c r="DT141" s="31">
        <f>'Old Balance Sheet'!AC141</f>
        <v>-38714</v>
      </c>
      <c r="DU141" s="31">
        <f>DT141 + SUMIFS('Payments Log'!D:D, 'Payments Log'!B:B, A141, 'Payments Log'!L:L, "Approved", 'Payments Log'!M:M, "Credit") + 'Old Balance Sheet'!AD141 - 'Old Balance Sheet'!AC141</f>
        <v>-3776</v>
      </c>
      <c r="DV141" s="31">
        <f>SUMIFS('Payments Log'!D:D, 'Payments Log'!B:B, A141, 'Payments Log'!L:L, "Approved", 'Payments Log'!M:M, "Adjustment Credit") - SUMIFS('Payments Log'!D:D, 'Payments Log'!B:B, A141, 'Payments Log'!L:L, "Approved", 'Payments Log'!M:M, "Adjustment Debit") + 'Old Balance Sheet'!AE141</f>
        <v>0</v>
      </c>
      <c r="DW141" s="31">
        <f>IF(MAXIFS('Payments Log'!N:N, 'Payments Log'!L:L, "Approved", 'Payments Log'!M:M, "Credit", 'Payments Log'!B:B, A141) &gt; MAXIFS('Payments Log'!N:N, 'Payments Log'!L:L, "Approved", 'Payments Log'!M:M, "Virtual Credit", 'Payments Log'!B:B, A141), 0, SUMIFS('Payments Log'!D:D, 'Payments Log'!N:N, MAXIFS('Payments Log'!N:N, 'Payments Log'!L:L, "Approved", 'Payments Log'!M:M, "Virtual Credit", 'Payments Log'!B:B, A141)))</f>
        <v>0</v>
      </c>
      <c r="DX141" s="33">
        <f t="shared" si="6"/>
        <v>-29346</v>
      </c>
      <c r="DY141" s="33">
        <f t="shared" si="7"/>
        <v>-19560.95</v>
      </c>
      <c r="DZ141" s="33">
        <f t="shared" si="8"/>
        <v>-19560.95</v>
      </c>
      <c r="EA141" s="25" t="str">
        <f>(Sheet1!N141)</f>
        <v>AMAN HERO - GHAZIABAD</v>
      </c>
      <c r="EB141" s="25" t="str">
        <f>(Sheet1!O141)</f>
        <v>1eadD90u_QHYWVVLEumQCr0hMVIKVxHEKRn2KsZZbuqc</v>
      </c>
      <c r="EC141" s="26" t="str">
        <f>(Sheet1!P141)</f>
        <v>Dealer</v>
      </c>
      <c r="ED141" s="34" t="s">
        <v>13</v>
      </c>
    </row>
    <row r="142">
      <c r="A142" s="25" t="str">
        <f>(Sheet1!A142)</f>
        <v>1eWL9qs4gF2hDOrao950bttsqaQjvqYNOwOArak2wAWY</v>
      </c>
      <c r="B142" s="25" t="str">
        <f>(Sheet1!B142)</f>
        <v>PREMA HONDA- BIHAR(SN)</v>
      </c>
      <c r="C142" s="30" t="s">
        <v>13</v>
      </c>
      <c r="D142" s="30" t="s">
        <v>72</v>
      </c>
      <c r="E142" s="30" t="s">
        <v>3820</v>
      </c>
      <c r="F142" s="31">
        <v>205.0</v>
      </c>
      <c r="G142" s="32" t="s">
        <v>3818</v>
      </c>
      <c r="H142" s="31">
        <v>100.0</v>
      </c>
      <c r="I142" s="33">
        <f>'Old Balance Sheet'!A142 + 'ACPL Calculations - 1.0'!A142 + 'ACPL Calculations - 2.0'!A142</f>
        <v>2</v>
      </c>
      <c r="J142" s="30" t="s">
        <v>3820</v>
      </c>
      <c r="K142" s="31">
        <v>205.0</v>
      </c>
      <c r="L142" s="32" t="s">
        <v>3818</v>
      </c>
      <c r="M142" s="31">
        <v>100.0</v>
      </c>
      <c r="N142" s="33">
        <f>'Old Balance Sheet'!B142 + 'ACPL Calculations - 1.0'!B142 + 'ACPL Calculations - 2.0'!B142</f>
        <v>0</v>
      </c>
      <c r="O142" s="30" t="s">
        <v>3820</v>
      </c>
      <c r="P142" s="31">
        <v>290.0</v>
      </c>
      <c r="Q142" s="32" t="s">
        <v>3818</v>
      </c>
      <c r="R142" s="31">
        <v>100.0</v>
      </c>
      <c r="S142" s="33">
        <f>'Old Balance Sheet'!C142 + 'ACPL Calculations - 1.0'!C142 + 'ACPL Calculations - 2.0'!C142</f>
        <v>179</v>
      </c>
      <c r="T142" s="30" t="s">
        <v>3820</v>
      </c>
      <c r="U142" s="31">
        <v>375.0</v>
      </c>
      <c r="V142" s="32" t="s">
        <v>3818</v>
      </c>
      <c r="W142" s="31">
        <v>100.0</v>
      </c>
      <c r="X142" s="33">
        <f>'Old Balance Sheet'!D142 + 'ACPL Calculations - 1.0'!D142 + 'ACPL Calculations - 2.0'!D142</f>
        <v>0</v>
      </c>
      <c r="Y142" s="30" t="s">
        <v>3820</v>
      </c>
      <c r="Z142" s="31">
        <v>460.0</v>
      </c>
      <c r="AA142" s="32" t="s">
        <v>3818</v>
      </c>
      <c r="AB142" s="31">
        <v>100.0</v>
      </c>
      <c r="AC142" s="33">
        <f>'Old Balance Sheet'!E142 + 'ACPL Calculations - 1.0'!E142 + 'ACPL Calculations - 2.0'!E142</f>
        <v>0</v>
      </c>
      <c r="AD142" s="30" t="s">
        <v>3820</v>
      </c>
      <c r="AE142" s="34">
        <v>838.99</v>
      </c>
      <c r="AF142" s="32" t="s">
        <v>3818</v>
      </c>
      <c r="AG142" s="31">
        <v>100.0</v>
      </c>
      <c r="AH142" s="33">
        <f>'Old Balance Sheet'!F142 + 'ACPL Calculations - 1.0'!F142 + 'ACPL Calculations - 2.0'!F142</f>
        <v>0</v>
      </c>
      <c r="AI142" s="30" t="s">
        <v>3820</v>
      </c>
      <c r="AJ142" s="31">
        <v>375.0</v>
      </c>
      <c r="AK142" s="32" t="s">
        <v>3818</v>
      </c>
      <c r="AL142" s="31">
        <v>100.0</v>
      </c>
      <c r="AM142" s="33">
        <f>'Old Balance Sheet'!G142 + 'ACPL Calculations - 1.0'!G142 + 'ACPL Calculations - 2.0'!G142</f>
        <v>0</v>
      </c>
      <c r="AN142" s="30" t="s">
        <v>3820</v>
      </c>
      <c r="AO142" s="31">
        <v>290.0</v>
      </c>
      <c r="AP142" s="32" t="s">
        <v>3818</v>
      </c>
      <c r="AQ142" s="31">
        <v>100.0</v>
      </c>
      <c r="AR142" s="33">
        <f>'Old Balance Sheet'!H142 + 'ACPL Calculations - 1.0'!H142 + 'ACPL Calculations - 2.0'!H142</f>
        <v>0</v>
      </c>
      <c r="AS142" s="30" t="s">
        <v>3819</v>
      </c>
      <c r="AT142" s="31">
        <v>838.99</v>
      </c>
      <c r="AU142" s="32" t="s">
        <v>3818</v>
      </c>
      <c r="AV142" s="31">
        <v>100.0</v>
      </c>
      <c r="AW142" s="33">
        <f>'Old Balance Sheet'!I142 + 'ACPL Calculations - 1.0'!I142 + 'ACPL Calculations - 2.0'!I142</f>
        <v>0</v>
      </c>
      <c r="AX142" s="30" t="s">
        <v>3820</v>
      </c>
      <c r="AY142" s="31">
        <v>290.0</v>
      </c>
      <c r="AZ142" s="32" t="s">
        <v>3818</v>
      </c>
      <c r="BA142" s="31">
        <v>100.0</v>
      </c>
      <c r="BB142" s="33">
        <f>'Old Balance Sheet'!J142 + 'ACPL Calculations - 1.0'!J142 + 'ACPL Calculations - 2.0'!J142</f>
        <v>0</v>
      </c>
      <c r="BC142" s="30" t="s">
        <v>3820</v>
      </c>
      <c r="BD142" s="31">
        <v>205.0</v>
      </c>
      <c r="BE142" s="32" t="s">
        <v>3818</v>
      </c>
      <c r="BF142" s="31">
        <v>100.0</v>
      </c>
      <c r="BG142" s="33">
        <f>'Old Balance Sheet'!K142 + 'ACPL Calculations - 1.0'!K142 + 'ACPL Calculations - 2.0'!K142</f>
        <v>0</v>
      </c>
      <c r="BH142" s="30" t="s">
        <v>3820</v>
      </c>
      <c r="BI142" s="31">
        <v>205.0</v>
      </c>
      <c r="BJ142" s="32" t="s">
        <v>3818</v>
      </c>
      <c r="BK142" s="31">
        <v>100.0</v>
      </c>
      <c r="BL142" s="33">
        <f>'Old Balance Sheet'!L142 + 'ACPL Calculations - 1.0'!L142 + 'ACPL Calculations - 2.0'!L142</f>
        <v>0</v>
      </c>
      <c r="BM142" s="33"/>
      <c r="BN142" s="33"/>
      <c r="BO142" s="33"/>
      <c r="BP142" s="33"/>
      <c r="BQ142" s="33"/>
      <c r="BR142" s="33"/>
      <c r="BS142" s="33"/>
      <c r="BT142" s="33"/>
      <c r="BU142" s="33"/>
      <c r="BV142" s="33"/>
      <c r="BW142" s="33"/>
      <c r="BX142" s="33"/>
      <c r="BY142" s="33"/>
      <c r="BZ142" s="33"/>
      <c r="CA142" s="33"/>
      <c r="CB142" s="33"/>
      <c r="CC142" s="33"/>
      <c r="CD142" s="33"/>
      <c r="CE142" s="33"/>
      <c r="CF142" s="33"/>
      <c r="CG142" s="33"/>
      <c r="CH142" s="33"/>
      <c r="CI142" s="33"/>
      <c r="CJ142" s="33"/>
      <c r="CK142" s="33"/>
      <c r="CL142" s="33">
        <f t="shared" si="1"/>
        <v>181</v>
      </c>
      <c r="CM142" s="33">
        <f>'Old Balance Sheet'!R142 + 'ACPL Calculations - 1.0'!S142 + 'ACPL Calculations - 2.0'!S142</f>
        <v>80002</v>
      </c>
      <c r="CN142" s="33">
        <f>'Old Balance Sheet'!S142 + 'ACPL Calculations - 1.0'!T142 + 'ACPL Calculations - 2.0'!T142</f>
        <v>37105</v>
      </c>
      <c r="CO142" s="33">
        <f t="shared" si="2"/>
        <v>49308.02</v>
      </c>
      <c r="CP142" s="33">
        <f>'Old Balance Sheet'!T142 + 'ACPL Calculations - 1.0'!V142 + 'ACPL Calculations - 2.0'!V142</f>
        <v>0</v>
      </c>
      <c r="CQ142" s="33">
        <f>'Old Balance Sheet'!U142 + 'ACPL Calculations - 1.0'!W142 + 'ACPL Calculations - 2.0'!W142</f>
        <v>0</v>
      </c>
      <c r="CR142" s="33">
        <f>'Old Balance Sheet'!V142 + 'ACPL Calculations - 1.0'!X142 + 'ACPL Calculations - 2.0'!X142</f>
        <v>12203.02</v>
      </c>
      <c r="CS142" s="33">
        <f t="shared" si="3"/>
        <v>12203.02</v>
      </c>
      <c r="CT142" s="35"/>
      <c r="CU142" s="35"/>
      <c r="CV142" s="35"/>
      <c r="CW142" s="36">
        <f>'Old Balance Sheet'!W142 + 'ACPL Calculations - 1.0'!Z142 + 'ACPL Calculations - 2.0'!Z142</f>
        <v>75538.32</v>
      </c>
      <c r="CX142" s="36">
        <f>'Old Balance Sheet'!X142 + 'ACPL Calculations - 1.0'!AA142 + 'ACPL Calculations - 2.0'!AA142</f>
        <v>54288.14</v>
      </c>
      <c r="CY142" s="37">
        <v>0.0</v>
      </c>
      <c r="CZ142" s="38">
        <f>'Old Balance Sheet'!Y142 + 'ACPL Calculations - 1.0'!AB142 + 'ACPL Calculations - 2.0'!AB142</f>
        <v>21563.94</v>
      </c>
      <c r="DA142" s="38">
        <f>'Old Balance Sheet'!Z142 + 'ACPL Calculations - 1.0'!AC142 + 'ACPL Calculations - 2.0'!AC142</f>
        <v>9767.68</v>
      </c>
      <c r="DB142" s="38">
        <f>'Old Balance Sheet'!AA142 + 'ACPL Calculations - 1.0'!AD142 + 'ACPL Calculations - 2.0'!AD142</f>
        <v>1711.08</v>
      </c>
      <c r="DC142" s="38">
        <f>'Old Balance Sheet'!AB142 + 'ACPL Calculations - 1.0'!AE142 + 'ACPL Calculations - 2.0'!AE142</f>
        <v>21250.18</v>
      </c>
      <c r="DD142" s="38">
        <f t="shared" si="4"/>
        <v>21250.18</v>
      </c>
      <c r="DE142" s="33">
        <f t="shared" si="5"/>
        <v>21249.86</v>
      </c>
      <c r="DF142" s="35">
        <v>0.0</v>
      </c>
      <c r="DG142" s="35">
        <v>0.0</v>
      </c>
      <c r="DH142" s="35">
        <v>0.0</v>
      </c>
      <c r="DI142" s="35">
        <v>0.0</v>
      </c>
      <c r="DJ142" s="35">
        <v>0.0</v>
      </c>
      <c r="DK142" s="35">
        <v>0.0</v>
      </c>
      <c r="DL142" s="35">
        <v>0.0</v>
      </c>
      <c r="DM142" s="35">
        <v>0.0</v>
      </c>
      <c r="DN142" s="31">
        <v>0.0</v>
      </c>
      <c r="DO142" s="31">
        <v>0.0</v>
      </c>
      <c r="DP142" s="31">
        <v>0.0</v>
      </c>
      <c r="DQ142" s="31">
        <v>0.0</v>
      </c>
      <c r="DR142" s="31">
        <v>0.0</v>
      </c>
      <c r="DS142" s="31">
        <v>0.0</v>
      </c>
      <c r="DT142" s="31">
        <f>'Old Balance Sheet'!AC142</f>
        <v>-26962</v>
      </c>
      <c r="DU142" s="31">
        <f>DT142 + SUMIFS('Payments Log'!D:D, 'Payments Log'!B:B, A142, 'Payments Log'!L:L, "Approved", 'Payments Log'!M:M, "Credit") + 'Old Balance Sheet'!AD142 - 'Old Balance Sheet'!AC142</f>
        <v>84864</v>
      </c>
      <c r="DV142" s="31">
        <f>SUMIFS('Payments Log'!D:D, 'Payments Log'!B:B, A142, 'Payments Log'!L:L, "Approved", 'Payments Log'!M:M, "Adjustment Credit") - SUMIFS('Payments Log'!D:D, 'Payments Log'!B:B, A142, 'Payments Log'!L:L, "Approved", 'Payments Log'!M:M, "Adjustment Debit") + 'Old Balance Sheet'!AE142</f>
        <v>-9326</v>
      </c>
      <c r="DW142" s="31">
        <f>IF(MAXIFS('Payments Log'!N:N, 'Payments Log'!L:L, "Approved", 'Payments Log'!M:M, "Credit", 'Payments Log'!B:B, A142) &gt; MAXIFS('Payments Log'!N:N, 'Payments Log'!L:L, "Approved", 'Payments Log'!M:M, "Virtual Credit", 'Payments Log'!B:B, A142), 0, SUMIFS('Payments Log'!D:D, 'Payments Log'!N:N, MAXIFS('Payments Log'!N:N, 'Payments Log'!L:L, "Approved", 'Payments Log'!M:M, "Virtual Credit", 'Payments Log'!B:B, A142)))</f>
        <v>0</v>
      </c>
      <c r="DX142" s="33">
        <f t="shared" si="6"/>
        <v>-0.32</v>
      </c>
      <c r="DY142" s="33">
        <f t="shared" si="7"/>
        <v>21249.86</v>
      </c>
      <c r="DZ142" s="33">
        <f t="shared" si="8"/>
        <v>21249.86</v>
      </c>
      <c r="EA142" s="25" t="str">
        <f>(Sheet1!N142)</f>
        <v>PREMA HONDA- BIHAR(SN)</v>
      </c>
      <c r="EB142" s="25" t="str">
        <f>(Sheet1!O142)</f>
        <v>1eWL9qs4gF2hDOrao950bttsqaQjvqYNOwOArak2wAWY</v>
      </c>
      <c r="EC142" s="26" t="str">
        <f>(Sheet1!P142)</f>
        <v>Dealer</v>
      </c>
      <c r="ED142" s="34" t="s">
        <v>13</v>
      </c>
    </row>
    <row r="143">
      <c r="A143" s="25" t="str">
        <f>(Sheet1!A143)</f>
        <v>1rJGxnVgNYw4R0sSIyn3TAqm2-oK_NlkxU2BLo1Qupus</v>
      </c>
      <c r="B143" s="25" t="str">
        <f>(Sheet1!B143)</f>
        <v>Prema Honda-2-BIHAR</v>
      </c>
      <c r="C143" s="30" t="s">
        <v>13</v>
      </c>
      <c r="D143" s="30" t="s">
        <v>72</v>
      </c>
      <c r="E143" s="30" t="s">
        <v>3820</v>
      </c>
      <c r="F143" s="31">
        <v>205.0</v>
      </c>
      <c r="G143" s="32" t="s">
        <v>3818</v>
      </c>
      <c r="H143" s="31">
        <v>100.0</v>
      </c>
      <c r="I143" s="33">
        <f>'Old Balance Sheet'!A143 + 'ACPL Calculations - 1.0'!A143 + 'ACPL Calculations - 2.0'!A143</f>
        <v>0</v>
      </c>
      <c r="J143" s="30" t="s">
        <v>3820</v>
      </c>
      <c r="K143" s="31">
        <v>205.0</v>
      </c>
      <c r="L143" s="32" t="s">
        <v>3818</v>
      </c>
      <c r="M143" s="31">
        <v>100.0</v>
      </c>
      <c r="N143" s="33">
        <f>'Old Balance Sheet'!B143 + 'ACPL Calculations - 1.0'!B143 + 'ACPL Calculations - 2.0'!B143</f>
        <v>0</v>
      </c>
      <c r="O143" s="30" t="s">
        <v>3820</v>
      </c>
      <c r="P143" s="31">
        <v>290.0</v>
      </c>
      <c r="Q143" s="32" t="s">
        <v>3818</v>
      </c>
      <c r="R143" s="31">
        <v>100.0</v>
      </c>
      <c r="S143" s="33">
        <f>'Old Balance Sheet'!C143 + 'ACPL Calculations - 1.0'!C143 + 'ACPL Calculations - 2.0'!C143</f>
        <v>0</v>
      </c>
      <c r="T143" s="30" t="s">
        <v>3820</v>
      </c>
      <c r="U143" s="31">
        <v>375.0</v>
      </c>
      <c r="V143" s="32" t="s">
        <v>3818</v>
      </c>
      <c r="W143" s="31">
        <v>100.0</v>
      </c>
      <c r="X143" s="33">
        <f>'Old Balance Sheet'!D143 + 'ACPL Calculations - 1.0'!D143 + 'ACPL Calculations - 2.0'!D143</f>
        <v>0</v>
      </c>
      <c r="Y143" s="30" t="s">
        <v>3820</v>
      </c>
      <c r="Z143" s="31">
        <v>460.0</v>
      </c>
      <c r="AA143" s="32" t="s">
        <v>3818</v>
      </c>
      <c r="AB143" s="31">
        <v>100.0</v>
      </c>
      <c r="AC143" s="33">
        <f>'Old Balance Sheet'!E143 + 'ACPL Calculations - 1.0'!E143 + 'ACPL Calculations - 2.0'!E143</f>
        <v>0</v>
      </c>
      <c r="AD143" s="30" t="s">
        <v>3820</v>
      </c>
      <c r="AE143" s="34">
        <v>838.99</v>
      </c>
      <c r="AF143" s="32" t="s">
        <v>3818</v>
      </c>
      <c r="AG143" s="31">
        <v>100.0</v>
      </c>
      <c r="AH143" s="33">
        <f>'Old Balance Sheet'!F143 + 'ACPL Calculations - 1.0'!F143 + 'ACPL Calculations - 2.0'!F143</f>
        <v>0</v>
      </c>
      <c r="AI143" s="30" t="s">
        <v>3820</v>
      </c>
      <c r="AJ143" s="31">
        <v>375.0</v>
      </c>
      <c r="AK143" s="32" t="s">
        <v>3818</v>
      </c>
      <c r="AL143" s="31">
        <v>100.0</v>
      </c>
      <c r="AM143" s="33">
        <f>'Old Balance Sheet'!G143 + 'ACPL Calculations - 1.0'!G143 + 'ACPL Calculations - 2.0'!G143</f>
        <v>0</v>
      </c>
      <c r="AN143" s="30" t="s">
        <v>3820</v>
      </c>
      <c r="AO143" s="31">
        <v>290.0</v>
      </c>
      <c r="AP143" s="32" t="s">
        <v>3818</v>
      </c>
      <c r="AQ143" s="31">
        <v>100.0</v>
      </c>
      <c r="AR143" s="33">
        <f>'Old Balance Sheet'!H143 + 'ACPL Calculations - 1.0'!H143 + 'ACPL Calculations - 2.0'!H143</f>
        <v>0</v>
      </c>
      <c r="AS143" s="30" t="s">
        <v>3819</v>
      </c>
      <c r="AT143" s="31">
        <v>838.99</v>
      </c>
      <c r="AU143" s="32" t="s">
        <v>3818</v>
      </c>
      <c r="AV143" s="31">
        <v>100.0</v>
      </c>
      <c r="AW143" s="33">
        <f>'Old Balance Sheet'!I143 + 'ACPL Calculations - 1.0'!I143 + 'ACPL Calculations - 2.0'!I143</f>
        <v>0</v>
      </c>
      <c r="AX143" s="30" t="s">
        <v>3820</v>
      </c>
      <c r="AY143" s="31">
        <v>290.0</v>
      </c>
      <c r="AZ143" s="32" t="s">
        <v>3818</v>
      </c>
      <c r="BA143" s="31">
        <v>100.0</v>
      </c>
      <c r="BB143" s="33">
        <f>'Old Balance Sheet'!J143 + 'ACPL Calculations - 1.0'!J143 + 'ACPL Calculations - 2.0'!J143</f>
        <v>0</v>
      </c>
      <c r="BC143" s="30" t="s">
        <v>3820</v>
      </c>
      <c r="BD143" s="31">
        <v>205.0</v>
      </c>
      <c r="BE143" s="32" t="s">
        <v>3818</v>
      </c>
      <c r="BF143" s="31">
        <v>100.0</v>
      </c>
      <c r="BG143" s="33">
        <f>'Old Balance Sheet'!K143 + 'ACPL Calculations - 1.0'!K143 + 'ACPL Calculations - 2.0'!K143</f>
        <v>0</v>
      </c>
      <c r="BH143" s="30" t="s">
        <v>3820</v>
      </c>
      <c r="BI143" s="31">
        <v>205.0</v>
      </c>
      <c r="BJ143" s="32" t="s">
        <v>3818</v>
      </c>
      <c r="BK143" s="31">
        <v>100.0</v>
      </c>
      <c r="BL143" s="33">
        <f>'Old Balance Sheet'!L143 + 'ACPL Calculations - 1.0'!L143 + 'ACPL Calculations - 2.0'!L143</f>
        <v>0</v>
      </c>
      <c r="BM143" s="33"/>
      <c r="BN143" s="33"/>
      <c r="BO143" s="33"/>
      <c r="BP143" s="33"/>
      <c r="BQ143" s="33"/>
      <c r="BR143" s="33"/>
      <c r="BS143" s="33"/>
      <c r="BT143" s="33"/>
      <c r="BU143" s="33"/>
      <c r="BV143" s="33"/>
      <c r="BW143" s="33"/>
      <c r="BX143" s="33"/>
      <c r="BY143" s="33"/>
      <c r="BZ143" s="33"/>
      <c r="CA143" s="33"/>
      <c r="CB143" s="33"/>
      <c r="CC143" s="33"/>
      <c r="CD143" s="33"/>
      <c r="CE143" s="33"/>
      <c r="CF143" s="33"/>
      <c r="CG143" s="33"/>
      <c r="CH143" s="33"/>
      <c r="CI143" s="33"/>
      <c r="CJ143" s="33"/>
      <c r="CK143" s="33"/>
      <c r="CL143" s="33">
        <f t="shared" si="1"/>
        <v>0</v>
      </c>
      <c r="CM143" s="33">
        <f>'Old Balance Sheet'!R143 + 'ACPL Calculations - 1.0'!S143 + 'ACPL Calculations - 2.0'!S143</f>
        <v>0</v>
      </c>
      <c r="CN143" s="33">
        <f>'Old Balance Sheet'!S143 + 'ACPL Calculations - 1.0'!T143 + 'ACPL Calculations - 2.0'!T143</f>
        <v>0</v>
      </c>
      <c r="CO143" s="33">
        <f t="shared" si="2"/>
        <v>0</v>
      </c>
      <c r="CP143" s="33">
        <f>'Old Balance Sheet'!T143 + 'ACPL Calculations - 1.0'!V143 + 'ACPL Calculations - 2.0'!V143</f>
        <v>0</v>
      </c>
      <c r="CQ143" s="33">
        <f>'Old Balance Sheet'!U143 + 'ACPL Calculations - 1.0'!W143 + 'ACPL Calculations - 2.0'!W143</f>
        <v>0</v>
      </c>
      <c r="CR143" s="33">
        <f>'Old Balance Sheet'!V143 + 'ACPL Calculations - 1.0'!X143 + 'ACPL Calculations - 2.0'!X143</f>
        <v>0</v>
      </c>
      <c r="CS143" s="33">
        <f t="shared" si="3"/>
        <v>0</v>
      </c>
      <c r="CT143" s="35"/>
      <c r="CU143" s="35"/>
      <c r="CV143" s="35"/>
      <c r="CW143" s="36">
        <f>'Old Balance Sheet'!W143 + 'ACPL Calculations - 1.0'!Z143 + 'ACPL Calculations - 2.0'!Z143</f>
        <v>0</v>
      </c>
      <c r="CX143" s="36">
        <f>'Old Balance Sheet'!X143 + 'ACPL Calculations - 1.0'!AA143 + 'ACPL Calculations - 2.0'!AA143</f>
        <v>0</v>
      </c>
      <c r="CY143" s="37">
        <v>0.0</v>
      </c>
      <c r="CZ143" s="38">
        <f>'Old Balance Sheet'!Y143 + 'ACPL Calculations - 1.0'!AB143 + 'ACPL Calculations - 2.0'!AB143</f>
        <v>0</v>
      </c>
      <c r="DA143" s="38">
        <f>'Old Balance Sheet'!Z143 + 'ACPL Calculations - 1.0'!AC143 + 'ACPL Calculations - 2.0'!AC143</f>
        <v>0</v>
      </c>
      <c r="DB143" s="38">
        <f>'Old Balance Sheet'!AA143 + 'ACPL Calculations - 1.0'!AD143 + 'ACPL Calculations - 2.0'!AD143</f>
        <v>0</v>
      </c>
      <c r="DC143" s="38">
        <f>'Old Balance Sheet'!AB143 + 'ACPL Calculations - 1.0'!AE143 + 'ACPL Calculations - 2.0'!AE143</f>
        <v>0</v>
      </c>
      <c r="DD143" s="38">
        <f t="shared" si="4"/>
        <v>0</v>
      </c>
      <c r="DE143" s="33">
        <f t="shared" si="5"/>
        <v>0</v>
      </c>
      <c r="DF143" s="35">
        <v>0.0</v>
      </c>
      <c r="DG143" s="35">
        <v>0.0</v>
      </c>
      <c r="DH143" s="35">
        <v>0.0</v>
      </c>
      <c r="DI143" s="35">
        <v>0.0</v>
      </c>
      <c r="DJ143" s="35">
        <v>0.0</v>
      </c>
      <c r="DK143" s="35">
        <v>0.0</v>
      </c>
      <c r="DL143" s="35">
        <v>0.0</v>
      </c>
      <c r="DM143" s="35">
        <v>0.0</v>
      </c>
      <c r="DN143" s="31">
        <v>0.0</v>
      </c>
      <c r="DO143" s="31">
        <v>0.0</v>
      </c>
      <c r="DP143" s="31">
        <v>0.0</v>
      </c>
      <c r="DQ143" s="31">
        <v>0.0</v>
      </c>
      <c r="DR143" s="31">
        <v>0.0</v>
      </c>
      <c r="DS143" s="31">
        <v>0.0</v>
      </c>
      <c r="DT143" s="31">
        <f>'Old Balance Sheet'!AC143</f>
        <v>0</v>
      </c>
      <c r="DU143" s="31">
        <f>DT143 + SUMIFS('Payments Log'!D:D, 'Payments Log'!B:B, A143, 'Payments Log'!L:L, "Approved", 'Payments Log'!M:M, "Credit") + 'Old Balance Sheet'!AD143 - 'Old Balance Sheet'!AC143</f>
        <v>0</v>
      </c>
      <c r="DV143" s="31">
        <f>SUMIFS('Payments Log'!D:D, 'Payments Log'!B:B, A143, 'Payments Log'!L:L, "Approved", 'Payments Log'!M:M, "Adjustment Credit") - SUMIFS('Payments Log'!D:D, 'Payments Log'!B:B, A143, 'Payments Log'!L:L, "Approved", 'Payments Log'!M:M, "Adjustment Debit") + 'Old Balance Sheet'!AE143</f>
        <v>0</v>
      </c>
      <c r="DW143" s="31">
        <f>IF(MAXIFS('Payments Log'!N:N, 'Payments Log'!L:L, "Approved", 'Payments Log'!M:M, "Credit", 'Payments Log'!B:B, A143) &gt; MAXIFS('Payments Log'!N:N, 'Payments Log'!L:L, "Approved", 'Payments Log'!M:M, "Virtual Credit", 'Payments Log'!B:B, A143), 0, SUMIFS('Payments Log'!D:D, 'Payments Log'!N:N, MAXIFS('Payments Log'!N:N, 'Payments Log'!L:L, "Approved", 'Payments Log'!M:M, "Virtual Credit", 'Payments Log'!B:B, A143)))</f>
        <v>0</v>
      </c>
      <c r="DX143" s="33">
        <f t="shared" si="6"/>
        <v>0</v>
      </c>
      <c r="DY143" s="33">
        <f t="shared" si="7"/>
        <v>0</v>
      </c>
      <c r="DZ143" s="33">
        <f t="shared" si="8"/>
        <v>0</v>
      </c>
      <c r="EA143" s="25" t="str">
        <f>(Sheet1!N143)</f>
        <v>Prema Honda-2-BIHAR</v>
      </c>
      <c r="EB143" s="25" t="str">
        <f>(Sheet1!O143)</f>
        <v>1rJGxnVgNYw4R0sSIyn3TAqm2-oK_NlkxU2BLo1Qupus</v>
      </c>
      <c r="EC143" s="26" t="str">
        <f>(Sheet1!P143)</f>
        <v>Dealer</v>
      </c>
      <c r="ED143" s="34" t="s">
        <v>13</v>
      </c>
    </row>
    <row r="144">
      <c r="A144" s="25" t="str">
        <f>(Sheet1!A144)</f>
        <v>1Y6CS_YCls02UZ2FEArdhqIm2nzY7mjD6osbZ1wBxDHc</v>
      </c>
      <c r="B144" s="25" t="str">
        <f>(Sheet1!B144)</f>
        <v>PREMA HONDA - RING ROAD</v>
      </c>
      <c r="C144" s="30" t="s">
        <v>13</v>
      </c>
      <c r="D144" s="30" t="s">
        <v>72</v>
      </c>
      <c r="E144" s="30" t="s">
        <v>3820</v>
      </c>
      <c r="F144" s="31">
        <v>205.0</v>
      </c>
      <c r="G144" s="32" t="s">
        <v>3818</v>
      </c>
      <c r="H144" s="31">
        <v>100.0</v>
      </c>
      <c r="I144" s="33">
        <f>'Old Balance Sheet'!A144 + 'ACPL Calculations - 1.0'!A144 + 'ACPL Calculations - 2.0'!A144</f>
        <v>1</v>
      </c>
      <c r="J144" s="30" t="s">
        <v>3820</v>
      </c>
      <c r="K144" s="31">
        <v>205.0</v>
      </c>
      <c r="L144" s="32" t="s">
        <v>3818</v>
      </c>
      <c r="M144" s="31">
        <v>100.0</v>
      </c>
      <c r="N144" s="33">
        <f>'Old Balance Sheet'!B144 + 'ACPL Calculations - 1.0'!B144 + 'ACPL Calculations - 2.0'!B144</f>
        <v>0</v>
      </c>
      <c r="O144" s="30" t="s">
        <v>3820</v>
      </c>
      <c r="P144" s="31">
        <v>290.0</v>
      </c>
      <c r="Q144" s="32" t="s">
        <v>3818</v>
      </c>
      <c r="R144" s="31">
        <v>100.0</v>
      </c>
      <c r="S144" s="33">
        <f>'Old Balance Sheet'!C144 + 'ACPL Calculations - 1.0'!C144 + 'ACPL Calculations - 2.0'!C144</f>
        <v>70</v>
      </c>
      <c r="T144" s="30" t="s">
        <v>3820</v>
      </c>
      <c r="U144" s="31">
        <v>375.0</v>
      </c>
      <c r="V144" s="32" t="s">
        <v>3818</v>
      </c>
      <c r="W144" s="31">
        <v>100.0</v>
      </c>
      <c r="X144" s="33">
        <f>'Old Balance Sheet'!D144 + 'ACPL Calculations - 1.0'!D144 + 'ACPL Calculations - 2.0'!D144</f>
        <v>0</v>
      </c>
      <c r="Y144" s="30" t="s">
        <v>3820</v>
      </c>
      <c r="Z144" s="31">
        <v>460.0</v>
      </c>
      <c r="AA144" s="32" t="s">
        <v>3818</v>
      </c>
      <c r="AB144" s="31">
        <v>100.0</v>
      </c>
      <c r="AC144" s="33">
        <f>'Old Balance Sheet'!E144 + 'ACPL Calculations - 1.0'!E144 + 'ACPL Calculations - 2.0'!E144</f>
        <v>0</v>
      </c>
      <c r="AD144" s="30" t="s">
        <v>3820</v>
      </c>
      <c r="AE144" s="34">
        <v>838.99</v>
      </c>
      <c r="AF144" s="32" t="s">
        <v>3818</v>
      </c>
      <c r="AG144" s="31">
        <v>100.0</v>
      </c>
      <c r="AH144" s="33">
        <f>'Old Balance Sheet'!F144 + 'ACPL Calculations - 1.0'!F144 + 'ACPL Calculations - 2.0'!F144</f>
        <v>0</v>
      </c>
      <c r="AI144" s="30" t="s">
        <v>3820</v>
      </c>
      <c r="AJ144" s="31">
        <v>375.0</v>
      </c>
      <c r="AK144" s="32" t="s">
        <v>3818</v>
      </c>
      <c r="AL144" s="31">
        <v>100.0</v>
      </c>
      <c r="AM144" s="33">
        <f>'Old Balance Sheet'!G144 + 'ACPL Calculations - 1.0'!G144 + 'ACPL Calculations - 2.0'!G144</f>
        <v>0</v>
      </c>
      <c r="AN144" s="30" t="s">
        <v>3820</v>
      </c>
      <c r="AO144" s="31">
        <v>290.0</v>
      </c>
      <c r="AP144" s="32" t="s">
        <v>3818</v>
      </c>
      <c r="AQ144" s="31">
        <v>100.0</v>
      </c>
      <c r="AR144" s="33">
        <f>'Old Balance Sheet'!H144 + 'ACPL Calculations - 1.0'!H144 + 'ACPL Calculations - 2.0'!H144</f>
        <v>0</v>
      </c>
      <c r="AS144" s="30" t="s">
        <v>3819</v>
      </c>
      <c r="AT144" s="31">
        <v>838.99</v>
      </c>
      <c r="AU144" s="32" t="s">
        <v>3818</v>
      </c>
      <c r="AV144" s="31">
        <v>100.0</v>
      </c>
      <c r="AW144" s="33">
        <f>'Old Balance Sheet'!I144 + 'ACPL Calculations - 1.0'!I144 + 'ACPL Calculations - 2.0'!I144</f>
        <v>0</v>
      </c>
      <c r="AX144" s="30" t="s">
        <v>3820</v>
      </c>
      <c r="AY144" s="31">
        <v>290.0</v>
      </c>
      <c r="AZ144" s="32" t="s">
        <v>3818</v>
      </c>
      <c r="BA144" s="31">
        <v>100.0</v>
      </c>
      <c r="BB144" s="33">
        <f>'Old Balance Sheet'!J144 + 'ACPL Calculations - 1.0'!J144 + 'ACPL Calculations - 2.0'!J144</f>
        <v>0</v>
      </c>
      <c r="BC144" s="30" t="s">
        <v>3820</v>
      </c>
      <c r="BD144" s="31">
        <v>205.0</v>
      </c>
      <c r="BE144" s="32" t="s">
        <v>3818</v>
      </c>
      <c r="BF144" s="31">
        <v>100.0</v>
      </c>
      <c r="BG144" s="33">
        <f>'Old Balance Sheet'!K144 + 'ACPL Calculations - 1.0'!K144 + 'ACPL Calculations - 2.0'!K144</f>
        <v>0</v>
      </c>
      <c r="BH144" s="30" t="s">
        <v>3820</v>
      </c>
      <c r="BI144" s="31">
        <v>205.0</v>
      </c>
      <c r="BJ144" s="32" t="s">
        <v>3818</v>
      </c>
      <c r="BK144" s="31">
        <v>100.0</v>
      </c>
      <c r="BL144" s="33">
        <f>'Old Balance Sheet'!L144 + 'ACPL Calculations - 1.0'!L144 + 'ACPL Calculations - 2.0'!L144</f>
        <v>0</v>
      </c>
      <c r="BM144" s="33"/>
      <c r="BN144" s="33"/>
      <c r="BO144" s="33"/>
      <c r="BP144" s="33"/>
      <c r="BQ144" s="33"/>
      <c r="BR144" s="33"/>
      <c r="BS144" s="33"/>
      <c r="BT144" s="33"/>
      <c r="BU144" s="33"/>
      <c r="BV144" s="33"/>
      <c r="BW144" s="33"/>
      <c r="BX144" s="33"/>
      <c r="BY144" s="33"/>
      <c r="BZ144" s="33"/>
      <c r="CA144" s="33"/>
      <c r="CB144" s="33"/>
      <c r="CC144" s="33"/>
      <c r="CD144" s="33"/>
      <c r="CE144" s="33"/>
      <c r="CF144" s="33"/>
      <c r="CG144" s="33"/>
      <c r="CH144" s="33"/>
      <c r="CI144" s="33"/>
      <c r="CJ144" s="33"/>
      <c r="CK144" s="33"/>
      <c r="CL144" s="33">
        <f t="shared" si="1"/>
        <v>71</v>
      </c>
      <c r="CM144" s="33">
        <f>'Old Balance Sheet'!R144 + 'ACPL Calculations - 1.0'!S144 + 'ACPL Calculations - 2.0'!S144</f>
        <v>31382</v>
      </c>
      <c r="CN144" s="33">
        <f>'Old Balance Sheet'!S144 + 'ACPL Calculations - 1.0'!T144 + 'ACPL Calculations - 2.0'!T144</f>
        <v>14555</v>
      </c>
      <c r="CO144" s="33">
        <f t="shared" si="2"/>
        <v>19341.82</v>
      </c>
      <c r="CP144" s="33">
        <f>'Old Balance Sheet'!T144 + 'ACPL Calculations - 1.0'!V144 + 'ACPL Calculations - 2.0'!V144</f>
        <v>0</v>
      </c>
      <c r="CQ144" s="33">
        <f>'Old Balance Sheet'!U144 + 'ACPL Calculations - 1.0'!W144 + 'ACPL Calculations - 2.0'!W144</f>
        <v>0</v>
      </c>
      <c r="CR144" s="33">
        <f>'Old Balance Sheet'!V144 + 'ACPL Calculations - 1.0'!X144 + 'ACPL Calculations - 2.0'!X144</f>
        <v>4786.82</v>
      </c>
      <c r="CS144" s="33">
        <f t="shared" si="3"/>
        <v>4786.82</v>
      </c>
      <c r="CT144" s="35"/>
      <c r="CU144" s="35"/>
      <c r="CV144" s="35"/>
      <c r="CW144" s="36">
        <f>'Old Balance Sheet'!W144 + 'ACPL Calculations - 1.0'!Z144 + 'ACPL Calculations - 2.0'!Z144</f>
        <v>31382</v>
      </c>
      <c r="CX144" s="36">
        <f>'Old Balance Sheet'!X144 + 'ACPL Calculations - 1.0'!AA144 + 'ACPL Calculations - 2.0'!AA144</f>
        <v>19607.96</v>
      </c>
      <c r="CY144" s="37">
        <v>0.0</v>
      </c>
      <c r="CZ144" s="38">
        <f>'Old Balance Sheet'!Y144 + 'ACPL Calculations - 1.0'!AB144 + 'ACPL Calculations - 2.0'!AB144</f>
        <v>11816.44</v>
      </c>
      <c r="DA144" s="38">
        <f>'Old Balance Sheet'!Z144 + 'ACPL Calculations - 1.0'!AC144 + 'ACPL Calculations - 2.0'!AC144</f>
        <v>0</v>
      </c>
      <c r="DB144" s="38">
        <f>'Old Balance Sheet'!AA144 + 'ACPL Calculations - 1.0'!AD144 + 'ACPL Calculations - 2.0'!AD144</f>
        <v>266.14</v>
      </c>
      <c r="DC144" s="38">
        <f>'Old Balance Sheet'!AB144 + 'ACPL Calculations - 1.0'!AE144 + 'ACPL Calculations - 2.0'!AE144</f>
        <v>11774.04</v>
      </c>
      <c r="DD144" s="38">
        <f t="shared" si="4"/>
        <v>11774.04</v>
      </c>
      <c r="DE144" s="33">
        <f t="shared" si="5"/>
        <v>11774.04</v>
      </c>
      <c r="DF144" s="35">
        <v>0.0</v>
      </c>
      <c r="DG144" s="35">
        <v>0.0</v>
      </c>
      <c r="DH144" s="35">
        <v>0.0</v>
      </c>
      <c r="DI144" s="35">
        <v>0.0</v>
      </c>
      <c r="DJ144" s="35">
        <v>0.0</v>
      </c>
      <c r="DK144" s="35">
        <v>0.0</v>
      </c>
      <c r="DL144" s="35">
        <v>0.0</v>
      </c>
      <c r="DM144" s="35">
        <v>0.0</v>
      </c>
      <c r="DN144" s="31">
        <v>0.0</v>
      </c>
      <c r="DO144" s="31">
        <v>0.0</v>
      </c>
      <c r="DP144" s="31">
        <v>0.0</v>
      </c>
      <c r="DQ144" s="31">
        <v>0.0</v>
      </c>
      <c r="DR144" s="31">
        <v>0.0</v>
      </c>
      <c r="DS144" s="31">
        <v>0.0</v>
      </c>
      <c r="DT144" s="31">
        <f>'Old Balance Sheet'!AC144</f>
        <v>-1326</v>
      </c>
      <c r="DU144" s="31">
        <f>DT144 + SUMIFS('Payments Log'!D:D, 'Payments Log'!B:B, A144, 'Payments Log'!L:L, "Approved", 'Payments Log'!M:M, "Credit") + 'Old Balance Sheet'!AD144 - 'Old Balance Sheet'!AC144</f>
        <v>31382</v>
      </c>
      <c r="DV144" s="31">
        <f>SUMIFS('Payments Log'!D:D, 'Payments Log'!B:B, A144, 'Payments Log'!L:L, "Approved", 'Payments Log'!M:M, "Adjustment Credit") - SUMIFS('Payments Log'!D:D, 'Payments Log'!B:B, A144, 'Payments Log'!L:L, "Approved", 'Payments Log'!M:M, "Adjustment Debit") + 'Old Balance Sheet'!AE144</f>
        <v>0</v>
      </c>
      <c r="DW144" s="31">
        <f>IF(MAXIFS('Payments Log'!N:N, 'Payments Log'!L:L, "Approved", 'Payments Log'!M:M, "Credit", 'Payments Log'!B:B, A144) &gt; MAXIFS('Payments Log'!N:N, 'Payments Log'!L:L, "Approved", 'Payments Log'!M:M, "Virtual Credit", 'Payments Log'!B:B, A144), 0, SUMIFS('Payments Log'!D:D, 'Payments Log'!N:N, MAXIFS('Payments Log'!N:N, 'Payments Log'!L:L, "Approved", 'Payments Log'!M:M, "Virtual Credit", 'Payments Log'!B:B, A144)))</f>
        <v>0</v>
      </c>
      <c r="DX144" s="33">
        <f t="shared" si="6"/>
        <v>0</v>
      </c>
      <c r="DY144" s="33">
        <f t="shared" si="7"/>
        <v>11774.04</v>
      </c>
      <c r="DZ144" s="33">
        <f t="shared" si="8"/>
        <v>11774.04</v>
      </c>
      <c r="EA144" s="25" t="str">
        <f>(Sheet1!N144)</f>
        <v>PREMA HONDA - RING ROAD</v>
      </c>
      <c r="EB144" s="25" t="str">
        <f>(Sheet1!O144)</f>
        <v>1Y6CS_YCls02UZ2FEArdhqIm2nzY7mjD6osbZ1wBxDHc</v>
      </c>
      <c r="EC144" s="26" t="str">
        <f>(Sheet1!P144)</f>
        <v>Dealer</v>
      </c>
      <c r="ED144" s="34" t="s">
        <v>13</v>
      </c>
    </row>
    <row r="145">
      <c r="A145" s="25" t="str">
        <f>(Sheet1!A145)</f>
        <v>192zKbFKanpgygP9G48DLmPDTTKNW3gODllZMh9lO2n4</v>
      </c>
      <c r="B145" s="25" t="str">
        <f>(Sheet1!B145)</f>
        <v>Jawahar Motors - Moradabad</v>
      </c>
      <c r="C145" s="30" t="s">
        <v>13</v>
      </c>
      <c r="D145" s="30" t="s">
        <v>72</v>
      </c>
      <c r="E145" s="30" t="s">
        <v>3820</v>
      </c>
      <c r="F145" s="31">
        <v>205.0</v>
      </c>
      <c r="G145" s="32" t="s">
        <v>3818</v>
      </c>
      <c r="H145" s="31">
        <v>100.0</v>
      </c>
      <c r="I145" s="33">
        <f>'Old Balance Sheet'!A145 + 'ACPL Calculations - 1.0'!A145 + 'ACPL Calculations - 2.0'!A145</f>
        <v>0</v>
      </c>
      <c r="J145" s="30" t="s">
        <v>3820</v>
      </c>
      <c r="K145" s="31">
        <v>205.0</v>
      </c>
      <c r="L145" s="32" t="s">
        <v>3818</v>
      </c>
      <c r="M145" s="31">
        <v>100.0</v>
      </c>
      <c r="N145" s="33">
        <f>'Old Balance Sheet'!B145 + 'ACPL Calculations - 1.0'!B145 + 'ACPL Calculations - 2.0'!B145</f>
        <v>0</v>
      </c>
      <c r="O145" s="30" t="s">
        <v>3820</v>
      </c>
      <c r="P145" s="31">
        <v>290.0</v>
      </c>
      <c r="Q145" s="32" t="s">
        <v>3818</v>
      </c>
      <c r="R145" s="31">
        <v>100.0</v>
      </c>
      <c r="S145" s="33">
        <f>'Old Balance Sheet'!C145 + 'ACPL Calculations - 1.0'!C145 + 'ACPL Calculations - 2.0'!C145</f>
        <v>0</v>
      </c>
      <c r="T145" s="30" t="s">
        <v>3820</v>
      </c>
      <c r="U145" s="31">
        <v>375.0</v>
      </c>
      <c r="V145" s="32" t="s">
        <v>3818</v>
      </c>
      <c r="W145" s="31">
        <v>100.0</v>
      </c>
      <c r="X145" s="33">
        <f>'Old Balance Sheet'!D145 + 'ACPL Calculations - 1.0'!D145 + 'ACPL Calculations - 2.0'!D145</f>
        <v>0</v>
      </c>
      <c r="Y145" s="30" t="s">
        <v>3820</v>
      </c>
      <c r="Z145" s="31">
        <v>460.0</v>
      </c>
      <c r="AA145" s="32" t="s">
        <v>3818</v>
      </c>
      <c r="AB145" s="31">
        <v>100.0</v>
      </c>
      <c r="AC145" s="33">
        <f>'Old Balance Sheet'!E145 + 'ACPL Calculations - 1.0'!E145 + 'ACPL Calculations - 2.0'!E145</f>
        <v>965</v>
      </c>
      <c r="AD145" s="30" t="s">
        <v>3820</v>
      </c>
      <c r="AE145" s="34">
        <v>838.99</v>
      </c>
      <c r="AF145" s="32" t="s">
        <v>3818</v>
      </c>
      <c r="AG145" s="31">
        <v>100.0</v>
      </c>
      <c r="AH145" s="33">
        <f>'Old Balance Sheet'!F145 + 'ACPL Calculations - 1.0'!F145 + 'ACPL Calculations - 2.0'!F145</f>
        <v>0</v>
      </c>
      <c r="AI145" s="30" t="s">
        <v>3820</v>
      </c>
      <c r="AJ145" s="31">
        <v>375.0</v>
      </c>
      <c r="AK145" s="32" t="s">
        <v>3818</v>
      </c>
      <c r="AL145" s="31">
        <v>100.0</v>
      </c>
      <c r="AM145" s="33">
        <f>'Old Balance Sheet'!G145 + 'ACPL Calculations - 1.0'!G145 + 'ACPL Calculations - 2.0'!G145</f>
        <v>0</v>
      </c>
      <c r="AN145" s="30" t="s">
        <v>3820</v>
      </c>
      <c r="AO145" s="31">
        <v>290.0</v>
      </c>
      <c r="AP145" s="32" t="s">
        <v>3818</v>
      </c>
      <c r="AQ145" s="31">
        <v>100.0</v>
      </c>
      <c r="AR145" s="33">
        <f>'Old Balance Sheet'!H145 + 'ACPL Calculations - 1.0'!H145 + 'ACPL Calculations - 2.0'!H145</f>
        <v>0</v>
      </c>
      <c r="AS145" s="30" t="s">
        <v>3819</v>
      </c>
      <c r="AT145" s="31">
        <v>838.99</v>
      </c>
      <c r="AU145" s="32" t="s">
        <v>3818</v>
      </c>
      <c r="AV145" s="31">
        <v>100.0</v>
      </c>
      <c r="AW145" s="33">
        <f>'Old Balance Sheet'!I145 + 'ACPL Calculations - 1.0'!I145 + 'ACPL Calculations - 2.0'!I145</f>
        <v>0</v>
      </c>
      <c r="AX145" s="30" t="s">
        <v>3820</v>
      </c>
      <c r="AY145" s="31">
        <v>290.0</v>
      </c>
      <c r="AZ145" s="32" t="s">
        <v>3818</v>
      </c>
      <c r="BA145" s="31">
        <v>100.0</v>
      </c>
      <c r="BB145" s="33">
        <f>'Old Balance Sheet'!J145 + 'ACPL Calculations - 1.0'!J145 + 'ACPL Calculations - 2.0'!J145</f>
        <v>0</v>
      </c>
      <c r="BC145" s="30" t="s">
        <v>3820</v>
      </c>
      <c r="BD145" s="31">
        <v>205.0</v>
      </c>
      <c r="BE145" s="32" t="s">
        <v>3818</v>
      </c>
      <c r="BF145" s="31">
        <v>100.0</v>
      </c>
      <c r="BG145" s="33">
        <f>'Old Balance Sheet'!K145 + 'ACPL Calculations - 1.0'!K145 + 'ACPL Calculations - 2.0'!K145</f>
        <v>0</v>
      </c>
      <c r="BH145" s="30" t="s">
        <v>3820</v>
      </c>
      <c r="BI145" s="31">
        <v>205.0</v>
      </c>
      <c r="BJ145" s="32" t="s">
        <v>3818</v>
      </c>
      <c r="BK145" s="31">
        <v>100.0</v>
      </c>
      <c r="BL145" s="33">
        <f>'Old Balance Sheet'!L145 + 'ACPL Calculations - 1.0'!L145 + 'ACPL Calculations - 2.0'!L145</f>
        <v>0</v>
      </c>
      <c r="BM145" s="33"/>
      <c r="BN145" s="33"/>
      <c r="BO145" s="33"/>
      <c r="BP145" s="33"/>
      <c r="BQ145" s="33"/>
      <c r="BR145" s="33"/>
      <c r="BS145" s="33"/>
      <c r="BT145" s="33"/>
      <c r="BU145" s="33"/>
      <c r="BV145" s="33"/>
      <c r="BW145" s="33"/>
      <c r="BX145" s="33"/>
      <c r="BY145" s="33"/>
      <c r="BZ145" s="33"/>
      <c r="CA145" s="33"/>
      <c r="CB145" s="33"/>
      <c r="CC145" s="33"/>
      <c r="CD145" s="33"/>
      <c r="CE145" s="33"/>
      <c r="CF145" s="33"/>
      <c r="CG145" s="33"/>
      <c r="CH145" s="33"/>
      <c r="CI145" s="33"/>
      <c r="CJ145" s="33"/>
      <c r="CK145" s="33"/>
      <c r="CL145" s="33">
        <f t="shared" si="1"/>
        <v>965</v>
      </c>
      <c r="CM145" s="33">
        <f>'Old Balance Sheet'!R145 + 'ACPL Calculations - 1.0'!S145 + 'ACPL Calculations - 2.0'!S145</f>
        <v>1321954</v>
      </c>
      <c r="CN145" s="33">
        <f>'Old Balance Sheet'!S145 + 'ACPL Calculations - 1.0'!T145 + 'ACPL Calculations - 2.0'!T145</f>
        <v>443900</v>
      </c>
      <c r="CO145" s="33">
        <f t="shared" si="2"/>
        <v>645555.4</v>
      </c>
      <c r="CP145" s="33">
        <f>'Old Balance Sheet'!T145 + 'ACPL Calculations - 1.0'!V145 + 'ACPL Calculations - 2.0'!V145</f>
        <v>0</v>
      </c>
      <c r="CQ145" s="33">
        <f>'Old Balance Sheet'!U145 + 'ACPL Calculations - 1.0'!W145 + 'ACPL Calculations - 2.0'!W145</f>
        <v>0</v>
      </c>
      <c r="CR145" s="33">
        <f>'Old Balance Sheet'!V145 + 'ACPL Calculations - 1.0'!X145 + 'ACPL Calculations - 2.0'!X145</f>
        <v>201655.4</v>
      </c>
      <c r="CS145" s="33">
        <f t="shared" si="3"/>
        <v>201655.4</v>
      </c>
      <c r="CT145" s="35"/>
      <c r="CU145" s="35"/>
      <c r="CV145" s="35"/>
      <c r="CW145" s="36">
        <f>'Old Balance Sheet'!W145 + 'ACPL Calculations - 1.0'!Z145 + 'ACPL Calculations - 2.0'!Z145</f>
        <v>1321954</v>
      </c>
      <c r="CX145" s="36">
        <f>'Old Balance Sheet'!X145 + 'ACPL Calculations - 1.0'!AA145 + 'ACPL Calculations - 2.0'!AA145</f>
        <v>663924.82</v>
      </c>
      <c r="CY145" s="37">
        <v>0.0</v>
      </c>
      <c r="CZ145" s="38">
        <f>'Old Balance Sheet'!Y145 + 'ACPL Calculations - 1.0'!AB145 + 'ACPL Calculations - 2.0'!AB145</f>
        <v>666099.25</v>
      </c>
      <c r="DA145" s="38">
        <f>'Old Balance Sheet'!Z145 + 'ACPL Calculations - 1.0'!AC145 + 'ACPL Calculations - 2.0'!AC145</f>
        <v>0</v>
      </c>
      <c r="DB145" s="38">
        <f>'Old Balance Sheet'!AA145 + 'ACPL Calculations - 1.0'!AD145 + 'ACPL Calculations - 2.0'!AD145</f>
        <v>18369.42</v>
      </c>
      <c r="DC145" s="38">
        <f>'Old Balance Sheet'!AB145 + 'ACPL Calculations - 1.0'!AE145 + 'ACPL Calculations - 2.0'!AE145</f>
        <v>658029.18</v>
      </c>
      <c r="DD145" s="38">
        <f t="shared" si="4"/>
        <v>658029.18</v>
      </c>
      <c r="DE145" s="33">
        <f t="shared" si="5"/>
        <v>658029.18</v>
      </c>
      <c r="DF145" s="35">
        <v>0.0</v>
      </c>
      <c r="DG145" s="35">
        <v>0.0</v>
      </c>
      <c r="DH145" s="35">
        <v>0.0</v>
      </c>
      <c r="DI145" s="35">
        <v>0.0</v>
      </c>
      <c r="DJ145" s="35">
        <v>0.0</v>
      </c>
      <c r="DK145" s="35">
        <v>0.0</v>
      </c>
      <c r="DL145" s="35">
        <v>0.0</v>
      </c>
      <c r="DM145" s="35">
        <v>0.0</v>
      </c>
      <c r="DN145" s="31">
        <v>0.0</v>
      </c>
      <c r="DO145" s="31">
        <v>0.0</v>
      </c>
      <c r="DP145" s="31">
        <v>0.0</v>
      </c>
      <c r="DQ145" s="31">
        <v>0.0</v>
      </c>
      <c r="DR145" s="31">
        <v>0.0</v>
      </c>
      <c r="DS145" s="31">
        <v>0.0</v>
      </c>
      <c r="DT145" s="31">
        <f>'Old Balance Sheet'!AC145</f>
        <v>27998</v>
      </c>
      <c r="DU145" s="31">
        <f>DT145 + SUMIFS('Payments Log'!D:D, 'Payments Log'!B:B, A145, 'Payments Log'!L:L, "Approved", 'Payments Log'!M:M, "Credit") + 'Old Balance Sheet'!AD145 - 'Old Balance Sheet'!AC145</f>
        <v>1321954</v>
      </c>
      <c r="DV145" s="31">
        <f>SUMIFS('Payments Log'!D:D, 'Payments Log'!B:B, A145, 'Payments Log'!L:L, "Approved", 'Payments Log'!M:M, "Adjustment Credit") - SUMIFS('Payments Log'!D:D, 'Payments Log'!B:B, A145, 'Payments Log'!L:L, "Approved", 'Payments Log'!M:M, "Adjustment Debit") + 'Old Balance Sheet'!AE145</f>
        <v>0</v>
      </c>
      <c r="DW145" s="31">
        <f>IF(MAXIFS('Payments Log'!N:N, 'Payments Log'!L:L, "Approved", 'Payments Log'!M:M, "Credit", 'Payments Log'!B:B, A145) &gt; MAXIFS('Payments Log'!N:N, 'Payments Log'!L:L, "Approved", 'Payments Log'!M:M, "Virtual Credit", 'Payments Log'!B:B, A145), 0, SUMIFS('Payments Log'!D:D, 'Payments Log'!N:N, MAXIFS('Payments Log'!N:N, 'Payments Log'!L:L, "Approved", 'Payments Log'!M:M, "Virtual Credit", 'Payments Log'!B:B, A145)))</f>
        <v>0</v>
      </c>
      <c r="DX145" s="33">
        <f t="shared" si="6"/>
        <v>0</v>
      </c>
      <c r="DY145" s="33">
        <f t="shared" si="7"/>
        <v>658029.18</v>
      </c>
      <c r="DZ145" s="33">
        <f t="shared" si="8"/>
        <v>658029.18</v>
      </c>
      <c r="EA145" s="25" t="str">
        <f>(Sheet1!N145)</f>
        <v>Jawahar Motors - Moradabad</v>
      </c>
      <c r="EB145" s="25" t="str">
        <f>(Sheet1!O145)</f>
        <v>192zKbFKanpgygP9G48DLmPDTTKNW3gODllZMh9lO2n4</v>
      </c>
      <c r="EC145" s="26" t="str">
        <f>(Sheet1!P145)</f>
        <v>Dealer</v>
      </c>
      <c r="ED145" s="34" t="s">
        <v>13</v>
      </c>
    </row>
    <row r="146">
      <c r="A146" s="25" t="str">
        <f>(Sheet1!A146)</f>
        <v>1qQZx2rIu3czgGT-jqqGQhriwwhiT40cPvlLtgeF1YSg</v>
      </c>
      <c r="B146" s="25" t="str">
        <f>(Sheet1!B146)</f>
        <v>Balaji Motors - Hardoi</v>
      </c>
      <c r="C146" s="30" t="s">
        <v>13</v>
      </c>
      <c r="D146" s="30" t="s">
        <v>72</v>
      </c>
      <c r="E146" s="30" t="s">
        <v>3820</v>
      </c>
      <c r="F146" s="31">
        <v>205.0</v>
      </c>
      <c r="G146" s="32" t="s">
        <v>3818</v>
      </c>
      <c r="H146" s="31">
        <v>100.0</v>
      </c>
      <c r="I146" s="33">
        <f>'Old Balance Sheet'!A146 + 'ACPL Calculations - 1.0'!A146 + 'ACPL Calculations - 2.0'!A146</f>
        <v>0</v>
      </c>
      <c r="J146" s="30" t="s">
        <v>3820</v>
      </c>
      <c r="K146" s="31">
        <v>205.0</v>
      </c>
      <c r="L146" s="32" t="s">
        <v>3818</v>
      </c>
      <c r="M146" s="31">
        <v>100.0</v>
      </c>
      <c r="N146" s="33">
        <f>'Old Balance Sheet'!B146 + 'ACPL Calculations - 1.0'!B146 + 'ACPL Calculations - 2.0'!B146</f>
        <v>0</v>
      </c>
      <c r="O146" s="30" t="s">
        <v>3820</v>
      </c>
      <c r="P146" s="31">
        <v>290.0</v>
      </c>
      <c r="Q146" s="32" t="s">
        <v>3818</v>
      </c>
      <c r="R146" s="31">
        <v>100.0</v>
      </c>
      <c r="S146" s="33">
        <f>'Old Balance Sheet'!C146 + 'ACPL Calculations - 1.0'!C146 + 'ACPL Calculations - 2.0'!C146</f>
        <v>0</v>
      </c>
      <c r="T146" s="30" t="s">
        <v>3820</v>
      </c>
      <c r="U146" s="31">
        <v>375.0</v>
      </c>
      <c r="V146" s="32" t="s">
        <v>3818</v>
      </c>
      <c r="W146" s="31">
        <v>100.0</v>
      </c>
      <c r="X146" s="33">
        <f>'Old Balance Sheet'!D146 + 'ACPL Calculations - 1.0'!D146 + 'ACPL Calculations - 2.0'!D146</f>
        <v>0</v>
      </c>
      <c r="Y146" s="30" t="s">
        <v>3820</v>
      </c>
      <c r="Z146" s="31">
        <v>460.0</v>
      </c>
      <c r="AA146" s="32" t="s">
        <v>3818</v>
      </c>
      <c r="AB146" s="31">
        <v>100.0</v>
      </c>
      <c r="AC146" s="33">
        <f>'Old Balance Sheet'!E146 + 'ACPL Calculations - 1.0'!E146 + 'ACPL Calculations - 2.0'!E146</f>
        <v>0</v>
      </c>
      <c r="AD146" s="30" t="s">
        <v>3820</v>
      </c>
      <c r="AE146" s="34">
        <v>838.99</v>
      </c>
      <c r="AF146" s="32" t="s">
        <v>3818</v>
      </c>
      <c r="AG146" s="31">
        <v>100.0</v>
      </c>
      <c r="AH146" s="33">
        <f>'Old Balance Sheet'!F146 + 'ACPL Calculations - 1.0'!F146 + 'ACPL Calculations - 2.0'!F146</f>
        <v>0</v>
      </c>
      <c r="AI146" s="30" t="s">
        <v>3820</v>
      </c>
      <c r="AJ146" s="31">
        <v>375.0</v>
      </c>
      <c r="AK146" s="32" t="s">
        <v>3818</v>
      </c>
      <c r="AL146" s="31">
        <v>100.0</v>
      </c>
      <c r="AM146" s="33">
        <f>'Old Balance Sheet'!G146 + 'ACPL Calculations - 1.0'!G146 + 'ACPL Calculations - 2.0'!G146</f>
        <v>0</v>
      </c>
      <c r="AN146" s="30" t="s">
        <v>3820</v>
      </c>
      <c r="AO146" s="31">
        <v>290.0</v>
      </c>
      <c r="AP146" s="32" t="s">
        <v>3818</v>
      </c>
      <c r="AQ146" s="31">
        <v>100.0</v>
      </c>
      <c r="AR146" s="33">
        <f>'Old Balance Sheet'!H146 + 'ACPL Calculations - 1.0'!H146 + 'ACPL Calculations - 2.0'!H146</f>
        <v>0</v>
      </c>
      <c r="AS146" s="30" t="s">
        <v>3819</v>
      </c>
      <c r="AT146" s="31">
        <v>838.99</v>
      </c>
      <c r="AU146" s="32" t="s">
        <v>3818</v>
      </c>
      <c r="AV146" s="31">
        <v>100.0</v>
      </c>
      <c r="AW146" s="33">
        <f>'Old Balance Sheet'!I146 + 'ACPL Calculations - 1.0'!I146 + 'ACPL Calculations - 2.0'!I146</f>
        <v>0</v>
      </c>
      <c r="AX146" s="30" t="s">
        <v>3820</v>
      </c>
      <c r="AY146" s="31">
        <v>290.0</v>
      </c>
      <c r="AZ146" s="32" t="s">
        <v>3818</v>
      </c>
      <c r="BA146" s="31">
        <v>100.0</v>
      </c>
      <c r="BB146" s="33">
        <f>'Old Balance Sheet'!J146 + 'ACPL Calculations - 1.0'!J146 + 'ACPL Calculations - 2.0'!J146</f>
        <v>0</v>
      </c>
      <c r="BC146" s="30" t="s">
        <v>3820</v>
      </c>
      <c r="BD146" s="31">
        <v>205.0</v>
      </c>
      <c r="BE146" s="32" t="s">
        <v>3818</v>
      </c>
      <c r="BF146" s="31">
        <v>100.0</v>
      </c>
      <c r="BG146" s="33">
        <f>'Old Balance Sheet'!K146 + 'ACPL Calculations - 1.0'!K146 + 'ACPL Calculations - 2.0'!K146</f>
        <v>0</v>
      </c>
      <c r="BH146" s="30" t="s">
        <v>3820</v>
      </c>
      <c r="BI146" s="31">
        <v>205.0</v>
      </c>
      <c r="BJ146" s="32" t="s">
        <v>3818</v>
      </c>
      <c r="BK146" s="31">
        <v>100.0</v>
      </c>
      <c r="BL146" s="33">
        <f>'Old Balance Sheet'!L146 + 'ACPL Calculations - 1.0'!L146 + 'ACPL Calculations - 2.0'!L146</f>
        <v>0</v>
      </c>
      <c r="BM146" s="33"/>
      <c r="BN146" s="33"/>
      <c r="BO146" s="33"/>
      <c r="BP146" s="33"/>
      <c r="BQ146" s="33"/>
      <c r="BR146" s="33"/>
      <c r="BS146" s="33"/>
      <c r="BT146" s="33"/>
      <c r="BU146" s="33"/>
      <c r="BV146" s="33"/>
      <c r="BW146" s="33"/>
      <c r="BX146" s="33"/>
      <c r="BY146" s="33"/>
      <c r="BZ146" s="33"/>
      <c r="CA146" s="33"/>
      <c r="CB146" s="33"/>
      <c r="CC146" s="33"/>
      <c r="CD146" s="33"/>
      <c r="CE146" s="33"/>
      <c r="CF146" s="33"/>
      <c r="CG146" s="33"/>
      <c r="CH146" s="33"/>
      <c r="CI146" s="33"/>
      <c r="CJ146" s="33"/>
      <c r="CK146" s="33"/>
      <c r="CL146" s="33">
        <f t="shared" si="1"/>
        <v>0</v>
      </c>
      <c r="CM146" s="33">
        <f>'Old Balance Sheet'!R146 + 'ACPL Calculations - 1.0'!S146 + 'ACPL Calculations - 2.0'!S146</f>
        <v>0</v>
      </c>
      <c r="CN146" s="33">
        <f>'Old Balance Sheet'!S146 + 'ACPL Calculations - 1.0'!T146 + 'ACPL Calculations - 2.0'!T146</f>
        <v>0</v>
      </c>
      <c r="CO146" s="33">
        <f t="shared" si="2"/>
        <v>0</v>
      </c>
      <c r="CP146" s="33">
        <f>'Old Balance Sheet'!T146 + 'ACPL Calculations - 1.0'!V146 + 'ACPL Calculations - 2.0'!V146</f>
        <v>0</v>
      </c>
      <c r="CQ146" s="33">
        <f>'Old Balance Sheet'!U146 + 'ACPL Calculations - 1.0'!W146 + 'ACPL Calculations - 2.0'!W146</f>
        <v>0</v>
      </c>
      <c r="CR146" s="33">
        <f>'Old Balance Sheet'!V146 + 'ACPL Calculations - 1.0'!X146 + 'ACPL Calculations - 2.0'!X146</f>
        <v>0</v>
      </c>
      <c r="CS146" s="33">
        <f t="shared" si="3"/>
        <v>0</v>
      </c>
      <c r="CT146" s="35"/>
      <c r="CU146" s="35"/>
      <c r="CV146" s="35"/>
      <c r="CW146" s="36">
        <f>'Old Balance Sheet'!W146 + 'ACPL Calculations - 1.0'!Z146 + 'ACPL Calculations - 2.0'!Z146</f>
        <v>0</v>
      </c>
      <c r="CX146" s="36">
        <f>'Old Balance Sheet'!X146 + 'ACPL Calculations - 1.0'!AA146 + 'ACPL Calculations - 2.0'!AA146</f>
        <v>0</v>
      </c>
      <c r="CY146" s="37">
        <v>0.0</v>
      </c>
      <c r="CZ146" s="38">
        <f>'Old Balance Sheet'!Y146 + 'ACPL Calculations - 1.0'!AB146 + 'ACPL Calculations - 2.0'!AB146</f>
        <v>0</v>
      </c>
      <c r="DA146" s="38">
        <f>'Old Balance Sheet'!Z146 + 'ACPL Calculations - 1.0'!AC146 + 'ACPL Calculations - 2.0'!AC146</f>
        <v>0</v>
      </c>
      <c r="DB146" s="38">
        <f>'Old Balance Sheet'!AA146 + 'ACPL Calculations - 1.0'!AD146 + 'ACPL Calculations - 2.0'!AD146</f>
        <v>0</v>
      </c>
      <c r="DC146" s="38">
        <f>'Old Balance Sheet'!AB146 + 'ACPL Calculations - 1.0'!AE146 + 'ACPL Calculations - 2.0'!AE146</f>
        <v>0</v>
      </c>
      <c r="DD146" s="38">
        <f t="shared" si="4"/>
        <v>0</v>
      </c>
      <c r="DE146" s="33">
        <f t="shared" si="5"/>
        <v>0</v>
      </c>
      <c r="DF146" s="35">
        <v>0.0</v>
      </c>
      <c r="DG146" s="35">
        <v>0.0</v>
      </c>
      <c r="DH146" s="35">
        <v>0.0</v>
      </c>
      <c r="DI146" s="35">
        <v>0.0</v>
      </c>
      <c r="DJ146" s="35">
        <v>0.0</v>
      </c>
      <c r="DK146" s="35">
        <v>0.0</v>
      </c>
      <c r="DL146" s="35">
        <v>0.0</v>
      </c>
      <c r="DM146" s="35">
        <v>0.0</v>
      </c>
      <c r="DN146" s="31">
        <v>0.0</v>
      </c>
      <c r="DO146" s="31">
        <v>0.0</v>
      </c>
      <c r="DP146" s="31">
        <v>0.0</v>
      </c>
      <c r="DQ146" s="31">
        <v>0.0</v>
      </c>
      <c r="DR146" s="31">
        <v>0.0</v>
      </c>
      <c r="DS146" s="31">
        <v>0.0</v>
      </c>
      <c r="DT146" s="31">
        <f>'Old Balance Sheet'!AC146</f>
        <v>0</v>
      </c>
      <c r="DU146" s="31">
        <f>DT146 + SUMIFS('Payments Log'!D:D, 'Payments Log'!B:B, A146, 'Payments Log'!L:L, "Approved", 'Payments Log'!M:M, "Credit") + 'Old Balance Sheet'!AD146 - 'Old Balance Sheet'!AC146</f>
        <v>0</v>
      </c>
      <c r="DV146" s="31">
        <f>SUMIFS('Payments Log'!D:D, 'Payments Log'!B:B, A146, 'Payments Log'!L:L, "Approved", 'Payments Log'!M:M, "Adjustment Credit") - SUMIFS('Payments Log'!D:D, 'Payments Log'!B:B, A146, 'Payments Log'!L:L, "Approved", 'Payments Log'!M:M, "Adjustment Debit") + 'Old Balance Sheet'!AE146</f>
        <v>0</v>
      </c>
      <c r="DW146" s="31">
        <f>IF(MAXIFS('Payments Log'!N:N, 'Payments Log'!L:L, "Approved", 'Payments Log'!M:M, "Credit", 'Payments Log'!B:B, A146) &gt; MAXIFS('Payments Log'!N:N, 'Payments Log'!L:L, "Approved", 'Payments Log'!M:M, "Virtual Credit", 'Payments Log'!B:B, A146), 0, SUMIFS('Payments Log'!D:D, 'Payments Log'!N:N, MAXIFS('Payments Log'!N:N, 'Payments Log'!L:L, "Approved", 'Payments Log'!M:M, "Virtual Credit", 'Payments Log'!B:B, A146)))</f>
        <v>0</v>
      </c>
      <c r="DX146" s="33">
        <f t="shared" si="6"/>
        <v>0</v>
      </c>
      <c r="DY146" s="33">
        <f t="shared" si="7"/>
        <v>0</v>
      </c>
      <c r="DZ146" s="33">
        <f t="shared" si="8"/>
        <v>0</v>
      </c>
      <c r="EA146" s="25" t="str">
        <f>(Sheet1!N146)</f>
        <v>Balaji Motors - Hardoi</v>
      </c>
      <c r="EB146" s="25" t="str">
        <f>(Sheet1!O146)</f>
        <v>1qQZx2rIu3czgGT-jqqGQhriwwhiT40cPvlLtgeF1YSg</v>
      </c>
      <c r="EC146" s="26" t="str">
        <f>(Sheet1!P146)</f>
        <v>Dealer</v>
      </c>
      <c r="ED146" s="34" t="s">
        <v>13</v>
      </c>
    </row>
    <row r="147">
      <c r="A147" s="25" t="str">
        <f>(Sheet1!A147)</f>
        <v>1S2YNz2hsIyDIwT68EF1VR8O-D7oanl9HQJpcApwJPG4</v>
      </c>
      <c r="B147" s="25" t="str">
        <f>(Sheet1!B147)</f>
        <v>Vanshadi Motors - Faizabad</v>
      </c>
      <c r="C147" s="30" t="s">
        <v>13</v>
      </c>
      <c r="D147" s="30" t="s">
        <v>72</v>
      </c>
      <c r="E147" s="30" t="s">
        <v>3820</v>
      </c>
      <c r="F147" s="31">
        <v>155.0</v>
      </c>
      <c r="G147" s="32" t="s">
        <v>3818</v>
      </c>
      <c r="H147" s="31">
        <v>100.0</v>
      </c>
      <c r="I147" s="33">
        <f>'Old Balance Sheet'!A147 + 'ACPL Calculations - 1.0'!A147 + 'ACPL Calculations - 2.0'!A147</f>
        <v>4642</v>
      </c>
      <c r="J147" s="30" t="s">
        <v>3820</v>
      </c>
      <c r="K147" s="31">
        <v>175.0</v>
      </c>
      <c r="L147" s="32" t="s">
        <v>3818</v>
      </c>
      <c r="M147" s="31">
        <v>100.0</v>
      </c>
      <c r="N147" s="33">
        <f>'Old Balance Sheet'!B147 + 'ACPL Calculations - 1.0'!B147 + 'ACPL Calculations - 2.0'!B147</f>
        <v>9</v>
      </c>
      <c r="O147" s="30" t="s">
        <v>3820</v>
      </c>
      <c r="P147" s="31">
        <v>290.0</v>
      </c>
      <c r="Q147" s="32" t="s">
        <v>3818</v>
      </c>
      <c r="R147" s="31">
        <v>100.0</v>
      </c>
      <c r="S147" s="33">
        <f>'Old Balance Sheet'!C147 + 'ACPL Calculations - 1.0'!C147 + 'ACPL Calculations - 2.0'!C147</f>
        <v>0</v>
      </c>
      <c r="T147" s="30" t="s">
        <v>3820</v>
      </c>
      <c r="U147" s="31">
        <v>375.0</v>
      </c>
      <c r="V147" s="32" t="s">
        <v>3818</v>
      </c>
      <c r="W147" s="31">
        <v>100.0</v>
      </c>
      <c r="X147" s="33">
        <f>'Old Balance Sheet'!D147 + 'ACPL Calculations - 1.0'!D147 + 'ACPL Calculations - 2.0'!D147</f>
        <v>0</v>
      </c>
      <c r="Y147" s="30" t="s">
        <v>3820</v>
      </c>
      <c r="Z147" s="31">
        <v>375.0</v>
      </c>
      <c r="AA147" s="32" t="s">
        <v>3818</v>
      </c>
      <c r="AB147" s="31">
        <v>100.0</v>
      </c>
      <c r="AC147" s="33">
        <f>'Old Balance Sheet'!E147 + 'ACPL Calculations - 1.0'!E147 + 'ACPL Calculations - 2.0'!E147</f>
        <v>0</v>
      </c>
      <c r="AD147" s="30" t="s">
        <v>3820</v>
      </c>
      <c r="AE147" s="34">
        <v>838.99</v>
      </c>
      <c r="AF147" s="32" t="s">
        <v>3818</v>
      </c>
      <c r="AG147" s="31">
        <v>100.0</v>
      </c>
      <c r="AH147" s="33">
        <f>'Old Balance Sheet'!F147 + 'ACPL Calculations - 1.0'!F147 + 'ACPL Calculations - 2.0'!F147</f>
        <v>0</v>
      </c>
      <c r="AI147" s="30" t="s">
        <v>3820</v>
      </c>
      <c r="AJ147" s="31">
        <v>375.0</v>
      </c>
      <c r="AK147" s="32" t="s">
        <v>3818</v>
      </c>
      <c r="AL147" s="31">
        <v>100.0</v>
      </c>
      <c r="AM147" s="33">
        <f>'Old Balance Sheet'!G147 + 'ACPL Calculations - 1.0'!G147 + 'ACPL Calculations - 2.0'!G147</f>
        <v>0</v>
      </c>
      <c r="AN147" s="30" t="s">
        <v>3820</v>
      </c>
      <c r="AO147" s="31">
        <v>290.0</v>
      </c>
      <c r="AP147" s="32" t="s">
        <v>3818</v>
      </c>
      <c r="AQ147" s="31">
        <v>100.0</v>
      </c>
      <c r="AR147" s="33">
        <f>'Old Balance Sheet'!H147 + 'ACPL Calculations - 1.0'!H147 + 'ACPL Calculations - 2.0'!H147</f>
        <v>0</v>
      </c>
      <c r="AS147" s="30" t="s">
        <v>3819</v>
      </c>
      <c r="AT147" s="31">
        <v>838.99</v>
      </c>
      <c r="AU147" s="32" t="s">
        <v>3818</v>
      </c>
      <c r="AV147" s="31">
        <v>100.0</v>
      </c>
      <c r="AW147" s="33">
        <f>'Old Balance Sheet'!I147 + 'ACPL Calculations - 1.0'!I147 + 'ACPL Calculations - 2.0'!I147</f>
        <v>0</v>
      </c>
      <c r="AX147" s="30" t="s">
        <v>3820</v>
      </c>
      <c r="AY147" s="31">
        <v>290.0</v>
      </c>
      <c r="AZ147" s="32" t="s">
        <v>3818</v>
      </c>
      <c r="BA147" s="31">
        <v>100.0</v>
      </c>
      <c r="BB147" s="33">
        <f>'Old Balance Sheet'!J147 + 'ACPL Calculations - 1.0'!J147 + 'ACPL Calculations - 2.0'!J147</f>
        <v>0</v>
      </c>
      <c r="BC147" s="30" t="s">
        <v>3820</v>
      </c>
      <c r="BD147" s="31">
        <v>205.0</v>
      </c>
      <c r="BE147" s="32" t="s">
        <v>3818</v>
      </c>
      <c r="BF147" s="31">
        <v>100.0</v>
      </c>
      <c r="BG147" s="33">
        <f>'Old Balance Sheet'!K147 + 'ACPL Calculations - 1.0'!K147 + 'ACPL Calculations - 2.0'!K147</f>
        <v>0</v>
      </c>
      <c r="BH147" s="30" t="s">
        <v>3820</v>
      </c>
      <c r="BI147" s="31">
        <v>205.0</v>
      </c>
      <c r="BJ147" s="32" t="s">
        <v>3818</v>
      </c>
      <c r="BK147" s="31">
        <v>100.0</v>
      </c>
      <c r="BL147" s="33">
        <f>'Old Balance Sheet'!L147 + 'ACPL Calculations - 1.0'!L147 + 'ACPL Calculations - 2.0'!L147</f>
        <v>0</v>
      </c>
      <c r="BM147" s="33"/>
      <c r="BN147" s="33"/>
      <c r="BO147" s="33"/>
      <c r="BP147" s="33"/>
      <c r="BQ147" s="33"/>
      <c r="BR147" s="33"/>
      <c r="BS147" s="33"/>
      <c r="BT147" s="33"/>
      <c r="BU147" s="33"/>
      <c r="BV147" s="33"/>
      <c r="BW147" s="33"/>
      <c r="BX147" s="33"/>
      <c r="BY147" s="33"/>
      <c r="BZ147" s="33"/>
      <c r="CA147" s="33"/>
      <c r="CB147" s="33"/>
      <c r="CC147" s="33"/>
      <c r="CD147" s="33"/>
      <c r="CE147" s="33"/>
      <c r="CF147" s="33"/>
      <c r="CG147" s="33"/>
      <c r="CH147" s="33"/>
      <c r="CI147" s="33"/>
      <c r="CJ147" s="33"/>
      <c r="CK147" s="33"/>
      <c r="CL147" s="33">
        <f t="shared" si="1"/>
        <v>4651</v>
      </c>
      <c r="CM147" s="33">
        <f>'Old Balance Sheet'!R147 + 'ACPL Calculations - 1.0'!S147 + 'ACPL Calculations - 2.0'!S147</f>
        <v>2055482</v>
      </c>
      <c r="CN147" s="33">
        <f>'Old Balance Sheet'!S147 + 'ACPL Calculations - 1.0'!T147 + 'ACPL Calculations - 2.0'!T147</f>
        <v>783175</v>
      </c>
      <c r="CO147" s="33">
        <f t="shared" si="2"/>
        <v>1096705.77</v>
      </c>
      <c r="CP147" s="33">
        <f>'Old Balance Sheet'!T147 + 'ACPL Calculations - 1.0'!V147 + 'ACPL Calculations - 2.0'!V147</f>
        <v>101.13</v>
      </c>
      <c r="CQ147" s="33">
        <f>'Old Balance Sheet'!U147 + 'ACPL Calculations - 1.0'!W147 + 'ACPL Calculations - 2.0'!W147</f>
        <v>101.13</v>
      </c>
      <c r="CR147" s="33">
        <f>'Old Balance Sheet'!V147 + 'ACPL Calculations - 1.0'!X147 + 'ACPL Calculations - 2.0'!X147</f>
        <v>313328.51</v>
      </c>
      <c r="CS147" s="33">
        <f t="shared" si="3"/>
        <v>313530.77</v>
      </c>
      <c r="CT147" s="35"/>
      <c r="CU147" s="35"/>
      <c r="CV147" s="35"/>
      <c r="CW147" s="36">
        <f>'Old Balance Sheet'!W147 + 'ACPL Calculations - 1.0'!Z147 + 'ACPL Calculations - 2.0'!Z147</f>
        <v>2054598</v>
      </c>
      <c r="CX147" s="36">
        <f>'Old Balance Sheet'!X147 + 'ACPL Calculations - 1.0'!AA147 + 'ACPL Calculations - 2.0'!AA147</f>
        <v>1137571.48</v>
      </c>
      <c r="CY147" s="37">
        <v>0.0</v>
      </c>
      <c r="CZ147" s="38">
        <f>'Old Balance Sheet'!Y147 + 'ACPL Calculations - 1.0'!AB147 + 'ACPL Calculations - 2.0'!AB147</f>
        <v>953933.88</v>
      </c>
      <c r="DA147" s="38">
        <f>'Old Balance Sheet'!Z147 + 'ACPL Calculations - 1.0'!AC147 + 'ACPL Calculations - 2.0'!AC147</f>
        <v>0</v>
      </c>
      <c r="DB147" s="38">
        <f>'Old Balance Sheet'!AA147 + 'ACPL Calculations - 1.0'!AD147 + 'ACPL Calculations - 2.0'!AD147</f>
        <v>41310.55</v>
      </c>
      <c r="DC147" s="38">
        <f>'Old Balance Sheet'!AB147 + 'ACPL Calculations - 1.0'!AE147 + 'ACPL Calculations - 2.0'!AE147</f>
        <v>917026.52</v>
      </c>
      <c r="DD147" s="38">
        <f t="shared" si="4"/>
        <v>917026.52</v>
      </c>
      <c r="DE147" s="33">
        <f t="shared" si="5"/>
        <v>654868.52</v>
      </c>
      <c r="DF147" s="35">
        <v>0.0</v>
      </c>
      <c r="DG147" s="35">
        <v>0.0</v>
      </c>
      <c r="DH147" s="35">
        <v>0.0</v>
      </c>
      <c r="DI147" s="35">
        <v>0.0</v>
      </c>
      <c r="DJ147" s="35">
        <v>0.0</v>
      </c>
      <c r="DK147" s="35">
        <v>0.0</v>
      </c>
      <c r="DL147" s="35">
        <v>0.0</v>
      </c>
      <c r="DM147" s="35">
        <v>0.0</v>
      </c>
      <c r="DN147" s="31">
        <v>0.0</v>
      </c>
      <c r="DO147" s="31">
        <v>0.0</v>
      </c>
      <c r="DP147" s="31">
        <v>0.0</v>
      </c>
      <c r="DQ147" s="31">
        <v>0.0</v>
      </c>
      <c r="DR147" s="31">
        <v>0.0</v>
      </c>
      <c r="DS147" s="31">
        <v>0.0</v>
      </c>
      <c r="DT147" s="31">
        <f>'Old Balance Sheet'!AC147</f>
        <v>-86190</v>
      </c>
      <c r="DU147" s="31">
        <f>DT147 + SUMIFS('Payments Log'!D:D, 'Payments Log'!B:B, A147, 'Payments Log'!L:L, "Approved", 'Payments Log'!M:M, "Credit") + 'Old Balance Sheet'!AD147 - 'Old Balance Sheet'!AC147</f>
        <v>1792440</v>
      </c>
      <c r="DV147" s="31">
        <f>SUMIFS('Payments Log'!D:D, 'Payments Log'!B:B, A147, 'Payments Log'!L:L, "Approved", 'Payments Log'!M:M, "Adjustment Credit") - SUMIFS('Payments Log'!D:D, 'Payments Log'!B:B, A147, 'Payments Log'!L:L, "Approved", 'Payments Log'!M:M, "Adjustment Debit") + 'Old Balance Sheet'!AE147</f>
        <v>0</v>
      </c>
      <c r="DW147" s="31">
        <f>IF(MAXIFS('Payments Log'!N:N, 'Payments Log'!L:L, "Approved", 'Payments Log'!M:M, "Credit", 'Payments Log'!B:B, A147) &gt; MAXIFS('Payments Log'!N:N, 'Payments Log'!L:L, "Approved", 'Payments Log'!M:M, "Virtual Credit", 'Payments Log'!B:B, A147), 0, SUMIFS('Payments Log'!D:D, 'Payments Log'!N:N, MAXIFS('Payments Log'!N:N, 'Payments Log'!L:L, "Approved", 'Payments Log'!M:M, "Virtual Credit", 'Payments Log'!B:B, A147)))</f>
        <v>0</v>
      </c>
      <c r="DX147" s="33">
        <f t="shared" si="6"/>
        <v>-262158</v>
      </c>
      <c r="DY147" s="33">
        <f t="shared" si="7"/>
        <v>654868.52</v>
      </c>
      <c r="DZ147" s="33">
        <f t="shared" si="8"/>
        <v>654868.52</v>
      </c>
      <c r="EA147" s="25" t="str">
        <f>(Sheet1!N147)</f>
        <v>Vanshadi Motors - Faizabad</v>
      </c>
      <c r="EB147" s="25" t="str">
        <f>(Sheet1!O147)</f>
        <v>1S2YNz2hsIyDIwT68EF1VR8O-D7oanl9HQJpcApwJPG4</v>
      </c>
      <c r="EC147" s="26" t="str">
        <f>(Sheet1!P147)</f>
        <v>Dealer</v>
      </c>
      <c r="ED147" s="34" t="s">
        <v>13</v>
      </c>
    </row>
    <row r="148">
      <c r="A148" s="25" t="str">
        <f>(Sheet1!A148)</f>
        <v>1BwcIzZvh2T5Ujlh5jkvkSeatvF-YbuitkQwoRkKGAHU</v>
      </c>
      <c r="B148" s="25" t="str">
        <f>(Sheet1!B148)</f>
        <v>Shree Shyam ji Hero- Meerut</v>
      </c>
      <c r="C148" s="30" t="s">
        <v>13</v>
      </c>
      <c r="D148" s="30" t="s">
        <v>72</v>
      </c>
      <c r="E148" s="30" t="s">
        <v>3820</v>
      </c>
      <c r="F148" s="31">
        <v>205.0</v>
      </c>
      <c r="G148" s="32" t="s">
        <v>3818</v>
      </c>
      <c r="H148" s="31">
        <v>100.0</v>
      </c>
      <c r="I148" s="33">
        <f>'Old Balance Sheet'!A148 + 'ACPL Calculations - 1.0'!A148 + 'ACPL Calculations - 2.0'!A148</f>
        <v>0</v>
      </c>
      <c r="J148" s="30" t="s">
        <v>3820</v>
      </c>
      <c r="K148" s="31">
        <v>205.0</v>
      </c>
      <c r="L148" s="32" t="s">
        <v>3818</v>
      </c>
      <c r="M148" s="31">
        <v>100.0</v>
      </c>
      <c r="N148" s="33">
        <f>'Old Balance Sheet'!B148 + 'ACPL Calculations - 1.0'!B148 + 'ACPL Calculations - 2.0'!B148</f>
        <v>0</v>
      </c>
      <c r="O148" s="30" t="s">
        <v>3820</v>
      </c>
      <c r="P148" s="31">
        <v>290.0</v>
      </c>
      <c r="Q148" s="32" t="s">
        <v>3818</v>
      </c>
      <c r="R148" s="31">
        <v>100.0</v>
      </c>
      <c r="S148" s="33">
        <f>'Old Balance Sheet'!C148 + 'ACPL Calculations - 1.0'!C148 + 'ACPL Calculations - 2.0'!C148</f>
        <v>0</v>
      </c>
      <c r="T148" s="30" t="s">
        <v>3820</v>
      </c>
      <c r="U148" s="31">
        <v>375.0</v>
      </c>
      <c r="V148" s="32" t="s">
        <v>3818</v>
      </c>
      <c r="W148" s="31">
        <v>100.0</v>
      </c>
      <c r="X148" s="33">
        <f>'Old Balance Sheet'!D148 + 'ACPL Calculations - 1.0'!D148 + 'ACPL Calculations - 2.0'!D148</f>
        <v>0</v>
      </c>
      <c r="Y148" s="30" t="s">
        <v>3820</v>
      </c>
      <c r="Z148" s="31">
        <v>375.0</v>
      </c>
      <c r="AA148" s="32" t="s">
        <v>3818</v>
      </c>
      <c r="AB148" s="31">
        <v>100.0</v>
      </c>
      <c r="AC148" s="33">
        <f>'Old Balance Sheet'!E148 + 'ACPL Calculations - 1.0'!E148 + 'ACPL Calculations - 2.0'!E148</f>
        <v>0</v>
      </c>
      <c r="AD148" s="30" t="s">
        <v>3820</v>
      </c>
      <c r="AE148" s="34">
        <v>838.99</v>
      </c>
      <c r="AF148" s="32" t="s">
        <v>3818</v>
      </c>
      <c r="AG148" s="31">
        <v>100.0</v>
      </c>
      <c r="AH148" s="33">
        <f>'Old Balance Sheet'!F148 + 'ACPL Calculations - 1.0'!F148 + 'ACPL Calculations - 2.0'!F148</f>
        <v>0</v>
      </c>
      <c r="AI148" s="30" t="s">
        <v>3820</v>
      </c>
      <c r="AJ148" s="31">
        <v>375.0</v>
      </c>
      <c r="AK148" s="32" t="s">
        <v>3818</v>
      </c>
      <c r="AL148" s="31">
        <v>100.0</v>
      </c>
      <c r="AM148" s="33">
        <f>'Old Balance Sheet'!G148 + 'ACPL Calculations - 1.0'!G148 + 'ACPL Calculations - 2.0'!G148</f>
        <v>0</v>
      </c>
      <c r="AN148" s="30" t="s">
        <v>3820</v>
      </c>
      <c r="AO148" s="31">
        <v>290.0</v>
      </c>
      <c r="AP148" s="32" t="s">
        <v>3818</v>
      </c>
      <c r="AQ148" s="31">
        <v>100.0</v>
      </c>
      <c r="AR148" s="33">
        <f>'Old Balance Sheet'!H148 + 'ACPL Calculations - 1.0'!H148 + 'ACPL Calculations - 2.0'!H148</f>
        <v>0</v>
      </c>
      <c r="AS148" s="30" t="s">
        <v>3819</v>
      </c>
      <c r="AT148" s="31">
        <v>838.99</v>
      </c>
      <c r="AU148" s="32" t="s">
        <v>3818</v>
      </c>
      <c r="AV148" s="31">
        <v>100.0</v>
      </c>
      <c r="AW148" s="33">
        <f>'Old Balance Sheet'!I148 + 'ACPL Calculations - 1.0'!I148 + 'ACPL Calculations - 2.0'!I148</f>
        <v>0</v>
      </c>
      <c r="AX148" s="30" t="s">
        <v>3820</v>
      </c>
      <c r="AY148" s="31">
        <v>290.0</v>
      </c>
      <c r="AZ148" s="32" t="s">
        <v>3818</v>
      </c>
      <c r="BA148" s="31">
        <v>100.0</v>
      </c>
      <c r="BB148" s="33">
        <f>'Old Balance Sheet'!J148 + 'ACPL Calculations - 1.0'!J148 + 'ACPL Calculations - 2.0'!J148</f>
        <v>0</v>
      </c>
      <c r="BC148" s="30" t="s">
        <v>3820</v>
      </c>
      <c r="BD148" s="31">
        <v>205.0</v>
      </c>
      <c r="BE148" s="32" t="s">
        <v>3818</v>
      </c>
      <c r="BF148" s="31">
        <v>100.0</v>
      </c>
      <c r="BG148" s="33">
        <f>'Old Balance Sheet'!K148 + 'ACPL Calculations - 1.0'!K148 + 'ACPL Calculations - 2.0'!K148</f>
        <v>0</v>
      </c>
      <c r="BH148" s="30" t="s">
        <v>3820</v>
      </c>
      <c r="BI148" s="31">
        <v>205.0</v>
      </c>
      <c r="BJ148" s="32" t="s">
        <v>3818</v>
      </c>
      <c r="BK148" s="31">
        <v>100.0</v>
      </c>
      <c r="BL148" s="33">
        <f>'Old Balance Sheet'!L148 + 'ACPL Calculations - 1.0'!L148 + 'ACPL Calculations - 2.0'!L148</f>
        <v>0</v>
      </c>
      <c r="BM148" s="33"/>
      <c r="BN148" s="33"/>
      <c r="BO148" s="33"/>
      <c r="BP148" s="33"/>
      <c r="BQ148" s="33"/>
      <c r="BR148" s="33"/>
      <c r="BS148" s="33"/>
      <c r="BT148" s="33"/>
      <c r="BU148" s="33"/>
      <c r="BV148" s="33"/>
      <c r="BW148" s="33"/>
      <c r="BX148" s="33"/>
      <c r="BY148" s="33"/>
      <c r="BZ148" s="33"/>
      <c r="CA148" s="33"/>
      <c r="CB148" s="33"/>
      <c r="CC148" s="33"/>
      <c r="CD148" s="33"/>
      <c r="CE148" s="33"/>
      <c r="CF148" s="33"/>
      <c r="CG148" s="33"/>
      <c r="CH148" s="33"/>
      <c r="CI148" s="33"/>
      <c r="CJ148" s="33"/>
      <c r="CK148" s="33"/>
      <c r="CL148" s="33">
        <f t="shared" si="1"/>
        <v>0</v>
      </c>
      <c r="CM148" s="33">
        <f>'Old Balance Sheet'!R148 + 'ACPL Calculations - 1.0'!S148 + 'ACPL Calculations - 2.0'!S148</f>
        <v>0</v>
      </c>
      <c r="CN148" s="33">
        <f>'Old Balance Sheet'!S148 + 'ACPL Calculations - 1.0'!T148 + 'ACPL Calculations - 2.0'!T148</f>
        <v>0</v>
      </c>
      <c r="CO148" s="33">
        <f t="shared" si="2"/>
        <v>0</v>
      </c>
      <c r="CP148" s="33">
        <f>'Old Balance Sheet'!T148 + 'ACPL Calculations - 1.0'!V148 + 'ACPL Calculations - 2.0'!V148</f>
        <v>0</v>
      </c>
      <c r="CQ148" s="33">
        <f>'Old Balance Sheet'!U148 + 'ACPL Calculations - 1.0'!W148 + 'ACPL Calculations - 2.0'!W148</f>
        <v>0</v>
      </c>
      <c r="CR148" s="33">
        <f>'Old Balance Sheet'!V148 + 'ACPL Calculations - 1.0'!X148 + 'ACPL Calculations - 2.0'!X148</f>
        <v>0</v>
      </c>
      <c r="CS148" s="33">
        <f t="shared" si="3"/>
        <v>0</v>
      </c>
      <c r="CT148" s="35"/>
      <c r="CU148" s="35"/>
      <c r="CV148" s="35"/>
      <c r="CW148" s="36">
        <f>'Old Balance Sheet'!W148 + 'ACPL Calculations - 1.0'!Z148 + 'ACPL Calculations - 2.0'!Z148</f>
        <v>0</v>
      </c>
      <c r="CX148" s="36">
        <f>'Old Balance Sheet'!X148 + 'ACPL Calculations - 1.0'!AA148 + 'ACPL Calculations - 2.0'!AA148</f>
        <v>0</v>
      </c>
      <c r="CY148" s="37">
        <v>0.0</v>
      </c>
      <c r="CZ148" s="38">
        <f>'Old Balance Sheet'!Y148 + 'ACPL Calculations - 1.0'!AB148 + 'ACPL Calculations - 2.0'!AB148</f>
        <v>0</v>
      </c>
      <c r="DA148" s="38">
        <f>'Old Balance Sheet'!Z148 + 'ACPL Calculations - 1.0'!AC148 + 'ACPL Calculations - 2.0'!AC148</f>
        <v>0</v>
      </c>
      <c r="DB148" s="38">
        <f>'Old Balance Sheet'!AA148 + 'ACPL Calculations - 1.0'!AD148 + 'ACPL Calculations - 2.0'!AD148</f>
        <v>0</v>
      </c>
      <c r="DC148" s="38">
        <f>'Old Balance Sheet'!AB148 + 'ACPL Calculations - 1.0'!AE148 + 'ACPL Calculations - 2.0'!AE148</f>
        <v>0</v>
      </c>
      <c r="DD148" s="38">
        <f t="shared" si="4"/>
        <v>0</v>
      </c>
      <c r="DE148" s="33">
        <f t="shared" si="5"/>
        <v>0</v>
      </c>
      <c r="DF148" s="35">
        <v>0.0</v>
      </c>
      <c r="DG148" s="35">
        <v>0.0</v>
      </c>
      <c r="DH148" s="35">
        <v>0.0</v>
      </c>
      <c r="DI148" s="35">
        <v>0.0</v>
      </c>
      <c r="DJ148" s="35">
        <v>0.0</v>
      </c>
      <c r="DK148" s="35">
        <v>0.0</v>
      </c>
      <c r="DL148" s="35">
        <v>0.0</v>
      </c>
      <c r="DM148" s="35">
        <v>0.0</v>
      </c>
      <c r="DN148" s="31">
        <v>0.0</v>
      </c>
      <c r="DO148" s="31">
        <v>0.0</v>
      </c>
      <c r="DP148" s="31">
        <v>0.0</v>
      </c>
      <c r="DQ148" s="31">
        <v>0.0</v>
      </c>
      <c r="DR148" s="31">
        <v>0.0</v>
      </c>
      <c r="DS148" s="31">
        <v>0.0</v>
      </c>
      <c r="DT148" s="31">
        <f>'Old Balance Sheet'!AC148</f>
        <v>-442</v>
      </c>
      <c r="DU148" s="31">
        <f>DT148 + SUMIFS('Payments Log'!D:D, 'Payments Log'!B:B, A148, 'Payments Log'!L:L, "Approved", 'Payments Log'!M:M, "Credit") + 'Old Balance Sheet'!AD148 - 'Old Balance Sheet'!AC148</f>
        <v>-442</v>
      </c>
      <c r="DV148" s="31">
        <f>SUMIFS('Payments Log'!D:D, 'Payments Log'!B:B, A148, 'Payments Log'!L:L, "Approved", 'Payments Log'!M:M, "Adjustment Credit") - SUMIFS('Payments Log'!D:D, 'Payments Log'!B:B, A148, 'Payments Log'!L:L, "Approved", 'Payments Log'!M:M, "Adjustment Debit") + 'Old Balance Sheet'!AE148</f>
        <v>0</v>
      </c>
      <c r="DW148" s="31">
        <f>IF(MAXIFS('Payments Log'!N:N, 'Payments Log'!L:L, "Approved", 'Payments Log'!M:M, "Credit", 'Payments Log'!B:B, A148) &gt; MAXIFS('Payments Log'!N:N, 'Payments Log'!L:L, "Approved", 'Payments Log'!M:M, "Virtual Credit", 'Payments Log'!B:B, A148), 0, SUMIFS('Payments Log'!D:D, 'Payments Log'!N:N, MAXIFS('Payments Log'!N:N, 'Payments Log'!L:L, "Approved", 'Payments Log'!M:M, "Virtual Credit", 'Payments Log'!B:B, A148)))</f>
        <v>0</v>
      </c>
      <c r="DX148" s="33">
        <f t="shared" si="6"/>
        <v>-442</v>
      </c>
      <c r="DY148" s="33">
        <f t="shared" si="7"/>
        <v>-442</v>
      </c>
      <c r="DZ148" s="33">
        <f t="shared" si="8"/>
        <v>-442</v>
      </c>
      <c r="EA148" s="25" t="str">
        <f>(Sheet1!N148)</f>
        <v>Shree Shyam ji Hero- Meerut</v>
      </c>
      <c r="EB148" s="25" t="str">
        <f>(Sheet1!O148)</f>
        <v>1BwcIzZvh2T5Ujlh5jkvkSeatvF-YbuitkQwoRkKGAHU</v>
      </c>
      <c r="EC148" s="26" t="str">
        <f>(Sheet1!P148)</f>
        <v>Dealer</v>
      </c>
      <c r="ED148" s="34" t="s">
        <v>13</v>
      </c>
    </row>
    <row r="149">
      <c r="A149" s="25" t="str">
        <f>(Sheet1!A149)</f>
        <v>1-RGBeKDN73oqOmm6wKvrYGgPoHhF6AoBWbXbAsegR_M</v>
      </c>
      <c r="B149" s="25" t="str">
        <f>(Sheet1!B149)</f>
        <v>HANSAUTOMOBILE- SHAHJHANPUR(SP)</v>
      </c>
      <c r="C149" s="30" t="s">
        <v>13</v>
      </c>
      <c r="D149" s="30" t="s">
        <v>72</v>
      </c>
      <c r="E149" s="30" t="s">
        <v>3817</v>
      </c>
      <c r="F149" s="31">
        <v>205.0</v>
      </c>
      <c r="G149" s="32" t="s">
        <v>3818</v>
      </c>
      <c r="H149" s="31">
        <v>100.0</v>
      </c>
      <c r="I149" s="33">
        <f>'Old Balance Sheet'!A149 + 'ACPL Calculations - 1.0'!A149 + 'ACPL Calculations - 2.0'!A149</f>
        <v>0</v>
      </c>
      <c r="J149" s="30" t="s">
        <v>3817</v>
      </c>
      <c r="K149" s="31">
        <v>205.0</v>
      </c>
      <c r="L149" s="32" t="s">
        <v>3818</v>
      </c>
      <c r="M149" s="31">
        <v>100.0</v>
      </c>
      <c r="N149" s="33">
        <f>'Old Balance Sheet'!B149 + 'ACPL Calculations - 1.0'!B149 + 'ACPL Calculations - 2.0'!B149</f>
        <v>0</v>
      </c>
      <c r="O149" s="30" t="s">
        <v>3817</v>
      </c>
      <c r="P149" s="31">
        <v>290.0</v>
      </c>
      <c r="Q149" s="32" t="s">
        <v>3818</v>
      </c>
      <c r="R149" s="31">
        <v>100.0</v>
      </c>
      <c r="S149" s="33">
        <f>'Old Balance Sheet'!C149 + 'ACPL Calculations - 1.0'!C149 + 'ACPL Calculations - 2.0'!C149</f>
        <v>0</v>
      </c>
      <c r="T149" s="30" t="s">
        <v>3817</v>
      </c>
      <c r="U149" s="31">
        <v>375.0</v>
      </c>
      <c r="V149" s="32" t="s">
        <v>3818</v>
      </c>
      <c r="W149" s="31">
        <v>100.0</v>
      </c>
      <c r="X149" s="33">
        <f>'Old Balance Sheet'!D149 + 'ACPL Calculations - 1.0'!D149 + 'ACPL Calculations - 2.0'!D149</f>
        <v>0</v>
      </c>
      <c r="Y149" s="30" t="s">
        <v>3817</v>
      </c>
      <c r="Z149" s="31">
        <v>460.0</v>
      </c>
      <c r="AA149" s="32" t="s">
        <v>3818</v>
      </c>
      <c r="AB149" s="31">
        <v>100.0</v>
      </c>
      <c r="AC149" s="33">
        <f>'Old Balance Sheet'!E149 + 'ACPL Calculations - 1.0'!E149 + 'ACPL Calculations - 2.0'!E149</f>
        <v>0</v>
      </c>
      <c r="AD149" s="30" t="s">
        <v>3817</v>
      </c>
      <c r="AE149" s="34">
        <v>838.99</v>
      </c>
      <c r="AF149" s="32" t="s">
        <v>3818</v>
      </c>
      <c r="AG149" s="31">
        <v>100.0</v>
      </c>
      <c r="AH149" s="33">
        <f>'Old Balance Sheet'!F149 + 'ACPL Calculations - 1.0'!F149 + 'ACPL Calculations - 2.0'!F149</f>
        <v>0</v>
      </c>
      <c r="AI149" s="30" t="s">
        <v>3817</v>
      </c>
      <c r="AJ149" s="31">
        <v>375.0</v>
      </c>
      <c r="AK149" s="32" t="s">
        <v>3818</v>
      </c>
      <c r="AL149" s="31">
        <v>100.0</v>
      </c>
      <c r="AM149" s="33">
        <f>'Old Balance Sheet'!G149 + 'ACPL Calculations - 1.0'!G149 + 'ACPL Calculations - 2.0'!G149</f>
        <v>0</v>
      </c>
      <c r="AN149" s="30" t="s">
        <v>3817</v>
      </c>
      <c r="AO149" s="31">
        <v>290.0</v>
      </c>
      <c r="AP149" s="32" t="s">
        <v>3818</v>
      </c>
      <c r="AQ149" s="31">
        <v>100.0</v>
      </c>
      <c r="AR149" s="33">
        <f>'Old Balance Sheet'!H149 + 'ACPL Calculations - 1.0'!H149 + 'ACPL Calculations - 2.0'!H149</f>
        <v>0</v>
      </c>
      <c r="AS149" s="30" t="s">
        <v>3819</v>
      </c>
      <c r="AT149" s="31">
        <v>838.99</v>
      </c>
      <c r="AU149" s="32" t="s">
        <v>3818</v>
      </c>
      <c r="AV149" s="31">
        <v>100.0</v>
      </c>
      <c r="AW149" s="33">
        <f>'Old Balance Sheet'!I149 + 'ACPL Calculations - 1.0'!I149 + 'ACPL Calculations - 2.0'!I149</f>
        <v>0</v>
      </c>
      <c r="AX149" s="30" t="s">
        <v>3817</v>
      </c>
      <c r="AY149" s="31">
        <v>290.0</v>
      </c>
      <c r="AZ149" s="32" t="s">
        <v>3818</v>
      </c>
      <c r="BA149" s="31">
        <v>100.0</v>
      </c>
      <c r="BB149" s="33">
        <f>'Old Balance Sheet'!J149 + 'ACPL Calculations - 1.0'!J149 + 'ACPL Calculations - 2.0'!J149</f>
        <v>0</v>
      </c>
      <c r="BC149" s="30" t="s">
        <v>3817</v>
      </c>
      <c r="BD149" s="31">
        <v>205.0</v>
      </c>
      <c r="BE149" s="32" t="s">
        <v>3818</v>
      </c>
      <c r="BF149" s="31">
        <v>100.0</v>
      </c>
      <c r="BG149" s="33">
        <f>'Old Balance Sheet'!K149 + 'ACPL Calculations - 1.0'!K149 + 'ACPL Calculations - 2.0'!K149</f>
        <v>0</v>
      </c>
      <c r="BH149" s="30" t="s">
        <v>3817</v>
      </c>
      <c r="BI149" s="31">
        <v>205.0</v>
      </c>
      <c r="BJ149" s="32" t="s">
        <v>3818</v>
      </c>
      <c r="BK149" s="31">
        <v>100.0</v>
      </c>
      <c r="BL149" s="33">
        <f>'Old Balance Sheet'!L149 + 'ACPL Calculations - 1.0'!L149 + 'ACPL Calculations - 2.0'!L149</f>
        <v>0</v>
      </c>
      <c r="BM149" s="33"/>
      <c r="BN149" s="33"/>
      <c r="BO149" s="33"/>
      <c r="BP149" s="33"/>
      <c r="BQ149" s="33"/>
      <c r="BR149" s="33"/>
      <c r="BS149" s="33"/>
      <c r="BT149" s="33"/>
      <c r="BU149" s="33"/>
      <c r="BV149" s="33"/>
      <c r="BW149" s="33"/>
      <c r="BX149" s="33"/>
      <c r="BY149" s="33"/>
      <c r="BZ149" s="33"/>
      <c r="CA149" s="33"/>
      <c r="CB149" s="33"/>
      <c r="CC149" s="33"/>
      <c r="CD149" s="33"/>
      <c r="CE149" s="33"/>
      <c r="CF149" s="33"/>
      <c r="CG149" s="33"/>
      <c r="CH149" s="33"/>
      <c r="CI149" s="33"/>
      <c r="CJ149" s="33"/>
      <c r="CK149" s="33"/>
      <c r="CL149" s="33">
        <f t="shared" si="1"/>
        <v>0</v>
      </c>
      <c r="CM149" s="33">
        <f>'Old Balance Sheet'!R149 + 'ACPL Calculations - 1.0'!S149 + 'ACPL Calculations - 2.0'!S149</f>
        <v>0</v>
      </c>
      <c r="CN149" s="33">
        <f>'Old Balance Sheet'!S149 + 'ACPL Calculations - 1.0'!T149 + 'ACPL Calculations - 2.0'!T149</f>
        <v>0</v>
      </c>
      <c r="CO149" s="33">
        <f t="shared" si="2"/>
        <v>0</v>
      </c>
      <c r="CP149" s="33">
        <f>'Old Balance Sheet'!T149 + 'ACPL Calculations - 1.0'!V149 + 'ACPL Calculations - 2.0'!V149</f>
        <v>0</v>
      </c>
      <c r="CQ149" s="33">
        <f>'Old Balance Sheet'!U149 + 'ACPL Calculations - 1.0'!W149 + 'ACPL Calculations - 2.0'!W149</f>
        <v>0</v>
      </c>
      <c r="CR149" s="33">
        <f>'Old Balance Sheet'!V149 + 'ACPL Calculations - 1.0'!X149 + 'ACPL Calculations - 2.0'!X149</f>
        <v>0</v>
      </c>
      <c r="CS149" s="33">
        <f t="shared" si="3"/>
        <v>0</v>
      </c>
      <c r="CT149" s="35"/>
      <c r="CU149" s="35"/>
      <c r="CV149" s="35"/>
      <c r="CW149" s="36">
        <f>'Old Balance Sheet'!W149 + 'ACPL Calculations - 1.0'!Z149 + 'ACPL Calculations - 2.0'!Z149</f>
        <v>0</v>
      </c>
      <c r="CX149" s="36">
        <f>'Old Balance Sheet'!X149 + 'ACPL Calculations - 1.0'!AA149 + 'ACPL Calculations - 2.0'!AA149</f>
        <v>0</v>
      </c>
      <c r="CY149" s="37">
        <v>0.0</v>
      </c>
      <c r="CZ149" s="38">
        <f>'Old Balance Sheet'!Y149 + 'ACPL Calculations - 1.0'!AB149 + 'ACPL Calculations - 2.0'!AB149</f>
        <v>0</v>
      </c>
      <c r="DA149" s="38">
        <f>'Old Balance Sheet'!Z149 + 'ACPL Calculations - 1.0'!AC149 + 'ACPL Calculations - 2.0'!AC149</f>
        <v>0</v>
      </c>
      <c r="DB149" s="38">
        <f>'Old Balance Sheet'!AA149 + 'ACPL Calculations - 1.0'!AD149 + 'ACPL Calculations - 2.0'!AD149</f>
        <v>0</v>
      </c>
      <c r="DC149" s="38">
        <f>'Old Balance Sheet'!AB149 + 'ACPL Calculations - 1.0'!AE149 + 'ACPL Calculations - 2.0'!AE149</f>
        <v>0</v>
      </c>
      <c r="DD149" s="38">
        <f t="shared" si="4"/>
        <v>0</v>
      </c>
      <c r="DE149" s="33">
        <f t="shared" si="5"/>
        <v>0</v>
      </c>
      <c r="DF149" s="35">
        <v>0.0</v>
      </c>
      <c r="DG149" s="35">
        <v>0.0</v>
      </c>
      <c r="DH149" s="35">
        <v>0.0</v>
      </c>
      <c r="DI149" s="35">
        <v>0.0</v>
      </c>
      <c r="DJ149" s="35">
        <v>0.0</v>
      </c>
      <c r="DK149" s="35">
        <v>0.0</v>
      </c>
      <c r="DL149" s="35">
        <v>0.0</v>
      </c>
      <c r="DM149" s="35">
        <v>0.0</v>
      </c>
      <c r="DN149" s="31">
        <v>0.0</v>
      </c>
      <c r="DO149" s="31">
        <v>0.0</v>
      </c>
      <c r="DP149" s="31">
        <v>0.0</v>
      </c>
      <c r="DQ149" s="31">
        <v>0.0</v>
      </c>
      <c r="DR149" s="31">
        <v>0.0</v>
      </c>
      <c r="DS149" s="31">
        <v>0.0</v>
      </c>
      <c r="DT149" s="31">
        <f>'Old Balance Sheet'!AC149</f>
        <v>0</v>
      </c>
      <c r="DU149" s="31">
        <f>DT149 + SUMIFS('Payments Log'!D:D, 'Payments Log'!B:B, A149, 'Payments Log'!L:L, "Approved", 'Payments Log'!M:M, "Credit") + 'Old Balance Sheet'!AD149 - 'Old Balance Sheet'!AC149</f>
        <v>0</v>
      </c>
      <c r="DV149" s="31">
        <f>SUMIFS('Payments Log'!D:D, 'Payments Log'!B:B, A149, 'Payments Log'!L:L, "Approved", 'Payments Log'!M:M, "Adjustment Credit") - SUMIFS('Payments Log'!D:D, 'Payments Log'!B:B, A149, 'Payments Log'!L:L, "Approved", 'Payments Log'!M:M, "Adjustment Debit") + 'Old Balance Sheet'!AE149</f>
        <v>0</v>
      </c>
      <c r="DW149" s="31">
        <f>IF(MAXIFS('Payments Log'!N:N, 'Payments Log'!L:L, "Approved", 'Payments Log'!M:M, "Credit", 'Payments Log'!B:B, A149) &gt; MAXIFS('Payments Log'!N:N, 'Payments Log'!L:L, "Approved", 'Payments Log'!M:M, "Virtual Credit", 'Payments Log'!B:B, A149), 0, SUMIFS('Payments Log'!D:D, 'Payments Log'!N:N, MAXIFS('Payments Log'!N:N, 'Payments Log'!L:L, "Approved", 'Payments Log'!M:M, "Virtual Credit", 'Payments Log'!B:B, A149)))</f>
        <v>0</v>
      </c>
      <c r="DX149" s="33">
        <f t="shared" si="6"/>
        <v>0</v>
      </c>
      <c r="DY149" s="33">
        <f t="shared" si="7"/>
        <v>0</v>
      </c>
      <c r="DZ149" s="33">
        <f t="shared" si="8"/>
        <v>0</v>
      </c>
      <c r="EA149" s="25" t="str">
        <f>(Sheet1!N149)</f>
        <v>HANSAUTOMOBILE- SHAHJHANPUR(SP)</v>
      </c>
      <c r="EB149" s="25" t="str">
        <f>(Sheet1!O149)</f>
        <v>1-RGBeKDN73oqOmm6wKvrYGgPoHhF6AoBWbXbAsegR_M</v>
      </c>
      <c r="EC149" s="26" t="str">
        <f>(Sheet1!P149)</f>
        <v>Dealer</v>
      </c>
      <c r="ED149" s="34" t="s">
        <v>13</v>
      </c>
    </row>
    <row r="150">
      <c r="A150" s="25" t="str">
        <f>(Sheet1!A150)</f>
        <v>1nNUUalGOlMWDdYbk6V0hbfrM7YklXBY-gP0UjcjGIBo</v>
      </c>
      <c r="B150" s="25" t="str">
        <f>(Sheet1!B150)</f>
        <v>GSM BAJAJ- KHANDSA GURGAON-(SP)</v>
      </c>
      <c r="C150" s="30" t="s">
        <v>13</v>
      </c>
      <c r="D150" s="30" t="s">
        <v>72</v>
      </c>
      <c r="E150" s="30" t="s">
        <v>3820</v>
      </c>
      <c r="F150" s="31">
        <v>205.0</v>
      </c>
      <c r="G150" s="32" t="s">
        <v>3818</v>
      </c>
      <c r="H150" s="31">
        <v>100.0</v>
      </c>
      <c r="I150" s="33">
        <f>'Old Balance Sheet'!A150 + 'ACPL Calculations - 1.0'!A150 + 'ACPL Calculations - 2.0'!A150</f>
        <v>0</v>
      </c>
      <c r="J150" s="30" t="s">
        <v>3820</v>
      </c>
      <c r="K150" s="31">
        <v>205.0</v>
      </c>
      <c r="L150" s="32" t="s">
        <v>3818</v>
      </c>
      <c r="M150" s="31">
        <v>100.0</v>
      </c>
      <c r="N150" s="33">
        <f>'Old Balance Sheet'!B150 + 'ACPL Calculations - 1.0'!B150 + 'ACPL Calculations - 2.0'!B150</f>
        <v>0</v>
      </c>
      <c r="O150" s="30" t="s">
        <v>3820</v>
      </c>
      <c r="P150" s="31">
        <v>290.0</v>
      </c>
      <c r="Q150" s="32" t="s">
        <v>3818</v>
      </c>
      <c r="R150" s="31">
        <v>100.0</v>
      </c>
      <c r="S150" s="33">
        <f>'Old Balance Sheet'!C150 + 'ACPL Calculations - 1.0'!C150 + 'ACPL Calculations - 2.0'!C150</f>
        <v>0</v>
      </c>
      <c r="T150" s="30" t="s">
        <v>3820</v>
      </c>
      <c r="U150" s="31">
        <v>375.0</v>
      </c>
      <c r="V150" s="32" t="s">
        <v>3818</v>
      </c>
      <c r="W150" s="31">
        <v>100.0</v>
      </c>
      <c r="X150" s="33">
        <f>'Old Balance Sheet'!D150 + 'ACPL Calculations - 1.0'!D150 + 'ACPL Calculations - 2.0'!D150</f>
        <v>0</v>
      </c>
      <c r="Y150" s="30" t="s">
        <v>3820</v>
      </c>
      <c r="Z150" s="31">
        <v>460.0</v>
      </c>
      <c r="AA150" s="32" t="s">
        <v>3818</v>
      </c>
      <c r="AB150" s="31">
        <v>100.0</v>
      </c>
      <c r="AC150" s="33">
        <f>'Old Balance Sheet'!E150 + 'ACPL Calculations - 1.0'!E150 + 'ACPL Calculations - 2.0'!E150</f>
        <v>0</v>
      </c>
      <c r="AD150" s="30" t="s">
        <v>3820</v>
      </c>
      <c r="AE150" s="34">
        <v>838.99</v>
      </c>
      <c r="AF150" s="32" t="s">
        <v>3818</v>
      </c>
      <c r="AG150" s="31">
        <v>100.0</v>
      </c>
      <c r="AH150" s="33">
        <f>'Old Balance Sheet'!F150 + 'ACPL Calculations - 1.0'!F150 + 'ACPL Calculations - 2.0'!F150</f>
        <v>0</v>
      </c>
      <c r="AI150" s="30" t="s">
        <v>3820</v>
      </c>
      <c r="AJ150" s="31">
        <v>375.0</v>
      </c>
      <c r="AK150" s="32" t="s">
        <v>3818</v>
      </c>
      <c r="AL150" s="31">
        <v>100.0</v>
      </c>
      <c r="AM150" s="33">
        <f>'Old Balance Sheet'!G150 + 'ACPL Calculations - 1.0'!G150 + 'ACPL Calculations - 2.0'!G150</f>
        <v>0</v>
      </c>
      <c r="AN150" s="30" t="s">
        <v>3820</v>
      </c>
      <c r="AO150" s="31">
        <v>290.0</v>
      </c>
      <c r="AP150" s="32" t="s">
        <v>3818</v>
      </c>
      <c r="AQ150" s="31">
        <v>100.0</v>
      </c>
      <c r="AR150" s="33">
        <f>'Old Balance Sheet'!H150 + 'ACPL Calculations - 1.0'!H150 + 'ACPL Calculations - 2.0'!H150</f>
        <v>0</v>
      </c>
      <c r="AS150" s="30" t="s">
        <v>3819</v>
      </c>
      <c r="AT150" s="31">
        <v>838.99</v>
      </c>
      <c r="AU150" s="32" t="s">
        <v>3818</v>
      </c>
      <c r="AV150" s="31">
        <v>100.0</v>
      </c>
      <c r="AW150" s="33">
        <f>'Old Balance Sheet'!I150 + 'ACPL Calculations - 1.0'!I150 + 'ACPL Calculations - 2.0'!I150</f>
        <v>0</v>
      </c>
      <c r="AX150" s="30" t="s">
        <v>3820</v>
      </c>
      <c r="AY150" s="31">
        <v>290.0</v>
      </c>
      <c r="AZ150" s="32" t="s">
        <v>3818</v>
      </c>
      <c r="BA150" s="31">
        <v>100.0</v>
      </c>
      <c r="BB150" s="33">
        <f>'Old Balance Sheet'!J150 + 'ACPL Calculations - 1.0'!J150 + 'ACPL Calculations - 2.0'!J150</f>
        <v>0</v>
      </c>
      <c r="BC150" s="30" t="s">
        <v>3820</v>
      </c>
      <c r="BD150" s="31">
        <v>205.0</v>
      </c>
      <c r="BE150" s="32" t="s">
        <v>3818</v>
      </c>
      <c r="BF150" s="31">
        <v>100.0</v>
      </c>
      <c r="BG150" s="33">
        <f>'Old Balance Sheet'!K150 + 'ACPL Calculations - 1.0'!K150 + 'ACPL Calculations - 2.0'!K150</f>
        <v>0</v>
      </c>
      <c r="BH150" s="30" t="s">
        <v>3820</v>
      </c>
      <c r="BI150" s="31">
        <v>205.0</v>
      </c>
      <c r="BJ150" s="32" t="s">
        <v>3818</v>
      </c>
      <c r="BK150" s="31">
        <v>100.0</v>
      </c>
      <c r="BL150" s="33">
        <f>'Old Balance Sheet'!L150 + 'ACPL Calculations - 1.0'!L150 + 'ACPL Calculations - 2.0'!L150</f>
        <v>0</v>
      </c>
      <c r="BM150" s="33"/>
      <c r="BN150" s="33"/>
      <c r="BO150" s="33"/>
      <c r="BP150" s="33"/>
      <c r="BQ150" s="33"/>
      <c r="BR150" s="33"/>
      <c r="BS150" s="33"/>
      <c r="BT150" s="33"/>
      <c r="BU150" s="33"/>
      <c r="BV150" s="33"/>
      <c r="BW150" s="33"/>
      <c r="BX150" s="33"/>
      <c r="BY150" s="33"/>
      <c r="BZ150" s="33"/>
      <c r="CA150" s="33"/>
      <c r="CB150" s="33"/>
      <c r="CC150" s="33"/>
      <c r="CD150" s="33"/>
      <c r="CE150" s="33"/>
      <c r="CF150" s="33"/>
      <c r="CG150" s="33"/>
      <c r="CH150" s="33"/>
      <c r="CI150" s="33"/>
      <c r="CJ150" s="33"/>
      <c r="CK150" s="33"/>
      <c r="CL150" s="33">
        <f t="shared" si="1"/>
        <v>0</v>
      </c>
      <c r="CM150" s="33">
        <f>'Old Balance Sheet'!R150 + 'ACPL Calculations - 1.0'!S150 + 'ACPL Calculations - 2.0'!S150</f>
        <v>0</v>
      </c>
      <c r="CN150" s="33">
        <f>'Old Balance Sheet'!S150 + 'ACPL Calculations - 1.0'!T150 + 'ACPL Calculations - 2.0'!T150</f>
        <v>0</v>
      </c>
      <c r="CO150" s="33">
        <f t="shared" si="2"/>
        <v>0</v>
      </c>
      <c r="CP150" s="33">
        <f>'Old Balance Sheet'!T150 + 'ACPL Calculations - 1.0'!V150 + 'ACPL Calculations - 2.0'!V150</f>
        <v>0</v>
      </c>
      <c r="CQ150" s="33">
        <f>'Old Balance Sheet'!U150 + 'ACPL Calculations - 1.0'!W150 + 'ACPL Calculations - 2.0'!W150</f>
        <v>0</v>
      </c>
      <c r="CR150" s="33">
        <f>'Old Balance Sheet'!V150 + 'ACPL Calculations - 1.0'!X150 + 'ACPL Calculations - 2.0'!X150</f>
        <v>0</v>
      </c>
      <c r="CS150" s="33">
        <f t="shared" si="3"/>
        <v>0</v>
      </c>
      <c r="CT150" s="35"/>
      <c r="CU150" s="35"/>
      <c r="CV150" s="35"/>
      <c r="CW150" s="36">
        <f>'Old Balance Sheet'!W150 + 'ACPL Calculations - 1.0'!Z150 + 'ACPL Calculations - 2.0'!Z150</f>
        <v>0</v>
      </c>
      <c r="CX150" s="36">
        <f>'Old Balance Sheet'!X150 + 'ACPL Calculations - 1.0'!AA150 + 'ACPL Calculations - 2.0'!AA150</f>
        <v>0</v>
      </c>
      <c r="CY150" s="37">
        <v>0.0</v>
      </c>
      <c r="CZ150" s="38">
        <f>'Old Balance Sheet'!Y150 + 'ACPL Calculations - 1.0'!AB150 + 'ACPL Calculations - 2.0'!AB150</f>
        <v>0</v>
      </c>
      <c r="DA150" s="38">
        <f>'Old Balance Sheet'!Z150 + 'ACPL Calculations - 1.0'!AC150 + 'ACPL Calculations - 2.0'!AC150</f>
        <v>0</v>
      </c>
      <c r="DB150" s="38">
        <f>'Old Balance Sheet'!AA150 + 'ACPL Calculations - 1.0'!AD150 + 'ACPL Calculations - 2.0'!AD150</f>
        <v>0</v>
      </c>
      <c r="DC150" s="38">
        <f>'Old Balance Sheet'!AB150 + 'ACPL Calculations - 1.0'!AE150 + 'ACPL Calculations - 2.0'!AE150</f>
        <v>0</v>
      </c>
      <c r="DD150" s="38">
        <f t="shared" si="4"/>
        <v>0</v>
      </c>
      <c r="DE150" s="33">
        <f t="shared" si="5"/>
        <v>0</v>
      </c>
      <c r="DF150" s="35">
        <v>0.0</v>
      </c>
      <c r="DG150" s="35">
        <v>0.0</v>
      </c>
      <c r="DH150" s="35">
        <v>0.0</v>
      </c>
      <c r="DI150" s="35">
        <v>0.0</v>
      </c>
      <c r="DJ150" s="35">
        <v>0.0</v>
      </c>
      <c r="DK150" s="35">
        <v>0.0</v>
      </c>
      <c r="DL150" s="35">
        <v>0.0</v>
      </c>
      <c r="DM150" s="35">
        <v>0.0</v>
      </c>
      <c r="DN150" s="31">
        <v>0.0</v>
      </c>
      <c r="DO150" s="31">
        <v>0.0</v>
      </c>
      <c r="DP150" s="31">
        <v>0.0</v>
      </c>
      <c r="DQ150" s="31">
        <v>0.0</v>
      </c>
      <c r="DR150" s="31">
        <v>0.0</v>
      </c>
      <c r="DS150" s="31">
        <v>0.0</v>
      </c>
      <c r="DT150" s="31">
        <f>'Old Balance Sheet'!AC150</f>
        <v>0</v>
      </c>
      <c r="DU150" s="31">
        <f>DT150 + SUMIFS('Payments Log'!D:D, 'Payments Log'!B:B, A150, 'Payments Log'!L:L, "Approved", 'Payments Log'!M:M, "Credit") + 'Old Balance Sheet'!AD150 - 'Old Balance Sheet'!AC150</f>
        <v>0</v>
      </c>
      <c r="DV150" s="31">
        <f>SUMIFS('Payments Log'!D:D, 'Payments Log'!B:B, A150, 'Payments Log'!L:L, "Approved", 'Payments Log'!M:M, "Adjustment Credit") - SUMIFS('Payments Log'!D:D, 'Payments Log'!B:B, A150, 'Payments Log'!L:L, "Approved", 'Payments Log'!M:M, "Adjustment Debit") + 'Old Balance Sheet'!AE150</f>
        <v>0</v>
      </c>
      <c r="DW150" s="31">
        <f>IF(MAXIFS('Payments Log'!N:N, 'Payments Log'!L:L, "Approved", 'Payments Log'!M:M, "Credit", 'Payments Log'!B:B, A150) &gt; MAXIFS('Payments Log'!N:N, 'Payments Log'!L:L, "Approved", 'Payments Log'!M:M, "Virtual Credit", 'Payments Log'!B:B, A150), 0, SUMIFS('Payments Log'!D:D, 'Payments Log'!N:N, MAXIFS('Payments Log'!N:N, 'Payments Log'!L:L, "Approved", 'Payments Log'!M:M, "Virtual Credit", 'Payments Log'!B:B, A150)))</f>
        <v>0</v>
      </c>
      <c r="DX150" s="33">
        <f t="shared" si="6"/>
        <v>0</v>
      </c>
      <c r="DY150" s="33">
        <f t="shared" si="7"/>
        <v>0</v>
      </c>
      <c r="DZ150" s="33">
        <f t="shared" si="8"/>
        <v>0</v>
      </c>
      <c r="EA150" s="25" t="str">
        <f>(Sheet1!N150)</f>
        <v>GSM BAJAJ- KHANDSA GURGAON-(SP)</v>
      </c>
      <c r="EB150" s="25" t="str">
        <f>(Sheet1!O150)</f>
        <v>1nNUUalGOlMWDdYbk6V0hbfrM7YklXBY-gP0UjcjGIBo</v>
      </c>
      <c r="EC150" s="26" t="str">
        <f>(Sheet1!P150)</f>
        <v>Dealer</v>
      </c>
      <c r="ED150" s="34" t="s">
        <v>13</v>
      </c>
    </row>
    <row r="151">
      <c r="A151" s="25" t="str">
        <f>(Sheet1!A151)</f>
        <v>1Gr4Dqm3VC_aFirTVGJtSHZmd3Y6Hkd8pWAN1HsALU_o</v>
      </c>
      <c r="B151" s="25" t="str">
        <f>(Sheet1!B151)</f>
        <v>Jay Kumar Arun Kumar Hero - Meerut</v>
      </c>
      <c r="C151" s="30" t="s">
        <v>13</v>
      </c>
      <c r="D151" s="30" t="s">
        <v>72</v>
      </c>
      <c r="E151" s="30" t="s">
        <v>3820</v>
      </c>
      <c r="F151" s="31">
        <v>205.0</v>
      </c>
      <c r="G151" s="32" t="s">
        <v>3818</v>
      </c>
      <c r="H151" s="31">
        <v>100.0</v>
      </c>
      <c r="I151" s="33">
        <f>'Old Balance Sheet'!A151 + 'ACPL Calculations - 1.0'!A151 + 'ACPL Calculations - 2.0'!A151</f>
        <v>0</v>
      </c>
      <c r="J151" s="30" t="s">
        <v>3820</v>
      </c>
      <c r="K151" s="31">
        <v>205.0</v>
      </c>
      <c r="L151" s="32" t="s">
        <v>3818</v>
      </c>
      <c r="M151" s="31">
        <v>100.0</v>
      </c>
      <c r="N151" s="33">
        <f>'Old Balance Sheet'!B151 + 'ACPL Calculations - 1.0'!B151 + 'ACPL Calculations - 2.0'!B151</f>
        <v>0</v>
      </c>
      <c r="O151" s="30" t="s">
        <v>3820</v>
      </c>
      <c r="P151" s="31">
        <v>290.0</v>
      </c>
      <c r="Q151" s="32" t="s">
        <v>3818</v>
      </c>
      <c r="R151" s="31">
        <v>100.0</v>
      </c>
      <c r="S151" s="33">
        <f>'Old Balance Sheet'!C151 + 'ACPL Calculations - 1.0'!C151 + 'ACPL Calculations - 2.0'!C151</f>
        <v>0</v>
      </c>
      <c r="T151" s="30" t="s">
        <v>3820</v>
      </c>
      <c r="U151" s="31">
        <v>375.0</v>
      </c>
      <c r="V151" s="32" t="s">
        <v>3818</v>
      </c>
      <c r="W151" s="31">
        <v>100.0</v>
      </c>
      <c r="X151" s="33">
        <f>'Old Balance Sheet'!D151 + 'ACPL Calculations - 1.0'!D151 + 'ACPL Calculations - 2.0'!D151</f>
        <v>0</v>
      </c>
      <c r="Y151" s="30" t="s">
        <v>3820</v>
      </c>
      <c r="Z151" s="31">
        <v>460.0</v>
      </c>
      <c r="AA151" s="32" t="s">
        <v>3818</v>
      </c>
      <c r="AB151" s="31">
        <v>100.0</v>
      </c>
      <c r="AC151" s="33">
        <f>'Old Balance Sheet'!E151 + 'ACPL Calculations - 1.0'!E151 + 'ACPL Calculations - 2.0'!E151</f>
        <v>6251</v>
      </c>
      <c r="AD151" s="30" t="s">
        <v>3820</v>
      </c>
      <c r="AE151" s="34">
        <v>838.99</v>
      </c>
      <c r="AF151" s="32" t="s">
        <v>3818</v>
      </c>
      <c r="AG151" s="31">
        <v>100.0</v>
      </c>
      <c r="AH151" s="33">
        <f>'Old Balance Sheet'!F151 + 'ACPL Calculations - 1.0'!F151 + 'ACPL Calculations - 2.0'!F151</f>
        <v>0</v>
      </c>
      <c r="AI151" s="30" t="s">
        <v>3820</v>
      </c>
      <c r="AJ151" s="31">
        <v>375.0</v>
      </c>
      <c r="AK151" s="32" t="s">
        <v>3818</v>
      </c>
      <c r="AL151" s="31">
        <v>100.0</v>
      </c>
      <c r="AM151" s="33">
        <f>'Old Balance Sheet'!G151 + 'ACPL Calculations - 1.0'!G151 + 'ACPL Calculations - 2.0'!G151</f>
        <v>0</v>
      </c>
      <c r="AN151" s="30" t="s">
        <v>3820</v>
      </c>
      <c r="AO151" s="31">
        <v>290.0</v>
      </c>
      <c r="AP151" s="32" t="s">
        <v>3818</v>
      </c>
      <c r="AQ151" s="31">
        <v>100.0</v>
      </c>
      <c r="AR151" s="33">
        <f>'Old Balance Sheet'!H151 + 'ACPL Calculations - 1.0'!H151 + 'ACPL Calculations - 2.0'!H151</f>
        <v>0</v>
      </c>
      <c r="AS151" s="30" t="s">
        <v>3819</v>
      </c>
      <c r="AT151" s="31">
        <v>838.99</v>
      </c>
      <c r="AU151" s="32" t="s">
        <v>3818</v>
      </c>
      <c r="AV151" s="31">
        <v>100.0</v>
      </c>
      <c r="AW151" s="33">
        <f>'Old Balance Sheet'!I151 + 'ACPL Calculations - 1.0'!I151 + 'ACPL Calculations - 2.0'!I151</f>
        <v>0</v>
      </c>
      <c r="AX151" s="30" t="s">
        <v>3820</v>
      </c>
      <c r="AY151" s="31">
        <v>290.0</v>
      </c>
      <c r="AZ151" s="32" t="s">
        <v>3818</v>
      </c>
      <c r="BA151" s="31">
        <v>100.0</v>
      </c>
      <c r="BB151" s="33">
        <f>'Old Balance Sheet'!J151 + 'ACPL Calculations - 1.0'!J151 + 'ACPL Calculations - 2.0'!J151</f>
        <v>0</v>
      </c>
      <c r="BC151" s="30" t="s">
        <v>3820</v>
      </c>
      <c r="BD151" s="31">
        <v>205.0</v>
      </c>
      <c r="BE151" s="32" t="s">
        <v>3818</v>
      </c>
      <c r="BF151" s="31">
        <v>100.0</v>
      </c>
      <c r="BG151" s="33">
        <f>'Old Balance Sheet'!K151 + 'ACPL Calculations - 1.0'!K151 + 'ACPL Calculations - 2.0'!K151</f>
        <v>0</v>
      </c>
      <c r="BH151" s="30" t="s">
        <v>3820</v>
      </c>
      <c r="BI151" s="31">
        <v>205.0</v>
      </c>
      <c r="BJ151" s="32" t="s">
        <v>3818</v>
      </c>
      <c r="BK151" s="31">
        <v>100.0</v>
      </c>
      <c r="BL151" s="33">
        <f>'Old Balance Sheet'!L151 + 'ACPL Calculations - 1.0'!L151 + 'ACPL Calculations - 2.0'!L151</f>
        <v>0</v>
      </c>
      <c r="BM151" s="33"/>
      <c r="BN151" s="33"/>
      <c r="BO151" s="33"/>
      <c r="BP151" s="33"/>
      <c r="BQ151" s="33"/>
      <c r="BR151" s="33"/>
      <c r="BS151" s="33"/>
      <c r="BT151" s="33"/>
      <c r="BU151" s="33"/>
      <c r="BV151" s="33"/>
      <c r="BW151" s="33"/>
      <c r="BX151" s="33"/>
      <c r="BY151" s="33"/>
      <c r="BZ151" s="33"/>
      <c r="CA151" s="33"/>
      <c r="CB151" s="33"/>
      <c r="CC151" s="33"/>
      <c r="CD151" s="33"/>
      <c r="CE151" s="33"/>
      <c r="CF151" s="33"/>
      <c r="CG151" s="33"/>
      <c r="CH151" s="33"/>
      <c r="CI151" s="33"/>
      <c r="CJ151" s="33"/>
      <c r="CK151" s="33"/>
      <c r="CL151" s="33">
        <f t="shared" si="1"/>
        <v>6251</v>
      </c>
      <c r="CM151" s="33">
        <f>'Old Balance Sheet'!R151 + 'ACPL Calculations - 1.0'!S151 + 'ACPL Calculations - 2.0'!S151</f>
        <v>9450652</v>
      </c>
      <c r="CN151" s="33">
        <f>'Old Balance Sheet'!S151 + 'ACPL Calculations - 1.0'!T151 + 'ACPL Calculations - 2.0'!T151</f>
        <v>2809160</v>
      </c>
      <c r="CO151" s="33">
        <f t="shared" si="2"/>
        <v>4250790.59</v>
      </c>
      <c r="CP151" s="33">
        <f>'Old Balance Sheet'!T151 + 'ACPL Calculations - 1.0'!V151 + 'ACPL Calculations - 2.0'!V151</f>
        <v>319.13</v>
      </c>
      <c r="CQ151" s="33">
        <f>'Old Balance Sheet'!U151 + 'ACPL Calculations - 1.0'!W151 + 'ACPL Calculations - 2.0'!W151</f>
        <v>319.13</v>
      </c>
      <c r="CR151" s="33">
        <f>'Old Balance Sheet'!V151 + 'ACPL Calculations - 1.0'!X151 + 'ACPL Calculations - 2.0'!X151</f>
        <v>1440992.33</v>
      </c>
      <c r="CS151" s="33">
        <f t="shared" si="3"/>
        <v>1441630.59</v>
      </c>
      <c r="CT151" s="35"/>
      <c r="CU151" s="35"/>
      <c r="CV151" s="35"/>
      <c r="CW151" s="36">
        <f>'Old Balance Sheet'!W151 + 'ACPL Calculations - 1.0'!Z151 + 'ACPL Calculations - 2.0'!Z151</f>
        <v>9450652</v>
      </c>
      <c r="CX151" s="36">
        <f>'Old Balance Sheet'!X151 + 'ACPL Calculations - 1.0'!AA151 + 'ACPL Calculations - 2.0'!AA151</f>
        <v>4469392.71</v>
      </c>
      <c r="CY151" s="37">
        <v>0.0</v>
      </c>
      <c r="CZ151" s="38">
        <f>'Old Balance Sheet'!Y151 + 'ACPL Calculations - 1.0'!AB151 + 'ACPL Calculations - 2.0'!AB151</f>
        <v>5172271.81</v>
      </c>
      <c r="DA151" s="38">
        <f>'Old Balance Sheet'!Z151 + 'ACPL Calculations - 1.0'!AC151 + 'ACPL Calculations - 2.0'!AC151</f>
        <v>0</v>
      </c>
      <c r="DB151" s="38">
        <f>'Old Balance Sheet'!AA151 + 'ACPL Calculations - 1.0'!AD151 + 'ACPL Calculations - 2.0'!AD151</f>
        <v>218602.21</v>
      </c>
      <c r="DC151" s="38">
        <f>'Old Balance Sheet'!AB151 + 'ACPL Calculations - 1.0'!AE151 + 'ACPL Calculations - 2.0'!AE151</f>
        <v>4981259.29</v>
      </c>
      <c r="DD151" s="38">
        <f t="shared" si="4"/>
        <v>4981259.29</v>
      </c>
      <c r="DE151" s="33">
        <f t="shared" si="5"/>
        <v>3861995.29</v>
      </c>
      <c r="DF151" s="35">
        <v>0.0</v>
      </c>
      <c r="DG151" s="35">
        <v>0.0</v>
      </c>
      <c r="DH151" s="35">
        <v>0.0</v>
      </c>
      <c r="DI151" s="35">
        <v>0.0</v>
      </c>
      <c r="DJ151" s="35">
        <v>0.0</v>
      </c>
      <c r="DK151" s="35">
        <v>0.0</v>
      </c>
      <c r="DL151" s="35">
        <v>0.0</v>
      </c>
      <c r="DM151" s="35">
        <v>0.0</v>
      </c>
      <c r="DN151" s="31">
        <v>0.0</v>
      </c>
      <c r="DO151" s="31">
        <v>0.0</v>
      </c>
      <c r="DP151" s="31">
        <v>0.0</v>
      </c>
      <c r="DQ151" s="31">
        <v>0.0</v>
      </c>
      <c r="DR151" s="31">
        <v>0.0</v>
      </c>
      <c r="DS151" s="31">
        <v>0.0</v>
      </c>
      <c r="DT151" s="31">
        <f>'Old Balance Sheet'!AC151</f>
        <v>-320192</v>
      </c>
      <c r="DU151" s="31">
        <f>DT151 + SUMIFS('Payments Log'!D:D, 'Payments Log'!B:B, A151, 'Payments Log'!L:L, "Approved", 'Payments Log'!M:M, "Credit") + 'Old Balance Sheet'!AD151 - 'Old Balance Sheet'!AC151</f>
        <v>8331388</v>
      </c>
      <c r="DV151" s="31">
        <f>SUMIFS('Payments Log'!D:D, 'Payments Log'!B:B, A151, 'Payments Log'!L:L, "Approved", 'Payments Log'!M:M, "Adjustment Credit") - SUMIFS('Payments Log'!D:D, 'Payments Log'!B:B, A151, 'Payments Log'!L:L, "Approved", 'Payments Log'!M:M, "Adjustment Debit") + 'Old Balance Sheet'!AE151</f>
        <v>0</v>
      </c>
      <c r="DW151" s="31">
        <f>IF(MAXIFS('Payments Log'!N:N, 'Payments Log'!L:L, "Approved", 'Payments Log'!M:M, "Credit", 'Payments Log'!B:B, A151) &gt; MAXIFS('Payments Log'!N:N, 'Payments Log'!L:L, "Approved", 'Payments Log'!M:M, "Virtual Credit", 'Payments Log'!B:B, A151), 0, SUMIFS('Payments Log'!D:D, 'Payments Log'!N:N, MAXIFS('Payments Log'!N:N, 'Payments Log'!L:L, "Approved", 'Payments Log'!M:M, "Virtual Credit", 'Payments Log'!B:B, A151)))</f>
        <v>0</v>
      </c>
      <c r="DX151" s="33">
        <f t="shared" si="6"/>
        <v>-1119264</v>
      </c>
      <c r="DY151" s="33">
        <f t="shared" si="7"/>
        <v>3861995.29</v>
      </c>
      <c r="DZ151" s="33">
        <f t="shared" si="8"/>
        <v>3861995.29</v>
      </c>
      <c r="EA151" s="25" t="str">
        <f>(Sheet1!N151)</f>
        <v>Jay Kumar Arun Kumar Hero - Meerut</v>
      </c>
      <c r="EB151" s="25" t="str">
        <f>(Sheet1!O151)</f>
        <v>1Gr4Dqm3VC_aFirTVGJtSHZmd3Y6Hkd8pWAN1HsALU_o</v>
      </c>
      <c r="EC151" s="26" t="str">
        <f>(Sheet1!P151)</f>
        <v>Dealer</v>
      </c>
      <c r="ED151" s="34" t="s">
        <v>13</v>
      </c>
    </row>
    <row r="152">
      <c r="A152" s="25" t="str">
        <f>(Sheet1!A152)</f>
        <v>1lgZm4ATdvS3q8SH9cQmTsfbYjc0IuVfsbWILI4aQOtw</v>
      </c>
      <c r="B152" s="25" t="str">
        <f>(Sheet1!B152)</f>
        <v>CHAUDHARY MOTORS- KHURJA</v>
      </c>
      <c r="C152" s="30" t="s">
        <v>13</v>
      </c>
      <c r="D152" s="30" t="s">
        <v>72</v>
      </c>
      <c r="E152" s="30" t="s">
        <v>3820</v>
      </c>
      <c r="F152" s="31">
        <v>205.0</v>
      </c>
      <c r="G152" s="32" t="s">
        <v>3818</v>
      </c>
      <c r="H152" s="31">
        <v>100.0</v>
      </c>
      <c r="I152" s="33">
        <f>'Old Balance Sheet'!A152 + 'ACPL Calculations - 1.0'!A152 + 'ACPL Calculations - 2.0'!A152</f>
        <v>305</v>
      </c>
      <c r="J152" s="30" t="s">
        <v>3820</v>
      </c>
      <c r="K152" s="31">
        <v>205.0</v>
      </c>
      <c r="L152" s="32" t="s">
        <v>3818</v>
      </c>
      <c r="M152" s="31">
        <v>100.0</v>
      </c>
      <c r="N152" s="33">
        <f>'Old Balance Sheet'!B152 + 'ACPL Calculations - 1.0'!B152 + 'ACPL Calculations - 2.0'!B152</f>
        <v>0</v>
      </c>
      <c r="O152" s="30" t="s">
        <v>3820</v>
      </c>
      <c r="P152" s="31">
        <v>290.0</v>
      </c>
      <c r="Q152" s="32" t="s">
        <v>3818</v>
      </c>
      <c r="R152" s="31">
        <v>100.0</v>
      </c>
      <c r="S152" s="33">
        <f>'Old Balance Sheet'!C152 + 'ACPL Calculations - 1.0'!C152 + 'ACPL Calculations - 2.0'!C152</f>
        <v>0</v>
      </c>
      <c r="T152" s="30" t="s">
        <v>3820</v>
      </c>
      <c r="U152" s="31">
        <v>375.0</v>
      </c>
      <c r="V152" s="32" t="s">
        <v>3818</v>
      </c>
      <c r="W152" s="31">
        <v>100.0</v>
      </c>
      <c r="X152" s="33">
        <f>'Old Balance Sheet'!D152 + 'ACPL Calculations - 1.0'!D152 + 'ACPL Calculations - 2.0'!D152</f>
        <v>0</v>
      </c>
      <c r="Y152" s="30" t="s">
        <v>3820</v>
      </c>
      <c r="Z152" s="31">
        <v>460.0</v>
      </c>
      <c r="AA152" s="32" t="s">
        <v>3818</v>
      </c>
      <c r="AB152" s="31">
        <v>100.0</v>
      </c>
      <c r="AC152" s="33">
        <f>'Old Balance Sheet'!E152 + 'ACPL Calculations - 1.0'!E152 + 'ACPL Calculations - 2.0'!E152</f>
        <v>407</v>
      </c>
      <c r="AD152" s="30" t="s">
        <v>3820</v>
      </c>
      <c r="AE152" s="34">
        <v>838.99</v>
      </c>
      <c r="AF152" s="32" t="s">
        <v>3818</v>
      </c>
      <c r="AG152" s="31">
        <v>100.0</v>
      </c>
      <c r="AH152" s="33">
        <f>'Old Balance Sheet'!F152 + 'ACPL Calculations - 1.0'!F152 + 'ACPL Calculations - 2.0'!F152</f>
        <v>0</v>
      </c>
      <c r="AI152" s="30" t="s">
        <v>3820</v>
      </c>
      <c r="AJ152" s="31">
        <v>375.0</v>
      </c>
      <c r="AK152" s="32" t="s">
        <v>3818</v>
      </c>
      <c r="AL152" s="31">
        <v>100.0</v>
      </c>
      <c r="AM152" s="33">
        <f>'Old Balance Sheet'!G152 + 'ACPL Calculations - 1.0'!G152 + 'ACPL Calculations - 2.0'!G152</f>
        <v>0</v>
      </c>
      <c r="AN152" s="30" t="s">
        <v>3820</v>
      </c>
      <c r="AO152" s="31">
        <v>290.0</v>
      </c>
      <c r="AP152" s="32" t="s">
        <v>3818</v>
      </c>
      <c r="AQ152" s="31">
        <v>100.0</v>
      </c>
      <c r="AR152" s="33">
        <f>'Old Balance Sheet'!H152 + 'ACPL Calculations - 1.0'!H152 + 'ACPL Calculations - 2.0'!H152</f>
        <v>0</v>
      </c>
      <c r="AS152" s="30" t="s">
        <v>3819</v>
      </c>
      <c r="AT152" s="31">
        <v>838.99</v>
      </c>
      <c r="AU152" s="32" t="s">
        <v>3818</v>
      </c>
      <c r="AV152" s="31">
        <v>100.0</v>
      </c>
      <c r="AW152" s="33">
        <f>'Old Balance Sheet'!I152 + 'ACPL Calculations - 1.0'!I152 + 'ACPL Calculations - 2.0'!I152</f>
        <v>0</v>
      </c>
      <c r="AX152" s="30" t="s">
        <v>3820</v>
      </c>
      <c r="AY152" s="31">
        <v>290.0</v>
      </c>
      <c r="AZ152" s="32" t="s">
        <v>3818</v>
      </c>
      <c r="BA152" s="31">
        <v>100.0</v>
      </c>
      <c r="BB152" s="33">
        <f>'Old Balance Sheet'!J152 + 'ACPL Calculations - 1.0'!J152 + 'ACPL Calculations - 2.0'!J152</f>
        <v>0</v>
      </c>
      <c r="BC152" s="30" t="s">
        <v>3820</v>
      </c>
      <c r="BD152" s="31">
        <v>205.0</v>
      </c>
      <c r="BE152" s="32" t="s">
        <v>3818</v>
      </c>
      <c r="BF152" s="31">
        <v>100.0</v>
      </c>
      <c r="BG152" s="33">
        <f>'Old Balance Sheet'!K152 + 'ACPL Calculations - 1.0'!K152 + 'ACPL Calculations - 2.0'!K152</f>
        <v>0</v>
      </c>
      <c r="BH152" s="30" t="s">
        <v>3820</v>
      </c>
      <c r="BI152" s="31">
        <v>205.0</v>
      </c>
      <c r="BJ152" s="32" t="s">
        <v>3818</v>
      </c>
      <c r="BK152" s="31">
        <v>100.0</v>
      </c>
      <c r="BL152" s="33">
        <f>'Old Balance Sheet'!L152 + 'ACPL Calculations - 1.0'!L152 + 'ACPL Calculations - 2.0'!L152</f>
        <v>0</v>
      </c>
      <c r="BM152" s="33"/>
      <c r="BN152" s="33"/>
      <c r="BO152" s="33"/>
      <c r="BP152" s="33"/>
      <c r="BQ152" s="33"/>
      <c r="BR152" s="33"/>
      <c r="BS152" s="33"/>
      <c r="BT152" s="33"/>
      <c r="BU152" s="33"/>
      <c r="BV152" s="33"/>
      <c r="BW152" s="33"/>
      <c r="BX152" s="33"/>
      <c r="BY152" s="33"/>
      <c r="BZ152" s="33"/>
      <c r="CA152" s="33"/>
      <c r="CB152" s="33"/>
      <c r="CC152" s="33"/>
      <c r="CD152" s="33"/>
      <c r="CE152" s="33"/>
      <c r="CF152" s="33"/>
      <c r="CG152" s="33"/>
      <c r="CH152" s="33"/>
      <c r="CI152" s="33"/>
      <c r="CJ152" s="33"/>
      <c r="CK152" s="33"/>
      <c r="CL152" s="33">
        <f t="shared" si="1"/>
        <v>712</v>
      </c>
      <c r="CM152" s="33">
        <f>'Old Balance Sheet'!R152 + 'ACPL Calculations - 1.0'!S152 + 'ACPL Calculations - 2.0'!S152</f>
        <v>762680</v>
      </c>
      <c r="CN152" s="33">
        <f>'Old Balance Sheet'!S152 + 'ACPL Calculations - 1.0'!T152 + 'ACPL Calculations - 2.0'!T152</f>
        <v>249745</v>
      </c>
      <c r="CO152" s="33">
        <f t="shared" si="2"/>
        <v>366085.01</v>
      </c>
      <c r="CP152" s="33">
        <f>'Old Balance Sheet'!T152 + 'ACPL Calculations - 1.0'!V152 + 'ACPL Calculations - 2.0'!V152</f>
        <v>180.77</v>
      </c>
      <c r="CQ152" s="33">
        <f>'Old Balance Sheet'!U152 + 'ACPL Calculations - 1.0'!W152 + 'ACPL Calculations - 2.0'!W152</f>
        <v>180.77</v>
      </c>
      <c r="CR152" s="33">
        <f>'Old Balance Sheet'!V152 + 'ACPL Calculations - 1.0'!X152 + 'ACPL Calculations - 2.0'!X152</f>
        <v>115978.47</v>
      </c>
      <c r="CS152" s="33">
        <f t="shared" si="3"/>
        <v>116340.01</v>
      </c>
      <c r="CT152" s="35"/>
      <c r="CU152" s="35"/>
      <c r="CV152" s="35"/>
      <c r="CW152" s="36">
        <f>'Old Balance Sheet'!W152 + 'ACPL Calculations - 1.0'!Z152 + 'ACPL Calculations - 2.0'!Z152</f>
        <v>762680</v>
      </c>
      <c r="CX152" s="36">
        <f>'Old Balance Sheet'!X152 + 'ACPL Calculations - 1.0'!AA152 + 'ACPL Calculations - 2.0'!AA152</f>
        <v>374630.42</v>
      </c>
      <c r="CY152" s="37">
        <v>0.0</v>
      </c>
      <c r="CZ152" s="38">
        <f>'Old Balance Sheet'!Y152 + 'ACPL Calculations - 1.0'!AB152 + 'ACPL Calculations - 2.0'!AB152</f>
        <v>389071.85</v>
      </c>
      <c r="DA152" s="38">
        <f>'Old Balance Sheet'!Z152 + 'ACPL Calculations - 1.0'!AC152 + 'ACPL Calculations - 2.0'!AC152</f>
        <v>0</v>
      </c>
      <c r="DB152" s="38">
        <f>'Old Balance Sheet'!AA152 + 'ACPL Calculations - 1.0'!AD152 + 'ACPL Calculations - 2.0'!AD152</f>
        <v>8545.68</v>
      </c>
      <c r="DC152" s="38">
        <f>'Old Balance Sheet'!AB152 + 'ACPL Calculations - 1.0'!AE152 + 'ACPL Calculations - 2.0'!AE152</f>
        <v>388049.58</v>
      </c>
      <c r="DD152" s="38">
        <f t="shared" si="4"/>
        <v>388049.58</v>
      </c>
      <c r="DE152" s="33">
        <f t="shared" si="5"/>
        <v>388049.58</v>
      </c>
      <c r="DF152" s="35">
        <v>0.0</v>
      </c>
      <c r="DG152" s="35">
        <v>0.0</v>
      </c>
      <c r="DH152" s="35">
        <v>0.0</v>
      </c>
      <c r="DI152" s="35">
        <v>0.0</v>
      </c>
      <c r="DJ152" s="35">
        <v>0.0</v>
      </c>
      <c r="DK152" s="35">
        <v>0.0</v>
      </c>
      <c r="DL152" s="35">
        <v>0.0</v>
      </c>
      <c r="DM152" s="35">
        <v>0.0</v>
      </c>
      <c r="DN152" s="31">
        <v>0.0</v>
      </c>
      <c r="DO152" s="31">
        <v>0.0</v>
      </c>
      <c r="DP152" s="31">
        <v>0.0</v>
      </c>
      <c r="DQ152" s="31">
        <v>0.0</v>
      </c>
      <c r="DR152" s="31">
        <v>0.0</v>
      </c>
      <c r="DS152" s="31">
        <v>0.0</v>
      </c>
      <c r="DT152" s="31">
        <f>'Old Balance Sheet'!AC152</f>
        <v>-3560</v>
      </c>
      <c r="DU152" s="31">
        <f>DT152 + SUMIFS('Payments Log'!D:D, 'Payments Log'!B:B, A152, 'Payments Log'!L:L, "Approved", 'Payments Log'!M:M, "Credit") + 'Old Balance Sheet'!AD152 - 'Old Balance Sheet'!AC152</f>
        <v>762680</v>
      </c>
      <c r="DV152" s="31">
        <f>SUMIFS('Payments Log'!D:D, 'Payments Log'!B:B, A152, 'Payments Log'!L:L, "Approved", 'Payments Log'!M:M, "Adjustment Credit") - SUMIFS('Payments Log'!D:D, 'Payments Log'!B:B, A152, 'Payments Log'!L:L, "Approved", 'Payments Log'!M:M, "Adjustment Debit") + 'Old Balance Sheet'!AE152</f>
        <v>0</v>
      </c>
      <c r="DW152" s="31">
        <f>IF(MAXIFS('Payments Log'!N:N, 'Payments Log'!L:L, "Approved", 'Payments Log'!M:M, "Credit", 'Payments Log'!B:B, A152) &gt; MAXIFS('Payments Log'!N:N, 'Payments Log'!L:L, "Approved", 'Payments Log'!M:M, "Virtual Credit", 'Payments Log'!B:B, A152), 0, SUMIFS('Payments Log'!D:D, 'Payments Log'!N:N, MAXIFS('Payments Log'!N:N, 'Payments Log'!L:L, "Approved", 'Payments Log'!M:M, "Virtual Credit", 'Payments Log'!B:B, A152)))</f>
        <v>0</v>
      </c>
      <c r="DX152" s="33">
        <f t="shared" si="6"/>
        <v>0</v>
      </c>
      <c r="DY152" s="33">
        <f t="shared" si="7"/>
        <v>388049.58</v>
      </c>
      <c r="DZ152" s="33">
        <f t="shared" si="8"/>
        <v>388049.58</v>
      </c>
      <c r="EA152" s="25" t="str">
        <f>(Sheet1!N152)</f>
        <v>CHAUDHARY MOTORS- KHURJA</v>
      </c>
      <c r="EB152" s="25" t="str">
        <f>(Sheet1!O152)</f>
        <v>1lgZm4ATdvS3q8SH9cQmTsfbYjc0IuVfsbWILI4aQOtw</v>
      </c>
      <c r="EC152" s="26" t="str">
        <f>(Sheet1!P152)</f>
        <v>Dealer</v>
      </c>
      <c r="ED152" s="34" t="s">
        <v>13</v>
      </c>
    </row>
    <row r="153">
      <c r="A153" s="25" t="str">
        <f>(Sheet1!A153)</f>
        <v>1pWj6JXfCN2O_M_9nR2upI3ud3_mfmIWPPdWUgAgAe9Y</v>
      </c>
      <c r="B153" s="25" t="str">
        <f>(Sheet1!B153)</f>
        <v>KUNDAN HERO- PUNE</v>
      </c>
      <c r="C153" s="30" t="s">
        <v>13</v>
      </c>
      <c r="D153" s="30" t="s">
        <v>72</v>
      </c>
      <c r="E153" s="30" t="s">
        <v>3819</v>
      </c>
      <c r="F153" s="31">
        <v>205.0</v>
      </c>
      <c r="G153" s="32" t="s">
        <v>3818</v>
      </c>
      <c r="H153" s="31">
        <v>100.0</v>
      </c>
      <c r="I153" s="33">
        <f>'Old Balance Sheet'!A153 + 'ACPL Calculations - 1.0'!A153 + 'ACPL Calculations - 2.0'!A153</f>
        <v>0</v>
      </c>
      <c r="J153" s="30" t="s">
        <v>3819</v>
      </c>
      <c r="K153" s="31">
        <v>205.0</v>
      </c>
      <c r="L153" s="32" t="s">
        <v>3818</v>
      </c>
      <c r="M153" s="31">
        <v>100.0</v>
      </c>
      <c r="N153" s="33">
        <f>'Old Balance Sheet'!B153 + 'ACPL Calculations - 1.0'!B153 + 'ACPL Calculations - 2.0'!B153</f>
        <v>0</v>
      </c>
      <c r="O153" s="30" t="s">
        <v>3819</v>
      </c>
      <c r="P153" s="31">
        <v>290.0</v>
      </c>
      <c r="Q153" s="32" t="s">
        <v>3818</v>
      </c>
      <c r="R153" s="31">
        <v>100.0</v>
      </c>
      <c r="S153" s="33">
        <f>'Old Balance Sheet'!C153 + 'ACPL Calculations - 1.0'!C153 + 'ACPL Calculations - 2.0'!C153</f>
        <v>0</v>
      </c>
      <c r="T153" s="30" t="s">
        <v>3819</v>
      </c>
      <c r="U153" s="31">
        <v>375.0</v>
      </c>
      <c r="V153" s="32" t="s">
        <v>3818</v>
      </c>
      <c r="W153" s="31">
        <v>100.0</v>
      </c>
      <c r="X153" s="33">
        <f>'Old Balance Sheet'!D153 + 'ACPL Calculations - 1.0'!D153 + 'ACPL Calculations - 2.0'!D153</f>
        <v>0</v>
      </c>
      <c r="Y153" s="30" t="s">
        <v>3819</v>
      </c>
      <c r="Z153" s="31">
        <v>460.0</v>
      </c>
      <c r="AA153" s="32" t="s">
        <v>3818</v>
      </c>
      <c r="AB153" s="31">
        <v>100.0</v>
      </c>
      <c r="AC153" s="33">
        <f>'Old Balance Sheet'!E153 + 'ACPL Calculations - 1.0'!E153 + 'ACPL Calculations - 2.0'!E153</f>
        <v>0</v>
      </c>
      <c r="AD153" s="30" t="s">
        <v>3819</v>
      </c>
      <c r="AE153" s="34">
        <v>838.99</v>
      </c>
      <c r="AF153" s="32" t="s">
        <v>3818</v>
      </c>
      <c r="AG153" s="31">
        <v>100.0</v>
      </c>
      <c r="AH153" s="33">
        <f>'Old Balance Sheet'!F153 + 'ACPL Calculations - 1.0'!F153 + 'ACPL Calculations - 2.0'!F153</f>
        <v>0</v>
      </c>
      <c r="AI153" s="30" t="s">
        <v>3819</v>
      </c>
      <c r="AJ153" s="31">
        <v>375.0</v>
      </c>
      <c r="AK153" s="32" t="s">
        <v>3818</v>
      </c>
      <c r="AL153" s="31">
        <v>100.0</v>
      </c>
      <c r="AM153" s="33">
        <f>'Old Balance Sheet'!G153 + 'ACPL Calculations - 1.0'!G153 + 'ACPL Calculations - 2.0'!G153</f>
        <v>0</v>
      </c>
      <c r="AN153" s="30" t="s">
        <v>3819</v>
      </c>
      <c r="AO153" s="31">
        <v>290.0</v>
      </c>
      <c r="AP153" s="32" t="s">
        <v>3818</v>
      </c>
      <c r="AQ153" s="31">
        <v>100.0</v>
      </c>
      <c r="AR153" s="33">
        <f>'Old Balance Sheet'!H153 + 'ACPL Calculations - 1.0'!H153 + 'ACPL Calculations - 2.0'!H153</f>
        <v>0</v>
      </c>
      <c r="AS153" s="30" t="s">
        <v>3819</v>
      </c>
      <c r="AT153" s="31">
        <v>838.99</v>
      </c>
      <c r="AU153" s="32" t="s">
        <v>3818</v>
      </c>
      <c r="AV153" s="31">
        <v>100.0</v>
      </c>
      <c r="AW153" s="33">
        <f>'Old Balance Sheet'!I153 + 'ACPL Calculations - 1.0'!I153 + 'ACPL Calculations - 2.0'!I153</f>
        <v>0</v>
      </c>
      <c r="AX153" s="30" t="s">
        <v>3819</v>
      </c>
      <c r="AY153" s="31">
        <v>290.0</v>
      </c>
      <c r="AZ153" s="32" t="s">
        <v>3818</v>
      </c>
      <c r="BA153" s="31">
        <v>100.0</v>
      </c>
      <c r="BB153" s="33">
        <f>'Old Balance Sheet'!J153 + 'ACPL Calculations - 1.0'!J153 + 'ACPL Calculations - 2.0'!J153</f>
        <v>0</v>
      </c>
      <c r="BC153" s="30" t="s">
        <v>3819</v>
      </c>
      <c r="BD153" s="31">
        <v>205.0</v>
      </c>
      <c r="BE153" s="32" t="s">
        <v>3818</v>
      </c>
      <c r="BF153" s="31">
        <v>100.0</v>
      </c>
      <c r="BG153" s="33">
        <f>'Old Balance Sheet'!K153 + 'ACPL Calculations - 1.0'!K153 + 'ACPL Calculations - 2.0'!K153</f>
        <v>0</v>
      </c>
      <c r="BH153" s="30" t="s">
        <v>3819</v>
      </c>
      <c r="BI153" s="31">
        <v>205.0</v>
      </c>
      <c r="BJ153" s="32" t="s">
        <v>3818</v>
      </c>
      <c r="BK153" s="31">
        <v>100.0</v>
      </c>
      <c r="BL153" s="33">
        <f>'Old Balance Sheet'!L153 + 'ACPL Calculations - 1.0'!L153 + 'ACPL Calculations - 2.0'!L153</f>
        <v>0</v>
      </c>
      <c r="BM153" s="33"/>
      <c r="BN153" s="33"/>
      <c r="BO153" s="33"/>
      <c r="BP153" s="33"/>
      <c r="BQ153" s="33"/>
      <c r="BR153" s="33"/>
      <c r="BS153" s="33"/>
      <c r="BT153" s="33"/>
      <c r="BU153" s="33"/>
      <c r="BV153" s="33"/>
      <c r="BW153" s="33"/>
      <c r="BX153" s="33"/>
      <c r="BY153" s="33"/>
      <c r="BZ153" s="33"/>
      <c r="CA153" s="33"/>
      <c r="CB153" s="33"/>
      <c r="CC153" s="33"/>
      <c r="CD153" s="33"/>
      <c r="CE153" s="33"/>
      <c r="CF153" s="33"/>
      <c r="CG153" s="33"/>
      <c r="CH153" s="33"/>
      <c r="CI153" s="33"/>
      <c r="CJ153" s="33"/>
      <c r="CK153" s="33"/>
      <c r="CL153" s="33">
        <f t="shared" si="1"/>
        <v>0</v>
      </c>
      <c r="CM153" s="33">
        <f>'Old Balance Sheet'!R153 + 'ACPL Calculations - 1.0'!S153 + 'ACPL Calculations - 2.0'!S153</f>
        <v>0</v>
      </c>
      <c r="CN153" s="33">
        <f>'Old Balance Sheet'!S153 + 'ACPL Calculations - 1.0'!T153 + 'ACPL Calculations - 2.0'!T153</f>
        <v>0</v>
      </c>
      <c r="CO153" s="33">
        <f t="shared" si="2"/>
        <v>0</v>
      </c>
      <c r="CP153" s="33">
        <f>'Old Balance Sheet'!T153 + 'ACPL Calculations - 1.0'!V153 + 'ACPL Calculations - 2.0'!V153</f>
        <v>0</v>
      </c>
      <c r="CQ153" s="33">
        <f>'Old Balance Sheet'!U153 + 'ACPL Calculations - 1.0'!W153 + 'ACPL Calculations - 2.0'!W153</f>
        <v>0</v>
      </c>
      <c r="CR153" s="33">
        <f>'Old Balance Sheet'!V153 + 'ACPL Calculations - 1.0'!X153 + 'ACPL Calculations - 2.0'!X153</f>
        <v>0</v>
      </c>
      <c r="CS153" s="33">
        <f t="shared" si="3"/>
        <v>0</v>
      </c>
      <c r="CT153" s="35"/>
      <c r="CU153" s="35"/>
      <c r="CV153" s="35"/>
      <c r="CW153" s="36">
        <f>'Old Balance Sheet'!W153 + 'ACPL Calculations - 1.0'!Z153 + 'ACPL Calculations - 2.0'!Z153</f>
        <v>0</v>
      </c>
      <c r="CX153" s="36">
        <f>'Old Balance Sheet'!X153 + 'ACPL Calculations - 1.0'!AA153 + 'ACPL Calculations - 2.0'!AA153</f>
        <v>0</v>
      </c>
      <c r="CY153" s="37">
        <v>0.0</v>
      </c>
      <c r="CZ153" s="38">
        <f>'Old Balance Sheet'!Y153 + 'ACPL Calculations - 1.0'!AB153 + 'ACPL Calculations - 2.0'!AB153</f>
        <v>0</v>
      </c>
      <c r="DA153" s="38">
        <f>'Old Balance Sheet'!Z153 + 'ACPL Calculations - 1.0'!AC153 + 'ACPL Calculations - 2.0'!AC153</f>
        <v>0</v>
      </c>
      <c r="DB153" s="38">
        <f>'Old Balance Sheet'!AA153 + 'ACPL Calculations - 1.0'!AD153 + 'ACPL Calculations - 2.0'!AD153</f>
        <v>0</v>
      </c>
      <c r="DC153" s="38">
        <f>'Old Balance Sheet'!AB153 + 'ACPL Calculations - 1.0'!AE153 + 'ACPL Calculations - 2.0'!AE153</f>
        <v>0</v>
      </c>
      <c r="DD153" s="38">
        <f t="shared" si="4"/>
        <v>0</v>
      </c>
      <c r="DE153" s="33">
        <f t="shared" si="5"/>
        <v>0</v>
      </c>
      <c r="DF153" s="35">
        <v>0.0</v>
      </c>
      <c r="DG153" s="35">
        <v>0.0</v>
      </c>
      <c r="DH153" s="35">
        <v>0.0</v>
      </c>
      <c r="DI153" s="35">
        <v>0.0</v>
      </c>
      <c r="DJ153" s="35">
        <v>0.0</v>
      </c>
      <c r="DK153" s="35">
        <v>0.0</v>
      </c>
      <c r="DL153" s="35">
        <v>0.0</v>
      </c>
      <c r="DM153" s="35">
        <v>0.0</v>
      </c>
      <c r="DN153" s="31">
        <v>0.0</v>
      </c>
      <c r="DO153" s="31">
        <v>0.0</v>
      </c>
      <c r="DP153" s="31">
        <v>0.0</v>
      </c>
      <c r="DQ153" s="31">
        <v>0.0</v>
      </c>
      <c r="DR153" s="31">
        <v>0.0</v>
      </c>
      <c r="DS153" s="31">
        <v>0.0</v>
      </c>
      <c r="DT153" s="31">
        <f>'Old Balance Sheet'!AC153</f>
        <v>968</v>
      </c>
      <c r="DU153" s="31">
        <f>DT153 + SUMIFS('Payments Log'!D:D, 'Payments Log'!B:B, A153, 'Payments Log'!L:L, "Approved", 'Payments Log'!M:M, "Credit") + 'Old Balance Sheet'!AD153 - 'Old Balance Sheet'!AC153</f>
        <v>968</v>
      </c>
      <c r="DV153" s="31">
        <f>SUMIFS('Payments Log'!D:D, 'Payments Log'!B:B, A153, 'Payments Log'!L:L, "Approved", 'Payments Log'!M:M, "Adjustment Credit") - SUMIFS('Payments Log'!D:D, 'Payments Log'!B:B, A153, 'Payments Log'!L:L, "Approved", 'Payments Log'!M:M, "Adjustment Debit") + 'Old Balance Sheet'!AE153</f>
        <v>0</v>
      </c>
      <c r="DW153" s="31">
        <f>IF(MAXIFS('Payments Log'!N:N, 'Payments Log'!L:L, "Approved", 'Payments Log'!M:M, "Credit", 'Payments Log'!B:B, A153) &gt; MAXIFS('Payments Log'!N:N, 'Payments Log'!L:L, "Approved", 'Payments Log'!M:M, "Virtual Credit", 'Payments Log'!B:B, A153), 0, SUMIFS('Payments Log'!D:D, 'Payments Log'!N:N, MAXIFS('Payments Log'!N:N, 'Payments Log'!L:L, "Approved", 'Payments Log'!M:M, "Virtual Credit", 'Payments Log'!B:B, A153)))</f>
        <v>0</v>
      </c>
      <c r="DX153" s="33">
        <f t="shared" si="6"/>
        <v>968</v>
      </c>
      <c r="DY153" s="33">
        <f t="shared" si="7"/>
        <v>968</v>
      </c>
      <c r="DZ153" s="33">
        <f t="shared" si="8"/>
        <v>968</v>
      </c>
      <c r="EA153" s="25" t="str">
        <f>(Sheet1!N153)</f>
        <v>KUNDAN HERO- PUNE</v>
      </c>
      <c r="EB153" s="25" t="str">
        <f>(Sheet1!O153)</f>
        <v>1pWj6JXfCN2O_M_9nR2upI3ud3_mfmIWPPdWUgAgAe9Y</v>
      </c>
      <c r="EC153" s="26" t="str">
        <f>(Sheet1!P153)</f>
        <v>Dealer</v>
      </c>
      <c r="ED153" s="34" t="s">
        <v>13</v>
      </c>
    </row>
    <row r="154">
      <c r="A154" s="25" t="str">
        <f>(Sheet1!A154)</f>
        <v>12HJShHGOf09kSf0pLTPVE9xJIZSZJH5W8y2DhvGtYRU</v>
      </c>
      <c r="B154" s="25" t="str">
        <f>(Sheet1!B154)</f>
        <v>Badar Motors - Sambhal</v>
      </c>
      <c r="C154" s="30" t="s">
        <v>13</v>
      </c>
      <c r="D154" s="30" t="s">
        <v>72</v>
      </c>
      <c r="E154" s="30" t="s">
        <v>3817</v>
      </c>
      <c r="F154" s="31">
        <v>205.0</v>
      </c>
      <c r="G154" s="32" t="s">
        <v>3818</v>
      </c>
      <c r="H154" s="31">
        <v>100.0</v>
      </c>
      <c r="I154" s="33">
        <f>'Old Balance Sheet'!A154 + 'ACPL Calculations - 1.0'!A154 + 'ACPL Calculations - 2.0'!A154</f>
        <v>1</v>
      </c>
      <c r="J154" s="30" t="s">
        <v>3817</v>
      </c>
      <c r="K154" s="31">
        <v>205.0</v>
      </c>
      <c r="L154" s="32" t="s">
        <v>3818</v>
      </c>
      <c r="M154" s="31">
        <v>100.0</v>
      </c>
      <c r="N154" s="33">
        <f>'Old Balance Sheet'!B154 + 'ACPL Calculations - 1.0'!B154 + 'ACPL Calculations - 2.0'!B154</f>
        <v>0</v>
      </c>
      <c r="O154" s="30" t="s">
        <v>3817</v>
      </c>
      <c r="P154" s="31">
        <v>290.0</v>
      </c>
      <c r="Q154" s="32" t="s">
        <v>3818</v>
      </c>
      <c r="R154" s="31">
        <v>100.0</v>
      </c>
      <c r="S154" s="33">
        <f>'Old Balance Sheet'!C154 + 'ACPL Calculations - 1.0'!C154 + 'ACPL Calculations - 2.0'!C154</f>
        <v>0</v>
      </c>
      <c r="T154" s="30" t="s">
        <v>3817</v>
      </c>
      <c r="U154" s="31">
        <v>375.0</v>
      </c>
      <c r="V154" s="32" t="s">
        <v>3818</v>
      </c>
      <c r="W154" s="31">
        <v>100.0</v>
      </c>
      <c r="X154" s="33">
        <f>'Old Balance Sheet'!D154 + 'ACPL Calculations - 1.0'!D154 + 'ACPL Calculations - 2.0'!D154</f>
        <v>0</v>
      </c>
      <c r="Y154" s="30" t="s">
        <v>3817</v>
      </c>
      <c r="Z154" s="31">
        <v>460.0</v>
      </c>
      <c r="AA154" s="32" t="s">
        <v>3818</v>
      </c>
      <c r="AB154" s="31">
        <v>100.0</v>
      </c>
      <c r="AC154" s="33">
        <f>'Old Balance Sheet'!E154 + 'ACPL Calculations - 1.0'!E154 + 'ACPL Calculations - 2.0'!E154</f>
        <v>0</v>
      </c>
      <c r="AD154" s="30" t="s">
        <v>3817</v>
      </c>
      <c r="AE154" s="34">
        <v>838.99</v>
      </c>
      <c r="AF154" s="32" t="s">
        <v>3818</v>
      </c>
      <c r="AG154" s="31">
        <v>100.0</v>
      </c>
      <c r="AH154" s="33">
        <f>'Old Balance Sheet'!F154 + 'ACPL Calculations - 1.0'!F154 + 'ACPL Calculations - 2.0'!F154</f>
        <v>0</v>
      </c>
      <c r="AI154" s="30" t="s">
        <v>3817</v>
      </c>
      <c r="AJ154" s="31">
        <v>375.0</v>
      </c>
      <c r="AK154" s="32" t="s">
        <v>3818</v>
      </c>
      <c r="AL154" s="31">
        <v>100.0</v>
      </c>
      <c r="AM154" s="33">
        <f>'Old Balance Sheet'!G154 + 'ACPL Calculations - 1.0'!G154 + 'ACPL Calculations - 2.0'!G154</f>
        <v>0</v>
      </c>
      <c r="AN154" s="30" t="s">
        <v>3817</v>
      </c>
      <c r="AO154" s="31">
        <v>290.0</v>
      </c>
      <c r="AP154" s="32" t="s">
        <v>3818</v>
      </c>
      <c r="AQ154" s="31">
        <v>100.0</v>
      </c>
      <c r="AR154" s="33">
        <f>'Old Balance Sheet'!H154 + 'ACPL Calculations - 1.0'!H154 + 'ACPL Calculations - 2.0'!H154</f>
        <v>0</v>
      </c>
      <c r="AS154" s="30" t="s">
        <v>3819</v>
      </c>
      <c r="AT154" s="31">
        <v>838.99</v>
      </c>
      <c r="AU154" s="32" t="s">
        <v>3818</v>
      </c>
      <c r="AV154" s="31">
        <v>100.0</v>
      </c>
      <c r="AW154" s="33">
        <f>'Old Balance Sheet'!I154 + 'ACPL Calculations - 1.0'!I154 + 'ACPL Calculations - 2.0'!I154</f>
        <v>0</v>
      </c>
      <c r="AX154" s="30" t="s">
        <v>3817</v>
      </c>
      <c r="AY154" s="31">
        <v>290.0</v>
      </c>
      <c r="AZ154" s="32" t="s">
        <v>3818</v>
      </c>
      <c r="BA154" s="31">
        <v>100.0</v>
      </c>
      <c r="BB154" s="33">
        <f>'Old Balance Sheet'!J154 + 'ACPL Calculations - 1.0'!J154 + 'ACPL Calculations - 2.0'!J154</f>
        <v>0</v>
      </c>
      <c r="BC154" s="30" t="s">
        <v>3817</v>
      </c>
      <c r="BD154" s="31">
        <v>205.0</v>
      </c>
      <c r="BE154" s="32" t="s">
        <v>3818</v>
      </c>
      <c r="BF154" s="31">
        <v>100.0</v>
      </c>
      <c r="BG154" s="33">
        <f>'Old Balance Sheet'!K154 + 'ACPL Calculations - 1.0'!K154 + 'ACPL Calculations - 2.0'!K154</f>
        <v>0</v>
      </c>
      <c r="BH154" s="30" t="s">
        <v>3817</v>
      </c>
      <c r="BI154" s="31">
        <v>205.0</v>
      </c>
      <c r="BJ154" s="32" t="s">
        <v>3818</v>
      </c>
      <c r="BK154" s="31">
        <v>100.0</v>
      </c>
      <c r="BL154" s="33">
        <f>'Old Balance Sheet'!L154 + 'ACPL Calculations - 1.0'!L154 + 'ACPL Calculations - 2.0'!L154</f>
        <v>0</v>
      </c>
      <c r="BM154" s="33"/>
      <c r="BN154" s="33"/>
      <c r="BO154" s="33"/>
      <c r="BP154" s="33"/>
      <c r="BQ154" s="33"/>
      <c r="BR154" s="33"/>
      <c r="BS154" s="33"/>
      <c r="BT154" s="33"/>
      <c r="BU154" s="33"/>
      <c r="BV154" s="33"/>
      <c r="BW154" s="33"/>
      <c r="BX154" s="33"/>
      <c r="BY154" s="33"/>
      <c r="BZ154" s="33"/>
      <c r="CA154" s="33"/>
      <c r="CB154" s="33"/>
      <c r="CC154" s="33"/>
      <c r="CD154" s="33"/>
      <c r="CE154" s="33"/>
      <c r="CF154" s="33"/>
      <c r="CG154" s="33"/>
      <c r="CH154" s="33"/>
      <c r="CI154" s="33"/>
      <c r="CJ154" s="33"/>
      <c r="CK154" s="33"/>
      <c r="CL154" s="33">
        <f t="shared" si="1"/>
        <v>1</v>
      </c>
      <c r="CM154" s="33">
        <f>'Old Balance Sheet'!R154 + 'ACPL Calculations - 1.0'!S154 + 'ACPL Calculations - 2.0'!S154</f>
        <v>390</v>
      </c>
      <c r="CN154" s="33">
        <f>'Old Balance Sheet'!S154 + 'ACPL Calculations - 1.0'!T154 + 'ACPL Calculations - 2.0'!T154</f>
        <v>205</v>
      </c>
      <c r="CO154" s="33">
        <f t="shared" si="2"/>
        <v>264.49</v>
      </c>
      <c r="CP154" s="33">
        <f>'Old Balance Sheet'!T154 + 'ACPL Calculations - 1.0'!V154 + 'ACPL Calculations - 2.0'!V154</f>
        <v>0</v>
      </c>
      <c r="CQ154" s="33">
        <f>'Old Balance Sheet'!U154 + 'ACPL Calculations - 1.0'!W154 + 'ACPL Calculations - 2.0'!W154</f>
        <v>0</v>
      </c>
      <c r="CR154" s="33">
        <f>'Old Balance Sheet'!V154 + 'ACPL Calculations - 1.0'!X154 + 'ACPL Calculations - 2.0'!X154</f>
        <v>59.49</v>
      </c>
      <c r="CS154" s="33">
        <f t="shared" si="3"/>
        <v>59.49</v>
      </c>
      <c r="CT154" s="35"/>
      <c r="CU154" s="35"/>
      <c r="CV154" s="35"/>
      <c r="CW154" s="36">
        <f>'Old Balance Sheet'!W154 + 'ACPL Calculations - 1.0'!Z154 + 'ACPL Calculations - 2.0'!Z154</f>
        <v>277.04</v>
      </c>
      <c r="CX154" s="36">
        <f>'Old Balance Sheet'!X154 + 'ACPL Calculations - 1.0'!AA154 + 'ACPL Calculations - 2.0'!AA154</f>
        <v>277.04</v>
      </c>
      <c r="CY154" s="37">
        <v>0.0</v>
      </c>
      <c r="CZ154" s="38">
        <f>'Old Balance Sheet'!Y154 + 'ACPL Calculations - 1.0'!AB154 + 'ACPL Calculations - 2.0'!AB154</f>
        <v>0</v>
      </c>
      <c r="DA154" s="38">
        <f>'Old Balance Sheet'!Z154 + 'ACPL Calculations - 1.0'!AC154 + 'ACPL Calculations - 2.0'!AC154</f>
        <v>112.96</v>
      </c>
      <c r="DB154" s="38">
        <f>'Old Balance Sheet'!AA154 + 'ACPL Calculations - 1.0'!AD154 + 'ACPL Calculations - 2.0'!AD154</f>
        <v>12.55</v>
      </c>
      <c r="DC154" s="38">
        <f>'Old Balance Sheet'!AB154 + 'ACPL Calculations - 1.0'!AE154 + 'ACPL Calculations - 2.0'!AE154</f>
        <v>0</v>
      </c>
      <c r="DD154" s="38">
        <f t="shared" si="4"/>
        <v>0</v>
      </c>
      <c r="DE154" s="33">
        <f t="shared" si="5"/>
        <v>0</v>
      </c>
      <c r="DF154" s="35">
        <v>0.0</v>
      </c>
      <c r="DG154" s="35">
        <v>0.0</v>
      </c>
      <c r="DH154" s="35">
        <v>0.0</v>
      </c>
      <c r="DI154" s="35">
        <v>0.0</v>
      </c>
      <c r="DJ154" s="35">
        <v>0.0</v>
      </c>
      <c r="DK154" s="35">
        <v>0.0</v>
      </c>
      <c r="DL154" s="35">
        <v>0.0</v>
      </c>
      <c r="DM154" s="35">
        <v>0.0</v>
      </c>
      <c r="DN154" s="31">
        <v>0.0</v>
      </c>
      <c r="DO154" s="31">
        <v>0.0</v>
      </c>
      <c r="DP154" s="31">
        <v>0.0</v>
      </c>
      <c r="DQ154" s="31">
        <v>0.0</v>
      </c>
      <c r="DR154" s="31">
        <v>0.0</v>
      </c>
      <c r="DS154" s="31">
        <v>0.0</v>
      </c>
      <c r="DT154" s="31">
        <f>'Old Balance Sheet'!AC154</f>
        <v>367</v>
      </c>
      <c r="DU154" s="31">
        <f>DT154 + SUMIFS('Payments Log'!D:D, 'Payments Log'!B:B, A154, 'Payments Log'!L:L, "Approved", 'Payments Log'!M:M, "Credit") + 'Old Balance Sheet'!AD154 - 'Old Balance Sheet'!AC154</f>
        <v>367</v>
      </c>
      <c r="DV154" s="31">
        <f>SUMIFS('Payments Log'!D:D, 'Payments Log'!B:B, A154, 'Payments Log'!L:L, "Approved", 'Payments Log'!M:M, "Adjustment Credit") - SUMIFS('Payments Log'!D:D, 'Payments Log'!B:B, A154, 'Payments Log'!L:L, "Approved", 'Payments Log'!M:M, "Adjustment Debit") + 'Old Balance Sheet'!AE154</f>
        <v>0</v>
      </c>
      <c r="DW154" s="31">
        <f>IF(MAXIFS('Payments Log'!N:N, 'Payments Log'!L:L, "Approved", 'Payments Log'!M:M, "Credit", 'Payments Log'!B:B, A154) &gt; MAXIFS('Payments Log'!N:N, 'Payments Log'!L:L, "Approved", 'Payments Log'!M:M, "Virtual Credit", 'Payments Log'!B:B, A154), 0, SUMIFS('Payments Log'!D:D, 'Payments Log'!N:N, MAXIFS('Payments Log'!N:N, 'Payments Log'!L:L, "Approved", 'Payments Log'!M:M, "Virtual Credit", 'Payments Log'!B:B, A154)))</f>
        <v>0</v>
      </c>
      <c r="DX154" s="33">
        <f t="shared" si="6"/>
        <v>89.96</v>
      </c>
      <c r="DY154" s="33">
        <f t="shared" si="7"/>
        <v>89.96</v>
      </c>
      <c r="DZ154" s="33">
        <f t="shared" si="8"/>
        <v>89.96</v>
      </c>
      <c r="EA154" s="25" t="str">
        <f>(Sheet1!N154)</f>
        <v>Badar Motors - Sambhal</v>
      </c>
      <c r="EB154" s="25" t="str">
        <f>(Sheet1!O154)</f>
        <v>12HJShHGOf09kSf0pLTPVE9xJIZSZJH5W8y2DhvGtYRU</v>
      </c>
      <c r="EC154" s="26" t="str">
        <f>(Sheet1!P154)</f>
        <v>Dealer</v>
      </c>
      <c r="ED154" s="34" t="s">
        <v>13</v>
      </c>
    </row>
    <row r="155">
      <c r="A155" s="25" t="str">
        <f>(Sheet1!A155)</f>
        <v>1TMTMDBTSLXzi0POas5HDprui-sp3TCVvRYWE8buap-0</v>
      </c>
      <c r="B155" s="25" t="str">
        <f>(Sheet1!B155)</f>
        <v>Chandra Automobiles - Faizabad</v>
      </c>
      <c r="C155" s="30" t="s">
        <v>13</v>
      </c>
      <c r="D155" s="30" t="s">
        <v>72</v>
      </c>
      <c r="E155" s="30" t="s">
        <v>3820</v>
      </c>
      <c r="F155" s="31">
        <v>155.0</v>
      </c>
      <c r="G155" s="32" t="s">
        <v>3818</v>
      </c>
      <c r="H155" s="31">
        <v>100.0</v>
      </c>
      <c r="I155" s="33">
        <f>'Old Balance Sheet'!A155 + 'ACPL Calculations - 1.0'!A155 + 'ACPL Calculations - 2.0'!A155</f>
        <v>6544</v>
      </c>
      <c r="J155" s="30" t="s">
        <v>3820</v>
      </c>
      <c r="K155" s="31">
        <v>205.0</v>
      </c>
      <c r="L155" s="32" t="s">
        <v>3818</v>
      </c>
      <c r="M155" s="31">
        <v>100.0</v>
      </c>
      <c r="N155" s="33">
        <f>'Old Balance Sheet'!B155 + 'ACPL Calculations - 1.0'!B155 + 'ACPL Calculations - 2.0'!B155</f>
        <v>4</v>
      </c>
      <c r="O155" s="30" t="s">
        <v>3820</v>
      </c>
      <c r="P155" s="31">
        <v>290.0</v>
      </c>
      <c r="Q155" s="32" t="s">
        <v>3818</v>
      </c>
      <c r="R155" s="31">
        <v>100.0</v>
      </c>
      <c r="S155" s="33">
        <f>'Old Balance Sheet'!C155 + 'ACPL Calculations - 1.0'!C155 + 'ACPL Calculations - 2.0'!C155</f>
        <v>1</v>
      </c>
      <c r="T155" s="30" t="s">
        <v>3820</v>
      </c>
      <c r="U155" s="31">
        <v>375.0</v>
      </c>
      <c r="V155" s="32" t="s">
        <v>3818</v>
      </c>
      <c r="W155" s="31">
        <v>100.0</v>
      </c>
      <c r="X155" s="33">
        <f>'Old Balance Sheet'!D155 + 'ACPL Calculations - 1.0'!D155 + 'ACPL Calculations - 2.0'!D155</f>
        <v>0</v>
      </c>
      <c r="Y155" s="30" t="s">
        <v>3820</v>
      </c>
      <c r="Z155" s="31">
        <v>375.0</v>
      </c>
      <c r="AA155" s="32" t="s">
        <v>3818</v>
      </c>
      <c r="AB155" s="31">
        <v>100.0</v>
      </c>
      <c r="AC155" s="33">
        <f>'Old Balance Sheet'!E155 + 'ACPL Calculations - 1.0'!E155 + 'ACPL Calculations - 2.0'!E155</f>
        <v>0</v>
      </c>
      <c r="AD155" s="30" t="s">
        <v>3820</v>
      </c>
      <c r="AE155" s="34">
        <v>838.99</v>
      </c>
      <c r="AF155" s="32" t="s">
        <v>3818</v>
      </c>
      <c r="AG155" s="31">
        <v>100.0</v>
      </c>
      <c r="AH155" s="33">
        <f>'Old Balance Sheet'!F155 + 'ACPL Calculations - 1.0'!F155 + 'ACPL Calculations - 2.0'!F155</f>
        <v>0</v>
      </c>
      <c r="AI155" s="30" t="s">
        <v>3820</v>
      </c>
      <c r="AJ155" s="31">
        <v>375.0</v>
      </c>
      <c r="AK155" s="32" t="s">
        <v>3818</v>
      </c>
      <c r="AL155" s="31">
        <v>100.0</v>
      </c>
      <c r="AM155" s="33">
        <f>'Old Balance Sheet'!G155 + 'ACPL Calculations - 1.0'!G155 + 'ACPL Calculations - 2.0'!G155</f>
        <v>0</v>
      </c>
      <c r="AN155" s="30" t="s">
        <v>3820</v>
      </c>
      <c r="AO155" s="31">
        <v>290.0</v>
      </c>
      <c r="AP155" s="32" t="s">
        <v>3818</v>
      </c>
      <c r="AQ155" s="31">
        <v>100.0</v>
      </c>
      <c r="AR155" s="33">
        <f>'Old Balance Sheet'!H155 + 'ACPL Calculations - 1.0'!H155 + 'ACPL Calculations - 2.0'!H155</f>
        <v>0</v>
      </c>
      <c r="AS155" s="30" t="s">
        <v>3819</v>
      </c>
      <c r="AT155" s="31">
        <v>838.99</v>
      </c>
      <c r="AU155" s="32" t="s">
        <v>3818</v>
      </c>
      <c r="AV155" s="31">
        <v>100.0</v>
      </c>
      <c r="AW155" s="33">
        <f>'Old Balance Sheet'!I155 + 'ACPL Calculations - 1.0'!I155 + 'ACPL Calculations - 2.0'!I155</f>
        <v>0</v>
      </c>
      <c r="AX155" s="30" t="s">
        <v>3820</v>
      </c>
      <c r="AY155" s="31">
        <v>290.0</v>
      </c>
      <c r="AZ155" s="32" t="s">
        <v>3818</v>
      </c>
      <c r="BA155" s="31">
        <v>100.0</v>
      </c>
      <c r="BB155" s="33">
        <f>'Old Balance Sheet'!J155 + 'ACPL Calculations - 1.0'!J155 + 'ACPL Calculations - 2.0'!J155</f>
        <v>0</v>
      </c>
      <c r="BC155" s="30" t="s">
        <v>3820</v>
      </c>
      <c r="BD155" s="31">
        <v>205.0</v>
      </c>
      <c r="BE155" s="32" t="s">
        <v>3818</v>
      </c>
      <c r="BF155" s="31">
        <v>100.0</v>
      </c>
      <c r="BG155" s="33">
        <f>'Old Balance Sheet'!K155 + 'ACPL Calculations - 1.0'!K155 + 'ACPL Calculations - 2.0'!K155</f>
        <v>0</v>
      </c>
      <c r="BH155" s="30" t="s">
        <v>3820</v>
      </c>
      <c r="BI155" s="31">
        <v>205.0</v>
      </c>
      <c r="BJ155" s="32" t="s">
        <v>3818</v>
      </c>
      <c r="BK155" s="31">
        <v>100.0</v>
      </c>
      <c r="BL155" s="33">
        <f>'Old Balance Sheet'!L155 + 'ACPL Calculations - 1.0'!L155 + 'ACPL Calculations - 2.0'!L155</f>
        <v>0</v>
      </c>
      <c r="BM155" s="33"/>
      <c r="BN155" s="33"/>
      <c r="BO155" s="33"/>
      <c r="BP155" s="33"/>
      <c r="BQ155" s="33"/>
      <c r="BR155" s="33"/>
      <c r="BS155" s="33"/>
      <c r="BT155" s="33"/>
      <c r="BU155" s="33"/>
      <c r="BV155" s="33"/>
      <c r="BW155" s="33"/>
      <c r="BX155" s="33"/>
      <c r="BY155" s="33"/>
      <c r="BZ155" s="33"/>
      <c r="CA155" s="33"/>
      <c r="CB155" s="33"/>
      <c r="CC155" s="33"/>
      <c r="CD155" s="33"/>
      <c r="CE155" s="33"/>
      <c r="CF155" s="33"/>
      <c r="CG155" s="33"/>
      <c r="CH155" s="33"/>
      <c r="CI155" s="33"/>
      <c r="CJ155" s="33"/>
      <c r="CK155" s="33"/>
      <c r="CL155" s="33">
        <f t="shared" si="1"/>
        <v>6549</v>
      </c>
      <c r="CM155" s="33">
        <f>'Old Balance Sheet'!R155 + 'ACPL Calculations - 1.0'!S155 + 'ACPL Calculations - 2.0'!S155</f>
        <v>2889034</v>
      </c>
      <c r="CN155" s="33">
        <f>'Old Balance Sheet'!S155 + 'ACPL Calculations - 1.0'!T155 + 'ACPL Calculations - 2.0'!T155</f>
        <v>1117735</v>
      </c>
      <c r="CO155" s="33">
        <f t="shared" si="2"/>
        <v>1558410.94</v>
      </c>
      <c r="CP155" s="33">
        <f>'Old Balance Sheet'!T155 + 'ACPL Calculations - 1.0'!V155 + 'ACPL Calculations - 2.0'!V155</f>
        <v>33.71</v>
      </c>
      <c r="CQ155" s="33">
        <f>'Old Balance Sheet'!U155 + 'ACPL Calculations - 1.0'!W155 + 'ACPL Calculations - 2.0'!W155</f>
        <v>33.71</v>
      </c>
      <c r="CR155" s="33">
        <f>'Old Balance Sheet'!V155 + 'ACPL Calculations - 1.0'!X155 + 'ACPL Calculations - 2.0'!X155</f>
        <v>440608.52</v>
      </c>
      <c r="CS155" s="33">
        <f t="shared" si="3"/>
        <v>440675.94</v>
      </c>
      <c r="CT155" s="35"/>
      <c r="CU155" s="35"/>
      <c r="CV155" s="35"/>
      <c r="CW155" s="36">
        <f>'Old Balance Sheet'!W155 + 'ACPL Calculations - 1.0'!Z155 + 'ACPL Calculations - 2.0'!Z155</f>
        <v>2889034</v>
      </c>
      <c r="CX155" s="36">
        <f>'Old Balance Sheet'!X155 + 'ACPL Calculations - 1.0'!AA155 + 'ACPL Calculations - 2.0'!AA155</f>
        <v>1613670.35</v>
      </c>
      <c r="CY155" s="37">
        <v>0.0</v>
      </c>
      <c r="CZ155" s="38">
        <f>'Old Balance Sheet'!Y155 + 'ACPL Calculations - 1.0'!AB155 + 'ACPL Calculations - 2.0'!AB155</f>
        <v>1323110.97</v>
      </c>
      <c r="DA155" s="38">
        <f>'Old Balance Sheet'!Z155 + 'ACPL Calculations - 1.0'!AC155 + 'ACPL Calculations - 2.0'!AC155</f>
        <v>0</v>
      </c>
      <c r="DB155" s="38">
        <f>'Old Balance Sheet'!AA155 + 'ACPL Calculations - 1.0'!AD155 + 'ACPL Calculations - 2.0'!AD155</f>
        <v>55259.41</v>
      </c>
      <c r="DC155" s="38">
        <f>'Old Balance Sheet'!AB155 + 'ACPL Calculations - 1.0'!AE155 + 'ACPL Calculations - 2.0'!AE155</f>
        <v>1275363.65</v>
      </c>
      <c r="DD155" s="38">
        <f t="shared" si="4"/>
        <v>1275363.65</v>
      </c>
      <c r="DE155" s="33">
        <f t="shared" si="5"/>
        <v>1057015.65</v>
      </c>
      <c r="DF155" s="35">
        <v>0.0</v>
      </c>
      <c r="DG155" s="35">
        <v>0.0</v>
      </c>
      <c r="DH155" s="35">
        <v>0.0</v>
      </c>
      <c r="DI155" s="35">
        <v>0.0</v>
      </c>
      <c r="DJ155" s="35">
        <v>0.0</v>
      </c>
      <c r="DK155" s="35">
        <v>0.0</v>
      </c>
      <c r="DL155" s="35">
        <v>0.0</v>
      </c>
      <c r="DM155" s="35">
        <v>0.0</v>
      </c>
      <c r="DN155" s="31">
        <v>0.0</v>
      </c>
      <c r="DO155" s="31">
        <v>0.0</v>
      </c>
      <c r="DP155" s="31">
        <v>0.0</v>
      </c>
      <c r="DQ155" s="31">
        <v>0.0</v>
      </c>
      <c r="DR155" s="31">
        <v>0.0</v>
      </c>
      <c r="DS155" s="31">
        <v>0.0</v>
      </c>
      <c r="DT155" s="31">
        <f>'Old Balance Sheet'!AC155</f>
        <v>-126854</v>
      </c>
      <c r="DU155" s="31">
        <f>DT155 + SUMIFS('Payments Log'!D:D, 'Payments Log'!B:B, A155, 'Payments Log'!L:L, "Approved", 'Payments Log'!M:M, "Credit") + 'Old Balance Sheet'!AD155 - 'Old Balance Sheet'!AC155</f>
        <v>2670686</v>
      </c>
      <c r="DV155" s="31">
        <f>SUMIFS('Payments Log'!D:D, 'Payments Log'!B:B, A155, 'Payments Log'!L:L, "Approved", 'Payments Log'!M:M, "Adjustment Credit") - SUMIFS('Payments Log'!D:D, 'Payments Log'!B:B, A155, 'Payments Log'!L:L, "Approved", 'Payments Log'!M:M, "Adjustment Debit") + 'Old Balance Sheet'!AE155</f>
        <v>0</v>
      </c>
      <c r="DW155" s="31">
        <f>IF(MAXIFS('Payments Log'!N:N, 'Payments Log'!L:L, "Approved", 'Payments Log'!M:M, "Credit", 'Payments Log'!B:B, A155) &gt; MAXIFS('Payments Log'!N:N, 'Payments Log'!L:L, "Approved", 'Payments Log'!M:M, "Virtual Credit", 'Payments Log'!B:B, A155), 0, SUMIFS('Payments Log'!D:D, 'Payments Log'!N:N, MAXIFS('Payments Log'!N:N, 'Payments Log'!L:L, "Approved", 'Payments Log'!M:M, "Virtual Credit", 'Payments Log'!B:B, A155)))</f>
        <v>0</v>
      </c>
      <c r="DX155" s="33">
        <f t="shared" si="6"/>
        <v>-218348</v>
      </c>
      <c r="DY155" s="33">
        <f t="shared" si="7"/>
        <v>1057015.65</v>
      </c>
      <c r="DZ155" s="33">
        <f t="shared" si="8"/>
        <v>1057015.65</v>
      </c>
      <c r="EA155" s="25" t="str">
        <f>(Sheet1!N155)</f>
        <v>Chandra Automobiles - Faizabad</v>
      </c>
      <c r="EB155" s="25" t="str">
        <f>(Sheet1!O155)</f>
        <v>1TMTMDBTSLXzi0POas5HDprui-sp3TCVvRYWE8buap-0</v>
      </c>
      <c r="EC155" s="26" t="str">
        <f>(Sheet1!P155)</f>
        <v>Dealer</v>
      </c>
      <c r="ED155" s="34" t="s">
        <v>13</v>
      </c>
    </row>
    <row r="156">
      <c r="A156" s="25" t="str">
        <f>(Sheet1!A156)</f>
        <v>1yeu1sNSbb2j8YGtFyG1D4WLawBmqXJv51bLIGiQ9gJs</v>
      </c>
      <c r="B156" s="25" t="str">
        <f>(Sheet1!B156)</f>
        <v>GANPATI AUTOMOBILE-DEORIA</v>
      </c>
      <c r="C156" s="30" t="s">
        <v>13</v>
      </c>
      <c r="D156" s="30" t="s">
        <v>72</v>
      </c>
      <c r="E156" s="30" t="s">
        <v>3820</v>
      </c>
      <c r="F156" s="31">
        <v>160.0</v>
      </c>
      <c r="G156" s="32" t="s">
        <v>3818</v>
      </c>
      <c r="H156" s="31">
        <v>100.0</v>
      </c>
      <c r="I156" s="33">
        <f>'Old Balance Sheet'!A156 + 'ACPL Calculations - 1.0'!A156 + 'ACPL Calculations - 2.0'!A156</f>
        <v>6953</v>
      </c>
      <c r="J156" s="30" t="s">
        <v>3820</v>
      </c>
      <c r="K156" s="31">
        <v>205.0</v>
      </c>
      <c r="L156" s="32" t="s">
        <v>3818</v>
      </c>
      <c r="M156" s="31">
        <v>100.0</v>
      </c>
      <c r="N156" s="33">
        <f>'Old Balance Sheet'!B156 + 'ACPL Calculations - 1.0'!B156 + 'ACPL Calculations - 2.0'!B156</f>
        <v>1</v>
      </c>
      <c r="O156" s="30" t="s">
        <v>3820</v>
      </c>
      <c r="P156" s="31">
        <v>290.0</v>
      </c>
      <c r="Q156" s="32" t="s">
        <v>3818</v>
      </c>
      <c r="R156" s="31">
        <v>100.0</v>
      </c>
      <c r="S156" s="33">
        <f>'Old Balance Sheet'!C156 + 'ACPL Calculations - 1.0'!C156 + 'ACPL Calculations - 2.0'!C156</f>
        <v>0</v>
      </c>
      <c r="T156" s="30" t="s">
        <v>3820</v>
      </c>
      <c r="U156" s="31">
        <v>375.0</v>
      </c>
      <c r="V156" s="32" t="s">
        <v>3818</v>
      </c>
      <c r="W156" s="31">
        <v>100.0</v>
      </c>
      <c r="X156" s="33">
        <f>'Old Balance Sheet'!D156 + 'ACPL Calculations - 1.0'!D156 + 'ACPL Calculations - 2.0'!D156</f>
        <v>0</v>
      </c>
      <c r="Y156" s="30" t="s">
        <v>3820</v>
      </c>
      <c r="Z156" s="31">
        <v>375.0</v>
      </c>
      <c r="AA156" s="32" t="s">
        <v>3818</v>
      </c>
      <c r="AB156" s="31">
        <v>100.0</v>
      </c>
      <c r="AC156" s="33">
        <f>'Old Balance Sheet'!E156 + 'ACPL Calculations - 1.0'!E156 + 'ACPL Calculations - 2.0'!E156</f>
        <v>0</v>
      </c>
      <c r="AD156" s="30" t="s">
        <v>3820</v>
      </c>
      <c r="AE156" s="34">
        <v>838.99</v>
      </c>
      <c r="AF156" s="32" t="s">
        <v>3818</v>
      </c>
      <c r="AG156" s="31">
        <v>100.0</v>
      </c>
      <c r="AH156" s="33">
        <f>'Old Balance Sheet'!F156 + 'ACPL Calculations - 1.0'!F156 + 'ACPL Calculations - 2.0'!F156</f>
        <v>0</v>
      </c>
      <c r="AI156" s="30" t="s">
        <v>3820</v>
      </c>
      <c r="AJ156" s="31">
        <v>375.0</v>
      </c>
      <c r="AK156" s="32" t="s">
        <v>3818</v>
      </c>
      <c r="AL156" s="31">
        <v>100.0</v>
      </c>
      <c r="AM156" s="33">
        <f>'Old Balance Sheet'!G156 + 'ACPL Calculations - 1.0'!G156 + 'ACPL Calculations - 2.0'!G156</f>
        <v>0</v>
      </c>
      <c r="AN156" s="30" t="s">
        <v>3820</v>
      </c>
      <c r="AO156" s="31">
        <v>290.0</v>
      </c>
      <c r="AP156" s="32" t="s">
        <v>3818</v>
      </c>
      <c r="AQ156" s="31">
        <v>100.0</v>
      </c>
      <c r="AR156" s="33">
        <f>'Old Balance Sheet'!H156 + 'ACPL Calculations - 1.0'!H156 + 'ACPL Calculations - 2.0'!H156</f>
        <v>0</v>
      </c>
      <c r="AS156" s="30" t="s">
        <v>3819</v>
      </c>
      <c r="AT156" s="31">
        <v>838.99</v>
      </c>
      <c r="AU156" s="32" t="s">
        <v>3818</v>
      </c>
      <c r="AV156" s="31">
        <v>100.0</v>
      </c>
      <c r="AW156" s="33">
        <f>'Old Balance Sheet'!I156 + 'ACPL Calculations - 1.0'!I156 + 'ACPL Calculations - 2.0'!I156</f>
        <v>0</v>
      </c>
      <c r="AX156" s="30" t="s">
        <v>3820</v>
      </c>
      <c r="AY156" s="31">
        <v>290.0</v>
      </c>
      <c r="AZ156" s="32" t="s">
        <v>3818</v>
      </c>
      <c r="BA156" s="31">
        <v>100.0</v>
      </c>
      <c r="BB156" s="33">
        <f>'Old Balance Sheet'!J156 + 'ACPL Calculations - 1.0'!J156 + 'ACPL Calculations - 2.0'!J156</f>
        <v>0</v>
      </c>
      <c r="BC156" s="30" t="s">
        <v>3820</v>
      </c>
      <c r="BD156" s="31">
        <v>205.0</v>
      </c>
      <c r="BE156" s="32" t="s">
        <v>3818</v>
      </c>
      <c r="BF156" s="31">
        <v>100.0</v>
      </c>
      <c r="BG156" s="33">
        <f>'Old Balance Sheet'!K156 + 'ACPL Calculations - 1.0'!K156 + 'ACPL Calculations - 2.0'!K156</f>
        <v>0</v>
      </c>
      <c r="BH156" s="30" t="s">
        <v>3820</v>
      </c>
      <c r="BI156" s="31">
        <v>205.0</v>
      </c>
      <c r="BJ156" s="32" t="s">
        <v>3818</v>
      </c>
      <c r="BK156" s="31">
        <v>100.0</v>
      </c>
      <c r="BL156" s="33">
        <f>'Old Balance Sheet'!L156 + 'ACPL Calculations - 1.0'!L156 + 'ACPL Calculations - 2.0'!L156</f>
        <v>0</v>
      </c>
      <c r="BM156" s="33"/>
      <c r="BN156" s="33"/>
      <c r="BO156" s="33"/>
      <c r="BP156" s="33"/>
      <c r="BQ156" s="33"/>
      <c r="BR156" s="33"/>
      <c r="BS156" s="33"/>
      <c r="BT156" s="33"/>
      <c r="BU156" s="33"/>
      <c r="BV156" s="33"/>
      <c r="BW156" s="33"/>
      <c r="BX156" s="33"/>
      <c r="BY156" s="33"/>
      <c r="BZ156" s="33"/>
      <c r="CA156" s="33"/>
      <c r="CB156" s="33"/>
      <c r="CC156" s="33"/>
      <c r="CD156" s="33"/>
      <c r="CE156" s="33"/>
      <c r="CF156" s="33"/>
      <c r="CG156" s="33"/>
      <c r="CH156" s="33"/>
      <c r="CI156" s="33"/>
      <c r="CJ156" s="33"/>
      <c r="CK156" s="33"/>
      <c r="CL156" s="33">
        <f t="shared" si="1"/>
        <v>6954</v>
      </c>
      <c r="CM156" s="33">
        <f>'Old Balance Sheet'!R156 + 'ACPL Calculations - 1.0'!S156 + 'ACPL Calculations - 2.0'!S156</f>
        <v>3073248</v>
      </c>
      <c r="CN156" s="33">
        <f>'Old Balance Sheet'!S156 + 'ACPL Calculations - 1.0'!T156 + 'ACPL Calculations - 2.0'!T156</f>
        <v>1218390</v>
      </c>
      <c r="CO156" s="33">
        <f t="shared" si="2"/>
        <v>1687164.64</v>
      </c>
      <c r="CP156" s="33">
        <f>'Old Balance Sheet'!T156 + 'ACPL Calculations - 1.0'!V156 + 'ACPL Calculations - 2.0'!V156</f>
        <v>0</v>
      </c>
      <c r="CQ156" s="33">
        <f>'Old Balance Sheet'!U156 + 'ACPL Calculations - 1.0'!W156 + 'ACPL Calculations - 2.0'!W156</f>
        <v>0</v>
      </c>
      <c r="CR156" s="33">
        <f>'Old Balance Sheet'!V156 + 'ACPL Calculations - 1.0'!X156 + 'ACPL Calculations - 2.0'!X156</f>
        <v>468774.64</v>
      </c>
      <c r="CS156" s="33">
        <f t="shared" si="3"/>
        <v>468774.64</v>
      </c>
      <c r="CT156" s="35"/>
      <c r="CU156" s="35"/>
      <c r="CV156" s="35"/>
      <c r="CW156" s="36">
        <f>'Old Balance Sheet'!W156 + 'ACPL Calculations - 1.0'!Z156 + 'ACPL Calculations - 2.0'!Z156</f>
        <v>3099387.24</v>
      </c>
      <c r="CX156" s="36">
        <f>'Old Balance Sheet'!X156 + 'ACPL Calculations - 1.0'!AA156 + 'ACPL Calculations - 2.0'!AA156</f>
        <v>1781584.16</v>
      </c>
      <c r="CY156" s="37">
        <v>0.0</v>
      </c>
      <c r="CZ156" s="38">
        <f>'Old Balance Sheet'!Y156 + 'ACPL Calculations - 1.0'!AB156 + 'ACPL Calculations - 2.0'!AB156</f>
        <v>1367195.03</v>
      </c>
      <c r="DA156" s="38">
        <f>'Old Balance Sheet'!Z156 + 'ACPL Calculations - 1.0'!AC156 + 'ACPL Calculations - 2.0'!AC156</f>
        <v>29110.76</v>
      </c>
      <c r="DB156" s="38">
        <f>'Old Balance Sheet'!AA156 + 'ACPL Calculations - 1.0'!AD156 + 'ACPL Calculations - 2.0'!AD156</f>
        <v>60367.02</v>
      </c>
      <c r="DC156" s="38">
        <f>'Old Balance Sheet'!AB156 + 'ACPL Calculations - 1.0'!AE156 + 'ACPL Calculations - 2.0'!AE156</f>
        <v>1317803.08</v>
      </c>
      <c r="DD156" s="38">
        <f t="shared" si="4"/>
        <v>1317803.08</v>
      </c>
      <c r="DE156" s="33">
        <f t="shared" si="5"/>
        <v>0</v>
      </c>
      <c r="DF156" s="35">
        <v>0.0</v>
      </c>
      <c r="DG156" s="35">
        <v>0.0</v>
      </c>
      <c r="DH156" s="35">
        <v>0.0</v>
      </c>
      <c r="DI156" s="35">
        <v>0.0</v>
      </c>
      <c r="DJ156" s="35">
        <v>0.0</v>
      </c>
      <c r="DK156" s="35">
        <v>0.0</v>
      </c>
      <c r="DL156" s="35">
        <v>0.0</v>
      </c>
      <c r="DM156" s="35">
        <v>0.0</v>
      </c>
      <c r="DN156" s="31">
        <v>0.0</v>
      </c>
      <c r="DO156" s="31">
        <v>0.0</v>
      </c>
      <c r="DP156" s="31">
        <v>0.0</v>
      </c>
      <c r="DQ156" s="31">
        <v>0.0</v>
      </c>
      <c r="DR156" s="31">
        <v>0.0</v>
      </c>
      <c r="DS156" s="31">
        <v>0.0</v>
      </c>
      <c r="DT156" s="31">
        <f>'Old Balance Sheet'!AC156</f>
        <v>-1326</v>
      </c>
      <c r="DU156" s="31">
        <f>DT156 + SUMIFS('Payments Log'!D:D, 'Payments Log'!B:B, A156, 'Payments Log'!L:L, "Approved", 'Payments Log'!M:M, "Credit") + 'Old Balance Sheet'!AD156 - 'Old Balance Sheet'!AC156</f>
        <v>2413206</v>
      </c>
      <c r="DV156" s="31">
        <f>SUMIFS('Payments Log'!D:D, 'Payments Log'!B:B, A156, 'Payments Log'!L:L, "Approved", 'Payments Log'!M:M, "Adjustment Credit") - SUMIFS('Payments Log'!D:D, 'Payments Log'!B:B, A156, 'Payments Log'!L:L, "Approved", 'Payments Log'!M:M, "Adjustment Debit") + 'Old Balance Sheet'!AE156</f>
        <v>-903824.76</v>
      </c>
      <c r="DW156" s="31">
        <f>IF(MAXIFS('Payments Log'!N:N, 'Payments Log'!L:L, "Approved", 'Payments Log'!M:M, "Credit", 'Payments Log'!B:B, A156) &gt; MAXIFS('Payments Log'!N:N, 'Payments Log'!L:L, "Approved", 'Payments Log'!M:M, "Virtual Credit", 'Payments Log'!B:B, A156), 0, SUMIFS('Payments Log'!D:D, 'Payments Log'!N:N, MAXIFS('Payments Log'!N:N, 'Payments Log'!L:L, "Approved", 'Payments Log'!M:M, "Virtual Credit", 'Payments Log'!B:B, A156)))</f>
        <v>0</v>
      </c>
      <c r="DX156" s="33">
        <f t="shared" si="6"/>
        <v>-1590006</v>
      </c>
      <c r="DY156" s="33">
        <f t="shared" si="7"/>
        <v>-272202.92</v>
      </c>
      <c r="DZ156" s="33">
        <f t="shared" si="8"/>
        <v>-272202.92</v>
      </c>
      <c r="EA156" s="25" t="str">
        <f>(Sheet1!N156)</f>
        <v>GANPATI AUTOMOBILE-DEORIA</v>
      </c>
      <c r="EB156" s="25" t="str">
        <f>(Sheet1!O156)</f>
        <v>1yeu1sNSbb2j8YGtFyG1D4WLawBmqXJv51bLIGiQ9gJs</v>
      </c>
      <c r="EC156" s="26" t="str">
        <f>(Sheet1!P156)</f>
        <v>Dealer</v>
      </c>
      <c r="ED156" s="34" t="s">
        <v>13</v>
      </c>
    </row>
    <row r="157">
      <c r="A157" s="25" t="str">
        <f>(Sheet1!A157)</f>
        <v>1ujz4e03ajQcNujiybbh9kWwlqBz9h70rMo6I6wAh-WI</v>
      </c>
      <c r="B157" s="25" t="str">
        <f>(Sheet1!B157)</f>
        <v>Golden Enterprises - Shikohabad</v>
      </c>
      <c r="C157" s="30" t="s">
        <v>13</v>
      </c>
      <c r="D157" s="30" t="s">
        <v>72</v>
      </c>
      <c r="E157" s="30" t="s">
        <v>3820</v>
      </c>
      <c r="F157" s="31">
        <v>205.0</v>
      </c>
      <c r="G157" s="32" t="s">
        <v>3818</v>
      </c>
      <c r="H157" s="31">
        <v>100.0</v>
      </c>
      <c r="I157" s="33">
        <f>'Old Balance Sheet'!A157 + 'ACPL Calculations - 1.0'!A157 + 'ACPL Calculations - 2.0'!A157</f>
        <v>0</v>
      </c>
      <c r="J157" s="30" t="s">
        <v>3820</v>
      </c>
      <c r="K157" s="31">
        <v>205.0</v>
      </c>
      <c r="L157" s="32" t="s">
        <v>3818</v>
      </c>
      <c r="M157" s="31">
        <v>100.0</v>
      </c>
      <c r="N157" s="33">
        <f>'Old Balance Sheet'!B157 + 'ACPL Calculations - 1.0'!B157 + 'ACPL Calculations - 2.0'!B157</f>
        <v>0</v>
      </c>
      <c r="O157" s="30" t="s">
        <v>3820</v>
      </c>
      <c r="P157" s="31">
        <v>290.0</v>
      </c>
      <c r="Q157" s="32" t="s">
        <v>3818</v>
      </c>
      <c r="R157" s="31">
        <v>100.0</v>
      </c>
      <c r="S157" s="33">
        <f>'Old Balance Sheet'!C157 + 'ACPL Calculations - 1.0'!C157 + 'ACPL Calculations - 2.0'!C157</f>
        <v>0</v>
      </c>
      <c r="T157" s="30" t="s">
        <v>3820</v>
      </c>
      <c r="U157" s="31">
        <v>375.0</v>
      </c>
      <c r="V157" s="32" t="s">
        <v>3818</v>
      </c>
      <c r="W157" s="31">
        <v>100.0</v>
      </c>
      <c r="X157" s="33">
        <f>'Old Balance Sheet'!D157 + 'ACPL Calculations - 1.0'!D157 + 'ACPL Calculations - 2.0'!D157</f>
        <v>0</v>
      </c>
      <c r="Y157" s="30" t="s">
        <v>3820</v>
      </c>
      <c r="Z157" s="31">
        <v>460.0</v>
      </c>
      <c r="AA157" s="32" t="s">
        <v>3818</v>
      </c>
      <c r="AB157" s="31">
        <v>100.0</v>
      </c>
      <c r="AC157" s="33">
        <f>'Old Balance Sheet'!E157 + 'ACPL Calculations - 1.0'!E157 + 'ACPL Calculations - 2.0'!E157</f>
        <v>0</v>
      </c>
      <c r="AD157" s="30" t="s">
        <v>3820</v>
      </c>
      <c r="AE157" s="34">
        <v>838.99</v>
      </c>
      <c r="AF157" s="32" t="s">
        <v>3818</v>
      </c>
      <c r="AG157" s="31">
        <v>100.0</v>
      </c>
      <c r="AH157" s="33">
        <f>'Old Balance Sheet'!F157 + 'ACPL Calculations - 1.0'!F157 + 'ACPL Calculations - 2.0'!F157</f>
        <v>0</v>
      </c>
      <c r="AI157" s="30" t="s">
        <v>3820</v>
      </c>
      <c r="AJ157" s="31">
        <v>375.0</v>
      </c>
      <c r="AK157" s="32" t="s">
        <v>3818</v>
      </c>
      <c r="AL157" s="31">
        <v>100.0</v>
      </c>
      <c r="AM157" s="33">
        <f>'Old Balance Sheet'!G157 + 'ACPL Calculations - 1.0'!G157 + 'ACPL Calculations - 2.0'!G157</f>
        <v>0</v>
      </c>
      <c r="AN157" s="30" t="s">
        <v>3820</v>
      </c>
      <c r="AO157" s="31">
        <v>290.0</v>
      </c>
      <c r="AP157" s="32" t="s">
        <v>3818</v>
      </c>
      <c r="AQ157" s="31">
        <v>100.0</v>
      </c>
      <c r="AR157" s="33">
        <f>'Old Balance Sheet'!H157 + 'ACPL Calculations - 1.0'!H157 + 'ACPL Calculations - 2.0'!H157</f>
        <v>0</v>
      </c>
      <c r="AS157" s="30" t="s">
        <v>3819</v>
      </c>
      <c r="AT157" s="31">
        <v>838.99</v>
      </c>
      <c r="AU157" s="32" t="s">
        <v>3818</v>
      </c>
      <c r="AV157" s="31">
        <v>100.0</v>
      </c>
      <c r="AW157" s="33">
        <f>'Old Balance Sheet'!I157 + 'ACPL Calculations - 1.0'!I157 + 'ACPL Calculations - 2.0'!I157</f>
        <v>0</v>
      </c>
      <c r="AX157" s="30" t="s">
        <v>3820</v>
      </c>
      <c r="AY157" s="31">
        <v>290.0</v>
      </c>
      <c r="AZ157" s="32" t="s">
        <v>3818</v>
      </c>
      <c r="BA157" s="31">
        <v>100.0</v>
      </c>
      <c r="BB157" s="33">
        <f>'Old Balance Sheet'!J157 + 'ACPL Calculations - 1.0'!J157 + 'ACPL Calculations - 2.0'!J157</f>
        <v>0</v>
      </c>
      <c r="BC157" s="30" t="s">
        <v>3820</v>
      </c>
      <c r="BD157" s="31">
        <v>205.0</v>
      </c>
      <c r="BE157" s="32" t="s">
        <v>3818</v>
      </c>
      <c r="BF157" s="31">
        <v>100.0</v>
      </c>
      <c r="BG157" s="33">
        <f>'Old Balance Sheet'!K157 + 'ACPL Calculations - 1.0'!K157 + 'ACPL Calculations - 2.0'!K157</f>
        <v>0</v>
      </c>
      <c r="BH157" s="30" t="s">
        <v>3820</v>
      </c>
      <c r="BI157" s="31">
        <v>205.0</v>
      </c>
      <c r="BJ157" s="32" t="s">
        <v>3818</v>
      </c>
      <c r="BK157" s="31">
        <v>100.0</v>
      </c>
      <c r="BL157" s="33">
        <f>'Old Balance Sheet'!L157 + 'ACPL Calculations - 1.0'!L157 + 'ACPL Calculations - 2.0'!L157</f>
        <v>0</v>
      </c>
      <c r="BM157" s="33"/>
      <c r="BN157" s="33"/>
      <c r="BO157" s="33"/>
      <c r="BP157" s="33"/>
      <c r="BQ157" s="33"/>
      <c r="BR157" s="33"/>
      <c r="BS157" s="33"/>
      <c r="BT157" s="33"/>
      <c r="BU157" s="33"/>
      <c r="BV157" s="33"/>
      <c r="BW157" s="33"/>
      <c r="BX157" s="33"/>
      <c r="BY157" s="33"/>
      <c r="BZ157" s="33"/>
      <c r="CA157" s="33"/>
      <c r="CB157" s="33"/>
      <c r="CC157" s="33"/>
      <c r="CD157" s="33"/>
      <c r="CE157" s="33"/>
      <c r="CF157" s="33"/>
      <c r="CG157" s="33"/>
      <c r="CH157" s="33"/>
      <c r="CI157" s="33"/>
      <c r="CJ157" s="33"/>
      <c r="CK157" s="33"/>
      <c r="CL157" s="33">
        <f t="shared" si="1"/>
        <v>0</v>
      </c>
      <c r="CM157" s="33">
        <f>'Old Balance Sheet'!R157 + 'ACPL Calculations - 1.0'!S157 + 'ACPL Calculations - 2.0'!S157</f>
        <v>0</v>
      </c>
      <c r="CN157" s="33">
        <f>'Old Balance Sheet'!S157 + 'ACPL Calculations - 1.0'!T157 + 'ACPL Calculations - 2.0'!T157</f>
        <v>0</v>
      </c>
      <c r="CO157" s="33">
        <f t="shared" si="2"/>
        <v>0</v>
      </c>
      <c r="CP157" s="33">
        <f>'Old Balance Sheet'!T157 + 'ACPL Calculations - 1.0'!V157 + 'ACPL Calculations - 2.0'!V157</f>
        <v>0</v>
      </c>
      <c r="CQ157" s="33">
        <f>'Old Balance Sheet'!U157 + 'ACPL Calculations - 1.0'!W157 + 'ACPL Calculations - 2.0'!W157</f>
        <v>0</v>
      </c>
      <c r="CR157" s="33">
        <f>'Old Balance Sheet'!V157 + 'ACPL Calculations - 1.0'!X157 + 'ACPL Calculations - 2.0'!X157</f>
        <v>0</v>
      </c>
      <c r="CS157" s="33">
        <f t="shared" si="3"/>
        <v>0</v>
      </c>
      <c r="CT157" s="35"/>
      <c r="CU157" s="35"/>
      <c r="CV157" s="35"/>
      <c r="CW157" s="36">
        <f>'Old Balance Sheet'!W157 + 'ACPL Calculations - 1.0'!Z157 + 'ACPL Calculations - 2.0'!Z157</f>
        <v>0</v>
      </c>
      <c r="CX157" s="36">
        <f>'Old Balance Sheet'!X157 + 'ACPL Calculations - 1.0'!AA157 + 'ACPL Calculations - 2.0'!AA157</f>
        <v>0</v>
      </c>
      <c r="CY157" s="37">
        <v>0.0</v>
      </c>
      <c r="CZ157" s="38">
        <f>'Old Balance Sheet'!Y157 + 'ACPL Calculations - 1.0'!AB157 + 'ACPL Calculations - 2.0'!AB157</f>
        <v>0</v>
      </c>
      <c r="DA157" s="38">
        <f>'Old Balance Sheet'!Z157 + 'ACPL Calculations - 1.0'!AC157 + 'ACPL Calculations - 2.0'!AC157</f>
        <v>0</v>
      </c>
      <c r="DB157" s="38">
        <f>'Old Balance Sheet'!AA157 + 'ACPL Calculations - 1.0'!AD157 + 'ACPL Calculations - 2.0'!AD157</f>
        <v>0</v>
      </c>
      <c r="DC157" s="38">
        <f>'Old Balance Sheet'!AB157 + 'ACPL Calculations - 1.0'!AE157 + 'ACPL Calculations - 2.0'!AE157</f>
        <v>0</v>
      </c>
      <c r="DD157" s="38">
        <f t="shared" si="4"/>
        <v>0</v>
      </c>
      <c r="DE157" s="33">
        <f t="shared" si="5"/>
        <v>0</v>
      </c>
      <c r="DF157" s="35">
        <v>0.0</v>
      </c>
      <c r="DG157" s="35">
        <v>0.0</v>
      </c>
      <c r="DH157" s="35">
        <v>0.0</v>
      </c>
      <c r="DI157" s="35">
        <v>0.0</v>
      </c>
      <c r="DJ157" s="35">
        <v>0.0</v>
      </c>
      <c r="DK157" s="35">
        <v>0.0</v>
      </c>
      <c r="DL157" s="35">
        <v>0.0</v>
      </c>
      <c r="DM157" s="35">
        <v>0.0</v>
      </c>
      <c r="DN157" s="31">
        <v>0.0</v>
      </c>
      <c r="DO157" s="31">
        <v>0.0</v>
      </c>
      <c r="DP157" s="31">
        <v>0.0</v>
      </c>
      <c r="DQ157" s="31">
        <v>0.0</v>
      </c>
      <c r="DR157" s="31">
        <v>0.0</v>
      </c>
      <c r="DS157" s="31">
        <v>0.0</v>
      </c>
      <c r="DT157" s="31">
        <f>'Old Balance Sheet'!AC157</f>
        <v>-990</v>
      </c>
      <c r="DU157" s="31">
        <f>DT157 + SUMIFS('Payments Log'!D:D, 'Payments Log'!B:B, A157, 'Payments Log'!L:L, "Approved", 'Payments Log'!M:M, "Credit") + 'Old Balance Sheet'!AD157 - 'Old Balance Sheet'!AC157</f>
        <v>-990</v>
      </c>
      <c r="DV157" s="31">
        <f>SUMIFS('Payments Log'!D:D, 'Payments Log'!B:B, A157, 'Payments Log'!L:L, "Approved", 'Payments Log'!M:M, "Adjustment Credit") - SUMIFS('Payments Log'!D:D, 'Payments Log'!B:B, A157, 'Payments Log'!L:L, "Approved", 'Payments Log'!M:M, "Adjustment Debit") + 'Old Balance Sheet'!AE157</f>
        <v>0</v>
      </c>
      <c r="DW157" s="31">
        <f>IF(MAXIFS('Payments Log'!N:N, 'Payments Log'!L:L, "Approved", 'Payments Log'!M:M, "Credit", 'Payments Log'!B:B, A157) &gt; MAXIFS('Payments Log'!N:N, 'Payments Log'!L:L, "Approved", 'Payments Log'!M:M, "Virtual Credit", 'Payments Log'!B:B, A157), 0, SUMIFS('Payments Log'!D:D, 'Payments Log'!N:N, MAXIFS('Payments Log'!N:N, 'Payments Log'!L:L, "Approved", 'Payments Log'!M:M, "Virtual Credit", 'Payments Log'!B:B, A157)))</f>
        <v>0</v>
      </c>
      <c r="DX157" s="33">
        <f t="shared" si="6"/>
        <v>-990</v>
      </c>
      <c r="DY157" s="33">
        <f t="shared" si="7"/>
        <v>-990</v>
      </c>
      <c r="DZ157" s="33">
        <f t="shared" si="8"/>
        <v>-990</v>
      </c>
      <c r="EA157" s="25" t="str">
        <f>(Sheet1!N157)</f>
        <v>Golden Enterprises - Shikohabad</v>
      </c>
      <c r="EB157" s="25" t="str">
        <f>(Sheet1!O157)</f>
        <v>1ujz4e03ajQcNujiybbh9kWwlqBz9h70rMo6I6wAh-WI</v>
      </c>
      <c r="EC157" s="26" t="str">
        <f>(Sheet1!P157)</f>
        <v>Dealer</v>
      </c>
      <c r="ED157" s="34" t="s">
        <v>13</v>
      </c>
    </row>
    <row r="158">
      <c r="A158" s="25" t="str">
        <f>(Sheet1!A158)</f>
        <v>1L9RtM1bzB4DA93tD_IGwUFHY3tNGdFYoNpultJI5GgQ</v>
      </c>
      <c r="B158" s="25" t="str">
        <f>(Sheet1!B158)</f>
        <v>Sushil automobiles - Basti</v>
      </c>
      <c r="C158" s="30" t="s">
        <v>13</v>
      </c>
      <c r="D158" s="30" t="s">
        <v>72</v>
      </c>
      <c r="E158" s="30" t="s">
        <v>3820</v>
      </c>
      <c r="F158" s="31">
        <v>155.0</v>
      </c>
      <c r="G158" s="32" t="s">
        <v>3818</v>
      </c>
      <c r="H158" s="31">
        <v>100.0</v>
      </c>
      <c r="I158" s="33">
        <f>'Old Balance Sheet'!A158 + 'ACPL Calculations - 1.0'!A158 + 'ACPL Calculations - 2.0'!A158</f>
        <v>2902</v>
      </c>
      <c r="J158" s="30" t="s">
        <v>3820</v>
      </c>
      <c r="K158" s="31">
        <v>205.0</v>
      </c>
      <c r="L158" s="32" t="s">
        <v>3818</v>
      </c>
      <c r="M158" s="31">
        <v>100.0</v>
      </c>
      <c r="N158" s="33">
        <f>'Old Balance Sheet'!B158 + 'ACPL Calculations - 1.0'!B158 + 'ACPL Calculations - 2.0'!B158</f>
        <v>0</v>
      </c>
      <c r="O158" s="30" t="s">
        <v>3820</v>
      </c>
      <c r="P158" s="31">
        <v>290.0</v>
      </c>
      <c r="Q158" s="32" t="s">
        <v>3818</v>
      </c>
      <c r="R158" s="31">
        <v>100.0</v>
      </c>
      <c r="S158" s="33">
        <f>'Old Balance Sheet'!C158 + 'ACPL Calculations - 1.0'!C158 + 'ACPL Calculations - 2.0'!C158</f>
        <v>0</v>
      </c>
      <c r="T158" s="30" t="s">
        <v>3820</v>
      </c>
      <c r="U158" s="31">
        <v>375.0</v>
      </c>
      <c r="V158" s="32" t="s">
        <v>3818</v>
      </c>
      <c r="W158" s="31">
        <v>100.0</v>
      </c>
      <c r="X158" s="33">
        <f>'Old Balance Sheet'!D158 + 'ACPL Calculations - 1.0'!D158 + 'ACPL Calculations - 2.0'!D158</f>
        <v>0</v>
      </c>
      <c r="Y158" s="30" t="s">
        <v>3820</v>
      </c>
      <c r="Z158" s="31">
        <v>460.0</v>
      </c>
      <c r="AA158" s="32" t="s">
        <v>3818</v>
      </c>
      <c r="AB158" s="31">
        <v>100.0</v>
      </c>
      <c r="AC158" s="33">
        <f>'Old Balance Sheet'!E158 + 'ACPL Calculations - 1.0'!E158 + 'ACPL Calculations - 2.0'!E158</f>
        <v>0</v>
      </c>
      <c r="AD158" s="30" t="s">
        <v>3820</v>
      </c>
      <c r="AE158" s="34">
        <v>838.99</v>
      </c>
      <c r="AF158" s="32" t="s">
        <v>3818</v>
      </c>
      <c r="AG158" s="31">
        <v>100.0</v>
      </c>
      <c r="AH158" s="33">
        <f>'Old Balance Sheet'!F158 + 'ACPL Calculations - 1.0'!F158 + 'ACPL Calculations - 2.0'!F158</f>
        <v>0</v>
      </c>
      <c r="AI158" s="30" t="s">
        <v>3820</v>
      </c>
      <c r="AJ158" s="31">
        <v>375.0</v>
      </c>
      <c r="AK158" s="32" t="s">
        <v>3818</v>
      </c>
      <c r="AL158" s="31">
        <v>100.0</v>
      </c>
      <c r="AM158" s="33">
        <f>'Old Balance Sheet'!G158 + 'ACPL Calculations - 1.0'!G158 + 'ACPL Calculations - 2.0'!G158</f>
        <v>0</v>
      </c>
      <c r="AN158" s="30" t="s">
        <v>3820</v>
      </c>
      <c r="AO158" s="31">
        <v>290.0</v>
      </c>
      <c r="AP158" s="32" t="s">
        <v>3818</v>
      </c>
      <c r="AQ158" s="31">
        <v>100.0</v>
      </c>
      <c r="AR158" s="33">
        <f>'Old Balance Sheet'!H158 + 'ACPL Calculations - 1.0'!H158 + 'ACPL Calculations - 2.0'!H158</f>
        <v>0</v>
      </c>
      <c r="AS158" s="30" t="s">
        <v>3819</v>
      </c>
      <c r="AT158" s="31">
        <v>838.99</v>
      </c>
      <c r="AU158" s="32" t="s">
        <v>3818</v>
      </c>
      <c r="AV158" s="31">
        <v>100.0</v>
      </c>
      <c r="AW158" s="33">
        <f>'Old Balance Sheet'!I158 + 'ACPL Calculations - 1.0'!I158 + 'ACPL Calculations - 2.0'!I158</f>
        <v>0</v>
      </c>
      <c r="AX158" s="30" t="s">
        <v>3820</v>
      </c>
      <c r="AY158" s="31">
        <v>290.0</v>
      </c>
      <c r="AZ158" s="32" t="s">
        <v>3818</v>
      </c>
      <c r="BA158" s="31">
        <v>100.0</v>
      </c>
      <c r="BB158" s="33">
        <f>'Old Balance Sheet'!J158 + 'ACPL Calculations - 1.0'!J158 + 'ACPL Calculations - 2.0'!J158</f>
        <v>0</v>
      </c>
      <c r="BC158" s="30" t="s">
        <v>3820</v>
      </c>
      <c r="BD158" s="31">
        <v>205.0</v>
      </c>
      <c r="BE158" s="32" t="s">
        <v>3818</v>
      </c>
      <c r="BF158" s="31">
        <v>100.0</v>
      </c>
      <c r="BG158" s="33">
        <f>'Old Balance Sheet'!K158 + 'ACPL Calculations - 1.0'!K158 + 'ACPL Calculations - 2.0'!K158</f>
        <v>0</v>
      </c>
      <c r="BH158" s="30" t="s">
        <v>3820</v>
      </c>
      <c r="BI158" s="31">
        <v>205.0</v>
      </c>
      <c r="BJ158" s="32" t="s">
        <v>3818</v>
      </c>
      <c r="BK158" s="31">
        <v>100.0</v>
      </c>
      <c r="BL158" s="33">
        <f>'Old Balance Sheet'!L158 + 'ACPL Calculations - 1.0'!L158 + 'ACPL Calculations - 2.0'!L158</f>
        <v>0</v>
      </c>
      <c r="BM158" s="33"/>
      <c r="BN158" s="33"/>
      <c r="BO158" s="33"/>
      <c r="BP158" s="33"/>
      <c r="BQ158" s="33"/>
      <c r="BR158" s="33"/>
      <c r="BS158" s="33"/>
      <c r="BT158" s="33"/>
      <c r="BU158" s="33"/>
      <c r="BV158" s="33"/>
      <c r="BW158" s="33"/>
      <c r="BX158" s="33"/>
      <c r="BY158" s="33"/>
      <c r="BZ158" s="33"/>
      <c r="CA158" s="33"/>
      <c r="CB158" s="33"/>
      <c r="CC158" s="33"/>
      <c r="CD158" s="33"/>
      <c r="CE158" s="33"/>
      <c r="CF158" s="33"/>
      <c r="CG158" s="33"/>
      <c r="CH158" s="33"/>
      <c r="CI158" s="33"/>
      <c r="CJ158" s="33"/>
      <c r="CK158" s="33"/>
      <c r="CL158" s="33">
        <f t="shared" si="1"/>
        <v>2902</v>
      </c>
      <c r="CM158" s="33">
        <f>'Old Balance Sheet'!R158 + 'ACPL Calculations - 1.0'!S158 + 'ACPL Calculations - 2.0'!S158</f>
        <v>1132664</v>
      </c>
      <c r="CN158" s="33">
        <f>'Old Balance Sheet'!S158 + 'ACPL Calculations - 1.0'!T158 + 'ACPL Calculations - 2.0'!T158</f>
        <v>472435</v>
      </c>
      <c r="CO158" s="33">
        <f t="shared" si="2"/>
        <v>645209.79</v>
      </c>
      <c r="CP158" s="33">
        <f>'Old Balance Sheet'!T158 + 'ACPL Calculations - 1.0'!V158 + 'ACPL Calculations - 2.0'!V158</f>
        <v>0</v>
      </c>
      <c r="CQ158" s="33">
        <f>'Old Balance Sheet'!U158 + 'ACPL Calculations - 1.0'!W158 + 'ACPL Calculations - 2.0'!W158</f>
        <v>0</v>
      </c>
      <c r="CR158" s="33">
        <f>'Old Balance Sheet'!V158 + 'ACPL Calculations - 1.0'!X158 + 'ACPL Calculations - 2.0'!X158</f>
        <v>172774.79</v>
      </c>
      <c r="CS158" s="33">
        <f t="shared" si="3"/>
        <v>172774.79</v>
      </c>
      <c r="CT158" s="35"/>
      <c r="CU158" s="35"/>
      <c r="CV158" s="35"/>
      <c r="CW158" s="36">
        <f>'Old Balance Sheet'!W158 + 'ACPL Calculations - 1.0'!Z158 + 'ACPL Calculations - 2.0'!Z158</f>
        <v>1089688.08</v>
      </c>
      <c r="CX158" s="36">
        <f>'Old Balance Sheet'!X158 + 'ACPL Calculations - 1.0'!AA158 + 'ACPL Calculations - 2.0'!AA158</f>
        <v>671630.46</v>
      </c>
      <c r="CY158" s="37">
        <v>0.0</v>
      </c>
      <c r="CZ158" s="38">
        <f>'Old Balance Sheet'!Y158 + 'ACPL Calculations - 1.0'!AB158 + 'ACPL Calculations - 2.0'!AB158</f>
        <v>439891.15</v>
      </c>
      <c r="DA158" s="38">
        <f>'Old Balance Sheet'!Z158 + 'ACPL Calculations - 1.0'!AC158 + 'ACPL Calculations - 2.0'!AC158</f>
        <v>42585.92</v>
      </c>
      <c r="DB158" s="38">
        <f>'Old Balance Sheet'!AA158 + 'ACPL Calculations - 1.0'!AD158 + 'ACPL Calculations - 2.0'!AD158</f>
        <v>26635.16</v>
      </c>
      <c r="DC158" s="38">
        <f>'Old Balance Sheet'!AB158 + 'ACPL Calculations - 1.0'!AE158 + 'ACPL Calculations - 2.0'!AE158</f>
        <v>418057.62</v>
      </c>
      <c r="DD158" s="38">
        <f t="shared" si="4"/>
        <v>418057.62</v>
      </c>
      <c r="DE158" s="33">
        <f t="shared" si="5"/>
        <v>249113.62</v>
      </c>
      <c r="DF158" s="35">
        <v>0.0</v>
      </c>
      <c r="DG158" s="35">
        <v>0.0</v>
      </c>
      <c r="DH158" s="35">
        <v>0.0</v>
      </c>
      <c r="DI158" s="35">
        <v>0.0</v>
      </c>
      <c r="DJ158" s="35">
        <v>0.0</v>
      </c>
      <c r="DK158" s="35">
        <v>0.0</v>
      </c>
      <c r="DL158" s="35">
        <v>0.0</v>
      </c>
      <c r="DM158" s="35">
        <v>0.0</v>
      </c>
      <c r="DN158" s="31">
        <v>0.0</v>
      </c>
      <c r="DO158" s="31">
        <v>0.0</v>
      </c>
      <c r="DP158" s="31">
        <v>0.0</v>
      </c>
      <c r="DQ158" s="31">
        <v>0.0</v>
      </c>
      <c r="DR158" s="31">
        <v>0.0</v>
      </c>
      <c r="DS158" s="31">
        <v>0.0</v>
      </c>
      <c r="DT158" s="31">
        <f>'Old Balance Sheet'!AC158</f>
        <v>-32691</v>
      </c>
      <c r="DU158" s="31">
        <f>DT158 + SUMIFS('Payments Log'!D:D, 'Payments Log'!B:B, A158, 'Payments Log'!L:L, "Approved", 'Payments Log'!M:M, "Credit") + 'Old Balance Sheet'!AD158 - 'Old Balance Sheet'!AC158</f>
        <v>976659</v>
      </c>
      <c r="DV158" s="31">
        <f>SUMIFS('Payments Log'!D:D, 'Payments Log'!B:B, A158, 'Payments Log'!L:L, "Approved", 'Payments Log'!M:M, "Adjustment Credit") - SUMIFS('Payments Log'!D:D, 'Payments Log'!B:B, A158, 'Payments Log'!L:L, "Approved", 'Payments Log'!M:M, "Adjustment Debit") + 'Old Balance Sheet'!AE158</f>
        <v>-55914.92</v>
      </c>
      <c r="DW158" s="31">
        <f>IF(MAXIFS('Payments Log'!N:N, 'Payments Log'!L:L, "Approved", 'Payments Log'!M:M, "Credit", 'Payments Log'!B:B, A158) &gt; MAXIFS('Payments Log'!N:N, 'Payments Log'!L:L, "Approved", 'Payments Log'!M:M, "Virtual Credit", 'Payments Log'!B:B, A158), 0, SUMIFS('Payments Log'!D:D, 'Payments Log'!N:N, MAXIFS('Payments Log'!N:N, 'Payments Log'!L:L, "Approved", 'Payments Log'!M:M, "Virtual Credit", 'Payments Log'!B:B, A158)))</f>
        <v>0</v>
      </c>
      <c r="DX158" s="33">
        <f t="shared" si="6"/>
        <v>-168944</v>
      </c>
      <c r="DY158" s="33">
        <f t="shared" si="7"/>
        <v>249113.62</v>
      </c>
      <c r="DZ158" s="33">
        <f t="shared" si="8"/>
        <v>249113.62</v>
      </c>
      <c r="EA158" s="25" t="str">
        <f>(Sheet1!N158)</f>
        <v>Sushil automobiles - Basti</v>
      </c>
      <c r="EB158" s="25" t="str">
        <f>(Sheet1!O158)</f>
        <v>1L9RtM1bzB4DA93tD_IGwUFHY3tNGdFYoNpultJI5GgQ</v>
      </c>
      <c r="EC158" s="26" t="str">
        <f>(Sheet1!P158)</f>
        <v>Dealer</v>
      </c>
      <c r="ED158" s="34" t="s">
        <v>13</v>
      </c>
    </row>
    <row r="159">
      <c r="A159" s="25" t="str">
        <f>(Sheet1!A159)</f>
        <v>1BqR_Ok1XKiMbwmdK26aLR_BYoeEJpv9mAZfv_Tb9vx4</v>
      </c>
      <c r="B159" s="25" t="str">
        <f>(Sheet1!B159)</f>
        <v>Concept Automobile - Hardoi</v>
      </c>
      <c r="C159" s="30" t="s">
        <v>13</v>
      </c>
      <c r="D159" s="30" t="s">
        <v>72</v>
      </c>
      <c r="E159" s="30" t="s">
        <v>3820</v>
      </c>
      <c r="F159" s="31">
        <v>185.0</v>
      </c>
      <c r="G159" s="32" t="s">
        <v>3818</v>
      </c>
      <c r="H159" s="31">
        <v>100.0</v>
      </c>
      <c r="I159" s="33">
        <f>'Old Balance Sheet'!A159 + 'ACPL Calculations - 1.0'!A159 + 'ACPL Calculations - 2.0'!A159</f>
        <v>0</v>
      </c>
      <c r="J159" s="30" t="s">
        <v>3820</v>
      </c>
      <c r="K159" s="31">
        <v>185.0</v>
      </c>
      <c r="L159" s="32" t="s">
        <v>3818</v>
      </c>
      <c r="M159" s="31">
        <v>100.0</v>
      </c>
      <c r="N159" s="33">
        <f>'Old Balance Sheet'!B159 + 'ACPL Calculations - 1.0'!B159 + 'ACPL Calculations - 2.0'!B159</f>
        <v>0</v>
      </c>
      <c r="O159" s="30" t="s">
        <v>3820</v>
      </c>
      <c r="P159" s="31">
        <v>185.0</v>
      </c>
      <c r="Q159" s="32" t="s">
        <v>3818</v>
      </c>
      <c r="R159" s="31">
        <v>100.0</v>
      </c>
      <c r="S159" s="33">
        <f>'Old Balance Sheet'!C159 + 'ACPL Calculations - 1.0'!C159 + 'ACPL Calculations - 2.0'!C159</f>
        <v>309</v>
      </c>
      <c r="T159" s="30" t="s">
        <v>3820</v>
      </c>
      <c r="U159" s="31">
        <v>375.0</v>
      </c>
      <c r="V159" s="32" t="s">
        <v>3818</v>
      </c>
      <c r="W159" s="31">
        <v>100.0</v>
      </c>
      <c r="X159" s="33">
        <f>'Old Balance Sheet'!D159 + 'ACPL Calculations - 1.0'!D159 + 'ACPL Calculations - 2.0'!D159</f>
        <v>0</v>
      </c>
      <c r="Y159" s="30" t="s">
        <v>3820</v>
      </c>
      <c r="Z159" s="31">
        <v>460.0</v>
      </c>
      <c r="AA159" s="32" t="s">
        <v>3818</v>
      </c>
      <c r="AB159" s="31">
        <v>100.0</v>
      </c>
      <c r="AC159" s="33">
        <f>'Old Balance Sheet'!E159 + 'ACPL Calculations - 1.0'!E159 + 'ACPL Calculations - 2.0'!E159</f>
        <v>0</v>
      </c>
      <c r="AD159" s="30" t="s">
        <v>3820</v>
      </c>
      <c r="AE159" s="34">
        <v>838.99</v>
      </c>
      <c r="AF159" s="32" t="s">
        <v>3818</v>
      </c>
      <c r="AG159" s="31">
        <v>100.0</v>
      </c>
      <c r="AH159" s="33">
        <f>'Old Balance Sheet'!F159 + 'ACPL Calculations - 1.0'!F159 + 'ACPL Calculations - 2.0'!F159</f>
        <v>0</v>
      </c>
      <c r="AI159" s="30" t="s">
        <v>3820</v>
      </c>
      <c r="AJ159" s="31">
        <v>375.0</v>
      </c>
      <c r="AK159" s="32" t="s">
        <v>3818</v>
      </c>
      <c r="AL159" s="31">
        <v>100.0</v>
      </c>
      <c r="AM159" s="33">
        <f>'Old Balance Sheet'!G159 + 'ACPL Calculations - 1.0'!G159 + 'ACPL Calculations - 2.0'!G159</f>
        <v>0</v>
      </c>
      <c r="AN159" s="30" t="s">
        <v>3820</v>
      </c>
      <c r="AO159" s="31">
        <v>290.0</v>
      </c>
      <c r="AP159" s="32" t="s">
        <v>3818</v>
      </c>
      <c r="AQ159" s="31">
        <v>100.0</v>
      </c>
      <c r="AR159" s="33">
        <f>'Old Balance Sheet'!H159 + 'ACPL Calculations - 1.0'!H159 + 'ACPL Calculations - 2.0'!H159</f>
        <v>0</v>
      </c>
      <c r="AS159" s="30" t="s">
        <v>3819</v>
      </c>
      <c r="AT159" s="31">
        <v>838.99</v>
      </c>
      <c r="AU159" s="32" t="s">
        <v>3818</v>
      </c>
      <c r="AV159" s="31">
        <v>100.0</v>
      </c>
      <c r="AW159" s="33">
        <f>'Old Balance Sheet'!I159 + 'ACPL Calculations - 1.0'!I159 + 'ACPL Calculations - 2.0'!I159</f>
        <v>0</v>
      </c>
      <c r="AX159" s="30" t="s">
        <v>3820</v>
      </c>
      <c r="AY159" s="31">
        <v>290.0</v>
      </c>
      <c r="AZ159" s="32" t="s">
        <v>3818</v>
      </c>
      <c r="BA159" s="31">
        <v>100.0</v>
      </c>
      <c r="BB159" s="33">
        <f>'Old Balance Sheet'!J159 + 'ACPL Calculations - 1.0'!J159 + 'ACPL Calculations - 2.0'!J159</f>
        <v>0</v>
      </c>
      <c r="BC159" s="30" t="s">
        <v>3820</v>
      </c>
      <c r="BD159" s="31">
        <v>205.0</v>
      </c>
      <c r="BE159" s="32" t="s">
        <v>3818</v>
      </c>
      <c r="BF159" s="31">
        <v>100.0</v>
      </c>
      <c r="BG159" s="33">
        <f>'Old Balance Sheet'!K159 + 'ACPL Calculations - 1.0'!K159 + 'ACPL Calculations - 2.0'!K159</f>
        <v>0</v>
      </c>
      <c r="BH159" s="30" t="s">
        <v>3820</v>
      </c>
      <c r="BI159" s="31">
        <v>205.0</v>
      </c>
      <c r="BJ159" s="32" t="s">
        <v>3818</v>
      </c>
      <c r="BK159" s="31">
        <v>100.0</v>
      </c>
      <c r="BL159" s="33">
        <f>'Old Balance Sheet'!L159 + 'ACPL Calculations - 1.0'!L159 + 'ACPL Calculations - 2.0'!L159</f>
        <v>0</v>
      </c>
      <c r="BM159" s="33"/>
      <c r="BN159" s="33"/>
      <c r="BO159" s="33"/>
      <c r="BP159" s="33"/>
      <c r="BQ159" s="33"/>
      <c r="BR159" s="33"/>
      <c r="BS159" s="33"/>
      <c r="BT159" s="33"/>
      <c r="BU159" s="33"/>
      <c r="BV159" s="33"/>
      <c r="BW159" s="33"/>
      <c r="BX159" s="33"/>
      <c r="BY159" s="33"/>
      <c r="BZ159" s="33"/>
      <c r="CA159" s="33"/>
      <c r="CB159" s="33"/>
      <c r="CC159" s="33"/>
      <c r="CD159" s="33"/>
      <c r="CE159" s="33"/>
      <c r="CF159" s="33"/>
      <c r="CG159" s="33"/>
      <c r="CH159" s="33"/>
      <c r="CI159" s="33"/>
      <c r="CJ159" s="33"/>
      <c r="CK159" s="33"/>
      <c r="CL159" s="33">
        <f t="shared" si="1"/>
        <v>309</v>
      </c>
      <c r="CM159" s="33">
        <f>'Old Balance Sheet'!R159 + 'ACPL Calculations - 1.0'!S159 + 'ACPL Calculations - 2.0'!S159</f>
        <v>213210</v>
      </c>
      <c r="CN159" s="33">
        <f>'Old Balance Sheet'!S159 + 'ACPL Calculations - 1.0'!T159 + 'ACPL Calculations - 2.0'!T159</f>
        <v>77200</v>
      </c>
      <c r="CO159" s="33">
        <f t="shared" si="2"/>
        <v>109722.25</v>
      </c>
      <c r="CP159" s="33">
        <f>'Old Balance Sheet'!T159 + 'ACPL Calculations - 1.0'!V159 + 'ACPL Calculations - 2.0'!V159</f>
        <v>0</v>
      </c>
      <c r="CQ159" s="33">
        <f>'Old Balance Sheet'!U159 + 'ACPL Calculations - 1.0'!W159 + 'ACPL Calculations - 2.0'!W159</f>
        <v>0</v>
      </c>
      <c r="CR159" s="33">
        <f>'Old Balance Sheet'!V159 + 'ACPL Calculations - 1.0'!X159 + 'ACPL Calculations - 2.0'!X159</f>
        <v>32522.25</v>
      </c>
      <c r="CS159" s="33">
        <f t="shared" si="3"/>
        <v>32522.25</v>
      </c>
      <c r="CT159" s="35"/>
      <c r="CU159" s="35"/>
      <c r="CV159" s="35"/>
      <c r="CW159" s="36">
        <f>'Old Balance Sheet'!W159 + 'ACPL Calculations - 1.0'!Z159 + 'ACPL Calculations - 2.0'!Z159</f>
        <v>213210</v>
      </c>
      <c r="CX159" s="36">
        <f>'Old Balance Sheet'!X159 + 'ACPL Calculations - 1.0'!AA159 + 'ACPL Calculations - 2.0'!AA159</f>
        <v>113454.86</v>
      </c>
      <c r="CY159" s="37">
        <v>0.0</v>
      </c>
      <c r="CZ159" s="38">
        <f>'Old Balance Sheet'!Y159 + 'ACPL Calculations - 1.0'!AB159 + 'ACPL Calculations - 2.0'!AB159</f>
        <v>102527.68</v>
      </c>
      <c r="DA159" s="38">
        <f>'Old Balance Sheet'!Z159 + 'ACPL Calculations - 1.0'!AC159 + 'ACPL Calculations - 2.0'!AC159</f>
        <v>0</v>
      </c>
      <c r="DB159" s="38">
        <f>'Old Balance Sheet'!AA159 + 'ACPL Calculations - 1.0'!AD159 + 'ACPL Calculations - 2.0'!AD159</f>
        <v>3734.24</v>
      </c>
      <c r="DC159" s="38">
        <f>'Old Balance Sheet'!AB159 + 'ACPL Calculations - 1.0'!AE159 + 'ACPL Calculations - 2.0'!AE159</f>
        <v>99755.14</v>
      </c>
      <c r="DD159" s="38">
        <f t="shared" si="4"/>
        <v>99755.14</v>
      </c>
      <c r="DE159" s="33">
        <f t="shared" si="5"/>
        <v>99755.14</v>
      </c>
      <c r="DF159" s="35">
        <v>0.0</v>
      </c>
      <c r="DG159" s="35">
        <v>0.0</v>
      </c>
      <c r="DH159" s="35">
        <v>0.0</v>
      </c>
      <c r="DI159" s="35">
        <v>0.0</v>
      </c>
      <c r="DJ159" s="35">
        <v>0.0</v>
      </c>
      <c r="DK159" s="35">
        <v>0.0</v>
      </c>
      <c r="DL159" s="35">
        <v>0.0</v>
      </c>
      <c r="DM159" s="35">
        <v>0.0</v>
      </c>
      <c r="DN159" s="31">
        <v>0.0</v>
      </c>
      <c r="DO159" s="31">
        <v>0.0</v>
      </c>
      <c r="DP159" s="31">
        <v>0.0</v>
      </c>
      <c r="DQ159" s="31">
        <v>0.0</v>
      </c>
      <c r="DR159" s="31">
        <v>0.0</v>
      </c>
      <c r="DS159" s="31">
        <v>0.0</v>
      </c>
      <c r="DT159" s="31">
        <f>'Old Balance Sheet'!AC159</f>
        <v>0</v>
      </c>
      <c r="DU159" s="31">
        <f>DT159 + SUMIFS('Payments Log'!D:D, 'Payments Log'!B:B, A159, 'Payments Log'!L:L, "Approved", 'Payments Log'!M:M, "Credit") + 'Old Balance Sheet'!AD159 - 'Old Balance Sheet'!AC159</f>
        <v>213210</v>
      </c>
      <c r="DV159" s="31">
        <f>SUMIFS('Payments Log'!D:D, 'Payments Log'!B:B, A159, 'Payments Log'!L:L, "Approved", 'Payments Log'!M:M, "Adjustment Credit") - SUMIFS('Payments Log'!D:D, 'Payments Log'!B:B, A159, 'Payments Log'!L:L, "Approved", 'Payments Log'!M:M, "Adjustment Debit") + 'Old Balance Sheet'!AE159</f>
        <v>0</v>
      </c>
      <c r="DW159" s="31">
        <f>IF(MAXIFS('Payments Log'!N:N, 'Payments Log'!L:L, "Approved", 'Payments Log'!M:M, "Credit", 'Payments Log'!B:B, A159) &gt; MAXIFS('Payments Log'!N:N, 'Payments Log'!L:L, "Approved", 'Payments Log'!M:M, "Virtual Credit", 'Payments Log'!B:B, A159), 0, SUMIFS('Payments Log'!D:D, 'Payments Log'!N:N, MAXIFS('Payments Log'!N:N, 'Payments Log'!L:L, "Approved", 'Payments Log'!M:M, "Virtual Credit", 'Payments Log'!B:B, A159)))</f>
        <v>0</v>
      </c>
      <c r="DX159" s="33">
        <f t="shared" si="6"/>
        <v>0</v>
      </c>
      <c r="DY159" s="33">
        <f t="shared" si="7"/>
        <v>99755.14</v>
      </c>
      <c r="DZ159" s="33">
        <f t="shared" si="8"/>
        <v>99755.14</v>
      </c>
      <c r="EA159" s="25" t="str">
        <f>(Sheet1!N159)</f>
        <v>Concept Automobile - Hardoi</v>
      </c>
      <c r="EB159" s="25" t="str">
        <f>(Sheet1!O159)</f>
        <v>1BqR_Ok1XKiMbwmdK26aLR_BYoeEJpv9mAZfv_Tb9vx4</v>
      </c>
      <c r="EC159" s="26" t="str">
        <f>(Sheet1!P159)</f>
        <v>Dealer</v>
      </c>
      <c r="ED159" s="34" t="s">
        <v>13</v>
      </c>
    </row>
    <row r="160">
      <c r="A160" s="25" t="str">
        <f>(Sheet1!A160)</f>
        <v>1Pe7FzdsQsobTnfMtw8AFR97wsuAbRapZxNXhDErhL0Q</v>
      </c>
      <c r="B160" s="25" t="str">
        <f>(Sheet1!B160)</f>
        <v>OCEANIC TVS - Ahmedabad</v>
      </c>
      <c r="C160" s="30" t="s">
        <v>13</v>
      </c>
      <c r="D160" s="30" t="s">
        <v>72</v>
      </c>
      <c r="E160" s="30" t="s">
        <v>3820</v>
      </c>
      <c r="F160" s="31">
        <v>205.0</v>
      </c>
      <c r="G160" s="32" t="s">
        <v>3818</v>
      </c>
      <c r="H160" s="31">
        <v>100.0</v>
      </c>
      <c r="I160" s="33">
        <f>'Old Balance Sheet'!A160 + 'ACPL Calculations - 1.0'!A160 + 'ACPL Calculations - 2.0'!A160</f>
        <v>0</v>
      </c>
      <c r="J160" s="30" t="s">
        <v>3820</v>
      </c>
      <c r="K160" s="31">
        <v>205.0</v>
      </c>
      <c r="L160" s="32" t="s">
        <v>3818</v>
      </c>
      <c r="M160" s="31">
        <v>100.0</v>
      </c>
      <c r="N160" s="33">
        <f>'Old Balance Sheet'!B160 + 'ACPL Calculations - 1.0'!B160 + 'ACPL Calculations - 2.0'!B160</f>
        <v>0</v>
      </c>
      <c r="O160" s="30" t="s">
        <v>3820</v>
      </c>
      <c r="P160" s="31">
        <v>290.0</v>
      </c>
      <c r="Q160" s="32" t="s">
        <v>3818</v>
      </c>
      <c r="R160" s="31">
        <v>100.0</v>
      </c>
      <c r="S160" s="33">
        <f>'Old Balance Sheet'!C160 + 'ACPL Calculations - 1.0'!C160 + 'ACPL Calculations - 2.0'!C160</f>
        <v>0</v>
      </c>
      <c r="T160" s="30" t="s">
        <v>3820</v>
      </c>
      <c r="U160" s="31">
        <v>375.0</v>
      </c>
      <c r="V160" s="32" t="s">
        <v>3818</v>
      </c>
      <c r="W160" s="31">
        <v>100.0</v>
      </c>
      <c r="X160" s="33">
        <f>'Old Balance Sheet'!D160 + 'ACPL Calculations - 1.0'!D160 + 'ACPL Calculations - 2.0'!D160</f>
        <v>0</v>
      </c>
      <c r="Y160" s="30" t="s">
        <v>3820</v>
      </c>
      <c r="Z160" s="31">
        <v>460.0</v>
      </c>
      <c r="AA160" s="32" t="s">
        <v>3818</v>
      </c>
      <c r="AB160" s="31">
        <v>100.0</v>
      </c>
      <c r="AC160" s="33">
        <f>'Old Balance Sheet'!E160 + 'ACPL Calculations - 1.0'!E160 + 'ACPL Calculations - 2.0'!E160</f>
        <v>0</v>
      </c>
      <c r="AD160" s="30" t="s">
        <v>3820</v>
      </c>
      <c r="AE160" s="34">
        <v>838.99</v>
      </c>
      <c r="AF160" s="32" t="s">
        <v>3818</v>
      </c>
      <c r="AG160" s="31">
        <v>100.0</v>
      </c>
      <c r="AH160" s="33">
        <f>'Old Balance Sheet'!F160 + 'ACPL Calculations - 1.0'!F160 + 'ACPL Calculations - 2.0'!F160</f>
        <v>0</v>
      </c>
      <c r="AI160" s="30" t="s">
        <v>3820</v>
      </c>
      <c r="AJ160" s="31">
        <v>375.0</v>
      </c>
      <c r="AK160" s="32" t="s">
        <v>3818</v>
      </c>
      <c r="AL160" s="31">
        <v>100.0</v>
      </c>
      <c r="AM160" s="33">
        <f>'Old Balance Sheet'!G160 + 'ACPL Calculations - 1.0'!G160 + 'ACPL Calculations - 2.0'!G160</f>
        <v>0</v>
      </c>
      <c r="AN160" s="30" t="s">
        <v>3820</v>
      </c>
      <c r="AO160" s="31">
        <v>290.0</v>
      </c>
      <c r="AP160" s="32" t="s">
        <v>3818</v>
      </c>
      <c r="AQ160" s="31">
        <v>100.0</v>
      </c>
      <c r="AR160" s="33">
        <f>'Old Balance Sheet'!H160 + 'ACPL Calculations - 1.0'!H160 + 'ACPL Calculations - 2.0'!H160</f>
        <v>0</v>
      </c>
      <c r="AS160" s="30" t="s">
        <v>3819</v>
      </c>
      <c r="AT160" s="31">
        <v>838.99</v>
      </c>
      <c r="AU160" s="32" t="s">
        <v>3818</v>
      </c>
      <c r="AV160" s="31">
        <v>100.0</v>
      </c>
      <c r="AW160" s="33">
        <f>'Old Balance Sheet'!I160 + 'ACPL Calculations - 1.0'!I160 + 'ACPL Calculations - 2.0'!I160</f>
        <v>0</v>
      </c>
      <c r="AX160" s="30" t="s">
        <v>3820</v>
      </c>
      <c r="AY160" s="31">
        <v>290.0</v>
      </c>
      <c r="AZ160" s="32" t="s">
        <v>3818</v>
      </c>
      <c r="BA160" s="31">
        <v>100.0</v>
      </c>
      <c r="BB160" s="33">
        <f>'Old Balance Sheet'!J160 + 'ACPL Calculations - 1.0'!J160 + 'ACPL Calculations - 2.0'!J160</f>
        <v>0</v>
      </c>
      <c r="BC160" s="30" t="s">
        <v>3820</v>
      </c>
      <c r="BD160" s="31">
        <v>205.0</v>
      </c>
      <c r="BE160" s="32" t="s">
        <v>3818</v>
      </c>
      <c r="BF160" s="31">
        <v>100.0</v>
      </c>
      <c r="BG160" s="33">
        <f>'Old Balance Sheet'!K160 + 'ACPL Calculations - 1.0'!K160 + 'ACPL Calculations - 2.0'!K160</f>
        <v>0</v>
      </c>
      <c r="BH160" s="30" t="s">
        <v>3820</v>
      </c>
      <c r="BI160" s="31">
        <v>205.0</v>
      </c>
      <c r="BJ160" s="32" t="s">
        <v>3818</v>
      </c>
      <c r="BK160" s="31">
        <v>100.0</v>
      </c>
      <c r="BL160" s="33">
        <f>'Old Balance Sheet'!L160 + 'ACPL Calculations - 1.0'!L160 + 'ACPL Calculations - 2.0'!L160</f>
        <v>0</v>
      </c>
      <c r="BM160" s="33"/>
      <c r="BN160" s="33"/>
      <c r="BO160" s="33"/>
      <c r="BP160" s="33"/>
      <c r="BQ160" s="33"/>
      <c r="BR160" s="33"/>
      <c r="BS160" s="33"/>
      <c r="BT160" s="33"/>
      <c r="BU160" s="33"/>
      <c r="BV160" s="33"/>
      <c r="BW160" s="33"/>
      <c r="BX160" s="33"/>
      <c r="BY160" s="33"/>
      <c r="BZ160" s="33"/>
      <c r="CA160" s="33"/>
      <c r="CB160" s="33"/>
      <c r="CC160" s="33"/>
      <c r="CD160" s="33"/>
      <c r="CE160" s="33"/>
      <c r="CF160" s="33"/>
      <c r="CG160" s="33"/>
      <c r="CH160" s="33"/>
      <c r="CI160" s="33"/>
      <c r="CJ160" s="33"/>
      <c r="CK160" s="33"/>
      <c r="CL160" s="33">
        <f t="shared" si="1"/>
        <v>0</v>
      </c>
      <c r="CM160" s="33">
        <f>'Old Balance Sheet'!R160 + 'ACPL Calculations - 1.0'!S160 + 'ACPL Calculations - 2.0'!S160</f>
        <v>0</v>
      </c>
      <c r="CN160" s="33">
        <f>'Old Balance Sheet'!S160 + 'ACPL Calculations - 1.0'!T160 + 'ACPL Calculations - 2.0'!T160</f>
        <v>0</v>
      </c>
      <c r="CO160" s="33">
        <f t="shared" si="2"/>
        <v>0</v>
      </c>
      <c r="CP160" s="33">
        <f>'Old Balance Sheet'!T160 + 'ACPL Calculations - 1.0'!V160 + 'ACPL Calculations - 2.0'!V160</f>
        <v>0</v>
      </c>
      <c r="CQ160" s="33">
        <f>'Old Balance Sheet'!U160 + 'ACPL Calculations - 1.0'!W160 + 'ACPL Calculations - 2.0'!W160</f>
        <v>0</v>
      </c>
      <c r="CR160" s="33">
        <f>'Old Balance Sheet'!V160 + 'ACPL Calculations - 1.0'!X160 + 'ACPL Calculations - 2.0'!X160</f>
        <v>0</v>
      </c>
      <c r="CS160" s="33">
        <f t="shared" si="3"/>
        <v>0</v>
      </c>
      <c r="CT160" s="35"/>
      <c r="CU160" s="35"/>
      <c r="CV160" s="35"/>
      <c r="CW160" s="36">
        <f>'Old Balance Sheet'!W160 + 'ACPL Calculations - 1.0'!Z160 + 'ACPL Calculations - 2.0'!Z160</f>
        <v>0</v>
      </c>
      <c r="CX160" s="36">
        <f>'Old Balance Sheet'!X160 + 'ACPL Calculations - 1.0'!AA160 + 'ACPL Calculations - 2.0'!AA160</f>
        <v>0</v>
      </c>
      <c r="CY160" s="37">
        <v>0.0</v>
      </c>
      <c r="CZ160" s="38">
        <f>'Old Balance Sheet'!Y160 + 'ACPL Calculations - 1.0'!AB160 + 'ACPL Calculations - 2.0'!AB160</f>
        <v>0</v>
      </c>
      <c r="DA160" s="38">
        <f>'Old Balance Sheet'!Z160 + 'ACPL Calculations - 1.0'!AC160 + 'ACPL Calculations - 2.0'!AC160</f>
        <v>0</v>
      </c>
      <c r="DB160" s="38">
        <f>'Old Balance Sheet'!AA160 + 'ACPL Calculations - 1.0'!AD160 + 'ACPL Calculations - 2.0'!AD160</f>
        <v>0</v>
      </c>
      <c r="DC160" s="38">
        <f>'Old Balance Sheet'!AB160 + 'ACPL Calculations - 1.0'!AE160 + 'ACPL Calculations - 2.0'!AE160</f>
        <v>0</v>
      </c>
      <c r="DD160" s="38">
        <f t="shared" si="4"/>
        <v>0</v>
      </c>
      <c r="DE160" s="33">
        <f t="shared" si="5"/>
        <v>0</v>
      </c>
      <c r="DF160" s="35">
        <v>0.0</v>
      </c>
      <c r="DG160" s="35">
        <v>0.0</v>
      </c>
      <c r="DH160" s="35">
        <v>0.0</v>
      </c>
      <c r="DI160" s="35">
        <v>0.0</v>
      </c>
      <c r="DJ160" s="35">
        <v>0.0</v>
      </c>
      <c r="DK160" s="35">
        <v>0.0</v>
      </c>
      <c r="DL160" s="35">
        <v>0.0</v>
      </c>
      <c r="DM160" s="35">
        <v>0.0</v>
      </c>
      <c r="DN160" s="31">
        <v>0.0</v>
      </c>
      <c r="DO160" s="31">
        <v>0.0</v>
      </c>
      <c r="DP160" s="31">
        <v>0.0</v>
      </c>
      <c r="DQ160" s="31">
        <v>0.0</v>
      </c>
      <c r="DR160" s="31">
        <v>0.0</v>
      </c>
      <c r="DS160" s="31">
        <v>0.0</v>
      </c>
      <c r="DT160" s="31">
        <f>'Old Balance Sheet'!AC160</f>
        <v>0</v>
      </c>
      <c r="DU160" s="31">
        <f>DT160 + SUMIFS('Payments Log'!D:D, 'Payments Log'!B:B, A160, 'Payments Log'!L:L, "Approved", 'Payments Log'!M:M, "Credit") + 'Old Balance Sheet'!AD160 - 'Old Balance Sheet'!AC160</f>
        <v>0</v>
      </c>
      <c r="DV160" s="31">
        <f>SUMIFS('Payments Log'!D:D, 'Payments Log'!B:B, A160, 'Payments Log'!L:L, "Approved", 'Payments Log'!M:M, "Adjustment Credit") - SUMIFS('Payments Log'!D:D, 'Payments Log'!B:B, A160, 'Payments Log'!L:L, "Approved", 'Payments Log'!M:M, "Adjustment Debit") + 'Old Balance Sheet'!AE160</f>
        <v>0</v>
      </c>
      <c r="DW160" s="31">
        <f>IF(MAXIFS('Payments Log'!N:N, 'Payments Log'!L:L, "Approved", 'Payments Log'!M:M, "Credit", 'Payments Log'!B:B, A160) &gt; MAXIFS('Payments Log'!N:N, 'Payments Log'!L:L, "Approved", 'Payments Log'!M:M, "Virtual Credit", 'Payments Log'!B:B, A160), 0, SUMIFS('Payments Log'!D:D, 'Payments Log'!N:N, MAXIFS('Payments Log'!N:N, 'Payments Log'!L:L, "Approved", 'Payments Log'!M:M, "Virtual Credit", 'Payments Log'!B:B, A160)))</f>
        <v>0</v>
      </c>
      <c r="DX160" s="33">
        <f t="shared" si="6"/>
        <v>0</v>
      </c>
      <c r="DY160" s="33">
        <f t="shared" si="7"/>
        <v>0</v>
      </c>
      <c r="DZ160" s="33">
        <f t="shared" si="8"/>
        <v>0</v>
      </c>
      <c r="EA160" s="25" t="str">
        <f>(Sheet1!N160)</f>
        <v>OCEANIC TVS - Ahmedabad</v>
      </c>
      <c r="EB160" s="25" t="str">
        <f>(Sheet1!O160)</f>
        <v>1Pe7FzdsQsobTnfMtw8AFR97wsuAbRapZxNXhDErhL0Q</v>
      </c>
      <c r="EC160" s="26" t="str">
        <f>(Sheet1!P160)</f>
        <v>Dealer</v>
      </c>
      <c r="ED160" s="34" t="s">
        <v>13</v>
      </c>
    </row>
    <row r="161">
      <c r="A161" s="25" t="str">
        <f>(Sheet1!A161)</f>
        <v>1424BF0G1OZasQ2pfFa99AWqhw7W1Y3ykkj8Wf5aSWWc</v>
      </c>
      <c r="B161" s="25" t="str">
        <f>(Sheet1!B161)</f>
        <v>GOKULAUTOWORLD - AHMEDABAD</v>
      </c>
      <c r="C161" s="30" t="s">
        <v>13</v>
      </c>
      <c r="D161" s="30" t="s">
        <v>72</v>
      </c>
      <c r="E161" s="30" t="s">
        <v>3817</v>
      </c>
      <c r="F161" s="31">
        <v>190.0</v>
      </c>
      <c r="G161" s="32" t="s">
        <v>3818</v>
      </c>
      <c r="H161" s="31">
        <v>100.0</v>
      </c>
      <c r="I161" s="33">
        <f>'Old Balance Sheet'!A161 + 'ACPL Calculations - 1.0'!A161 + 'ACPL Calculations - 2.0'!A161</f>
        <v>0</v>
      </c>
      <c r="J161" s="30" t="s">
        <v>3817</v>
      </c>
      <c r="K161" s="31">
        <v>205.0</v>
      </c>
      <c r="L161" s="32" t="s">
        <v>3818</v>
      </c>
      <c r="M161" s="31">
        <v>100.0</v>
      </c>
      <c r="N161" s="33">
        <f>'Old Balance Sheet'!B161 + 'ACPL Calculations - 1.0'!B161 + 'ACPL Calculations - 2.0'!B161</f>
        <v>1</v>
      </c>
      <c r="O161" s="30" t="s">
        <v>3817</v>
      </c>
      <c r="P161" s="31">
        <v>190.0</v>
      </c>
      <c r="Q161" s="32" t="s">
        <v>3818</v>
      </c>
      <c r="R161" s="31">
        <v>100.0</v>
      </c>
      <c r="S161" s="33">
        <f>'Old Balance Sheet'!C161 + 'ACPL Calculations - 1.0'!C161 + 'ACPL Calculations - 2.0'!C161</f>
        <v>915</v>
      </c>
      <c r="T161" s="30" t="s">
        <v>3817</v>
      </c>
      <c r="U161" s="31">
        <v>375.0</v>
      </c>
      <c r="V161" s="32" t="s">
        <v>3818</v>
      </c>
      <c r="W161" s="31">
        <v>100.0</v>
      </c>
      <c r="X161" s="33">
        <f>'Old Balance Sheet'!D161 + 'ACPL Calculations - 1.0'!D161 + 'ACPL Calculations - 2.0'!D161</f>
        <v>0</v>
      </c>
      <c r="Y161" s="30" t="s">
        <v>3817</v>
      </c>
      <c r="Z161" s="31">
        <v>460.0</v>
      </c>
      <c r="AA161" s="32" t="s">
        <v>3818</v>
      </c>
      <c r="AB161" s="31">
        <v>100.0</v>
      </c>
      <c r="AC161" s="33">
        <f>'Old Balance Sheet'!E161 + 'ACPL Calculations - 1.0'!E161 + 'ACPL Calculations - 2.0'!E161</f>
        <v>0</v>
      </c>
      <c r="AD161" s="30" t="s">
        <v>3817</v>
      </c>
      <c r="AE161" s="34">
        <v>838.99</v>
      </c>
      <c r="AF161" s="32" t="s">
        <v>3818</v>
      </c>
      <c r="AG161" s="31">
        <v>100.0</v>
      </c>
      <c r="AH161" s="33">
        <f>'Old Balance Sheet'!F161 + 'ACPL Calculations - 1.0'!F161 + 'ACPL Calculations - 2.0'!F161</f>
        <v>0</v>
      </c>
      <c r="AI161" s="30" t="s">
        <v>3817</v>
      </c>
      <c r="AJ161" s="31">
        <v>375.0</v>
      </c>
      <c r="AK161" s="32" t="s">
        <v>3818</v>
      </c>
      <c r="AL161" s="31">
        <v>100.0</v>
      </c>
      <c r="AM161" s="33">
        <f>'Old Balance Sheet'!G161 + 'ACPL Calculations - 1.0'!G161 + 'ACPL Calculations - 2.0'!G161</f>
        <v>0</v>
      </c>
      <c r="AN161" s="30" t="s">
        <v>3817</v>
      </c>
      <c r="AO161" s="31">
        <v>290.0</v>
      </c>
      <c r="AP161" s="32" t="s">
        <v>3818</v>
      </c>
      <c r="AQ161" s="31">
        <v>100.0</v>
      </c>
      <c r="AR161" s="33">
        <f>'Old Balance Sheet'!H161 + 'ACPL Calculations - 1.0'!H161 + 'ACPL Calculations - 2.0'!H161</f>
        <v>0</v>
      </c>
      <c r="AS161" s="30" t="s">
        <v>3819</v>
      </c>
      <c r="AT161" s="31">
        <v>838.99</v>
      </c>
      <c r="AU161" s="32" t="s">
        <v>3818</v>
      </c>
      <c r="AV161" s="31">
        <v>100.0</v>
      </c>
      <c r="AW161" s="33">
        <f>'Old Balance Sheet'!I161 + 'ACPL Calculations - 1.0'!I161 + 'ACPL Calculations - 2.0'!I161</f>
        <v>0</v>
      </c>
      <c r="AX161" s="30" t="s">
        <v>3817</v>
      </c>
      <c r="AY161" s="31">
        <v>290.0</v>
      </c>
      <c r="AZ161" s="32" t="s">
        <v>3818</v>
      </c>
      <c r="BA161" s="31">
        <v>100.0</v>
      </c>
      <c r="BB161" s="33">
        <f>'Old Balance Sheet'!J161 + 'ACPL Calculations - 1.0'!J161 + 'ACPL Calculations - 2.0'!J161</f>
        <v>0</v>
      </c>
      <c r="BC161" s="30" t="s">
        <v>3817</v>
      </c>
      <c r="BD161" s="31">
        <v>205.0</v>
      </c>
      <c r="BE161" s="32" t="s">
        <v>3818</v>
      </c>
      <c r="BF161" s="31">
        <v>100.0</v>
      </c>
      <c r="BG161" s="33">
        <f>'Old Balance Sheet'!K161 + 'ACPL Calculations - 1.0'!K161 + 'ACPL Calculations - 2.0'!K161</f>
        <v>0</v>
      </c>
      <c r="BH161" s="30" t="s">
        <v>3817</v>
      </c>
      <c r="BI161" s="31">
        <v>205.0</v>
      </c>
      <c r="BJ161" s="32" t="s">
        <v>3818</v>
      </c>
      <c r="BK161" s="31">
        <v>100.0</v>
      </c>
      <c r="BL161" s="33">
        <f>'Old Balance Sheet'!L161 + 'ACPL Calculations - 1.0'!L161 + 'ACPL Calculations - 2.0'!L161</f>
        <v>0</v>
      </c>
      <c r="BM161" s="33"/>
      <c r="BN161" s="33"/>
      <c r="BO161" s="33"/>
      <c r="BP161" s="33"/>
      <c r="BQ161" s="33"/>
      <c r="BR161" s="33"/>
      <c r="BS161" s="33"/>
      <c r="BT161" s="33"/>
      <c r="BU161" s="33"/>
      <c r="BV161" s="33"/>
      <c r="BW161" s="33"/>
      <c r="BX161" s="33"/>
      <c r="BY161" s="33"/>
      <c r="BZ161" s="33"/>
      <c r="CA161" s="33"/>
      <c r="CB161" s="33"/>
      <c r="CC161" s="33"/>
      <c r="CD161" s="33"/>
      <c r="CE161" s="33"/>
      <c r="CF161" s="33"/>
      <c r="CG161" s="33"/>
      <c r="CH161" s="33"/>
      <c r="CI161" s="33"/>
      <c r="CJ161" s="33"/>
      <c r="CK161" s="33"/>
      <c r="CL161" s="33">
        <f t="shared" si="1"/>
        <v>916</v>
      </c>
      <c r="CM161" s="33">
        <f>'Old Balance Sheet'!R161 + 'ACPL Calculations - 1.0'!S161 + 'ACPL Calculations - 2.0'!S161</f>
        <v>404820</v>
      </c>
      <c r="CN161" s="33">
        <f>'Old Balance Sheet'!S161 + 'ACPL Calculations - 1.0'!T161 + 'ACPL Calculations - 2.0'!T161</f>
        <v>193825</v>
      </c>
      <c r="CO161" s="33">
        <f t="shared" si="2"/>
        <v>255573.79</v>
      </c>
      <c r="CP161" s="33">
        <f>'Old Balance Sheet'!T161 + 'ACPL Calculations - 1.0'!V161 + 'ACPL Calculations - 2.0'!V161</f>
        <v>0</v>
      </c>
      <c r="CQ161" s="33">
        <f>'Old Balance Sheet'!U161 + 'ACPL Calculations - 1.0'!W161 + 'ACPL Calculations - 2.0'!W161</f>
        <v>0</v>
      </c>
      <c r="CR161" s="33">
        <f>'Old Balance Sheet'!V161 + 'ACPL Calculations - 1.0'!X161 + 'ACPL Calculations - 2.0'!X161</f>
        <v>61748.79</v>
      </c>
      <c r="CS161" s="33">
        <f t="shared" si="3"/>
        <v>61748.79</v>
      </c>
      <c r="CT161" s="35"/>
      <c r="CU161" s="35"/>
      <c r="CV161" s="35"/>
      <c r="CW161" s="36">
        <f>'Old Balance Sheet'!W161 + 'ACPL Calculations - 1.0'!Z161 + 'ACPL Calculations - 2.0'!Z161</f>
        <v>264828.17</v>
      </c>
      <c r="CX161" s="36">
        <f>'Old Balance Sheet'!X161 + 'ACPL Calculations - 1.0'!AA161 + 'ACPL Calculations - 2.0'!AA161</f>
        <v>263634.01</v>
      </c>
      <c r="CY161" s="37">
        <v>0.0</v>
      </c>
      <c r="CZ161" s="38">
        <f>'Old Balance Sheet'!Y161 + 'ACPL Calculations - 1.0'!AB161 + 'ACPL Calculations - 2.0'!AB161</f>
        <v>113427.72</v>
      </c>
      <c r="DA161" s="38">
        <f>'Old Balance Sheet'!Z161 + 'ACPL Calculations - 1.0'!AC161 + 'ACPL Calculations - 2.0'!AC161</f>
        <v>139991.83</v>
      </c>
      <c r="DB161" s="38">
        <f>'Old Balance Sheet'!AA161 + 'ACPL Calculations - 1.0'!AD161 + 'ACPL Calculations - 2.0'!AD161</f>
        <v>9254.38</v>
      </c>
      <c r="DC161" s="38">
        <f>'Old Balance Sheet'!AB161 + 'ACPL Calculations - 1.0'!AE161 + 'ACPL Calculations - 2.0'!AE161</f>
        <v>0</v>
      </c>
      <c r="DD161" s="38">
        <f t="shared" si="4"/>
        <v>0</v>
      </c>
      <c r="DE161" s="33">
        <f t="shared" si="5"/>
        <v>0</v>
      </c>
      <c r="DF161" s="35">
        <v>0.0</v>
      </c>
      <c r="DG161" s="35">
        <v>0.0</v>
      </c>
      <c r="DH161" s="35">
        <v>0.0</v>
      </c>
      <c r="DI161" s="35">
        <v>0.0</v>
      </c>
      <c r="DJ161" s="35">
        <v>0.0</v>
      </c>
      <c r="DK161" s="35">
        <v>0.0</v>
      </c>
      <c r="DL161" s="35">
        <v>0.0</v>
      </c>
      <c r="DM161" s="35">
        <v>0.0</v>
      </c>
      <c r="DN161" s="31">
        <v>0.0</v>
      </c>
      <c r="DO161" s="31">
        <v>0.0</v>
      </c>
      <c r="DP161" s="31">
        <v>0.0</v>
      </c>
      <c r="DQ161" s="31">
        <v>0.0</v>
      </c>
      <c r="DR161" s="31">
        <v>0.0</v>
      </c>
      <c r="DS161" s="31">
        <v>0.0</v>
      </c>
      <c r="DT161" s="31">
        <f>'Old Balance Sheet'!AC161</f>
        <v>0</v>
      </c>
      <c r="DU161" s="31">
        <f>DT161 + SUMIFS('Payments Log'!D:D, 'Payments Log'!B:B, A161, 'Payments Log'!L:L, "Approved", 'Payments Log'!M:M, "Credit") + 'Old Balance Sheet'!AD161 - 'Old Balance Sheet'!AC161</f>
        <v>265000</v>
      </c>
      <c r="DV161" s="31">
        <f>SUMIFS('Payments Log'!D:D, 'Payments Log'!B:B, A161, 'Payments Log'!L:L, "Approved", 'Payments Log'!M:M, "Adjustment Credit") - SUMIFS('Payments Log'!D:D, 'Payments Log'!B:B, A161, 'Payments Log'!L:L, "Approved", 'Payments Log'!M:M, "Adjustment Debit") + 'Old Balance Sheet'!AE161</f>
        <v>0</v>
      </c>
      <c r="DW161" s="31">
        <f>IF(MAXIFS('Payments Log'!N:N, 'Payments Log'!L:L, "Approved", 'Payments Log'!M:M, "Credit", 'Payments Log'!B:B, A161) &gt; MAXIFS('Payments Log'!N:N, 'Payments Log'!L:L, "Approved", 'Payments Log'!M:M, "Virtual Credit", 'Payments Log'!B:B, A161), 0, SUMIFS('Payments Log'!D:D, 'Payments Log'!N:N, MAXIFS('Payments Log'!N:N, 'Payments Log'!L:L, "Approved", 'Payments Log'!M:M, "Virtual Credit", 'Payments Log'!B:B, A161)))</f>
        <v>0</v>
      </c>
      <c r="DX161" s="33">
        <f t="shared" si="6"/>
        <v>171.83</v>
      </c>
      <c r="DY161" s="33">
        <f t="shared" si="7"/>
        <v>1365.99</v>
      </c>
      <c r="DZ161" s="33">
        <f t="shared" si="8"/>
        <v>1365.99</v>
      </c>
      <c r="EA161" s="25" t="str">
        <f>(Sheet1!N161)</f>
        <v>GOKULAUTOWORLD - AHMEDABAD</v>
      </c>
      <c r="EB161" s="25" t="str">
        <f>(Sheet1!O161)</f>
        <v>1424BF0G1OZasQ2pfFa99AWqhw7W1Y3ykkj8Wf5aSWWc</v>
      </c>
      <c r="EC161" s="26" t="str">
        <f>(Sheet1!P161)</f>
        <v>Dealer</v>
      </c>
      <c r="ED161" s="34" t="s">
        <v>13</v>
      </c>
    </row>
    <row r="162">
      <c r="A162" s="25" t="str">
        <f>(Sheet1!A162)</f>
        <v>1TMacegY-Sk7pr6CF_YiZtnxppf8kQ29DX8ZSzN8Nba0</v>
      </c>
      <c r="B162" s="25" t="str">
        <f>(Sheet1!B162)</f>
        <v>YASH AUTOMOBILES-PUNE</v>
      </c>
      <c r="C162" s="30" t="s">
        <v>13</v>
      </c>
      <c r="D162" s="30" t="s">
        <v>72</v>
      </c>
      <c r="E162" s="30" t="s">
        <v>3819</v>
      </c>
      <c r="F162" s="31">
        <v>205.0</v>
      </c>
      <c r="G162" s="32" t="s">
        <v>3818</v>
      </c>
      <c r="H162" s="31">
        <v>100.0</v>
      </c>
      <c r="I162" s="33">
        <f>'Old Balance Sheet'!A162 + 'ACPL Calculations - 1.0'!A162 + 'ACPL Calculations - 2.0'!A162</f>
        <v>0</v>
      </c>
      <c r="J162" s="30" t="s">
        <v>3819</v>
      </c>
      <c r="K162" s="31">
        <v>80.0</v>
      </c>
      <c r="L162" s="32" t="s">
        <v>3818</v>
      </c>
      <c r="M162" s="31">
        <v>100.0</v>
      </c>
      <c r="N162" s="33">
        <f>'Old Balance Sheet'!B162 + 'ACPL Calculations - 1.0'!B162 + 'ACPL Calculations - 2.0'!B162</f>
        <v>3384</v>
      </c>
      <c r="O162" s="30" t="s">
        <v>3819</v>
      </c>
      <c r="P162" s="31">
        <v>290.0</v>
      </c>
      <c r="Q162" s="32" t="s">
        <v>3818</v>
      </c>
      <c r="R162" s="31">
        <v>100.0</v>
      </c>
      <c r="S162" s="33">
        <f>'Old Balance Sheet'!C162 + 'ACPL Calculations - 1.0'!C162 + 'ACPL Calculations - 2.0'!C162</f>
        <v>0</v>
      </c>
      <c r="T162" s="30" t="s">
        <v>3819</v>
      </c>
      <c r="U162" s="31">
        <v>375.0</v>
      </c>
      <c r="V162" s="32" t="s">
        <v>3818</v>
      </c>
      <c r="W162" s="31">
        <v>100.0</v>
      </c>
      <c r="X162" s="33">
        <f>'Old Balance Sheet'!D162 + 'ACPL Calculations - 1.0'!D162 + 'ACPL Calculations - 2.0'!D162</f>
        <v>0</v>
      </c>
      <c r="Y162" s="30" t="s">
        <v>3819</v>
      </c>
      <c r="Z162" s="31">
        <v>460.0</v>
      </c>
      <c r="AA162" s="32" t="s">
        <v>3818</v>
      </c>
      <c r="AB162" s="31">
        <v>100.0</v>
      </c>
      <c r="AC162" s="33">
        <f>'Old Balance Sheet'!E162 + 'ACPL Calculations - 1.0'!E162 + 'ACPL Calculations - 2.0'!E162</f>
        <v>0</v>
      </c>
      <c r="AD162" s="30" t="s">
        <v>3819</v>
      </c>
      <c r="AE162" s="34">
        <v>838.99</v>
      </c>
      <c r="AF162" s="32" t="s">
        <v>3818</v>
      </c>
      <c r="AG162" s="31">
        <v>100.0</v>
      </c>
      <c r="AH162" s="33">
        <f>'Old Balance Sheet'!F162 + 'ACPL Calculations - 1.0'!F162 + 'ACPL Calculations - 2.0'!F162</f>
        <v>0</v>
      </c>
      <c r="AI162" s="30" t="s">
        <v>3819</v>
      </c>
      <c r="AJ162" s="31">
        <v>375.0</v>
      </c>
      <c r="AK162" s="32" t="s">
        <v>3818</v>
      </c>
      <c r="AL162" s="31">
        <v>100.0</v>
      </c>
      <c r="AM162" s="33">
        <f>'Old Balance Sheet'!G162 + 'ACPL Calculations - 1.0'!G162 + 'ACPL Calculations - 2.0'!G162</f>
        <v>0</v>
      </c>
      <c r="AN162" s="30" t="s">
        <v>3819</v>
      </c>
      <c r="AO162" s="31">
        <v>290.0</v>
      </c>
      <c r="AP162" s="32" t="s">
        <v>3818</v>
      </c>
      <c r="AQ162" s="31">
        <v>100.0</v>
      </c>
      <c r="AR162" s="33">
        <f>'Old Balance Sheet'!H162 + 'ACPL Calculations - 1.0'!H162 + 'ACPL Calculations - 2.0'!H162</f>
        <v>0</v>
      </c>
      <c r="AS162" s="30" t="s">
        <v>3819</v>
      </c>
      <c r="AT162" s="31">
        <v>838.99</v>
      </c>
      <c r="AU162" s="32" t="s">
        <v>3818</v>
      </c>
      <c r="AV162" s="31">
        <v>100.0</v>
      </c>
      <c r="AW162" s="33">
        <f>'Old Balance Sheet'!I162 + 'ACPL Calculations - 1.0'!I162 + 'ACPL Calculations - 2.0'!I162</f>
        <v>0</v>
      </c>
      <c r="AX162" s="30" t="s">
        <v>3819</v>
      </c>
      <c r="AY162" s="31">
        <v>290.0</v>
      </c>
      <c r="AZ162" s="32" t="s">
        <v>3818</v>
      </c>
      <c r="BA162" s="31">
        <v>100.0</v>
      </c>
      <c r="BB162" s="33">
        <f>'Old Balance Sheet'!J162 + 'ACPL Calculations - 1.0'!J162 + 'ACPL Calculations - 2.0'!J162</f>
        <v>0</v>
      </c>
      <c r="BC162" s="30" t="s">
        <v>3819</v>
      </c>
      <c r="BD162" s="31">
        <v>205.0</v>
      </c>
      <c r="BE162" s="32" t="s">
        <v>3818</v>
      </c>
      <c r="BF162" s="31">
        <v>100.0</v>
      </c>
      <c r="BG162" s="33">
        <f>'Old Balance Sheet'!K162 + 'ACPL Calculations - 1.0'!K162 + 'ACPL Calculations - 2.0'!K162</f>
        <v>0</v>
      </c>
      <c r="BH162" s="30" t="s">
        <v>3819</v>
      </c>
      <c r="BI162" s="31">
        <v>205.0</v>
      </c>
      <c r="BJ162" s="32" t="s">
        <v>3818</v>
      </c>
      <c r="BK162" s="31">
        <v>100.0</v>
      </c>
      <c r="BL162" s="33">
        <f>'Old Balance Sheet'!L162 + 'ACPL Calculations - 1.0'!L162 + 'ACPL Calculations - 2.0'!L162</f>
        <v>0</v>
      </c>
      <c r="BM162" s="33"/>
      <c r="BN162" s="33"/>
      <c r="BO162" s="33"/>
      <c r="BP162" s="33"/>
      <c r="BQ162" s="33"/>
      <c r="BR162" s="33"/>
      <c r="BS162" s="33"/>
      <c r="BT162" s="33"/>
      <c r="BU162" s="33"/>
      <c r="BV162" s="33"/>
      <c r="BW162" s="33"/>
      <c r="BX162" s="33"/>
      <c r="BY162" s="33"/>
      <c r="BZ162" s="33"/>
      <c r="CA162" s="33"/>
      <c r="CB162" s="33"/>
      <c r="CC162" s="33"/>
      <c r="CD162" s="33"/>
      <c r="CE162" s="33"/>
      <c r="CF162" s="33"/>
      <c r="CG162" s="33"/>
      <c r="CH162" s="33"/>
      <c r="CI162" s="33"/>
      <c r="CJ162" s="33"/>
      <c r="CK162" s="33"/>
      <c r="CL162" s="33">
        <f t="shared" si="1"/>
        <v>3384</v>
      </c>
      <c r="CM162" s="33">
        <f>'Old Balance Sheet'!R162 + 'ACPL Calculations - 1.0'!S162 + 'ACPL Calculations - 2.0'!S162</f>
        <v>319449.6</v>
      </c>
      <c r="CN162" s="33">
        <f>'Old Balance Sheet'!S162 + 'ACPL Calculations - 1.0'!T162 + 'ACPL Calculations - 2.0'!T162</f>
        <v>270720</v>
      </c>
      <c r="CO162" s="33">
        <f t="shared" si="2"/>
        <v>319449.6</v>
      </c>
      <c r="CP162" s="33">
        <f>'Old Balance Sheet'!T162 + 'ACPL Calculations - 1.0'!V162 + 'ACPL Calculations - 2.0'!V162</f>
        <v>0</v>
      </c>
      <c r="CQ162" s="33">
        <f>'Old Balance Sheet'!U162 + 'ACPL Calculations - 1.0'!W162 + 'ACPL Calculations - 2.0'!W162</f>
        <v>0</v>
      </c>
      <c r="CR162" s="33">
        <f>'Old Balance Sheet'!V162 + 'ACPL Calculations - 1.0'!X162 + 'ACPL Calculations - 2.0'!X162</f>
        <v>48729.6</v>
      </c>
      <c r="CS162" s="33">
        <f t="shared" si="3"/>
        <v>48729.6</v>
      </c>
      <c r="CT162" s="35"/>
      <c r="CU162" s="35"/>
      <c r="CV162" s="35"/>
      <c r="CW162" s="36">
        <f>'Old Balance Sheet'!W162 + 'ACPL Calculations - 1.0'!Z162 + 'ACPL Calculations - 2.0'!Z162</f>
        <v>319355.2</v>
      </c>
      <c r="CX162" s="36">
        <f>'Old Balance Sheet'!X162 + 'ACPL Calculations - 1.0'!AA162 + 'ACPL Calculations - 2.0'!AA162</f>
        <v>319355.2</v>
      </c>
      <c r="CY162" s="37">
        <v>0.0</v>
      </c>
      <c r="CZ162" s="38">
        <f>'Old Balance Sheet'!Y162 + 'ACPL Calculations - 1.0'!AB162 + 'ACPL Calculations - 2.0'!AB162</f>
        <v>0</v>
      </c>
      <c r="DA162" s="38">
        <f>'Old Balance Sheet'!Z162 + 'ACPL Calculations - 1.0'!AC162 + 'ACPL Calculations - 2.0'!AC162</f>
        <v>0</v>
      </c>
      <c r="DB162" s="38">
        <f>'Old Balance Sheet'!AA162 + 'ACPL Calculations - 1.0'!AD162 + 'ACPL Calculations - 2.0'!AD162</f>
        <v>0</v>
      </c>
      <c r="DC162" s="38">
        <f>'Old Balance Sheet'!AB162 + 'ACPL Calculations - 1.0'!AE162 + 'ACPL Calculations - 2.0'!AE162</f>
        <v>0</v>
      </c>
      <c r="DD162" s="38">
        <f t="shared" si="4"/>
        <v>0</v>
      </c>
      <c r="DE162" s="33">
        <f t="shared" si="5"/>
        <v>0</v>
      </c>
      <c r="DF162" s="35">
        <v>0.0</v>
      </c>
      <c r="DG162" s="35">
        <v>0.0</v>
      </c>
      <c r="DH162" s="35">
        <v>0.0</v>
      </c>
      <c r="DI162" s="35">
        <v>0.0</v>
      </c>
      <c r="DJ162" s="35">
        <v>0.0</v>
      </c>
      <c r="DK162" s="35">
        <v>0.0</v>
      </c>
      <c r="DL162" s="35">
        <v>0.0</v>
      </c>
      <c r="DM162" s="35">
        <v>0.0</v>
      </c>
      <c r="DN162" s="31">
        <v>0.0</v>
      </c>
      <c r="DO162" s="31">
        <v>0.0</v>
      </c>
      <c r="DP162" s="31">
        <v>0.0</v>
      </c>
      <c r="DQ162" s="31">
        <v>0.0</v>
      </c>
      <c r="DR162" s="31">
        <v>0.0</v>
      </c>
      <c r="DS162" s="31">
        <v>0.0</v>
      </c>
      <c r="DT162" s="31">
        <f>'Old Balance Sheet'!AC162</f>
        <v>0</v>
      </c>
      <c r="DU162" s="31">
        <f>DT162 + SUMIFS('Payments Log'!D:D, 'Payments Log'!B:B, A162, 'Payments Log'!L:L, "Approved", 'Payments Log'!M:M, "Credit") + 'Old Balance Sheet'!AD162 - 'Old Balance Sheet'!AC162</f>
        <v>283766.6</v>
      </c>
      <c r="DV162" s="31">
        <f>SUMIFS('Payments Log'!D:D, 'Payments Log'!B:B, A162, 'Payments Log'!L:L, "Approved", 'Payments Log'!M:M, "Adjustment Credit") - SUMIFS('Payments Log'!D:D, 'Payments Log'!B:B, A162, 'Payments Log'!L:L, "Approved", 'Payments Log'!M:M, "Adjustment Debit") + 'Old Balance Sheet'!AE162</f>
        <v>0</v>
      </c>
      <c r="DW162" s="31">
        <f>IF(MAXIFS('Payments Log'!N:N, 'Payments Log'!L:L, "Approved", 'Payments Log'!M:M, "Credit", 'Payments Log'!B:B, A162) &gt; MAXIFS('Payments Log'!N:N, 'Payments Log'!L:L, "Approved", 'Payments Log'!M:M, "Virtual Credit", 'Payments Log'!B:B, A162), 0, SUMIFS('Payments Log'!D:D, 'Payments Log'!N:N, MAXIFS('Payments Log'!N:N, 'Payments Log'!L:L, "Approved", 'Payments Log'!M:M, "Virtual Credit", 'Payments Log'!B:B, A162)))</f>
        <v>0</v>
      </c>
      <c r="DX162" s="33">
        <f t="shared" si="6"/>
        <v>-35588.6</v>
      </c>
      <c r="DY162" s="33">
        <f t="shared" si="7"/>
        <v>-35588.6</v>
      </c>
      <c r="DZ162" s="33">
        <f t="shared" si="8"/>
        <v>-35588.6</v>
      </c>
      <c r="EA162" s="25" t="str">
        <f>(Sheet1!N162)</f>
        <v>YASH AUTOMOBILES-PUNE</v>
      </c>
      <c r="EB162" s="25" t="str">
        <f>(Sheet1!O162)</f>
        <v>1TMacegY-Sk7pr6CF_YiZtnxppf8kQ29DX8ZSzN8Nba0</v>
      </c>
      <c r="EC162" s="26" t="str">
        <f>(Sheet1!P162)</f>
        <v>Dealer</v>
      </c>
      <c r="ED162" s="34" t="s">
        <v>13</v>
      </c>
    </row>
    <row r="163">
      <c r="A163" s="25" t="str">
        <f>(Sheet1!A163)</f>
        <v>1kMvgnwSkK4p35wcMsguAxORW1vQe7W1vnlmFj46sMCo</v>
      </c>
      <c r="B163" s="25" t="str">
        <f>(Sheet1!B163)</f>
        <v>KOTHARI WHEEL- PUNE</v>
      </c>
      <c r="C163" s="30" t="s">
        <v>13</v>
      </c>
      <c r="D163" s="30" t="s">
        <v>72</v>
      </c>
      <c r="E163" s="30" t="s">
        <v>3820</v>
      </c>
      <c r="F163" s="31">
        <v>205.0</v>
      </c>
      <c r="G163" s="32" t="s">
        <v>3818</v>
      </c>
      <c r="H163" s="31">
        <v>100.0</v>
      </c>
      <c r="I163" s="33">
        <f>'Old Balance Sheet'!A163 + 'ACPL Calculations - 1.0'!A163 + 'ACPL Calculations - 2.0'!A163</f>
        <v>0</v>
      </c>
      <c r="J163" s="30" t="s">
        <v>3820</v>
      </c>
      <c r="K163" s="31">
        <v>60.0</v>
      </c>
      <c r="L163" s="32" t="s">
        <v>3818</v>
      </c>
      <c r="M163" s="31">
        <v>100.0</v>
      </c>
      <c r="N163" s="33">
        <f>'Old Balance Sheet'!B163 + 'ACPL Calculations - 1.0'!B163 + 'ACPL Calculations - 2.0'!B163</f>
        <v>66</v>
      </c>
      <c r="O163" s="30" t="s">
        <v>3820</v>
      </c>
      <c r="P163" s="31">
        <v>290.0</v>
      </c>
      <c r="Q163" s="32" t="s">
        <v>3818</v>
      </c>
      <c r="R163" s="31">
        <v>100.0</v>
      </c>
      <c r="S163" s="33">
        <f>'Old Balance Sheet'!C163 + 'ACPL Calculations - 1.0'!C163 + 'ACPL Calculations - 2.0'!C163</f>
        <v>0</v>
      </c>
      <c r="T163" s="30" t="s">
        <v>3820</v>
      </c>
      <c r="U163" s="31">
        <v>375.0</v>
      </c>
      <c r="V163" s="32" t="s">
        <v>3818</v>
      </c>
      <c r="W163" s="31">
        <v>100.0</v>
      </c>
      <c r="X163" s="33">
        <f>'Old Balance Sheet'!D163 + 'ACPL Calculations - 1.0'!D163 + 'ACPL Calculations - 2.0'!D163</f>
        <v>0</v>
      </c>
      <c r="Y163" s="30" t="s">
        <v>3820</v>
      </c>
      <c r="Z163" s="31">
        <v>460.0</v>
      </c>
      <c r="AA163" s="32" t="s">
        <v>3818</v>
      </c>
      <c r="AB163" s="31">
        <v>100.0</v>
      </c>
      <c r="AC163" s="33">
        <f>'Old Balance Sheet'!E163 + 'ACPL Calculations - 1.0'!E163 + 'ACPL Calculations - 2.0'!E163</f>
        <v>0</v>
      </c>
      <c r="AD163" s="30" t="s">
        <v>3820</v>
      </c>
      <c r="AE163" s="34">
        <v>838.99</v>
      </c>
      <c r="AF163" s="32" t="s">
        <v>3818</v>
      </c>
      <c r="AG163" s="31">
        <v>100.0</v>
      </c>
      <c r="AH163" s="33">
        <f>'Old Balance Sheet'!F163 + 'ACPL Calculations - 1.0'!F163 + 'ACPL Calculations - 2.0'!F163</f>
        <v>0</v>
      </c>
      <c r="AI163" s="30" t="s">
        <v>3820</v>
      </c>
      <c r="AJ163" s="31">
        <v>375.0</v>
      </c>
      <c r="AK163" s="32" t="s">
        <v>3818</v>
      </c>
      <c r="AL163" s="31">
        <v>100.0</v>
      </c>
      <c r="AM163" s="33">
        <f>'Old Balance Sheet'!G163 + 'ACPL Calculations - 1.0'!G163 + 'ACPL Calculations - 2.0'!G163</f>
        <v>0</v>
      </c>
      <c r="AN163" s="30" t="s">
        <v>3820</v>
      </c>
      <c r="AO163" s="31">
        <v>290.0</v>
      </c>
      <c r="AP163" s="32" t="s">
        <v>3818</v>
      </c>
      <c r="AQ163" s="31">
        <v>100.0</v>
      </c>
      <c r="AR163" s="33">
        <f>'Old Balance Sheet'!H163 + 'ACPL Calculations - 1.0'!H163 + 'ACPL Calculations - 2.0'!H163</f>
        <v>0</v>
      </c>
      <c r="AS163" s="30" t="s">
        <v>3819</v>
      </c>
      <c r="AT163" s="31">
        <v>838.99</v>
      </c>
      <c r="AU163" s="32" t="s">
        <v>3818</v>
      </c>
      <c r="AV163" s="31">
        <v>100.0</v>
      </c>
      <c r="AW163" s="33">
        <f>'Old Balance Sheet'!I163 + 'ACPL Calculations - 1.0'!I163 + 'ACPL Calculations - 2.0'!I163</f>
        <v>0</v>
      </c>
      <c r="AX163" s="30" t="s">
        <v>3820</v>
      </c>
      <c r="AY163" s="31">
        <v>290.0</v>
      </c>
      <c r="AZ163" s="32" t="s">
        <v>3818</v>
      </c>
      <c r="BA163" s="31">
        <v>100.0</v>
      </c>
      <c r="BB163" s="33">
        <f>'Old Balance Sheet'!J163 + 'ACPL Calculations - 1.0'!J163 + 'ACPL Calculations - 2.0'!J163</f>
        <v>0</v>
      </c>
      <c r="BC163" s="30" t="s">
        <v>3820</v>
      </c>
      <c r="BD163" s="31">
        <v>205.0</v>
      </c>
      <c r="BE163" s="32" t="s">
        <v>3818</v>
      </c>
      <c r="BF163" s="31">
        <v>100.0</v>
      </c>
      <c r="BG163" s="33">
        <f>'Old Balance Sheet'!K163 + 'ACPL Calculations - 1.0'!K163 + 'ACPL Calculations - 2.0'!K163</f>
        <v>0</v>
      </c>
      <c r="BH163" s="30" t="s">
        <v>3820</v>
      </c>
      <c r="BI163" s="31">
        <v>205.0</v>
      </c>
      <c r="BJ163" s="32" t="s">
        <v>3818</v>
      </c>
      <c r="BK163" s="31">
        <v>100.0</v>
      </c>
      <c r="BL163" s="33">
        <f>'Old Balance Sheet'!L163 + 'ACPL Calculations - 1.0'!L163 + 'ACPL Calculations - 2.0'!L163</f>
        <v>0</v>
      </c>
      <c r="BM163" s="33"/>
      <c r="BN163" s="33"/>
      <c r="BO163" s="33"/>
      <c r="BP163" s="33"/>
      <c r="BQ163" s="33"/>
      <c r="BR163" s="33"/>
      <c r="BS163" s="33"/>
      <c r="BT163" s="33"/>
      <c r="BU163" s="33"/>
      <c r="BV163" s="33"/>
      <c r="BW163" s="33"/>
      <c r="BX163" s="33"/>
      <c r="BY163" s="33"/>
      <c r="BZ163" s="33"/>
      <c r="CA163" s="33"/>
      <c r="CB163" s="33"/>
      <c r="CC163" s="33"/>
      <c r="CD163" s="33"/>
      <c r="CE163" s="33"/>
      <c r="CF163" s="33"/>
      <c r="CG163" s="33"/>
      <c r="CH163" s="33"/>
      <c r="CI163" s="33"/>
      <c r="CJ163" s="33"/>
      <c r="CK163" s="33"/>
      <c r="CL163" s="33">
        <f t="shared" si="1"/>
        <v>66</v>
      </c>
      <c r="CM163" s="33">
        <f>'Old Balance Sheet'!R163 + 'ACPL Calculations - 1.0'!S163 + 'ACPL Calculations - 2.0'!S163</f>
        <v>24654</v>
      </c>
      <c r="CN163" s="33">
        <f>'Old Balance Sheet'!S163 + 'ACPL Calculations - 1.0'!T163 + 'ACPL Calculations - 2.0'!T163</f>
        <v>10255</v>
      </c>
      <c r="CO163" s="33">
        <f t="shared" si="2"/>
        <v>14015.75</v>
      </c>
      <c r="CP163" s="33">
        <f>'Old Balance Sheet'!T163 + 'ACPL Calculations - 1.0'!V163 + 'ACPL Calculations - 2.0'!V163</f>
        <v>0</v>
      </c>
      <c r="CQ163" s="33">
        <f>'Old Balance Sheet'!U163 + 'ACPL Calculations - 1.0'!W163 + 'ACPL Calculations - 2.0'!W163</f>
        <v>0</v>
      </c>
      <c r="CR163" s="33">
        <f>'Old Balance Sheet'!V163 + 'ACPL Calculations - 1.0'!X163 + 'ACPL Calculations - 2.0'!X163</f>
        <v>3760.75</v>
      </c>
      <c r="CS163" s="33">
        <f t="shared" si="3"/>
        <v>3760.75</v>
      </c>
      <c r="CT163" s="35"/>
      <c r="CU163" s="35"/>
      <c r="CV163" s="35"/>
      <c r="CW163" s="36">
        <f>'Old Balance Sheet'!W163 + 'ACPL Calculations - 1.0'!Z163 + 'ACPL Calculations - 2.0'!Z163</f>
        <v>24654</v>
      </c>
      <c r="CX163" s="36">
        <f>'Old Balance Sheet'!X163 + 'ACPL Calculations - 1.0'!AA163 + 'ACPL Calculations - 2.0'!AA163</f>
        <v>14483.87</v>
      </c>
      <c r="CY163" s="37">
        <v>0.0</v>
      </c>
      <c r="CZ163" s="38">
        <f>'Old Balance Sheet'!Y163 + 'ACPL Calculations - 1.0'!AB163 + 'ACPL Calculations - 2.0'!AB163</f>
        <v>10596.11</v>
      </c>
      <c r="DA163" s="38">
        <f>'Old Balance Sheet'!Z163 + 'ACPL Calculations - 1.0'!AC163 + 'ACPL Calculations - 2.0'!AC163</f>
        <v>0</v>
      </c>
      <c r="DB163" s="38">
        <f>'Old Balance Sheet'!AA163 + 'ACPL Calculations - 1.0'!AD163 + 'ACPL Calculations - 2.0'!AD163</f>
        <v>468.12</v>
      </c>
      <c r="DC163" s="38">
        <f>'Old Balance Sheet'!AB163 + 'ACPL Calculations - 1.0'!AE163 + 'ACPL Calculations - 2.0'!AE163</f>
        <v>10170.13</v>
      </c>
      <c r="DD163" s="38">
        <f t="shared" si="4"/>
        <v>10170.13</v>
      </c>
      <c r="DE163" s="33">
        <f t="shared" si="5"/>
        <v>1223.13</v>
      </c>
      <c r="DF163" s="35">
        <v>0.0</v>
      </c>
      <c r="DG163" s="35">
        <v>0.0</v>
      </c>
      <c r="DH163" s="35">
        <v>0.0</v>
      </c>
      <c r="DI163" s="35">
        <v>0.0</v>
      </c>
      <c r="DJ163" s="35">
        <v>0.0</v>
      </c>
      <c r="DK163" s="35">
        <v>0.0</v>
      </c>
      <c r="DL163" s="35">
        <v>0.0</v>
      </c>
      <c r="DM163" s="35">
        <v>0.0</v>
      </c>
      <c r="DN163" s="31">
        <v>0.0</v>
      </c>
      <c r="DO163" s="31">
        <v>0.0</v>
      </c>
      <c r="DP163" s="31">
        <v>0.0</v>
      </c>
      <c r="DQ163" s="31">
        <v>0.0</v>
      </c>
      <c r="DR163" s="31">
        <v>0.0</v>
      </c>
      <c r="DS163" s="31">
        <v>0.0</v>
      </c>
      <c r="DT163" s="31">
        <f>'Old Balance Sheet'!AC163</f>
        <v>0</v>
      </c>
      <c r="DU163" s="31">
        <f>DT163 + SUMIFS('Payments Log'!D:D, 'Payments Log'!B:B, A163, 'Payments Log'!L:L, "Approved", 'Payments Log'!M:M, "Credit") + 'Old Balance Sheet'!AD163 - 'Old Balance Sheet'!AC163</f>
        <v>5656</v>
      </c>
      <c r="DV163" s="31">
        <f>SUMIFS('Payments Log'!D:D, 'Payments Log'!B:B, A163, 'Payments Log'!L:L, "Approved", 'Payments Log'!M:M, "Adjustment Credit") - SUMIFS('Payments Log'!D:D, 'Payments Log'!B:B, A163, 'Payments Log'!L:L, "Approved", 'Payments Log'!M:M, "Adjustment Debit") + 'Old Balance Sheet'!AE163</f>
        <v>10051</v>
      </c>
      <c r="DW163" s="31">
        <f>IF(MAXIFS('Payments Log'!N:N, 'Payments Log'!L:L, "Approved", 'Payments Log'!M:M, "Credit", 'Payments Log'!B:B, A163) &gt; MAXIFS('Payments Log'!N:N, 'Payments Log'!L:L, "Approved", 'Payments Log'!M:M, "Virtual Credit", 'Payments Log'!B:B, A163), 0, SUMIFS('Payments Log'!D:D, 'Payments Log'!N:N, MAXIFS('Payments Log'!N:N, 'Payments Log'!L:L, "Approved", 'Payments Log'!M:M, "Virtual Credit", 'Payments Log'!B:B, A163)))</f>
        <v>0</v>
      </c>
      <c r="DX163" s="33">
        <f t="shared" si="6"/>
        <v>-8947</v>
      </c>
      <c r="DY163" s="33">
        <f t="shared" si="7"/>
        <v>1223.13</v>
      </c>
      <c r="DZ163" s="33">
        <f t="shared" si="8"/>
        <v>1223.13</v>
      </c>
      <c r="EA163" s="25" t="str">
        <f>(Sheet1!N163)</f>
        <v>KOTHARI WHEEL- PUNE</v>
      </c>
      <c r="EB163" s="25" t="str">
        <f>(Sheet1!O163)</f>
        <v>1kMvgnwSkK4p35wcMsguAxORW1vQe7W1vnlmFj46sMCo</v>
      </c>
      <c r="EC163" s="26" t="str">
        <f>(Sheet1!P163)</f>
        <v>Dealer</v>
      </c>
      <c r="ED163" s="34" t="s">
        <v>13</v>
      </c>
    </row>
    <row r="164">
      <c r="A164" s="25" t="str">
        <f>(Sheet1!A164)</f>
        <v>1876RfsSjY4efSikG9YDGUWajbPv924bhaJa0AJLdD8E</v>
      </c>
      <c r="B164" s="25" t="str">
        <f>(Sheet1!B164)</f>
        <v>Shree Durga Motors Counter 1 - Sikandrabad</v>
      </c>
      <c r="C164" s="30" t="s">
        <v>13</v>
      </c>
      <c r="D164" s="30" t="s">
        <v>72</v>
      </c>
      <c r="E164" s="30" t="s">
        <v>3817</v>
      </c>
      <c r="F164" s="31">
        <v>205.0</v>
      </c>
      <c r="G164" s="32" t="s">
        <v>3818</v>
      </c>
      <c r="H164" s="31">
        <v>100.0</v>
      </c>
      <c r="I164" s="33">
        <f>'Old Balance Sheet'!A164 + 'ACPL Calculations - 1.0'!A164 + 'ACPL Calculations - 2.0'!A164</f>
        <v>0</v>
      </c>
      <c r="J164" s="30" t="s">
        <v>3817</v>
      </c>
      <c r="K164" s="31">
        <v>205.0</v>
      </c>
      <c r="L164" s="32" t="s">
        <v>3818</v>
      </c>
      <c r="M164" s="31">
        <v>100.0</v>
      </c>
      <c r="N164" s="33">
        <f>'Old Balance Sheet'!B164 + 'ACPL Calculations - 1.0'!B164 + 'ACPL Calculations - 2.0'!B164</f>
        <v>0</v>
      </c>
      <c r="O164" s="30" t="s">
        <v>3817</v>
      </c>
      <c r="P164" s="31">
        <v>290.0</v>
      </c>
      <c r="Q164" s="32" t="s">
        <v>3818</v>
      </c>
      <c r="R164" s="31">
        <v>100.0</v>
      </c>
      <c r="S164" s="33">
        <f>'Old Balance Sheet'!C164 + 'ACPL Calculations - 1.0'!C164 + 'ACPL Calculations - 2.0'!C164</f>
        <v>0</v>
      </c>
      <c r="T164" s="30" t="s">
        <v>3817</v>
      </c>
      <c r="U164" s="31">
        <v>375.0</v>
      </c>
      <c r="V164" s="32" t="s">
        <v>3818</v>
      </c>
      <c r="W164" s="31">
        <v>100.0</v>
      </c>
      <c r="X164" s="33">
        <f>'Old Balance Sheet'!D164 + 'ACPL Calculations - 1.0'!D164 + 'ACPL Calculations - 2.0'!D164</f>
        <v>0</v>
      </c>
      <c r="Y164" s="30" t="s">
        <v>3817</v>
      </c>
      <c r="Z164" s="31">
        <v>460.0</v>
      </c>
      <c r="AA164" s="32" t="s">
        <v>3818</v>
      </c>
      <c r="AB164" s="31">
        <v>100.0</v>
      </c>
      <c r="AC164" s="33">
        <f>'Old Balance Sheet'!E164 + 'ACPL Calculations - 1.0'!E164 + 'ACPL Calculations - 2.0'!E164</f>
        <v>0</v>
      </c>
      <c r="AD164" s="30" t="s">
        <v>3817</v>
      </c>
      <c r="AE164" s="34">
        <v>838.99</v>
      </c>
      <c r="AF164" s="32" t="s">
        <v>3818</v>
      </c>
      <c r="AG164" s="31">
        <v>100.0</v>
      </c>
      <c r="AH164" s="33">
        <f>'Old Balance Sheet'!F164 + 'ACPL Calculations - 1.0'!F164 + 'ACPL Calculations - 2.0'!F164</f>
        <v>0</v>
      </c>
      <c r="AI164" s="30" t="s">
        <v>3817</v>
      </c>
      <c r="AJ164" s="31">
        <v>375.0</v>
      </c>
      <c r="AK164" s="32" t="s">
        <v>3818</v>
      </c>
      <c r="AL164" s="31">
        <v>100.0</v>
      </c>
      <c r="AM164" s="33">
        <f>'Old Balance Sheet'!G164 + 'ACPL Calculations - 1.0'!G164 + 'ACPL Calculations - 2.0'!G164</f>
        <v>0</v>
      </c>
      <c r="AN164" s="30" t="s">
        <v>3817</v>
      </c>
      <c r="AO164" s="31">
        <v>290.0</v>
      </c>
      <c r="AP164" s="32" t="s">
        <v>3818</v>
      </c>
      <c r="AQ164" s="31">
        <v>100.0</v>
      </c>
      <c r="AR164" s="33">
        <f>'Old Balance Sheet'!H164 + 'ACPL Calculations - 1.0'!H164 + 'ACPL Calculations - 2.0'!H164</f>
        <v>0</v>
      </c>
      <c r="AS164" s="30" t="s">
        <v>3819</v>
      </c>
      <c r="AT164" s="31">
        <v>838.99</v>
      </c>
      <c r="AU164" s="32" t="s">
        <v>3818</v>
      </c>
      <c r="AV164" s="31">
        <v>100.0</v>
      </c>
      <c r="AW164" s="33">
        <f>'Old Balance Sheet'!I164 + 'ACPL Calculations - 1.0'!I164 + 'ACPL Calculations - 2.0'!I164</f>
        <v>0</v>
      </c>
      <c r="AX164" s="30" t="s">
        <v>3817</v>
      </c>
      <c r="AY164" s="31">
        <v>290.0</v>
      </c>
      <c r="AZ164" s="32" t="s">
        <v>3818</v>
      </c>
      <c r="BA164" s="31">
        <v>100.0</v>
      </c>
      <c r="BB164" s="33">
        <f>'Old Balance Sheet'!J164 + 'ACPL Calculations - 1.0'!J164 + 'ACPL Calculations - 2.0'!J164</f>
        <v>0</v>
      </c>
      <c r="BC164" s="30" t="s">
        <v>3817</v>
      </c>
      <c r="BD164" s="31">
        <v>205.0</v>
      </c>
      <c r="BE164" s="32" t="s">
        <v>3818</v>
      </c>
      <c r="BF164" s="31">
        <v>100.0</v>
      </c>
      <c r="BG164" s="33">
        <f>'Old Balance Sheet'!K164 + 'ACPL Calculations - 1.0'!K164 + 'ACPL Calculations - 2.0'!K164</f>
        <v>0</v>
      </c>
      <c r="BH164" s="30" t="s">
        <v>3817</v>
      </c>
      <c r="BI164" s="31">
        <v>205.0</v>
      </c>
      <c r="BJ164" s="32" t="s">
        <v>3818</v>
      </c>
      <c r="BK164" s="31">
        <v>100.0</v>
      </c>
      <c r="BL164" s="33">
        <f>'Old Balance Sheet'!L164 + 'ACPL Calculations - 1.0'!L164 + 'ACPL Calculations - 2.0'!L164</f>
        <v>0</v>
      </c>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f t="shared" si="1"/>
        <v>0</v>
      </c>
      <c r="CM164" s="33">
        <f>'Old Balance Sheet'!R164 + 'ACPL Calculations - 1.0'!S164 + 'ACPL Calculations - 2.0'!S164</f>
        <v>0</v>
      </c>
      <c r="CN164" s="33">
        <f>'Old Balance Sheet'!S164 + 'ACPL Calculations - 1.0'!T164 + 'ACPL Calculations - 2.0'!T164</f>
        <v>0</v>
      </c>
      <c r="CO164" s="33">
        <f t="shared" si="2"/>
        <v>0</v>
      </c>
      <c r="CP164" s="33">
        <f>'Old Balance Sheet'!T164 + 'ACPL Calculations - 1.0'!V164 + 'ACPL Calculations - 2.0'!V164</f>
        <v>0</v>
      </c>
      <c r="CQ164" s="33">
        <f>'Old Balance Sheet'!U164 + 'ACPL Calculations - 1.0'!W164 + 'ACPL Calculations - 2.0'!W164</f>
        <v>0</v>
      </c>
      <c r="CR164" s="33">
        <f>'Old Balance Sheet'!V164 + 'ACPL Calculations - 1.0'!X164 + 'ACPL Calculations - 2.0'!X164</f>
        <v>0</v>
      </c>
      <c r="CS164" s="33">
        <f t="shared" si="3"/>
        <v>0</v>
      </c>
      <c r="CT164" s="35"/>
      <c r="CU164" s="35"/>
      <c r="CV164" s="35"/>
      <c r="CW164" s="36">
        <f>'Old Balance Sheet'!W164 + 'ACPL Calculations - 1.0'!Z164 + 'ACPL Calculations - 2.0'!Z164</f>
        <v>0</v>
      </c>
      <c r="CX164" s="36">
        <f>'Old Balance Sheet'!X164 + 'ACPL Calculations - 1.0'!AA164 + 'ACPL Calculations - 2.0'!AA164</f>
        <v>0</v>
      </c>
      <c r="CY164" s="37">
        <v>0.0</v>
      </c>
      <c r="CZ164" s="38">
        <f>'Old Balance Sheet'!Y164 + 'ACPL Calculations - 1.0'!AB164 + 'ACPL Calculations - 2.0'!AB164</f>
        <v>0</v>
      </c>
      <c r="DA164" s="38">
        <f>'Old Balance Sheet'!Z164 + 'ACPL Calculations - 1.0'!AC164 + 'ACPL Calculations - 2.0'!AC164</f>
        <v>0</v>
      </c>
      <c r="DB164" s="38">
        <f>'Old Balance Sheet'!AA164 + 'ACPL Calculations - 1.0'!AD164 + 'ACPL Calculations - 2.0'!AD164</f>
        <v>0</v>
      </c>
      <c r="DC164" s="38">
        <f>'Old Balance Sheet'!AB164 + 'ACPL Calculations - 1.0'!AE164 + 'ACPL Calculations - 2.0'!AE164</f>
        <v>0</v>
      </c>
      <c r="DD164" s="38">
        <f t="shared" si="4"/>
        <v>0</v>
      </c>
      <c r="DE164" s="33">
        <f t="shared" si="5"/>
        <v>0</v>
      </c>
      <c r="DF164" s="35">
        <v>0.0</v>
      </c>
      <c r="DG164" s="35">
        <v>0.0</v>
      </c>
      <c r="DH164" s="35">
        <v>0.0</v>
      </c>
      <c r="DI164" s="35">
        <v>0.0</v>
      </c>
      <c r="DJ164" s="35">
        <v>0.0</v>
      </c>
      <c r="DK164" s="35">
        <v>0.0</v>
      </c>
      <c r="DL164" s="35">
        <v>0.0</v>
      </c>
      <c r="DM164" s="35">
        <v>0.0</v>
      </c>
      <c r="DN164" s="31">
        <v>0.0</v>
      </c>
      <c r="DO164" s="31">
        <v>0.0</v>
      </c>
      <c r="DP164" s="31">
        <v>0.0</v>
      </c>
      <c r="DQ164" s="31">
        <v>0.0</v>
      </c>
      <c r="DR164" s="31">
        <v>0.0</v>
      </c>
      <c r="DS164" s="31">
        <v>0.0</v>
      </c>
      <c r="DT164" s="31">
        <f>'Old Balance Sheet'!AC164</f>
        <v>0</v>
      </c>
      <c r="DU164" s="31">
        <f>DT164 + SUMIFS('Payments Log'!D:D, 'Payments Log'!B:B, A164, 'Payments Log'!L:L, "Approved", 'Payments Log'!M:M, "Credit") + 'Old Balance Sheet'!AD164 - 'Old Balance Sheet'!AC164</f>
        <v>0</v>
      </c>
      <c r="DV164" s="31">
        <f>SUMIFS('Payments Log'!D:D, 'Payments Log'!B:B, A164, 'Payments Log'!L:L, "Approved", 'Payments Log'!M:M, "Adjustment Credit") - SUMIFS('Payments Log'!D:D, 'Payments Log'!B:B, A164, 'Payments Log'!L:L, "Approved", 'Payments Log'!M:M, "Adjustment Debit") + 'Old Balance Sheet'!AE164</f>
        <v>0</v>
      </c>
      <c r="DW164" s="31">
        <f>IF(MAXIFS('Payments Log'!N:N, 'Payments Log'!L:L, "Approved", 'Payments Log'!M:M, "Credit", 'Payments Log'!B:B, A164) &gt; MAXIFS('Payments Log'!N:N, 'Payments Log'!L:L, "Approved", 'Payments Log'!M:M, "Virtual Credit", 'Payments Log'!B:B, A164), 0, SUMIFS('Payments Log'!D:D, 'Payments Log'!N:N, MAXIFS('Payments Log'!N:N, 'Payments Log'!L:L, "Approved", 'Payments Log'!M:M, "Virtual Credit", 'Payments Log'!B:B, A164)))</f>
        <v>0</v>
      </c>
      <c r="DX164" s="33">
        <f t="shared" si="6"/>
        <v>0</v>
      </c>
      <c r="DY164" s="33">
        <f t="shared" si="7"/>
        <v>0</v>
      </c>
      <c r="DZ164" s="33">
        <f t="shared" si="8"/>
        <v>0</v>
      </c>
      <c r="EA164" s="25" t="str">
        <f>(Sheet1!N164)</f>
        <v>Shri Durga Motors</v>
      </c>
      <c r="EB164" s="25" t="str">
        <f>(Sheet1!O164)</f>
        <v>1LnxzSZR-Hn1GFJEM91CqSDi8yQ1-11OqyVT04QUkFAM</v>
      </c>
      <c r="EC164" s="26" t="str">
        <f>(Sheet1!P164)</f>
        <v>Sub Dealer</v>
      </c>
      <c r="ED164" s="34" t="s">
        <v>13</v>
      </c>
    </row>
    <row r="165">
      <c r="A165" s="25" t="str">
        <f>(Sheet1!A165)</f>
        <v>1U0Ayati-OdaXS_d4dcZK-B_eN6wBy_dqoN1Vmk0t45Y</v>
      </c>
      <c r="B165" s="25" t="str">
        <f>(Sheet1!B165)</f>
        <v>Umar Nisar Automobiles - Gulaothi</v>
      </c>
      <c r="C165" s="30" t="s">
        <v>13</v>
      </c>
      <c r="D165" s="30" t="s">
        <v>72</v>
      </c>
      <c r="E165" s="30" t="s">
        <v>3817</v>
      </c>
      <c r="F165" s="31">
        <v>205.0</v>
      </c>
      <c r="G165" s="32" t="s">
        <v>3818</v>
      </c>
      <c r="H165" s="31">
        <v>100.0</v>
      </c>
      <c r="I165" s="33">
        <f>'Old Balance Sheet'!A165 + 'ACPL Calculations - 1.0'!A165 + 'ACPL Calculations - 2.0'!A165</f>
        <v>0</v>
      </c>
      <c r="J165" s="30" t="s">
        <v>3817</v>
      </c>
      <c r="K165" s="31">
        <v>205.0</v>
      </c>
      <c r="L165" s="32" t="s">
        <v>3818</v>
      </c>
      <c r="M165" s="31">
        <v>100.0</v>
      </c>
      <c r="N165" s="33">
        <f>'Old Balance Sheet'!B165 + 'ACPL Calculations - 1.0'!B165 + 'ACPL Calculations - 2.0'!B165</f>
        <v>0</v>
      </c>
      <c r="O165" s="30" t="s">
        <v>3817</v>
      </c>
      <c r="P165" s="31">
        <v>290.0</v>
      </c>
      <c r="Q165" s="32" t="s">
        <v>3818</v>
      </c>
      <c r="R165" s="31">
        <v>100.0</v>
      </c>
      <c r="S165" s="33">
        <f>'Old Balance Sheet'!C165 + 'ACPL Calculations - 1.0'!C165 + 'ACPL Calculations - 2.0'!C165</f>
        <v>0</v>
      </c>
      <c r="T165" s="30" t="s">
        <v>3817</v>
      </c>
      <c r="U165" s="31">
        <v>375.0</v>
      </c>
      <c r="V165" s="32" t="s">
        <v>3818</v>
      </c>
      <c r="W165" s="31">
        <v>100.0</v>
      </c>
      <c r="X165" s="33">
        <f>'Old Balance Sheet'!D165 + 'ACPL Calculations - 1.0'!D165 + 'ACPL Calculations - 2.0'!D165</f>
        <v>0</v>
      </c>
      <c r="Y165" s="30" t="s">
        <v>3817</v>
      </c>
      <c r="Z165" s="31">
        <v>460.0</v>
      </c>
      <c r="AA165" s="32" t="s">
        <v>3818</v>
      </c>
      <c r="AB165" s="31">
        <v>100.0</v>
      </c>
      <c r="AC165" s="33">
        <f>'Old Balance Sheet'!E165 + 'ACPL Calculations - 1.0'!E165 + 'ACPL Calculations - 2.0'!E165</f>
        <v>0</v>
      </c>
      <c r="AD165" s="30" t="s">
        <v>3817</v>
      </c>
      <c r="AE165" s="34">
        <v>838.99</v>
      </c>
      <c r="AF165" s="32" t="s">
        <v>3818</v>
      </c>
      <c r="AG165" s="31">
        <v>100.0</v>
      </c>
      <c r="AH165" s="33">
        <f>'Old Balance Sheet'!F165 + 'ACPL Calculations - 1.0'!F165 + 'ACPL Calculations - 2.0'!F165</f>
        <v>0</v>
      </c>
      <c r="AI165" s="30" t="s">
        <v>3817</v>
      </c>
      <c r="AJ165" s="31">
        <v>375.0</v>
      </c>
      <c r="AK165" s="32" t="s">
        <v>3818</v>
      </c>
      <c r="AL165" s="31">
        <v>100.0</v>
      </c>
      <c r="AM165" s="33">
        <f>'Old Balance Sheet'!G165 + 'ACPL Calculations - 1.0'!G165 + 'ACPL Calculations - 2.0'!G165</f>
        <v>0</v>
      </c>
      <c r="AN165" s="30" t="s">
        <v>3817</v>
      </c>
      <c r="AO165" s="31">
        <v>290.0</v>
      </c>
      <c r="AP165" s="32" t="s">
        <v>3818</v>
      </c>
      <c r="AQ165" s="31">
        <v>100.0</v>
      </c>
      <c r="AR165" s="33">
        <f>'Old Balance Sheet'!H165 + 'ACPL Calculations - 1.0'!H165 + 'ACPL Calculations - 2.0'!H165</f>
        <v>0</v>
      </c>
      <c r="AS165" s="30" t="s">
        <v>3819</v>
      </c>
      <c r="AT165" s="31">
        <v>838.99</v>
      </c>
      <c r="AU165" s="32" t="s">
        <v>3818</v>
      </c>
      <c r="AV165" s="31">
        <v>100.0</v>
      </c>
      <c r="AW165" s="33">
        <f>'Old Balance Sheet'!I165 + 'ACPL Calculations - 1.0'!I165 + 'ACPL Calculations - 2.0'!I165</f>
        <v>0</v>
      </c>
      <c r="AX165" s="30" t="s">
        <v>3817</v>
      </c>
      <c r="AY165" s="31">
        <v>290.0</v>
      </c>
      <c r="AZ165" s="32" t="s">
        <v>3818</v>
      </c>
      <c r="BA165" s="31">
        <v>100.0</v>
      </c>
      <c r="BB165" s="33">
        <f>'Old Balance Sheet'!J165 + 'ACPL Calculations - 1.0'!J165 + 'ACPL Calculations - 2.0'!J165</f>
        <v>0</v>
      </c>
      <c r="BC165" s="30" t="s">
        <v>3817</v>
      </c>
      <c r="BD165" s="31">
        <v>205.0</v>
      </c>
      <c r="BE165" s="32" t="s">
        <v>3818</v>
      </c>
      <c r="BF165" s="31">
        <v>100.0</v>
      </c>
      <c r="BG165" s="33">
        <f>'Old Balance Sheet'!K165 + 'ACPL Calculations - 1.0'!K165 + 'ACPL Calculations - 2.0'!K165</f>
        <v>0</v>
      </c>
      <c r="BH165" s="30" t="s">
        <v>3817</v>
      </c>
      <c r="BI165" s="31">
        <v>205.0</v>
      </c>
      <c r="BJ165" s="32" t="s">
        <v>3818</v>
      </c>
      <c r="BK165" s="31">
        <v>100.0</v>
      </c>
      <c r="BL165" s="33">
        <f>'Old Balance Sheet'!L165 + 'ACPL Calculations - 1.0'!L165 + 'ACPL Calculations - 2.0'!L165</f>
        <v>0</v>
      </c>
      <c r="BM165" s="33"/>
      <c r="BN165" s="33"/>
      <c r="BO165" s="33"/>
      <c r="BP165" s="33"/>
      <c r="BQ165" s="33"/>
      <c r="BR165" s="33"/>
      <c r="BS165" s="33"/>
      <c r="BT165" s="33"/>
      <c r="BU165" s="33"/>
      <c r="BV165" s="33"/>
      <c r="BW165" s="33"/>
      <c r="BX165" s="33"/>
      <c r="BY165" s="33"/>
      <c r="BZ165" s="33"/>
      <c r="CA165" s="33"/>
      <c r="CB165" s="33"/>
      <c r="CC165" s="33"/>
      <c r="CD165" s="33"/>
      <c r="CE165" s="33"/>
      <c r="CF165" s="33"/>
      <c r="CG165" s="33"/>
      <c r="CH165" s="33"/>
      <c r="CI165" s="33"/>
      <c r="CJ165" s="33"/>
      <c r="CK165" s="33"/>
      <c r="CL165" s="33">
        <f t="shared" si="1"/>
        <v>0</v>
      </c>
      <c r="CM165" s="33">
        <f>'Old Balance Sheet'!R165 + 'ACPL Calculations - 1.0'!S165 + 'ACPL Calculations - 2.0'!S165</f>
        <v>0</v>
      </c>
      <c r="CN165" s="33">
        <f>'Old Balance Sheet'!S165 + 'ACPL Calculations - 1.0'!T165 + 'ACPL Calculations - 2.0'!T165</f>
        <v>0</v>
      </c>
      <c r="CO165" s="33">
        <f t="shared" si="2"/>
        <v>0</v>
      </c>
      <c r="CP165" s="33">
        <f>'Old Balance Sheet'!T165 + 'ACPL Calculations - 1.0'!V165 + 'ACPL Calculations - 2.0'!V165</f>
        <v>0</v>
      </c>
      <c r="CQ165" s="33">
        <f>'Old Balance Sheet'!U165 + 'ACPL Calculations - 1.0'!W165 + 'ACPL Calculations - 2.0'!W165</f>
        <v>0</v>
      </c>
      <c r="CR165" s="33">
        <f>'Old Balance Sheet'!V165 + 'ACPL Calculations - 1.0'!X165 + 'ACPL Calculations - 2.0'!X165</f>
        <v>0</v>
      </c>
      <c r="CS165" s="33">
        <f t="shared" si="3"/>
        <v>0</v>
      </c>
      <c r="CT165" s="35"/>
      <c r="CU165" s="35"/>
      <c r="CV165" s="35"/>
      <c r="CW165" s="36">
        <f>'Old Balance Sheet'!W165 + 'ACPL Calculations - 1.0'!Z165 + 'ACPL Calculations - 2.0'!Z165</f>
        <v>0</v>
      </c>
      <c r="CX165" s="36">
        <f>'Old Balance Sheet'!X165 + 'ACPL Calculations - 1.0'!AA165 + 'ACPL Calculations - 2.0'!AA165</f>
        <v>0</v>
      </c>
      <c r="CY165" s="37">
        <v>0.0</v>
      </c>
      <c r="CZ165" s="38">
        <f>'Old Balance Sheet'!Y165 + 'ACPL Calculations - 1.0'!AB165 + 'ACPL Calculations - 2.0'!AB165</f>
        <v>0</v>
      </c>
      <c r="DA165" s="38">
        <f>'Old Balance Sheet'!Z165 + 'ACPL Calculations - 1.0'!AC165 + 'ACPL Calculations - 2.0'!AC165</f>
        <v>0</v>
      </c>
      <c r="DB165" s="38">
        <f>'Old Balance Sheet'!AA165 + 'ACPL Calculations - 1.0'!AD165 + 'ACPL Calculations - 2.0'!AD165</f>
        <v>0</v>
      </c>
      <c r="DC165" s="38">
        <f>'Old Balance Sheet'!AB165 + 'ACPL Calculations - 1.0'!AE165 + 'ACPL Calculations - 2.0'!AE165</f>
        <v>0</v>
      </c>
      <c r="DD165" s="38">
        <f t="shared" si="4"/>
        <v>0</v>
      </c>
      <c r="DE165" s="33">
        <f t="shared" si="5"/>
        <v>0</v>
      </c>
      <c r="DF165" s="35">
        <v>0.0</v>
      </c>
      <c r="DG165" s="35">
        <v>0.0</v>
      </c>
      <c r="DH165" s="35">
        <v>0.0</v>
      </c>
      <c r="DI165" s="35">
        <v>0.0</v>
      </c>
      <c r="DJ165" s="35">
        <v>0.0</v>
      </c>
      <c r="DK165" s="35">
        <v>0.0</v>
      </c>
      <c r="DL165" s="35">
        <v>0.0</v>
      </c>
      <c r="DM165" s="35">
        <v>0.0</v>
      </c>
      <c r="DN165" s="31">
        <v>0.0</v>
      </c>
      <c r="DO165" s="31">
        <v>0.0</v>
      </c>
      <c r="DP165" s="31">
        <v>0.0</v>
      </c>
      <c r="DQ165" s="31">
        <v>0.0</v>
      </c>
      <c r="DR165" s="31">
        <v>0.0</v>
      </c>
      <c r="DS165" s="31">
        <v>0.0</v>
      </c>
      <c r="DT165" s="31">
        <f>'Old Balance Sheet'!AC165</f>
        <v>0</v>
      </c>
      <c r="DU165" s="31">
        <f>DT165 + SUMIFS('Payments Log'!D:D, 'Payments Log'!B:B, A165, 'Payments Log'!L:L, "Approved", 'Payments Log'!M:M, "Credit") + 'Old Balance Sheet'!AD165 - 'Old Balance Sheet'!AC165</f>
        <v>0</v>
      </c>
      <c r="DV165" s="31">
        <f>SUMIFS('Payments Log'!D:D, 'Payments Log'!B:B, A165, 'Payments Log'!L:L, "Approved", 'Payments Log'!M:M, "Adjustment Credit") - SUMIFS('Payments Log'!D:D, 'Payments Log'!B:B, A165, 'Payments Log'!L:L, "Approved", 'Payments Log'!M:M, "Adjustment Debit") + 'Old Balance Sheet'!AE165</f>
        <v>0</v>
      </c>
      <c r="DW165" s="31">
        <f>IF(MAXIFS('Payments Log'!N:N, 'Payments Log'!L:L, "Approved", 'Payments Log'!M:M, "Credit", 'Payments Log'!B:B, A165) &gt; MAXIFS('Payments Log'!N:N, 'Payments Log'!L:L, "Approved", 'Payments Log'!M:M, "Virtual Credit", 'Payments Log'!B:B, A165), 0, SUMIFS('Payments Log'!D:D, 'Payments Log'!N:N, MAXIFS('Payments Log'!N:N, 'Payments Log'!L:L, "Approved", 'Payments Log'!M:M, "Virtual Credit", 'Payments Log'!B:B, A165)))</f>
        <v>0</v>
      </c>
      <c r="DX165" s="33">
        <f t="shared" si="6"/>
        <v>0</v>
      </c>
      <c r="DY165" s="33">
        <f t="shared" si="7"/>
        <v>0</v>
      </c>
      <c r="DZ165" s="33">
        <f t="shared" si="8"/>
        <v>0</v>
      </c>
      <c r="EA165" s="25" t="str">
        <f>(Sheet1!N165)</f>
        <v>Shri Durga Motors</v>
      </c>
      <c r="EB165" s="25" t="str">
        <f>(Sheet1!O165)</f>
        <v>1LnxzSZR-Hn1GFJEM91CqSDi8yQ1-11OqyVT04QUkFAM</v>
      </c>
      <c r="EC165" s="26" t="str">
        <f>(Sheet1!P165)</f>
        <v>Sub Dealer</v>
      </c>
      <c r="ED165" s="34" t="s">
        <v>13</v>
      </c>
    </row>
    <row r="166">
      <c r="A166" s="25" t="str">
        <f>(Sheet1!A166)</f>
        <v>1zei1ne3QpSt186ff-L2PaKoV0maqqSe-91NIiwTBSko</v>
      </c>
      <c r="B166" s="25" t="str">
        <f>(Sheet1!B166)</f>
        <v>Agrawal Motors (SDM) - Siyana</v>
      </c>
      <c r="C166" s="30" t="s">
        <v>13</v>
      </c>
      <c r="D166" s="30" t="s">
        <v>72</v>
      </c>
      <c r="E166" s="30" t="s">
        <v>3817</v>
      </c>
      <c r="F166" s="31">
        <v>205.0</v>
      </c>
      <c r="G166" s="32" t="s">
        <v>3818</v>
      </c>
      <c r="H166" s="31">
        <v>100.0</v>
      </c>
      <c r="I166" s="33">
        <f>'Old Balance Sheet'!A166 + 'ACPL Calculations - 1.0'!A166 + 'ACPL Calculations - 2.0'!A166</f>
        <v>0</v>
      </c>
      <c r="J166" s="30" t="s">
        <v>3817</v>
      </c>
      <c r="K166" s="31">
        <v>205.0</v>
      </c>
      <c r="L166" s="32" t="s">
        <v>3818</v>
      </c>
      <c r="M166" s="31">
        <v>100.0</v>
      </c>
      <c r="N166" s="33">
        <f>'Old Balance Sheet'!B166 + 'ACPL Calculations - 1.0'!B166 + 'ACPL Calculations - 2.0'!B166</f>
        <v>0</v>
      </c>
      <c r="O166" s="30" t="s">
        <v>3817</v>
      </c>
      <c r="P166" s="31">
        <v>290.0</v>
      </c>
      <c r="Q166" s="32" t="s">
        <v>3818</v>
      </c>
      <c r="R166" s="31">
        <v>100.0</v>
      </c>
      <c r="S166" s="33">
        <f>'Old Balance Sheet'!C166 + 'ACPL Calculations - 1.0'!C166 + 'ACPL Calculations - 2.0'!C166</f>
        <v>0</v>
      </c>
      <c r="T166" s="30" t="s">
        <v>3817</v>
      </c>
      <c r="U166" s="31">
        <v>375.0</v>
      </c>
      <c r="V166" s="32" t="s">
        <v>3818</v>
      </c>
      <c r="W166" s="31">
        <v>100.0</v>
      </c>
      <c r="X166" s="33">
        <f>'Old Balance Sheet'!D166 + 'ACPL Calculations - 1.0'!D166 + 'ACPL Calculations - 2.0'!D166</f>
        <v>0</v>
      </c>
      <c r="Y166" s="30" t="s">
        <v>3817</v>
      </c>
      <c r="Z166" s="31">
        <v>460.0</v>
      </c>
      <c r="AA166" s="32" t="s">
        <v>3818</v>
      </c>
      <c r="AB166" s="31">
        <v>100.0</v>
      </c>
      <c r="AC166" s="33">
        <f>'Old Balance Sheet'!E166 + 'ACPL Calculations - 1.0'!E166 + 'ACPL Calculations - 2.0'!E166</f>
        <v>0</v>
      </c>
      <c r="AD166" s="30" t="s">
        <v>3817</v>
      </c>
      <c r="AE166" s="34">
        <v>838.99</v>
      </c>
      <c r="AF166" s="32" t="s">
        <v>3818</v>
      </c>
      <c r="AG166" s="31">
        <v>100.0</v>
      </c>
      <c r="AH166" s="33">
        <f>'Old Balance Sheet'!F166 + 'ACPL Calculations - 1.0'!F166 + 'ACPL Calculations - 2.0'!F166</f>
        <v>0</v>
      </c>
      <c r="AI166" s="30" t="s">
        <v>3817</v>
      </c>
      <c r="AJ166" s="31">
        <v>375.0</v>
      </c>
      <c r="AK166" s="32" t="s">
        <v>3818</v>
      </c>
      <c r="AL166" s="31">
        <v>100.0</v>
      </c>
      <c r="AM166" s="33">
        <f>'Old Balance Sheet'!G166 + 'ACPL Calculations - 1.0'!G166 + 'ACPL Calculations - 2.0'!G166</f>
        <v>0</v>
      </c>
      <c r="AN166" s="30" t="s">
        <v>3817</v>
      </c>
      <c r="AO166" s="31">
        <v>290.0</v>
      </c>
      <c r="AP166" s="32" t="s">
        <v>3818</v>
      </c>
      <c r="AQ166" s="31">
        <v>100.0</v>
      </c>
      <c r="AR166" s="33">
        <f>'Old Balance Sheet'!H166 + 'ACPL Calculations - 1.0'!H166 + 'ACPL Calculations - 2.0'!H166</f>
        <v>0</v>
      </c>
      <c r="AS166" s="30" t="s">
        <v>3819</v>
      </c>
      <c r="AT166" s="31">
        <v>838.99</v>
      </c>
      <c r="AU166" s="32" t="s">
        <v>3818</v>
      </c>
      <c r="AV166" s="31">
        <v>100.0</v>
      </c>
      <c r="AW166" s="33">
        <f>'Old Balance Sheet'!I166 + 'ACPL Calculations - 1.0'!I166 + 'ACPL Calculations - 2.0'!I166</f>
        <v>0</v>
      </c>
      <c r="AX166" s="30" t="s">
        <v>3817</v>
      </c>
      <c r="AY166" s="31">
        <v>290.0</v>
      </c>
      <c r="AZ166" s="32" t="s">
        <v>3818</v>
      </c>
      <c r="BA166" s="31">
        <v>100.0</v>
      </c>
      <c r="BB166" s="33">
        <f>'Old Balance Sheet'!J166 + 'ACPL Calculations - 1.0'!J166 + 'ACPL Calculations - 2.0'!J166</f>
        <v>0</v>
      </c>
      <c r="BC166" s="30" t="s">
        <v>3817</v>
      </c>
      <c r="BD166" s="31">
        <v>205.0</v>
      </c>
      <c r="BE166" s="32" t="s">
        <v>3818</v>
      </c>
      <c r="BF166" s="31">
        <v>100.0</v>
      </c>
      <c r="BG166" s="33">
        <f>'Old Balance Sheet'!K166 + 'ACPL Calculations - 1.0'!K166 + 'ACPL Calculations - 2.0'!K166</f>
        <v>0</v>
      </c>
      <c r="BH166" s="30" t="s">
        <v>3817</v>
      </c>
      <c r="BI166" s="31">
        <v>205.0</v>
      </c>
      <c r="BJ166" s="32" t="s">
        <v>3818</v>
      </c>
      <c r="BK166" s="31">
        <v>100.0</v>
      </c>
      <c r="BL166" s="33">
        <f>'Old Balance Sheet'!L166 + 'ACPL Calculations - 1.0'!L166 + 'ACPL Calculations - 2.0'!L166</f>
        <v>0</v>
      </c>
      <c r="BM166" s="33"/>
      <c r="BN166" s="33"/>
      <c r="BO166" s="33"/>
      <c r="BP166" s="33"/>
      <c r="BQ166" s="33"/>
      <c r="BR166" s="33"/>
      <c r="BS166" s="33"/>
      <c r="BT166" s="33"/>
      <c r="BU166" s="33"/>
      <c r="BV166" s="33"/>
      <c r="BW166" s="33"/>
      <c r="BX166" s="33"/>
      <c r="BY166" s="33"/>
      <c r="BZ166" s="33"/>
      <c r="CA166" s="33"/>
      <c r="CB166" s="33"/>
      <c r="CC166" s="33"/>
      <c r="CD166" s="33"/>
      <c r="CE166" s="33"/>
      <c r="CF166" s="33"/>
      <c r="CG166" s="33"/>
      <c r="CH166" s="33"/>
      <c r="CI166" s="33"/>
      <c r="CJ166" s="33"/>
      <c r="CK166" s="33"/>
      <c r="CL166" s="33">
        <f t="shared" si="1"/>
        <v>0</v>
      </c>
      <c r="CM166" s="33">
        <f>'Old Balance Sheet'!R166 + 'ACPL Calculations - 1.0'!S166 + 'ACPL Calculations - 2.0'!S166</f>
        <v>0</v>
      </c>
      <c r="CN166" s="33">
        <f>'Old Balance Sheet'!S166 + 'ACPL Calculations - 1.0'!T166 + 'ACPL Calculations - 2.0'!T166</f>
        <v>0</v>
      </c>
      <c r="CO166" s="33">
        <f t="shared" si="2"/>
        <v>0</v>
      </c>
      <c r="CP166" s="33">
        <f>'Old Balance Sheet'!T166 + 'ACPL Calculations - 1.0'!V166 + 'ACPL Calculations - 2.0'!V166</f>
        <v>0</v>
      </c>
      <c r="CQ166" s="33">
        <f>'Old Balance Sheet'!U166 + 'ACPL Calculations - 1.0'!W166 + 'ACPL Calculations - 2.0'!W166</f>
        <v>0</v>
      </c>
      <c r="CR166" s="33">
        <f>'Old Balance Sheet'!V166 + 'ACPL Calculations - 1.0'!X166 + 'ACPL Calculations - 2.0'!X166</f>
        <v>0</v>
      </c>
      <c r="CS166" s="33">
        <f t="shared" si="3"/>
        <v>0</v>
      </c>
      <c r="CT166" s="35"/>
      <c r="CU166" s="35"/>
      <c r="CV166" s="35"/>
      <c r="CW166" s="36">
        <f>'Old Balance Sheet'!W166 + 'ACPL Calculations - 1.0'!Z166 + 'ACPL Calculations - 2.0'!Z166</f>
        <v>0</v>
      </c>
      <c r="CX166" s="36">
        <f>'Old Balance Sheet'!X166 + 'ACPL Calculations - 1.0'!AA166 + 'ACPL Calculations - 2.0'!AA166</f>
        <v>0</v>
      </c>
      <c r="CY166" s="37">
        <v>0.0</v>
      </c>
      <c r="CZ166" s="38">
        <f>'Old Balance Sheet'!Y166 + 'ACPL Calculations - 1.0'!AB166 + 'ACPL Calculations - 2.0'!AB166</f>
        <v>0</v>
      </c>
      <c r="DA166" s="38">
        <f>'Old Balance Sheet'!Z166 + 'ACPL Calculations - 1.0'!AC166 + 'ACPL Calculations - 2.0'!AC166</f>
        <v>0</v>
      </c>
      <c r="DB166" s="38">
        <f>'Old Balance Sheet'!AA166 + 'ACPL Calculations - 1.0'!AD166 + 'ACPL Calculations - 2.0'!AD166</f>
        <v>0</v>
      </c>
      <c r="DC166" s="38">
        <f>'Old Balance Sheet'!AB166 + 'ACPL Calculations - 1.0'!AE166 + 'ACPL Calculations - 2.0'!AE166</f>
        <v>0</v>
      </c>
      <c r="DD166" s="38">
        <f t="shared" si="4"/>
        <v>0</v>
      </c>
      <c r="DE166" s="33">
        <f t="shared" si="5"/>
        <v>0</v>
      </c>
      <c r="DF166" s="35">
        <v>0.0</v>
      </c>
      <c r="DG166" s="35">
        <v>0.0</v>
      </c>
      <c r="DH166" s="35">
        <v>0.0</v>
      </c>
      <c r="DI166" s="35">
        <v>0.0</v>
      </c>
      <c r="DJ166" s="35">
        <v>0.0</v>
      </c>
      <c r="DK166" s="35">
        <v>0.0</v>
      </c>
      <c r="DL166" s="35">
        <v>0.0</v>
      </c>
      <c r="DM166" s="35">
        <v>0.0</v>
      </c>
      <c r="DN166" s="31">
        <v>0.0</v>
      </c>
      <c r="DO166" s="31">
        <v>0.0</v>
      </c>
      <c r="DP166" s="31">
        <v>0.0</v>
      </c>
      <c r="DQ166" s="31">
        <v>0.0</v>
      </c>
      <c r="DR166" s="31">
        <v>0.0</v>
      </c>
      <c r="DS166" s="31">
        <v>0.0</v>
      </c>
      <c r="DT166" s="31">
        <f>'Old Balance Sheet'!AC166</f>
        <v>0</v>
      </c>
      <c r="DU166" s="31">
        <f>DT166 + SUMIFS('Payments Log'!D:D, 'Payments Log'!B:B, A166, 'Payments Log'!L:L, "Approved", 'Payments Log'!M:M, "Credit") + 'Old Balance Sheet'!AD166 - 'Old Balance Sheet'!AC166</f>
        <v>0</v>
      </c>
      <c r="DV166" s="31">
        <f>SUMIFS('Payments Log'!D:D, 'Payments Log'!B:B, A166, 'Payments Log'!L:L, "Approved", 'Payments Log'!M:M, "Adjustment Credit") - SUMIFS('Payments Log'!D:D, 'Payments Log'!B:B, A166, 'Payments Log'!L:L, "Approved", 'Payments Log'!M:M, "Adjustment Debit") + 'Old Balance Sheet'!AE166</f>
        <v>0</v>
      </c>
      <c r="DW166" s="31">
        <f>IF(MAXIFS('Payments Log'!N:N, 'Payments Log'!L:L, "Approved", 'Payments Log'!M:M, "Credit", 'Payments Log'!B:B, A166) &gt; MAXIFS('Payments Log'!N:N, 'Payments Log'!L:L, "Approved", 'Payments Log'!M:M, "Virtual Credit", 'Payments Log'!B:B, A166), 0, SUMIFS('Payments Log'!D:D, 'Payments Log'!N:N, MAXIFS('Payments Log'!N:N, 'Payments Log'!L:L, "Approved", 'Payments Log'!M:M, "Virtual Credit", 'Payments Log'!B:B, A166)))</f>
        <v>0</v>
      </c>
      <c r="DX166" s="33">
        <f t="shared" si="6"/>
        <v>0</v>
      </c>
      <c r="DY166" s="33">
        <f t="shared" si="7"/>
        <v>0</v>
      </c>
      <c r="DZ166" s="33">
        <f t="shared" si="8"/>
        <v>0</v>
      </c>
      <c r="EA166" s="25" t="str">
        <f>(Sheet1!N166)</f>
        <v>Shri Durga Motors</v>
      </c>
      <c r="EB166" s="25" t="str">
        <f>(Sheet1!O166)</f>
        <v>1LnxzSZR-Hn1GFJEM91CqSDi8yQ1-11OqyVT04QUkFAM</v>
      </c>
      <c r="EC166" s="26" t="str">
        <f>(Sheet1!P166)</f>
        <v>Sub Dealer</v>
      </c>
      <c r="ED166" s="34" t="s">
        <v>13</v>
      </c>
    </row>
    <row r="167">
      <c r="A167" s="25" t="str">
        <f>(Sheet1!A167)</f>
        <v>1EqLBGhhw88ePbxTSdniMo_of3cuMUNJduNtdzPonF7w</v>
      </c>
      <c r="B167" s="25" t="str">
        <f>(Sheet1!B167)</f>
        <v>SHREE SAI AUTOMOBILE</v>
      </c>
      <c r="C167" s="30" t="s">
        <v>13</v>
      </c>
      <c r="D167" s="30" t="s">
        <v>72</v>
      </c>
      <c r="E167" s="30" t="s">
        <v>3819</v>
      </c>
      <c r="F167" s="31">
        <v>205.0</v>
      </c>
      <c r="G167" s="32" t="s">
        <v>3818</v>
      </c>
      <c r="H167" s="31">
        <v>100.0</v>
      </c>
      <c r="I167" s="33">
        <f>'Old Balance Sheet'!A167 + 'ACPL Calculations - 1.0'!A167 + 'ACPL Calculations - 2.0'!A167</f>
        <v>259</v>
      </c>
      <c r="J167" s="30" t="s">
        <v>3819</v>
      </c>
      <c r="K167" s="31">
        <v>205.0</v>
      </c>
      <c r="L167" s="32" t="s">
        <v>3818</v>
      </c>
      <c r="M167" s="31">
        <v>100.0</v>
      </c>
      <c r="N167" s="33">
        <f>'Old Balance Sheet'!B167 + 'ACPL Calculations - 1.0'!B167 + 'ACPL Calculations - 2.0'!B167</f>
        <v>0</v>
      </c>
      <c r="O167" s="30" t="s">
        <v>3819</v>
      </c>
      <c r="P167" s="31">
        <v>290.0</v>
      </c>
      <c r="Q167" s="32" t="s">
        <v>3818</v>
      </c>
      <c r="R167" s="31">
        <v>100.0</v>
      </c>
      <c r="S167" s="33">
        <f>'Old Balance Sheet'!C167 + 'ACPL Calculations - 1.0'!C167 + 'ACPL Calculations - 2.0'!C167</f>
        <v>3</v>
      </c>
      <c r="T167" s="30" t="s">
        <v>3819</v>
      </c>
      <c r="U167" s="31">
        <v>375.0</v>
      </c>
      <c r="V167" s="32" t="s">
        <v>3818</v>
      </c>
      <c r="W167" s="31">
        <v>100.0</v>
      </c>
      <c r="X167" s="33">
        <f>'Old Balance Sheet'!D167 + 'ACPL Calculations - 1.0'!D167 + 'ACPL Calculations - 2.0'!D167</f>
        <v>1</v>
      </c>
      <c r="Y167" s="30" t="s">
        <v>3819</v>
      </c>
      <c r="Z167" s="31">
        <v>460.0</v>
      </c>
      <c r="AA167" s="32" t="s">
        <v>3818</v>
      </c>
      <c r="AB167" s="31">
        <v>100.0</v>
      </c>
      <c r="AC167" s="33">
        <f>'Old Balance Sheet'!E167 + 'ACPL Calculations - 1.0'!E167 + 'ACPL Calculations - 2.0'!E167</f>
        <v>135</v>
      </c>
      <c r="AD167" s="30" t="s">
        <v>3819</v>
      </c>
      <c r="AE167" s="34">
        <v>838.99</v>
      </c>
      <c r="AF167" s="32" t="s">
        <v>3818</v>
      </c>
      <c r="AG167" s="31">
        <v>100.0</v>
      </c>
      <c r="AH167" s="33">
        <f>'Old Balance Sheet'!F167 + 'ACPL Calculations - 1.0'!F167 + 'ACPL Calculations - 2.0'!F167</f>
        <v>0</v>
      </c>
      <c r="AI167" s="30" t="s">
        <v>3819</v>
      </c>
      <c r="AJ167" s="31">
        <v>375.0</v>
      </c>
      <c r="AK167" s="32" t="s">
        <v>3818</v>
      </c>
      <c r="AL167" s="31">
        <v>100.0</v>
      </c>
      <c r="AM167" s="33">
        <f>'Old Balance Sheet'!G167 + 'ACPL Calculations - 1.0'!G167 + 'ACPL Calculations - 2.0'!G167</f>
        <v>0</v>
      </c>
      <c r="AN167" s="30" t="s">
        <v>3819</v>
      </c>
      <c r="AO167" s="31">
        <v>290.0</v>
      </c>
      <c r="AP167" s="32" t="s">
        <v>3818</v>
      </c>
      <c r="AQ167" s="31">
        <v>100.0</v>
      </c>
      <c r="AR167" s="33">
        <f>'Old Balance Sheet'!H167 + 'ACPL Calculations - 1.0'!H167 + 'ACPL Calculations - 2.0'!H167</f>
        <v>0</v>
      </c>
      <c r="AS167" s="30" t="s">
        <v>3819</v>
      </c>
      <c r="AT167" s="31">
        <v>838.99</v>
      </c>
      <c r="AU167" s="32" t="s">
        <v>3818</v>
      </c>
      <c r="AV167" s="31">
        <v>100.0</v>
      </c>
      <c r="AW167" s="33">
        <f>'Old Balance Sheet'!I167 + 'ACPL Calculations - 1.0'!I167 + 'ACPL Calculations - 2.0'!I167</f>
        <v>0</v>
      </c>
      <c r="AX167" s="30" t="s">
        <v>3819</v>
      </c>
      <c r="AY167" s="31">
        <v>290.0</v>
      </c>
      <c r="AZ167" s="32" t="s">
        <v>3818</v>
      </c>
      <c r="BA167" s="31">
        <v>100.0</v>
      </c>
      <c r="BB167" s="33">
        <f>'Old Balance Sheet'!J167 + 'ACPL Calculations - 1.0'!J167 + 'ACPL Calculations - 2.0'!J167</f>
        <v>0</v>
      </c>
      <c r="BC167" s="30" t="s">
        <v>3819</v>
      </c>
      <c r="BD167" s="31">
        <v>205.0</v>
      </c>
      <c r="BE167" s="32" t="s">
        <v>3818</v>
      </c>
      <c r="BF167" s="31">
        <v>100.0</v>
      </c>
      <c r="BG167" s="33">
        <f>'Old Balance Sheet'!K167 + 'ACPL Calculations - 1.0'!K167 + 'ACPL Calculations - 2.0'!K167</f>
        <v>0</v>
      </c>
      <c r="BH167" s="30" t="s">
        <v>3819</v>
      </c>
      <c r="BI167" s="31">
        <v>205.0</v>
      </c>
      <c r="BJ167" s="32" t="s">
        <v>3818</v>
      </c>
      <c r="BK167" s="31">
        <v>100.0</v>
      </c>
      <c r="BL167" s="33">
        <f>'Old Balance Sheet'!L167 + 'ACPL Calculations - 1.0'!L167 + 'ACPL Calculations - 2.0'!L167</f>
        <v>0</v>
      </c>
      <c r="BM167" s="33"/>
      <c r="BN167" s="33"/>
      <c r="BO167" s="33"/>
      <c r="BP167" s="33"/>
      <c r="BQ167" s="33"/>
      <c r="BR167" s="33"/>
      <c r="BS167" s="33"/>
      <c r="BT167" s="33"/>
      <c r="BU167" s="33"/>
      <c r="BV167" s="33"/>
      <c r="BW167" s="33"/>
      <c r="BX167" s="33"/>
      <c r="BY167" s="33"/>
      <c r="BZ167" s="33"/>
      <c r="CA167" s="33"/>
      <c r="CB167" s="33"/>
      <c r="CC167" s="33"/>
      <c r="CD167" s="33"/>
      <c r="CE167" s="33"/>
      <c r="CF167" s="33"/>
      <c r="CG167" s="33"/>
      <c r="CH167" s="33"/>
      <c r="CI167" s="33"/>
      <c r="CJ167" s="33"/>
      <c r="CK167" s="33"/>
      <c r="CL167" s="33">
        <f t="shared" si="1"/>
        <v>398</v>
      </c>
      <c r="CM167" s="33">
        <f>'Old Balance Sheet'!R167 + 'ACPL Calculations - 1.0'!S167 + 'ACPL Calculations - 2.0'!S167</f>
        <v>137198.6</v>
      </c>
      <c r="CN167" s="33">
        <f>'Old Balance Sheet'!S167 + 'ACPL Calculations - 1.0'!T167 + 'ACPL Calculations - 2.0'!T167</f>
        <v>116270</v>
      </c>
      <c r="CO167" s="33">
        <f t="shared" si="2"/>
        <v>137198.6</v>
      </c>
      <c r="CP167" s="33">
        <f>'Old Balance Sheet'!T167 + 'ACPL Calculations - 1.0'!V167 + 'ACPL Calculations - 2.0'!V167</f>
        <v>0</v>
      </c>
      <c r="CQ167" s="33">
        <f>'Old Balance Sheet'!U167 + 'ACPL Calculations - 1.0'!W167 + 'ACPL Calculations - 2.0'!W167</f>
        <v>0</v>
      </c>
      <c r="CR167" s="33">
        <f>'Old Balance Sheet'!V167 + 'ACPL Calculations - 1.0'!X167 + 'ACPL Calculations - 2.0'!X167</f>
        <v>20928.6</v>
      </c>
      <c r="CS167" s="33">
        <f t="shared" si="3"/>
        <v>20928.6</v>
      </c>
      <c r="CT167" s="35"/>
      <c r="CU167" s="35"/>
      <c r="CV167" s="35"/>
      <c r="CW167" s="36">
        <f>'Old Balance Sheet'!W167 + 'ACPL Calculations - 1.0'!Z167 + 'ACPL Calculations - 2.0'!Z167</f>
        <v>137198.6</v>
      </c>
      <c r="CX167" s="36">
        <f>'Old Balance Sheet'!X167 + 'ACPL Calculations - 1.0'!AA167 + 'ACPL Calculations - 2.0'!AA167</f>
        <v>137198.6</v>
      </c>
      <c r="CY167" s="37">
        <v>0.0</v>
      </c>
      <c r="CZ167" s="38">
        <f>'Old Balance Sheet'!Y167 + 'ACPL Calculations - 1.0'!AB167 + 'ACPL Calculations - 2.0'!AB167</f>
        <v>0</v>
      </c>
      <c r="DA167" s="38">
        <f>'Old Balance Sheet'!Z167 + 'ACPL Calculations - 1.0'!AC167 + 'ACPL Calculations - 2.0'!AC167</f>
        <v>0</v>
      </c>
      <c r="DB167" s="38">
        <f>'Old Balance Sheet'!AA167 + 'ACPL Calculations - 1.0'!AD167 + 'ACPL Calculations - 2.0'!AD167</f>
        <v>0</v>
      </c>
      <c r="DC167" s="38">
        <f>'Old Balance Sheet'!AB167 + 'ACPL Calculations - 1.0'!AE167 + 'ACPL Calculations - 2.0'!AE167</f>
        <v>0</v>
      </c>
      <c r="DD167" s="38">
        <f t="shared" si="4"/>
        <v>0</v>
      </c>
      <c r="DE167" s="33">
        <f t="shared" si="5"/>
        <v>0</v>
      </c>
      <c r="DF167" s="35">
        <v>0.0</v>
      </c>
      <c r="DG167" s="35">
        <v>0.0</v>
      </c>
      <c r="DH167" s="35">
        <v>0.0</v>
      </c>
      <c r="DI167" s="35">
        <v>0.0</v>
      </c>
      <c r="DJ167" s="35">
        <v>0.0</v>
      </c>
      <c r="DK167" s="35">
        <v>0.0</v>
      </c>
      <c r="DL167" s="35">
        <v>0.0</v>
      </c>
      <c r="DM167" s="35">
        <v>0.0</v>
      </c>
      <c r="DN167" s="31">
        <v>0.0</v>
      </c>
      <c r="DO167" s="31">
        <v>0.0</v>
      </c>
      <c r="DP167" s="31">
        <v>0.0</v>
      </c>
      <c r="DQ167" s="31">
        <v>0.0</v>
      </c>
      <c r="DR167" s="31">
        <v>0.0</v>
      </c>
      <c r="DS167" s="31">
        <v>0.0</v>
      </c>
      <c r="DT167" s="31">
        <f>'Old Balance Sheet'!AC167</f>
        <v>0</v>
      </c>
      <c r="DU167" s="31">
        <f>DT167 + SUMIFS('Payments Log'!D:D, 'Payments Log'!B:B, A167, 'Payments Log'!L:L, "Approved", 'Payments Log'!M:M, "Credit") + 'Old Balance Sheet'!AD167 - 'Old Balance Sheet'!AC167</f>
        <v>180000</v>
      </c>
      <c r="DV167" s="31">
        <f>SUMIFS('Payments Log'!D:D, 'Payments Log'!B:B, A167, 'Payments Log'!L:L, "Approved", 'Payments Log'!M:M, "Adjustment Credit") - SUMIFS('Payments Log'!D:D, 'Payments Log'!B:B, A167, 'Payments Log'!L:L, "Approved", 'Payments Log'!M:M, "Adjustment Debit") + 'Old Balance Sheet'!AE167</f>
        <v>0</v>
      </c>
      <c r="DW167" s="31">
        <f>IF(MAXIFS('Payments Log'!N:N, 'Payments Log'!L:L, "Approved", 'Payments Log'!M:M, "Credit", 'Payments Log'!B:B, A167) &gt; MAXIFS('Payments Log'!N:N, 'Payments Log'!L:L, "Approved", 'Payments Log'!M:M, "Virtual Credit", 'Payments Log'!B:B, A167), 0, SUMIFS('Payments Log'!D:D, 'Payments Log'!N:N, MAXIFS('Payments Log'!N:N, 'Payments Log'!L:L, "Approved", 'Payments Log'!M:M, "Virtual Credit", 'Payments Log'!B:B, A167)))</f>
        <v>0</v>
      </c>
      <c r="DX167" s="33">
        <f t="shared" si="6"/>
        <v>42801.4</v>
      </c>
      <c r="DY167" s="33">
        <f t="shared" si="7"/>
        <v>42801.4</v>
      </c>
      <c r="DZ167" s="33">
        <f t="shared" si="8"/>
        <v>42801.4</v>
      </c>
      <c r="EA167" s="25" t="str">
        <f>(Sheet1!N167)</f>
        <v>SHREE SAI AUTOMOBILE</v>
      </c>
      <c r="EB167" s="25" t="str">
        <f>(Sheet1!O167)</f>
        <v>1EqLBGhhw88ePbxTSdniMo_of3cuMUNJduNtdzPonF7w</v>
      </c>
      <c r="EC167" s="26" t="str">
        <f>(Sheet1!P167)</f>
        <v>Dealer</v>
      </c>
      <c r="ED167" s="34" t="s">
        <v>13</v>
      </c>
    </row>
    <row r="168">
      <c r="A168" s="25" t="str">
        <f>(Sheet1!A168)</f>
        <v>1O_YH7HeoRy08ymR5SENYSag175TzKlknDTuYKpt1BUk</v>
      </c>
      <c r="B168" s="25" t="str">
        <f>(Sheet1!B168)</f>
        <v>Aditya Kapil</v>
      </c>
      <c r="C168" s="30" t="s">
        <v>13</v>
      </c>
      <c r="D168" s="30" t="s">
        <v>72</v>
      </c>
      <c r="E168" s="30" t="s">
        <v>3817</v>
      </c>
      <c r="F168" s="31">
        <v>205.0</v>
      </c>
      <c r="G168" s="32" t="s">
        <v>3818</v>
      </c>
      <c r="H168" s="31">
        <v>100.0</v>
      </c>
      <c r="I168" s="33">
        <f>'Old Balance Sheet'!A168 + 'ACPL Calculations - 1.0'!A168 + 'ACPL Calculations - 2.0'!A168</f>
        <v>0</v>
      </c>
      <c r="J168" s="30" t="s">
        <v>3817</v>
      </c>
      <c r="K168" s="31">
        <v>205.0</v>
      </c>
      <c r="L168" s="32" t="s">
        <v>3818</v>
      </c>
      <c r="M168" s="31">
        <v>100.0</v>
      </c>
      <c r="N168" s="33">
        <f>'Old Balance Sheet'!B168 + 'ACPL Calculations - 1.0'!B168 + 'ACPL Calculations - 2.0'!B168</f>
        <v>0</v>
      </c>
      <c r="O168" s="30" t="s">
        <v>3817</v>
      </c>
      <c r="P168" s="31">
        <v>290.0</v>
      </c>
      <c r="Q168" s="32" t="s">
        <v>3818</v>
      </c>
      <c r="R168" s="31">
        <v>100.0</v>
      </c>
      <c r="S168" s="33">
        <f>'Old Balance Sheet'!C168 + 'ACPL Calculations - 1.0'!C168 + 'ACPL Calculations - 2.0'!C168</f>
        <v>0</v>
      </c>
      <c r="T168" s="30" t="s">
        <v>3817</v>
      </c>
      <c r="U168" s="31">
        <v>375.0</v>
      </c>
      <c r="V168" s="32" t="s">
        <v>3818</v>
      </c>
      <c r="W168" s="31">
        <v>100.0</v>
      </c>
      <c r="X168" s="33">
        <f>'Old Balance Sheet'!D168 + 'ACPL Calculations - 1.0'!D168 + 'ACPL Calculations - 2.0'!D168</f>
        <v>0</v>
      </c>
      <c r="Y168" s="30" t="s">
        <v>3817</v>
      </c>
      <c r="Z168" s="31">
        <v>460.0</v>
      </c>
      <c r="AA168" s="32" t="s">
        <v>3818</v>
      </c>
      <c r="AB168" s="31">
        <v>100.0</v>
      </c>
      <c r="AC168" s="33">
        <f>'Old Balance Sheet'!E168 + 'ACPL Calculations - 1.0'!E168 + 'ACPL Calculations - 2.0'!E168</f>
        <v>0</v>
      </c>
      <c r="AD168" s="30" t="s">
        <v>3817</v>
      </c>
      <c r="AE168" s="34">
        <v>838.99</v>
      </c>
      <c r="AF168" s="32" t="s">
        <v>3818</v>
      </c>
      <c r="AG168" s="31">
        <v>100.0</v>
      </c>
      <c r="AH168" s="33">
        <f>'Old Balance Sheet'!F168 + 'ACPL Calculations - 1.0'!F168 + 'ACPL Calculations - 2.0'!F168</f>
        <v>0</v>
      </c>
      <c r="AI168" s="30" t="s">
        <v>3817</v>
      </c>
      <c r="AJ168" s="31">
        <v>375.0</v>
      </c>
      <c r="AK168" s="32" t="s">
        <v>3818</v>
      </c>
      <c r="AL168" s="31">
        <v>100.0</v>
      </c>
      <c r="AM168" s="33">
        <f>'Old Balance Sheet'!G168 + 'ACPL Calculations - 1.0'!G168 + 'ACPL Calculations - 2.0'!G168</f>
        <v>0</v>
      </c>
      <c r="AN168" s="30" t="s">
        <v>3817</v>
      </c>
      <c r="AO168" s="31">
        <v>290.0</v>
      </c>
      <c r="AP168" s="32" t="s">
        <v>3818</v>
      </c>
      <c r="AQ168" s="31">
        <v>100.0</v>
      </c>
      <c r="AR168" s="33">
        <f>'Old Balance Sheet'!H168 + 'ACPL Calculations - 1.0'!H168 + 'ACPL Calculations - 2.0'!H168</f>
        <v>0</v>
      </c>
      <c r="AS168" s="30" t="s">
        <v>3819</v>
      </c>
      <c r="AT168" s="31">
        <v>838.99</v>
      </c>
      <c r="AU168" s="32" t="s">
        <v>3818</v>
      </c>
      <c r="AV168" s="31">
        <v>100.0</v>
      </c>
      <c r="AW168" s="33">
        <f>'Old Balance Sheet'!I168 + 'ACPL Calculations - 1.0'!I168 + 'ACPL Calculations - 2.0'!I168</f>
        <v>0</v>
      </c>
      <c r="AX168" s="30" t="s">
        <v>3817</v>
      </c>
      <c r="AY168" s="31">
        <v>290.0</v>
      </c>
      <c r="AZ168" s="32" t="s">
        <v>3818</v>
      </c>
      <c r="BA168" s="31">
        <v>100.0</v>
      </c>
      <c r="BB168" s="33">
        <f>'Old Balance Sheet'!J168 + 'ACPL Calculations - 1.0'!J168 + 'ACPL Calculations - 2.0'!J168</f>
        <v>0</v>
      </c>
      <c r="BC168" s="30" t="s">
        <v>3817</v>
      </c>
      <c r="BD168" s="31">
        <v>205.0</v>
      </c>
      <c r="BE168" s="32" t="s">
        <v>3818</v>
      </c>
      <c r="BF168" s="31">
        <v>100.0</v>
      </c>
      <c r="BG168" s="33">
        <f>'Old Balance Sheet'!K168 + 'ACPL Calculations - 1.0'!K168 + 'ACPL Calculations - 2.0'!K168</f>
        <v>0</v>
      </c>
      <c r="BH168" s="30" t="s">
        <v>3817</v>
      </c>
      <c r="BI168" s="31">
        <v>205.0</v>
      </c>
      <c r="BJ168" s="32" t="s">
        <v>3818</v>
      </c>
      <c r="BK168" s="31">
        <v>100.0</v>
      </c>
      <c r="BL168" s="33">
        <f>'Old Balance Sheet'!L168 + 'ACPL Calculations - 1.0'!L168 + 'ACPL Calculations - 2.0'!L168</f>
        <v>0</v>
      </c>
      <c r="BM168" s="33"/>
      <c r="BN168" s="33"/>
      <c r="BO168" s="33"/>
      <c r="BP168" s="33"/>
      <c r="BQ168" s="33"/>
      <c r="BR168" s="33"/>
      <c r="BS168" s="33"/>
      <c r="BT168" s="33"/>
      <c r="BU168" s="33"/>
      <c r="BV168" s="33"/>
      <c r="BW168" s="33"/>
      <c r="BX168" s="33"/>
      <c r="BY168" s="33"/>
      <c r="BZ168" s="33"/>
      <c r="CA168" s="33"/>
      <c r="CB168" s="33"/>
      <c r="CC168" s="33"/>
      <c r="CD168" s="33"/>
      <c r="CE168" s="33"/>
      <c r="CF168" s="33"/>
      <c r="CG168" s="33"/>
      <c r="CH168" s="33"/>
      <c r="CI168" s="33"/>
      <c r="CJ168" s="33"/>
      <c r="CK168" s="33"/>
      <c r="CL168" s="33">
        <f t="shared" si="1"/>
        <v>0</v>
      </c>
      <c r="CM168" s="33">
        <f>'Old Balance Sheet'!R168 + 'ACPL Calculations - 1.0'!S168 + 'ACPL Calculations - 2.0'!S168</f>
        <v>0</v>
      </c>
      <c r="CN168" s="33">
        <f>'Old Balance Sheet'!S168 + 'ACPL Calculations - 1.0'!T168 + 'ACPL Calculations - 2.0'!T168</f>
        <v>0</v>
      </c>
      <c r="CO168" s="33">
        <f t="shared" si="2"/>
        <v>0</v>
      </c>
      <c r="CP168" s="33">
        <f>'Old Balance Sheet'!T168 + 'ACPL Calculations - 1.0'!V168 + 'ACPL Calculations - 2.0'!V168</f>
        <v>0</v>
      </c>
      <c r="CQ168" s="33">
        <f>'Old Balance Sheet'!U168 + 'ACPL Calculations - 1.0'!W168 + 'ACPL Calculations - 2.0'!W168</f>
        <v>0</v>
      </c>
      <c r="CR168" s="33">
        <f>'Old Balance Sheet'!V168 + 'ACPL Calculations - 1.0'!X168 + 'ACPL Calculations - 2.0'!X168</f>
        <v>0</v>
      </c>
      <c r="CS168" s="33">
        <f t="shared" si="3"/>
        <v>0</v>
      </c>
      <c r="CT168" s="35"/>
      <c r="CU168" s="35"/>
      <c r="CV168" s="35"/>
      <c r="CW168" s="36">
        <f>'Old Balance Sheet'!W168 + 'ACPL Calculations - 1.0'!Z168 + 'ACPL Calculations - 2.0'!Z168</f>
        <v>0</v>
      </c>
      <c r="CX168" s="36">
        <f>'Old Balance Sheet'!X168 + 'ACPL Calculations - 1.0'!AA168 + 'ACPL Calculations - 2.0'!AA168</f>
        <v>0</v>
      </c>
      <c r="CY168" s="37">
        <v>0.0</v>
      </c>
      <c r="CZ168" s="38">
        <f>'Old Balance Sheet'!Y168 + 'ACPL Calculations - 1.0'!AB168 + 'ACPL Calculations - 2.0'!AB168</f>
        <v>0</v>
      </c>
      <c r="DA168" s="38">
        <f>'Old Balance Sheet'!Z168 + 'ACPL Calculations - 1.0'!AC168 + 'ACPL Calculations - 2.0'!AC168</f>
        <v>0</v>
      </c>
      <c r="DB168" s="38">
        <f>'Old Balance Sheet'!AA168 + 'ACPL Calculations - 1.0'!AD168 + 'ACPL Calculations - 2.0'!AD168</f>
        <v>0</v>
      </c>
      <c r="DC168" s="38">
        <f>'Old Balance Sheet'!AB168 + 'ACPL Calculations - 1.0'!AE168 + 'ACPL Calculations - 2.0'!AE168</f>
        <v>0</v>
      </c>
      <c r="DD168" s="38">
        <f t="shared" si="4"/>
        <v>0</v>
      </c>
      <c r="DE168" s="33">
        <f t="shared" si="5"/>
        <v>0</v>
      </c>
      <c r="DF168" s="35">
        <v>0.0</v>
      </c>
      <c r="DG168" s="35">
        <v>0.0</v>
      </c>
      <c r="DH168" s="35">
        <v>0.0</v>
      </c>
      <c r="DI168" s="35">
        <v>0.0</v>
      </c>
      <c r="DJ168" s="35">
        <v>0.0</v>
      </c>
      <c r="DK168" s="35">
        <v>0.0</v>
      </c>
      <c r="DL168" s="35">
        <v>0.0</v>
      </c>
      <c r="DM168" s="35">
        <v>0.0</v>
      </c>
      <c r="DN168" s="31">
        <v>0.0</v>
      </c>
      <c r="DO168" s="31">
        <v>0.0</v>
      </c>
      <c r="DP168" s="31">
        <v>0.0</v>
      </c>
      <c r="DQ168" s="31">
        <v>0.0</v>
      </c>
      <c r="DR168" s="31">
        <v>0.0</v>
      </c>
      <c r="DS168" s="31">
        <v>0.0</v>
      </c>
      <c r="DT168" s="31">
        <f>'Old Balance Sheet'!AC168</f>
        <v>0</v>
      </c>
      <c r="DU168" s="31">
        <f>DT168 + SUMIFS('Payments Log'!D:D, 'Payments Log'!B:B, A168, 'Payments Log'!L:L, "Approved", 'Payments Log'!M:M, "Credit") + 'Old Balance Sheet'!AD168 - 'Old Balance Sheet'!AC168</f>
        <v>0</v>
      </c>
      <c r="DV168" s="31">
        <f>SUMIFS('Payments Log'!D:D, 'Payments Log'!B:B, A168, 'Payments Log'!L:L, "Approved", 'Payments Log'!M:M, "Adjustment Credit") - SUMIFS('Payments Log'!D:D, 'Payments Log'!B:B, A168, 'Payments Log'!L:L, "Approved", 'Payments Log'!M:M, "Adjustment Debit") + 'Old Balance Sheet'!AE168</f>
        <v>0</v>
      </c>
      <c r="DW168" s="31">
        <f>IF(MAXIFS('Payments Log'!N:N, 'Payments Log'!L:L, "Approved", 'Payments Log'!M:M, "Credit", 'Payments Log'!B:B, A168) &gt; MAXIFS('Payments Log'!N:N, 'Payments Log'!L:L, "Approved", 'Payments Log'!M:M, "Virtual Credit", 'Payments Log'!B:B, A168), 0, SUMIFS('Payments Log'!D:D, 'Payments Log'!N:N, MAXIFS('Payments Log'!N:N, 'Payments Log'!L:L, "Approved", 'Payments Log'!M:M, "Virtual Credit", 'Payments Log'!B:B, A168)))</f>
        <v>0</v>
      </c>
      <c r="DX168" s="33">
        <f t="shared" si="6"/>
        <v>0</v>
      </c>
      <c r="DY168" s="33">
        <f t="shared" si="7"/>
        <v>0</v>
      </c>
      <c r="DZ168" s="33">
        <f t="shared" si="8"/>
        <v>0</v>
      </c>
      <c r="EA168" s="25" t="str">
        <f>(Sheet1!N168)</f>
        <v>Aditya Kapil</v>
      </c>
      <c r="EB168" s="25" t="str">
        <f>(Sheet1!O168)</f>
        <v>1O_YH7HeoRy08ymR5SENYSag175TzKlknDTuYKpt1BUk</v>
      </c>
      <c r="EC168" s="26" t="str">
        <f>(Sheet1!P168)</f>
        <v>Dealer</v>
      </c>
      <c r="ED168" s="34" t="s">
        <v>13</v>
      </c>
    </row>
    <row r="169">
      <c r="A169" s="25" t="str">
        <f>(Sheet1!A169)</f>
        <v>1B-m4X6iF3jRLf0ddVMd8f7C-8pwyVJ8yhSFcm_mYOvk</v>
      </c>
      <c r="B169" s="25" t="str">
        <f>(Sheet1!B169)</f>
        <v>LAXMI MOTORS- DEORIA(GAD)</v>
      </c>
      <c r="C169" s="30" t="s">
        <v>13</v>
      </c>
      <c r="D169" s="30" t="s">
        <v>72</v>
      </c>
      <c r="E169" s="30" t="s">
        <v>3820</v>
      </c>
      <c r="F169" s="31">
        <v>160.0</v>
      </c>
      <c r="G169" s="32" t="s">
        <v>3818</v>
      </c>
      <c r="H169" s="31">
        <v>100.0</v>
      </c>
      <c r="I169" s="33">
        <f>'Old Balance Sheet'!A169 + 'ACPL Calculations - 1.0'!A169 + 'ACPL Calculations - 2.0'!A169</f>
        <v>3687</v>
      </c>
      <c r="J169" s="30" t="s">
        <v>3820</v>
      </c>
      <c r="K169" s="31">
        <v>205.0</v>
      </c>
      <c r="L169" s="32" t="s">
        <v>3818</v>
      </c>
      <c r="M169" s="31">
        <v>100.0</v>
      </c>
      <c r="N169" s="33">
        <f>'Old Balance Sheet'!B169 + 'ACPL Calculations - 1.0'!B169 + 'ACPL Calculations - 2.0'!B169</f>
        <v>0</v>
      </c>
      <c r="O169" s="30" t="s">
        <v>3820</v>
      </c>
      <c r="P169" s="31">
        <v>290.0</v>
      </c>
      <c r="Q169" s="32" t="s">
        <v>3818</v>
      </c>
      <c r="R169" s="31">
        <v>100.0</v>
      </c>
      <c r="S169" s="33">
        <f>'Old Balance Sheet'!C169 + 'ACPL Calculations - 1.0'!C169 + 'ACPL Calculations - 2.0'!C169</f>
        <v>0</v>
      </c>
      <c r="T169" s="30" t="s">
        <v>3820</v>
      </c>
      <c r="U169" s="31">
        <v>375.0</v>
      </c>
      <c r="V169" s="32" t="s">
        <v>3818</v>
      </c>
      <c r="W169" s="31">
        <v>100.0</v>
      </c>
      <c r="X169" s="33">
        <f>'Old Balance Sheet'!D169 + 'ACPL Calculations - 1.0'!D169 + 'ACPL Calculations - 2.0'!D169</f>
        <v>0</v>
      </c>
      <c r="Y169" s="30" t="s">
        <v>3820</v>
      </c>
      <c r="Z169" s="31">
        <v>460.0</v>
      </c>
      <c r="AA169" s="32" t="s">
        <v>3818</v>
      </c>
      <c r="AB169" s="31">
        <v>100.0</v>
      </c>
      <c r="AC169" s="33">
        <f>'Old Balance Sheet'!E169 + 'ACPL Calculations - 1.0'!E169 + 'ACPL Calculations - 2.0'!E169</f>
        <v>0</v>
      </c>
      <c r="AD169" s="30" t="s">
        <v>3820</v>
      </c>
      <c r="AE169" s="34">
        <v>838.99</v>
      </c>
      <c r="AF169" s="32" t="s">
        <v>3818</v>
      </c>
      <c r="AG169" s="31">
        <v>100.0</v>
      </c>
      <c r="AH169" s="33">
        <f>'Old Balance Sheet'!F169 + 'ACPL Calculations - 1.0'!F169 + 'ACPL Calculations - 2.0'!F169</f>
        <v>0</v>
      </c>
      <c r="AI169" s="30" t="s">
        <v>3820</v>
      </c>
      <c r="AJ169" s="31">
        <v>375.0</v>
      </c>
      <c r="AK169" s="32" t="s">
        <v>3818</v>
      </c>
      <c r="AL169" s="31">
        <v>100.0</v>
      </c>
      <c r="AM169" s="33">
        <f>'Old Balance Sheet'!G169 + 'ACPL Calculations - 1.0'!G169 + 'ACPL Calculations - 2.0'!G169</f>
        <v>0</v>
      </c>
      <c r="AN169" s="30" t="s">
        <v>3820</v>
      </c>
      <c r="AO169" s="31">
        <v>290.0</v>
      </c>
      <c r="AP169" s="32" t="s">
        <v>3818</v>
      </c>
      <c r="AQ169" s="31">
        <v>100.0</v>
      </c>
      <c r="AR169" s="33">
        <f>'Old Balance Sheet'!H169 + 'ACPL Calculations - 1.0'!H169 + 'ACPL Calculations - 2.0'!H169</f>
        <v>0</v>
      </c>
      <c r="AS169" s="30" t="s">
        <v>3819</v>
      </c>
      <c r="AT169" s="31">
        <v>838.99</v>
      </c>
      <c r="AU169" s="32" t="s">
        <v>3818</v>
      </c>
      <c r="AV169" s="31">
        <v>100.0</v>
      </c>
      <c r="AW169" s="33">
        <f>'Old Balance Sheet'!I169 + 'ACPL Calculations - 1.0'!I169 + 'ACPL Calculations - 2.0'!I169</f>
        <v>0</v>
      </c>
      <c r="AX169" s="30" t="s">
        <v>3820</v>
      </c>
      <c r="AY169" s="31">
        <v>290.0</v>
      </c>
      <c r="AZ169" s="32" t="s">
        <v>3818</v>
      </c>
      <c r="BA169" s="31">
        <v>100.0</v>
      </c>
      <c r="BB169" s="33">
        <f>'Old Balance Sheet'!J169 + 'ACPL Calculations - 1.0'!J169 + 'ACPL Calculations - 2.0'!J169</f>
        <v>0</v>
      </c>
      <c r="BC169" s="30" t="s">
        <v>3820</v>
      </c>
      <c r="BD169" s="31">
        <v>205.0</v>
      </c>
      <c r="BE169" s="32" t="s">
        <v>3818</v>
      </c>
      <c r="BF169" s="31">
        <v>100.0</v>
      </c>
      <c r="BG169" s="33">
        <f>'Old Balance Sheet'!K169 + 'ACPL Calculations - 1.0'!K169 + 'ACPL Calculations - 2.0'!K169</f>
        <v>0</v>
      </c>
      <c r="BH169" s="30" t="s">
        <v>3820</v>
      </c>
      <c r="BI169" s="31">
        <v>205.0</v>
      </c>
      <c r="BJ169" s="32" t="s">
        <v>3818</v>
      </c>
      <c r="BK169" s="31">
        <v>100.0</v>
      </c>
      <c r="BL169" s="33">
        <f>'Old Balance Sheet'!L169 + 'ACPL Calculations - 1.0'!L169 + 'ACPL Calculations - 2.0'!L169</f>
        <v>0</v>
      </c>
      <c r="BM169" s="33"/>
      <c r="BN169" s="33"/>
      <c r="BO169" s="33"/>
      <c r="BP169" s="33"/>
      <c r="BQ169" s="33"/>
      <c r="BR169" s="33"/>
      <c r="BS169" s="33"/>
      <c r="BT169" s="33"/>
      <c r="BU169" s="33"/>
      <c r="BV169" s="33"/>
      <c r="BW169" s="33"/>
      <c r="BX169" s="33"/>
      <c r="BY169" s="33"/>
      <c r="BZ169" s="33"/>
      <c r="CA169" s="33"/>
      <c r="CB169" s="33"/>
      <c r="CC169" s="33"/>
      <c r="CD169" s="33"/>
      <c r="CE169" s="33"/>
      <c r="CF169" s="33"/>
      <c r="CG169" s="33"/>
      <c r="CH169" s="33"/>
      <c r="CI169" s="33"/>
      <c r="CJ169" s="33"/>
      <c r="CK169" s="33"/>
      <c r="CL169" s="33">
        <f t="shared" si="1"/>
        <v>3687</v>
      </c>
      <c r="CM169" s="33">
        <f>'Old Balance Sheet'!R169 + 'ACPL Calculations - 1.0'!S169 + 'ACPL Calculations - 2.0'!S169</f>
        <v>1629602</v>
      </c>
      <c r="CN169" s="33">
        <f>'Old Balance Sheet'!S169 + 'ACPL Calculations - 1.0'!T169 + 'ACPL Calculations - 2.0'!T169</f>
        <v>649005</v>
      </c>
      <c r="CO169" s="33">
        <f t="shared" si="2"/>
        <v>897574.61</v>
      </c>
      <c r="CP169" s="33">
        <f>'Old Balance Sheet'!T169 + 'ACPL Calculations - 1.0'!V169 + 'ACPL Calculations - 2.0'!V169</f>
        <v>0</v>
      </c>
      <c r="CQ169" s="33">
        <f>'Old Balance Sheet'!U169 + 'ACPL Calculations - 1.0'!W169 + 'ACPL Calculations - 2.0'!W169</f>
        <v>0</v>
      </c>
      <c r="CR169" s="33">
        <f>'Old Balance Sheet'!V169 + 'ACPL Calculations - 1.0'!X169 + 'ACPL Calculations - 2.0'!X169</f>
        <v>248569.61</v>
      </c>
      <c r="CS169" s="33">
        <f t="shared" si="3"/>
        <v>248569.61</v>
      </c>
      <c r="CT169" s="35"/>
      <c r="CU169" s="35"/>
      <c r="CV169" s="35"/>
      <c r="CW169" s="36">
        <f>'Old Balance Sheet'!W169 + 'ACPL Calculations - 1.0'!Z169 + 'ACPL Calculations - 2.0'!Z169</f>
        <v>1574352</v>
      </c>
      <c r="CX169" s="36">
        <f>'Old Balance Sheet'!X169 + 'ACPL Calculations - 1.0'!AA169 + 'ACPL Calculations - 2.0'!AA169</f>
        <v>893020.25</v>
      </c>
      <c r="CY169" s="37">
        <v>0.0</v>
      </c>
      <c r="CZ169" s="38">
        <f>'Old Balance Sheet'!Y169 + 'ACPL Calculations - 1.0'!AB169 + 'ACPL Calculations - 2.0'!AB169</f>
        <v>706802.57</v>
      </c>
      <c r="DA169" s="38">
        <f>'Old Balance Sheet'!Z169 + 'ACPL Calculations - 1.0'!AC169 + 'ACPL Calculations - 2.0'!AC169</f>
        <v>0</v>
      </c>
      <c r="DB169" s="38">
        <f>'Old Balance Sheet'!AA169 + 'ACPL Calculations - 1.0'!AD169 + 'ACPL Calculations - 2.0'!AD169</f>
        <v>29498.14</v>
      </c>
      <c r="DC169" s="38">
        <f>'Old Balance Sheet'!AB169 + 'ACPL Calculations - 1.0'!AE169 + 'ACPL Calculations - 2.0'!AE169</f>
        <v>681331.75</v>
      </c>
      <c r="DD169" s="38">
        <f t="shared" si="4"/>
        <v>681331.75</v>
      </c>
      <c r="DE169" s="33">
        <f t="shared" si="5"/>
        <v>0</v>
      </c>
      <c r="DF169" s="35">
        <v>0.0</v>
      </c>
      <c r="DG169" s="35">
        <v>0.0</v>
      </c>
      <c r="DH169" s="35">
        <v>0.0</v>
      </c>
      <c r="DI169" s="35">
        <v>0.0</v>
      </c>
      <c r="DJ169" s="35">
        <v>0.0</v>
      </c>
      <c r="DK169" s="35">
        <v>0.0</v>
      </c>
      <c r="DL169" s="35">
        <v>0.0</v>
      </c>
      <c r="DM169" s="35">
        <v>0.0</v>
      </c>
      <c r="DN169" s="31">
        <v>0.0</v>
      </c>
      <c r="DO169" s="31">
        <v>0.0</v>
      </c>
      <c r="DP169" s="31">
        <v>0.0</v>
      </c>
      <c r="DQ169" s="31">
        <v>0.0</v>
      </c>
      <c r="DR169" s="31">
        <v>0.0</v>
      </c>
      <c r="DS169" s="31">
        <v>0.0</v>
      </c>
      <c r="DT169" s="31">
        <f>'Old Balance Sheet'!AC169</f>
        <v>0</v>
      </c>
      <c r="DU169" s="31">
        <f>DT169 + SUMIFS('Payments Log'!D:D, 'Payments Log'!B:B, A169, 'Payments Log'!L:L, "Approved", 'Payments Log'!M:M, "Credit") + 'Old Balance Sheet'!AD169 - 'Old Balance Sheet'!AC169</f>
        <v>1206230</v>
      </c>
      <c r="DV169" s="31">
        <f>SUMIFS('Payments Log'!D:D, 'Payments Log'!B:B, A169, 'Payments Log'!L:L, "Approved", 'Payments Log'!M:M, "Adjustment Credit") - SUMIFS('Payments Log'!D:D, 'Payments Log'!B:B, A169, 'Payments Log'!L:L, "Approved", 'Payments Log'!M:M, "Adjustment Debit") + 'Old Balance Sheet'!AE169</f>
        <v>-625000</v>
      </c>
      <c r="DW169" s="31">
        <f>IF(MAXIFS('Payments Log'!N:N, 'Payments Log'!L:L, "Approved", 'Payments Log'!M:M, "Credit", 'Payments Log'!B:B, A169) &gt; MAXIFS('Payments Log'!N:N, 'Payments Log'!L:L, "Approved", 'Payments Log'!M:M, "Virtual Credit", 'Payments Log'!B:B, A169), 0, SUMIFS('Payments Log'!D:D, 'Payments Log'!N:N, MAXIFS('Payments Log'!N:N, 'Payments Log'!L:L, "Approved", 'Payments Log'!M:M, "Virtual Credit", 'Payments Log'!B:B, A169)))</f>
        <v>0</v>
      </c>
      <c r="DX169" s="33">
        <f t="shared" si="6"/>
        <v>-993122</v>
      </c>
      <c r="DY169" s="33">
        <f t="shared" si="7"/>
        <v>-311790.25</v>
      </c>
      <c r="DZ169" s="33">
        <f t="shared" si="8"/>
        <v>-311790.25</v>
      </c>
      <c r="EA169" s="25" t="str">
        <f>(Sheet1!N169)</f>
        <v>LAXMI MOTORS- DEORIA(GAD)</v>
      </c>
      <c r="EB169" s="25" t="str">
        <f>(Sheet1!O169)</f>
        <v>1B-m4X6iF3jRLf0ddVMd8f7C-8pwyVJ8yhSFcm_mYOvk</v>
      </c>
      <c r="EC169" s="26" t="str">
        <f>(Sheet1!P169)</f>
        <v>Dealer</v>
      </c>
      <c r="ED169" s="34" t="s">
        <v>13</v>
      </c>
    </row>
    <row r="170">
      <c r="A170" s="25" t="str">
        <f>(Sheet1!A170)</f>
        <v>13Q6lXJAgG-rKIYYEKfXUKjvucEdoR4-WM0JvV0evp2A</v>
      </c>
      <c r="B170" s="25" t="str">
        <f>(Sheet1!B170)</f>
        <v>PREMA HONDA-MAHENDRU</v>
      </c>
      <c r="C170" s="30" t="s">
        <v>13</v>
      </c>
      <c r="D170" s="30" t="s">
        <v>72</v>
      </c>
      <c r="E170" s="30" t="s">
        <v>3820</v>
      </c>
      <c r="F170" s="31">
        <v>205.0</v>
      </c>
      <c r="G170" s="32" t="s">
        <v>3818</v>
      </c>
      <c r="H170" s="31">
        <v>100.0</v>
      </c>
      <c r="I170" s="33">
        <f>'Old Balance Sheet'!A170 + 'ACPL Calculations - 1.0'!A170 + 'ACPL Calculations - 2.0'!A170</f>
        <v>0</v>
      </c>
      <c r="J170" s="30" t="s">
        <v>3820</v>
      </c>
      <c r="K170" s="31">
        <v>205.0</v>
      </c>
      <c r="L170" s="32" t="s">
        <v>3818</v>
      </c>
      <c r="M170" s="31">
        <v>100.0</v>
      </c>
      <c r="N170" s="33">
        <f>'Old Balance Sheet'!B170 + 'ACPL Calculations - 1.0'!B170 + 'ACPL Calculations - 2.0'!B170</f>
        <v>0</v>
      </c>
      <c r="O170" s="30" t="s">
        <v>3820</v>
      </c>
      <c r="P170" s="31">
        <v>290.0</v>
      </c>
      <c r="Q170" s="32" t="s">
        <v>3818</v>
      </c>
      <c r="R170" s="31">
        <v>100.0</v>
      </c>
      <c r="S170" s="33">
        <f>'Old Balance Sheet'!C170 + 'ACPL Calculations - 1.0'!C170 + 'ACPL Calculations - 2.0'!C170</f>
        <v>12</v>
      </c>
      <c r="T170" s="30" t="s">
        <v>3820</v>
      </c>
      <c r="U170" s="31">
        <v>375.0</v>
      </c>
      <c r="V170" s="32" t="s">
        <v>3818</v>
      </c>
      <c r="W170" s="31">
        <v>100.0</v>
      </c>
      <c r="X170" s="33">
        <f>'Old Balance Sheet'!D170 + 'ACPL Calculations - 1.0'!D170 + 'ACPL Calculations - 2.0'!D170</f>
        <v>0</v>
      </c>
      <c r="Y170" s="30" t="s">
        <v>3820</v>
      </c>
      <c r="Z170" s="31">
        <v>460.0</v>
      </c>
      <c r="AA170" s="32" t="s">
        <v>3818</v>
      </c>
      <c r="AB170" s="31">
        <v>100.0</v>
      </c>
      <c r="AC170" s="33">
        <f>'Old Balance Sheet'!E170 + 'ACPL Calculations - 1.0'!E170 + 'ACPL Calculations - 2.0'!E170</f>
        <v>0</v>
      </c>
      <c r="AD170" s="30" t="s">
        <v>3820</v>
      </c>
      <c r="AE170" s="34">
        <v>838.99</v>
      </c>
      <c r="AF170" s="32" t="s">
        <v>3818</v>
      </c>
      <c r="AG170" s="31">
        <v>100.0</v>
      </c>
      <c r="AH170" s="33">
        <f>'Old Balance Sheet'!F170 + 'ACPL Calculations - 1.0'!F170 + 'ACPL Calculations - 2.0'!F170</f>
        <v>0</v>
      </c>
      <c r="AI170" s="30" t="s">
        <v>3820</v>
      </c>
      <c r="AJ170" s="31">
        <v>375.0</v>
      </c>
      <c r="AK170" s="32" t="s">
        <v>3818</v>
      </c>
      <c r="AL170" s="31">
        <v>100.0</v>
      </c>
      <c r="AM170" s="33">
        <f>'Old Balance Sheet'!G170 + 'ACPL Calculations - 1.0'!G170 + 'ACPL Calculations - 2.0'!G170</f>
        <v>0</v>
      </c>
      <c r="AN170" s="30" t="s">
        <v>3820</v>
      </c>
      <c r="AO170" s="31">
        <v>290.0</v>
      </c>
      <c r="AP170" s="32" t="s">
        <v>3818</v>
      </c>
      <c r="AQ170" s="31">
        <v>100.0</v>
      </c>
      <c r="AR170" s="33">
        <f>'Old Balance Sheet'!H170 + 'ACPL Calculations - 1.0'!H170 + 'ACPL Calculations - 2.0'!H170</f>
        <v>0</v>
      </c>
      <c r="AS170" s="30" t="s">
        <v>3819</v>
      </c>
      <c r="AT170" s="31">
        <v>838.99</v>
      </c>
      <c r="AU170" s="32" t="s">
        <v>3818</v>
      </c>
      <c r="AV170" s="31">
        <v>100.0</v>
      </c>
      <c r="AW170" s="33">
        <f>'Old Balance Sheet'!I170 + 'ACPL Calculations - 1.0'!I170 + 'ACPL Calculations - 2.0'!I170</f>
        <v>0</v>
      </c>
      <c r="AX170" s="30" t="s">
        <v>3820</v>
      </c>
      <c r="AY170" s="31">
        <v>290.0</v>
      </c>
      <c r="AZ170" s="32" t="s">
        <v>3818</v>
      </c>
      <c r="BA170" s="31">
        <v>100.0</v>
      </c>
      <c r="BB170" s="33">
        <f>'Old Balance Sheet'!J170 + 'ACPL Calculations - 1.0'!J170 + 'ACPL Calculations - 2.0'!J170</f>
        <v>0</v>
      </c>
      <c r="BC170" s="30" t="s">
        <v>3820</v>
      </c>
      <c r="BD170" s="31">
        <v>205.0</v>
      </c>
      <c r="BE170" s="32" t="s">
        <v>3818</v>
      </c>
      <c r="BF170" s="31">
        <v>100.0</v>
      </c>
      <c r="BG170" s="33">
        <f>'Old Balance Sheet'!K170 + 'ACPL Calculations - 1.0'!K170 + 'ACPL Calculations - 2.0'!K170</f>
        <v>0</v>
      </c>
      <c r="BH170" s="30" t="s">
        <v>3820</v>
      </c>
      <c r="BI170" s="31">
        <v>205.0</v>
      </c>
      <c r="BJ170" s="32" t="s">
        <v>3818</v>
      </c>
      <c r="BK170" s="31">
        <v>100.0</v>
      </c>
      <c r="BL170" s="33">
        <f>'Old Balance Sheet'!L170 + 'ACPL Calculations - 1.0'!L170 + 'ACPL Calculations - 2.0'!L170</f>
        <v>0</v>
      </c>
      <c r="BM170" s="33"/>
      <c r="BN170" s="33"/>
      <c r="BO170" s="33"/>
      <c r="BP170" s="33"/>
      <c r="BQ170" s="33"/>
      <c r="BR170" s="33"/>
      <c r="BS170" s="33"/>
      <c r="BT170" s="33"/>
      <c r="BU170" s="33"/>
      <c r="BV170" s="33"/>
      <c r="BW170" s="33"/>
      <c r="BX170" s="33"/>
      <c r="BY170" s="33"/>
      <c r="BZ170" s="33"/>
      <c r="CA170" s="33"/>
      <c r="CB170" s="33"/>
      <c r="CC170" s="33"/>
      <c r="CD170" s="33"/>
      <c r="CE170" s="33"/>
      <c r="CF170" s="33"/>
      <c r="CG170" s="33"/>
      <c r="CH170" s="33"/>
      <c r="CI170" s="33"/>
      <c r="CJ170" s="33"/>
      <c r="CK170" s="33"/>
      <c r="CL170" s="33">
        <f t="shared" si="1"/>
        <v>12</v>
      </c>
      <c r="CM170" s="33">
        <f>'Old Balance Sheet'!R170 + 'ACPL Calculations - 1.0'!S170 + 'ACPL Calculations - 2.0'!S170</f>
        <v>5304</v>
      </c>
      <c r="CN170" s="33">
        <f>'Old Balance Sheet'!S170 + 'ACPL Calculations - 1.0'!T170 + 'ACPL Calculations - 2.0'!T170</f>
        <v>2460</v>
      </c>
      <c r="CO170" s="33">
        <f t="shared" si="2"/>
        <v>3269.04</v>
      </c>
      <c r="CP170" s="33">
        <f>'Old Balance Sheet'!T170 + 'ACPL Calculations - 1.0'!V170 + 'ACPL Calculations - 2.0'!V170</f>
        <v>0</v>
      </c>
      <c r="CQ170" s="33">
        <f>'Old Balance Sheet'!U170 + 'ACPL Calculations - 1.0'!W170 + 'ACPL Calculations - 2.0'!W170</f>
        <v>0</v>
      </c>
      <c r="CR170" s="33">
        <f>'Old Balance Sheet'!V170 + 'ACPL Calculations - 1.0'!X170 + 'ACPL Calculations - 2.0'!X170</f>
        <v>809.04</v>
      </c>
      <c r="CS170" s="33">
        <f t="shared" si="3"/>
        <v>809.04</v>
      </c>
      <c r="CT170" s="35"/>
      <c r="CU170" s="35"/>
      <c r="CV170" s="35"/>
      <c r="CW170" s="36">
        <f>'Old Balance Sheet'!W170 + 'ACPL Calculations - 1.0'!Z170 + 'ACPL Calculations - 2.0'!Z170</f>
        <v>0</v>
      </c>
      <c r="CX170" s="36">
        <f>'Old Balance Sheet'!X170 + 'ACPL Calculations - 1.0'!AA170 + 'ACPL Calculations - 2.0'!AA170</f>
        <v>0</v>
      </c>
      <c r="CY170" s="37">
        <v>0.0</v>
      </c>
      <c r="CZ170" s="38">
        <f>'Old Balance Sheet'!Y170 + 'ACPL Calculations - 1.0'!AB170 + 'ACPL Calculations - 2.0'!AB170</f>
        <v>0</v>
      </c>
      <c r="DA170" s="38">
        <f>'Old Balance Sheet'!Z170 + 'ACPL Calculations - 1.0'!AC170 + 'ACPL Calculations - 2.0'!AC170</f>
        <v>0</v>
      </c>
      <c r="DB170" s="38">
        <f>'Old Balance Sheet'!AA170 + 'ACPL Calculations - 1.0'!AD170 + 'ACPL Calculations - 2.0'!AD170</f>
        <v>0</v>
      </c>
      <c r="DC170" s="38">
        <f>'Old Balance Sheet'!AB170 + 'ACPL Calculations - 1.0'!AE170 + 'ACPL Calculations - 2.0'!AE170</f>
        <v>0</v>
      </c>
      <c r="DD170" s="38">
        <f t="shared" si="4"/>
        <v>0</v>
      </c>
      <c r="DE170" s="33">
        <f t="shared" si="5"/>
        <v>0</v>
      </c>
      <c r="DF170" s="35">
        <v>0.0</v>
      </c>
      <c r="DG170" s="35">
        <v>0.0</v>
      </c>
      <c r="DH170" s="35">
        <v>0.0</v>
      </c>
      <c r="DI170" s="35">
        <v>0.0</v>
      </c>
      <c r="DJ170" s="35">
        <v>0.0</v>
      </c>
      <c r="DK170" s="35">
        <v>0.0</v>
      </c>
      <c r="DL170" s="35">
        <v>0.0</v>
      </c>
      <c r="DM170" s="35">
        <v>0.0</v>
      </c>
      <c r="DN170" s="31">
        <v>0.0</v>
      </c>
      <c r="DO170" s="31">
        <v>0.0</v>
      </c>
      <c r="DP170" s="31">
        <v>0.0</v>
      </c>
      <c r="DQ170" s="31">
        <v>0.0</v>
      </c>
      <c r="DR170" s="31">
        <v>0.0</v>
      </c>
      <c r="DS170" s="31">
        <v>0.0</v>
      </c>
      <c r="DT170" s="31">
        <f>'Old Balance Sheet'!AC170</f>
        <v>0</v>
      </c>
      <c r="DU170" s="31">
        <f>DT170 + SUMIFS('Payments Log'!D:D, 'Payments Log'!B:B, A170, 'Payments Log'!L:L, "Approved", 'Payments Log'!M:M, "Credit") + 'Old Balance Sheet'!AD170 - 'Old Balance Sheet'!AC170</f>
        <v>0</v>
      </c>
      <c r="DV170" s="31">
        <f>SUMIFS('Payments Log'!D:D, 'Payments Log'!B:B, A170, 'Payments Log'!L:L, "Approved", 'Payments Log'!M:M, "Adjustment Credit") - SUMIFS('Payments Log'!D:D, 'Payments Log'!B:B, A170, 'Payments Log'!L:L, "Approved", 'Payments Log'!M:M, "Adjustment Debit") + 'Old Balance Sheet'!AE170</f>
        <v>0</v>
      </c>
      <c r="DW170" s="31">
        <f>IF(MAXIFS('Payments Log'!N:N, 'Payments Log'!L:L, "Approved", 'Payments Log'!M:M, "Credit", 'Payments Log'!B:B, A170) &gt; MAXIFS('Payments Log'!N:N, 'Payments Log'!L:L, "Approved", 'Payments Log'!M:M, "Virtual Credit", 'Payments Log'!B:B, A170), 0, SUMIFS('Payments Log'!D:D, 'Payments Log'!N:N, MAXIFS('Payments Log'!N:N, 'Payments Log'!L:L, "Approved", 'Payments Log'!M:M, "Virtual Credit", 'Payments Log'!B:B, A170)))</f>
        <v>0</v>
      </c>
      <c r="DX170" s="33">
        <f t="shared" si="6"/>
        <v>0</v>
      </c>
      <c r="DY170" s="33">
        <f t="shared" si="7"/>
        <v>0</v>
      </c>
      <c r="DZ170" s="33">
        <f t="shared" si="8"/>
        <v>0</v>
      </c>
      <c r="EA170" s="25" t="str">
        <f>(Sheet1!N170)</f>
        <v>PREMA HONDA- BIHAR(SN)</v>
      </c>
      <c r="EB170" s="25" t="str">
        <f>(Sheet1!O170)</f>
        <v>1eWL9qs4gF2hDOrao950bttsqaQjvqYNOwOArak2wAWY</v>
      </c>
      <c r="EC170" s="26" t="str">
        <f>(Sheet1!P170)</f>
        <v>Sub Dealer</v>
      </c>
      <c r="ED170" s="34" t="s">
        <v>13</v>
      </c>
    </row>
    <row r="171">
      <c r="A171" s="25" t="str">
        <f>(Sheet1!A171)</f>
        <v>1kKJQREB-gMUjjfvkNJBZGf8b6FppISEs2byO4uZriFc</v>
      </c>
      <c r="B171" s="25" t="str">
        <f>(Sheet1!B171)</f>
        <v>Navya Motors - Gorakhpur</v>
      </c>
      <c r="C171" s="30" t="s">
        <v>13</v>
      </c>
      <c r="D171" s="30" t="s">
        <v>72</v>
      </c>
      <c r="E171" s="30" t="s">
        <v>3820</v>
      </c>
      <c r="F171" s="31">
        <v>160.0</v>
      </c>
      <c r="G171" s="32" t="s">
        <v>3818</v>
      </c>
      <c r="H171" s="31">
        <v>100.0</v>
      </c>
      <c r="I171" s="33">
        <f>'Old Balance Sheet'!A171 + 'ACPL Calculations - 1.0'!A171 + 'ACPL Calculations - 2.0'!A171</f>
        <v>5367</v>
      </c>
      <c r="J171" s="30" t="s">
        <v>3820</v>
      </c>
      <c r="K171" s="31">
        <v>205.0</v>
      </c>
      <c r="L171" s="32" t="s">
        <v>3818</v>
      </c>
      <c r="M171" s="31">
        <v>100.0</v>
      </c>
      <c r="N171" s="33">
        <f>'Old Balance Sheet'!B171 + 'ACPL Calculations - 1.0'!B171 + 'ACPL Calculations - 2.0'!B171</f>
        <v>0</v>
      </c>
      <c r="O171" s="30" t="s">
        <v>3820</v>
      </c>
      <c r="P171" s="31">
        <v>290.0</v>
      </c>
      <c r="Q171" s="32" t="s">
        <v>3818</v>
      </c>
      <c r="R171" s="31">
        <v>100.0</v>
      </c>
      <c r="S171" s="33">
        <f>'Old Balance Sheet'!C171 + 'ACPL Calculations - 1.0'!C171 + 'ACPL Calculations - 2.0'!C171</f>
        <v>0</v>
      </c>
      <c r="T171" s="30" t="s">
        <v>3820</v>
      </c>
      <c r="U171" s="31">
        <v>375.0</v>
      </c>
      <c r="V171" s="32" t="s">
        <v>3818</v>
      </c>
      <c r="W171" s="31">
        <v>100.0</v>
      </c>
      <c r="X171" s="33">
        <f>'Old Balance Sheet'!D171 + 'ACPL Calculations - 1.0'!D171 + 'ACPL Calculations - 2.0'!D171</f>
        <v>0</v>
      </c>
      <c r="Y171" s="30" t="s">
        <v>3820</v>
      </c>
      <c r="Z171" s="31">
        <v>460.0</v>
      </c>
      <c r="AA171" s="32" t="s">
        <v>3818</v>
      </c>
      <c r="AB171" s="31">
        <v>100.0</v>
      </c>
      <c r="AC171" s="33">
        <f>'Old Balance Sheet'!E171 + 'ACPL Calculations - 1.0'!E171 + 'ACPL Calculations - 2.0'!E171</f>
        <v>0</v>
      </c>
      <c r="AD171" s="30" t="s">
        <v>3820</v>
      </c>
      <c r="AE171" s="34">
        <v>838.99</v>
      </c>
      <c r="AF171" s="32" t="s">
        <v>3818</v>
      </c>
      <c r="AG171" s="31">
        <v>100.0</v>
      </c>
      <c r="AH171" s="33">
        <f>'Old Balance Sheet'!F171 + 'ACPL Calculations - 1.0'!F171 + 'ACPL Calculations - 2.0'!F171</f>
        <v>0</v>
      </c>
      <c r="AI171" s="30" t="s">
        <v>3820</v>
      </c>
      <c r="AJ171" s="31">
        <v>375.0</v>
      </c>
      <c r="AK171" s="32" t="s">
        <v>3818</v>
      </c>
      <c r="AL171" s="31">
        <v>100.0</v>
      </c>
      <c r="AM171" s="33">
        <f>'Old Balance Sheet'!G171 + 'ACPL Calculations - 1.0'!G171 + 'ACPL Calculations - 2.0'!G171</f>
        <v>0</v>
      </c>
      <c r="AN171" s="30" t="s">
        <v>3820</v>
      </c>
      <c r="AO171" s="31">
        <v>290.0</v>
      </c>
      <c r="AP171" s="32" t="s">
        <v>3818</v>
      </c>
      <c r="AQ171" s="31">
        <v>100.0</v>
      </c>
      <c r="AR171" s="33">
        <f>'Old Balance Sheet'!H171 + 'ACPL Calculations - 1.0'!H171 + 'ACPL Calculations - 2.0'!H171</f>
        <v>0</v>
      </c>
      <c r="AS171" s="30" t="s">
        <v>3819</v>
      </c>
      <c r="AT171" s="31">
        <v>838.99</v>
      </c>
      <c r="AU171" s="32" t="s">
        <v>3818</v>
      </c>
      <c r="AV171" s="31">
        <v>100.0</v>
      </c>
      <c r="AW171" s="33">
        <f>'Old Balance Sheet'!I171 + 'ACPL Calculations - 1.0'!I171 + 'ACPL Calculations - 2.0'!I171</f>
        <v>0</v>
      </c>
      <c r="AX171" s="30" t="s">
        <v>3820</v>
      </c>
      <c r="AY171" s="31">
        <v>290.0</v>
      </c>
      <c r="AZ171" s="32" t="s">
        <v>3818</v>
      </c>
      <c r="BA171" s="31">
        <v>100.0</v>
      </c>
      <c r="BB171" s="33">
        <f>'Old Balance Sheet'!J171 + 'ACPL Calculations - 1.0'!J171 + 'ACPL Calculations - 2.0'!J171</f>
        <v>0</v>
      </c>
      <c r="BC171" s="30" t="s">
        <v>3820</v>
      </c>
      <c r="BD171" s="31">
        <v>205.0</v>
      </c>
      <c r="BE171" s="32" t="s">
        <v>3818</v>
      </c>
      <c r="BF171" s="31">
        <v>100.0</v>
      </c>
      <c r="BG171" s="33">
        <f>'Old Balance Sheet'!K171 + 'ACPL Calculations - 1.0'!K171 + 'ACPL Calculations - 2.0'!K171</f>
        <v>0</v>
      </c>
      <c r="BH171" s="30" t="s">
        <v>3820</v>
      </c>
      <c r="BI171" s="31">
        <v>205.0</v>
      </c>
      <c r="BJ171" s="32" t="s">
        <v>3818</v>
      </c>
      <c r="BK171" s="31">
        <v>100.0</v>
      </c>
      <c r="BL171" s="33">
        <f>'Old Balance Sheet'!L171 + 'ACPL Calculations - 1.0'!L171 + 'ACPL Calculations - 2.0'!L171</f>
        <v>0</v>
      </c>
      <c r="BM171" s="33"/>
      <c r="BN171" s="33"/>
      <c r="BO171" s="33"/>
      <c r="BP171" s="33"/>
      <c r="BQ171" s="33"/>
      <c r="BR171" s="33"/>
      <c r="BS171" s="33"/>
      <c r="BT171" s="33"/>
      <c r="BU171" s="33"/>
      <c r="BV171" s="33"/>
      <c r="BW171" s="33"/>
      <c r="BX171" s="33"/>
      <c r="BY171" s="33"/>
      <c r="BZ171" s="33"/>
      <c r="CA171" s="33"/>
      <c r="CB171" s="33"/>
      <c r="CC171" s="33"/>
      <c r="CD171" s="33"/>
      <c r="CE171" s="33"/>
      <c r="CF171" s="33"/>
      <c r="CG171" s="33"/>
      <c r="CH171" s="33"/>
      <c r="CI171" s="33"/>
      <c r="CJ171" s="33"/>
      <c r="CK171" s="33"/>
      <c r="CL171" s="33">
        <f t="shared" si="1"/>
        <v>5367</v>
      </c>
      <c r="CM171" s="33">
        <f>'Old Balance Sheet'!R171 + 'ACPL Calculations - 1.0'!S171 + 'ACPL Calculations - 2.0'!S171</f>
        <v>2372110</v>
      </c>
      <c r="CN171" s="33">
        <f>'Old Balance Sheet'!S171 + 'ACPL Calculations - 1.0'!T171 + 'ACPL Calculations - 2.0'!T171</f>
        <v>903585</v>
      </c>
      <c r="CO171" s="33">
        <f t="shared" si="2"/>
        <v>1265412.28</v>
      </c>
      <c r="CP171" s="33">
        <f>'Old Balance Sheet'!T171 + 'ACPL Calculations - 1.0'!V171 + 'ACPL Calculations - 2.0'!V171</f>
        <v>0</v>
      </c>
      <c r="CQ171" s="33">
        <f>'Old Balance Sheet'!U171 + 'ACPL Calculations - 1.0'!W171 + 'ACPL Calculations - 2.0'!W171</f>
        <v>0</v>
      </c>
      <c r="CR171" s="33">
        <f>'Old Balance Sheet'!V171 + 'ACPL Calculations - 1.0'!X171 + 'ACPL Calculations - 2.0'!X171</f>
        <v>361827.28</v>
      </c>
      <c r="CS171" s="33">
        <f t="shared" si="3"/>
        <v>361827.28</v>
      </c>
      <c r="CT171" s="35"/>
      <c r="CU171" s="35"/>
      <c r="CV171" s="35"/>
      <c r="CW171" s="36">
        <f>'Old Balance Sheet'!W171 + 'ACPL Calculations - 1.0'!Z171 + 'ACPL Calculations - 2.0'!Z171</f>
        <v>2372110</v>
      </c>
      <c r="CX171" s="36">
        <f>'Old Balance Sheet'!X171 + 'ACPL Calculations - 1.0'!AA171 + 'ACPL Calculations - 2.0'!AA171</f>
        <v>1315677.81</v>
      </c>
      <c r="CY171" s="37">
        <v>0.0</v>
      </c>
      <c r="CZ171" s="38">
        <f>'Old Balance Sheet'!Y171 + 'ACPL Calculations - 1.0'!AB171 + 'ACPL Calculations - 2.0'!AB171</f>
        <v>1103317.89</v>
      </c>
      <c r="DA171" s="38">
        <f>'Old Balance Sheet'!Z171 + 'ACPL Calculations - 1.0'!AC171 + 'ACPL Calculations - 2.0'!AC171</f>
        <v>0</v>
      </c>
      <c r="DB171" s="38">
        <f>'Old Balance Sheet'!AA171 + 'ACPL Calculations - 1.0'!AD171 + 'ACPL Calculations - 2.0'!AD171</f>
        <v>50265.53</v>
      </c>
      <c r="DC171" s="38">
        <f>'Old Balance Sheet'!AB171 + 'ACPL Calculations - 1.0'!AE171 + 'ACPL Calculations - 2.0'!AE171</f>
        <v>1056432.19</v>
      </c>
      <c r="DD171" s="38">
        <f t="shared" si="4"/>
        <v>1056432.19</v>
      </c>
      <c r="DE171" s="33">
        <f t="shared" si="5"/>
        <v>1056432.19</v>
      </c>
      <c r="DF171" s="35">
        <v>0.0</v>
      </c>
      <c r="DG171" s="35">
        <v>0.0</v>
      </c>
      <c r="DH171" s="35">
        <v>0.0</v>
      </c>
      <c r="DI171" s="35">
        <v>0.0</v>
      </c>
      <c r="DJ171" s="35">
        <v>0.0</v>
      </c>
      <c r="DK171" s="35">
        <v>0.0</v>
      </c>
      <c r="DL171" s="35">
        <v>0.0</v>
      </c>
      <c r="DM171" s="35">
        <v>0.0</v>
      </c>
      <c r="DN171" s="31">
        <v>0.0</v>
      </c>
      <c r="DO171" s="31">
        <v>0.0</v>
      </c>
      <c r="DP171" s="31">
        <v>0.0</v>
      </c>
      <c r="DQ171" s="31">
        <v>0.0</v>
      </c>
      <c r="DR171" s="31">
        <v>0.0</v>
      </c>
      <c r="DS171" s="31">
        <v>0.0</v>
      </c>
      <c r="DT171" s="31">
        <f>'Old Balance Sheet'!AC171</f>
        <v>0</v>
      </c>
      <c r="DU171" s="31">
        <f>DT171 + SUMIFS('Payments Log'!D:D, 'Payments Log'!B:B, A171, 'Payments Log'!L:L, "Approved", 'Payments Log'!M:M, "Credit") + 'Old Balance Sheet'!AD171 - 'Old Balance Sheet'!AC171</f>
        <v>2475836</v>
      </c>
      <c r="DV171" s="31">
        <f>SUMIFS('Payments Log'!D:D, 'Payments Log'!B:B, A171, 'Payments Log'!L:L, "Approved", 'Payments Log'!M:M, "Adjustment Credit") - SUMIFS('Payments Log'!D:D, 'Payments Log'!B:B, A171, 'Payments Log'!L:L, "Approved", 'Payments Log'!M:M, "Adjustment Debit") + 'Old Balance Sheet'!AE171</f>
        <v>0</v>
      </c>
      <c r="DW171" s="31">
        <f>IF(MAXIFS('Payments Log'!N:N, 'Payments Log'!L:L, "Approved", 'Payments Log'!M:M, "Credit", 'Payments Log'!B:B, A171) &gt; MAXIFS('Payments Log'!N:N, 'Payments Log'!L:L, "Approved", 'Payments Log'!M:M, "Virtual Credit", 'Payments Log'!B:B, A171), 0, SUMIFS('Payments Log'!D:D, 'Payments Log'!N:N, MAXIFS('Payments Log'!N:N, 'Payments Log'!L:L, "Approved", 'Payments Log'!M:M, "Virtual Credit", 'Payments Log'!B:B, A171)))</f>
        <v>0</v>
      </c>
      <c r="DX171" s="33">
        <f t="shared" si="6"/>
        <v>103726</v>
      </c>
      <c r="DY171" s="33">
        <f t="shared" si="7"/>
        <v>1160158.19</v>
      </c>
      <c r="DZ171" s="33">
        <f t="shared" si="8"/>
        <v>1160158.19</v>
      </c>
      <c r="EA171" s="25" t="str">
        <f>(Sheet1!N171)</f>
        <v>Navya Motors - Gorakhpur</v>
      </c>
      <c r="EB171" s="25" t="str">
        <f>(Sheet1!O171)</f>
        <v>1kKJQREB-gMUjjfvkNJBZGf8b6FppISEs2byO4uZriFc</v>
      </c>
      <c r="EC171" s="26" t="str">
        <f>(Sheet1!P171)</f>
        <v>Dealer</v>
      </c>
      <c r="ED171" s="34" t="s">
        <v>13</v>
      </c>
    </row>
    <row r="172">
      <c r="A172" s="25" t="str">
        <f>(Sheet1!A172)</f>
        <v>1unvzt24PL_Fl_Wbl-5lHzYEhCzCxGGtlN9oHLIhnpPw</v>
      </c>
      <c r="B172" s="25" t="str">
        <f>(Sheet1!B172)</f>
        <v>Srivastava Automobiles - Lalitpur</v>
      </c>
      <c r="C172" s="30" t="s">
        <v>13</v>
      </c>
      <c r="D172" s="30" t="s">
        <v>72</v>
      </c>
      <c r="E172" s="30" t="s">
        <v>3820</v>
      </c>
      <c r="F172" s="31">
        <v>205.0</v>
      </c>
      <c r="G172" s="32" t="s">
        <v>3818</v>
      </c>
      <c r="H172" s="31">
        <v>100.0</v>
      </c>
      <c r="I172" s="33">
        <f>'Old Balance Sheet'!A172 + 'ACPL Calculations - 1.0'!A172 + 'ACPL Calculations - 2.0'!A172</f>
        <v>0</v>
      </c>
      <c r="J172" s="30" t="s">
        <v>3820</v>
      </c>
      <c r="K172" s="31">
        <v>205.0</v>
      </c>
      <c r="L172" s="32" t="s">
        <v>3818</v>
      </c>
      <c r="M172" s="31">
        <v>100.0</v>
      </c>
      <c r="N172" s="33">
        <f>'Old Balance Sheet'!B172 + 'ACPL Calculations - 1.0'!B172 + 'ACPL Calculations - 2.0'!B172</f>
        <v>0</v>
      </c>
      <c r="O172" s="30" t="s">
        <v>3820</v>
      </c>
      <c r="P172" s="31">
        <v>290.0</v>
      </c>
      <c r="Q172" s="32" t="s">
        <v>3818</v>
      </c>
      <c r="R172" s="31">
        <v>100.0</v>
      </c>
      <c r="S172" s="33">
        <f>'Old Balance Sheet'!C172 + 'ACPL Calculations - 1.0'!C172 + 'ACPL Calculations - 2.0'!C172</f>
        <v>0</v>
      </c>
      <c r="T172" s="30" t="s">
        <v>3820</v>
      </c>
      <c r="U172" s="31">
        <v>375.0</v>
      </c>
      <c r="V172" s="32" t="s">
        <v>3818</v>
      </c>
      <c r="W172" s="31">
        <v>100.0</v>
      </c>
      <c r="X172" s="33">
        <f>'Old Balance Sheet'!D172 + 'ACPL Calculations - 1.0'!D172 + 'ACPL Calculations - 2.0'!D172</f>
        <v>0</v>
      </c>
      <c r="Y172" s="30" t="s">
        <v>3820</v>
      </c>
      <c r="Z172" s="31">
        <v>460.0</v>
      </c>
      <c r="AA172" s="32" t="s">
        <v>3818</v>
      </c>
      <c r="AB172" s="31">
        <v>100.0</v>
      </c>
      <c r="AC172" s="33">
        <f>'Old Balance Sheet'!E172 + 'ACPL Calculations - 1.0'!E172 + 'ACPL Calculations - 2.0'!E172</f>
        <v>0</v>
      </c>
      <c r="AD172" s="30" t="s">
        <v>3820</v>
      </c>
      <c r="AE172" s="34">
        <v>838.99</v>
      </c>
      <c r="AF172" s="32" t="s">
        <v>3818</v>
      </c>
      <c r="AG172" s="31">
        <v>100.0</v>
      </c>
      <c r="AH172" s="33">
        <f>'Old Balance Sheet'!F172 + 'ACPL Calculations - 1.0'!F172 + 'ACPL Calculations - 2.0'!F172</f>
        <v>0</v>
      </c>
      <c r="AI172" s="30" t="s">
        <v>3820</v>
      </c>
      <c r="AJ172" s="31">
        <v>375.0</v>
      </c>
      <c r="AK172" s="32" t="s">
        <v>3818</v>
      </c>
      <c r="AL172" s="31">
        <v>100.0</v>
      </c>
      <c r="AM172" s="33">
        <f>'Old Balance Sheet'!G172 + 'ACPL Calculations - 1.0'!G172 + 'ACPL Calculations - 2.0'!G172</f>
        <v>0</v>
      </c>
      <c r="AN172" s="30" t="s">
        <v>3820</v>
      </c>
      <c r="AO172" s="31">
        <v>290.0</v>
      </c>
      <c r="AP172" s="32" t="s">
        <v>3818</v>
      </c>
      <c r="AQ172" s="31">
        <v>100.0</v>
      </c>
      <c r="AR172" s="33">
        <f>'Old Balance Sheet'!H172 + 'ACPL Calculations - 1.0'!H172 + 'ACPL Calculations - 2.0'!H172</f>
        <v>0</v>
      </c>
      <c r="AS172" s="30" t="s">
        <v>3819</v>
      </c>
      <c r="AT172" s="31">
        <v>838.99</v>
      </c>
      <c r="AU172" s="32" t="s">
        <v>3818</v>
      </c>
      <c r="AV172" s="31">
        <v>100.0</v>
      </c>
      <c r="AW172" s="33">
        <f>'Old Balance Sheet'!I172 + 'ACPL Calculations - 1.0'!I172 + 'ACPL Calculations - 2.0'!I172</f>
        <v>0</v>
      </c>
      <c r="AX172" s="30" t="s">
        <v>3820</v>
      </c>
      <c r="AY172" s="31">
        <v>290.0</v>
      </c>
      <c r="AZ172" s="32" t="s">
        <v>3818</v>
      </c>
      <c r="BA172" s="31">
        <v>100.0</v>
      </c>
      <c r="BB172" s="33">
        <f>'Old Balance Sheet'!J172 + 'ACPL Calculations - 1.0'!J172 + 'ACPL Calculations - 2.0'!J172</f>
        <v>0</v>
      </c>
      <c r="BC172" s="30" t="s">
        <v>3820</v>
      </c>
      <c r="BD172" s="31">
        <v>205.0</v>
      </c>
      <c r="BE172" s="32" t="s">
        <v>3818</v>
      </c>
      <c r="BF172" s="31">
        <v>100.0</v>
      </c>
      <c r="BG172" s="33">
        <f>'Old Balance Sheet'!K172 + 'ACPL Calculations - 1.0'!K172 + 'ACPL Calculations - 2.0'!K172</f>
        <v>0</v>
      </c>
      <c r="BH172" s="30" t="s">
        <v>3820</v>
      </c>
      <c r="BI172" s="31">
        <v>205.0</v>
      </c>
      <c r="BJ172" s="32" t="s">
        <v>3818</v>
      </c>
      <c r="BK172" s="31">
        <v>100.0</v>
      </c>
      <c r="BL172" s="33">
        <f>'Old Balance Sheet'!L172 + 'ACPL Calculations - 1.0'!L172 + 'ACPL Calculations - 2.0'!L172</f>
        <v>0</v>
      </c>
      <c r="BM172" s="33"/>
      <c r="BN172" s="33"/>
      <c r="BO172" s="33"/>
      <c r="BP172" s="33"/>
      <c r="BQ172" s="33"/>
      <c r="BR172" s="33"/>
      <c r="BS172" s="33"/>
      <c r="BT172" s="33"/>
      <c r="BU172" s="33"/>
      <c r="BV172" s="33"/>
      <c r="BW172" s="33"/>
      <c r="BX172" s="33"/>
      <c r="BY172" s="33"/>
      <c r="BZ172" s="33"/>
      <c r="CA172" s="33"/>
      <c r="CB172" s="33"/>
      <c r="CC172" s="33"/>
      <c r="CD172" s="33"/>
      <c r="CE172" s="33"/>
      <c r="CF172" s="33"/>
      <c r="CG172" s="33"/>
      <c r="CH172" s="33"/>
      <c r="CI172" s="33"/>
      <c r="CJ172" s="33"/>
      <c r="CK172" s="33"/>
      <c r="CL172" s="33">
        <f t="shared" si="1"/>
        <v>0</v>
      </c>
      <c r="CM172" s="33">
        <f>'Old Balance Sheet'!R172 + 'ACPL Calculations - 1.0'!S172 + 'ACPL Calculations - 2.0'!S172</f>
        <v>0</v>
      </c>
      <c r="CN172" s="33">
        <f>'Old Balance Sheet'!S172 + 'ACPL Calculations - 1.0'!T172 + 'ACPL Calculations - 2.0'!T172</f>
        <v>0</v>
      </c>
      <c r="CO172" s="33">
        <f t="shared" si="2"/>
        <v>0</v>
      </c>
      <c r="CP172" s="33">
        <f>'Old Balance Sheet'!T172 + 'ACPL Calculations - 1.0'!V172 + 'ACPL Calculations - 2.0'!V172</f>
        <v>0</v>
      </c>
      <c r="CQ172" s="33">
        <f>'Old Balance Sheet'!U172 + 'ACPL Calculations - 1.0'!W172 + 'ACPL Calculations - 2.0'!W172</f>
        <v>0</v>
      </c>
      <c r="CR172" s="33">
        <f>'Old Balance Sheet'!V172 + 'ACPL Calculations - 1.0'!X172 + 'ACPL Calculations - 2.0'!X172</f>
        <v>0</v>
      </c>
      <c r="CS172" s="33">
        <f t="shared" si="3"/>
        <v>0</v>
      </c>
      <c r="CT172" s="35"/>
      <c r="CU172" s="35"/>
      <c r="CV172" s="35"/>
      <c r="CW172" s="36">
        <f>'Old Balance Sheet'!W172 + 'ACPL Calculations - 1.0'!Z172 + 'ACPL Calculations - 2.0'!Z172</f>
        <v>0</v>
      </c>
      <c r="CX172" s="36">
        <f>'Old Balance Sheet'!X172 + 'ACPL Calculations - 1.0'!AA172 + 'ACPL Calculations - 2.0'!AA172</f>
        <v>0</v>
      </c>
      <c r="CY172" s="37">
        <v>0.0</v>
      </c>
      <c r="CZ172" s="38">
        <f>'Old Balance Sheet'!Y172 + 'ACPL Calculations - 1.0'!AB172 + 'ACPL Calculations - 2.0'!AB172</f>
        <v>0</v>
      </c>
      <c r="DA172" s="38">
        <f>'Old Balance Sheet'!Z172 + 'ACPL Calculations - 1.0'!AC172 + 'ACPL Calculations - 2.0'!AC172</f>
        <v>0</v>
      </c>
      <c r="DB172" s="38">
        <f>'Old Balance Sheet'!AA172 + 'ACPL Calculations - 1.0'!AD172 + 'ACPL Calculations - 2.0'!AD172</f>
        <v>0</v>
      </c>
      <c r="DC172" s="38">
        <f>'Old Balance Sheet'!AB172 + 'ACPL Calculations - 1.0'!AE172 + 'ACPL Calculations - 2.0'!AE172</f>
        <v>0</v>
      </c>
      <c r="DD172" s="38">
        <f t="shared" si="4"/>
        <v>0</v>
      </c>
      <c r="DE172" s="33">
        <f t="shared" si="5"/>
        <v>0</v>
      </c>
      <c r="DF172" s="35">
        <v>0.0</v>
      </c>
      <c r="DG172" s="35">
        <v>0.0</v>
      </c>
      <c r="DH172" s="35">
        <v>0.0</v>
      </c>
      <c r="DI172" s="35">
        <v>0.0</v>
      </c>
      <c r="DJ172" s="35">
        <v>0.0</v>
      </c>
      <c r="DK172" s="35">
        <v>0.0</v>
      </c>
      <c r="DL172" s="35">
        <v>0.0</v>
      </c>
      <c r="DM172" s="35">
        <v>0.0</v>
      </c>
      <c r="DN172" s="31">
        <v>0.0</v>
      </c>
      <c r="DO172" s="31">
        <v>0.0</v>
      </c>
      <c r="DP172" s="31">
        <v>0.0</v>
      </c>
      <c r="DQ172" s="31">
        <v>0.0</v>
      </c>
      <c r="DR172" s="31">
        <v>0.0</v>
      </c>
      <c r="DS172" s="31">
        <v>0.0</v>
      </c>
      <c r="DT172" s="31">
        <f>'Old Balance Sheet'!AC172</f>
        <v>0</v>
      </c>
      <c r="DU172" s="31">
        <f>DT172 + SUMIFS('Payments Log'!D:D, 'Payments Log'!B:B, A172, 'Payments Log'!L:L, "Approved", 'Payments Log'!M:M, "Credit") + 'Old Balance Sheet'!AD172 - 'Old Balance Sheet'!AC172</f>
        <v>0</v>
      </c>
      <c r="DV172" s="31">
        <f>SUMIFS('Payments Log'!D:D, 'Payments Log'!B:B, A172, 'Payments Log'!L:L, "Approved", 'Payments Log'!M:M, "Adjustment Credit") - SUMIFS('Payments Log'!D:D, 'Payments Log'!B:B, A172, 'Payments Log'!L:L, "Approved", 'Payments Log'!M:M, "Adjustment Debit") + 'Old Balance Sheet'!AE172</f>
        <v>0</v>
      </c>
      <c r="DW172" s="31">
        <f>IF(MAXIFS('Payments Log'!N:N, 'Payments Log'!L:L, "Approved", 'Payments Log'!M:M, "Credit", 'Payments Log'!B:B, A172) &gt; MAXIFS('Payments Log'!N:N, 'Payments Log'!L:L, "Approved", 'Payments Log'!M:M, "Virtual Credit", 'Payments Log'!B:B, A172), 0, SUMIFS('Payments Log'!D:D, 'Payments Log'!N:N, MAXIFS('Payments Log'!N:N, 'Payments Log'!L:L, "Approved", 'Payments Log'!M:M, "Virtual Credit", 'Payments Log'!B:B, A172)))</f>
        <v>0</v>
      </c>
      <c r="DX172" s="33">
        <f t="shared" si="6"/>
        <v>0</v>
      </c>
      <c r="DY172" s="33">
        <f t="shared" si="7"/>
        <v>0</v>
      </c>
      <c r="DZ172" s="33">
        <f t="shared" si="8"/>
        <v>0</v>
      </c>
      <c r="EA172" s="25" t="str">
        <f>(Sheet1!N172)</f>
        <v>Srivastava Automobiles - Lalitpur</v>
      </c>
      <c r="EB172" s="25" t="str">
        <f>(Sheet1!O172)</f>
        <v>1unvzt24PL_Fl_Wbl-5lHzYEhCzCxGGtlN9oHLIhnpPw</v>
      </c>
      <c r="EC172" s="26" t="str">
        <f>(Sheet1!P172)</f>
        <v>Dealer</v>
      </c>
      <c r="ED172" s="34" t="s">
        <v>13</v>
      </c>
    </row>
    <row r="173">
      <c r="A173" s="25" t="str">
        <f>(Sheet1!A173)</f>
        <v>1_UtGSoyOsljQXvmry7gfXGYwjwEjQbghQQGZebnq45M</v>
      </c>
      <c r="B173" s="25" t="str">
        <f>(Sheet1!B173)</f>
        <v>Modern Auto Agency - Bettiah</v>
      </c>
      <c r="C173" s="30" t="s">
        <v>13</v>
      </c>
      <c r="D173" s="30" t="s">
        <v>72</v>
      </c>
      <c r="E173" s="30" t="s">
        <v>3820</v>
      </c>
      <c r="F173" s="31">
        <v>192.0</v>
      </c>
      <c r="G173" s="32" t="s">
        <v>3818</v>
      </c>
      <c r="H173" s="31">
        <v>100.0</v>
      </c>
      <c r="I173" s="33">
        <f>'Old Balance Sheet'!A173 + 'ACPL Calculations - 1.0'!A173 + 'ACPL Calculations - 2.0'!A173</f>
        <v>6032</v>
      </c>
      <c r="J173" s="30" t="s">
        <v>3820</v>
      </c>
      <c r="K173" s="31">
        <v>192.0</v>
      </c>
      <c r="L173" s="32" t="s">
        <v>3818</v>
      </c>
      <c r="M173" s="31">
        <v>100.0</v>
      </c>
      <c r="N173" s="33">
        <f>'Old Balance Sheet'!B173 + 'ACPL Calculations - 1.0'!B173 + 'ACPL Calculations - 2.0'!B173</f>
        <v>0</v>
      </c>
      <c r="O173" s="30" t="s">
        <v>3820</v>
      </c>
      <c r="P173" s="31">
        <v>290.0</v>
      </c>
      <c r="Q173" s="32" t="s">
        <v>3818</v>
      </c>
      <c r="R173" s="31">
        <v>100.0</v>
      </c>
      <c r="S173" s="33">
        <f>'Old Balance Sheet'!C173 + 'ACPL Calculations - 1.0'!C173 + 'ACPL Calculations - 2.0'!C173</f>
        <v>0</v>
      </c>
      <c r="T173" s="30" t="s">
        <v>3820</v>
      </c>
      <c r="U173" s="31">
        <v>375.0</v>
      </c>
      <c r="V173" s="32" t="s">
        <v>3818</v>
      </c>
      <c r="W173" s="31">
        <v>100.0</v>
      </c>
      <c r="X173" s="33">
        <f>'Old Balance Sheet'!D173 + 'ACPL Calculations - 1.0'!D173 + 'ACPL Calculations - 2.0'!D173</f>
        <v>0</v>
      </c>
      <c r="Y173" s="30" t="s">
        <v>3820</v>
      </c>
      <c r="Z173" s="31">
        <v>460.0</v>
      </c>
      <c r="AA173" s="32" t="s">
        <v>3818</v>
      </c>
      <c r="AB173" s="31">
        <v>100.0</v>
      </c>
      <c r="AC173" s="33">
        <f>'Old Balance Sheet'!E173 + 'ACPL Calculations - 1.0'!E173 + 'ACPL Calculations - 2.0'!E173</f>
        <v>0</v>
      </c>
      <c r="AD173" s="30" t="s">
        <v>3820</v>
      </c>
      <c r="AE173" s="34">
        <v>838.99</v>
      </c>
      <c r="AF173" s="32" t="s">
        <v>3818</v>
      </c>
      <c r="AG173" s="31">
        <v>100.0</v>
      </c>
      <c r="AH173" s="33">
        <f>'Old Balance Sheet'!F173 + 'ACPL Calculations - 1.0'!F173 + 'ACPL Calculations - 2.0'!F173</f>
        <v>0</v>
      </c>
      <c r="AI173" s="30" t="s">
        <v>3820</v>
      </c>
      <c r="AJ173" s="31">
        <v>375.0</v>
      </c>
      <c r="AK173" s="32" t="s">
        <v>3818</v>
      </c>
      <c r="AL173" s="31">
        <v>100.0</v>
      </c>
      <c r="AM173" s="33">
        <f>'Old Balance Sheet'!G173 + 'ACPL Calculations - 1.0'!G173 + 'ACPL Calculations - 2.0'!G173</f>
        <v>0</v>
      </c>
      <c r="AN173" s="30" t="s">
        <v>3820</v>
      </c>
      <c r="AO173" s="31">
        <v>290.0</v>
      </c>
      <c r="AP173" s="32" t="s">
        <v>3818</v>
      </c>
      <c r="AQ173" s="31">
        <v>100.0</v>
      </c>
      <c r="AR173" s="33">
        <f>'Old Balance Sheet'!H173 + 'ACPL Calculations - 1.0'!H173 + 'ACPL Calculations - 2.0'!H173</f>
        <v>0</v>
      </c>
      <c r="AS173" s="30" t="s">
        <v>3819</v>
      </c>
      <c r="AT173" s="31">
        <v>838.99</v>
      </c>
      <c r="AU173" s="32" t="s">
        <v>3818</v>
      </c>
      <c r="AV173" s="31">
        <v>100.0</v>
      </c>
      <c r="AW173" s="33">
        <f>'Old Balance Sheet'!I173 + 'ACPL Calculations - 1.0'!I173 + 'ACPL Calculations - 2.0'!I173</f>
        <v>0</v>
      </c>
      <c r="AX173" s="30" t="s">
        <v>3820</v>
      </c>
      <c r="AY173" s="31">
        <v>290.0</v>
      </c>
      <c r="AZ173" s="32" t="s">
        <v>3818</v>
      </c>
      <c r="BA173" s="31">
        <v>100.0</v>
      </c>
      <c r="BB173" s="33">
        <f>'Old Balance Sheet'!J173 + 'ACPL Calculations - 1.0'!J173 + 'ACPL Calculations - 2.0'!J173</f>
        <v>0</v>
      </c>
      <c r="BC173" s="30" t="s">
        <v>3820</v>
      </c>
      <c r="BD173" s="31">
        <v>205.0</v>
      </c>
      <c r="BE173" s="32" t="s">
        <v>3818</v>
      </c>
      <c r="BF173" s="31">
        <v>100.0</v>
      </c>
      <c r="BG173" s="33">
        <f>'Old Balance Sheet'!K173 + 'ACPL Calculations - 1.0'!K173 + 'ACPL Calculations - 2.0'!K173</f>
        <v>0</v>
      </c>
      <c r="BH173" s="30" t="s">
        <v>3820</v>
      </c>
      <c r="BI173" s="31">
        <v>205.0</v>
      </c>
      <c r="BJ173" s="32" t="s">
        <v>3818</v>
      </c>
      <c r="BK173" s="31">
        <v>100.0</v>
      </c>
      <c r="BL173" s="33">
        <f>'Old Balance Sheet'!L173 + 'ACPL Calculations - 1.0'!L173 + 'ACPL Calculations - 2.0'!L173</f>
        <v>0</v>
      </c>
      <c r="BM173" s="33"/>
      <c r="BN173" s="33"/>
      <c r="BO173" s="33"/>
      <c r="BP173" s="33"/>
      <c r="BQ173" s="33"/>
      <c r="BR173" s="33"/>
      <c r="BS173" s="33"/>
      <c r="BT173" s="33"/>
      <c r="BU173" s="33"/>
      <c r="BV173" s="33"/>
      <c r="BW173" s="33"/>
      <c r="BX173" s="33"/>
      <c r="BY173" s="33"/>
      <c r="BZ173" s="33"/>
      <c r="CA173" s="33"/>
      <c r="CB173" s="33"/>
      <c r="CC173" s="33"/>
      <c r="CD173" s="33"/>
      <c r="CE173" s="33"/>
      <c r="CF173" s="33"/>
      <c r="CG173" s="33"/>
      <c r="CH173" s="33"/>
      <c r="CI173" s="33"/>
      <c r="CJ173" s="33"/>
      <c r="CK173" s="33"/>
      <c r="CL173" s="33">
        <f t="shared" si="1"/>
        <v>6032</v>
      </c>
      <c r="CM173" s="33">
        <f>'Old Balance Sheet'!R173 + 'ACPL Calculations - 1.0'!S173 + 'ACPL Calculations - 2.0'!S173</f>
        <v>2665928</v>
      </c>
      <c r="CN173" s="33">
        <f>'Old Balance Sheet'!S173 + 'ACPL Calculations - 1.0'!T173 + 'ACPL Calculations - 2.0'!T173</f>
        <v>1164618</v>
      </c>
      <c r="CO173" s="33">
        <f t="shared" si="2"/>
        <v>1571262.52</v>
      </c>
      <c r="CP173" s="33">
        <f>'Old Balance Sheet'!T173 + 'ACPL Calculations - 1.0'!V173 + 'ACPL Calculations - 2.0'!V173</f>
        <v>0</v>
      </c>
      <c r="CQ173" s="33">
        <f>'Old Balance Sheet'!U173 + 'ACPL Calculations - 1.0'!W173 + 'ACPL Calculations - 2.0'!W173</f>
        <v>0</v>
      </c>
      <c r="CR173" s="33">
        <f>'Old Balance Sheet'!V173 + 'ACPL Calculations - 1.0'!X173 + 'ACPL Calculations - 2.0'!X173</f>
        <v>406644.52</v>
      </c>
      <c r="CS173" s="33">
        <f t="shared" si="3"/>
        <v>406644.52</v>
      </c>
      <c r="CT173" s="35"/>
      <c r="CU173" s="35"/>
      <c r="CV173" s="35"/>
      <c r="CW173" s="36">
        <f>'Old Balance Sheet'!W173 + 'ACPL Calculations - 1.0'!Z173 + 'ACPL Calculations - 2.0'!Z173</f>
        <v>6762826</v>
      </c>
      <c r="CX173" s="36">
        <f>'Old Balance Sheet'!X173 + 'ACPL Calculations - 1.0'!AA173 + 'ACPL Calculations - 2.0'!AA173</f>
        <v>4114958.39</v>
      </c>
      <c r="CY173" s="37">
        <v>0.0</v>
      </c>
      <c r="CZ173" s="38">
        <f>'Old Balance Sheet'!Y173 + 'ACPL Calculations - 1.0'!AB173 + 'ACPL Calculations - 2.0'!AB173</f>
        <v>2780115.65</v>
      </c>
      <c r="DA173" s="38">
        <f>'Old Balance Sheet'!Z173 + 'ACPL Calculations - 1.0'!AC173 + 'ACPL Calculations - 2.0'!AC173</f>
        <v>0</v>
      </c>
      <c r="DB173" s="38">
        <f>'Old Balance Sheet'!AA173 + 'ACPL Calculations - 1.0'!AD173 + 'ACPL Calculations - 2.0'!AD173</f>
        <v>135010.89</v>
      </c>
      <c r="DC173" s="38">
        <f>'Old Balance Sheet'!AB173 + 'ACPL Calculations - 1.0'!AE173 + 'ACPL Calculations - 2.0'!AE173</f>
        <v>2647867.61</v>
      </c>
      <c r="DD173" s="38">
        <f t="shared" si="4"/>
        <v>2647867.61</v>
      </c>
      <c r="DE173" s="33">
        <f t="shared" si="5"/>
        <v>2284101.61</v>
      </c>
      <c r="DF173" s="35">
        <v>0.0</v>
      </c>
      <c r="DG173" s="35">
        <v>0.0</v>
      </c>
      <c r="DH173" s="35">
        <v>0.0</v>
      </c>
      <c r="DI173" s="35">
        <v>0.0</v>
      </c>
      <c r="DJ173" s="35">
        <v>0.0</v>
      </c>
      <c r="DK173" s="35">
        <v>0.0</v>
      </c>
      <c r="DL173" s="35">
        <v>0.0</v>
      </c>
      <c r="DM173" s="35">
        <v>0.0</v>
      </c>
      <c r="DN173" s="31">
        <v>0.0</v>
      </c>
      <c r="DO173" s="31">
        <v>0.0</v>
      </c>
      <c r="DP173" s="31">
        <v>0.0</v>
      </c>
      <c r="DQ173" s="31">
        <v>0.0</v>
      </c>
      <c r="DR173" s="31">
        <v>0.0</v>
      </c>
      <c r="DS173" s="31">
        <v>0.0</v>
      </c>
      <c r="DT173" s="31">
        <f>'Old Balance Sheet'!AC173</f>
        <v>0</v>
      </c>
      <c r="DU173" s="31">
        <f>DT173 + SUMIFS('Payments Log'!D:D, 'Payments Log'!B:B, A173, 'Payments Log'!L:L, "Approved", 'Payments Log'!M:M, "Credit") + 'Old Balance Sheet'!AD173 - 'Old Balance Sheet'!AC173</f>
        <v>6399060</v>
      </c>
      <c r="DV173" s="31">
        <f>SUMIFS('Payments Log'!D:D, 'Payments Log'!B:B, A173, 'Payments Log'!L:L, "Approved", 'Payments Log'!M:M, "Adjustment Credit") - SUMIFS('Payments Log'!D:D, 'Payments Log'!B:B, A173, 'Payments Log'!L:L, "Approved", 'Payments Log'!M:M, "Adjustment Debit") + 'Old Balance Sheet'!AE173</f>
        <v>0</v>
      </c>
      <c r="DW173" s="31">
        <f>IF(MAXIFS('Payments Log'!N:N, 'Payments Log'!L:L, "Approved", 'Payments Log'!M:M, "Credit", 'Payments Log'!B:B, A173) &gt; MAXIFS('Payments Log'!N:N, 'Payments Log'!L:L, "Approved", 'Payments Log'!M:M, "Virtual Credit", 'Payments Log'!B:B, A173), 0, SUMIFS('Payments Log'!D:D, 'Payments Log'!N:N, MAXIFS('Payments Log'!N:N, 'Payments Log'!L:L, "Approved", 'Payments Log'!M:M, "Virtual Credit", 'Payments Log'!B:B, A173)))</f>
        <v>0</v>
      </c>
      <c r="DX173" s="33">
        <f t="shared" si="6"/>
        <v>-363766</v>
      </c>
      <c r="DY173" s="33">
        <f t="shared" si="7"/>
        <v>2284101.61</v>
      </c>
      <c r="DZ173" s="33">
        <f t="shared" si="8"/>
        <v>2284101.61</v>
      </c>
      <c r="EA173" s="25" t="str">
        <f>(Sheet1!N173)</f>
        <v>Modern Auto Agency - Bettiah</v>
      </c>
      <c r="EB173" s="25" t="str">
        <f>(Sheet1!O173)</f>
        <v>1_UtGSoyOsljQXvmry7gfXGYwjwEjQbghQQGZebnq45M</v>
      </c>
      <c r="EC173" s="26" t="str">
        <f>(Sheet1!P173)</f>
        <v>Dealer</v>
      </c>
      <c r="ED173" s="34" t="s">
        <v>13</v>
      </c>
    </row>
    <row r="174">
      <c r="A174" s="25" t="str">
        <f>(Sheet1!A174)</f>
        <v>1NEcDRVp7-BhxvyRG6JkeAHZpznEr-vKt291CED4WZPk</v>
      </c>
      <c r="B174" s="25" t="str">
        <f>(Sheet1!B174)</f>
        <v>Bal Mukund Hero - Etah</v>
      </c>
      <c r="C174" s="30" t="s">
        <v>13</v>
      </c>
      <c r="D174" s="30" t="s">
        <v>72</v>
      </c>
      <c r="E174" s="30" t="s">
        <v>3820</v>
      </c>
      <c r="F174" s="31">
        <v>185.0</v>
      </c>
      <c r="G174" s="32" t="s">
        <v>3818</v>
      </c>
      <c r="H174" s="31">
        <v>100.0</v>
      </c>
      <c r="I174" s="33">
        <f>'Old Balance Sheet'!A174 + 'ACPL Calculations - 1.0'!A174 + 'ACPL Calculations - 2.0'!A174</f>
        <v>2053</v>
      </c>
      <c r="J174" s="30" t="s">
        <v>3820</v>
      </c>
      <c r="K174" s="31">
        <v>205.0</v>
      </c>
      <c r="L174" s="32" t="s">
        <v>3818</v>
      </c>
      <c r="M174" s="31">
        <v>100.0</v>
      </c>
      <c r="N174" s="33">
        <f>'Old Balance Sheet'!B174 + 'ACPL Calculations - 1.0'!B174 + 'ACPL Calculations - 2.0'!B174</f>
        <v>0</v>
      </c>
      <c r="O174" s="30" t="s">
        <v>3820</v>
      </c>
      <c r="P174" s="31">
        <v>290.0</v>
      </c>
      <c r="Q174" s="32" t="s">
        <v>3818</v>
      </c>
      <c r="R174" s="31">
        <v>100.0</v>
      </c>
      <c r="S174" s="33">
        <f>'Old Balance Sheet'!C174 + 'ACPL Calculations - 1.0'!C174 + 'ACPL Calculations - 2.0'!C174</f>
        <v>91</v>
      </c>
      <c r="T174" s="30" t="s">
        <v>3820</v>
      </c>
      <c r="U174" s="31">
        <v>375.0</v>
      </c>
      <c r="V174" s="32" t="s">
        <v>3818</v>
      </c>
      <c r="W174" s="31">
        <v>100.0</v>
      </c>
      <c r="X174" s="33">
        <f>'Old Balance Sheet'!D174 + 'ACPL Calculations - 1.0'!D174 + 'ACPL Calculations - 2.0'!D174</f>
        <v>0</v>
      </c>
      <c r="Y174" s="30" t="s">
        <v>3820</v>
      </c>
      <c r="Z174" s="31">
        <v>460.0</v>
      </c>
      <c r="AA174" s="32" t="s">
        <v>3818</v>
      </c>
      <c r="AB174" s="31">
        <v>100.0</v>
      </c>
      <c r="AC174" s="33">
        <f>'Old Balance Sheet'!E174 + 'ACPL Calculations - 1.0'!E174 + 'ACPL Calculations - 2.0'!E174</f>
        <v>0</v>
      </c>
      <c r="AD174" s="30" t="s">
        <v>3820</v>
      </c>
      <c r="AE174" s="34">
        <v>838.99</v>
      </c>
      <c r="AF174" s="32" t="s">
        <v>3818</v>
      </c>
      <c r="AG174" s="31">
        <v>100.0</v>
      </c>
      <c r="AH174" s="33">
        <f>'Old Balance Sheet'!F174 + 'ACPL Calculations - 1.0'!F174 + 'ACPL Calculations - 2.0'!F174</f>
        <v>0</v>
      </c>
      <c r="AI174" s="30" t="s">
        <v>3820</v>
      </c>
      <c r="AJ174" s="31">
        <v>375.0</v>
      </c>
      <c r="AK174" s="32" t="s">
        <v>3818</v>
      </c>
      <c r="AL174" s="31">
        <v>100.0</v>
      </c>
      <c r="AM174" s="33">
        <f>'Old Balance Sheet'!G174 + 'ACPL Calculations - 1.0'!G174 + 'ACPL Calculations - 2.0'!G174</f>
        <v>0</v>
      </c>
      <c r="AN174" s="30" t="s">
        <v>3820</v>
      </c>
      <c r="AO174" s="31">
        <v>290.0</v>
      </c>
      <c r="AP174" s="32" t="s">
        <v>3818</v>
      </c>
      <c r="AQ174" s="31">
        <v>100.0</v>
      </c>
      <c r="AR174" s="33">
        <f>'Old Balance Sheet'!H174 + 'ACPL Calculations - 1.0'!H174 + 'ACPL Calculations - 2.0'!H174</f>
        <v>0</v>
      </c>
      <c r="AS174" s="30" t="s">
        <v>3819</v>
      </c>
      <c r="AT174" s="31">
        <v>838.99</v>
      </c>
      <c r="AU174" s="32" t="s">
        <v>3818</v>
      </c>
      <c r="AV174" s="31">
        <v>100.0</v>
      </c>
      <c r="AW174" s="33">
        <f>'Old Balance Sheet'!I174 + 'ACPL Calculations - 1.0'!I174 + 'ACPL Calculations - 2.0'!I174</f>
        <v>0</v>
      </c>
      <c r="AX174" s="30" t="s">
        <v>3820</v>
      </c>
      <c r="AY174" s="31">
        <v>290.0</v>
      </c>
      <c r="AZ174" s="32" t="s">
        <v>3818</v>
      </c>
      <c r="BA174" s="31">
        <v>100.0</v>
      </c>
      <c r="BB174" s="33">
        <f>'Old Balance Sheet'!J174 + 'ACPL Calculations - 1.0'!J174 + 'ACPL Calculations - 2.0'!J174</f>
        <v>0</v>
      </c>
      <c r="BC174" s="30" t="s">
        <v>3820</v>
      </c>
      <c r="BD174" s="31">
        <v>205.0</v>
      </c>
      <c r="BE174" s="32" t="s">
        <v>3818</v>
      </c>
      <c r="BF174" s="31">
        <v>100.0</v>
      </c>
      <c r="BG174" s="33">
        <f>'Old Balance Sheet'!K174 + 'ACPL Calculations - 1.0'!K174 + 'ACPL Calculations - 2.0'!K174</f>
        <v>0</v>
      </c>
      <c r="BH174" s="30" t="s">
        <v>3820</v>
      </c>
      <c r="BI174" s="31">
        <v>205.0</v>
      </c>
      <c r="BJ174" s="32" t="s">
        <v>3818</v>
      </c>
      <c r="BK174" s="31">
        <v>100.0</v>
      </c>
      <c r="BL174" s="33">
        <f>'Old Balance Sheet'!L174 + 'ACPL Calculations - 1.0'!L174 + 'ACPL Calculations - 2.0'!L174</f>
        <v>0</v>
      </c>
      <c r="BM174" s="33"/>
      <c r="BN174" s="33"/>
      <c r="BO174" s="33"/>
      <c r="BP174" s="33"/>
      <c r="BQ174" s="33"/>
      <c r="BR174" s="33"/>
      <c r="BS174" s="33"/>
      <c r="BT174" s="33"/>
      <c r="BU174" s="33"/>
      <c r="BV174" s="33"/>
      <c r="BW174" s="33"/>
      <c r="BX174" s="33"/>
      <c r="BY174" s="33"/>
      <c r="BZ174" s="33"/>
      <c r="CA174" s="33"/>
      <c r="CB174" s="33"/>
      <c r="CC174" s="33"/>
      <c r="CD174" s="33"/>
      <c r="CE174" s="33"/>
      <c r="CF174" s="33"/>
      <c r="CG174" s="33"/>
      <c r="CH174" s="33"/>
      <c r="CI174" s="33"/>
      <c r="CJ174" s="33"/>
      <c r="CK174" s="33"/>
      <c r="CL174" s="33">
        <f t="shared" si="1"/>
        <v>2144</v>
      </c>
      <c r="CM174" s="33">
        <f>'Old Balance Sheet'!R174 + 'ACPL Calculations - 1.0'!S174 + 'ACPL Calculations - 2.0'!S174</f>
        <v>863460</v>
      </c>
      <c r="CN174" s="33">
        <f>'Old Balance Sheet'!S174 + 'ACPL Calculations - 1.0'!T174 + 'ACPL Calculations - 2.0'!T174</f>
        <v>426875</v>
      </c>
      <c r="CO174" s="33">
        <f t="shared" si="2"/>
        <v>558585.72</v>
      </c>
      <c r="CP174" s="33">
        <f>'Old Balance Sheet'!T174 + 'ACPL Calculations - 1.0'!V174 + 'ACPL Calculations - 2.0'!V174</f>
        <v>0</v>
      </c>
      <c r="CQ174" s="33">
        <f>'Old Balance Sheet'!U174 + 'ACPL Calculations - 1.0'!W174 + 'ACPL Calculations - 2.0'!W174</f>
        <v>0</v>
      </c>
      <c r="CR174" s="33">
        <f>'Old Balance Sheet'!V174 + 'ACPL Calculations - 1.0'!X174 + 'ACPL Calculations - 2.0'!X174</f>
        <v>131710.72</v>
      </c>
      <c r="CS174" s="33">
        <f t="shared" si="3"/>
        <v>131710.72</v>
      </c>
      <c r="CT174" s="35"/>
      <c r="CU174" s="35"/>
      <c r="CV174" s="35"/>
      <c r="CW174" s="36">
        <f>'Old Balance Sheet'!W174 + 'ACPL Calculations - 1.0'!Z174 + 'ACPL Calculations - 2.0'!Z174</f>
        <v>863460</v>
      </c>
      <c r="CX174" s="36">
        <f>'Old Balance Sheet'!X174 + 'ACPL Calculations - 1.0'!AA174 + 'ACPL Calculations - 2.0'!AA174</f>
        <v>571433.64</v>
      </c>
      <c r="CY174" s="37">
        <v>0.0</v>
      </c>
      <c r="CZ174" s="38">
        <f>'Old Balance Sheet'!Y174 + 'ACPL Calculations - 1.0'!AB174 + 'ACPL Calculations - 2.0'!AB174</f>
        <v>303272.9</v>
      </c>
      <c r="DA174" s="38">
        <f>'Old Balance Sheet'!Z174 + 'ACPL Calculations - 1.0'!AC174 + 'ACPL Calculations - 2.0'!AC174</f>
        <v>0</v>
      </c>
      <c r="DB174" s="38">
        <f>'Old Balance Sheet'!AA174 + 'ACPL Calculations - 1.0'!AD174 + 'ACPL Calculations - 2.0'!AD174</f>
        <v>12847.92</v>
      </c>
      <c r="DC174" s="38">
        <f>'Old Balance Sheet'!AB174 + 'ACPL Calculations - 1.0'!AE174 + 'ACPL Calculations - 2.0'!AE174</f>
        <v>292026.36</v>
      </c>
      <c r="DD174" s="38">
        <f t="shared" si="4"/>
        <v>292026.36</v>
      </c>
      <c r="DE174" s="33">
        <f t="shared" si="5"/>
        <v>292026.36</v>
      </c>
      <c r="DF174" s="35">
        <v>0.0</v>
      </c>
      <c r="DG174" s="35">
        <v>0.0</v>
      </c>
      <c r="DH174" s="35">
        <v>0.0</v>
      </c>
      <c r="DI174" s="35">
        <v>0.0</v>
      </c>
      <c r="DJ174" s="35">
        <v>0.0</v>
      </c>
      <c r="DK174" s="35">
        <v>0.0</v>
      </c>
      <c r="DL174" s="35">
        <v>0.0</v>
      </c>
      <c r="DM174" s="35">
        <v>0.0</v>
      </c>
      <c r="DN174" s="31">
        <v>0.0</v>
      </c>
      <c r="DO174" s="31">
        <v>0.0</v>
      </c>
      <c r="DP174" s="31">
        <v>0.0</v>
      </c>
      <c r="DQ174" s="31">
        <v>0.0</v>
      </c>
      <c r="DR174" s="31">
        <v>0.0</v>
      </c>
      <c r="DS174" s="31">
        <v>0.0</v>
      </c>
      <c r="DT174" s="31">
        <f>'Old Balance Sheet'!AC174</f>
        <v>0</v>
      </c>
      <c r="DU174" s="31">
        <f>DT174 + SUMIFS('Payments Log'!D:D, 'Payments Log'!B:B, A174, 'Payments Log'!L:L, "Approved", 'Payments Log'!M:M, "Credit") + 'Old Balance Sheet'!AD174 - 'Old Balance Sheet'!AC174</f>
        <v>865000</v>
      </c>
      <c r="DV174" s="31">
        <f>SUMIFS('Payments Log'!D:D, 'Payments Log'!B:B, A174, 'Payments Log'!L:L, "Approved", 'Payments Log'!M:M, "Adjustment Credit") - SUMIFS('Payments Log'!D:D, 'Payments Log'!B:B, A174, 'Payments Log'!L:L, "Approved", 'Payments Log'!M:M, "Adjustment Debit") + 'Old Balance Sheet'!AE174</f>
        <v>0</v>
      </c>
      <c r="DW174" s="31">
        <f>IF(MAXIFS('Payments Log'!N:N, 'Payments Log'!L:L, "Approved", 'Payments Log'!M:M, "Credit", 'Payments Log'!B:B, A174) &gt; MAXIFS('Payments Log'!N:N, 'Payments Log'!L:L, "Approved", 'Payments Log'!M:M, "Virtual Credit", 'Payments Log'!B:B, A174), 0, SUMIFS('Payments Log'!D:D, 'Payments Log'!N:N, MAXIFS('Payments Log'!N:N, 'Payments Log'!L:L, "Approved", 'Payments Log'!M:M, "Virtual Credit", 'Payments Log'!B:B, A174)))</f>
        <v>0</v>
      </c>
      <c r="DX174" s="33">
        <f t="shared" si="6"/>
        <v>1540</v>
      </c>
      <c r="DY174" s="33">
        <f t="shared" si="7"/>
        <v>293566.36</v>
      </c>
      <c r="DZ174" s="33">
        <f t="shared" si="8"/>
        <v>293566.36</v>
      </c>
      <c r="EA174" s="25" t="str">
        <f>(Sheet1!N174)</f>
        <v>Bal Mukund Hero - Etah</v>
      </c>
      <c r="EB174" s="25" t="str">
        <f>(Sheet1!O174)</f>
        <v>1NEcDRVp7-BhxvyRG6JkeAHZpznEr-vKt291CED4WZPk</v>
      </c>
      <c r="EC174" s="26" t="str">
        <f>(Sheet1!P174)</f>
        <v>Dealer</v>
      </c>
      <c r="ED174" s="34" t="s">
        <v>13</v>
      </c>
    </row>
    <row r="175">
      <c r="A175" s="25" t="str">
        <f>(Sheet1!A175)</f>
        <v>1DVpSm5a7kKqZxFgDUdJBRIcgAuTZosRKDnkmPEIdEG4</v>
      </c>
      <c r="B175" s="25" t="str">
        <f>(Sheet1!B175)</f>
        <v>MAHESH MOTORS - DINAJPUR</v>
      </c>
      <c r="C175" s="30" t="s">
        <v>13</v>
      </c>
      <c r="D175" s="30" t="s">
        <v>72</v>
      </c>
      <c r="E175" s="30" t="s">
        <v>3817</v>
      </c>
      <c r="F175" s="31">
        <v>205.0</v>
      </c>
      <c r="G175" s="32" t="s">
        <v>3818</v>
      </c>
      <c r="H175" s="31">
        <v>100.0</v>
      </c>
      <c r="I175" s="33">
        <f>'Old Balance Sheet'!A175 + 'ACPL Calculations - 1.0'!A175 + 'ACPL Calculations - 2.0'!A175</f>
        <v>81</v>
      </c>
      <c r="J175" s="30" t="s">
        <v>3817</v>
      </c>
      <c r="K175" s="31">
        <v>100.0</v>
      </c>
      <c r="L175" s="32" t="s">
        <v>3818</v>
      </c>
      <c r="M175" s="31">
        <v>100.0</v>
      </c>
      <c r="N175" s="33">
        <f>'Old Balance Sheet'!B175 + 'ACPL Calculations - 1.0'!B175 + 'ACPL Calculations - 2.0'!B175</f>
        <v>5</v>
      </c>
      <c r="O175" s="30" t="s">
        <v>3817</v>
      </c>
      <c r="P175" s="31">
        <v>245.0</v>
      </c>
      <c r="Q175" s="32" t="s">
        <v>3818</v>
      </c>
      <c r="R175" s="31">
        <v>100.0</v>
      </c>
      <c r="S175" s="33">
        <f>'Old Balance Sheet'!C175 + 'ACPL Calculations - 1.0'!C175 + 'ACPL Calculations - 2.0'!C175</f>
        <v>31</v>
      </c>
      <c r="T175" s="30" t="s">
        <v>3817</v>
      </c>
      <c r="U175" s="31">
        <v>375.0</v>
      </c>
      <c r="V175" s="32" t="s">
        <v>3818</v>
      </c>
      <c r="W175" s="31">
        <v>100.0</v>
      </c>
      <c r="X175" s="33">
        <f>'Old Balance Sheet'!D175 + 'ACPL Calculations - 1.0'!D175 + 'ACPL Calculations - 2.0'!D175</f>
        <v>0</v>
      </c>
      <c r="Y175" s="30" t="s">
        <v>3817</v>
      </c>
      <c r="Z175" s="31">
        <v>460.0</v>
      </c>
      <c r="AA175" s="32" t="s">
        <v>3818</v>
      </c>
      <c r="AB175" s="31">
        <v>100.0</v>
      </c>
      <c r="AC175" s="33">
        <f>'Old Balance Sheet'!E175 + 'ACPL Calculations - 1.0'!E175 + 'ACPL Calculations - 2.0'!E175</f>
        <v>0</v>
      </c>
      <c r="AD175" s="30" t="s">
        <v>3817</v>
      </c>
      <c r="AE175" s="34">
        <v>838.99</v>
      </c>
      <c r="AF175" s="32" t="s">
        <v>3818</v>
      </c>
      <c r="AG175" s="31">
        <v>100.0</v>
      </c>
      <c r="AH175" s="33">
        <f>'Old Balance Sheet'!F175 + 'ACPL Calculations - 1.0'!F175 + 'ACPL Calculations - 2.0'!F175</f>
        <v>0</v>
      </c>
      <c r="AI175" s="30" t="s">
        <v>3817</v>
      </c>
      <c r="AJ175" s="31">
        <v>375.0</v>
      </c>
      <c r="AK175" s="32" t="s">
        <v>3818</v>
      </c>
      <c r="AL175" s="31">
        <v>100.0</v>
      </c>
      <c r="AM175" s="33">
        <f>'Old Balance Sheet'!G175 + 'ACPL Calculations - 1.0'!G175 + 'ACPL Calculations - 2.0'!G175</f>
        <v>0</v>
      </c>
      <c r="AN175" s="30" t="s">
        <v>3817</v>
      </c>
      <c r="AO175" s="31">
        <v>290.0</v>
      </c>
      <c r="AP175" s="32" t="s">
        <v>3818</v>
      </c>
      <c r="AQ175" s="31">
        <v>100.0</v>
      </c>
      <c r="AR175" s="33">
        <f>'Old Balance Sheet'!H175 + 'ACPL Calculations - 1.0'!H175 + 'ACPL Calculations - 2.0'!H175</f>
        <v>0</v>
      </c>
      <c r="AS175" s="30" t="s">
        <v>3819</v>
      </c>
      <c r="AT175" s="31">
        <v>838.99</v>
      </c>
      <c r="AU175" s="32" t="s">
        <v>3818</v>
      </c>
      <c r="AV175" s="31">
        <v>100.0</v>
      </c>
      <c r="AW175" s="33">
        <f>'Old Balance Sheet'!I175 + 'ACPL Calculations - 1.0'!I175 + 'ACPL Calculations - 2.0'!I175</f>
        <v>0</v>
      </c>
      <c r="AX175" s="30" t="s">
        <v>3817</v>
      </c>
      <c r="AY175" s="31">
        <v>290.0</v>
      </c>
      <c r="AZ175" s="32" t="s">
        <v>3818</v>
      </c>
      <c r="BA175" s="31">
        <v>100.0</v>
      </c>
      <c r="BB175" s="33">
        <f>'Old Balance Sheet'!J175 + 'ACPL Calculations - 1.0'!J175 + 'ACPL Calculations - 2.0'!J175</f>
        <v>0</v>
      </c>
      <c r="BC175" s="30" t="s">
        <v>3817</v>
      </c>
      <c r="BD175" s="31">
        <v>205.0</v>
      </c>
      <c r="BE175" s="32" t="s">
        <v>3818</v>
      </c>
      <c r="BF175" s="31">
        <v>100.0</v>
      </c>
      <c r="BG175" s="33">
        <f>'Old Balance Sheet'!K175 + 'ACPL Calculations - 1.0'!K175 + 'ACPL Calculations - 2.0'!K175</f>
        <v>0</v>
      </c>
      <c r="BH175" s="30" t="s">
        <v>3817</v>
      </c>
      <c r="BI175" s="31">
        <v>205.0</v>
      </c>
      <c r="BJ175" s="32" t="s">
        <v>3818</v>
      </c>
      <c r="BK175" s="31">
        <v>100.0</v>
      </c>
      <c r="BL175" s="33">
        <f>'Old Balance Sheet'!L175 + 'ACPL Calculations - 1.0'!L175 + 'ACPL Calculations - 2.0'!L175</f>
        <v>0</v>
      </c>
      <c r="BM175" s="33"/>
      <c r="BN175" s="33"/>
      <c r="BO175" s="33"/>
      <c r="BP175" s="33"/>
      <c r="BQ175" s="33"/>
      <c r="BR175" s="33"/>
      <c r="BS175" s="33"/>
      <c r="BT175" s="33"/>
      <c r="BU175" s="33"/>
      <c r="BV175" s="33"/>
      <c r="BW175" s="33"/>
      <c r="BX175" s="33"/>
      <c r="BY175" s="33"/>
      <c r="BZ175" s="33"/>
      <c r="CA175" s="33"/>
      <c r="CB175" s="33"/>
      <c r="CC175" s="33"/>
      <c r="CD175" s="33"/>
      <c r="CE175" s="33"/>
      <c r="CF175" s="33"/>
      <c r="CG175" s="33"/>
      <c r="CH175" s="33"/>
      <c r="CI175" s="33"/>
      <c r="CJ175" s="33"/>
      <c r="CK175" s="33"/>
      <c r="CL175" s="33">
        <f t="shared" si="1"/>
        <v>117</v>
      </c>
      <c r="CM175" s="33">
        <f>'Old Balance Sheet'!R175 + 'ACPL Calculations - 1.0'!S175 + 'ACPL Calculations - 2.0'!S175</f>
        <v>54533</v>
      </c>
      <c r="CN175" s="33">
        <f>'Old Balance Sheet'!S175 + 'ACPL Calculations - 1.0'!T175 + 'ACPL Calculations - 2.0'!T175</f>
        <v>26620</v>
      </c>
      <c r="CO175" s="33">
        <f t="shared" si="2"/>
        <v>34938.33</v>
      </c>
      <c r="CP175" s="33">
        <f>'Old Balance Sheet'!T175 + 'ACPL Calculations - 1.0'!V175 + 'ACPL Calculations - 2.0'!V175</f>
        <v>0</v>
      </c>
      <c r="CQ175" s="33">
        <f>'Old Balance Sheet'!U175 + 'ACPL Calculations - 1.0'!W175 + 'ACPL Calculations - 2.0'!W175</f>
        <v>0</v>
      </c>
      <c r="CR175" s="33">
        <f>'Old Balance Sheet'!V175 + 'ACPL Calculations - 1.0'!X175 + 'ACPL Calculations - 2.0'!X175</f>
        <v>8318.33</v>
      </c>
      <c r="CS175" s="33">
        <f t="shared" si="3"/>
        <v>8318.33</v>
      </c>
      <c r="CT175" s="35"/>
      <c r="CU175" s="35"/>
      <c r="CV175" s="35"/>
      <c r="CW175" s="36">
        <f>'Old Balance Sheet'!W175 + 'ACPL Calculations - 1.0'!Z175 + 'ACPL Calculations - 2.0'!Z175</f>
        <v>460401.59</v>
      </c>
      <c r="CX175" s="36">
        <f>'Old Balance Sheet'!X175 + 'ACPL Calculations - 1.0'!AA175 + 'ACPL Calculations - 2.0'!AA175</f>
        <v>460401.59</v>
      </c>
      <c r="CY175" s="37">
        <v>0.0</v>
      </c>
      <c r="CZ175" s="38">
        <f>'Old Balance Sheet'!Y175 + 'ACPL Calculations - 1.0'!AB175 + 'ACPL Calculations - 2.0'!AB175</f>
        <v>244933.86</v>
      </c>
      <c r="DA175" s="38">
        <f>'Old Balance Sheet'!Z175 + 'ACPL Calculations - 1.0'!AC175 + 'ACPL Calculations - 2.0'!AC175</f>
        <v>265543.41</v>
      </c>
      <c r="DB175" s="38">
        <f>'Old Balance Sheet'!AA175 + 'ACPL Calculations - 1.0'!AD175 + 'ACPL Calculations - 2.0'!AD175</f>
        <v>15902.96</v>
      </c>
      <c r="DC175" s="38">
        <f>'Old Balance Sheet'!AB175 + 'ACPL Calculations - 1.0'!AE175 + 'ACPL Calculations - 2.0'!AE175</f>
        <v>0</v>
      </c>
      <c r="DD175" s="38">
        <f t="shared" si="4"/>
        <v>0</v>
      </c>
      <c r="DE175" s="33">
        <f t="shared" si="5"/>
        <v>0</v>
      </c>
      <c r="DF175" s="35">
        <v>0.0</v>
      </c>
      <c r="DG175" s="35">
        <v>0.0</v>
      </c>
      <c r="DH175" s="35">
        <v>0.0</v>
      </c>
      <c r="DI175" s="35">
        <v>0.0</v>
      </c>
      <c r="DJ175" s="35">
        <v>0.0</v>
      </c>
      <c r="DK175" s="35">
        <v>0.0</v>
      </c>
      <c r="DL175" s="35">
        <v>0.0</v>
      </c>
      <c r="DM175" s="35">
        <v>0.0</v>
      </c>
      <c r="DN175" s="31">
        <v>0.0</v>
      </c>
      <c r="DO175" s="31">
        <v>0.0</v>
      </c>
      <c r="DP175" s="31">
        <v>0.0</v>
      </c>
      <c r="DQ175" s="31">
        <v>0.0</v>
      </c>
      <c r="DR175" s="31">
        <v>0.0</v>
      </c>
      <c r="DS175" s="31">
        <v>0.0</v>
      </c>
      <c r="DT175" s="31">
        <f>'Old Balance Sheet'!AC175</f>
        <v>0</v>
      </c>
      <c r="DU175" s="31">
        <f>DT175 + SUMIFS('Payments Log'!D:D, 'Payments Log'!B:B, A175, 'Payments Log'!L:L, "Approved", 'Payments Log'!M:M, "Credit") + 'Old Balance Sheet'!AD175 - 'Old Balance Sheet'!AC175</f>
        <v>475862</v>
      </c>
      <c r="DV175" s="31">
        <f>SUMIFS('Payments Log'!D:D, 'Payments Log'!B:B, A175, 'Payments Log'!L:L, "Approved", 'Payments Log'!M:M, "Adjustment Credit") - SUMIFS('Payments Log'!D:D, 'Payments Log'!B:B, A175, 'Payments Log'!L:L, "Approved", 'Payments Log'!M:M, "Adjustment Debit") + 'Old Balance Sheet'!AE175</f>
        <v>1768.5</v>
      </c>
      <c r="DW175" s="31">
        <f>IF(MAXIFS('Payments Log'!N:N, 'Payments Log'!L:L, "Approved", 'Payments Log'!M:M, "Credit", 'Payments Log'!B:B, A175) &gt; MAXIFS('Payments Log'!N:N, 'Payments Log'!L:L, "Approved", 'Payments Log'!M:M, "Virtual Credit", 'Payments Log'!B:B, A175), 0, SUMIFS('Payments Log'!D:D, 'Payments Log'!N:N, MAXIFS('Payments Log'!N:N, 'Payments Log'!L:L, "Approved", 'Payments Log'!M:M, "Virtual Credit", 'Payments Log'!B:B, A175)))</f>
        <v>0</v>
      </c>
      <c r="DX175" s="33">
        <f t="shared" si="6"/>
        <v>17228.91</v>
      </c>
      <c r="DY175" s="33">
        <f t="shared" si="7"/>
        <v>17228.91</v>
      </c>
      <c r="DZ175" s="33">
        <f t="shared" si="8"/>
        <v>17228.91</v>
      </c>
      <c r="EA175" s="25" t="str">
        <f>(Sheet1!N175)</f>
        <v>MAHESH MOTORS - DINAJPUR</v>
      </c>
      <c r="EB175" s="25" t="str">
        <f>(Sheet1!O175)</f>
        <v>1DVpSm5a7kKqZxFgDUdJBRIcgAuTZosRKDnkmPEIdEG4</v>
      </c>
      <c r="EC175" s="26" t="str">
        <f>(Sheet1!P175)</f>
        <v>Dealer</v>
      </c>
      <c r="ED175" s="34" t="s">
        <v>13</v>
      </c>
    </row>
    <row r="176">
      <c r="A176" s="25" t="str">
        <f>(Sheet1!A176)</f>
        <v>1oQVPfd8k9NkVTkQGOHRAq_y-oNhBZ1Ssb0pUJIc1AnM</v>
      </c>
      <c r="B176" s="25" t="str">
        <f>(Sheet1!B176)</f>
        <v>Standard Auto Agency - Bahraich</v>
      </c>
      <c r="C176" s="30" t="s">
        <v>13</v>
      </c>
      <c r="D176" s="25" t="s">
        <v>72</v>
      </c>
      <c r="E176" s="25" t="s">
        <v>3820</v>
      </c>
      <c r="F176" s="31">
        <v>185.0</v>
      </c>
      <c r="G176" s="25" t="s">
        <v>3818</v>
      </c>
      <c r="H176" s="33">
        <v>100.0</v>
      </c>
      <c r="I176" s="33">
        <f>'Old Balance Sheet'!A176 + 'ACPL Calculations - 1.0'!A176 + 'ACPL Calculations - 2.0'!A176</f>
        <v>790</v>
      </c>
      <c r="J176" s="25" t="s">
        <v>3820</v>
      </c>
      <c r="K176" s="33">
        <v>205.0</v>
      </c>
      <c r="L176" s="25" t="s">
        <v>3818</v>
      </c>
      <c r="M176" s="33">
        <v>100.0</v>
      </c>
      <c r="N176" s="33">
        <f>'Old Balance Sheet'!B176 + 'ACPL Calculations - 1.0'!B176 + 'ACPL Calculations - 2.0'!B176</f>
        <v>0</v>
      </c>
      <c r="O176" s="25" t="s">
        <v>3820</v>
      </c>
      <c r="P176" s="33">
        <v>290.0</v>
      </c>
      <c r="Q176" s="25" t="s">
        <v>3818</v>
      </c>
      <c r="R176" s="33">
        <v>100.0</v>
      </c>
      <c r="S176" s="33">
        <f>'Old Balance Sheet'!C176 + 'ACPL Calculations - 1.0'!C176 + 'ACPL Calculations - 2.0'!C176</f>
        <v>0</v>
      </c>
      <c r="T176" s="25" t="s">
        <v>3820</v>
      </c>
      <c r="U176" s="33">
        <v>375.0</v>
      </c>
      <c r="V176" s="25" t="s">
        <v>3818</v>
      </c>
      <c r="W176" s="33">
        <v>100.0</v>
      </c>
      <c r="X176" s="33">
        <f>'Old Balance Sheet'!D176 + 'ACPL Calculations - 1.0'!D176 + 'ACPL Calculations - 2.0'!D176</f>
        <v>0</v>
      </c>
      <c r="Y176" s="25" t="s">
        <v>3820</v>
      </c>
      <c r="Z176" s="33">
        <v>460.0</v>
      </c>
      <c r="AA176" s="42" t="s">
        <v>3818</v>
      </c>
      <c r="AB176" s="43">
        <v>100.0</v>
      </c>
      <c r="AC176" s="33">
        <f>'Old Balance Sheet'!E176 + 'ACPL Calculations - 1.0'!E176 + 'ACPL Calculations - 2.0'!E176</f>
        <v>0</v>
      </c>
      <c r="AD176" s="25" t="s">
        <v>3820</v>
      </c>
      <c r="AE176" s="33">
        <v>838.99</v>
      </c>
      <c r="AF176" s="42" t="s">
        <v>3818</v>
      </c>
      <c r="AG176" s="43">
        <v>100.0</v>
      </c>
      <c r="AH176" s="33">
        <f>'Old Balance Sheet'!F176 + 'ACPL Calculations - 1.0'!F176 + 'ACPL Calculations - 2.0'!F176</f>
        <v>0</v>
      </c>
      <c r="AI176" s="25" t="s">
        <v>3820</v>
      </c>
      <c r="AJ176" s="33">
        <v>375.0</v>
      </c>
      <c r="AK176" s="42" t="s">
        <v>3818</v>
      </c>
      <c r="AL176" s="43">
        <v>100.0</v>
      </c>
      <c r="AM176" s="33">
        <f>'Old Balance Sheet'!G176 + 'ACPL Calculations - 1.0'!G176 + 'ACPL Calculations - 2.0'!G176</f>
        <v>0</v>
      </c>
      <c r="AN176" s="25" t="s">
        <v>3820</v>
      </c>
      <c r="AO176" s="33">
        <v>290.0</v>
      </c>
      <c r="AP176" s="42" t="s">
        <v>3818</v>
      </c>
      <c r="AQ176" s="43">
        <v>100.0</v>
      </c>
      <c r="AR176" s="33">
        <f>'Old Balance Sheet'!H176 + 'ACPL Calculations - 1.0'!H176 + 'ACPL Calculations - 2.0'!H176</f>
        <v>0</v>
      </c>
      <c r="AS176" s="25" t="s">
        <v>3819</v>
      </c>
      <c r="AT176" s="33">
        <v>838.99</v>
      </c>
      <c r="AU176" s="42" t="s">
        <v>3818</v>
      </c>
      <c r="AV176" s="43">
        <v>100.0</v>
      </c>
      <c r="AW176" s="33">
        <f>'Old Balance Sheet'!I176 + 'ACPL Calculations - 1.0'!I176 + 'ACPL Calculations - 2.0'!I176</f>
        <v>0</v>
      </c>
      <c r="AX176" s="25" t="s">
        <v>3820</v>
      </c>
      <c r="AY176" s="31">
        <v>290.0</v>
      </c>
      <c r="AZ176" s="42" t="s">
        <v>3818</v>
      </c>
      <c r="BA176" s="43">
        <v>100.0</v>
      </c>
      <c r="BB176" s="33">
        <f>'Old Balance Sheet'!J176 + 'ACPL Calculations - 1.0'!J176 + 'ACPL Calculations - 2.0'!J176</f>
        <v>0</v>
      </c>
      <c r="BC176" s="25" t="s">
        <v>3820</v>
      </c>
      <c r="BD176" s="31">
        <v>205.0</v>
      </c>
      <c r="BE176" s="42" t="s">
        <v>3818</v>
      </c>
      <c r="BF176" s="43">
        <v>100.0</v>
      </c>
      <c r="BG176" s="33">
        <f>'Old Balance Sheet'!K176 + 'ACPL Calculations - 1.0'!K176 + 'ACPL Calculations - 2.0'!K176</f>
        <v>0</v>
      </c>
      <c r="BH176" s="25" t="s">
        <v>3820</v>
      </c>
      <c r="BI176" s="31">
        <v>205.0</v>
      </c>
      <c r="BJ176" s="42" t="s">
        <v>3818</v>
      </c>
      <c r="BK176" s="43">
        <v>100.0</v>
      </c>
      <c r="BL176" s="33">
        <f>'Old Balance Sheet'!L176 + 'ACPL Calculations - 1.0'!L176 + 'ACPL Calculations - 2.0'!L176</f>
        <v>0</v>
      </c>
      <c r="BM176" s="25"/>
      <c r="BN176" s="25"/>
      <c r="BO176" s="25"/>
      <c r="BP176" s="25"/>
      <c r="BQ176" s="25"/>
      <c r="BR176" s="25"/>
      <c r="BS176" s="25"/>
      <c r="BT176" s="25"/>
      <c r="BU176" s="25"/>
      <c r="BV176" s="25"/>
      <c r="BW176" s="25"/>
      <c r="BX176" s="25"/>
      <c r="BY176" s="25"/>
      <c r="BZ176" s="25"/>
      <c r="CA176" s="25"/>
      <c r="CB176" s="25"/>
      <c r="CC176" s="25"/>
      <c r="CD176" s="25"/>
      <c r="CE176" s="25"/>
      <c r="CF176" s="25"/>
      <c r="CG176" s="25"/>
      <c r="CH176" s="25"/>
      <c r="CI176" s="25"/>
      <c r="CJ176" s="25"/>
      <c r="CK176" s="25"/>
      <c r="CL176" s="33">
        <f t="shared" si="1"/>
        <v>790</v>
      </c>
      <c r="CM176" s="33">
        <f>'Old Balance Sheet'!R176 + 'ACPL Calculations - 1.0'!S176 + 'ACPL Calculations - 2.0'!S176</f>
        <v>349180</v>
      </c>
      <c r="CN176" s="33">
        <f>'Old Balance Sheet'!S176 + 'ACPL Calculations - 1.0'!T176 + 'ACPL Calculations - 2.0'!T176</f>
        <v>153850</v>
      </c>
      <c r="CO176" s="33">
        <f t="shared" si="2"/>
        <v>207111.8</v>
      </c>
      <c r="CP176" s="33">
        <f>'Old Balance Sheet'!T176 + 'ACPL Calculations - 1.0'!V176 + 'ACPL Calculations - 2.0'!V176</f>
        <v>0</v>
      </c>
      <c r="CQ176" s="33">
        <f>'Old Balance Sheet'!U176 + 'ACPL Calculations - 1.0'!W176 + 'ACPL Calculations - 2.0'!W176</f>
        <v>0</v>
      </c>
      <c r="CR176" s="33">
        <f>'Old Balance Sheet'!V176 + 'ACPL Calculations - 1.0'!X176 + 'ACPL Calculations - 2.0'!X176</f>
        <v>53261.8</v>
      </c>
      <c r="CS176" s="33">
        <f t="shared" si="3"/>
        <v>53261.8</v>
      </c>
      <c r="CT176" s="35"/>
      <c r="CU176" s="35"/>
      <c r="CV176" s="35"/>
      <c r="CW176" s="36">
        <f>'Old Balance Sheet'!W176 + 'ACPL Calculations - 1.0'!Z176 + 'ACPL Calculations - 2.0'!Z176</f>
        <v>349180</v>
      </c>
      <c r="CX176" s="36">
        <f>'Old Balance Sheet'!X176 + 'ACPL Calculations - 1.0'!AA176 + 'ACPL Calculations - 2.0'!AA176</f>
        <v>212256.35</v>
      </c>
      <c r="CY176" s="37">
        <v>0.0</v>
      </c>
      <c r="CZ176" s="38">
        <f>'Old Balance Sheet'!Y176 + 'ACPL Calculations - 1.0'!AB176 + 'ACPL Calculations - 2.0'!AB176</f>
        <v>140763.05</v>
      </c>
      <c r="DA176" s="38">
        <f>'Old Balance Sheet'!Z176 + 'ACPL Calculations - 1.0'!AC176 + 'ACPL Calculations - 2.0'!AC176</f>
        <v>0</v>
      </c>
      <c r="DB176" s="38">
        <f>'Old Balance Sheet'!AA176 + 'ACPL Calculations - 1.0'!AD176 + 'ACPL Calculations - 2.0'!AD176</f>
        <v>5144.55</v>
      </c>
      <c r="DC176" s="38">
        <f>'Old Balance Sheet'!AB176 + 'ACPL Calculations - 1.0'!AE176 + 'ACPL Calculations - 2.0'!AE176</f>
        <v>136923.65</v>
      </c>
      <c r="DD176" s="38">
        <f t="shared" si="4"/>
        <v>136923.65</v>
      </c>
      <c r="DE176" s="33">
        <f t="shared" si="5"/>
        <v>136923.65</v>
      </c>
      <c r="DF176" s="35">
        <v>0.0</v>
      </c>
      <c r="DG176" s="35">
        <v>0.0</v>
      </c>
      <c r="DH176" s="35">
        <v>0.0</v>
      </c>
      <c r="DI176" s="35">
        <v>0.0</v>
      </c>
      <c r="DJ176" s="35">
        <v>0.0</v>
      </c>
      <c r="DK176" s="35">
        <v>0.0</v>
      </c>
      <c r="DL176" s="35">
        <v>0.0</v>
      </c>
      <c r="DM176" s="35">
        <v>0.0</v>
      </c>
      <c r="DN176" s="31">
        <v>0.0</v>
      </c>
      <c r="DO176" s="31">
        <v>0.0</v>
      </c>
      <c r="DP176" s="31">
        <v>0.0</v>
      </c>
      <c r="DQ176" s="31">
        <v>0.0</v>
      </c>
      <c r="DR176" s="31">
        <v>0.0</v>
      </c>
      <c r="DS176" s="31">
        <v>0.0</v>
      </c>
      <c r="DT176" s="31">
        <f>'Old Balance Sheet'!AC176</f>
        <v>0</v>
      </c>
      <c r="DU176" s="31">
        <f>DT176 + SUMIFS('Payments Log'!D:D, 'Payments Log'!B:B, A176, 'Payments Log'!L:L, "Approved", 'Payments Log'!M:M, "Credit") + 'Old Balance Sheet'!AD176 - 'Old Balance Sheet'!AC176</f>
        <v>349180</v>
      </c>
      <c r="DV176" s="31">
        <f>SUMIFS('Payments Log'!D:D, 'Payments Log'!B:B, A176, 'Payments Log'!L:L, "Approved", 'Payments Log'!M:M, "Adjustment Credit") - SUMIFS('Payments Log'!D:D, 'Payments Log'!B:B, A176, 'Payments Log'!L:L, "Approved", 'Payments Log'!M:M, "Adjustment Debit") + 'Old Balance Sheet'!AE176</f>
        <v>0</v>
      </c>
      <c r="DW176" s="31">
        <f>IF(MAXIFS('Payments Log'!N:N, 'Payments Log'!L:L, "Approved", 'Payments Log'!M:M, "Credit", 'Payments Log'!B:B, A176) &gt; MAXIFS('Payments Log'!N:N, 'Payments Log'!L:L, "Approved", 'Payments Log'!M:M, "Virtual Credit", 'Payments Log'!B:B, A176), 0, SUMIFS('Payments Log'!D:D, 'Payments Log'!N:N, MAXIFS('Payments Log'!N:N, 'Payments Log'!L:L, "Approved", 'Payments Log'!M:M, "Virtual Credit", 'Payments Log'!B:B, A176)))</f>
        <v>0</v>
      </c>
      <c r="DX176" s="33">
        <f t="shared" si="6"/>
        <v>0</v>
      </c>
      <c r="DY176" s="33">
        <f t="shared" si="7"/>
        <v>136923.65</v>
      </c>
      <c r="DZ176" s="33">
        <f t="shared" si="8"/>
        <v>136923.65</v>
      </c>
      <c r="EA176" s="25" t="str">
        <f>(Sheet1!N176)</f>
        <v>Standard Auto Agency - Bahraich</v>
      </c>
      <c r="EB176" s="25" t="str">
        <f>(Sheet1!O176)</f>
        <v>1oQVPfd8k9NkVTkQGOHRAq_y-oNhBZ1Ssb0pUJIc1AnM</v>
      </c>
      <c r="EC176" s="26" t="str">
        <f>(Sheet1!P176)</f>
        <v>Dealer</v>
      </c>
      <c r="ED176" s="34" t="s">
        <v>13</v>
      </c>
    </row>
    <row r="177">
      <c r="A177" s="25" t="str">
        <f>(Sheet1!A177)</f>
        <v>1MZSuDBhj6MvXnyvchodYUa5X-Tmx0AyJTkxlHAAvtro</v>
      </c>
      <c r="B177" s="25" t="str">
        <f>(Sheet1!B177)</f>
        <v>Krishna &amp; Company - Bahraich</v>
      </c>
      <c r="C177" s="30" t="s">
        <v>13</v>
      </c>
      <c r="D177" s="25" t="s">
        <v>72</v>
      </c>
      <c r="E177" s="25" t="s">
        <v>3820</v>
      </c>
      <c r="F177" s="31">
        <v>185.0</v>
      </c>
      <c r="G177" s="25" t="s">
        <v>3818</v>
      </c>
      <c r="H177" s="33">
        <v>100.0</v>
      </c>
      <c r="I177" s="33">
        <f>'Old Balance Sheet'!A177 + 'ACPL Calculations - 1.0'!A177 + 'ACPL Calculations - 2.0'!A177</f>
        <v>5</v>
      </c>
      <c r="J177" s="25" t="s">
        <v>3820</v>
      </c>
      <c r="K177" s="33">
        <v>205.0</v>
      </c>
      <c r="L177" s="25" t="s">
        <v>3818</v>
      </c>
      <c r="M177" s="33">
        <v>100.0</v>
      </c>
      <c r="N177" s="33">
        <f>'Old Balance Sheet'!B177 + 'ACPL Calculations - 1.0'!B177 + 'ACPL Calculations - 2.0'!B177</f>
        <v>0</v>
      </c>
      <c r="O177" s="25" t="s">
        <v>3820</v>
      </c>
      <c r="P177" s="31">
        <v>290.0</v>
      </c>
      <c r="Q177" s="25" t="s">
        <v>3818</v>
      </c>
      <c r="R177" s="33">
        <v>100.0</v>
      </c>
      <c r="S177" s="33">
        <f>'Old Balance Sheet'!C177 + 'ACPL Calculations - 1.0'!C177 + 'ACPL Calculations - 2.0'!C177</f>
        <v>334</v>
      </c>
      <c r="T177" s="25" t="s">
        <v>3820</v>
      </c>
      <c r="U177" s="33">
        <v>375.0</v>
      </c>
      <c r="V177" s="25" t="s">
        <v>3818</v>
      </c>
      <c r="W177" s="33">
        <v>100.0</v>
      </c>
      <c r="X177" s="33">
        <f>'Old Balance Sheet'!D177 + 'ACPL Calculations - 1.0'!D177 + 'ACPL Calculations - 2.0'!D177</f>
        <v>0</v>
      </c>
      <c r="Y177" s="25" t="s">
        <v>3820</v>
      </c>
      <c r="Z177" s="33">
        <v>460.0</v>
      </c>
      <c r="AA177" s="42" t="s">
        <v>3818</v>
      </c>
      <c r="AB177" s="43">
        <v>100.0</v>
      </c>
      <c r="AC177" s="33">
        <f>'Old Balance Sheet'!E177 + 'ACPL Calculations - 1.0'!E177 + 'ACPL Calculations - 2.0'!E177</f>
        <v>0</v>
      </c>
      <c r="AD177" s="25" t="s">
        <v>3820</v>
      </c>
      <c r="AE177" s="33">
        <v>838.99</v>
      </c>
      <c r="AF177" s="42" t="s">
        <v>3818</v>
      </c>
      <c r="AG177" s="43">
        <v>100.0</v>
      </c>
      <c r="AH177" s="33">
        <f>'Old Balance Sheet'!F177 + 'ACPL Calculations - 1.0'!F177 + 'ACPL Calculations - 2.0'!F177</f>
        <v>0</v>
      </c>
      <c r="AI177" s="25" t="s">
        <v>3820</v>
      </c>
      <c r="AJ177" s="33">
        <v>375.0</v>
      </c>
      <c r="AK177" s="42" t="s">
        <v>3818</v>
      </c>
      <c r="AL177" s="43">
        <v>100.0</v>
      </c>
      <c r="AM177" s="33">
        <f>'Old Balance Sheet'!G177 + 'ACPL Calculations - 1.0'!G177 + 'ACPL Calculations - 2.0'!G177</f>
        <v>0</v>
      </c>
      <c r="AN177" s="25" t="s">
        <v>3820</v>
      </c>
      <c r="AO177" s="33">
        <v>290.0</v>
      </c>
      <c r="AP177" s="42" t="s">
        <v>3818</v>
      </c>
      <c r="AQ177" s="43">
        <v>100.0</v>
      </c>
      <c r="AR177" s="33">
        <f>'Old Balance Sheet'!H177 + 'ACPL Calculations - 1.0'!H177 + 'ACPL Calculations - 2.0'!H177</f>
        <v>0</v>
      </c>
      <c r="AS177" s="25" t="s">
        <v>3819</v>
      </c>
      <c r="AT177" s="33">
        <v>838.99</v>
      </c>
      <c r="AU177" s="42" t="s">
        <v>3818</v>
      </c>
      <c r="AV177" s="43">
        <v>100.0</v>
      </c>
      <c r="AW177" s="33">
        <f>'Old Balance Sheet'!I177 + 'ACPL Calculations - 1.0'!I177 + 'ACPL Calculations - 2.0'!I177</f>
        <v>0</v>
      </c>
      <c r="AX177" s="25" t="s">
        <v>3820</v>
      </c>
      <c r="AY177" s="31">
        <v>290.0</v>
      </c>
      <c r="AZ177" s="42" t="s">
        <v>3818</v>
      </c>
      <c r="BA177" s="43">
        <v>100.0</v>
      </c>
      <c r="BB177" s="33">
        <f>'Old Balance Sheet'!J177 + 'ACPL Calculations - 1.0'!J177 + 'ACPL Calculations - 2.0'!J177</f>
        <v>0</v>
      </c>
      <c r="BC177" s="25" t="s">
        <v>3820</v>
      </c>
      <c r="BD177" s="31">
        <v>205.0</v>
      </c>
      <c r="BE177" s="42" t="s">
        <v>3818</v>
      </c>
      <c r="BF177" s="43">
        <v>100.0</v>
      </c>
      <c r="BG177" s="33">
        <f>'Old Balance Sheet'!K177 + 'ACPL Calculations - 1.0'!K177 + 'ACPL Calculations - 2.0'!K177</f>
        <v>0</v>
      </c>
      <c r="BH177" s="25" t="s">
        <v>3820</v>
      </c>
      <c r="BI177" s="31">
        <v>205.0</v>
      </c>
      <c r="BJ177" s="42" t="s">
        <v>3818</v>
      </c>
      <c r="BK177" s="43">
        <v>100.0</v>
      </c>
      <c r="BL177" s="33">
        <f>'Old Balance Sheet'!L177 + 'ACPL Calculations - 1.0'!L177 + 'ACPL Calculations - 2.0'!L177</f>
        <v>0</v>
      </c>
      <c r="BM177" s="25"/>
      <c r="BN177" s="25"/>
      <c r="BO177" s="25"/>
      <c r="BP177" s="25"/>
      <c r="BQ177" s="25"/>
      <c r="BR177" s="25"/>
      <c r="BS177" s="25"/>
      <c r="BT177" s="25"/>
      <c r="BU177" s="25"/>
      <c r="BV177" s="25"/>
      <c r="BW177" s="25"/>
      <c r="BX177" s="25"/>
      <c r="BY177" s="25"/>
      <c r="BZ177" s="25"/>
      <c r="CA177" s="25"/>
      <c r="CB177" s="25"/>
      <c r="CC177" s="25"/>
      <c r="CD177" s="25"/>
      <c r="CE177" s="25"/>
      <c r="CF177" s="25"/>
      <c r="CG177" s="25"/>
      <c r="CH177" s="25"/>
      <c r="CI177" s="25"/>
      <c r="CJ177" s="25"/>
      <c r="CK177" s="25"/>
      <c r="CL177" s="33">
        <f t="shared" si="1"/>
        <v>339</v>
      </c>
      <c r="CM177" s="33">
        <f>'Old Balance Sheet'!R177 + 'ACPL Calculations - 1.0'!S177 + 'ACPL Calculations - 2.0'!S177</f>
        <v>149826</v>
      </c>
      <c r="CN177" s="33">
        <f>'Old Balance Sheet'!S177 + 'ACPL Calculations - 1.0'!T177 + 'ACPL Calculations - 2.0'!T177</f>
        <v>66340</v>
      </c>
      <c r="CO177" s="33">
        <f t="shared" si="2"/>
        <v>89193.56</v>
      </c>
      <c r="CP177" s="33">
        <f>'Old Balance Sheet'!T177 + 'ACPL Calculations - 1.0'!V177 + 'ACPL Calculations - 2.0'!V177</f>
        <v>0</v>
      </c>
      <c r="CQ177" s="33">
        <f>'Old Balance Sheet'!U177 + 'ACPL Calculations - 1.0'!W177 + 'ACPL Calculations - 2.0'!W177</f>
        <v>0</v>
      </c>
      <c r="CR177" s="33">
        <f>'Old Balance Sheet'!V177 + 'ACPL Calculations - 1.0'!X177 + 'ACPL Calculations - 2.0'!X177</f>
        <v>22853.56</v>
      </c>
      <c r="CS177" s="33">
        <f t="shared" si="3"/>
        <v>22853.56</v>
      </c>
      <c r="CT177" s="35"/>
      <c r="CU177" s="35"/>
      <c r="CV177" s="35"/>
      <c r="CW177" s="36">
        <f>'Old Balance Sheet'!W177 + 'ACPL Calculations - 1.0'!Z177 + 'ACPL Calculations - 2.0'!Z177</f>
        <v>149826</v>
      </c>
      <c r="CX177" s="36">
        <f>'Old Balance Sheet'!X177 + 'ACPL Calculations - 1.0'!AA177 + 'ACPL Calculations - 2.0'!AA177</f>
        <v>91334.79</v>
      </c>
      <c r="CY177" s="37">
        <v>0.0</v>
      </c>
      <c r="CZ177" s="38">
        <f>'Old Balance Sheet'!Y177 + 'ACPL Calculations - 1.0'!AB177 + 'ACPL Calculations - 2.0'!AB177</f>
        <v>60039.19</v>
      </c>
      <c r="DA177" s="38">
        <f>'Old Balance Sheet'!Z177 + 'ACPL Calculations - 1.0'!AC177 + 'ACPL Calculations - 2.0'!AC177</f>
        <v>0</v>
      </c>
      <c r="DB177" s="38">
        <f>'Old Balance Sheet'!AA177 + 'ACPL Calculations - 1.0'!AD177 + 'ACPL Calculations - 2.0'!AD177</f>
        <v>2141.23</v>
      </c>
      <c r="DC177" s="38">
        <f>'Old Balance Sheet'!AB177 + 'ACPL Calculations - 1.0'!AE177 + 'ACPL Calculations - 2.0'!AE177</f>
        <v>58491.21</v>
      </c>
      <c r="DD177" s="38">
        <f t="shared" si="4"/>
        <v>58491.21</v>
      </c>
      <c r="DE177" s="33">
        <f t="shared" si="5"/>
        <v>58491.21</v>
      </c>
      <c r="DF177" s="35">
        <v>0.0</v>
      </c>
      <c r="DG177" s="35">
        <v>0.0</v>
      </c>
      <c r="DH177" s="35">
        <v>0.0</v>
      </c>
      <c r="DI177" s="35">
        <v>0.0</v>
      </c>
      <c r="DJ177" s="35">
        <v>0.0</v>
      </c>
      <c r="DK177" s="35">
        <v>0.0</v>
      </c>
      <c r="DL177" s="35">
        <v>0.0</v>
      </c>
      <c r="DM177" s="35">
        <v>0.0</v>
      </c>
      <c r="DN177" s="31">
        <v>0.0</v>
      </c>
      <c r="DO177" s="31">
        <v>0.0</v>
      </c>
      <c r="DP177" s="31">
        <v>0.0</v>
      </c>
      <c r="DQ177" s="31">
        <v>0.0</v>
      </c>
      <c r="DR177" s="31">
        <v>0.0</v>
      </c>
      <c r="DS177" s="31">
        <v>0.0</v>
      </c>
      <c r="DT177" s="31">
        <f>'Old Balance Sheet'!AC177</f>
        <v>0</v>
      </c>
      <c r="DU177" s="31">
        <f>DT177 + SUMIFS('Payments Log'!D:D, 'Payments Log'!B:B, A177, 'Payments Log'!L:L, "Approved", 'Payments Log'!M:M, "Credit") + 'Old Balance Sheet'!AD177 - 'Old Balance Sheet'!AC177</f>
        <v>149826</v>
      </c>
      <c r="DV177" s="31">
        <f>SUMIFS('Payments Log'!D:D, 'Payments Log'!B:B, A177, 'Payments Log'!L:L, "Approved", 'Payments Log'!M:M, "Adjustment Credit") - SUMIFS('Payments Log'!D:D, 'Payments Log'!B:B, A177, 'Payments Log'!L:L, "Approved", 'Payments Log'!M:M, "Adjustment Debit") + 'Old Balance Sheet'!AE177</f>
        <v>0</v>
      </c>
      <c r="DW177" s="31">
        <f>IF(MAXIFS('Payments Log'!N:N, 'Payments Log'!L:L, "Approved", 'Payments Log'!M:M, "Credit", 'Payments Log'!B:B, A177) &gt; MAXIFS('Payments Log'!N:N, 'Payments Log'!L:L, "Approved", 'Payments Log'!M:M, "Virtual Credit", 'Payments Log'!B:B, A177), 0, SUMIFS('Payments Log'!D:D, 'Payments Log'!N:N, MAXIFS('Payments Log'!N:N, 'Payments Log'!L:L, "Approved", 'Payments Log'!M:M, "Virtual Credit", 'Payments Log'!B:B, A177)))</f>
        <v>0</v>
      </c>
      <c r="DX177" s="33">
        <f t="shared" si="6"/>
        <v>0</v>
      </c>
      <c r="DY177" s="33">
        <f t="shared" si="7"/>
        <v>58491.21</v>
      </c>
      <c r="DZ177" s="33">
        <f t="shared" si="8"/>
        <v>58491.21</v>
      </c>
      <c r="EA177" s="25" t="str">
        <f>(Sheet1!N177)</f>
        <v>Krishna &amp; Company - Bahraich</v>
      </c>
      <c r="EB177" s="25" t="str">
        <f>(Sheet1!O177)</f>
        <v>1MZSuDBhj6MvXnyvchodYUa5X-Tmx0AyJTkxlHAAvtro</v>
      </c>
      <c r="EC177" s="26" t="str">
        <f>(Sheet1!P177)</f>
        <v>Dealer</v>
      </c>
      <c r="ED177" s="34" t="s">
        <v>13</v>
      </c>
    </row>
    <row r="178">
      <c r="A178" s="25" t="str">
        <f>(Sheet1!A178)</f>
        <v>1F-qgo65nyduysDsu4OiPqLBtjm1sTnysGmg4Ke93FbU</v>
      </c>
      <c r="B178" s="25" t="str">
        <f>(Sheet1!B178)</f>
        <v>Shri Narain auto</v>
      </c>
      <c r="C178" s="30" t="s">
        <v>13</v>
      </c>
      <c r="D178" s="30" t="s">
        <v>72</v>
      </c>
      <c r="E178" s="30" t="s">
        <v>3817</v>
      </c>
      <c r="F178" s="31">
        <v>205.0</v>
      </c>
      <c r="G178" s="32" t="s">
        <v>3818</v>
      </c>
      <c r="H178" s="31">
        <v>100.0</v>
      </c>
      <c r="I178" s="33">
        <f>'Old Balance Sheet'!A178 + 'ACPL Calculations - 1.0'!A178 + 'ACPL Calculations - 2.0'!A178</f>
        <v>1829</v>
      </c>
      <c r="J178" s="30" t="s">
        <v>3817</v>
      </c>
      <c r="K178" s="31">
        <v>205.0</v>
      </c>
      <c r="L178" s="32" t="s">
        <v>3818</v>
      </c>
      <c r="M178" s="31">
        <v>100.0</v>
      </c>
      <c r="N178" s="33">
        <f>'Old Balance Sheet'!B178 + 'ACPL Calculations - 1.0'!B178 + 'ACPL Calculations - 2.0'!B178</f>
        <v>0</v>
      </c>
      <c r="O178" s="30" t="s">
        <v>3817</v>
      </c>
      <c r="P178" s="31">
        <v>290.0</v>
      </c>
      <c r="Q178" s="32" t="s">
        <v>3818</v>
      </c>
      <c r="R178" s="31">
        <v>100.0</v>
      </c>
      <c r="S178" s="33">
        <f>'Old Balance Sheet'!C178 + 'ACPL Calculations - 1.0'!C178 + 'ACPL Calculations - 2.0'!C178</f>
        <v>0</v>
      </c>
      <c r="T178" s="30" t="s">
        <v>3817</v>
      </c>
      <c r="U178" s="31">
        <v>375.0</v>
      </c>
      <c r="V178" s="32" t="s">
        <v>3818</v>
      </c>
      <c r="W178" s="31">
        <v>100.0</v>
      </c>
      <c r="X178" s="33">
        <f>'Old Balance Sheet'!D178 + 'ACPL Calculations - 1.0'!D178 + 'ACPL Calculations - 2.0'!D178</f>
        <v>0</v>
      </c>
      <c r="Y178" s="30" t="s">
        <v>3817</v>
      </c>
      <c r="Z178" s="31">
        <v>460.0</v>
      </c>
      <c r="AA178" s="32" t="s">
        <v>3818</v>
      </c>
      <c r="AB178" s="31">
        <v>100.0</v>
      </c>
      <c r="AC178" s="33">
        <f>'Old Balance Sheet'!E178 + 'ACPL Calculations - 1.0'!E178 + 'ACPL Calculations - 2.0'!E178</f>
        <v>0</v>
      </c>
      <c r="AD178" s="30" t="s">
        <v>3817</v>
      </c>
      <c r="AE178" s="34">
        <v>838.99</v>
      </c>
      <c r="AF178" s="32" t="s">
        <v>3818</v>
      </c>
      <c r="AG178" s="31">
        <v>100.0</v>
      </c>
      <c r="AH178" s="33">
        <f>'Old Balance Sheet'!F178 + 'ACPL Calculations - 1.0'!F178 + 'ACPL Calculations - 2.0'!F178</f>
        <v>0</v>
      </c>
      <c r="AI178" s="30" t="s">
        <v>3817</v>
      </c>
      <c r="AJ178" s="31">
        <v>375.0</v>
      </c>
      <c r="AK178" s="32" t="s">
        <v>3818</v>
      </c>
      <c r="AL178" s="31">
        <v>100.0</v>
      </c>
      <c r="AM178" s="33">
        <f>'Old Balance Sheet'!G178 + 'ACPL Calculations - 1.0'!G178 + 'ACPL Calculations - 2.0'!G178</f>
        <v>0</v>
      </c>
      <c r="AN178" s="30" t="s">
        <v>3817</v>
      </c>
      <c r="AO178" s="31">
        <v>290.0</v>
      </c>
      <c r="AP178" s="32" t="s">
        <v>3818</v>
      </c>
      <c r="AQ178" s="31">
        <v>100.0</v>
      </c>
      <c r="AR178" s="33">
        <f>'Old Balance Sheet'!H178 + 'ACPL Calculations - 1.0'!H178 + 'ACPL Calculations - 2.0'!H178</f>
        <v>0</v>
      </c>
      <c r="AS178" s="30" t="s">
        <v>3819</v>
      </c>
      <c r="AT178" s="31">
        <v>838.99</v>
      </c>
      <c r="AU178" s="32" t="s">
        <v>3818</v>
      </c>
      <c r="AV178" s="31">
        <v>100.0</v>
      </c>
      <c r="AW178" s="33">
        <f>'Old Balance Sheet'!I178 + 'ACPL Calculations - 1.0'!I178 + 'ACPL Calculations - 2.0'!I178</f>
        <v>0</v>
      </c>
      <c r="AX178" s="30" t="s">
        <v>3817</v>
      </c>
      <c r="AY178" s="31">
        <v>290.0</v>
      </c>
      <c r="AZ178" s="32" t="s">
        <v>3818</v>
      </c>
      <c r="BA178" s="31">
        <v>100.0</v>
      </c>
      <c r="BB178" s="33">
        <f>'Old Balance Sheet'!J178 + 'ACPL Calculations - 1.0'!J178 + 'ACPL Calculations - 2.0'!J178</f>
        <v>0</v>
      </c>
      <c r="BC178" s="30" t="s">
        <v>3817</v>
      </c>
      <c r="BD178" s="31">
        <v>205.0</v>
      </c>
      <c r="BE178" s="32" t="s">
        <v>3818</v>
      </c>
      <c r="BF178" s="31">
        <v>100.0</v>
      </c>
      <c r="BG178" s="33">
        <f>'Old Balance Sheet'!K178 + 'ACPL Calculations - 1.0'!K178 + 'ACPL Calculations - 2.0'!K178</f>
        <v>0</v>
      </c>
      <c r="BH178" s="30" t="s">
        <v>3817</v>
      </c>
      <c r="BI178" s="31">
        <v>205.0</v>
      </c>
      <c r="BJ178" s="32" t="s">
        <v>3818</v>
      </c>
      <c r="BK178" s="31">
        <v>100.0</v>
      </c>
      <c r="BL178" s="33">
        <f>'Old Balance Sheet'!L178 + 'ACPL Calculations - 1.0'!L178 + 'ACPL Calculations - 2.0'!L178</f>
        <v>0</v>
      </c>
      <c r="BM178" s="33"/>
      <c r="BN178" s="33"/>
      <c r="BO178" s="33"/>
      <c r="BP178" s="33"/>
      <c r="BQ178" s="33"/>
      <c r="BR178" s="33"/>
      <c r="BS178" s="33"/>
      <c r="BT178" s="33"/>
      <c r="BU178" s="33"/>
      <c r="BV178" s="33"/>
      <c r="BW178" s="33"/>
      <c r="BX178" s="33"/>
      <c r="BY178" s="33"/>
      <c r="BZ178" s="33"/>
      <c r="CA178" s="33"/>
      <c r="CB178" s="33"/>
      <c r="CC178" s="33"/>
      <c r="CD178" s="33"/>
      <c r="CE178" s="33"/>
      <c r="CF178" s="33"/>
      <c r="CG178" s="33"/>
      <c r="CH178" s="33"/>
      <c r="CI178" s="33"/>
      <c r="CJ178" s="33"/>
      <c r="CK178" s="33"/>
      <c r="CL178" s="33">
        <f t="shared" si="1"/>
        <v>1829</v>
      </c>
      <c r="CM178" s="33">
        <f>'Old Balance Sheet'!R178 + 'ACPL Calculations - 1.0'!S178 + 'ACPL Calculations - 2.0'!S178</f>
        <v>713310</v>
      </c>
      <c r="CN178" s="33">
        <f>'Old Balance Sheet'!S178 + 'ACPL Calculations - 1.0'!T178 + 'ACPL Calculations - 2.0'!T178</f>
        <v>374945</v>
      </c>
      <c r="CO178" s="33">
        <f t="shared" si="2"/>
        <v>483752.21</v>
      </c>
      <c r="CP178" s="33">
        <f>'Old Balance Sheet'!T178 + 'ACPL Calculations - 1.0'!V178 + 'ACPL Calculations - 2.0'!V178</f>
        <v>0</v>
      </c>
      <c r="CQ178" s="33">
        <f>'Old Balance Sheet'!U178 + 'ACPL Calculations - 1.0'!W178 + 'ACPL Calculations - 2.0'!W178</f>
        <v>0</v>
      </c>
      <c r="CR178" s="33">
        <f>'Old Balance Sheet'!V178 + 'ACPL Calculations - 1.0'!X178 + 'ACPL Calculations - 2.0'!X178</f>
        <v>108807.21</v>
      </c>
      <c r="CS178" s="33">
        <f t="shared" si="3"/>
        <v>108807.21</v>
      </c>
      <c r="CT178" s="35"/>
      <c r="CU178" s="35"/>
      <c r="CV178" s="35"/>
      <c r="CW178" s="36">
        <f>'Old Balance Sheet'!W178 + 'ACPL Calculations - 1.0'!Z178 + 'ACPL Calculations - 2.0'!Z178</f>
        <v>497928.16</v>
      </c>
      <c r="CX178" s="36">
        <f>'Old Balance Sheet'!X178 + 'ACPL Calculations - 1.0'!AA178 + 'ACPL Calculations - 2.0'!AA178</f>
        <v>497928.16</v>
      </c>
      <c r="CY178" s="37">
        <v>0.0</v>
      </c>
      <c r="CZ178" s="38">
        <f>'Old Balance Sheet'!Y178 + 'ACPL Calculations - 1.0'!AB178 + 'ACPL Calculations - 2.0'!AB178</f>
        <v>175714</v>
      </c>
      <c r="DA178" s="38">
        <f>'Old Balance Sheet'!Z178 + 'ACPL Calculations - 1.0'!AC178 + 'ACPL Calculations - 2.0'!AC178</f>
        <v>215381.84</v>
      </c>
      <c r="DB178" s="38">
        <f>'Old Balance Sheet'!AA178 + 'ACPL Calculations - 1.0'!AD178 + 'ACPL Calculations - 2.0'!AD178</f>
        <v>14175.95</v>
      </c>
      <c r="DC178" s="38">
        <f>'Old Balance Sheet'!AB178 + 'ACPL Calculations - 1.0'!AE178 + 'ACPL Calculations - 2.0'!AE178</f>
        <v>0</v>
      </c>
      <c r="DD178" s="38">
        <f t="shared" si="4"/>
        <v>0</v>
      </c>
      <c r="DE178" s="33">
        <f t="shared" si="5"/>
        <v>0</v>
      </c>
      <c r="DF178" s="35">
        <v>0.0</v>
      </c>
      <c r="DG178" s="35">
        <v>0.0</v>
      </c>
      <c r="DH178" s="35">
        <v>0.0</v>
      </c>
      <c r="DI178" s="35">
        <v>0.0</v>
      </c>
      <c r="DJ178" s="35">
        <v>0.0</v>
      </c>
      <c r="DK178" s="35">
        <v>0.0</v>
      </c>
      <c r="DL178" s="35">
        <v>0.0</v>
      </c>
      <c r="DM178" s="35">
        <v>0.0</v>
      </c>
      <c r="DN178" s="31">
        <v>0.0</v>
      </c>
      <c r="DO178" s="31">
        <v>0.0</v>
      </c>
      <c r="DP178" s="31">
        <v>0.0</v>
      </c>
      <c r="DQ178" s="31">
        <v>0.0</v>
      </c>
      <c r="DR178" s="31">
        <v>0.0</v>
      </c>
      <c r="DS178" s="31">
        <v>0.0</v>
      </c>
      <c r="DT178" s="31">
        <f>'Old Balance Sheet'!AC178</f>
        <v>0</v>
      </c>
      <c r="DU178" s="31">
        <f>DT178 + SUMIFS('Payments Log'!D:D, 'Payments Log'!B:B, A178, 'Payments Log'!L:L, "Approved", 'Payments Log'!M:M, "Credit") + 'Old Balance Sheet'!AD178 - 'Old Balance Sheet'!AC178</f>
        <v>498000</v>
      </c>
      <c r="DV178" s="31">
        <f>SUMIFS('Payments Log'!D:D, 'Payments Log'!B:B, A178, 'Payments Log'!L:L, "Approved", 'Payments Log'!M:M, "Adjustment Credit") - SUMIFS('Payments Log'!D:D, 'Payments Log'!B:B, A178, 'Payments Log'!L:L, "Approved", 'Payments Log'!M:M, "Adjustment Debit") + 'Old Balance Sheet'!AE178</f>
        <v>0</v>
      </c>
      <c r="DW178" s="31">
        <f>IF(MAXIFS('Payments Log'!N:N, 'Payments Log'!L:L, "Approved", 'Payments Log'!M:M, "Credit", 'Payments Log'!B:B, A178) &gt; MAXIFS('Payments Log'!N:N, 'Payments Log'!L:L, "Approved", 'Payments Log'!M:M, "Virtual Credit", 'Payments Log'!B:B, A178), 0, SUMIFS('Payments Log'!D:D, 'Payments Log'!N:N, MAXIFS('Payments Log'!N:N, 'Payments Log'!L:L, "Approved", 'Payments Log'!M:M, "Virtual Credit", 'Payments Log'!B:B, A178)))</f>
        <v>0</v>
      </c>
      <c r="DX178" s="33">
        <f t="shared" si="6"/>
        <v>71.84</v>
      </c>
      <c r="DY178" s="33">
        <f t="shared" si="7"/>
        <v>71.84</v>
      </c>
      <c r="DZ178" s="33">
        <f t="shared" si="8"/>
        <v>71.84</v>
      </c>
      <c r="EA178" s="25" t="str">
        <f>(Sheet1!N178)</f>
        <v>Shri Narain auto</v>
      </c>
      <c r="EB178" s="25" t="str">
        <f>(Sheet1!O178)</f>
        <v>1F-qgo65nyduysDsu4OiPqLBtjm1sTnysGmg4Ke93FbU</v>
      </c>
      <c r="EC178" s="26" t="str">
        <f>(Sheet1!P178)</f>
        <v>Dealer</v>
      </c>
      <c r="ED178" s="34" t="s">
        <v>13</v>
      </c>
    </row>
    <row r="179">
      <c r="A179" s="25" t="str">
        <f>(Sheet1!A179)</f>
        <v>1rHOrl-RR_wmvN1hR6qvRLwO5p4_e081st6veS3SDnKk</v>
      </c>
      <c r="B179" s="25" t="str">
        <f>(Sheet1!B179)</f>
        <v>AGARWAL HERO SITAPUR</v>
      </c>
      <c r="C179" s="30" t="s">
        <v>13</v>
      </c>
      <c r="D179" s="30" t="s">
        <v>72</v>
      </c>
      <c r="E179" s="30" t="s">
        <v>3817</v>
      </c>
      <c r="F179" s="31">
        <v>205.0</v>
      </c>
      <c r="G179" s="32" t="s">
        <v>3818</v>
      </c>
      <c r="H179" s="31">
        <v>100.0</v>
      </c>
      <c r="I179" s="33">
        <f>'Old Balance Sheet'!A179 + 'ACPL Calculations - 1.0'!A179 + 'ACPL Calculations - 2.0'!A179</f>
        <v>2338</v>
      </c>
      <c r="J179" s="30" t="s">
        <v>3817</v>
      </c>
      <c r="K179" s="31">
        <v>205.0</v>
      </c>
      <c r="L179" s="32" t="s">
        <v>3818</v>
      </c>
      <c r="M179" s="31">
        <v>100.0</v>
      </c>
      <c r="N179" s="33">
        <f>'Old Balance Sheet'!B179 + 'ACPL Calculations - 1.0'!B179 + 'ACPL Calculations - 2.0'!B179</f>
        <v>0</v>
      </c>
      <c r="O179" s="30" t="s">
        <v>3817</v>
      </c>
      <c r="P179" s="31">
        <v>290.0</v>
      </c>
      <c r="Q179" s="32" t="s">
        <v>3818</v>
      </c>
      <c r="R179" s="31">
        <v>100.0</v>
      </c>
      <c r="S179" s="33">
        <f>'Old Balance Sheet'!C179 + 'ACPL Calculations - 1.0'!C179 + 'ACPL Calculations - 2.0'!C179</f>
        <v>0</v>
      </c>
      <c r="T179" s="30" t="s">
        <v>3817</v>
      </c>
      <c r="U179" s="31">
        <v>375.0</v>
      </c>
      <c r="V179" s="32" t="s">
        <v>3818</v>
      </c>
      <c r="W179" s="31">
        <v>100.0</v>
      </c>
      <c r="X179" s="33">
        <f>'Old Balance Sheet'!D179 + 'ACPL Calculations - 1.0'!D179 + 'ACPL Calculations - 2.0'!D179</f>
        <v>0</v>
      </c>
      <c r="Y179" s="30" t="s">
        <v>3817</v>
      </c>
      <c r="Z179" s="31">
        <v>460.0</v>
      </c>
      <c r="AA179" s="32" t="s">
        <v>3818</v>
      </c>
      <c r="AB179" s="31">
        <v>100.0</v>
      </c>
      <c r="AC179" s="33">
        <f>'Old Balance Sheet'!E179 + 'ACPL Calculations - 1.0'!E179 + 'ACPL Calculations - 2.0'!E179</f>
        <v>0</v>
      </c>
      <c r="AD179" s="30" t="s">
        <v>3817</v>
      </c>
      <c r="AE179" s="34">
        <v>838.99</v>
      </c>
      <c r="AF179" s="32" t="s">
        <v>3818</v>
      </c>
      <c r="AG179" s="31">
        <v>100.0</v>
      </c>
      <c r="AH179" s="33">
        <f>'Old Balance Sheet'!F179 + 'ACPL Calculations - 1.0'!F179 + 'ACPL Calculations - 2.0'!F179</f>
        <v>0</v>
      </c>
      <c r="AI179" s="30" t="s">
        <v>3817</v>
      </c>
      <c r="AJ179" s="31">
        <v>375.0</v>
      </c>
      <c r="AK179" s="32" t="s">
        <v>3818</v>
      </c>
      <c r="AL179" s="31">
        <v>100.0</v>
      </c>
      <c r="AM179" s="33">
        <f>'Old Balance Sheet'!G179 + 'ACPL Calculations - 1.0'!G179 + 'ACPL Calculations - 2.0'!G179</f>
        <v>0</v>
      </c>
      <c r="AN179" s="30" t="s">
        <v>3817</v>
      </c>
      <c r="AO179" s="31">
        <v>290.0</v>
      </c>
      <c r="AP179" s="32" t="s">
        <v>3818</v>
      </c>
      <c r="AQ179" s="31">
        <v>100.0</v>
      </c>
      <c r="AR179" s="33">
        <f>'Old Balance Sheet'!H179 + 'ACPL Calculations - 1.0'!H179 + 'ACPL Calculations - 2.0'!H179</f>
        <v>0</v>
      </c>
      <c r="AS179" s="30" t="s">
        <v>3819</v>
      </c>
      <c r="AT179" s="31">
        <v>838.99</v>
      </c>
      <c r="AU179" s="32" t="s">
        <v>3818</v>
      </c>
      <c r="AV179" s="31">
        <v>100.0</v>
      </c>
      <c r="AW179" s="33">
        <f>'Old Balance Sheet'!I179 + 'ACPL Calculations - 1.0'!I179 + 'ACPL Calculations - 2.0'!I179</f>
        <v>0</v>
      </c>
      <c r="AX179" s="30" t="s">
        <v>3817</v>
      </c>
      <c r="AY179" s="31">
        <v>290.0</v>
      </c>
      <c r="AZ179" s="32" t="s">
        <v>3818</v>
      </c>
      <c r="BA179" s="31">
        <v>100.0</v>
      </c>
      <c r="BB179" s="33">
        <f>'Old Balance Sheet'!J179 + 'ACPL Calculations - 1.0'!J179 + 'ACPL Calculations - 2.0'!J179</f>
        <v>0</v>
      </c>
      <c r="BC179" s="30" t="s">
        <v>3817</v>
      </c>
      <c r="BD179" s="31">
        <v>205.0</v>
      </c>
      <c r="BE179" s="32" t="s">
        <v>3818</v>
      </c>
      <c r="BF179" s="31">
        <v>100.0</v>
      </c>
      <c r="BG179" s="33">
        <f>'Old Balance Sheet'!K179 + 'ACPL Calculations - 1.0'!K179 + 'ACPL Calculations - 2.0'!K179</f>
        <v>0</v>
      </c>
      <c r="BH179" s="30" t="s">
        <v>3817</v>
      </c>
      <c r="BI179" s="31">
        <v>205.0</v>
      </c>
      <c r="BJ179" s="32" t="s">
        <v>3818</v>
      </c>
      <c r="BK179" s="31">
        <v>100.0</v>
      </c>
      <c r="BL179" s="33">
        <f>'Old Balance Sheet'!L179 + 'ACPL Calculations - 1.0'!L179 + 'ACPL Calculations - 2.0'!L179</f>
        <v>0</v>
      </c>
      <c r="BM179" s="33"/>
      <c r="BN179" s="33"/>
      <c r="BO179" s="33"/>
      <c r="BP179" s="33"/>
      <c r="BQ179" s="33"/>
      <c r="BR179" s="33"/>
      <c r="BS179" s="33"/>
      <c r="BT179" s="33"/>
      <c r="BU179" s="33"/>
      <c r="BV179" s="33"/>
      <c r="BW179" s="33"/>
      <c r="BX179" s="33"/>
      <c r="BY179" s="33"/>
      <c r="BZ179" s="33"/>
      <c r="CA179" s="33"/>
      <c r="CB179" s="33"/>
      <c r="CC179" s="33"/>
      <c r="CD179" s="33"/>
      <c r="CE179" s="33"/>
      <c r="CF179" s="33"/>
      <c r="CG179" s="33"/>
      <c r="CH179" s="33"/>
      <c r="CI179" s="33"/>
      <c r="CJ179" s="33"/>
      <c r="CK179" s="33"/>
      <c r="CL179" s="33">
        <f t="shared" si="1"/>
        <v>2338</v>
      </c>
      <c r="CM179" s="33">
        <f>'Old Balance Sheet'!R179 + 'ACPL Calculations - 1.0'!S179 + 'ACPL Calculations - 2.0'!S179</f>
        <v>911820</v>
      </c>
      <c r="CN179" s="33">
        <f>'Old Balance Sheet'!S179 + 'ACPL Calculations - 1.0'!T179 + 'ACPL Calculations - 2.0'!T179</f>
        <v>479290</v>
      </c>
      <c r="CO179" s="33">
        <f t="shared" si="2"/>
        <v>618377.62</v>
      </c>
      <c r="CP179" s="33">
        <f>'Old Balance Sheet'!T179 + 'ACPL Calculations - 1.0'!V179 + 'ACPL Calculations - 2.0'!V179</f>
        <v>0</v>
      </c>
      <c r="CQ179" s="33">
        <f>'Old Balance Sheet'!U179 + 'ACPL Calculations - 1.0'!W179 + 'ACPL Calculations - 2.0'!W179</f>
        <v>0</v>
      </c>
      <c r="CR179" s="33">
        <f>'Old Balance Sheet'!V179 + 'ACPL Calculations - 1.0'!X179 + 'ACPL Calculations - 2.0'!X179</f>
        <v>139087.62</v>
      </c>
      <c r="CS179" s="33">
        <f t="shared" si="3"/>
        <v>139087.62</v>
      </c>
      <c r="CT179" s="35"/>
      <c r="CU179" s="35"/>
      <c r="CV179" s="35"/>
      <c r="CW179" s="36">
        <f>'Old Balance Sheet'!W179 + 'ACPL Calculations - 1.0'!Z179 + 'ACPL Calculations - 2.0'!Z179</f>
        <v>634765.7</v>
      </c>
      <c r="CX179" s="36">
        <f>'Old Balance Sheet'!X179 + 'ACPL Calculations - 1.0'!AA179 + 'ACPL Calculations - 2.0'!AA179</f>
        <v>634765.7</v>
      </c>
      <c r="CY179" s="37">
        <v>0.0</v>
      </c>
      <c r="CZ179" s="38">
        <f>'Old Balance Sheet'!Y179 + 'ACPL Calculations - 1.0'!AB179 + 'ACPL Calculations - 2.0'!AB179</f>
        <v>259303.66</v>
      </c>
      <c r="DA179" s="38">
        <f>'Old Balance Sheet'!Z179 + 'ACPL Calculations - 1.0'!AC179 + 'ACPL Calculations - 2.0'!AC179</f>
        <v>277054.3</v>
      </c>
      <c r="DB179" s="38">
        <f>'Old Balance Sheet'!AA179 + 'ACPL Calculations - 1.0'!AD179 + 'ACPL Calculations - 2.0'!AD179</f>
        <v>16388.08</v>
      </c>
      <c r="DC179" s="38">
        <f>'Old Balance Sheet'!AB179 + 'ACPL Calculations - 1.0'!AE179 + 'ACPL Calculations - 2.0'!AE179</f>
        <v>0</v>
      </c>
      <c r="DD179" s="38">
        <f t="shared" si="4"/>
        <v>0</v>
      </c>
      <c r="DE179" s="33">
        <f t="shared" si="5"/>
        <v>0</v>
      </c>
      <c r="DF179" s="35">
        <v>0.0</v>
      </c>
      <c r="DG179" s="35">
        <v>0.0</v>
      </c>
      <c r="DH179" s="35">
        <v>0.0</v>
      </c>
      <c r="DI179" s="35">
        <v>0.0</v>
      </c>
      <c r="DJ179" s="35">
        <v>0.0</v>
      </c>
      <c r="DK179" s="35">
        <v>0.0</v>
      </c>
      <c r="DL179" s="35">
        <v>0.0</v>
      </c>
      <c r="DM179" s="35">
        <v>0.0</v>
      </c>
      <c r="DN179" s="31">
        <v>0.0</v>
      </c>
      <c r="DO179" s="31">
        <v>0.0</v>
      </c>
      <c r="DP179" s="31">
        <v>0.0</v>
      </c>
      <c r="DQ179" s="31">
        <v>0.0</v>
      </c>
      <c r="DR179" s="31">
        <v>0.0</v>
      </c>
      <c r="DS179" s="31">
        <v>0.0</v>
      </c>
      <c r="DT179" s="31">
        <f>'Old Balance Sheet'!AC179</f>
        <v>0</v>
      </c>
      <c r="DU179" s="31">
        <f>DT179 + SUMIFS('Payments Log'!D:D, 'Payments Log'!B:B, A179, 'Payments Log'!L:L, "Approved", 'Payments Log'!M:M, "Credit") + 'Old Balance Sheet'!AD179 - 'Old Balance Sheet'!AC179</f>
        <v>633146</v>
      </c>
      <c r="DV179" s="31">
        <f>SUMIFS('Payments Log'!D:D, 'Payments Log'!B:B, A179, 'Payments Log'!L:L, "Approved", 'Payments Log'!M:M, "Adjustment Credit") - SUMIFS('Payments Log'!D:D, 'Payments Log'!B:B, A179, 'Payments Log'!L:L, "Approved", 'Payments Log'!M:M, "Adjustment Debit") + 'Old Balance Sheet'!AE179</f>
        <v>0</v>
      </c>
      <c r="DW179" s="31">
        <f>IF(MAXIFS('Payments Log'!N:N, 'Payments Log'!L:L, "Approved", 'Payments Log'!M:M, "Credit", 'Payments Log'!B:B, A179) &gt; MAXIFS('Payments Log'!N:N, 'Payments Log'!L:L, "Approved", 'Payments Log'!M:M, "Virtual Credit", 'Payments Log'!B:B, A179), 0, SUMIFS('Payments Log'!D:D, 'Payments Log'!N:N, MAXIFS('Payments Log'!N:N, 'Payments Log'!L:L, "Approved", 'Payments Log'!M:M, "Virtual Credit", 'Payments Log'!B:B, A179)))</f>
        <v>0</v>
      </c>
      <c r="DX179" s="33">
        <f t="shared" si="6"/>
        <v>-1619.7</v>
      </c>
      <c r="DY179" s="33">
        <f t="shared" si="7"/>
        <v>-1619.7</v>
      </c>
      <c r="DZ179" s="33">
        <f t="shared" si="8"/>
        <v>-1619.7</v>
      </c>
      <c r="EA179" s="25" t="str">
        <f>(Sheet1!N179)</f>
        <v>AGARWAL HERO SITAPUR</v>
      </c>
      <c r="EB179" s="25" t="str">
        <f>(Sheet1!O179)</f>
        <v>1rHOrl-RR_wmvN1hR6qvRLwO5p4_e081st6veS3SDnKk</v>
      </c>
      <c r="EC179" s="26" t="str">
        <f>(Sheet1!P179)</f>
        <v>Dealer</v>
      </c>
      <c r="ED179" s="34" t="s">
        <v>13</v>
      </c>
    </row>
    <row r="180">
      <c r="A180" s="25" t="str">
        <f>(Sheet1!A180)</f>
        <v>15if03Q4YLoDcHi2HznX5QBpY6yQHJPDyifJKxRYKV-8</v>
      </c>
      <c r="B180" s="25" t="str">
        <f>(Sheet1!B180)</f>
        <v>SATKAR HONDA - RUDRAPUR</v>
      </c>
      <c r="C180" s="30" t="s">
        <v>13</v>
      </c>
      <c r="D180" s="25" t="s">
        <v>72</v>
      </c>
      <c r="E180" s="25" t="s">
        <v>3820</v>
      </c>
      <c r="F180" s="31">
        <v>165.0</v>
      </c>
      <c r="G180" s="25" t="s">
        <v>3818</v>
      </c>
      <c r="H180" s="33">
        <v>100.0</v>
      </c>
      <c r="I180" s="33">
        <f>'Old Balance Sheet'!A180 + 'ACPL Calculations - 1.0'!A180 + 'ACPL Calculations - 2.0'!A180</f>
        <v>3</v>
      </c>
      <c r="J180" s="25" t="s">
        <v>3820</v>
      </c>
      <c r="K180" s="33">
        <v>205.0</v>
      </c>
      <c r="L180" s="25" t="s">
        <v>3818</v>
      </c>
      <c r="M180" s="33">
        <v>100.0</v>
      </c>
      <c r="N180" s="33">
        <f>'Old Balance Sheet'!B180 + 'ACPL Calculations - 1.0'!B180 + 'ACPL Calculations - 2.0'!B180</f>
        <v>0</v>
      </c>
      <c r="O180" s="25" t="s">
        <v>3820</v>
      </c>
      <c r="P180" s="33">
        <v>290.0</v>
      </c>
      <c r="Q180" s="25" t="s">
        <v>3818</v>
      </c>
      <c r="R180" s="33">
        <v>100.0</v>
      </c>
      <c r="S180" s="33">
        <f>'Old Balance Sheet'!C180 + 'ACPL Calculations - 1.0'!C180 + 'ACPL Calculations - 2.0'!C180</f>
        <v>1023</v>
      </c>
      <c r="T180" s="25" t="s">
        <v>3820</v>
      </c>
      <c r="U180" s="33">
        <v>375.0</v>
      </c>
      <c r="V180" s="25" t="s">
        <v>3818</v>
      </c>
      <c r="W180" s="33">
        <v>100.0</v>
      </c>
      <c r="X180" s="33">
        <f>'Old Balance Sheet'!D180 + 'ACPL Calculations - 1.0'!D180 + 'ACPL Calculations - 2.0'!D180</f>
        <v>0</v>
      </c>
      <c r="Y180" s="25" t="s">
        <v>3820</v>
      </c>
      <c r="Z180" s="33">
        <v>460.0</v>
      </c>
      <c r="AA180" s="42" t="s">
        <v>3818</v>
      </c>
      <c r="AB180" s="43">
        <v>100.0</v>
      </c>
      <c r="AC180" s="33">
        <f>'Old Balance Sheet'!E180 + 'ACPL Calculations - 1.0'!E180 + 'ACPL Calculations - 2.0'!E180</f>
        <v>0</v>
      </c>
      <c r="AD180" s="25" t="s">
        <v>3820</v>
      </c>
      <c r="AE180" s="33">
        <v>838.99</v>
      </c>
      <c r="AF180" s="42" t="s">
        <v>3818</v>
      </c>
      <c r="AG180" s="43">
        <v>100.0</v>
      </c>
      <c r="AH180" s="33">
        <f>'Old Balance Sheet'!F180 + 'ACPL Calculations - 1.0'!F180 + 'ACPL Calculations - 2.0'!F180</f>
        <v>0</v>
      </c>
      <c r="AI180" s="25" t="s">
        <v>3820</v>
      </c>
      <c r="AJ180" s="33">
        <v>375.0</v>
      </c>
      <c r="AK180" s="42" t="s">
        <v>3818</v>
      </c>
      <c r="AL180" s="43">
        <v>100.0</v>
      </c>
      <c r="AM180" s="33">
        <f>'Old Balance Sheet'!G180 + 'ACPL Calculations - 1.0'!G180 + 'ACPL Calculations - 2.0'!G180</f>
        <v>0</v>
      </c>
      <c r="AN180" s="25" t="s">
        <v>3820</v>
      </c>
      <c r="AO180" s="33">
        <v>290.0</v>
      </c>
      <c r="AP180" s="42" t="s">
        <v>3818</v>
      </c>
      <c r="AQ180" s="43">
        <v>100.0</v>
      </c>
      <c r="AR180" s="33">
        <f>'Old Balance Sheet'!H180 + 'ACPL Calculations - 1.0'!H180 + 'ACPL Calculations - 2.0'!H180</f>
        <v>0</v>
      </c>
      <c r="AS180" s="25" t="s">
        <v>3819</v>
      </c>
      <c r="AT180" s="33">
        <v>838.99</v>
      </c>
      <c r="AU180" s="42" t="s">
        <v>3818</v>
      </c>
      <c r="AV180" s="43">
        <v>100.0</v>
      </c>
      <c r="AW180" s="33">
        <f>'Old Balance Sheet'!I180 + 'ACPL Calculations - 1.0'!I180 + 'ACPL Calculations - 2.0'!I180</f>
        <v>0</v>
      </c>
      <c r="AX180" s="25" t="s">
        <v>3820</v>
      </c>
      <c r="AY180" s="31">
        <v>290.0</v>
      </c>
      <c r="AZ180" s="42" t="s">
        <v>3818</v>
      </c>
      <c r="BA180" s="43">
        <v>100.0</v>
      </c>
      <c r="BB180" s="33">
        <f>'Old Balance Sheet'!J180 + 'ACPL Calculations - 1.0'!J180 + 'ACPL Calculations - 2.0'!J180</f>
        <v>0</v>
      </c>
      <c r="BC180" s="25" t="s">
        <v>3820</v>
      </c>
      <c r="BD180" s="31">
        <v>205.0</v>
      </c>
      <c r="BE180" s="42" t="s">
        <v>3818</v>
      </c>
      <c r="BF180" s="43">
        <v>100.0</v>
      </c>
      <c r="BG180" s="33">
        <f>'Old Balance Sheet'!K180 + 'ACPL Calculations - 1.0'!K180 + 'ACPL Calculations - 2.0'!K180</f>
        <v>0</v>
      </c>
      <c r="BH180" s="25" t="s">
        <v>3820</v>
      </c>
      <c r="BI180" s="31">
        <v>205.0</v>
      </c>
      <c r="BJ180" s="42" t="s">
        <v>3818</v>
      </c>
      <c r="BK180" s="43">
        <v>100.0</v>
      </c>
      <c r="BL180" s="33">
        <f>'Old Balance Sheet'!L180 + 'ACPL Calculations - 1.0'!L180 + 'ACPL Calculations - 2.0'!L180</f>
        <v>0</v>
      </c>
      <c r="BM180" s="25"/>
      <c r="BN180" s="25"/>
      <c r="BO180" s="25"/>
      <c r="BP180" s="25"/>
      <c r="BQ180" s="25"/>
      <c r="BR180" s="25"/>
      <c r="BS180" s="25"/>
      <c r="BT180" s="25"/>
      <c r="BU180" s="25"/>
      <c r="BV180" s="25"/>
      <c r="BW180" s="25"/>
      <c r="BX180" s="25"/>
      <c r="BY180" s="25"/>
      <c r="BZ180" s="25"/>
      <c r="CA180" s="25"/>
      <c r="CB180" s="25"/>
      <c r="CC180" s="25"/>
      <c r="CD180" s="25"/>
      <c r="CE180" s="25"/>
      <c r="CF180" s="25"/>
      <c r="CG180" s="25"/>
      <c r="CH180" s="25"/>
      <c r="CI180" s="25"/>
      <c r="CJ180" s="25"/>
      <c r="CK180" s="25"/>
      <c r="CL180" s="33">
        <f t="shared" si="1"/>
        <v>1026</v>
      </c>
      <c r="CM180" s="33">
        <f>'Old Balance Sheet'!R180 + 'ACPL Calculations - 1.0'!S180 + 'ACPL Calculations - 2.0'!S180</f>
        <v>453492</v>
      </c>
      <c r="CN180" s="33">
        <f>'Old Balance Sheet'!S180 + 'ACPL Calculations - 1.0'!T180 + 'ACPL Calculations - 2.0'!T180</f>
        <v>172090</v>
      </c>
      <c r="CO180" s="33">
        <f t="shared" si="2"/>
        <v>241262.92</v>
      </c>
      <c r="CP180" s="33">
        <f>'Old Balance Sheet'!T180 + 'ACPL Calculations - 1.0'!V180 + 'ACPL Calculations - 2.0'!V180</f>
        <v>33.71</v>
      </c>
      <c r="CQ180" s="33">
        <f>'Old Balance Sheet'!U180 + 'ACPL Calculations - 1.0'!W180 + 'ACPL Calculations - 2.0'!W180</f>
        <v>33.71</v>
      </c>
      <c r="CR180" s="33">
        <f>'Old Balance Sheet'!V180 + 'ACPL Calculations - 1.0'!X180 + 'ACPL Calculations - 2.0'!X180</f>
        <v>69105.5</v>
      </c>
      <c r="CS180" s="33">
        <f t="shared" si="3"/>
        <v>69172.92</v>
      </c>
      <c r="CT180" s="35"/>
      <c r="CU180" s="35"/>
      <c r="CV180" s="35"/>
      <c r="CW180" s="36">
        <f>'Old Balance Sheet'!W180 + 'ACPL Calculations - 1.0'!Z180 + 'ACPL Calculations - 2.0'!Z180</f>
        <v>453492</v>
      </c>
      <c r="CX180" s="36">
        <f>'Old Balance Sheet'!X180 + 'ACPL Calculations - 1.0'!AA180 + 'ACPL Calculations - 2.0'!AA180</f>
        <v>251519.1</v>
      </c>
      <c r="CY180" s="37">
        <v>0.0</v>
      </c>
      <c r="CZ180" s="38">
        <f>'Old Balance Sheet'!Y180 + 'ACPL Calculations - 1.0'!AB180 + 'ACPL Calculations - 2.0'!AB180</f>
        <v>211991.78</v>
      </c>
      <c r="DA180" s="38">
        <f>'Old Balance Sheet'!Z180 + 'ACPL Calculations - 1.0'!AC180 + 'ACPL Calculations - 2.0'!AC180</f>
        <v>0</v>
      </c>
      <c r="DB180" s="38">
        <f>'Old Balance Sheet'!AA180 + 'ACPL Calculations - 1.0'!AD180 + 'ACPL Calculations - 2.0'!AD180</f>
        <v>10256.18</v>
      </c>
      <c r="DC180" s="38">
        <f>'Old Balance Sheet'!AB180 + 'ACPL Calculations - 1.0'!AE180 + 'ACPL Calculations - 2.0'!AE180</f>
        <v>201972.9</v>
      </c>
      <c r="DD180" s="38">
        <f t="shared" si="4"/>
        <v>201972.9</v>
      </c>
      <c r="DE180" s="33">
        <f t="shared" si="5"/>
        <v>185618.26</v>
      </c>
      <c r="DF180" s="35">
        <v>0.0</v>
      </c>
      <c r="DG180" s="35">
        <v>0.0</v>
      </c>
      <c r="DH180" s="35">
        <v>0.0</v>
      </c>
      <c r="DI180" s="35">
        <v>0.0</v>
      </c>
      <c r="DJ180" s="35">
        <v>0.0</v>
      </c>
      <c r="DK180" s="35">
        <v>0.0</v>
      </c>
      <c r="DL180" s="35">
        <v>0.0</v>
      </c>
      <c r="DM180" s="35">
        <v>0.0</v>
      </c>
      <c r="DN180" s="31">
        <v>0.0</v>
      </c>
      <c r="DO180" s="31">
        <v>0.0</v>
      </c>
      <c r="DP180" s="31">
        <v>0.0</v>
      </c>
      <c r="DQ180" s="31">
        <v>0.0</v>
      </c>
      <c r="DR180" s="31">
        <v>0.0</v>
      </c>
      <c r="DS180" s="31">
        <v>0.0</v>
      </c>
      <c r="DT180" s="31">
        <f>'Old Balance Sheet'!AC180</f>
        <v>0</v>
      </c>
      <c r="DU180" s="31">
        <f>DT180 + SUMIFS('Payments Log'!D:D, 'Payments Log'!B:B, A180, 'Payments Log'!L:L, "Approved", 'Payments Log'!M:M, "Credit") + 'Old Balance Sheet'!AD180 - 'Old Balance Sheet'!AC180</f>
        <v>437137.36</v>
      </c>
      <c r="DV180" s="31">
        <f>SUMIFS('Payments Log'!D:D, 'Payments Log'!B:B, A180, 'Payments Log'!L:L, "Approved", 'Payments Log'!M:M, "Adjustment Credit") - SUMIFS('Payments Log'!D:D, 'Payments Log'!B:B, A180, 'Payments Log'!L:L, "Approved", 'Payments Log'!M:M, "Adjustment Debit") + 'Old Balance Sheet'!AE180</f>
        <v>0</v>
      </c>
      <c r="DW180" s="31">
        <f>IF(MAXIFS('Payments Log'!N:N, 'Payments Log'!L:L, "Approved", 'Payments Log'!M:M, "Credit", 'Payments Log'!B:B, A180) &gt; MAXIFS('Payments Log'!N:N, 'Payments Log'!L:L, "Approved", 'Payments Log'!M:M, "Virtual Credit", 'Payments Log'!B:B, A180), 0, SUMIFS('Payments Log'!D:D, 'Payments Log'!N:N, MAXIFS('Payments Log'!N:N, 'Payments Log'!L:L, "Approved", 'Payments Log'!M:M, "Virtual Credit", 'Payments Log'!B:B, A180)))</f>
        <v>0</v>
      </c>
      <c r="DX180" s="33">
        <f t="shared" si="6"/>
        <v>-16354.64</v>
      </c>
      <c r="DY180" s="33">
        <f t="shared" si="7"/>
        <v>185618.26</v>
      </c>
      <c r="DZ180" s="33">
        <f t="shared" si="8"/>
        <v>185618.26</v>
      </c>
      <c r="EA180" s="25" t="str">
        <f>(Sheet1!N180)</f>
        <v>SATKAR HONDA - RUDRAPUR</v>
      </c>
      <c r="EB180" s="25" t="str">
        <f>(Sheet1!O180)</f>
        <v>15if03Q4YLoDcHi2HznX5QBpY6yQHJPDyifJKxRYKV-8</v>
      </c>
      <c r="EC180" s="26" t="str">
        <f>(Sheet1!P180)</f>
        <v>Dealer</v>
      </c>
      <c r="ED180" s="34" t="s">
        <v>13</v>
      </c>
    </row>
    <row r="181">
      <c r="A181" s="25" t="str">
        <f>(Sheet1!A181)</f>
        <v>1Bn0dgc_QYbF664LnJPJT-IEcqhx5gMA1AtzkRyd3ZGA</v>
      </c>
      <c r="B181" s="25" t="str">
        <f>(Sheet1!B181)</f>
        <v>Jai Automobiles - Akbarpur</v>
      </c>
      <c r="C181" s="30" t="s">
        <v>13</v>
      </c>
      <c r="D181" s="25" t="s">
        <v>72</v>
      </c>
      <c r="E181" s="25" t="s">
        <v>3820</v>
      </c>
      <c r="F181" s="31">
        <v>195.0</v>
      </c>
      <c r="G181" s="25" t="s">
        <v>3818</v>
      </c>
      <c r="H181" s="33">
        <v>100.0</v>
      </c>
      <c r="I181" s="33">
        <f>'Old Balance Sheet'!A181 + 'ACPL Calculations - 1.0'!A181 + 'ACPL Calculations - 2.0'!A181</f>
        <v>3983</v>
      </c>
      <c r="J181" s="25" t="s">
        <v>3820</v>
      </c>
      <c r="K181" s="33">
        <v>205.0</v>
      </c>
      <c r="L181" s="25" t="s">
        <v>3818</v>
      </c>
      <c r="M181" s="33">
        <v>100.0</v>
      </c>
      <c r="N181" s="33">
        <f>'Old Balance Sheet'!B181 + 'ACPL Calculations - 1.0'!B181 + 'ACPL Calculations - 2.0'!B181</f>
        <v>0</v>
      </c>
      <c r="O181" s="25" t="s">
        <v>3820</v>
      </c>
      <c r="P181" s="31">
        <v>205.0</v>
      </c>
      <c r="Q181" s="25" t="s">
        <v>3818</v>
      </c>
      <c r="R181" s="33">
        <v>100.0</v>
      </c>
      <c r="S181" s="33">
        <f>'Old Balance Sheet'!C181 + 'ACPL Calculations - 1.0'!C181 + 'ACPL Calculations - 2.0'!C181</f>
        <v>1</v>
      </c>
      <c r="T181" s="25" t="s">
        <v>3820</v>
      </c>
      <c r="U181" s="33">
        <v>375.0</v>
      </c>
      <c r="V181" s="25" t="s">
        <v>3818</v>
      </c>
      <c r="W181" s="33">
        <v>100.0</v>
      </c>
      <c r="X181" s="33">
        <f>'Old Balance Sheet'!D181 + 'ACPL Calculations - 1.0'!D181 + 'ACPL Calculations - 2.0'!D181</f>
        <v>0</v>
      </c>
      <c r="Y181" s="25" t="s">
        <v>3820</v>
      </c>
      <c r="Z181" s="33">
        <v>460.0</v>
      </c>
      <c r="AA181" s="42" t="s">
        <v>3818</v>
      </c>
      <c r="AB181" s="43">
        <v>100.0</v>
      </c>
      <c r="AC181" s="33">
        <f>'Old Balance Sheet'!E181 + 'ACPL Calculations - 1.0'!E181 + 'ACPL Calculations - 2.0'!E181</f>
        <v>0</v>
      </c>
      <c r="AD181" s="25" t="s">
        <v>3820</v>
      </c>
      <c r="AE181" s="33">
        <v>838.99</v>
      </c>
      <c r="AF181" s="42" t="s">
        <v>3818</v>
      </c>
      <c r="AG181" s="43">
        <v>100.0</v>
      </c>
      <c r="AH181" s="33">
        <f>'Old Balance Sheet'!F181 + 'ACPL Calculations - 1.0'!F181 + 'ACPL Calculations - 2.0'!F181</f>
        <v>0</v>
      </c>
      <c r="AI181" s="25" t="s">
        <v>3820</v>
      </c>
      <c r="AJ181" s="33">
        <v>375.0</v>
      </c>
      <c r="AK181" s="42" t="s">
        <v>3818</v>
      </c>
      <c r="AL181" s="43">
        <v>100.0</v>
      </c>
      <c r="AM181" s="33">
        <f>'Old Balance Sheet'!G181 + 'ACPL Calculations - 1.0'!G181 + 'ACPL Calculations - 2.0'!G181</f>
        <v>0</v>
      </c>
      <c r="AN181" s="25" t="s">
        <v>3820</v>
      </c>
      <c r="AO181" s="33">
        <v>290.0</v>
      </c>
      <c r="AP181" s="42" t="s">
        <v>3818</v>
      </c>
      <c r="AQ181" s="43">
        <v>100.0</v>
      </c>
      <c r="AR181" s="33">
        <f>'Old Balance Sheet'!H181 + 'ACPL Calculations - 1.0'!H181 + 'ACPL Calculations - 2.0'!H181</f>
        <v>0</v>
      </c>
      <c r="AS181" s="25" t="s">
        <v>3819</v>
      </c>
      <c r="AT181" s="33">
        <v>838.99</v>
      </c>
      <c r="AU181" s="42" t="s">
        <v>3818</v>
      </c>
      <c r="AV181" s="43">
        <v>100.0</v>
      </c>
      <c r="AW181" s="33">
        <f>'Old Balance Sheet'!I181 + 'ACPL Calculations - 1.0'!I181 + 'ACPL Calculations - 2.0'!I181</f>
        <v>0</v>
      </c>
      <c r="AX181" s="25" t="s">
        <v>3820</v>
      </c>
      <c r="AY181" s="31">
        <v>290.0</v>
      </c>
      <c r="AZ181" s="42" t="s">
        <v>3818</v>
      </c>
      <c r="BA181" s="43">
        <v>100.0</v>
      </c>
      <c r="BB181" s="33">
        <f>'Old Balance Sheet'!J181 + 'ACPL Calculations - 1.0'!J181 + 'ACPL Calculations - 2.0'!J181</f>
        <v>0</v>
      </c>
      <c r="BC181" s="25" t="s">
        <v>3820</v>
      </c>
      <c r="BD181" s="31">
        <v>205.0</v>
      </c>
      <c r="BE181" s="42" t="s">
        <v>3818</v>
      </c>
      <c r="BF181" s="43">
        <v>100.0</v>
      </c>
      <c r="BG181" s="33">
        <f>'Old Balance Sheet'!K181 + 'ACPL Calculations - 1.0'!K181 + 'ACPL Calculations - 2.0'!K181</f>
        <v>0</v>
      </c>
      <c r="BH181" s="25" t="s">
        <v>3820</v>
      </c>
      <c r="BI181" s="31">
        <v>205.0</v>
      </c>
      <c r="BJ181" s="42" t="s">
        <v>3818</v>
      </c>
      <c r="BK181" s="43">
        <v>100.0</v>
      </c>
      <c r="BL181" s="33">
        <f>'Old Balance Sheet'!L181 + 'ACPL Calculations - 1.0'!L181 + 'ACPL Calculations - 2.0'!L181</f>
        <v>0</v>
      </c>
      <c r="BM181" s="25"/>
      <c r="BN181" s="25"/>
      <c r="BO181" s="25"/>
      <c r="BP181" s="25"/>
      <c r="BQ181" s="25"/>
      <c r="BR181" s="25"/>
      <c r="BS181" s="25"/>
      <c r="BT181" s="25"/>
      <c r="BU181" s="25"/>
      <c r="BV181" s="25"/>
      <c r="BW181" s="25"/>
      <c r="BX181" s="25"/>
      <c r="BY181" s="25"/>
      <c r="BZ181" s="25"/>
      <c r="CA181" s="25"/>
      <c r="CB181" s="25"/>
      <c r="CC181" s="25"/>
      <c r="CD181" s="25"/>
      <c r="CE181" s="25"/>
      <c r="CF181" s="25"/>
      <c r="CG181" s="25"/>
      <c r="CH181" s="25"/>
      <c r="CI181" s="25"/>
      <c r="CJ181" s="25"/>
      <c r="CK181" s="25"/>
      <c r="CL181" s="33">
        <f t="shared" si="1"/>
        <v>3984</v>
      </c>
      <c r="CM181" s="33">
        <f>'Old Balance Sheet'!R181 + 'ACPL Calculations - 1.0'!S181 + 'ACPL Calculations - 2.0'!S181</f>
        <v>1952160</v>
      </c>
      <c r="CN181" s="33">
        <f>'Old Balance Sheet'!S181 + 'ACPL Calculations - 1.0'!T181 + 'ACPL Calculations - 2.0'!T181</f>
        <v>779860</v>
      </c>
      <c r="CO181" s="33">
        <f t="shared" si="2"/>
        <v>1077663.96</v>
      </c>
      <c r="CP181" s="33">
        <f>'Old Balance Sheet'!T181 + 'ACPL Calculations - 1.0'!V181 + 'ACPL Calculations - 2.0'!V181</f>
        <v>74.74</v>
      </c>
      <c r="CQ181" s="33">
        <f>'Old Balance Sheet'!U181 + 'ACPL Calculations - 1.0'!W181 + 'ACPL Calculations - 2.0'!W181</f>
        <v>74.74</v>
      </c>
      <c r="CR181" s="33">
        <f>'Old Balance Sheet'!V181 + 'ACPL Calculations - 1.0'!X181 + 'ACPL Calculations - 2.0'!X181</f>
        <v>297654.48</v>
      </c>
      <c r="CS181" s="33">
        <f t="shared" si="3"/>
        <v>297803.96</v>
      </c>
      <c r="CT181" s="35"/>
      <c r="CU181" s="35"/>
      <c r="CV181" s="35"/>
      <c r="CW181" s="36">
        <f>'Old Balance Sheet'!W181 + 'ACPL Calculations - 1.0'!Z181 + 'ACPL Calculations - 2.0'!Z181</f>
        <v>1951670</v>
      </c>
      <c r="CX181" s="36">
        <f>'Old Balance Sheet'!X181 + 'ACPL Calculations - 1.0'!AA181 + 'ACPL Calculations - 2.0'!AA181</f>
        <v>1119223.99</v>
      </c>
      <c r="CY181" s="37">
        <v>0.0</v>
      </c>
      <c r="CZ181" s="38">
        <f>'Old Balance Sheet'!Y181 + 'ACPL Calculations - 1.0'!AB181 + 'ACPL Calculations - 2.0'!AB181</f>
        <v>873028.39</v>
      </c>
      <c r="DA181" s="38">
        <f>'Old Balance Sheet'!Z181 + 'ACPL Calculations - 1.0'!AC181 + 'ACPL Calculations - 2.0'!AC181</f>
        <v>0</v>
      </c>
      <c r="DB181" s="38">
        <f>'Old Balance Sheet'!AA181 + 'ACPL Calculations - 1.0'!AD181 + 'ACPL Calculations - 2.0'!AD181</f>
        <v>41832.75</v>
      </c>
      <c r="DC181" s="38">
        <f>'Old Balance Sheet'!AB181 + 'ACPL Calculations - 1.0'!AE181 + 'ACPL Calculations - 2.0'!AE181</f>
        <v>832446.01</v>
      </c>
      <c r="DD181" s="38">
        <f t="shared" si="4"/>
        <v>832446.01</v>
      </c>
      <c r="DE181" s="33">
        <f t="shared" si="5"/>
        <v>830776.01</v>
      </c>
      <c r="DF181" s="35">
        <v>0.0</v>
      </c>
      <c r="DG181" s="35">
        <v>0.0</v>
      </c>
      <c r="DH181" s="35">
        <v>0.0</v>
      </c>
      <c r="DI181" s="35">
        <v>0.0</v>
      </c>
      <c r="DJ181" s="35">
        <v>0.0</v>
      </c>
      <c r="DK181" s="35">
        <v>0.0</v>
      </c>
      <c r="DL181" s="35">
        <v>0.0</v>
      </c>
      <c r="DM181" s="35">
        <v>0.0</v>
      </c>
      <c r="DN181" s="31">
        <v>0.0</v>
      </c>
      <c r="DO181" s="31">
        <v>0.0</v>
      </c>
      <c r="DP181" s="31">
        <v>0.0</v>
      </c>
      <c r="DQ181" s="31">
        <v>0.0</v>
      </c>
      <c r="DR181" s="31">
        <v>0.0</v>
      </c>
      <c r="DS181" s="31">
        <v>0.0</v>
      </c>
      <c r="DT181" s="31">
        <f>'Old Balance Sheet'!AC181</f>
        <v>0</v>
      </c>
      <c r="DU181" s="31">
        <f>DT181 + SUMIFS('Payments Log'!D:D, 'Payments Log'!B:B, A181, 'Payments Log'!L:L, "Approved", 'Payments Log'!M:M, "Credit") + 'Old Balance Sheet'!AD181 - 'Old Balance Sheet'!AC181</f>
        <v>1950000</v>
      </c>
      <c r="DV181" s="31">
        <f>SUMIFS('Payments Log'!D:D, 'Payments Log'!B:B, A181, 'Payments Log'!L:L, "Approved", 'Payments Log'!M:M, "Adjustment Credit") - SUMIFS('Payments Log'!D:D, 'Payments Log'!B:B, A181, 'Payments Log'!L:L, "Approved", 'Payments Log'!M:M, "Adjustment Debit") + 'Old Balance Sheet'!AE181</f>
        <v>0</v>
      </c>
      <c r="DW181" s="31">
        <f>IF(MAXIFS('Payments Log'!N:N, 'Payments Log'!L:L, "Approved", 'Payments Log'!M:M, "Credit", 'Payments Log'!B:B, A181) &gt; MAXIFS('Payments Log'!N:N, 'Payments Log'!L:L, "Approved", 'Payments Log'!M:M, "Virtual Credit", 'Payments Log'!B:B, A181), 0, SUMIFS('Payments Log'!D:D, 'Payments Log'!N:N, MAXIFS('Payments Log'!N:N, 'Payments Log'!L:L, "Approved", 'Payments Log'!M:M, "Virtual Credit", 'Payments Log'!B:B, A181)))</f>
        <v>0</v>
      </c>
      <c r="DX181" s="33">
        <f t="shared" si="6"/>
        <v>-1670</v>
      </c>
      <c r="DY181" s="33">
        <f t="shared" si="7"/>
        <v>830776.01</v>
      </c>
      <c r="DZ181" s="33">
        <f t="shared" si="8"/>
        <v>830776.01</v>
      </c>
      <c r="EA181" s="25" t="str">
        <f>(Sheet1!N181)</f>
        <v>Jai Automobiles - Akbarpur</v>
      </c>
      <c r="EB181" s="25" t="str">
        <f>(Sheet1!O181)</f>
        <v>1Bn0dgc_QYbF664LnJPJT-IEcqhx5gMA1AtzkRyd3ZGA</v>
      </c>
      <c r="EC181" s="26" t="str">
        <f>(Sheet1!P181)</f>
        <v>Dealer</v>
      </c>
      <c r="ED181" s="34" t="s">
        <v>13</v>
      </c>
    </row>
    <row r="182">
      <c r="A182" s="25" t="str">
        <f>(Sheet1!A182)</f>
        <v>1VIUqOp_UXFVjhTtvQswmqJ7NEi8nkGyfHAoJPy-wvSA</v>
      </c>
      <c r="B182" s="25" t="str">
        <f>(Sheet1!B182)</f>
        <v>Kamal Hero - Gonda</v>
      </c>
      <c r="C182" s="30" t="s">
        <v>13</v>
      </c>
      <c r="D182" s="25" t="s">
        <v>72</v>
      </c>
      <c r="E182" s="25" t="s">
        <v>3820</v>
      </c>
      <c r="F182" s="31">
        <v>185.0</v>
      </c>
      <c r="G182" s="25" t="s">
        <v>3818</v>
      </c>
      <c r="H182" s="33">
        <v>100.0</v>
      </c>
      <c r="I182" s="33">
        <f>'Old Balance Sheet'!A182 + 'ACPL Calculations - 1.0'!A182 + 'ACPL Calculations - 2.0'!A182</f>
        <v>1</v>
      </c>
      <c r="J182" s="25" t="s">
        <v>3820</v>
      </c>
      <c r="K182" s="33">
        <v>205.0</v>
      </c>
      <c r="L182" s="25" t="s">
        <v>3818</v>
      </c>
      <c r="M182" s="33">
        <v>100.0</v>
      </c>
      <c r="N182" s="33">
        <f>'Old Balance Sheet'!B182 + 'ACPL Calculations - 1.0'!B182 + 'ACPL Calculations - 2.0'!B182</f>
        <v>0</v>
      </c>
      <c r="O182" s="25" t="s">
        <v>3820</v>
      </c>
      <c r="P182" s="31">
        <v>205.0</v>
      </c>
      <c r="Q182" s="25" t="s">
        <v>3818</v>
      </c>
      <c r="R182" s="33">
        <v>100.0</v>
      </c>
      <c r="S182" s="33">
        <f>'Old Balance Sheet'!C182 + 'ACPL Calculations - 1.0'!C182 + 'ACPL Calculations - 2.0'!C182</f>
        <v>1225</v>
      </c>
      <c r="T182" s="25" t="s">
        <v>3820</v>
      </c>
      <c r="U182" s="33">
        <v>375.0</v>
      </c>
      <c r="V182" s="25" t="s">
        <v>3818</v>
      </c>
      <c r="W182" s="33">
        <v>100.0</v>
      </c>
      <c r="X182" s="33">
        <f>'Old Balance Sheet'!D182 + 'ACPL Calculations - 1.0'!D182 + 'ACPL Calculations - 2.0'!D182</f>
        <v>0</v>
      </c>
      <c r="Y182" s="25" t="s">
        <v>3820</v>
      </c>
      <c r="Z182" s="33">
        <v>460.0</v>
      </c>
      <c r="AA182" s="42" t="s">
        <v>3818</v>
      </c>
      <c r="AB182" s="43">
        <v>100.0</v>
      </c>
      <c r="AC182" s="33">
        <f>'Old Balance Sheet'!E182 + 'ACPL Calculations - 1.0'!E182 + 'ACPL Calculations - 2.0'!E182</f>
        <v>0</v>
      </c>
      <c r="AD182" s="25" t="s">
        <v>3820</v>
      </c>
      <c r="AE182" s="33">
        <v>838.99</v>
      </c>
      <c r="AF182" s="42" t="s">
        <v>3818</v>
      </c>
      <c r="AG182" s="43">
        <v>100.0</v>
      </c>
      <c r="AH182" s="33">
        <f>'Old Balance Sheet'!F182 + 'ACPL Calculations - 1.0'!F182 + 'ACPL Calculations - 2.0'!F182</f>
        <v>0</v>
      </c>
      <c r="AI182" s="25" t="s">
        <v>3820</v>
      </c>
      <c r="AJ182" s="33">
        <v>375.0</v>
      </c>
      <c r="AK182" s="42" t="s">
        <v>3818</v>
      </c>
      <c r="AL182" s="43">
        <v>100.0</v>
      </c>
      <c r="AM182" s="33">
        <f>'Old Balance Sheet'!G182 + 'ACPL Calculations - 1.0'!G182 + 'ACPL Calculations - 2.0'!G182</f>
        <v>0</v>
      </c>
      <c r="AN182" s="25" t="s">
        <v>3820</v>
      </c>
      <c r="AO182" s="33">
        <v>290.0</v>
      </c>
      <c r="AP182" s="42" t="s">
        <v>3818</v>
      </c>
      <c r="AQ182" s="43">
        <v>100.0</v>
      </c>
      <c r="AR182" s="33">
        <f>'Old Balance Sheet'!H182 + 'ACPL Calculations - 1.0'!H182 + 'ACPL Calculations - 2.0'!H182</f>
        <v>0</v>
      </c>
      <c r="AS182" s="25" t="s">
        <v>3819</v>
      </c>
      <c r="AT182" s="33">
        <v>838.99</v>
      </c>
      <c r="AU182" s="42" t="s">
        <v>3818</v>
      </c>
      <c r="AV182" s="43">
        <v>100.0</v>
      </c>
      <c r="AW182" s="33">
        <f>'Old Balance Sheet'!I182 + 'ACPL Calculations - 1.0'!I182 + 'ACPL Calculations - 2.0'!I182</f>
        <v>0</v>
      </c>
      <c r="AX182" s="25" t="s">
        <v>3820</v>
      </c>
      <c r="AY182" s="31">
        <v>290.0</v>
      </c>
      <c r="AZ182" s="42" t="s">
        <v>3818</v>
      </c>
      <c r="BA182" s="43">
        <v>100.0</v>
      </c>
      <c r="BB182" s="33">
        <f>'Old Balance Sheet'!J182 + 'ACPL Calculations - 1.0'!J182 + 'ACPL Calculations - 2.0'!J182</f>
        <v>0</v>
      </c>
      <c r="BC182" s="25" t="s">
        <v>3820</v>
      </c>
      <c r="BD182" s="31">
        <v>205.0</v>
      </c>
      <c r="BE182" s="42" t="s">
        <v>3818</v>
      </c>
      <c r="BF182" s="43">
        <v>100.0</v>
      </c>
      <c r="BG182" s="33">
        <f>'Old Balance Sheet'!K182 + 'ACPL Calculations - 1.0'!K182 + 'ACPL Calculations - 2.0'!K182</f>
        <v>0</v>
      </c>
      <c r="BH182" s="25" t="s">
        <v>3820</v>
      </c>
      <c r="BI182" s="31">
        <v>205.0</v>
      </c>
      <c r="BJ182" s="42" t="s">
        <v>3818</v>
      </c>
      <c r="BK182" s="43">
        <v>100.0</v>
      </c>
      <c r="BL182" s="33">
        <f>'Old Balance Sheet'!L182 + 'ACPL Calculations - 1.0'!L182 + 'ACPL Calculations - 2.0'!L182</f>
        <v>0</v>
      </c>
      <c r="BM182" s="25"/>
      <c r="BN182" s="25"/>
      <c r="BO182" s="25"/>
      <c r="BP182" s="25"/>
      <c r="BQ182" s="25"/>
      <c r="BR182" s="25"/>
      <c r="BS182" s="25"/>
      <c r="BT182" s="25"/>
      <c r="BU182" s="25"/>
      <c r="BV182" s="25"/>
      <c r="BW182" s="25"/>
      <c r="BX182" s="25"/>
      <c r="BY182" s="25"/>
      <c r="BZ182" s="25"/>
      <c r="CA182" s="25"/>
      <c r="CB182" s="25"/>
      <c r="CC182" s="25"/>
      <c r="CD182" s="25"/>
      <c r="CE182" s="25"/>
      <c r="CF182" s="25"/>
      <c r="CG182" s="25"/>
      <c r="CH182" s="25"/>
      <c r="CI182" s="25"/>
      <c r="CJ182" s="25"/>
      <c r="CK182" s="25"/>
      <c r="CL182" s="33">
        <f t="shared" si="1"/>
        <v>1226</v>
      </c>
      <c r="CM182" s="33">
        <f>'Old Balance Sheet'!R182 + 'ACPL Calculations - 1.0'!S182 + 'ACPL Calculations - 2.0'!S182</f>
        <v>541892</v>
      </c>
      <c r="CN182" s="33">
        <f>'Old Balance Sheet'!S182 + 'ACPL Calculations - 1.0'!T182 + 'ACPL Calculations - 2.0'!T182</f>
        <v>228930</v>
      </c>
      <c r="CO182" s="33">
        <f t="shared" si="2"/>
        <v>311586.92</v>
      </c>
      <c r="CP182" s="33">
        <f>'Old Balance Sheet'!T182 + 'ACPL Calculations - 1.0'!V182 + 'ACPL Calculations - 2.0'!V182</f>
        <v>0</v>
      </c>
      <c r="CQ182" s="33">
        <f>'Old Balance Sheet'!U182 + 'ACPL Calculations - 1.0'!W182 + 'ACPL Calculations - 2.0'!W182</f>
        <v>0</v>
      </c>
      <c r="CR182" s="33">
        <f>'Old Balance Sheet'!V182 + 'ACPL Calculations - 1.0'!X182 + 'ACPL Calculations - 2.0'!X182</f>
        <v>82656.92</v>
      </c>
      <c r="CS182" s="33">
        <f t="shared" si="3"/>
        <v>82656.92</v>
      </c>
      <c r="CT182" s="35"/>
      <c r="CU182" s="35"/>
      <c r="CV182" s="35"/>
      <c r="CW182" s="36">
        <f>'Old Balance Sheet'!W182 + 'ACPL Calculations - 1.0'!Z182 + 'ACPL Calculations - 2.0'!Z182</f>
        <v>643110</v>
      </c>
      <c r="CX182" s="36">
        <f>'Old Balance Sheet'!X182 + 'ACPL Calculations - 1.0'!AA182 + 'ACPL Calculations - 2.0'!AA182</f>
        <v>382538.96</v>
      </c>
      <c r="CY182" s="37">
        <v>0.0</v>
      </c>
      <c r="CZ182" s="38">
        <f>'Old Balance Sheet'!Y182 + 'ACPL Calculations - 1.0'!AB182 + 'ACPL Calculations - 2.0'!AB182</f>
        <v>273359.56</v>
      </c>
      <c r="DA182" s="38">
        <f>'Old Balance Sheet'!Z182 + 'ACPL Calculations - 1.0'!AC182 + 'ACPL Calculations - 2.0'!AC182</f>
        <v>0</v>
      </c>
      <c r="DB182" s="38">
        <f>'Old Balance Sheet'!AA182 + 'ACPL Calculations - 1.0'!AD182 + 'ACPL Calculations - 2.0'!AD182</f>
        <v>13147.86</v>
      </c>
      <c r="DC182" s="38">
        <f>'Old Balance Sheet'!AB182 + 'ACPL Calculations - 1.0'!AE182 + 'ACPL Calculations - 2.0'!AE182</f>
        <v>260571.04</v>
      </c>
      <c r="DD182" s="38">
        <f t="shared" si="4"/>
        <v>260571.04</v>
      </c>
      <c r="DE182" s="33">
        <f t="shared" si="5"/>
        <v>260571.04</v>
      </c>
      <c r="DF182" s="35">
        <v>0.0</v>
      </c>
      <c r="DG182" s="35">
        <v>0.0</v>
      </c>
      <c r="DH182" s="35">
        <v>0.0</v>
      </c>
      <c r="DI182" s="35">
        <v>0.0</v>
      </c>
      <c r="DJ182" s="35">
        <v>0.0</v>
      </c>
      <c r="DK182" s="35">
        <v>0.0</v>
      </c>
      <c r="DL182" s="35">
        <v>0.0</v>
      </c>
      <c r="DM182" s="35">
        <v>0.0</v>
      </c>
      <c r="DN182" s="31">
        <v>0.0</v>
      </c>
      <c r="DO182" s="31">
        <v>0.0</v>
      </c>
      <c r="DP182" s="31">
        <v>0.0</v>
      </c>
      <c r="DQ182" s="31">
        <v>0.0</v>
      </c>
      <c r="DR182" s="31">
        <v>0.0</v>
      </c>
      <c r="DS182" s="31">
        <v>0.0</v>
      </c>
      <c r="DT182" s="31">
        <f>'Old Balance Sheet'!AC182</f>
        <v>0</v>
      </c>
      <c r="DU182" s="31">
        <f>DT182 + SUMIFS('Payments Log'!D:D, 'Payments Log'!B:B, A182, 'Payments Log'!L:L, "Approved", 'Payments Log'!M:M, "Credit") + 'Old Balance Sheet'!AD182 - 'Old Balance Sheet'!AC182</f>
        <v>649262</v>
      </c>
      <c r="DV182" s="31">
        <f>SUMIFS('Payments Log'!D:D, 'Payments Log'!B:B, A182, 'Payments Log'!L:L, "Approved", 'Payments Log'!M:M, "Adjustment Credit") - SUMIFS('Payments Log'!D:D, 'Payments Log'!B:B, A182, 'Payments Log'!L:L, "Approved", 'Payments Log'!M:M, "Adjustment Debit") + 'Old Balance Sheet'!AE182</f>
        <v>0</v>
      </c>
      <c r="DW182" s="31">
        <f>IF(MAXIFS('Payments Log'!N:N, 'Payments Log'!L:L, "Approved", 'Payments Log'!M:M, "Credit", 'Payments Log'!B:B, A182) &gt; MAXIFS('Payments Log'!N:N, 'Payments Log'!L:L, "Approved", 'Payments Log'!M:M, "Virtual Credit", 'Payments Log'!B:B, A182), 0, SUMIFS('Payments Log'!D:D, 'Payments Log'!N:N, MAXIFS('Payments Log'!N:N, 'Payments Log'!L:L, "Approved", 'Payments Log'!M:M, "Virtual Credit", 'Payments Log'!B:B, A182)))</f>
        <v>0</v>
      </c>
      <c r="DX182" s="33">
        <f t="shared" si="6"/>
        <v>6152</v>
      </c>
      <c r="DY182" s="33">
        <f t="shared" si="7"/>
        <v>266723.04</v>
      </c>
      <c r="DZ182" s="33">
        <f t="shared" si="8"/>
        <v>266723.04</v>
      </c>
      <c r="EA182" s="25" t="str">
        <f>(Sheet1!N182)</f>
        <v>Kamal Hero - Gonda</v>
      </c>
      <c r="EB182" s="25" t="str">
        <f>(Sheet1!O182)</f>
        <v>1VIUqOp_UXFVjhTtvQswmqJ7NEi8nkGyfHAoJPy-wvSA</v>
      </c>
      <c r="EC182" s="26" t="str">
        <f>(Sheet1!P182)</f>
        <v>Dealer</v>
      </c>
      <c r="ED182" s="34" t="s">
        <v>13</v>
      </c>
    </row>
    <row r="183">
      <c r="A183" s="25" t="str">
        <f>(Sheet1!A183)</f>
        <v>1n7-iUzN79cdRZqVwntVYXRPOJ2BUYBkTQu6jF4vKAdE</v>
      </c>
      <c r="B183" s="25" t="str">
        <f>(Sheet1!B183)</f>
        <v>D D S Motors - Gonda</v>
      </c>
      <c r="C183" s="30" t="s">
        <v>13</v>
      </c>
      <c r="D183" s="25" t="s">
        <v>72</v>
      </c>
      <c r="E183" s="25" t="s">
        <v>3820</v>
      </c>
      <c r="F183" s="31">
        <v>185.0</v>
      </c>
      <c r="G183" s="25" t="s">
        <v>3818</v>
      </c>
      <c r="H183" s="33">
        <v>100.0</v>
      </c>
      <c r="I183" s="33">
        <f>'Old Balance Sheet'!A183 + 'ACPL Calculations - 1.0'!A183 + 'ACPL Calculations - 2.0'!A183</f>
        <v>0</v>
      </c>
      <c r="J183" s="25" t="s">
        <v>3820</v>
      </c>
      <c r="K183" s="33">
        <v>205.0</v>
      </c>
      <c r="L183" s="25" t="s">
        <v>3818</v>
      </c>
      <c r="M183" s="33">
        <v>100.0</v>
      </c>
      <c r="N183" s="33">
        <f>'Old Balance Sheet'!B183 + 'ACPL Calculations - 1.0'!B183 + 'ACPL Calculations - 2.0'!B183</f>
        <v>0</v>
      </c>
      <c r="O183" s="25" t="s">
        <v>3820</v>
      </c>
      <c r="P183" s="31">
        <v>185.0</v>
      </c>
      <c r="Q183" s="25" t="s">
        <v>3818</v>
      </c>
      <c r="R183" s="33">
        <v>100.0</v>
      </c>
      <c r="S183" s="33">
        <f>'Old Balance Sheet'!C183 + 'ACPL Calculations - 1.0'!C183 + 'ACPL Calculations - 2.0'!C183</f>
        <v>80</v>
      </c>
      <c r="T183" s="25" t="s">
        <v>3820</v>
      </c>
      <c r="U183" s="33">
        <v>375.0</v>
      </c>
      <c r="V183" s="25" t="s">
        <v>3818</v>
      </c>
      <c r="W183" s="33">
        <v>100.0</v>
      </c>
      <c r="X183" s="33">
        <f>'Old Balance Sheet'!D183 + 'ACPL Calculations - 1.0'!D183 + 'ACPL Calculations - 2.0'!D183</f>
        <v>0</v>
      </c>
      <c r="Y183" s="25" t="s">
        <v>3820</v>
      </c>
      <c r="Z183" s="33">
        <v>460.0</v>
      </c>
      <c r="AA183" s="42" t="s">
        <v>3818</v>
      </c>
      <c r="AB183" s="43">
        <v>100.0</v>
      </c>
      <c r="AC183" s="33">
        <f>'Old Balance Sheet'!E183 + 'ACPL Calculations - 1.0'!E183 + 'ACPL Calculations - 2.0'!E183</f>
        <v>0</v>
      </c>
      <c r="AD183" s="25" t="s">
        <v>3820</v>
      </c>
      <c r="AE183" s="33">
        <v>838.99</v>
      </c>
      <c r="AF183" s="42" t="s">
        <v>3818</v>
      </c>
      <c r="AG183" s="43">
        <v>100.0</v>
      </c>
      <c r="AH183" s="33">
        <f>'Old Balance Sheet'!F183 + 'ACPL Calculations - 1.0'!F183 + 'ACPL Calculations - 2.0'!F183</f>
        <v>0</v>
      </c>
      <c r="AI183" s="25" t="s">
        <v>3820</v>
      </c>
      <c r="AJ183" s="33">
        <v>375.0</v>
      </c>
      <c r="AK183" s="42" t="s">
        <v>3818</v>
      </c>
      <c r="AL183" s="43">
        <v>100.0</v>
      </c>
      <c r="AM183" s="33">
        <f>'Old Balance Sheet'!G183 + 'ACPL Calculations - 1.0'!G183 + 'ACPL Calculations - 2.0'!G183</f>
        <v>0</v>
      </c>
      <c r="AN183" s="25" t="s">
        <v>3820</v>
      </c>
      <c r="AO183" s="33">
        <v>290.0</v>
      </c>
      <c r="AP183" s="42" t="s">
        <v>3818</v>
      </c>
      <c r="AQ183" s="43">
        <v>100.0</v>
      </c>
      <c r="AR183" s="33">
        <f>'Old Balance Sheet'!H183 + 'ACPL Calculations - 1.0'!H183 + 'ACPL Calculations - 2.0'!H183</f>
        <v>0</v>
      </c>
      <c r="AS183" s="25" t="s">
        <v>3819</v>
      </c>
      <c r="AT183" s="33">
        <v>838.99</v>
      </c>
      <c r="AU183" s="42" t="s">
        <v>3818</v>
      </c>
      <c r="AV183" s="43">
        <v>100.0</v>
      </c>
      <c r="AW183" s="33">
        <f>'Old Balance Sheet'!I183 + 'ACPL Calculations - 1.0'!I183 + 'ACPL Calculations - 2.0'!I183</f>
        <v>0</v>
      </c>
      <c r="AX183" s="25" t="s">
        <v>3820</v>
      </c>
      <c r="AY183" s="31">
        <v>290.0</v>
      </c>
      <c r="AZ183" s="42" t="s">
        <v>3818</v>
      </c>
      <c r="BA183" s="43">
        <v>100.0</v>
      </c>
      <c r="BB183" s="33">
        <f>'Old Balance Sheet'!J183 + 'ACPL Calculations - 1.0'!J183 + 'ACPL Calculations - 2.0'!J183</f>
        <v>0</v>
      </c>
      <c r="BC183" s="25" t="s">
        <v>3820</v>
      </c>
      <c r="BD183" s="31">
        <v>205.0</v>
      </c>
      <c r="BE183" s="42" t="s">
        <v>3818</v>
      </c>
      <c r="BF183" s="43">
        <v>100.0</v>
      </c>
      <c r="BG183" s="33">
        <f>'Old Balance Sheet'!K183 + 'ACPL Calculations - 1.0'!K183 + 'ACPL Calculations - 2.0'!K183</f>
        <v>0</v>
      </c>
      <c r="BH183" s="25" t="s">
        <v>3820</v>
      </c>
      <c r="BI183" s="31">
        <v>205.0</v>
      </c>
      <c r="BJ183" s="42" t="s">
        <v>3818</v>
      </c>
      <c r="BK183" s="43">
        <v>100.0</v>
      </c>
      <c r="BL183" s="33">
        <f>'Old Balance Sheet'!L183 + 'ACPL Calculations - 1.0'!L183 + 'ACPL Calculations - 2.0'!L183</f>
        <v>0</v>
      </c>
      <c r="BM183" s="25"/>
      <c r="BN183" s="25"/>
      <c r="BO183" s="25"/>
      <c r="BP183" s="25"/>
      <c r="BQ183" s="25"/>
      <c r="BR183" s="25"/>
      <c r="BS183" s="25"/>
      <c r="BT183" s="25"/>
      <c r="BU183" s="25"/>
      <c r="BV183" s="25"/>
      <c r="BW183" s="25"/>
      <c r="BX183" s="25"/>
      <c r="BY183" s="25"/>
      <c r="BZ183" s="25"/>
      <c r="CA183" s="25"/>
      <c r="CB183" s="25"/>
      <c r="CC183" s="25"/>
      <c r="CD183" s="25"/>
      <c r="CE183" s="25"/>
      <c r="CF183" s="25"/>
      <c r="CG183" s="25"/>
      <c r="CH183" s="25"/>
      <c r="CI183" s="25"/>
      <c r="CJ183" s="25"/>
      <c r="CK183" s="25"/>
      <c r="CL183" s="33">
        <f t="shared" si="1"/>
        <v>80</v>
      </c>
      <c r="CM183" s="33">
        <f>'Old Balance Sheet'!R183 + 'ACPL Calculations - 1.0'!S183 + 'ACPL Calculations - 2.0'!S183</f>
        <v>35360</v>
      </c>
      <c r="CN183" s="33">
        <f>'Old Balance Sheet'!S183 + 'ACPL Calculations - 1.0'!T183 + 'ACPL Calculations - 2.0'!T183</f>
        <v>15140</v>
      </c>
      <c r="CO183" s="33">
        <f t="shared" si="2"/>
        <v>20533.6</v>
      </c>
      <c r="CP183" s="33">
        <f>'Old Balance Sheet'!T183 + 'ACPL Calculations - 1.0'!V183 + 'ACPL Calculations - 2.0'!V183</f>
        <v>0</v>
      </c>
      <c r="CQ183" s="33">
        <f>'Old Balance Sheet'!U183 + 'ACPL Calculations - 1.0'!W183 + 'ACPL Calculations - 2.0'!W183</f>
        <v>0</v>
      </c>
      <c r="CR183" s="33">
        <f>'Old Balance Sheet'!V183 + 'ACPL Calculations - 1.0'!X183 + 'ACPL Calculations - 2.0'!X183</f>
        <v>5393.6</v>
      </c>
      <c r="CS183" s="33">
        <f t="shared" si="3"/>
        <v>5393.6</v>
      </c>
      <c r="CT183" s="35"/>
      <c r="CU183" s="35"/>
      <c r="CV183" s="35"/>
      <c r="CW183" s="36">
        <f>'Old Balance Sheet'!W183 + 'ACPL Calculations - 1.0'!Z183 + 'ACPL Calculations - 2.0'!Z183</f>
        <v>35360</v>
      </c>
      <c r="CX183" s="36">
        <f>'Old Balance Sheet'!X183 + 'ACPL Calculations - 1.0'!AA183 + 'ACPL Calculations - 2.0'!AA183</f>
        <v>21188.47</v>
      </c>
      <c r="CY183" s="37">
        <v>0.0</v>
      </c>
      <c r="CZ183" s="38">
        <f>'Old Balance Sheet'!Y183 + 'ACPL Calculations - 1.0'!AB183 + 'ACPL Calculations - 2.0'!AB183</f>
        <v>14768.77</v>
      </c>
      <c r="DA183" s="38">
        <f>'Old Balance Sheet'!Z183 + 'ACPL Calculations - 1.0'!AC183 + 'ACPL Calculations - 2.0'!AC183</f>
        <v>0</v>
      </c>
      <c r="DB183" s="38">
        <f>'Old Balance Sheet'!AA183 + 'ACPL Calculations - 1.0'!AD183 + 'ACPL Calculations - 2.0'!AD183</f>
        <v>654.87</v>
      </c>
      <c r="DC183" s="38">
        <f>'Old Balance Sheet'!AB183 + 'ACPL Calculations - 1.0'!AE183 + 'ACPL Calculations - 2.0'!AE183</f>
        <v>14171.53</v>
      </c>
      <c r="DD183" s="38">
        <f t="shared" si="4"/>
        <v>14171.53</v>
      </c>
      <c r="DE183" s="33">
        <f t="shared" si="5"/>
        <v>14171.53</v>
      </c>
      <c r="DF183" s="35">
        <v>0.0</v>
      </c>
      <c r="DG183" s="35">
        <v>0.0</v>
      </c>
      <c r="DH183" s="35">
        <v>0.0</v>
      </c>
      <c r="DI183" s="35">
        <v>0.0</v>
      </c>
      <c r="DJ183" s="35">
        <v>0.0</v>
      </c>
      <c r="DK183" s="35">
        <v>0.0</v>
      </c>
      <c r="DL183" s="35">
        <v>0.0</v>
      </c>
      <c r="DM183" s="35">
        <v>0.0</v>
      </c>
      <c r="DN183" s="31">
        <v>0.0</v>
      </c>
      <c r="DO183" s="31">
        <v>0.0</v>
      </c>
      <c r="DP183" s="31">
        <v>0.0</v>
      </c>
      <c r="DQ183" s="31">
        <v>0.0</v>
      </c>
      <c r="DR183" s="31">
        <v>0.0</v>
      </c>
      <c r="DS183" s="31">
        <v>0.0</v>
      </c>
      <c r="DT183" s="31">
        <f>'Old Balance Sheet'!AC183</f>
        <v>0</v>
      </c>
      <c r="DU183" s="31">
        <f>DT183 + SUMIFS('Payments Log'!D:D, 'Payments Log'!B:B, A183, 'Payments Log'!L:L, "Approved", 'Payments Log'!M:M, "Credit") + 'Old Balance Sheet'!AD183 - 'Old Balance Sheet'!AC183</f>
        <v>35360</v>
      </c>
      <c r="DV183" s="31">
        <f>SUMIFS('Payments Log'!D:D, 'Payments Log'!B:B, A183, 'Payments Log'!L:L, "Approved", 'Payments Log'!M:M, "Adjustment Credit") - SUMIFS('Payments Log'!D:D, 'Payments Log'!B:B, A183, 'Payments Log'!L:L, "Approved", 'Payments Log'!M:M, "Adjustment Debit") + 'Old Balance Sheet'!AE183</f>
        <v>0</v>
      </c>
      <c r="DW183" s="31">
        <f>IF(MAXIFS('Payments Log'!N:N, 'Payments Log'!L:L, "Approved", 'Payments Log'!M:M, "Credit", 'Payments Log'!B:B, A183) &gt; MAXIFS('Payments Log'!N:N, 'Payments Log'!L:L, "Approved", 'Payments Log'!M:M, "Virtual Credit", 'Payments Log'!B:B, A183), 0, SUMIFS('Payments Log'!D:D, 'Payments Log'!N:N, MAXIFS('Payments Log'!N:N, 'Payments Log'!L:L, "Approved", 'Payments Log'!M:M, "Virtual Credit", 'Payments Log'!B:B, A183)))</f>
        <v>0</v>
      </c>
      <c r="DX183" s="33">
        <f t="shared" si="6"/>
        <v>0</v>
      </c>
      <c r="DY183" s="33">
        <f t="shared" si="7"/>
        <v>14171.53</v>
      </c>
      <c r="DZ183" s="33">
        <f t="shared" si="8"/>
        <v>14171.53</v>
      </c>
      <c r="EA183" s="25" t="str">
        <f>(Sheet1!N183)</f>
        <v>D D S Motors - Gonda</v>
      </c>
      <c r="EB183" s="25" t="str">
        <f>(Sheet1!O183)</f>
        <v>1n7-iUzN79cdRZqVwntVYXRPOJ2BUYBkTQu6jF4vKAdE</v>
      </c>
      <c r="EC183" s="26" t="str">
        <f>(Sheet1!P183)</f>
        <v>Dealer</v>
      </c>
      <c r="ED183" s="34" t="s">
        <v>13</v>
      </c>
    </row>
    <row r="184">
      <c r="A184" s="25" t="str">
        <f>(Sheet1!A184)</f>
        <v>1hlnCiW64Y7uZNVOj2ewyfTULbWj1dUaXX2rUREx8W8o</v>
      </c>
      <c r="B184" s="25" t="str">
        <f>(Sheet1!B184)</f>
        <v>Asha Motor - Kannauj</v>
      </c>
      <c r="C184" s="30" t="s">
        <v>13</v>
      </c>
      <c r="D184" s="25" t="s">
        <v>72</v>
      </c>
      <c r="E184" s="25" t="s">
        <v>3820</v>
      </c>
      <c r="F184" s="33">
        <v>205.0</v>
      </c>
      <c r="G184" s="25" t="s">
        <v>3818</v>
      </c>
      <c r="H184" s="33">
        <v>100.0</v>
      </c>
      <c r="I184" s="33">
        <f>'Old Balance Sheet'!A184 + 'ACPL Calculations - 1.0'!A184 + 'ACPL Calculations - 2.0'!A184</f>
        <v>1</v>
      </c>
      <c r="J184" s="25" t="s">
        <v>3820</v>
      </c>
      <c r="K184" s="33">
        <v>205.0</v>
      </c>
      <c r="L184" s="25" t="s">
        <v>3818</v>
      </c>
      <c r="M184" s="33">
        <v>100.0</v>
      </c>
      <c r="N184" s="33">
        <f>'Old Balance Sheet'!B184 + 'ACPL Calculations - 1.0'!B184 + 'ACPL Calculations - 2.0'!B184</f>
        <v>0</v>
      </c>
      <c r="O184" s="25" t="s">
        <v>3820</v>
      </c>
      <c r="P184" s="31">
        <v>205.0</v>
      </c>
      <c r="Q184" s="25" t="s">
        <v>3818</v>
      </c>
      <c r="R184" s="33">
        <v>100.0</v>
      </c>
      <c r="S184" s="33">
        <f>'Old Balance Sheet'!C184 + 'ACPL Calculations - 1.0'!C184 + 'ACPL Calculations - 2.0'!C184</f>
        <v>1187</v>
      </c>
      <c r="T184" s="25" t="s">
        <v>3820</v>
      </c>
      <c r="U184" s="33">
        <v>375.0</v>
      </c>
      <c r="V184" s="25" t="s">
        <v>3818</v>
      </c>
      <c r="W184" s="33">
        <v>100.0</v>
      </c>
      <c r="X184" s="33">
        <f>'Old Balance Sheet'!D184 + 'ACPL Calculations - 1.0'!D184 + 'ACPL Calculations - 2.0'!D184</f>
        <v>0</v>
      </c>
      <c r="Y184" s="25" t="s">
        <v>3820</v>
      </c>
      <c r="Z184" s="33">
        <v>460.0</v>
      </c>
      <c r="AA184" s="42" t="s">
        <v>3818</v>
      </c>
      <c r="AB184" s="43">
        <v>100.0</v>
      </c>
      <c r="AC184" s="33">
        <f>'Old Balance Sheet'!E184 + 'ACPL Calculations - 1.0'!E184 + 'ACPL Calculations - 2.0'!E184</f>
        <v>0</v>
      </c>
      <c r="AD184" s="25" t="s">
        <v>3820</v>
      </c>
      <c r="AE184" s="33">
        <v>838.99</v>
      </c>
      <c r="AF184" s="42" t="s">
        <v>3818</v>
      </c>
      <c r="AG184" s="43">
        <v>100.0</v>
      </c>
      <c r="AH184" s="33">
        <f>'Old Balance Sheet'!F184 + 'ACPL Calculations - 1.0'!F184 + 'ACPL Calculations - 2.0'!F184</f>
        <v>0</v>
      </c>
      <c r="AI184" s="25" t="s">
        <v>3820</v>
      </c>
      <c r="AJ184" s="33">
        <v>375.0</v>
      </c>
      <c r="AK184" s="42" t="s">
        <v>3818</v>
      </c>
      <c r="AL184" s="43">
        <v>100.0</v>
      </c>
      <c r="AM184" s="33">
        <f>'Old Balance Sheet'!G184 + 'ACPL Calculations - 1.0'!G184 + 'ACPL Calculations - 2.0'!G184</f>
        <v>0</v>
      </c>
      <c r="AN184" s="25" t="s">
        <v>3820</v>
      </c>
      <c r="AO184" s="33">
        <v>290.0</v>
      </c>
      <c r="AP184" s="42" t="s">
        <v>3818</v>
      </c>
      <c r="AQ184" s="43">
        <v>100.0</v>
      </c>
      <c r="AR184" s="33">
        <f>'Old Balance Sheet'!H184 + 'ACPL Calculations - 1.0'!H184 + 'ACPL Calculations - 2.0'!H184</f>
        <v>0</v>
      </c>
      <c r="AS184" s="25" t="s">
        <v>3819</v>
      </c>
      <c r="AT184" s="33">
        <v>838.99</v>
      </c>
      <c r="AU184" s="42" t="s">
        <v>3818</v>
      </c>
      <c r="AV184" s="43">
        <v>100.0</v>
      </c>
      <c r="AW184" s="33">
        <f>'Old Balance Sheet'!I184 + 'ACPL Calculations - 1.0'!I184 + 'ACPL Calculations - 2.0'!I184</f>
        <v>0</v>
      </c>
      <c r="AX184" s="25" t="s">
        <v>3820</v>
      </c>
      <c r="AY184" s="31">
        <v>290.0</v>
      </c>
      <c r="AZ184" s="42" t="s">
        <v>3818</v>
      </c>
      <c r="BA184" s="43">
        <v>100.0</v>
      </c>
      <c r="BB184" s="33">
        <f>'Old Balance Sheet'!J184 + 'ACPL Calculations - 1.0'!J184 + 'ACPL Calculations - 2.0'!J184</f>
        <v>0</v>
      </c>
      <c r="BC184" s="25" t="s">
        <v>3820</v>
      </c>
      <c r="BD184" s="31">
        <v>205.0</v>
      </c>
      <c r="BE184" s="42" t="s">
        <v>3818</v>
      </c>
      <c r="BF184" s="43">
        <v>100.0</v>
      </c>
      <c r="BG184" s="33">
        <f>'Old Balance Sheet'!K184 + 'ACPL Calculations - 1.0'!K184 + 'ACPL Calculations - 2.0'!K184</f>
        <v>0</v>
      </c>
      <c r="BH184" s="25" t="s">
        <v>3820</v>
      </c>
      <c r="BI184" s="31">
        <v>205.0</v>
      </c>
      <c r="BJ184" s="42" t="s">
        <v>3818</v>
      </c>
      <c r="BK184" s="43">
        <v>100.0</v>
      </c>
      <c r="BL184" s="33">
        <f>'Old Balance Sheet'!L184 + 'ACPL Calculations - 1.0'!L184 + 'ACPL Calculations - 2.0'!L184</f>
        <v>0</v>
      </c>
      <c r="BM184" s="25"/>
      <c r="BN184" s="25"/>
      <c r="BO184" s="25"/>
      <c r="BP184" s="25"/>
      <c r="BQ184" s="25"/>
      <c r="BR184" s="25"/>
      <c r="BS184" s="25"/>
      <c r="BT184" s="25"/>
      <c r="BU184" s="25"/>
      <c r="BV184" s="25"/>
      <c r="BW184" s="25"/>
      <c r="BX184" s="25"/>
      <c r="BY184" s="25"/>
      <c r="BZ184" s="25"/>
      <c r="CA184" s="25"/>
      <c r="CB184" s="25"/>
      <c r="CC184" s="25"/>
      <c r="CD184" s="25"/>
      <c r="CE184" s="25"/>
      <c r="CF184" s="25"/>
      <c r="CG184" s="25"/>
      <c r="CH184" s="25"/>
      <c r="CI184" s="25"/>
      <c r="CJ184" s="25"/>
      <c r="CK184" s="25"/>
      <c r="CL184" s="33">
        <f t="shared" si="1"/>
        <v>1188</v>
      </c>
      <c r="CM184" s="33">
        <f>'Old Balance Sheet'!R184 + 'ACPL Calculations - 1.0'!S184 + 'ACPL Calculations - 2.0'!S184</f>
        <v>819272</v>
      </c>
      <c r="CN184" s="33">
        <f>'Old Balance Sheet'!S184 + 'ACPL Calculations - 1.0'!T184 + 'ACPL Calculations - 2.0'!T184</f>
        <v>243540</v>
      </c>
      <c r="CO184" s="33">
        <f t="shared" si="2"/>
        <v>368508.67</v>
      </c>
      <c r="CP184" s="33">
        <f>'Old Balance Sheet'!T184 + 'ACPL Calculations - 1.0'!V184 + 'ACPL Calculations - 2.0'!V184</f>
        <v>0</v>
      </c>
      <c r="CQ184" s="33">
        <f>'Old Balance Sheet'!U184 + 'ACPL Calculations - 1.0'!W184 + 'ACPL Calculations - 2.0'!W184</f>
        <v>0</v>
      </c>
      <c r="CR184" s="33">
        <f>'Old Balance Sheet'!V184 + 'ACPL Calculations - 1.0'!X184 + 'ACPL Calculations - 2.0'!X184</f>
        <v>124968.67</v>
      </c>
      <c r="CS184" s="33">
        <f t="shared" si="3"/>
        <v>124968.67</v>
      </c>
      <c r="CT184" s="35"/>
      <c r="CU184" s="35"/>
      <c r="CV184" s="35"/>
      <c r="CW184" s="36">
        <f>'Old Balance Sheet'!W184 + 'ACPL Calculations - 1.0'!Z184 + 'ACPL Calculations - 2.0'!Z184</f>
        <v>2342912</v>
      </c>
      <c r="CX184" s="36">
        <f>'Old Balance Sheet'!X184 + 'ACPL Calculations - 1.0'!AA184 + 'ACPL Calculations - 2.0'!AA184</f>
        <v>1119960.67</v>
      </c>
      <c r="CY184" s="37">
        <v>0.0</v>
      </c>
      <c r="CZ184" s="38">
        <f>'Old Balance Sheet'!Y184 + 'ACPL Calculations - 1.0'!AB184 + 'ACPL Calculations - 2.0'!AB184</f>
        <v>1281264.27</v>
      </c>
      <c r="DA184" s="38">
        <f>'Old Balance Sheet'!Z184 + 'ACPL Calculations - 1.0'!AC184 + 'ACPL Calculations - 2.0'!AC184</f>
        <v>0</v>
      </c>
      <c r="DB184" s="38">
        <f>'Old Balance Sheet'!AA184 + 'ACPL Calculations - 1.0'!AD184 + 'ACPL Calculations - 2.0'!AD184</f>
        <v>60664.73</v>
      </c>
      <c r="DC184" s="38">
        <f>'Old Balance Sheet'!AB184 + 'ACPL Calculations - 1.0'!AE184 + 'ACPL Calculations - 2.0'!AE184</f>
        <v>1222951.33</v>
      </c>
      <c r="DD184" s="38">
        <f t="shared" si="4"/>
        <v>1222951.33</v>
      </c>
      <c r="DE184" s="33">
        <f t="shared" si="5"/>
        <v>1204591.33</v>
      </c>
      <c r="DF184" s="35">
        <v>0.0</v>
      </c>
      <c r="DG184" s="35">
        <v>0.0</v>
      </c>
      <c r="DH184" s="35">
        <v>0.0</v>
      </c>
      <c r="DI184" s="35">
        <v>0.0</v>
      </c>
      <c r="DJ184" s="35">
        <v>0.0</v>
      </c>
      <c r="DK184" s="35">
        <v>0.0</v>
      </c>
      <c r="DL184" s="35">
        <v>0.0</v>
      </c>
      <c r="DM184" s="35">
        <v>0.0</v>
      </c>
      <c r="DN184" s="31">
        <v>0.0</v>
      </c>
      <c r="DO184" s="31">
        <v>0.0</v>
      </c>
      <c r="DP184" s="31">
        <v>0.0</v>
      </c>
      <c r="DQ184" s="31">
        <v>0.0</v>
      </c>
      <c r="DR184" s="31">
        <v>0.0</v>
      </c>
      <c r="DS184" s="31">
        <v>0.0</v>
      </c>
      <c r="DT184" s="31">
        <f>'Old Balance Sheet'!AC184</f>
        <v>0</v>
      </c>
      <c r="DU184" s="31">
        <f>DT184 + SUMIFS('Payments Log'!D:D, 'Payments Log'!B:B, A184, 'Payments Log'!L:L, "Approved", 'Payments Log'!M:M, "Credit") + 'Old Balance Sheet'!AD184 - 'Old Balance Sheet'!AC184</f>
        <v>2324552</v>
      </c>
      <c r="DV184" s="31">
        <f>SUMIFS('Payments Log'!D:D, 'Payments Log'!B:B, A184, 'Payments Log'!L:L, "Approved", 'Payments Log'!M:M, "Adjustment Credit") - SUMIFS('Payments Log'!D:D, 'Payments Log'!B:B, A184, 'Payments Log'!L:L, "Approved", 'Payments Log'!M:M, "Adjustment Debit") + 'Old Balance Sheet'!AE184</f>
        <v>0</v>
      </c>
      <c r="DW184" s="31">
        <f>IF(MAXIFS('Payments Log'!N:N, 'Payments Log'!L:L, "Approved", 'Payments Log'!M:M, "Credit", 'Payments Log'!B:B, A184) &gt; MAXIFS('Payments Log'!N:N, 'Payments Log'!L:L, "Approved", 'Payments Log'!M:M, "Virtual Credit", 'Payments Log'!B:B, A184), 0, SUMIFS('Payments Log'!D:D, 'Payments Log'!N:N, MAXIFS('Payments Log'!N:N, 'Payments Log'!L:L, "Approved", 'Payments Log'!M:M, "Virtual Credit", 'Payments Log'!B:B, A184)))</f>
        <v>0</v>
      </c>
      <c r="DX184" s="33">
        <f t="shared" si="6"/>
        <v>-18360</v>
      </c>
      <c r="DY184" s="33">
        <f t="shared" si="7"/>
        <v>1204591.33</v>
      </c>
      <c r="DZ184" s="33">
        <f t="shared" si="8"/>
        <v>1204591.33</v>
      </c>
      <c r="EA184" s="25" t="str">
        <f>(Sheet1!N184)</f>
        <v>Asha Motor - Kannauj</v>
      </c>
      <c r="EB184" s="25" t="str">
        <f>(Sheet1!O184)</f>
        <v>1hlnCiW64Y7uZNVOj2ewyfTULbWj1dUaXX2rUREx8W8o</v>
      </c>
      <c r="EC184" s="26" t="str">
        <f>(Sheet1!P184)</f>
        <v>Dealer</v>
      </c>
      <c r="ED184" s="34" t="s">
        <v>13</v>
      </c>
    </row>
    <row r="185">
      <c r="A185" s="25" t="str">
        <f>(Sheet1!A185)</f>
        <v>1qVCbO1-x1wvM0-NhcEVhkvWdoKy0Q9zezj6PELJNkXM</v>
      </c>
      <c r="B185" s="25" t="str">
        <f>(Sheet1!B185)</f>
        <v>NEELAM AUTOMOBILES (MAA) - NARKATIAGANJ</v>
      </c>
      <c r="C185" s="30" t="s">
        <v>13</v>
      </c>
      <c r="D185" s="25" t="s">
        <v>72</v>
      </c>
      <c r="E185" s="25" t="s">
        <v>3820</v>
      </c>
      <c r="F185" s="31">
        <v>192.0</v>
      </c>
      <c r="G185" s="25" t="s">
        <v>3818</v>
      </c>
      <c r="H185" s="33">
        <v>100.0</v>
      </c>
      <c r="I185" s="33">
        <f>'Old Balance Sheet'!A185 + 'ACPL Calculations - 1.0'!A185 + 'ACPL Calculations - 2.0'!A185</f>
        <v>982</v>
      </c>
      <c r="J185" s="25" t="s">
        <v>3820</v>
      </c>
      <c r="K185" s="31">
        <v>192.0</v>
      </c>
      <c r="L185" s="25" t="s">
        <v>3818</v>
      </c>
      <c r="M185" s="33">
        <v>100.0</v>
      </c>
      <c r="N185" s="33">
        <f>'Old Balance Sheet'!B185 + 'ACPL Calculations - 1.0'!B185 + 'ACPL Calculations - 2.0'!B185</f>
        <v>0</v>
      </c>
      <c r="O185" s="25" t="s">
        <v>3820</v>
      </c>
      <c r="P185" s="31">
        <v>205.0</v>
      </c>
      <c r="Q185" s="25" t="s">
        <v>3818</v>
      </c>
      <c r="R185" s="33">
        <v>100.0</v>
      </c>
      <c r="S185" s="33">
        <f>'Old Balance Sheet'!C185 + 'ACPL Calculations - 1.0'!C185 + 'ACPL Calculations - 2.0'!C185</f>
        <v>0</v>
      </c>
      <c r="T185" s="25" t="s">
        <v>3820</v>
      </c>
      <c r="U185" s="33">
        <v>375.0</v>
      </c>
      <c r="V185" s="25" t="s">
        <v>3818</v>
      </c>
      <c r="W185" s="33">
        <v>100.0</v>
      </c>
      <c r="X185" s="33">
        <f>'Old Balance Sheet'!D185 + 'ACPL Calculations - 1.0'!D185 + 'ACPL Calculations - 2.0'!D185</f>
        <v>0</v>
      </c>
      <c r="Y185" s="25" t="s">
        <v>3820</v>
      </c>
      <c r="Z185" s="33">
        <v>460.0</v>
      </c>
      <c r="AA185" s="42" t="s">
        <v>3818</v>
      </c>
      <c r="AB185" s="43">
        <v>100.0</v>
      </c>
      <c r="AC185" s="33">
        <f>'Old Balance Sheet'!E185 + 'ACPL Calculations - 1.0'!E185 + 'ACPL Calculations - 2.0'!E185</f>
        <v>0</v>
      </c>
      <c r="AD185" s="25" t="s">
        <v>3820</v>
      </c>
      <c r="AE185" s="33">
        <v>838.99</v>
      </c>
      <c r="AF185" s="42" t="s">
        <v>3818</v>
      </c>
      <c r="AG185" s="43">
        <v>100.0</v>
      </c>
      <c r="AH185" s="33">
        <f>'Old Balance Sheet'!F185 + 'ACPL Calculations - 1.0'!F185 + 'ACPL Calculations - 2.0'!F185</f>
        <v>0</v>
      </c>
      <c r="AI185" s="25" t="s">
        <v>3820</v>
      </c>
      <c r="AJ185" s="33">
        <v>375.0</v>
      </c>
      <c r="AK185" s="42" t="s">
        <v>3818</v>
      </c>
      <c r="AL185" s="43">
        <v>100.0</v>
      </c>
      <c r="AM185" s="33">
        <f>'Old Balance Sheet'!G185 + 'ACPL Calculations - 1.0'!G185 + 'ACPL Calculations - 2.0'!G185</f>
        <v>0</v>
      </c>
      <c r="AN185" s="25" t="s">
        <v>3820</v>
      </c>
      <c r="AO185" s="33">
        <v>290.0</v>
      </c>
      <c r="AP185" s="42" t="s">
        <v>3818</v>
      </c>
      <c r="AQ185" s="43">
        <v>100.0</v>
      </c>
      <c r="AR185" s="33">
        <f>'Old Balance Sheet'!H185 + 'ACPL Calculations - 1.0'!H185 + 'ACPL Calculations - 2.0'!H185</f>
        <v>0</v>
      </c>
      <c r="AS185" s="25" t="s">
        <v>3819</v>
      </c>
      <c r="AT185" s="33">
        <v>838.99</v>
      </c>
      <c r="AU185" s="42" t="s">
        <v>3818</v>
      </c>
      <c r="AV185" s="43">
        <v>100.0</v>
      </c>
      <c r="AW185" s="33">
        <f>'Old Balance Sheet'!I185 + 'ACPL Calculations - 1.0'!I185 + 'ACPL Calculations - 2.0'!I185</f>
        <v>0</v>
      </c>
      <c r="AX185" s="25" t="s">
        <v>3820</v>
      </c>
      <c r="AY185" s="31">
        <v>290.0</v>
      </c>
      <c r="AZ185" s="42" t="s">
        <v>3818</v>
      </c>
      <c r="BA185" s="43">
        <v>100.0</v>
      </c>
      <c r="BB185" s="33">
        <f>'Old Balance Sheet'!J185 + 'ACPL Calculations - 1.0'!J185 + 'ACPL Calculations - 2.0'!J185</f>
        <v>0</v>
      </c>
      <c r="BC185" s="25" t="s">
        <v>3820</v>
      </c>
      <c r="BD185" s="31">
        <v>205.0</v>
      </c>
      <c r="BE185" s="42" t="s">
        <v>3818</v>
      </c>
      <c r="BF185" s="43">
        <v>100.0</v>
      </c>
      <c r="BG185" s="33">
        <f>'Old Balance Sheet'!K185 + 'ACPL Calculations - 1.0'!K185 + 'ACPL Calculations - 2.0'!K185</f>
        <v>0</v>
      </c>
      <c r="BH185" s="25" t="s">
        <v>3820</v>
      </c>
      <c r="BI185" s="31">
        <v>205.0</v>
      </c>
      <c r="BJ185" s="42" t="s">
        <v>3818</v>
      </c>
      <c r="BK185" s="43">
        <v>100.0</v>
      </c>
      <c r="BL185" s="33">
        <f>'Old Balance Sheet'!L185 + 'ACPL Calculations - 1.0'!L185 + 'ACPL Calculations - 2.0'!L185</f>
        <v>0</v>
      </c>
      <c r="BM185" s="25"/>
      <c r="BN185" s="25"/>
      <c r="BO185" s="25"/>
      <c r="BP185" s="25"/>
      <c r="BQ185" s="25"/>
      <c r="BR185" s="25"/>
      <c r="BS185" s="25"/>
      <c r="BT185" s="25"/>
      <c r="BU185" s="25"/>
      <c r="BV185" s="25"/>
      <c r="BW185" s="25"/>
      <c r="BX185" s="25"/>
      <c r="BY185" s="25"/>
      <c r="BZ185" s="25"/>
      <c r="CA185" s="25"/>
      <c r="CB185" s="25"/>
      <c r="CC185" s="25"/>
      <c r="CD185" s="25"/>
      <c r="CE185" s="25"/>
      <c r="CF185" s="25"/>
      <c r="CG185" s="25"/>
      <c r="CH185" s="25"/>
      <c r="CI185" s="25"/>
      <c r="CJ185" s="25"/>
      <c r="CK185" s="25"/>
      <c r="CL185" s="33">
        <f t="shared" si="1"/>
        <v>982</v>
      </c>
      <c r="CM185" s="33">
        <f>'Old Balance Sheet'!R185 + 'ACPL Calculations - 1.0'!S185 + 'ACPL Calculations - 2.0'!S185</f>
        <v>434044</v>
      </c>
      <c r="CN185" s="33">
        <f>'Old Balance Sheet'!S185 + 'ACPL Calculations - 1.0'!T185 + 'ACPL Calculations - 2.0'!T185</f>
        <v>188999</v>
      </c>
      <c r="CO185" s="33">
        <f t="shared" si="2"/>
        <v>255205.44</v>
      </c>
      <c r="CP185" s="33">
        <f>'Old Balance Sheet'!T185 + 'ACPL Calculations - 1.0'!V185 + 'ACPL Calculations - 2.0'!V185</f>
        <v>0</v>
      </c>
      <c r="CQ185" s="33">
        <f>'Old Balance Sheet'!U185 + 'ACPL Calculations - 1.0'!W185 + 'ACPL Calculations - 2.0'!W185</f>
        <v>0</v>
      </c>
      <c r="CR185" s="33">
        <f>'Old Balance Sheet'!V185 + 'ACPL Calculations - 1.0'!X185 + 'ACPL Calculations - 2.0'!X185</f>
        <v>66206.44</v>
      </c>
      <c r="CS185" s="33">
        <f t="shared" si="3"/>
        <v>66206.44</v>
      </c>
      <c r="CT185" s="35"/>
      <c r="CU185" s="35"/>
      <c r="CV185" s="35"/>
      <c r="CW185" s="36">
        <f>'Old Balance Sheet'!W185 + 'ACPL Calculations - 1.0'!Z185 + 'ACPL Calculations - 2.0'!Z185</f>
        <v>0</v>
      </c>
      <c r="CX185" s="36">
        <f>'Old Balance Sheet'!X185 + 'ACPL Calculations - 1.0'!AA185 + 'ACPL Calculations - 2.0'!AA185</f>
        <v>0</v>
      </c>
      <c r="CY185" s="37">
        <v>0.0</v>
      </c>
      <c r="CZ185" s="38">
        <f>'Old Balance Sheet'!Y185 + 'ACPL Calculations - 1.0'!AB185 + 'ACPL Calculations - 2.0'!AB185</f>
        <v>0</v>
      </c>
      <c r="DA185" s="38">
        <f>'Old Balance Sheet'!Z185 + 'ACPL Calculations - 1.0'!AC185 + 'ACPL Calculations - 2.0'!AC185</f>
        <v>0</v>
      </c>
      <c r="DB185" s="38">
        <f>'Old Balance Sheet'!AA185 + 'ACPL Calculations - 1.0'!AD185 + 'ACPL Calculations - 2.0'!AD185</f>
        <v>0</v>
      </c>
      <c r="DC185" s="38">
        <f>'Old Balance Sheet'!AB185 + 'ACPL Calculations - 1.0'!AE185 + 'ACPL Calculations - 2.0'!AE185</f>
        <v>0</v>
      </c>
      <c r="DD185" s="38">
        <f t="shared" si="4"/>
        <v>0</v>
      </c>
      <c r="DE185" s="33">
        <f t="shared" si="5"/>
        <v>0</v>
      </c>
      <c r="DF185" s="35">
        <v>0.0</v>
      </c>
      <c r="DG185" s="35">
        <v>0.0</v>
      </c>
      <c r="DH185" s="35">
        <v>0.0</v>
      </c>
      <c r="DI185" s="35">
        <v>0.0</v>
      </c>
      <c r="DJ185" s="35">
        <v>0.0</v>
      </c>
      <c r="DK185" s="35">
        <v>0.0</v>
      </c>
      <c r="DL185" s="35">
        <v>0.0</v>
      </c>
      <c r="DM185" s="35">
        <v>0.0</v>
      </c>
      <c r="DN185" s="31">
        <v>0.0</v>
      </c>
      <c r="DO185" s="31">
        <v>0.0</v>
      </c>
      <c r="DP185" s="31">
        <v>0.0</v>
      </c>
      <c r="DQ185" s="31">
        <v>0.0</v>
      </c>
      <c r="DR185" s="31">
        <v>0.0</v>
      </c>
      <c r="DS185" s="31">
        <v>0.0</v>
      </c>
      <c r="DT185" s="31">
        <f>'Old Balance Sheet'!AC185</f>
        <v>0</v>
      </c>
      <c r="DU185" s="31">
        <f>DT185 + SUMIFS('Payments Log'!D:D, 'Payments Log'!B:B, A185, 'Payments Log'!L:L, "Approved", 'Payments Log'!M:M, "Credit") + 'Old Balance Sheet'!AD185 - 'Old Balance Sheet'!AC185</f>
        <v>0</v>
      </c>
      <c r="DV185" s="31">
        <f>SUMIFS('Payments Log'!D:D, 'Payments Log'!B:B, A185, 'Payments Log'!L:L, "Approved", 'Payments Log'!M:M, "Adjustment Credit") - SUMIFS('Payments Log'!D:D, 'Payments Log'!B:B, A185, 'Payments Log'!L:L, "Approved", 'Payments Log'!M:M, "Adjustment Debit") + 'Old Balance Sheet'!AE185</f>
        <v>0</v>
      </c>
      <c r="DW185" s="31">
        <f>IF(MAXIFS('Payments Log'!N:N, 'Payments Log'!L:L, "Approved", 'Payments Log'!M:M, "Credit", 'Payments Log'!B:B, A185) &gt; MAXIFS('Payments Log'!N:N, 'Payments Log'!L:L, "Approved", 'Payments Log'!M:M, "Virtual Credit", 'Payments Log'!B:B, A185), 0, SUMIFS('Payments Log'!D:D, 'Payments Log'!N:N, MAXIFS('Payments Log'!N:N, 'Payments Log'!L:L, "Approved", 'Payments Log'!M:M, "Virtual Credit", 'Payments Log'!B:B, A185)))</f>
        <v>0</v>
      </c>
      <c r="DX185" s="33">
        <f t="shared" si="6"/>
        <v>0</v>
      </c>
      <c r="DY185" s="33">
        <f t="shared" si="7"/>
        <v>0</v>
      </c>
      <c r="DZ185" s="33">
        <f t="shared" si="8"/>
        <v>0</v>
      </c>
      <c r="EA185" s="25" t="str">
        <f>(Sheet1!N185)</f>
        <v>Modern Auto Agency - Bettiah</v>
      </c>
      <c r="EB185" s="25" t="str">
        <f>(Sheet1!O185)</f>
        <v>1_UtGSoyOsljQXvmry7gfXGYwjwEjQbghQQGZebnq45M</v>
      </c>
      <c r="EC185" s="26" t="str">
        <f>(Sheet1!P185)</f>
        <v>Sub Dealer</v>
      </c>
      <c r="ED185" s="34" t="s">
        <v>13</v>
      </c>
    </row>
    <row r="186">
      <c r="A186" s="25" t="str">
        <f>(Sheet1!A186)</f>
        <v>1UyyiO2ozt9UX5AJamlEvIX5j825tQ-SAIIQCdxpAP0Y</v>
      </c>
      <c r="B186" s="25" t="str">
        <f>(Sheet1!B186)</f>
        <v>VINAY AUTO AGENCY (MAA) - BAGAHA</v>
      </c>
      <c r="C186" s="30" t="s">
        <v>13</v>
      </c>
      <c r="D186" s="25" t="s">
        <v>72</v>
      </c>
      <c r="E186" s="25" t="s">
        <v>3820</v>
      </c>
      <c r="F186" s="31">
        <v>192.0</v>
      </c>
      <c r="G186" s="25" t="s">
        <v>3818</v>
      </c>
      <c r="H186" s="33">
        <v>100.0</v>
      </c>
      <c r="I186" s="33">
        <f>'Old Balance Sheet'!A186 + 'ACPL Calculations - 1.0'!A186 + 'ACPL Calculations - 2.0'!A186</f>
        <v>717</v>
      </c>
      <c r="J186" s="25" t="s">
        <v>3820</v>
      </c>
      <c r="K186" s="31">
        <v>192.0</v>
      </c>
      <c r="L186" s="25" t="s">
        <v>3818</v>
      </c>
      <c r="M186" s="33">
        <v>100.0</v>
      </c>
      <c r="N186" s="33">
        <f>'Old Balance Sheet'!B186 + 'ACPL Calculations - 1.0'!B186 + 'ACPL Calculations - 2.0'!B186</f>
        <v>0</v>
      </c>
      <c r="O186" s="25" t="s">
        <v>3820</v>
      </c>
      <c r="P186" s="31">
        <v>205.0</v>
      </c>
      <c r="Q186" s="25" t="s">
        <v>3818</v>
      </c>
      <c r="R186" s="33">
        <v>100.0</v>
      </c>
      <c r="S186" s="33">
        <f>'Old Balance Sheet'!C186 + 'ACPL Calculations - 1.0'!C186 + 'ACPL Calculations - 2.0'!C186</f>
        <v>0</v>
      </c>
      <c r="T186" s="25" t="s">
        <v>3820</v>
      </c>
      <c r="U186" s="33">
        <v>375.0</v>
      </c>
      <c r="V186" s="25" t="s">
        <v>3818</v>
      </c>
      <c r="W186" s="33">
        <v>100.0</v>
      </c>
      <c r="X186" s="33">
        <f>'Old Balance Sheet'!D186 + 'ACPL Calculations - 1.0'!D186 + 'ACPL Calculations - 2.0'!D186</f>
        <v>0</v>
      </c>
      <c r="Y186" s="25" t="s">
        <v>3820</v>
      </c>
      <c r="Z186" s="33">
        <v>460.0</v>
      </c>
      <c r="AA186" s="42" t="s">
        <v>3818</v>
      </c>
      <c r="AB186" s="43">
        <v>100.0</v>
      </c>
      <c r="AC186" s="33">
        <f>'Old Balance Sheet'!E186 + 'ACPL Calculations - 1.0'!E186 + 'ACPL Calculations - 2.0'!E186</f>
        <v>0</v>
      </c>
      <c r="AD186" s="25" t="s">
        <v>3820</v>
      </c>
      <c r="AE186" s="33">
        <v>838.99</v>
      </c>
      <c r="AF186" s="42" t="s">
        <v>3818</v>
      </c>
      <c r="AG186" s="43">
        <v>100.0</v>
      </c>
      <c r="AH186" s="33">
        <f>'Old Balance Sheet'!F186 + 'ACPL Calculations - 1.0'!F186 + 'ACPL Calculations - 2.0'!F186</f>
        <v>0</v>
      </c>
      <c r="AI186" s="25" t="s">
        <v>3820</v>
      </c>
      <c r="AJ186" s="33">
        <v>375.0</v>
      </c>
      <c r="AK186" s="42" t="s">
        <v>3818</v>
      </c>
      <c r="AL186" s="43">
        <v>100.0</v>
      </c>
      <c r="AM186" s="33">
        <f>'Old Balance Sheet'!G186 + 'ACPL Calculations - 1.0'!G186 + 'ACPL Calculations - 2.0'!G186</f>
        <v>0</v>
      </c>
      <c r="AN186" s="25" t="s">
        <v>3820</v>
      </c>
      <c r="AO186" s="33">
        <v>290.0</v>
      </c>
      <c r="AP186" s="42" t="s">
        <v>3818</v>
      </c>
      <c r="AQ186" s="43">
        <v>100.0</v>
      </c>
      <c r="AR186" s="33">
        <f>'Old Balance Sheet'!H186 + 'ACPL Calculations - 1.0'!H186 + 'ACPL Calculations - 2.0'!H186</f>
        <v>0</v>
      </c>
      <c r="AS186" s="25" t="s">
        <v>3819</v>
      </c>
      <c r="AT186" s="33">
        <v>838.99</v>
      </c>
      <c r="AU186" s="42" t="s">
        <v>3818</v>
      </c>
      <c r="AV186" s="43">
        <v>100.0</v>
      </c>
      <c r="AW186" s="33">
        <f>'Old Balance Sheet'!I186 + 'ACPL Calculations - 1.0'!I186 + 'ACPL Calculations - 2.0'!I186</f>
        <v>0</v>
      </c>
      <c r="AX186" s="25" t="s">
        <v>3820</v>
      </c>
      <c r="AY186" s="31">
        <v>290.0</v>
      </c>
      <c r="AZ186" s="42" t="s">
        <v>3818</v>
      </c>
      <c r="BA186" s="43">
        <v>100.0</v>
      </c>
      <c r="BB186" s="33">
        <f>'Old Balance Sheet'!J186 + 'ACPL Calculations - 1.0'!J186 + 'ACPL Calculations - 2.0'!J186</f>
        <v>0</v>
      </c>
      <c r="BC186" s="25" t="s">
        <v>3820</v>
      </c>
      <c r="BD186" s="31">
        <v>205.0</v>
      </c>
      <c r="BE186" s="42" t="s">
        <v>3818</v>
      </c>
      <c r="BF186" s="43">
        <v>100.0</v>
      </c>
      <c r="BG186" s="33">
        <f>'Old Balance Sheet'!K186 + 'ACPL Calculations - 1.0'!K186 + 'ACPL Calculations - 2.0'!K186</f>
        <v>0</v>
      </c>
      <c r="BH186" s="25" t="s">
        <v>3820</v>
      </c>
      <c r="BI186" s="31">
        <v>205.0</v>
      </c>
      <c r="BJ186" s="42" t="s">
        <v>3818</v>
      </c>
      <c r="BK186" s="43">
        <v>100.0</v>
      </c>
      <c r="BL186" s="33">
        <f>'Old Balance Sheet'!L186 + 'ACPL Calculations - 1.0'!L186 + 'ACPL Calculations - 2.0'!L186</f>
        <v>0</v>
      </c>
      <c r="BM186" s="25"/>
      <c r="BN186" s="25"/>
      <c r="BO186" s="25"/>
      <c r="BP186" s="25"/>
      <c r="BQ186" s="25"/>
      <c r="BR186" s="25"/>
      <c r="BS186" s="25"/>
      <c r="BT186" s="25"/>
      <c r="BU186" s="25"/>
      <c r="BV186" s="25"/>
      <c r="BW186" s="25"/>
      <c r="BX186" s="25"/>
      <c r="BY186" s="25"/>
      <c r="BZ186" s="25"/>
      <c r="CA186" s="25"/>
      <c r="CB186" s="25"/>
      <c r="CC186" s="25"/>
      <c r="CD186" s="25"/>
      <c r="CE186" s="25"/>
      <c r="CF186" s="25"/>
      <c r="CG186" s="25"/>
      <c r="CH186" s="25"/>
      <c r="CI186" s="25"/>
      <c r="CJ186" s="25"/>
      <c r="CK186" s="25"/>
      <c r="CL186" s="33">
        <f t="shared" si="1"/>
        <v>717</v>
      </c>
      <c r="CM186" s="33">
        <f>'Old Balance Sheet'!R186 + 'ACPL Calculations - 1.0'!S186 + 'ACPL Calculations - 2.0'!S186</f>
        <v>316914</v>
      </c>
      <c r="CN186" s="33">
        <f>'Old Balance Sheet'!S186 + 'ACPL Calculations - 1.0'!T186 + 'ACPL Calculations - 2.0'!T186</f>
        <v>138171</v>
      </c>
      <c r="CO186" s="33">
        <f t="shared" si="2"/>
        <v>186511.14</v>
      </c>
      <c r="CP186" s="33">
        <f>'Old Balance Sheet'!T186 + 'ACPL Calculations - 1.0'!V186 + 'ACPL Calculations - 2.0'!V186</f>
        <v>0</v>
      </c>
      <c r="CQ186" s="33">
        <f>'Old Balance Sheet'!U186 + 'ACPL Calculations - 1.0'!W186 + 'ACPL Calculations - 2.0'!W186</f>
        <v>0</v>
      </c>
      <c r="CR186" s="33">
        <f>'Old Balance Sheet'!V186 + 'ACPL Calculations - 1.0'!X186 + 'ACPL Calculations - 2.0'!X186</f>
        <v>48340.14</v>
      </c>
      <c r="CS186" s="33">
        <f t="shared" si="3"/>
        <v>48340.14</v>
      </c>
      <c r="CT186" s="35"/>
      <c r="CU186" s="35"/>
      <c r="CV186" s="35"/>
      <c r="CW186" s="36">
        <f>'Old Balance Sheet'!W186 + 'ACPL Calculations - 1.0'!Z186 + 'ACPL Calculations - 2.0'!Z186</f>
        <v>0</v>
      </c>
      <c r="CX186" s="36">
        <f>'Old Balance Sheet'!X186 + 'ACPL Calculations - 1.0'!AA186 + 'ACPL Calculations - 2.0'!AA186</f>
        <v>0</v>
      </c>
      <c r="CY186" s="37">
        <v>0.0</v>
      </c>
      <c r="CZ186" s="38">
        <f>'Old Balance Sheet'!Y186 + 'ACPL Calculations - 1.0'!AB186 + 'ACPL Calculations - 2.0'!AB186</f>
        <v>0</v>
      </c>
      <c r="DA186" s="38">
        <f>'Old Balance Sheet'!Z186 + 'ACPL Calculations - 1.0'!AC186 + 'ACPL Calculations - 2.0'!AC186</f>
        <v>0</v>
      </c>
      <c r="DB186" s="38">
        <f>'Old Balance Sheet'!AA186 + 'ACPL Calculations - 1.0'!AD186 + 'ACPL Calculations - 2.0'!AD186</f>
        <v>0</v>
      </c>
      <c r="DC186" s="38">
        <f>'Old Balance Sheet'!AB186 + 'ACPL Calculations - 1.0'!AE186 + 'ACPL Calculations - 2.0'!AE186</f>
        <v>0</v>
      </c>
      <c r="DD186" s="38">
        <f t="shared" si="4"/>
        <v>0</v>
      </c>
      <c r="DE186" s="33">
        <f t="shared" si="5"/>
        <v>0</v>
      </c>
      <c r="DF186" s="35">
        <v>0.0</v>
      </c>
      <c r="DG186" s="35">
        <v>0.0</v>
      </c>
      <c r="DH186" s="35">
        <v>0.0</v>
      </c>
      <c r="DI186" s="35">
        <v>0.0</v>
      </c>
      <c r="DJ186" s="35">
        <v>0.0</v>
      </c>
      <c r="DK186" s="35">
        <v>0.0</v>
      </c>
      <c r="DL186" s="35">
        <v>0.0</v>
      </c>
      <c r="DM186" s="35">
        <v>0.0</v>
      </c>
      <c r="DN186" s="31">
        <v>0.0</v>
      </c>
      <c r="DO186" s="31">
        <v>0.0</v>
      </c>
      <c r="DP186" s="31">
        <v>0.0</v>
      </c>
      <c r="DQ186" s="31">
        <v>0.0</v>
      </c>
      <c r="DR186" s="31">
        <v>0.0</v>
      </c>
      <c r="DS186" s="31">
        <v>0.0</v>
      </c>
      <c r="DT186" s="31">
        <f>'Old Balance Sheet'!AC186</f>
        <v>0</v>
      </c>
      <c r="DU186" s="31">
        <f>DT186 + SUMIFS('Payments Log'!D:D, 'Payments Log'!B:B, A186, 'Payments Log'!L:L, "Approved", 'Payments Log'!M:M, "Credit") + 'Old Balance Sheet'!AD186 - 'Old Balance Sheet'!AC186</f>
        <v>0</v>
      </c>
      <c r="DV186" s="31">
        <f>SUMIFS('Payments Log'!D:D, 'Payments Log'!B:B, A186, 'Payments Log'!L:L, "Approved", 'Payments Log'!M:M, "Adjustment Credit") - SUMIFS('Payments Log'!D:D, 'Payments Log'!B:B, A186, 'Payments Log'!L:L, "Approved", 'Payments Log'!M:M, "Adjustment Debit") + 'Old Balance Sheet'!AE186</f>
        <v>0</v>
      </c>
      <c r="DW186" s="31">
        <f>IF(MAXIFS('Payments Log'!N:N, 'Payments Log'!L:L, "Approved", 'Payments Log'!M:M, "Credit", 'Payments Log'!B:B, A186) &gt; MAXIFS('Payments Log'!N:N, 'Payments Log'!L:L, "Approved", 'Payments Log'!M:M, "Virtual Credit", 'Payments Log'!B:B, A186), 0, SUMIFS('Payments Log'!D:D, 'Payments Log'!N:N, MAXIFS('Payments Log'!N:N, 'Payments Log'!L:L, "Approved", 'Payments Log'!M:M, "Virtual Credit", 'Payments Log'!B:B, A186)))</f>
        <v>0</v>
      </c>
      <c r="DX186" s="33">
        <f t="shared" si="6"/>
        <v>0</v>
      </c>
      <c r="DY186" s="33">
        <f t="shared" si="7"/>
        <v>0</v>
      </c>
      <c r="DZ186" s="33">
        <f t="shared" si="8"/>
        <v>0</v>
      </c>
      <c r="EA186" s="25" t="str">
        <f>(Sheet1!N186)</f>
        <v>Modern Auto Agency - Bettiah</v>
      </c>
      <c r="EB186" s="25" t="str">
        <f>(Sheet1!O186)</f>
        <v>1_UtGSoyOsljQXvmry7gfXGYwjwEjQbghQQGZebnq45M</v>
      </c>
      <c r="EC186" s="26" t="str">
        <f>(Sheet1!P186)</f>
        <v>Sub Dealer</v>
      </c>
      <c r="ED186" s="34" t="s">
        <v>13</v>
      </c>
    </row>
    <row r="187">
      <c r="A187" s="25" t="str">
        <f>(Sheet1!A187)</f>
        <v>18-Jt-1hSQWeUmfNImHZoIB1DJTVR1SDzcs7QHsFc8IQ</v>
      </c>
      <c r="B187" s="25" t="str">
        <f>(Sheet1!B187)</f>
        <v>MILAN AUTO AGENCY (MAA) - RAMNAGAR</v>
      </c>
      <c r="C187" s="30" t="s">
        <v>13</v>
      </c>
      <c r="D187" s="25" t="s">
        <v>72</v>
      </c>
      <c r="E187" s="25" t="s">
        <v>3820</v>
      </c>
      <c r="F187" s="31">
        <v>192.0</v>
      </c>
      <c r="G187" s="25" t="s">
        <v>3818</v>
      </c>
      <c r="H187" s="33">
        <v>100.0</v>
      </c>
      <c r="I187" s="33">
        <f>'Old Balance Sheet'!A187 + 'ACPL Calculations - 1.0'!A187 + 'ACPL Calculations - 2.0'!A187</f>
        <v>1190</v>
      </c>
      <c r="J187" s="25" t="s">
        <v>3820</v>
      </c>
      <c r="K187" s="31">
        <v>192.0</v>
      </c>
      <c r="L187" s="25" t="s">
        <v>3818</v>
      </c>
      <c r="M187" s="33">
        <v>100.0</v>
      </c>
      <c r="N187" s="33">
        <f>'Old Balance Sheet'!B187 + 'ACPL Calculations - 1.0'!B187 + 'ACPL Calculations - 2.0'!B187</f>
        <v>0</v>
      </c>
      <c r="O187" s="25" t="s">
        <v>3820</v>
      </c>
      <c r="P187" s="31">
        <v>205.0</v>
      </c>
      <c r="Q187" s="25" t="s">
        <v>3818</v>
      </c>
      <c r="R187" s="33">
        <v>100.0</v>
      </c>
      <c r="S187" s="33">
        <f>'Old Balance Sheet'!C187 + 'ACPL Calculations - 1.0'!C187 + 'ACPL Calculations - 2.0'!C187</f>
        <v>0</v>
      </c>
      <c r="T187" s="25" t="s">
        <v>3820</v>
      </c>
      <c r="U187" s="33">
        <v>375.0</v>
      </c>
      <c r="V187" s="25" t="s">
        <v>3818</v>
      </c>
      <c r="W187" s="33">
        <v>100.0</v>
      </c>
      <c r="X187" s="33">
        <f>'Old Balance Sheet'!D187 + 'ACPL Calculations - 1.0'!D187 + 'ACPL Calculations - 2.0'!D187</f>
        <v>0</v>
      </c>
      <c r="Y187" s="25" t="s">
        <v>3820</v>
      </c>
      <c r="Z187" s="33">
        <v>460.0</v>
      </c>
      <c r="AA187" s="42" t="s">
        <v>3818</v>
      </c>
      <c r="AB187" s="43">
        <v>100.0</v>
      </c>
      <c r="AC187" s="33">
        <f>'Old Balance Sheet'!E187 + 'ACPL Calculations - 1.0'!E187 + 'ACPL Calculations - 2.0'!E187</f>
        <v>0</v>
      </c>
      <c r="AD187" s="25" t="s">
        <v>3820</v>
      </c>
      <c r="AE187" s="33">
        <v>838.99</v>
      </c>
      <c r="AF187" s="42" t="s">
        <v>3818</v>
      </c>
      <c r="AG187" s="43">
        <v>100.0</v>
      </c>
      <c r="AH187" s="33">
        <f>'Old Balance Sheet'!F187 + 'ACPL Calculations - 1.0'!F187 + 'ACPL Calculations - 2.0'!F187</f>
        <v>0</v>
      </c>
      <c r="AI187" s="25" t="s">
        <v>3820</v>
      </c>
      <c r="AJ187" s="33">
        <v>375.0</v>
      </c>
      <c r="AK187" s="42" t="s">
        <v>3818</v>
      </c>
      <c r="AL187" s="43">
        <v>100.0</v>
      </c>
      <c r="AM187" s="33">
        <f>'Old Balance Sheet'!G187 + 'ACPL Calculations - 1.0'!G187 + 'ACPL Calculations - 2.0'!G187</f>
        <v>0</v>
      </c>
      <c r="AN187" s="25" t="s">
        <v>3820</v>
      </c>
      <c r="AO187" s="33">
        <v>290.0</v>
      </c>
      <c r="AP187" s="42" t="s">
        <v>3818</v>
      </c>
      <c r="AQ187" s="43">
        <v>100.0</v>
      </c>
      <c r="AR187" s="33">
        <f>'Old Balance Sheet'!H187 + 'ACPL Calculations - 1.0'!H187 + 'ACPL Calculations - 2.0'!H187</f>
        <v>0</v>
      </c>
      <c r="AS187" s="25" t="s">
        <v>3819</v>
      </c>
      <c r="AT187" s="33">
        <v>838.99</v>
      </c>
      <c r="AU187" s="42" t="s">
        <v>3818</v>
      </c>
      <c r="AV187" s="43">
        <v>100.0</v>
      </c>
      <c r="AW187" s="33">
        <f>'Old Balance Sheet'!I187 + 'ACPL Calculations - 1.0'!I187 + 'ACPL Calculations - 2.0'!I187</f>
        <v>0</v>
      </c>
      <c r="AX187" s="25" t="s">
        <v>3820</v>
      </c>
      <c r="AY187" s="31">
        <v>290.0</v>
      </c>
      <c r="AZ187" s="42" t="s">
        <v>3818</v>
      </c>
      <c r="BA187" s="43">
        <v>100.0</v>
      </c>
      <c r="BB187" s="33">
        <f>'Old Balance Sheet'!J187 + 'ACPL Calculations - 1.0'!J187 + 'ACPL Calculations - 2.0'!J187</f>
        <v>0</v>
      </c>
      <c r="BC187" s="25" t="s">
        <v>3820</v>
      </c>
      <c r="BD187" s="31">
        <v>205.0</v>
      </c>
      <c r="BE187" s="42" t="s">
        <v>3818</v>
      </c>
      <c r="BF187" s="43">
        <v>100.0</v>
      </c>
      <c r="BG187" s="33">
        <f>'Old Balance Sheet'!K187 + 'ACPL Calculations - 1.0'!K187 + 'ACPL Calculations - 2.0'!K187</f>
        <v>0</v>
      </c>
      <c r="BH187" s="25" t="s">
        <v>3820</v>
      </c>
      <c r="BI187" s="31">
        <v>205.0</v>
      </c>
      <c r="BJ187" s="42" t="s">
        <v>3818</v>
      </c>
      <c r="BK187" s="43">
        <v>100.0</v>
      </c>
      <c r="BL187" s="33">
        <f>'Old Balance Sheet'!L187 + 'ACPL Calculations - 1.0'!L187 + 'ACPL Calculations - 2.0'!L187</f>
        <v>0</v>
      </c>
      <c r="BM187" s="25"/>
      <c r="BN187" s="25"/>
      <c r="BO187" s="25"/>
      <c r="BP187" s="25"/>
      <c r="BQ187" s="25"/>
      <c r="BR187" s="25"/>
      <c r="BS187" s="25"/>
      <c r="BT187" s="25"/>
      <c r="BU187" s="25"/>
      <c r="BV187" s="25"/>
      <c r="BW187" s="25"/>
      <c r="BX187" s="25"/>
      <c r="BY187" s="25"/>
      <c r="BZ187" s="25"/>
      <c r="CA187" s="25"/>
      <c r="CB187" s="25"/>
      <c r="CC187" s="25"/>
      <c r="CD187" s="25"/>
      <c r="CE187" s="25"/>
      <c r="CF187" s="25"/>
      <c r="CG187" s="25"/>
      <c r="CH187" s="25"/>
      <c r="CI187" s="25"/>
      <c r="CJ187" s="25"/>
      <c r="CK187" s="25"/>
      <c r="CL187" s="33">
        <f t="shared" si="1"/>
        <v>1190</v>
      </c>
      <c r="CM187" s="33">
        <f>'Old Balance Sheet'!R187 + 'ACPL Calculations - 1.0'!S187 + 'ACPL Calculations - 2.0'!S187</f>
        <v>525980</v>
      </c>
      <c r="CN187" s="33">
        <f>'Old Balance Sheet'!S187 + 'ACPL Calculations - 1.0'!T187 + 'ACPL Calculations - 2.0'!T187</f>
        <v>229065</v>
      </c>
      <c r="CO187" s="33">
        <f t="shared" si="2"/>
        <v>309294.8</v>
      </c>
      <c r="CP187" s="33">
        <f>'Old Balance Sheet'!T187 + 'ACPL Calculations - 1.0'!V187 + 'ACPL Calculations - 2.0'!V187</f>
        <v>0</v>
      </c>
      <c r="CQ187" s="33">
        <f>'Old Balance Sheet'!U187 + 'ACPL Calculations - 1.0'!W187 + 'ACPL Calculations - 2.0'!W187</f>
        <v>0</v>
      </c>
      <c r="CR187" s="33">
        <f>'Old Balance Sheet'!V187 + 'ACPL Calculations - 1.0'!X187 + 'ACPL Calculations - 2.0'!X187</f>
        <v>80229.8</v>
      </c>
      <c r="CS187" s="33">
        <f t="shared" si="3"/>
        <v>80229.8</v>
      </c>
      <c r="CT187" s="35"/>
      <c r="CU187" s="35"/>
      <c r="CV187" s="35"/>
      <c r="CW187" s="36">
        <f>'Old Balance Sheet'!W187 + 'ACPL Calculations - 1.0'!Z187 + 'ACPL Calculations - 2.0'!Z187</f>
        <v>0</v>
      </c>
      <c r="CX187" s="36">
        <f>'Old Balance Sheet'!X187 + 'ACPL Calculations - 1.0'!AA187 + 'ACPL Calculations - 2.0'!AA187</f>
        <v>0</v>
      </c>
      <c r="CY187" s="37">
        <v>0.0</v>
      </c>
      <c r="CZ187" s="38">
        <f>'Old Balance Sheet'!Y187 + 'ACPL Calculations - 1.0'!AB187 + 'ACPL Calculations - 2.0'!AB187</f>
        <v>0</v>
      </c>
      <c r="DA187" s="38">
        <f>'Old Balance Sheet'!Z187 + 'ACPL Calculations - 1.0'!AC187 + 'ACPL Calculations - 2.0'!AC187</f>
        <v>0</v>
      </c>
      <c r="DB187" s="38">
        <f>'Old Balance Sheet'!AA187 + 'ACPL Calculations - 1.0'!AD187 + 'ACPL Calculations - 2.0'!AD187</f>
        <v>0</v>
      </c>
      <c r="DC187" s="38">
        <f>'Old Balance Sheet'!AB187 + 'ACPL Calculations - 1.0'!AE187 + 'ACPL Calculations - 2.0'!AE187</f>
        <v>0</v>
      </c>
      <c r="DD187" s="38">
        <f t="shared" si="4"/>
        <v>0</v>
      </c>
      <c r="DE187" s="33">
        <f t="shared" si="5"/>
        <v>0</v>
      </c>
      <c r="DF187" s="35">
        <v>0.0</v>
      </c>
      <c r="DG187" s="35">
        <v>0.0</v>
      </c>
      <c r="DH187" s="35">
        <v>0.0</v>
      </c>
      <c r="DI187" s="35">
        <v>0.0</v>
      </c>
      <c r="DJ187" s="35">
        <v>0.0</v>
      </c>
      <c r="DK187" s="35">
        <v>0.0</v>
      </c>
      <c r="DL187" s="35">
        <v>0.0</v>
      </c>
      <c r="DM187" s="35">
        <v>0.0</v>
      </c>
      <c r="DN187" s="31">
        <v>0.0</v>
      </c>
      <c r="DO187" s="31">
        <v>0.0</v>
      </c>
      <c r="DP187" s="31">
        <v>0.0</v>
      </c>
      <c r="DQ187" s="31">
        <v>0.0</v>
      </c>
      <c r="DR187" s="31">
        <v>0.0</v>
      </c>
      <c r="DS187" s="31">
        <v>0.0</v>
      </c>
      <c r="DT187" s="31">
        <f>'Old Balance Sheet'!AC187</f>
        <v>0</v>
      </c>
      <c r="DU187" s="31">
        <f>DT187 + SUMIFS('Payments Log'!D:D, 'Payments Log'!B:B, A187, 'Payments Log'!L:L, "Approved", 'Payments Log'!M:M, "Credit") + 'Old Balance Sheet'!AD187 - 'Old Balance Sheet'!AC187</f>
        <v>0</v>
      </c>
      <c r="DV187" s="31">
        <f>SUMIFS('Payments Log'!D:D, 'Payments Log'!B:B, A187, 'Payments Log'!L:L, "Approved", 'Payments Log'!M:M, "Adjustment Credit") - SUMIFS('Payments Log'!D:D, 'Payments Log'!B:B, A187, 'Payments Log'!L:L, "Approved", 'Payments Log'!M:M, "Adjustment Debit") + 'Old Balance Sheet'!AE187</f>
        <v>0</v>
      </c>
      <c r="DW187" s="31">
        <f>IF(MAXIFS('Payments Log'!N:N, 'Payments Log'!L:L, "Approved", 'Payments Log'!M:M, "Credit", 'Payments Log'!B:B, A187) &gt; MAXIFS('Payments Log'!N:N, 'Payments Log'!L:L, "Approved", 'Payments Log'!M:M, "Virtual Credit", 'Payments Log'!B:B, A187), 0, SUMIFS('Payments Log'!D:D, 'Payments Log'!N:N, MAXIFS('Payments Log'!N:N, 'Payments Log'!L:L, "Approved", 'Payments Log'!M:M, "Virtual Credit", 'Payments Log'!B:B, A187)))</f>
        <v>0</v>
      </c>
      <c r="DX187" s="33">
        <f t="shared" si="6"/>
        <v>0</v>
      </c>
      <c r="DY187" s="33">
        <f t="shared" si="7"/>
        <v>0</v>
      </c>
      <c r="DZ187" s="33">
        <f t="shared" si="8"/>
        <v>0</v>
      </c>
      <c r="EA187" s="25" t="str">
        <f>(Sheet1!N187)</f>
        <v>Modern Auto Agency - Bettiah</v>
      </c>
      <c r="EB187" s="25" t="str">
        <f>(Sheet1!O187)</f>
        <v>1_UtGSoyOsljQXvmry7gfXGYwjwEjQbghQQGZebnq45M</v>
      </c>
      <c r="EC187" s="26" t="str">
        <f>(Sheet1!P187)</f>
        <v>Sub Dealer</v>
      </c>
      <c r="ED187" s="34" t="s">
        <v>13</v>
      </c>
    </row>
    <row r="188">
      <c r="A188" s="25" t="str">
        <f>(Sheet1!A188)</f>
        <v>1HM8WbBnHpHB3rDjfMfy58j7gi_pEy5b2nEqGnoGP7mk</v>
      </c>
      <c r="B188" s="25" t="str">
        <f>(Sheet1!B188)</f>
        <v>SHAKTI AUTOMOBILES (MAA) - JAGDISHPUR</v>
      </c>
      <c r="C188" s="30" t="s">
        <v>13</v>
      </c>
      <c r="D188" s="25" t="s">
        <v>72</v>
      </c>
      <c r="E188" s="25" t="s">
        <v>3820</v>
      </c>
      <c r="F188" s="31">
        <v>192.0</v>
      </c>
      <c r="G188" s="25" t="s">
        <v>3818</v>
      </c>
      <c r="H188" s="33">
        <v>100.0</v>
      </c>
      <c r="I188" s="33">
        <f>'Old Balance Sheet'!A188 + 'ACPL Calculations - 1.0'!A188 + 'ACPL Calculations - 2.0'!A188</f>
        <v>102</v>
      </c>
      <c r="J188" s="25" t="s">
        <v>3820</v>
      </c>
      <c r="K188" s="31">
        <v>192.0</v>
      </c>
      <c r="L188" s="25" t="s">
        <v>3818</v>
      </c>
      <c r="M188" s="33">
        <v>100.0</v>
      </c>
      <c r="N188" s="33">
        <f>'Old Balance Sheet'!B188 + 'ACPL Calculations - 1.0'!B188 + 'ACPL Calculations - 2.0'!B188</f>
        <v>0</v>
      </c>
      <c r="O188" s="25" t="s">
        <v>3820</v>
      </c>
      <c r="P188" s="31">
        <v>205.0</v>
      </c>
      <c r="Q188" s="25" t="s">
        <v>3818</v>
      </c>
      <c r="R188" s="33">
        <v>100.0</v>
      </c>
      <c r="S188" s="33">
        <f>'Old Balance Sheet'!C188 + 'ACPL Calculations - 1.0'!C188 + 'ACPL Calculations - 2.0'!C188</f>
        <v>0</v>
      </c>
      <c r="T188" s="25" t="s">
        <v>3820</v>
      </c>
      <c r="U188" s="33">
        <v>375.0</v>
      </c>
      <c r="V188" s="25" t="s">
        <v>3818</v>
      </c>
      <c r="W188" s="33">
        <v>100.0</v>
      </c>
      <c r="X188" s="33">
        <f>'Old Balance Sheet'!D188 + 'ACPL Calculations - 1.0'!D188 + 'ACPL Calculations - 2.0'!D188</f>
        <v>0</v>
      </c>
      <c r="Y188" s="25" t="s">
        <v>3820</v>
      </c>
      <c r="Z188" s="33">
        <v>460.0</v>
      </c>
      <c r="AA188" s="42" t="s">
        <v>3818</v>
      </c>
      <c r="AB188" s="43">
        <v>100.0</v>
      </c>
      <c r="AC188" s="33">
        <f>'Old Balance Sheet'!E188 + 'ACPL Calculations - 1.0'!E188 + 'ACPL Calculations - 2.0'!E188</f>
        <v>0</v>
      </c>
      <c r="AD188" s="25" t="s">
        <v>3820</v>
      </c>
      <c r="AE188" s="33">
        <v>838.99</v>
      </c>
      <c r="AF188" s="42" t="s">
        <v>3818</v>
      </c>
      <c r="AG188" s="43">
        <v>100.0</v>
      </c>
      <c r="AH188" s="33">
        <f>'Old Balance Sheet'!F188 + 'ACPL Calculations - 1.0'!F188 + 'ACPL Calculations - 2.0'!F188</f>
        <v>0</v>
      </c>
      <c r="AI188" s="25" t="s">
        <v>3820</v>
      </c>
      <c r="AJ188" s="33">
        <v>375.0</v>
      </c>
      <c r="AK188" s="42" t="s">
        <v>3818</v>
      </c>
      <c r="AL188" s="43">
        <v>100.0</v>
      </c>
      <c r="AM188" s="33">
        <f>'Old Balance Sheet'!G188 + 'ACPL Calculations - 1.0'!G188 + 'ACPL Calculations - 2.0'!G188</f>
        <v>0</v>
      </c>
      <c r="AN188" s="25" t="s">
        <v>3820</v>
      </c>
      <c r="AO188" s="33">
        <v>290.0</v>
      </c>
      <c r="AP188" s="42" t="s">
        <v>3818</v>
      </c>
      <c r="AQ188" s="43">
        <v>100.0</v>
      </c>
      <c r="AR188" s="33">
        <f>'Old Balance Sheet'!H188 + 'ACPL Calculations - 1.0'!H188 + 'ACPL Calculations - 2.0'!H188</f>
        <v>0</v>
      </c>
      <c r="AS188" s="25" t="s">
        <v>3819</v>
      </c>
      <c r="AT188" s="33">
        <v>838.99</v>
      </c>
      <c r="AU188" s="42" t="s">
        <v>3818</v>
      </c>
      <c r="AV188" s="43">
        <v>100.0</v>
      </c>
      <c r="AW188" s="33">
        <f>'Old Balance Sheet'!I188 + 'ACPL Calculations - 1.0'!I188 + 'ACPL Calculations - 2.0'!I188</f>
        <v>0</v>
      </c>
      <c r="AX188" s="25" t="s">
        <v>3820</v>
      </c>
      <c r="AY188" s="31">
        <v>290.0</v>
      </c>
      <c r="AZ188" s="42" t="s">
        <v>3818</v>
      </c>
      <c r="BA188" s="43">
        <v>100.0</v>
      </c>
      <c r="BB188" s="33">
        <f>'Old Balance Sheet'!J188 + 'ACPL Calculations - 1.0'!J188 + 'ACPL Calculations - 2.0'!J188</f>
        <v>0</v>
      </c>
      <c r="BC188" s="25" t="s">
        <v>3820</v>
      </c>
      <c r="BD188" s="31">
        <v>205.0</v>
      </c>
      <c r="BE188" s="42" t="s">
        <v>3818</v>
      </c>
      <c r="BF188" s="43">
        <v>100.0</v>
      </c>
      <c r="BG188" s="33">
        <f>'Old Balance Sheet'!K188 + 'ACPL Calculations - 1.0'!K188 + 'ACPL Calculations - 2.0'!K188</f>
        <v>0</v>
      </c>
      <c r="BH188" s="25" t="s">
        <v>3820</v>
      </c>
      <c r="BI188" s="31">
        <v>205.0</v>
      </c>
      <c r="BJ188" s="42" t="s">
        <v>3818</v>
      </c>
      <c r="BK188" s="43">
        <v>100.0</v>
      </c>
      <c r="BL188" s="33">
        <f>'Old Balance Sheet'!L188 + 'ACPL Calculations - 1.0'!L188 + 'ACPL Calculations - 2.0'!L188</f>
        <v>0</v>
      </c>
      <c r="BM188" s="25"/>
      <c r="BN188" s="25"/>
      <c r="BO188" s="25"/>
      <c r="BP188" s="25"/>
      <c r="BQ188" s="25"/>
      <c r="BR188" s="25"/>
      <c r="BS188" s="25"/>
      <c r="BT188" s="25"/>
      <c r="BU188" s="25"/>
      <c r="BV188" s="25"/>
      <c r="BW188" s="25"/>
      <c r="BX188" s="25"/>
      <c r="BY188" s="25"/>
      <c r="BZ188" s="25"/>
      <c r="CA188" s="25"/>
      <c r="CB188" s="25"/>
      <c r="CC188" s="25"/>
      <c r="CD188" s="25"/>
      <c r="CE188" s="25"/>
      <c r="CF188" s="25"/>
      <c r="CG188" s="25"/>
      <c r="CH188" s="25"/>
      <c r="CI188" s="25"/>
      <c r="CJ188" s="25"/>
      <c r="CK188" s="25"/>
      <c r="CL188" s="33">
        <f t="shared" si="1"/>
        <v>102</v>
      </c>
      <c r="CM188" s="33">
        <f>'Old Balance Sheet'!R188 + 'ACPL Calculations - 1.0'!S188 + 'ACPL Calculations - 2.0'!S188</f>
        <v>45084</v>
      </c>
      <c r="CN188" s="33">
        <f>'Old Balance Sheet'!S188 + 'ACPL Calculations - 1.0'!T188 + 'ACPL Calculations - 2.0'!T188</f>
        <v>19584</v>
      </c>
      <c r="CO188" s="33">
        <f t="shared" si="2"/>
        <v>26460.84</v>
      </c>
      <c r="CP188" s="33">
        <f>'Old Balance Sheet'!T188 + 'ACPL Calculations - 1.0'!V188 + 'ACPL Calculations - 2.0'!V188</f>
        <v>0</v>
      </c>
      <c r="CQ188" s="33">
        <f>'Old Balance Sheet'!U188 + 'ACPL Calculations - 1.0'!W188 + 'ACPL Calculations - 2.0'!W188</f>
        <v>0</v>
      </c>
      <c r="CR188" s="33">
        <f>'Old Balance Sheet'!V188 + 'ACPL Calculations - 1.0'!X188 + 'ACPL Calculations - 2.0'!X188</f>
        <v>6876.84</v>
      </c>
      <c r="CS188" s="33">
        <f t="shared" si="3"/>
        <v>6876.84</v>
      </c>
      <c r="CT188" s="35"/>
      <c r="CU188" s="35"/>
      <c r="CV188" s="35"/>
      <c r="CW188" s="36">
        <f>'Old Balance Sheet'!W188 + 'ACPL Calculations - 1.0'!Z188 + 'ACPL Calculations - 2.0'!Z188</f>
        <v>0</v>
      </c>
      <c r="CX188" s="36">
        <f>'Old Balance Sheet'!X188 + 'ACPL Calculations - 1.0'!AA188 + 'ACPL Calculations - 2.0'!AA188</f>
        <v>0</v>
      </c>
      <c r="CY188" s="37">
        <v>0.0</v>
      </c>
      <c r="CZ188" s="38">
        <f>'Old Balance Sheet'!Y188 + 'ACPL Calculations - 1.0'!AB188 + 'ACPL Calculations - 2.0'!AB188</f>
        <v>0</v>
      </c>
      <c r="DA188" s="38">
        <f>'Old Balance Sheet'!Z188 + 'ACPL Calculations - 1.0'!AC188 + 'ACPL Calculations - 2.0'!AC188</f>
        <v>0</v>
      </c>
      <c r="DB188" s="38">
        <f>'Old Balance Sheet'!AA188 + 'ACPL Calculations - 1.0'!AD188 + 'ACPL Calculations - 2.0'!AD188</f>
        <v>0</v>
      </c>
      <c r="DC188" s="38">
        <f>'Old Balance Sheet'!AB188 + 'ACPL Calculations - 1.0'!AE188 + 'ACPL Calculations - 2.0'!AE188</f>
        <v>0</v>
      </c>
      <c r="DD188" s="38">
        <f t="shared" si="4"/>
        <v>0</v>
      </c>
      <c r="DE188" s="33">
        <f t="shared" si="5"/>
        <v>0</v>
      </c>
      <c r="DF188" s="35">
        <v>0.0</v>
      </c>
      <c r="DG188" s="35">
        <v>0.0</v>
      </c>
      <c r="DH188" s="35">
        <v>0.0</v>
      </c>
      <c r="DI188" s="35">
        <v>0.0</v>
      </c>
      <c r="DJ188" s="35">
        <v>0.0</v>
      </c>
      <c r="DK188" s="35">
        <v>0.0</v>
      </c>
      <c r="DL188" s="35">
        <v>0.0</v>
      </c>
      <c r="DM188" s="35">
        <v>0.0</v>
      </c>
      <c r="DN188" s="31">
        <v>0.0</v>
      </c>
      <c r="DO188" s="31">
        <v>0.0</v>
      </c>
      <c r="DP188" s="31">
        <v>0.0</v>
      </c>
      <c r="DQ188" s="31">
        <v>0.0</v>
      </c>
      <c r="DR188" s="31">
        <v>0.0</v>
      </c>
      <c r="DS188" s="31">
        <v>0.0</v>
      </c>
      <c r="DT188" s="31">
        <f>'Old Balance Sheet'!AC188</f>
        <v>0</v>
      </c>
      <c r="DU188" s="31">
        <f>DT188 + SUMIFS('Payments Log'!D:D, 'Payments Log'!B:B, A188, 'Payments Log'!L:L, "Approved", 'Payments Log'!M:M, "Credit") + 'Old Balance Sheet'!AD188 - 'Old Balance Sheet'!AC188</f>
        <v>0</v>
      </c>
      <c r="DV188" s="31">
        <f>SUMIFS('Payments Log'!D:D, 'Payments Log'!B:B, A188, 'Payments Log'!L:L, "Approved", 'Payments Log'!M:M, "Adjustment Credit") - SUMIFS('Payments Log'!D:D, 'Payments Log'!B:B, A188, 'Payments Log'!L:L, "Approved", 'Payments Log'!M:M, "Adjustment Debit") + 'Old Balance Sheet'!AE188</f>
        <v>0</v>
      </c>
      <c r="DW188" s="31">
        <f>IF(MAXIFS('Payments Log'!N:N, 'Payments Log'!L:L, "Approved", 'Payments Log'!M:M, "Credit", 'Payments Log'!B:B, A188) &gt; MAXIFS('Payments Log'!N:N, 'Payments Log'!L:L, "Approved", 'Payments Log'!M:M, "Virtual Credit", 'Payments Log'!B:B, A188), 0, SUMIFS('Payments Log'!D:D, 'Payments Log'!N:N, MAXIFS('Payments Log'!N:N, 'Payments Log'!L:L, "Approved", 'Payments Log'!M:M, "Virtual Credit", 'Payments Log'!B:B, A188)))</f>
        <v>0</v>
      </c>
      <c r="DX188" s="33">
        <f t="shared" si="6"/>
        <v>0</v>
      </c>
      <c r="DY188" s="33">
        <f t="shared" si="7"/>
        <v>0</v>
      </c>
      <c r="DZ188" s="33">
        <f t="shared" si="8"/>
        <v>0</v>
      </c>
      <c r="EA188" s="25" t="str">
        <f>(Sheet1!N188)</f>
        <v>Modern Auto Agency - Bettiah</v>
      </c>
      <c r="EB188" s="25" t="str">
        <f>(Sheet1!O188)</f>
        <v>1_UtGSoyOsljQXvmry7gfXGYwjwEjQbghQQGZebnq45M</v>
      </c>
      <c r="EC188" s="26" t="str">
        <f>(Sheet1!P188)</f>
        <v>Sub Dealer</v>
      </c>
      <c r="ED188" s="34" t="s">
        <v>13</v>
      </c>
    </row>
    <row r="189">
      <c r="A189" s="25" t="str">
        <f>(Sheet1!A189)</f>
        <v>1qxwsz8bKbkgF_CUEIo4wHtKWUOmG5XLVsTe2BNqwe-U</v>
      </c>
      <c r="B189" s="25" t="str">
        <f>(Sheet1!B189)</f>
        <v>OM HERO AGENCY (MAA) - LAURIYA</v>
      </c>
      <c r="C189" s="30" t="s">
        <v>13</v>
      </c>
      <c r="D189" s="25" t="s">
        <v>72</v>
      </c>
      <c r="E189" s="25" t="s">
        <v>3820</v>
      </c>
      <c r="F189" s="31">
        <v>192.0</v>
      </c>
      <c r="G189" s="25" t="s">
        <v>3818</v>
      </c>
      <c r="H189" s="33">
        <v>100.0</v>
      </c>
      <c r="I189" s="33">
        <f>'Old Balance Sheet'!A189 + 'ACPL Calculations - 1.0'!A189 + 'ACPL Calculations - 2.0'!A189</f>
        <v>39</v>
      </c>
      <c r="J189" s="25" t="s">
        <v>3820</v>
      </c>
      <c r="K189" s="31">
        <v>192.0</v>
      </c>
      <c r="L189" s="25" t="s">
        <v>3818</v>
      </c>
      <c r="M189" s="33">
        <v>100.0</v>
      </c>
      <c r="N189" s="33">
        <f>'Old Balance Sheet'!B189 + 'ACPL Calculations - 1.0'!B189 + 'ACPL Calculations - 2.0'!B189</f>
        <v>0</v>
      </c>
      <c r="O189" s="25" t="s">
        <v>3820</v>
      </c>
      <c r="P189" s="31">
        <v>205.0</v>
      </c>
      <c r="Q189" s="25" t="s">
        <v>3818</v>
      </c>
      <c r="R189" s="33">
        <v>100.0</v>
      </c>
      <c r="S189" s="33">
        <f>'Old Balance Sheet'!C189 + 'ACPL Calculations - 1.0'!C189 + 'ACPL Calculations - 2.0'!C189</f>
        <v>0</v>
      </c>
      <c r="T189" s="25" t="s">
        <v>3820</v>
      </c>
      <c r="U189" s="33">
        <v>375.0</v>
      </c>
      <c r="V189" s="25" t="s">
        <v>3818</v>
      </c>
      <c r="W189" s="33">
        <v>100.0</v>
      </c>
      <c r="X189" s="33">
        <f>'Old Balance Sheet'!D189 + 'ACPL Calculations - 1.0'!D189 + 'ACPL Calculations - 2.0'!D189</f>
        <v>0</v>
      </c>
      <c r="Y189" s="25" t="s">
        <v>3820</v>
      </c>
      <c r="Z189" s="33">
        <v>460.0</v>
      </c>
      <c r="AA189" s="42" t="s">
        <v>3818</v>
      </c>
      <c r="AB189" s="43">
        <v>100.0</v>
      </c>
      <c r="AC189" s="33">
        <f>'Old Balance Sheet'!E189 + 'ACPL Calculations - 1.0'!E189 + 'ACPL Calculations - 2.0'!E189</f>
        <v>0</v>
      </c>
      <c r="AD189" s="25" t="s">
        <v>3820</v>
      </c>
      <c r="AE189" s="33">
        <v>838.99</v>
      </c>
      <c r="AF189" s="42" t="s">
        <v>3818</v>
      </c>
      <c r="AG189" s="43">
        <v>100.0</v>
      </c>
      <c r="AH189" s="33">
        <f>'Old Balance Sheet'!F189 + 'ACPL Calculations - 1.0'!F189 + 'ACPL Calculations - 2.0'!F189</f>
        <v>0</v>
      </c>
      <c r="AI189" s="25" t="s">
        <v>3820</v>
      </c>
      <c r="AJ189" s="33">
        <v>375.0</v>
      </c>
      <c r="AK189" s="42" t="s">
        <v>3818</v>
      </c>
      <c r="AL189" s="43">
        <v>100.0</v>
      </c>
      <c r="AM189" s="33">
        <f>'Old Balance Sheet'!G189 + 'ACPL Calculations - 1.0'!G189 + 'ACPL Calculations - 2.0'!G189</f>
        <v>0</v>
      </c>
      <c r="AN189" s="25" t="s">
        <v>3820</v>
      </c>
      <c r="AO189" s="33">
        <v>290.0</v>
      </c>
      <c r="AP189" s="42" t="s">
        <v>3818</v>
      </c>
      <c r="AQ189" s="43">
        <v>100.0</v>
      </c>
      <c r="AR189" s="33">
        <f>'Old Balance Sheet'!H189 + 'ACPL Calculations - 1.0'!H189 + 'ACPL Calculations - 2.0'!H189</f>
        <v>0</v>
      </c>
      <c r="AS189" s="25" t="s">
        <v>3819</v>
      </c>
      <c r="AT189" s="33">
        <v>838.99</v>
      </c>
      <c r="AU189" s="42" t="s">
        <v>3818</v>
      </c>
      <c r="AV189" s="43">
        <v>100.0</v>
      </c>
      <c r="AW189" s="33">
        <f>'Old Balance Sheet'!I189 + 'ACPL Calculations - 1.0'!I189 + 'ACPL Calculations - 2.0'!I189</f>
        <v>0</v>
      </c>
      <c r="AX189" s="25" t="s">
        <v>3820</v>
      </c>
      <c r="AY189" s="31">
        <v>290.0</v>
      </c>
      <c r="AZ189" s="42" t="s">
        <v>3818</v>
      </c>
      <c r="BA189" s="43">
        <v>100.0</v>
      </c>
      <c r="BB189" s="33">
        <f>'Old Balance Sheet'!J189 + 'ACPL Calculations - 1.0'!J189 + 'ACPL Calculations - 2.0'!J189</f>
        <v>0</v>
      </c>
      <c r="BC189" s="25" t="s">
        <v>3820</v>
      </c>
      <c r="BD189" s="31">
        <v>205.0</v>
      </c>
      <c r="BE189" s="42" t="s">
        <v>3818</v>
      </c>
      <c r="BF189" s="43">
        <v>100.0</v>
      </c>
      <c r="BG189" s="33">
        <f>'Old Balance Sheet'!K189 + 'ACPL Calculations - 1.0'!K189 + 'ACPL Calculations - 2.0'!K189</f>
        <v>0</v>
      </c>
      <c r="BH189" s="25" t="s">
        <v>3820</v>
      </c>
      <c r="BI189" s="31">
        <v>205.0</v>
      </c>
      <c r="BJ189" s="42" t="s">
        <v>3818</v>
      </c>
      <c r="BK189" s="43">
        <v>100.0</v>
      </c>
      <c r="BL189" s="33">
        <f>'Old Balance Sheet'!L189 + 'ACPL Calculations - 1.0'!L189 + 'ACPL Calculations - 2.0'!L189</f>
        <v>0</v>
      </c>
      <c r="BM189" s="25"/>
      <c r="BN189" s="25"/>
      <c r="BO189" s="25"/>
      <c r="BP189" s="25"/>
      <c r="BQ189" s="25"/>
      <c r="BR189" s="25"/>
      <c r="BS189" s="25"/>
      <c r="BT189" s="25"/>
      <c r="BU189" s="25"/>
      <c r="BV189" s="25"/>
      <c r="BW189" s="25"/>
      <c r="BX189" s="25"/>
      <c r="BY189" s="25"/>
      <c r="BZ189" s="25"/>
      <c r="CA189" s="25"/>
      <c r="CB189" s="25"/>
      <c r="CC189" s="25"/>
      <c r="CD189" s="25"/>
      <c r="CE189" s="25"/>
      <c r="CF189" s="25"/>
      <c r="CG189" s="25"/>
      <c r="CH189" s="25"/>
      <c r="CI189" s="25"/>
      <c r="CJ189" s="25"/>
      <c r="CK189" s="25"/>
      <c r="CL189" s="33">
        <f t="shared" si="1"/>
        <v>39</v>
      </c>
      <c r="CM189" s="33">
        <f>'Old Balance Sheet'!R189 + 'ACPL Calculations - 1.0'!S189 + 'ACPL Calculations - 2.0'!S189</f>
        <v>17238</v>
      </c>
      <c r="CN189" s="33">
        <f>'Old Balance Sheet'!S189 + 'ACPL Calculations - 1.0'!T189 + 'ACPL Calculations - 2.0'!T189</f>
        <v>7904</v>
      </c>
      <c r="CO189" s="33">
        <f t="shared" si="2"/>
        <v>10533.38</v>
      </c>
      <c r="CP189" s="33">
        <f>'Old Balance Sheet'!T189 + 'ACPL Calculations - 1.0'!V189 + 'ACPL Calculations - 2.0'!V189</f>
        <v>0</v>
      </c>
      <c r="CQ189" s="33">
        <f>'Old Balance Sheet'!U189 + 'ACPL Calculations - 1.0'!W189 + 'ACPL Calculations - 2.0'!W189</f>
        <v>0</v>
      </c>
      <c r="CR189" s="33">
        <f>'Old Balance Sheet'!V189 + 'ACPL Calculations - 1.0'!X189 + 'ACPL Calculations - 2.0'!X189</f>
        <v>2629.38</v>
      </c>
      <c r="CS189" s="33">
        <f t="shared" si="3"/>
        <v>2629.38</v>
      </c>
      <c r="CT189" s="35"/>
      <c r="CU189" s="35"/>
      <c r="CV189" s="35"/>
      <c r="CW189" s="36">
        <f>'Old Balance Sheet'!W189 + 'ACPL Calculations - 1.0'!Z189 + 'ACPL Calculations - 2.0'!Z189</f>
        <v>0</v>
      </c>
      <c r="CX189" s="36">
        <f>'Old Balance Sheet'!X189 + 'ACPL Calculations - 1.0'!AA189 + 'ACPL Calculations - 2.0'!AA189</f>
        <v>0</v>
      </c>
      <c r="CY189" s="37">
        <v>0.0</v>
      </c>
      <c r="CZ189" s="38">
        <f>'Old Balance Sheet'!Y189 + 'ACPL Calculations - 1.0'!AB189 + 'ACPL Calculations - 2.0'!AB189</f>
        <v>0</v>
      </c>
      <c r="DA189" s="38">
        <f>'Old Balance Sheet'!Z189 + 'ACPL Calculations - 1.0'!AC189 + 'ACPL Calculations - 2.0'!AC189</f>
        <v>0</v>
      </c>
      <c r="DB189" s="38">
        <f>'Old Balance Sheet'!AA189 + 'ACPL Calculations - 1.0'!AD189 + 'ACPL Calculations - 2.0'!AD189</f>
        <v>0</v>
      </c>
      <c r="DC189" s="38">
        <f>'Old Balance Sheet'!AB189 + 'ACPL Calculations - 1.0'!AE189 + 'ACPL Calculations - 2.0'!AE189</f>
        <v>0</v>
      </c>
      <c r="DD189" s="38">
        <f t="shared" si="4"/>
        <v>0</v>
      </c>
      <c r="DE189" s="33">
        <f t="shared" si="5"/>
        <v>0</v>
      </c>
      <c r="DF189" s="35">
        <v>0.0</v>
      </c>
      <c r="DG189" s="35">
        <v>0.0</v>
      </c>
      <c r="DH189" s="35">
        <v>0.0</v>
      </c>
      <c r="DI189" s="35">
        <v>0.0</v>
      </c>
      <c r="DJ189" s="35">
        <v>0.0</v>
      </c>
      <c r="DK189" s="35">
        <v>0.0</v>
      </c>
      <c r="DL189" s="35">
        <v>0.0</v>
      </c>
      <c r="DM189" s="35">
        <v>0.0</v>
      </c>
      <c r="DN189" s="31">
        <v>0.0</v>
      </c>
      <c r="DO189" s="31">
        <v>0.0</v>
      </c>
      <c r="DP189" s="31">
        <v>0.0</v>
      </c>
      <c r="DQ189" s="31">
        <v>0.0</v>
      </c>
      <c r="DR189" s="31">
        <v>0.0</v>
      </c>
      <c r="DS189" s="31">
        <v>0.0</v>
      </c>
      <c r="DT189" s="31">
        <f>'Old Balance Sheet'!AC189</f>
        <v>0</v>
      </c>
      <c r="DU189" s="31">
        <f>DT189 + SUMIFS('Payments Log'!D:D, 'Payments Log'!B:B, A189, 'Payments Log'!L:L, "Approved", 'Payments Log'!M:M, "Credit") + 'Old Balance Sheet'!AD189 - 'Old Balance Sheet'!AC189</f>
        <v>0</v>
      </c>
      <c r="DV189" s="31">
        <f>SUMIFS('Payments Log'!D:D, 'Payments Log'!B:B, A189, 'Payments Log'!L:L, "Approved", 'Payments Log'!M:M, "Adjustment Credit") - SUMIFS('Payments Log'!D:D, 'Payments Log'!B:B, A189, 'Payments Log'!L:L, "Approved", 'Payments Log'!M:M, "Adjustment Debit") + 'Old Balance Sheet'!AE189</f>
        <v>0</v>
      </c>
      <c r="DW189" s="31">
        <f>IF(MAXIFS('Payments Log'!N:N, 'Payments Log'!L:L, "Approved", 'Payments Log'!M:M, "Credit", 'Payments Log'!B:B, A189) &gt; MAXIFS('Payments Log'!N:N, 'Payments Log'!L:L, "Approved", 'Payments Log'!M:M, "Virtual Credit", 'Payments Log'!B:B, A189), 0, SUMIFS('Payments Log'!D:D, 'Payments Log'!N:N, MAXIFS('Payments Log'!N:N, 'Payments Log'!L:L, "Approved", 'Payments Log'!M:M, "Virtual Credit", 'Payments Log'!B:B, A189)))</f>
        <v>0</v>
      </c>
      <c r="DX189" s="33">
        <f t="shared" si="6"/>
        <v>0</v>
      </c>
      <c r="DY189" s="33">
        <f t="shared" si="7"/>
        <v>0</v>
      </c>
      <c r="DZ189" s="33">
        <f t="shared" si="8"/>
        <v>0</v>
      </c>
      <c r="EA189" s="25" t="str">
        <f>(Sheet1!N189)</f>
        <v>Modern Auto Agency - Bettiah</v>
      </c>
      <c r="EB189" s="25" t="str">
        <f>(Sheet1!O189)</f>
        <v>1_UtGSoyOsljQXvmry7gfXGYwjwEjQbghQQGZebnq45M</v>
      </c>
      <c r="EC189" s="26" t="str">
        <f>(Sheet1!P189)</f>
        <v>Sub Dealer</v>
      </c>
      <c r="ED189" s="34" t="s">
        <v>13</v>
      </c>
    </row>
    <row r="190">
      <c r="A190" s="25" t="str">
        <f>(Sheet1!A190)</f>
        <v>1Q8U3Jj55bW7tNWEEYKak-6r3JRnqYxwcO8TnGV4lF2I</v>
      </c>
      <c r="B190" s="25" t="str">
        <f>(Sheet1!B190)</f>
        <v>LAXMI ENTERPRISES (MAA) - HARNATAR</v>
      </c>
      <c r="C190" s="30" t="s">
        <v>13</v>
      </c>
      <c r="D190" s="25" t="s">
        <v>72</v>
      </c>
      <c r="E190" s="25" t="s">
        <v>3820</v>
      </c>
      <c r="F190" s="31">
        <v>192.0</v>
      </c>
      <c r="G190" s="25" t="s">
        <v>3818</v>
      </c>
      <c r="H190" s="33">
        <v>100.0</v>
      </c>
      <c r="I190" s="33">
        <f>'Old Balance Sheet'!A190 + 'ACPL Calculations - 1.0'!A190 + 'ACPL Calculations - 2.0'!A190</f>
        <v>277</v>
      </c>
      <c r="J190" s="25" t="s">
        <v>3820</v>
      </c>
      <c r="K190" s="31">
        <v>192.0</v>
      </c>
      <c r="L190" s="25" t="s">
        <v>3818</v>
      </c>
      <c r="M190" s="33">
        <v>100.0</v>
      </c>
      <c r="N190" s="33">
        <f>'Old Balance Sheet'!B190 + 'ACPL Calculations - 1.0'!B190 + 'ACPL Calculations - 2.0'!B190</f>
        <v>0</v>
      </c>
      <c r="O190" s="25" t="s">
        <v>3820</v>
      </c>
      <c r="P190" s="31">
        <v>205.0</v>
      </c>
      <c r="Q190" s="25" t="s">
        <v>3818</v>
      </c>
      <c r="R190" s="33">
        <v>100.0</v>
      </c>
      <c r="S190" s="33">
        <f>'Old Balance Sheet'!C190 + 'ACPL Calculations - 1.0'!C190 + 'ACPL Calculations - 2.0'!C190</f>
        <v>0</v>
      </c>
      <c r="T190" s="25" t="s">
        <v>3820</v>
      </c>
      <c r="U190" s="33">
        <v>375.0</v>
      </c>
      <c r="V190" s="25" t="s">
        <v>3818</v>
      </c>
      <c r="W190" s="33">
        <v>100.0</v>
      </c>
      <c r="X190" s="33">
        <f>'Old Balance Sheet'!D190 + 'ACPL Calculations - 1.0'!D190 + 'ACPL Calculations - 2.0'!D190</f>
        <v>0</v>
      </c>
      <c r="Y190" s="25" t="s">
        <v>3820</v>
      </c>
      <c r="Z190" s="33">
        <v>460.0</v>
      </c>
      <c r="AA190" s="42" t="s">
        <v>3818</v>
      </c>
      <c r="AB190" s="43">
        <v>100.0</v>
      </c>
      <c r="AC190" s="33">
        <f>'Old Balance Sheet'!E190 + 'ACPL Calculations - 1.0'!E190 + 'ACPL Calculations - 2.0'!E190</f>
        <v>0</v>
      </c>
      <c r="AD190" s="25" t="s">
        <v>3820</v>
      </c>
      <c r="AE190" s="33">
        <v>838.99</v>
      </c>
      <c r="AF190" s="42" t="s">
        <v>3818</v>
      </c>
      <c r="AG190" s="43">
        <v>100.0</v>
      </c>
      <c r="AH190" s="33">
        <f>'Old Balance Sheet'!F190 + 'ACPL Calculations - 1.0'!F190 + 'ACPL Calculations - 2.0'!F190</f>
        <v>0</v>
      </c>
      <c r="AI190" s="25" t="s">
        <v>3820</v>
      </c>
      <c r="AJ190" s="33">
        <v>375.0</v>
      </c>
      <c r="AK190" s="42" t="s">
        <v>3818</v>
      </c>
      <c r="AL190" s="43">
        <v>100.0</v>
      </c>
      <c r="AM190" s="33">
        <f>'Old Balance Sheet'!G190 + 'ACPL Calculations - 1.0'!G190 + 'ACPL Calculations - 2.0'!G190</f>
        <v>0</v>
      </c>
      <c r="AN190" s="25" t="s">
        <v>3820</v>
      </c>
      <c r="AO190" s="33">
        <v>290.0</v>
      </c>
      <c r="AP190" s="42" t="s">
        <v>3818</v>
      </c>
      <c r="AQ190" s="43">
        <v>100.0</v>
      </c>
      <c r="AR190" s="33">
        <f>'Old Balance Sheet'!H190 + 'ACPL Calculations - 1.0'!H190 + 'ACPL Calculations - 2.0'!H190</f>
        <v>0</v>
      </c>
      <c r="AS190" s="25" t="s">
        <v>3819</v>
      </c>
      <c r="AT190" s="33">
        <v>838.99</v>
      </c>
      <c r="AU190" s="42" t="s">
        <v>3818</v>
      </c>
      <c r="AV190" s="43">
        <v>100.0</v>
      </c>
      <c r="AW190" s="33">
        <f>'Old Balance Sheet'!I190 + 'ACPL Calculations - 1.0'!I190 + 'ACPL Calculations - 2.0'!I190</f>
        <v>0</v>
      </c>
      <c r="AX190" s="25" t="s">
        <v>3820</v>
      </c>
      <c r="AY190" s="31">
        <v>290.0</v>
      </c>
      <c r="AZ190" s="42" t="s">
        <v>3818</v>
      </c>
      <c r="BA190" s="43">
        <v>100.0</v>
      </c>
      <c r="BB190" s="33">
        <f>'Old Balance Sheet'!J190 + 'ACPL Calculations - 1.0'!J190 + 'ACPL Calculations - 2.0'!J190</f>
        <v>0</v>
      </c>
      <c r="BC190" s="25" t="s">
        <v>3820</v>
      </c>
      <c r="BD190" s="31">
        <v>205.0</v>
      </c>
      <c r="BE190" s="42" t="s">
        <v>3818</v>
      </c>
      <c r="BF190" s="43">
        <v>100.0</v>
      </c>
      <c r="BG190" s="33">
        <f>'Old Balance Sheet'!K190 + 'ACPL Calculations - 1.0'!K190 + 'ACPL Calculations - 2.0'!K190</f>
        <v>0</v>
      </c>
      <c r="BH190" s="25" t="s">
        <v>3820</v>
      </c>
      <c r="BI190" s="31">
        <v>205.0</v>
      </c>
      <c r="BJ190" s="42" t="s">
        <v>3818</v>
      </c>
      <c r="BK190" s="43">
        <v>100.0</v>
      </c>
      <c r="BL190" s="33">
        <f>'Old Balance Sheet'!L190 + 'ACPL Calculations - 1.0'!L190 + 'ACPL Calculations - 2.0'!L190</f>
        <v>0</v>
      </c>
      <c r="BM190" s="25"/>
      <c r="BN190" s="25"/>
      <c r="BO190" s="25"/>
      <c r="BP190" s="25"/>
      <c r="BQ190" s="25"/>
      <c r="BR190" s="25"/>
      <c r="BS190" s="25"/>
      <c r="BT190" s="25"/>
      <c r="BU190" s="25"/>
      <c r="BV190" s="25"/>
      <c r="BW190" s="25"/>
      <c r="BX190" s="25"/>
      <c r="BY190" s="25"/>
      <c r="BZ190" s="25"/>
      <c r="CA190" s="25"/>
      <c r="CB190" s="25"/>
      <c r="CC190" s="25"/>
      <c r="CD190" s="25"/>
      <c r="CE190" s="25"/>
      <c r="CF190" s="25"/>
      <c r="CG190" s="25"/>
      <c r="CH190" s="25"/>
      <c r="CI190" s="25"/>
      <c r="CJ190" s="25"/>
      <c r="CK190" s="25"/>
      <c r="CL190" s="33">
        <f t="shared" si="1"/>
        <v>277</v>
      </c>
      <c r="CM190" s="33">
        <f>'Old Balance Sheet'!R190 + 'ACPL Calculations - 1.0'!S190 + 'ACPL Calculations - 2.0'!S190</f>
        <v>122434</v>
      </c>
      <c r="CN190" s="33">
        <f>'Old Balance Sheet'!S190 + 'ACPL Calculations - 1.0'!T190 + 'ACPL Calculations - 2.0'!T190</f>
        <v>53314</v>
      </c>
      <c r="CO190" s="33">
        <f t="shared" si="2"/>
        <v>71989.34</v>
      </c>
      <c r="CP190" s="33">
        <f>'Old Balance Sheet'!T190 + 'ACPL Calculations - 1.0'!V190 + 'ACPL Calculations - 2.0'!V190</f>
        <v>0</v>
      </c>
      <c r="CQ190" s="33">
        <f>'Old Balance Sheet'!U190 + 'ACPL Calculations - 1.0'!W190 + 'ACPL Calculations - 2.0'!W190</f>
        <v>0</v>
      </c>
      <c r="CR190" s="33">
        <f>'Old Balance Sheet'!V190 + 'ACPL Calculations - 1.0'!X190 + 'ACPL Calculations - 2.0'!X190</f>
        <v>18675.34</v>
      </c>
      <c r="CS190" s="33">
        <f t="shared" si="3"/>
        <v>18675.34</v>
      </c>
      <c r="CT190" s="35"/>
      <c r="CU190" s="35"/>
      <c r="CV190" s="35"/>
      <c r="CW190" s="36">
        <f>'Old Balance Sheet'!W190 + 'ACPL Calculations - 1.0'!Z190 + 'ACPL Calculations - 2.0'!Z190</f>
        <v>0</v>
      </c>
      <c r="CX190" s="36">
        <f>'Old Balance Sheet'!X190 + 'ACPL Calculations - 1.0'!AA190 + 'ACPL Calculations - 2.0'!AA190</f>
        <v>0</v>
      </c>
      <c r="CY190" s="37">
        <v>0.0</v>
      </c>
      <c r="CZ190" s="38">
        <f>'Old Balance Sheet'!Y190 + 'ACPL Calculations - 1.0'!AB190 + 'ACPL Calculations - 2.0'!AB190</f>
        <v>0</v>
      </c>
      <c r="DA190" s="38">
        <f>'Old Balance Sheet'!Z190 + 'ACPL Calculations - 1.0'!AC190 + 'ACPL Calculations - 2.0'!AC190</f>
        <v>0</v>
      </c>
      <c r="DB190" s="38">
        <f>'Old Balance Sheet'!AA190 + 'ACPL Calculations - 1.0'!AD190 + 'ACPL Calculations - 2.0'!AD190</f>
        <v>0</v>
      </c>
      <c r="DC190" s="38">
        <f>'Old Balance Sheet'!AB190 + 'ACPL Calculations - 1.0'!AE190 + 'ACPL Calculations - 2.0'!AE190</f>
        <v>0</v>
      </c>
      <c r="DD190" s="38">
        <f t="shared" si="4"/>
        <v>0</v>
      </c>
      <c r="DE190" s="33">
        <f t="shared" si="5"/>
        <v>0</v>
      </c>
      <c r="DF190" s="35">
        <v>0.0</v>
      </c>
      <c r="DG190" s="35">
        <v>0.0</v>
      </c>
      <c r="DH190" s="35">
        <v>0.0</v>
      </c>
      <c r="DI190" s="35">
        <v>0.0</v>
      </c>
      <c r="DJ190" s="35">
        <v>0.0</v>
      </c>
      <c r="DK190" s="35">
        <v>0.0</v>
      </c>
      <c r="DL190" s="35">
        <v>0.0</v>
      </c>
      <c r="DM190" s="35">
        <v>0.0</v>
      </c>
      <c r="DN190" s="31">
        <v>0.0</v>
      </c>
      <c r="DO190" s="31">
        <v>0.0</v>
      </c>
      <c r="DP190" s="31">
        <v>0.0</v>
      </c>
      <c r="DQ190" s="31">
        <v>0.0</v>
      </c>
      <c r="DR190" s="31">
        <v>0.0</v>
      </c>
      <c r="DS190" s="31">
        <v>0.0</v>
      </c>
      <c r="DT190" s="31">
        <f>'Old Balance Sheet'!AC190</f>
        <v>0</v>
      </c>
      <c r="DU190" s="31">
        <f>DT190 + SUMIFS('Payments Log'!D:D, 'Payments Log'!B:B, A190, 'Payments Log'!L:L, "Approved", 'Payments Log'!M:M, "Credit") + 'Old Balance Sheet'!AD190 - 'Old Balance Sheet'!AC190</f>
        <v>0</v>
      </c>
      <c r="DV190" s="31">
        <f>SUMIFS('Payments Log'!D:D, 'Payments Log'!B:B, A190, 'Payments Log'!L:L, "Approved", 'Payments Log'!M:M, "Adjustment Credit") - SUMIFS('Payments Log'!D:D, 'Payments Log'!B:B, A190, 'Payments Log'!L:L, "Approved", 'Payments Log'!M:M, "Adjustment Debit") + 'Old Balance Sheet'!AE190</f>
        <v>0</v>
      </c>
      <c r="DW190" s="31">
        <f>IF(MAXIFS('Payments Log'!N:N, 'Payments Log'!L:L, "Approved", 'Payments Log'!M:M, "Credit", 'Payments Log'!B:B, A190) &gt; MAXIFS('Payments Log'!N:N, 'Payments Log'!L:L, "Approved", 'Payments Log'!M:M, "Virtual Credit", 'Payments Log'!B:B, A190), 0, SUMIFS('Payments Log'!D:D, 'Payments Log'!N:N, MAXIFS('Payments Log'!N:N, 'Payments Log'!L:L, "Approved", 'Payments Log'!M:M, "Virtual Credit", 'Payments Log'!B:B, A190)))</f>
        <v>0</v>
      </c>
      <c r="DX190" s="33">
        <f t="shared" si="6"/>
        <v>0</v>
      </c>
      <c r="DY190" s="33">
        <f t="shared" si="7"/>
        <v>0</v>
      </c>
      <c r="DZ190" s="33">
        <f t="shared" si="8"/>
        <v>0</v>
      </c>
      <c r="EA190" s="25" t="str">
        <f>(Sheet1!N190)</f>
        <v>Modern Auto Agency - Bettiah</v>
      </c>
      <c r="EB190" s="25" t="str">
        <f>(Sheet1!O190)</f>
        <v>1_UtGSoyOsljQXvmry7gfXGYwjwEjQbghQQGZebnq45M</v>
      </c>
      <c r="EC190" s="26" t="str">
        <f>(Sheet1!P190)</f>
        <v>Sub Dealer</v>
      </c>
      <c r="ED190" s="34" t="s">
        <v>13</v>
      </c>
    </row>
    <row r="191">
      <c r="A191" s="25" t="str">
        <f>(Sheet1!A191)</f>
        <v>1DNYx1_npboOhtIjFO3-v0kReMiQ0lrIDMiGeLHlNEsA</v>
      </c>
      <c r="B191" s="25" t="str">
        <f>(Sheet1!B191)</f>
        <v>GUPTA AUTO AGENCY (MAA) - TAMKUHA</v>
      </c>
      <c r="C191" s="30" t="s">
        <v>13</v>
      </c>
      <c r="D191" s="25" t="s">
        <v>72</v>
      </c>
      <c r="E191" s="25" t="s">
        <v>3820</v>
      </c>
      <c r="F191" s="31">
        <v>192.0</v>
      </c>
      <c r="G191" s="25" t="s">
        <v>3818</v>
      </c>
      <c r="H191" s="33">
        <v>100.0</v>
      </c>
      <c r="I191" s="33">
        <f>'Old Balance Sheet'!A191 + 'ACPL Calculations - 1.0'!A191 + 'ACPL Calculations - 2.0'!A191</f>
        <v>920</v>
      </c>
      <c r="J191" s="25" t="s">
        <v>3820</v>
      </c>
      <c r="K191" s="31">
        <v>192.0</v>
      </c>
      <c r="L191" s="25" t="s">
        <v>3818</v>
      </c>
      <c r="M191" s="33">
        <v>100.0</v>
      </c>
      <c r="N191" s="33">
        <f>'Old Balance Sheet'!B191 + 'ACPL Calculations - 1.0'!B191 + 'ACPL Calculations - 2.0'!B191</f>
        <v>0</v>
      </c>
      <c r="O191" s="25" t="s">
        <v>3820</v>
      </c>
      <c r="P191" s="31">
        <v>205.0</v>
      </c>
      <c r="Q191" s="25" t="s">
        <v>3818</v>
      </c>
      <c r="R191" s="33">
        <v>100.0</v>
      </c>
      <c r="S191" s="33">
        <f>'Old Balance Sheet'!C191 + 'ACPL Calculations - 1.0'!C191 + 'ACPL Calculations - 2.0'!C191</f>
        <v>0</v>
      </c>
      <c r="T191" s="25" t="s">
        <v>3820</v>
      </c>
      <c r="U191" s="33">
        <v>375.0</v>
      </c>
      <c r="V191" s="25" t="s">
        <v>3818</v>
      </c>
      <c r="W191" s="33">
        <v>100.0</v>
      </c>
      <c r="X191" s="33">
        <f>'Old Balance Sheet'!D191 + 'ACPL Calculations - 1.0'!D191 + 'ACPL Calculations - 2.0'!D191</f>
        <v>0</v>
      </c>
      <c r="Y191" s="25" t="s">
        <v>3820</v>
      </c>
      <c r="Z191" s="33">
        <v>460.0</v>
      </c>
      <c r="AA191" s="42" t="s">
        <v>3818</v>
      </c>
      <c r="AB191" s="43">
        <v>100.0</v>
      </c>
      <c r="AC191" s="33">
        <f>'Old Balance Sheet'!E191 + 'ACPL Calculations - 1.0'!E191 + 'ACPL Calculations - 2.0'!E191</f>
        <v>0</v>
      </c>
      <c r="AD191" s="25" t="s">
        <v>3820</v>
      </c>
      <c r="AE191" s="33">
        <v>838.99</v>
      </c>
      <c r="AF191" s="42" t="s">
        <v>3818</v>
      </c>
      <c r="AG191" s="43">
        <v>100.0</v>
      </c>
      <c r="AH191" s="33">
        <f>'Old Balance Sheet'!F191 + 'ACPL Calculations - 1.0'!F191 + 'ACPL Calculations - 2.0'!F191</f>
        <v>0</v>
      </c>
      <c r="AI191" s="25" t="s">
        <v>3820</v>
      </c>
      <c r="AJ191" s="33">
        <v>375.0</v>
      </c>
      <c r="AK191" s="42" t="s">
        <v>3818</v>
      </c>
      <c r="AL191" s="43">
        <v>100.0</v>
      </c>
      <c r="AM191" s="33">
        <f>'Old Balance Sheet'!G191 + 'ACPL Calculations - 1.0'!G191 + 'ACPL Calculations - 2.0'!G191</f>
        <v>0</v>
      </c>
      <c r="AN191" s="25" t="s">
        <v>3820</v>
      </c>
      <c r="AO191" s="33">
        <v>290.0</v>
      </c>
      <c r="AP191" s="42" t="s">
        <v>3818</v>
      </c>
      <c r="AQ191" s="43">
        <v>100.0</v>
      </c>
      <c r="AR191" s="33">
        <f>'Old Balance Sheet'!H191 + 'ACPL Calculations - 1.0'!H191 + 'ACPL Calculations - 2.0'!H191</f>
        <v>0</v>
      </c>
      <c r="AS191" s="25" t="s">
        <v>3819</v>
      </c>
      <c r="AT191" s="33">
        <v>838.99</v>
      </c>
      <c r="AU191" s="42" t="s">
        <v>3818</v>
      </c>
      <c r="AV191" s="43">
        <v>100.0</v>
      </c>
      <c r="AW191" s="33">
        <f>'Old Balance Sheet'!I191 + 'ACPL Calculations - 1.0'!I191 + 'ACPL Calculations - 2.0'!I191</f>
        <v>0</v>
      </c>
      <c r="AX191" s="25" t="s">
        <v>3820</v>
      </c>
      <c r="AY191" s="31">
        <v>290.0</v>
      </c>
      <c r="AZ191" s="42" t="s">
        <v>3818</v>
      </c>
      <c r="BA191" s="43">
        <v>100.0</v>
      </c>
      <c r="BB191" s="33">
        <f>'Old Balance Sheet'!J191 + 'ACPL Calculations - 1.0'!J191 + 'ACPL Calculations - 2.0'!J191</f>
        <v>0</v>
      </c>
      <c r="BC191" s="25" t="s">
        <v>3820</v>
      </c>
      <c r="BD191" s="31">
        <v>205.0</v>
      </c>
      <c r="BE191" s="42" t="s">
        <v>3818</v>
      </c>
      <c r="BF191" s="43">
        <v>100.0</v>
      </c>
      <c r="BG191" s="33">
        <f>'Old Balance Sheet'!K191 + 'ACPL Calculations - 1.0'!K191 + 'ACPL Calculations - 2.0'!K191</f>
        <v>0</v>
      </c>
      <c r="BH191" s="25" t="s">
        <v>3820</v>
      </c>
      <c r="BI191" s="31">
        <v>205.0</v>
      </c>
      <c r="BJ191" s="42" t="s">
        <v>3818</v>
      </c>
      <c r="BK191" s="43">
        <v>100.0</v>
      </c>
      <c r="BL191" s="33">
        <f>'Old Balance Sheet'!L191 + 'ACPL Calculations - 1.0'!L191 + 'ACPL Calculations - 2.0'!L191</f>
        <v>0</v>
      </c>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33">
        <f t="shared" si="1"/>
        <v>920</v>
      </c>
      <c r="CM191" s="33">
        <f>'Old Balance Sheet'!R191 + 'ACPL Calculations - 1.0'!S191 + 'ACPL Calculations - 2.0'!S191</f>
        <v>406640</v>
      </c>
      <c r="CN191" s="33">
        <f>'Old Balance Sheet'!S191 + 'ACPL Calculations - 1.0'!T191 + 'ACPL Calculations - 2.0'!T191</f>
        <v>177316</v>
      </c>
      <c r="CO191" s="33">
        <f t="shared" si="2"/>
        <v>239342.4</v>
      </c>
      <c r="CP191" s="33">
        <f>'Old Balance Sheet'!T191 + 'ACPL Calculations - 1.0'!V191 + 'ACPL Calculations - 2.0'!V191</f>
        <v>0</v>
      </c>
      <c r="CQ191" s="33">
        <f>'Old Balance Sheet'!U191 + 'ACPL Calculations - 1.0'!W191 + 'ACPL Calculations - 2.0'!W191</f>
        <v>0</v>
      </c>
      <c r="CR191" s="33">
        <f>'Old Balance Sheet'!V191 + 'ACPL Calculations - 1.0'!X191 + 'ACPL Calculations - 2.0'!X191</f>
        <v>62026.4</v>
      </c>
      <c r="CS191" s="33">
        <f t="shared" si="3"/>
        <v>62026.4</v>
      </c>
      <c r="CT191" s="35"/>
      <c r="CU191" s="35"/>
      <c r="CV191" s="35"/>
      <c r="CW191" s="36">
        <f>'Old Balance Sheet'!W191 + 'ACPL Calculations - 1.0'!Z191 + 'ACPL Calculations - 2.0'!Z191</f>
        <v>0</v>
      </c>
      <c r="CX191" s="36">
        <f>'Old Balance Sheet'!X191 + 'ACPL Calculations - 1.0'!AA191 + 'ACPL Calculations - 2.0'!AA191</f>
        <v>0</v>
      </c>
      <c r="CY191" s="37">
        <v>0.0</v>
      </c>
      <c r="CZ191" s="38">
        <f>'Old Balance Sheet'!Y191 + 'ACPL Calculations - 1.0'!AB191 + 'ACPL Calculations - 2.0'!AB191</f>
        <v>0</v>
      </c>
      <c r="DA191" s="38">
        <f>'Old Balance Sheet'!Z191 + 'ACPL Calculations - 1.0'!AC191 + 'ACPL Calculations - 2.0'!AC191</f>
        <v>0</v>
      </c>
      <c r="DB191" s="38">
        <f>'Old Balance Sheet'!AA191 + 'ACPL Calculations - 1.0'!AD191 + 'ACPL Calculations - 2.0'!AD191</f>
        <v>0</v>
      </c>
      <c r="DC191" s="38">
        <f>'Old Balance Sheet'!AB191 + 'ACPL Calculations - 1.0'!AE191 + 'ACPL Calculations - 2.0'!AE191</f>
        <v>0</v>
      </c>
      <c r="DD191" s="38">
        <f t="shared" si="4"/>
        <v>0</v>
      </c>
      <c r="DE191" s="33">
        <f t="shared" si="5"/>
        <v>0</v>
      </c>
      <c r="DF191" s="35">
        <v>0.0</v>
      </c>
      <c r="DG191" s="35">
        <v>0.0</v>
      </c>
      <c r="DH191" s="35">
        <v>0.0</v>
      </c>
      <c r="DI191" s="35">
        <v>0.0</v>
      </c>
      <c r="DJ191" s="35">
        <v>0.0</v>
      </c>
      <c r="DK191" s="35">
        <v>0.0</v>
      </c>
      <c r="DL191" s="35">
        <v>0.0</v>
      </c>
      <c r="DM191" s="35">
        <v>0.0</v>
      </c>
      <c r="DN191" s="31">
        <v>0.0</v>
      </c>
      <c r="DO191" s="31">
        <v>0.0</v>
      </c>
      <c r="DP191" s="31">
        <v>0.0</v>
      </c>
      <c r="DQ191" s="31">
        <v>0.0</v>
      </c>
      <c r="DR191" s="31">
        <v>0.0</v>
      </c>
      <c r="DS191" s="31">
        <v>0.0</v>
      </c>
      <c r="DT191" s="31">
        <f>'Old Balance Sheet'!AC191</f>
        <v>0</v>
      </c>
      <c r="DU191" s="31">
        <f>DT191 + SUMIFS('Payments Log'!D:D, 'Payments Log'!B:B, A191, 'Payments Log'!L:L, "Approved", 'Payments Log'!M:M, "Credit") + 'Old Balance Sheet'!AD191 - 'Old Balance Sheet'!AC191</f>
        <v>0</v>
      </c>
      <c r="DV191" s="31">
        <f>SUMIFS('Payments Log'!D:D, 'Payments Log'!B:B, A191, 'Payments Log'!L:L, "Approved", 'Payments Log'!M:M, "Adjustment Credit") - SUMIFS('Payments Log'!D:D, 'Payments Log'!B:B, A191, 'Payments Log'!L:L, "Approved", 'Payments Log'!M:M, "Adjustment Debit") + 'Old Balance Sheet'!AE191</f>
        <v>0</v>
      </c>
      <c r="DW191" s="31">
        <f>IF(MAXIFS('Payments Log'!N:N, 'Payments Log'!L:L, "Approved", 'Payments Log'!M:M, "Credit", 'Payments Log'!B:B, A191) &gt; MAXIFS('Payments Log'!N:N, 'Payments Log'!L:L, "Approved", 'Payments Log'!M:M, "Virtual Credit", 'Payments Log'!B:B, A191), 0, SUMIFS('Payments Log'!D:D, 'Payments Log'!N:N, MAXIFS('Payments Log'!N:N, 'Payments Log'!L:L, "Approved", 'Payments Log'!M:M, "Virtual Credit", 'Payments Log'!B:B, A191)))</f>
        <v>0</v>
      </c>
      <c r="DX191" s="33">
        <f t="shared" si="6"/>
        <v>0</v>
      </c>
      <c r="DY191" s="33">
        <f t="shared" si="7"/>
        <v>0</v>
      </c>
      <c r="DZ191" s="33">
        <f t="shared" si="8"/>
        <v>0</v>
      </c>
      <c r="EA191" s="25" t="str">
        <f>(Sheet1!N191)</f>
        <v>Modern Auto Agency - Bettiah</v>
      </c>
      <c r="EB191" s="25" t="str">
        <f>(Sheet1!O191)</f>
        <v>1_UtGSoyOsljQXvmry7gfXGYwjwEjQbghQQGZebnq45M</v>
      </c>
      <c r="EC191" s="26" t="str">
        <f>(Sheet1!P191)</f>
        <v>Sub Dealer</v>
      </c>
      <c r="ED191" s="34" t="s">
        <v>13</v>
      </c>
    </row>
    <row r="192">
      <c r="A192" s="25" t="str">
        <f>(Sheet1!A192)</f>
        <v>1U6sajfm4sKb9dpl7fnhhnc14-rNO99jD48Fg5iEe_MM</v>
      </c>
      <c r="B192" s="25" t="str">
        <f>(Sheet1!B192)</f>
        <v>SHIV HERO AGENCY (MAA) - JAMUNIA</v>
      </c>
      <c r="C192" s="30" t="s">
        <v>13</v>
      </c>
      <c r="D192" s="25" t="s">
        <v>72</v>
      </c>
      <c r="E192" s="25" t="s">
        <v>3820</v>
      </c>
      <c r="F192" s="31">
        <v>192.0</v>
      </c>
      <c r="G192" s="25" t="s">
        <v>3818</v>
      </c>
      <c r="H192" s="33">
        <v>100.0</v>
      </c>
      <c r="I192" s="33">
        <f>'Old Balance Sheet'!A192 + 'ACPL Calculations - 1.0'!A192 + 'ACPL Calculations - 2.0'!A192</f>
        <v>755</v>
      </c>
      <c r="J192" s="25" t="s">
        <v>3820</v>
      </c>
      <c r="K192" s="31">
        <v>192.0</v>
      </c>
      <c r="L192" s="25" t="s">
        <v>3818</v>
      </c>
      <c r="M192" s="33">
        <v>100.0</v>
      </c>
      <c r="N192" s="33">
        <f>'Old Balance Sheet'!B192 + 'ACPL Calculations - 1.0'!B192 + 'ACPL Calculations - 2.0'!B192</f>
        <v>0</v>
      </c>
      <c r="O192" s="25" t="s">
        <v>3820</v>
      </c>
      <c r="P192" s="31">
        <v>205.0</v>
      </c>
      <c r="Q192" s="25" t="s">
        <v>3818</v>
      </c>
      <c r="R192" s="33">
        <v>100.0</v>
      </c>
      <c r="S192" s="33">
        <f>'Old Balance Sheet'!C192 + 'ACPL Calculations - 1.0'!C192 + 'ACPL Calculations - 2.0'!C192</f>
        <v>0</v>
      </c>
      <c r="T192" s="25" t="s">
        <v>3820</v>
      </c>
      <c r="U192" s="33">
        <v>375.0</v>
      </c>
      <c r="V192" s="25" t="s">
        <v>3818</v>
      </c>
      <c r="W192" s="33">
        <v>100.0</v>
      </c>
      <c r="X192" s="33">
        <f>'Old Balance Sheet'!D192 + 'ACPL Calculations - 1.0'!D192 + 'ACPL Calculations - 2.0'!D192</f>
        <v>0</v>
      </c>
      <c r="Y192" s="25" t="s">
        <v>3820</v>
      </c>
      <c r="Z192" s="33">
        <v>460.0</v>
      </c>
      <c r="AA192" s="42" t="s">
        <v>3818</v>
      </c>
      <c r="AB192" s="43">
        <v>100.0</v>
      </c>
      <c r="AC192" s="33">
        <f>'Old Balance Sheet'!E192 + 'ACPL Calculations - 1.0'!E192 + 'ACPL Calculations - 2.0'!E192</f>
        <v>0</v>
      </c>
      <c r="AD192" s="25" t="s">
        <v>3820</v>
      </c>
      <c r="AE192" s="33">
        <v>838.99</v>
      </c>
      <c r="AF192" s="42" t="s">
        <v>3818</v>
      </c>
      <c r="AG192" s="43">
        <v>100.0</v>
      </c>
      <c r="AH192" s="33">
        <f>'Old Balance Sheet'!F192 + 'ACPL Calculations - 1.0'!F192 + 'ACPL Calculations - 2.0'!F192</f>
        <v>0</v>
      </c>
      <c r="AI192" s="25" t="s">
        <v>3820</v>
      </c>
      <c r="AJ192" s="33">
        <v>375.0</v>
      </c>
      <c r="AK192" s="42" t="s">
        <v>3818</v>
      </c>
      <c r="AL192" s="43">
        <v>100.0</v>
      </c>
      <c r="AM192" s="33">
        <f>'Old Balance Sheet'!G192 + 'ACPL Calculations - 1.0'!G192 + 'ACPL Calculations - 2.0'!G192</f>
        <v>0</v>
      </c>
      <c r="AN192" s="25" t="s">
        <v>3820</v>
      </c>
      <c r="AO192" s="33">
        <v>290.0</v>
      </c>
      <c r="AP192" s="42" t="s">
        <v>3818</v>
      </c>
      <c r="AQ192" s="43">
        <v>100.0</v>
      </c>
      <c r="AR192" s="33">
        <f>'Old Balance Sheet'!H192 + 'ACPL Calculations - 1.0'!H192 + 'ACPL Calculations - 2.0'!H192</f>
        <v>0</v>
      </c>
      <c r="AS192" s="25" t="s">
        <v>3819</v>
      </c>
      <c r="AT192" s="33">
        <v>838.99</v>
      </c>
      <c r="AU192" s="42" t="s">
        <v>3818</v>
      </c>
      <c r="AV192" s="43">
        <v>100.0</v>
      </c>
      <c r="AW192" s="33">
        <f>'Old Balance Sheet'!I192 + 'ACPL Calculations - 1.0'!I192 + 'ACPL Calculations - 2.0'!I192</f>
        <v>0</v>
      </c>
      <c r="AX192" s="25" t="s">
        <v>3820</v>
      </c>
      <c r="AY192" s="31">
        <v>290.0</v>
      </c>
      <c r="AZ192" s="42" t="s">
        <v>3818</v>
      </c>
      <c r="BA192" s="43">
        <v>100.0</v>
      </c>
      <c r="BB192" s="33">
        <f>'Old Balance Sheet'!J192 + 'ACPL Calculations - 1.0'!J192 + 'ACPL Calculations - 2.0'!J192</f>
        <v>0</v>
      </c>
      <c r="BC192" s="25" t="s">
        <v>3820</v>
      </c>
      <c r="BD192" s="31">
        <v>205.0</v>
      </c>
      <c r="BE192" s="42" t="s">
        <v>3818</v>
      </c>
      <c r="BF192" s="43">
        <v>100.0</v>
      </c>
      <c r="BG192" s="33">
        <f>'Old Balance Sheet'!K192 + 'ACPL Calculations - 1.0'!K192 + 'ACPL Calculations - 2.0'!K192</f>
        <v>0</v>
      </c>
      <c r="BH192" s="25" t="s">
        <v>3820</v>
      </c>
      <c r="BI192" s="31">
        <v>205.0</v>
      </c>
      <c r="BJ192" s="42" t="s">
        <v>3818</v>
      </c>
      <c r="BK192" s="43">
        <v>100.0</v>
      </c>
      <c r="BL192" s="33">
        <f>'Old Balance Sheet'!L192 + 'ACPL Calculations - 1.0'!L192 + 'ACPL Calculations - 2.0'!L192</f>
        <v>0</v>
      </c>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33">
        <f t="shared" si="1"/>
        <v>755</v>
      </c>
      <c r="CM192" s="33">
        <f>'Old Balance Sheet'!R192 + 'ACPL Calculations - 1.0'!S192 + 'ACPL Calculations - 2.0'!S192</f>
        <v>333710</v>
      </c>
      <c r="CN192" s="33">
        <f>'Old Balance Sheet'!S192 + 'ACPL Calculations - 1.0'!T192 + 'ACPL Calculations - 2.0'!T192</f>
        <v>145272</v>
      </c>
      <c r="CO192" s="33">
        <f t="shared" si="2"/>
        <v>196174.1</v>
      </c>
      <c r="CP192" s="33">
        <f>'Old Balance Sheet'!T192 + 'ACPL Calculations - 1.0'!V192 + 'ACPL Calculations - 2.0'!V192</f>
        <v>0</v>
      </c>
      <c r="CQ192" s="33">
        <f>'Old Balance Sheet'!U192 + 'ACPL Calculations - 1.0'!W192 + 'ACPL Calculations - 2.0'!W192</f>
        <v>0</v>
      </c>
      <c r="CR192" s="33">
        <f>'Old Balance Sheet'!V192 + 'ACPL Calculations - 1.0'!X192 + 'ACPL Calculations - 2.0'!X192</f>
        <v>50902.1</v>
      </c>
      <c r="CS192" s="33">
        <f t="shared" si="3"/>
        <v>50902.1</v>
      </c>
      <c r="CT192" s="35"/>
      <c r="CU192" s="35"/>
      <c r="CV192" s="35"/>
      <c r="CW192" s="36">
        <f>'Old Balance Sheet'!W192 + 'ACPL Calculations - 1.0'!Z192 + 'ACPL Calculations - 2.0'!Z192</f>
        <v>0</v>
      </c>
      <c r="CX192" s="36">
        <f>'Old Balance Sheet'!X192 + 'ACPL Calculations - 1.0'!AA192 + 'ACPL Calculations - 2.0'!AA192</f>
        <v>0</v>
      </c>
      <c r="CY192" s="37">
        <v>0.0</v>
      </c>
      <c r="CZ192" s="38">
        <f>'Old Balance Sheet'!Y192 + 'ACPL Calculations - 1.0'!AB192 + 'ACPL Calculations - 2.0'!AB192</f>
        <v>0</v>
      </c>
      <c r="DA192" s="38">
        <f>'Old Balance Sheet'!Z192 + 'ACPL Calculations - 1.0'!AC192 + 'ACPL Calculations - 2.0'!AC192</f>
        <v>0</v>
      </c>
      <c r="DB192" s="38">
        <f>'Old Balance Sheet'!AA192 + 'ACPL Calculations - 1.0'!AD192 + 'ACPL Calculations - 2.0'!AD192</f>
        <v>0</v>
      </c>
      <c r="DC192" s="38">
        <f>'Old Balance Sheet'!AB192 + 'ACPL Calculations - 1.0'!AE192 + 'ACPL Calculations - 2.0'!AE192</f>
        <v>0</v>
      </c>
      <c r="DD192" s="38">
        <f t="shared" si="4"/>
        <v>0</v>
      </c>
      <c r="DE192" s="33">
        <f t="shared" si="5"/>
        <v>0</v>
      </c>
      <c r="DF192" s="35">
        <v>0.0</v>
      </c>
      <c r="DG192" s="35">
        <v>0.0</v>
      </c>
      <c r="DH192" s="35">
        <v>0.0</v>
      </c>
      <c r="DI192" s="35">
        <v>0.0</v>
      </c>
      <c r="DJ192" s="35">
        <v>0.0</v>
      </c>
      <c r="DK192" s="35">
        <v>0.0</v>
      </c>
      <c r="DL192" s="35">
        <v>0.0</v>
      </c>
      <c r="DM192" s="35">
        <v>0.0</v>
      </c>
      <c r="DN192" s="31">
        <v>0.0</v>
      </c>
      <c r="DO192" s="31">
        <v>0.0</v>
      </c>
      <c r="DP192" s="31">
        <v>0.0</v>
      </c>
      <c r="DQ192" s="31">
        <v>0.0</v>
      </c>
      <c r="DR192" s="31">
        <v>0.0</v>
      </c>
      <c r="DS192" s="31">
        <v>0.0</v>
      </c>
      <c r="DT192" s="31">
        <f>'Old Balance Sheet'!AC192</f>
        <v>0</v>
      </c>
      <c r="DU192" s="31">
        <f>DT192 + SUMIFS('Payments Log'!D:D, 'Payments Log'!B:B, A192, 'Payments Log'!L:L, "Approved", 'Payments Log'!M:M, "Credit") + 'Old Balance Sheet'!AD192 - 'Old Balance Sheet'!AC192</f>
        <v>0</v>
      </c>
      <c r="DV192" s="31">
        <f>SUMIFS('Payments Log'!D:D, 'Payments Log'!B:B, A192, 'Payments Log'!L:L, "Approved", 'Payments Log'!M:M, "Adjustment Credit") - SUMIFS('Payments Log'!D:D, 'Payments Log'!B:B, A192, 'Payments Log'!L:L, "Approved", 'Payments Log'!M:M, "Adjustment Debit") + 'Old Balance Sheet'!AE192</f>
        <v>0</v>
      </c>
      <c r="DW192" s="31">
        <f>IF(MAXIFS('Payments Log'!N:N, 'Payments Log'!L:L, "Approved", 'Payments Log'!M:M, "Credit", 'Payments Log'!B:B, A192) &gt; MAXIFS('Payments Log'!N:N, 'Payments Log'!L:L, "Approved", 'Payments Log'!M:M, "Virtual Credit", 'Payments Log'!B:B, A192), 0, SUMIFS('Payments Log'!D:D, 'Payments Log'!N:N, MAXIFS('Payments Log'!N:N, 'Payments Log'!L:L, "Approved", 'Payments Log'!M:M, "Virtual Credit", 'Payments Log'!B:B, A192)))</f>
        <v>0</v>
      </c>
      <c r="DX192" s="33">
        <f t="shared" si="6"/>
        <v>0</v>
      </c>
      <c r="DY192" s="33">
        <f t="shared" si="7"/>
        <v>0</v>
      </c>
      <c r="DZ192" s="33">
        <f t="shared" si="8"/>
        <v>0</v>
      </c>
      <c r="EA192" s="25" t="str">
        <f>(Sheet1!N192)</f>
        <v>Modern Auto Agency - Bettiah</v>
      </c>
      <c r="EB192" s="25" t="str">
        <f>(Sheet1!O192)</f>
        <v>1_UtGSoyOsljQXvmry7gfXGYwjwEjQbghQQGZebnq45M</v>
      </c>
      <c r="EC192" s="26" t="str">
        <f>(Sheet1!P192)</f>
        <v>Sub Dealer</v>
      </c>
      <c r="ED192" s="34" t="s">
        <v>13</v>
      </c>
    </row>
    <row r="193">
      <c r="A193" s="25" t="str">
        <f>(Sheet1!A193)</f>
        <v>1a9gtQ7HlAwL1VT97lzul59hlYqscXYdQ7Sg85wtHL40</v>
      </c>
      <c r="B193" s="25" t="str">
        <f>(Sheet1!B193)</f>
        <v>NEW LAXMI AUTOMOBILES (MAA) - MAINATAND</v>
      </c>
      <c r="C193" s="30" t="s">
        <v>13</v>
      </c>
      <c r="D193" s="25" t="s">
        <v>72</v>
      </c>
      <c r="E193" s="25" t="s">
        <v>3820</v>
      </c>
      <c r="F193" s="31">
        <v>192.0</v>
      </c>
      <c r="G193" s="25" t="s">
        <v>3818</v>
      </c>
      <c r="H193" s="33">
        <v>100.0</v>
      </c>
      <c r="I193" s="33">
        <f>'Old Balance Sheet'!A193 + 'ACPL Calculations - 1.0'!A193 + 'ACPL Calculations - 2.0'!A193</f>
        <v>671</v>
      </c>
      <c r="J193" s="25" t="s">
        <v>3820</v>
      </c>
      <c r="K193" s="31">
        <v>192.0</v>
      </c>
      <c r="L193" s="25" t="s">
        <v>3818</v>
      </c>
      <c r="M193" s="33">
        <v>100.0</v>
      </c>
      <c r="N193" s="33">
        <f>'Old Balance Sheet'!B193 + 'ACPL Calculations - 1.0'!B193 + 'ACPL Calculations - 2.0'!B193</f>
        <v>0</v>
      </c>
      <c r="O193" s="25" t="s">
        <v>3820</v>
      </c>
      <c r="P193" s="31">
        <v>205.0</v>
      </c>
      <c r="Q193" s="25" t="s">
        <v>3818</v>
      </c>
      <c r="R193" s="33">
        <v>100.0</v>
      </c>
      <c r="S193" s="33">
        <f>'Old Balance Sheet'!C193 + 'ACPL Calculations - 1.0'!C193 + 'ACPL Calculations - 2.0'!C193</f>
        <v>0</v>
      </c>
      <c r="T193" s="25" t="s">
        <v>3820</v>
      </c>
      <c r="U193" s="33">
        <v>375.0</v>
      </c>
      <c r="V193" s="25" t="s">
        <v>3818</v>
      </c>
      <c r="W193" s="33">
        <v>100.0</v>
      </c>
      <c r="X193" s="33">
        <f>'Old Balance Sheet'!D193 + 'ACPL Calculations - 1.0'!D193 + 'ACPL Calculations - 2.0'!D193</f>
        <v>0</v>
      </c>
      <c r="Y193" s="25" t="s">
        <v>3820</v>
      </c>
      <c r="Z193" s="33">
        <v>460.0</v>
      </c>
      <c r="AA193" s="42" t="s">
        <v>3818</v>
      </c>
      <c r="AB193" s="43">
        <v>100.0</v>
      </c>
      <c r="AC193" s="33">
        <f>'Old Balance Sheet'!E193 + 'ACPL Calculations - 1.0'!E193 + 'ACPL Calculations - 2.0'!E193</f>
        <v>0</v>
      </c>
      <c r="AD193" s="25" t="s">
        <v>3820</v>
      </c>
      <c r="AE193" s="33">
        <v>838.99</v>
      </c>
      <c r="AF193" s="42" t="s">
        <v>3818</v>
      </c>
      <c r="AG193" s="43">
        <v>100.0</v>
      </c>
      <c r="AH193" s="33">
        <f>'Old Balance Sheet'!F193 + 'ACPL Calculations - 1.0'!F193 + 'ACPL Calculations - 2.0'!F193</f>
        <v>0</v>
      </c>
      <c r="AI193" s="25" t="s">
        <v>3820</v>
      </c>
      <c r="AJ193" s="33">
        <v>375.0</v>
      </c>
      <c r="AK193" s="42" t="s">
        <v>3818</v>
      </c>
      <c r="AL193" s="43">
        <v>100.0</v>
      </c>
      <c r="AM193" s="33">
        <f>'Old Balance Sheet'!G193 + 'ACPL Calculations - 1.0'!G193 + 'ACPL Calculations - 2.0'!G193</f>
        <v>0</v>
      </c>
      <c r="AN193" s="25" t="s">
        <v>3820</v>
      </c>
      <c r="AO193" s="33">
        <v>290.0</v>
      </c>
      <c r="AP193" s="42" t="s">
        <v>3818</v>
      </c>
      <c r="AQ193" s="43">
        <v>100.0</v>
      </c>
      <c r="AR193" s="33">
        <f>'Old Balance Sheet'!H193 + 'ACPL Calculations - 1.0'!H193 + 'ACPL Calculations - 2.0'!H193</f>
        <v>0</v>
      </c>
      <c r="AS193" s="25" t="s">
        <v>3819</v>
      </c>
      <c r="AT193" s="33">
        <v>838.99</v>
      </c>
      <c r="AU193" s="42" t="s">
        <v>3818</v>
      </c>
      <c r="AV193" s="43">
        <v>100.0</v>
      </c>
      <c r="AW193" s="33">
        <f>'Old Balance Sheet'!I193 + 'ACPL Calculations - 1.0'!I193 + 'ACPL Calculations - 2.0'!I193</f>
        <v>0</v>
      </c>
      <c r="AX193" s="25" t="s">
        <v>3820</v>
      </c>
      <c r="AY193" s="31">
        <v>290.0</v>
      </c>
      <c r="AZ193" s="42" t="s">
        <v>3818</v>
      </c>
      <c r="BA193" s="43">
        <v>100.0</v>
      </c>
      <c r="BB193" s="33">
        <f>'Old Balance Sheet'!J193 + 'ACPL Calculations - 1.0'!J193 + 'ACPL Calculations - 2.0'!J193</f>
        <v>0</v>
      </c>
      <c r="BC193" s="25" t="s">
        <v>3820</v>
      </c>
      <c r="BD193" s="31">
        <v>205.0</v>
      </c>
      <c r="BE193" s="42" t="s">
        <v>3818</v>
      </c>
      <c r="BF193" s="43">
        <v>100.0</v>
      </c>
      <c r="BG193" s="33">
        <f>'Old Balance Sheet'!K193 + 'ACPL Calculations - 1.0'!K193 + 'ACPL Calculations - 2.0'!K193</f>
        <v>0</v>
      </c>
      <c r="BH193" s="25" t="s">
        <v>3820</v>
      </c>
      <c r="BI193" s="31">
        <v>205.0</v>
      </c>
      <c r="BJ193" s="42" t="s">
        <v>3818</v>
      </c>
      <c r="BK193" s="43">
        <v>100.0</v>
      </c>
      <c r="BL193" s="33">
        <f>'Old Balance Sheet'!L193 + 'ACPL Calculations - 1.0'!L193 + 'ACPL Calculations - 2.0'!L193</f>
        <v>0</v>
      </c>
      <c r="BM193" s="25"/>
      <c r="BN193" s="25"/>
      <c r="BO193" s="25"/>
      <c r="BP193" s="25"/>
      <c r="BQ193" s="25"/>
      <c r="BR193" s="25"/>
      <c r="BS193" s="25"/>
      <c r="BT193" s="25"/>
      <c r="BU193" s="25"/>
      <c r="BV193" s="25"/>
      <c r="BW193" s="25"/>
      <c r="BX193" s="25"/>
      <c r="BY193" s="25"/>
      <c r="BZ193" s="25"/>
      <c r="CA193" s="25"/>
      <c r="CB193" s="25"/>
      <c r="CC193" s="25"/>
      <c r="CD193" s="25"/>
      <c r="CE193" s="25"/>
      <c r="CF193" s="25"/>
      <c r="CG193" s="25"/>
      <c r="CH193" s="25"/>
      <c r="CI193" s="25"/>
      <c r="CJ193" s="25"/>
      <c r="CK193" s="25"/>
      <c r="CL193" s="33">
        <f t="shared" si="1"/>
        <v>671</v>
      </c>
      <c r="CM193" s="33">
        <f>'Old Balance Sheet'!R193 + 'ACPL Calculations - 1.0'!S193 + 'ACPL Calculations - 2.0'!S193</f>
        <v>296582</v>
      </c>
      <c r="CN193" s="33">
        <f>'Old Balance Sheet'!S193 + 'ACPL Calculations - 1.0'!T193 + 'ACPL Calculations - 2.0'!T193</f>
        <v>129131</v>
      </c>
      <c r="CO193" s="33">
        <f t="shared" si="2"/>
        <v>174369.82</v>
      </c>
      <c r="CP193" s="33">
        <f>'Old Balance Sheet'!T193 + 'ACPL Calculations - 1.0'!V193 + 'ACPL Calculations - 2.0'!V193</f>
        <v>0</v>
      </c>
      <c r="CQ193" s="33">
        <f>'Old Balance Sheet'!U193 + 'ACPL Calculations - 1.0'!W193 + 'ACPL Calculations - 2.0'!W193</f>
        <v>0</v>
      </c>
      <c r="CR193" s="33">
        <f>'Old Balance Sheet'!V193 + 'ACPL Calculations - 1.0'!X193 + 'ACPL Calculations - 2.0'!X193</f>
        <v>45238.82</v>
      </c>
      <c r="CS193" s="33">
        <f t="shared" si="3"/>
        <v>45238.82</v>
      </c>
      <c r="CT193" s="35"/>
      <c r="CU193" s="35"/>
      <c r="CV193" s="35"/>
      <c r="CW193" s="36">
        <f>'Old Balance Sheet'!W193 + 'ACPL Calculations - 1.0'!Z193 + 'ACPL Calculations - 2.0'!Z193</f>
        <v>0</v>
      </c>
      <c r="CX193" s="36">
        <f>'Old Balance Sheet'!X193 + 'ACPL Calculations - 1.0'!AA193 + 'ACPL Calculations - 2.0'!AA193</f>
        <v>0</v>
      </c>
      <c r="CY193" s="37">
        <v>0.0</v>
      </c>
      <c r="CZ193" s="38">
        <f>'Old Balance Sheet'!Y193 + 'ACPL Calculations - 1.0'!AB193 + 'ACPL Calculations - 2.0'!AB193</f>
        <v>0</v>
      </c>
      <c r="DA193" s="38">
        <f>'Old Balance Sheet'!Z193 + 'ACPL Calculations - 1.0'!AC193 + 'ACPL Calculations - 2.0'!AC193</f>
        <v>0</v>
      </c>
      <c r="DB193" s="38">
        <f>'Old Balance Sheet'!AA193 + 'ACPL Calculations - 1.0'!AD193 + 'ACPL Calculations - 2.0'!AD193</f>
        <v>0</v>
      </c>
      <c r="DC193" s="38">
        <f>'Old Balance Sheet'!AB193 + 'ACPL Calculations - 1.0'!AE193 + 'ACPL Calculations - 2.0'!AE193</f>
        <v>0</v>
      </c>
      <c r="DD193" s="38">
        <f t="shared" si="4"/>
        <v>0</v>
      </c>
      <c r="DE193" s="33">
        <f t="shared" si="5"/>
        <v>0</v>
      </c>
      <c r="DF193" s="35">
        <v>0.0</v>
      </c>
      <c r="DG193" s="35">
        <v>0.0</v>
      </c>
      <c r="DH193" s="35">
        <v>0.0</v>
      </c>
      <c r="DI193" s="35">
        <v>0.0</v>
      </c>
      <c r="DJ193" s="35">
        <v>0.0</v>
      </c>
      <c r="DK193" s="35">
        <v>0.0</v>
      </c>
      <c r="DL193" s="35">
        <v>0.0</v>
      </c>
      <c r="DM193" s="35">
        <v>0.0</v>
      </c>
      <c r="DN193" s="31">
        <v>0.0</v>
      </c>
      <c r="DO193" s="31">
        <v>0.0</v>
      </c>
      <c r="DP193" s="31">
        <v>0.0</v>
      </c>
      <c r="DQ193" s="31">
        <v>0.0</v>
      </c>
      <c r="DR193" s="31">
        <v>0.0</v>
      </c>
      <c r="DS193" s="31">
        <v>0.0</v>
      </c>
      <c r="DT193" s="31">
        <f>'Old Balance Sheet'!AC193</f>
        <v>0</v>
      </c>
      <c r="DU193" s="31">
        <f>DT193 + SUMIFS('Payments Log'!D:D, 'Payments Log'!B:B, A193, 'Payments Log'!L:L, "Approved", 'Payments Log'!M:M, "Credit") + 'Old Balance Sheet'!AD193 - 'Old Balance Sheet'!AC193</f>
        <v>0</v>
      </c>
      <c r="DV193" s="31">
        <f>SUMIFS('Payments Log'!D:D, 'Payments Log'!B:B, A193, 'Payments Log'!L:L, "Approved", 'Payments Log'!M:M, "Adjustment Credit") - SUMIFS('Payments Log'!D:D, 'Payments Log'!B:B, A193, 'Payments Log'!L:L, "Approved", 'Payments Log'!M:M, "Adjustment Debit") + 'Old Balance Sheet'!AE193</f>
        <v>0</v>
      </c>
      <c r="DW193" s="31">
        <f>IF(MAXIFS('Payments Log'!N:N, 'Payments Log'!L:L, "Approved", 'Payments Log'!M:M, "Credit", 'Payments Log'!B:B, A193) &gt; MAXIFS('Payments Log'!N:N, 'Payments Log'!L:L, "Approved", 'Payments Log'!M:M, "Virtual Credit", 'Payments Log'!B:B, A193), 0, SUMIFS('Payments Log'!D:D, 'Payments Log'!N:N, MAXIFS('Payments Log'!N:N, 'Payments Log'!L:L, "Approved", 'Payments Log'!M:M, "Virtual Credit", 'Payments Log'!B:B, A193)))</f>
        <v>0</v>
      </c>
      <c r="DX193" s="33">
        <f t="shared" si="6"/>
        <v>0</v>
      </c>
      <c r="DY193" s="33">
        <f t="shared" si="7"/>
        <v>0</v>
      </c>
      <c r="DZ193" s="33">
        <f t="shared" si="8"/>
        <v>0</v>
      </c>
      <c r="EA193" s="25" t="str">
        <f>(Sheet1!N193)</f>
        <v>Modern Auto Agency - Bettiah</v>
      </c>
      <c r="EB193" s="25" t="str">
        <f>(Sheet1!O193)</f>
        <v>1_UtGSoyOsljQXvmry7gfXGYwjwEjQbghQQGZebnq45M</v>
      </c>
      <c r="EC193" s="26" t="str">
        <f>(Sheet1!P193)</f>
        <v>Sub Dealer</v>
      </c>
      <c r="ED193" s="34" t="s">
        <v>13</v>
      </c>
    </row>
    <row r="194">
      <c r="A194" s="25" t="str">
        <f>(Sheet1!A194)</f>
        <v>18hibfOdBkTwP70jRUUH2L7OgAiquBXCXX9EqLpop6DM</v>
      </c>
      <c r="B194" s="25" t="str">
        <f>(Sheet1!B194)</f>
        <v>BALAJI AUTOMOBILES (MAA) - CHANPATIA</v>
      </c>
      <c r="C194" s="30" t="s">
        <v>13</v>
      </c>
      <c r="D194" s="25" t="s">
        <v>72</v>
      </c>
      <c r="E194" s="25" t="s">
        <v>3820</v>
      </c>
      <c r="F194" s="31">
        <v>192.0</v>
      </c>
      <c r="G194" s="25" t="s">
        <v>3818</v>
      </c>
      <c r="H194" s="33">
        <v>100.0</v>
      </c>
      <c r="I194" s="33">
        <f>'Old Balance Sheet'!A194 + 'ACPL Calculations - 1.0'!A194 + 'ACPL Calculations - 2.0'!A194</f>
        <v>602</v>
      </c>
      <c r="J194" s="25" t="s">
        <v>3820</v>
      </c>
      <c r="K194" s="31">
        <v>192.0</v>
      </c>
      <c r="L194" s="25" t="s">
        <v>3818</v>
      </c>
      <c r="M194" s="33">
        <v>100.0</v>
      </c>
      <c r="N194" s="33">
        <f>'Old Balance Sheet'!B194 + 'ACPL Calculations - 1.0'!B194 + 'ACPL Calculations - 2.0'!B194</f>
        <v>0</v>
      </c>
      <c r="O194" s="25" t="s">
        <v>3820</v>
      </c>
      <c r="P194" s="31">
        <v>205.0</v>
      </c>
      <c r="Q194" s="25" t="s">
        <v>3818</v>
      </c>
      <c r="R194" s="33">
        <v>100.0</v>
      </c>
      <c r="S194" s="33">
        <f>'Old Balance Sheet'!C194 + 'ACPL Calculations - 1.0'!C194 + 'ACPL Calculations - 2.0'!C194</f>
        <v>0</v>
      </c>
      <c r="T194" s="25" t="s">
        <v>3820</v>
      </c>
      <c r="U194" s="33">
        <v>375.0</v>
      </c>
      <c r="V194" s="25" t="s">
        <v>3818</v>
      </c>
      <c r="W194" s="33">
        <v>100.0</v>
      </c>
      <c r="X194" s="33">
        <f>'Old Balance Sheet'!D194 + 'ACPL Calculations - 1.0'!D194 + 'ACPL Calculations - 2.0'!D194</f>
        <v>0</v>
      </c>
      <c r="Y194" s="25" t="s">
        <v>3820</v>
      </c>
      <c r="Z194" s="33">
        <v>460.0</v>
      </c>
      <c r="AA194" s="42" t="s">
        <v>3818</v>
      </c>
      <c r="AB194" s="43">
        <v>100.0</v>
      </c>
      <c r="AC194" s="33">
        <f>'Old Balance Sheet'!E194 + 'ACPL Calculations - 1.0'!E194 + 'ACPL Calculations - 2.0'!E194</f>
        <v>0</v>
      </c>
      <c r="AD194" s="25" t="s">
        <v>3820</v>
      </c>
      <c r="AE194" s="33">
        <v>838.99</v>
      </c>
      <c r="AF194" s="42" t="s">
        <v>3818</v>
      </c>
      <c r="AG194" s="43">
        <v>100.0</v>
      </c>
      <c r="AH194" s="33">
        <f>'Old Balance Sheet'!F194 + 'ACPL Calculations - 1.0'!F194 + 'ACPL Calculations - 2.0'!F194</f>
        <v>0</v>
      </c>
      <c r="AI194" s="25" t="s">
        <v>3820</v>
      </c>
      <c r="AJ194" s="33">
        <v>375.0</v>
      </c>
      <c r="AK194" s="42" t="s">
        <v>3818</v>
      </c>
      <c r="AL194" s="43">
        <v>100.0</v>
      </c>
      <c r="AM194" s="33">
        <f>'Old Balance Sheet'!G194 + 'ACPL Calculations - 1.0'!G194 + 'ACPL Calculations - 2.0'!G194</f>
        <v>0</v>
      </c>
      <c r="AN194" s="25" t="s">
        <v>3820</v>
      </c>
      <c r="AO194" s="33">
        <v>290.0</v>
      </c>
      <c r="AP194" s="42" t="s">
        <v>3818</v>
      </c>
      <c r="AQ194" s="43">
        <v>100.0</v>
      </c>
      <c r="AR194" s="33">
        <f>'Old Balance Sheet'!H194 + 'ACPL Calculations - 1.0'!H194 + 'ACPL Calculations - 2.0'!H194</f>
        <v>0</v>
      </c>
      <c r="AS194" s="25" t="s">
        <v>3819</v>
      </c>
      <c r="AT194" s="33">
        <v>838.99</v>
      </c>
      <c r="AU194" s="42" t="s">
        <v>3818</v>
      </c>
      <c r="AV194" s="43">
        <v>100.0</v>
      </c>
      <c r="AW194" s="33">
        <f>'Old Balance Sheet'!I194 + 'ACPL Calculations - 1.0'!I194 + 'ACPL Calculations - 2.0'!I194</f>
        <v>0</v>
      </c>
      <c r="AX194" s="25" t="s">
        <v>3820</v>
      </c>
      <c r="AY194" s="31">
        <v>290.0</v>
      </c>
      <c r="AZ194" s="42" t="s">
        <v>3818</v>
      </c>
      <c r="BA194" s="43">
        <v>100.0</v>
      </c>
      <c r="BB194" s="33">
        <f>'Old Balance Sheet'!J194 + 'ACPL Calculations - 1.0'!J194 + 'ACPL Calculations - 2.0'!J194</f>
        <v>0</v>
      </c>
      <c r="BC194" s="25" t="s">
        <v>3820</v>
      </c>
      <c r="BD194" s="31">
        <v>205.0</v>
      </c>
      <c r="BE194" s="42" t="s">
        <v>3818</v>
      </c>
      <c r="BF194" s="43">
        <v>100.0</v>
      </c>
      <c r="BG194" s="33">
        <f>'Old Balance Sheet'!K194 + 'ACPL Calculations - 1.0'!K194 + 'ACPL Calculations - 2.0'!K194</f>
        <v>0</v>
      </c>
      <c r="BH194" s="25" t="s">
        <v>3820</v>
      </c>
      <c r="BI194" s="31">
        <v>205.0</v>
      </c>
      <c r="BJ194" s="42" t="s">
        <v>3818</v>
      </c>
      <c r="BK194" s="43">
        <v>100.0</v>
      </c>
      <c r="BL194" s="33">
        <f>'Old Balance Sheet'!L194 + 'ACPL Calculations - 1.0'!L194 + 'ACPL Calculations - 2.0'!L194</f>
        <v>0</v>
      </c>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25"/>
      <c r="CI194" s="25"/>
      <c r="CJ194" s="25"/>
      <c r="CK194" s="25"/>
      <c r="CL194" s="33">
        <f t="shared" si="1"/>
        <v>602</v>
      </c>
      <c r="CM194" s="33">
        <f>'Old Balance Sheet'!R194 + 'ACPL Calculations - 1.0'!S194 + 'ACPL Calculations - 2.0'!S194</f>
        <v>266084</v>
      </c>
      <c r="CN194" s="33">
        <f>'Old Balance Sheet'!S194 + 'ACPL Calculations - 1.0'!T194 + 'ACPL Calculations - 2.0'!T194</f>
        <v>116065</v>
      </c>
      <c r="CO194" s="33">
        <f t="shared" si="2"/>
        <v>156651.84</v>
      </c>
      <c r="CP194" s="33">
        <f>'Old Balance Sheet'!T194 + 'ACPL Calculations - 1.0'!V194 + 'ACPL Calculations - 2.0'!V194</f>
        <v>0</v>
      </c>
      <c r="CQ194" s="33">
        <f>'Old Balance Sheet'!U194 + 'ACPL Calculations - 1.0'!W194 + 'ACPL Calculations - 2.0'!W194</f>
        <v>0</v>
      </c>
      <c r="CR194" s="33">
        <f>'Old Balance Sheet'!V194 + 'ACPL Calculations - 1.0'!X194 + 'ACPL Calculations - 2.0'!X194</f>
        <v>40586.84</v>
      </c>
      <c r="CS194" s="33">
        <f t="shared" si="3"/>
        <v>40586.84</v>
      </c>
      <c r="CT194" s="35"/>
      <c r="CU194" s="35"/>
      <c r="CV194" s="35"/>
      <c r="CW194" s="36">
        <f>'Old Balance Sheet'!W194 + 'ACPL Calculations - 1.0'!Z194 + 'ACPL Calculations - 2.0'!Z194</f>
        <v>0</v>
      </c>
      <c r="CX194" s="36">
        <f>'Old Balance Sheet'!X194 + 'ACPL Calculations - 1.0'!AA194 + 'ACPL Calculations - 2.0'!AA194</f>
        <v>0</v>
      </c>
      <c r="CY194" s="37">
        <v>0.0</v>
      </c>
      <c r="CZ194" s="38">
        <f>'Old Balance Sheet'!Y194 + 'ACPL Calculations - 1.0'!AB194 + 'ACPL Calculations - 2.0'!AB194</f>
        <v>0</v>
      </c>
      <c r="DA194" s="38">
        <f>'Old Balance Sheet'!Z194 + 'ACPL Calculations - 1.0'!AC194 + 'ACPL Calculations - 2.0'!AC194</f>
        <v>0</v>
      </c>
      <c r="DB194" s="38">
        <f>'Old Balance Sheet'!AA194 + 'ACPL Calculations - 1.0'!AD194 + 'ACPL Calculations - 2.0'!AD194</f>
        <v>0</v>
      </c>
      <c r="DC194" s="38">
        <f>'Old Balance Sheet'!AB194 + 'ACPL Calculations - 1.0'!AE194 + 'ACPL Calculations - 2.0'!AE194</f>
        <v>0</v>
      </c>
      <c r="DD194" s="38">
        <f t="shared" si="4"/>
        <v>0</v>
      </c>
      <c r="DE194" s="33">
        <f t="shared" si="5"/>
        <v>0</v>
      </c>
      <c r="DF194" s="35">
        <v>0.0</v>
      </c>
      <c r="DG194" s="35">
        <v>0.0</v>
      </c>
      <c r="DH194" s="35">
        <v>0.0</v>
      </c>
      <c r="DI194" s="35">
        <v>0.0</v>
      </c>
      <c r="DJ194" s="35">
        <v>0.0</v>
      </c>
      <c r="DK194" s="35">
        <v>0.0</v>
      </c>
      <c r="DL194" s="35">
        <v>0.0</v>
      </c>
      <c r="DM194" s="35">
        <v>0.0</v>
      </c>
      <c r="DN194" s="31">
        <v>0.0</v>
      </c>
      <c r="DO194" s="31">
        <v>0.0</v>
      </c>
      <c r="DP194" s="31">
        <v>0.0</v>
      </c>
      <c r="DQ194" s="31">
        <v>0.0</v>
      </c>
      <c r="DR194" s="31">
        <v>0.0</v>
      </c>
      <c r="DS194" s="31">
        <v>0.0</v>
      </c>
      <c r="DT194" s="31">
        <f>'Old Balance Sheet'!AC194</f>
        <v>0</v>
      </c>
      <c r="DU194" s="31">
        <f>DT194 + SUMIFS('Payments Log'!D:D, 'Payments Log'!B:B, A194, 'Payments Log'!L:L, "Approved", 'Payments Log'!M:M, "Credit") + 'Old Balance Sheet'!AD194 - 'Old Balance Sheet'!AC194</f>
        <v>0</v>
      </c>
      <c r="DV194" s="31">
        <f>SUMIFS('Payments Log'!D:D, 'Payments Log'!B:B, A194, 'Payments Log'!L:L, "Approved", 'Payments Log'!M:M, "Adjustment Credit") - SUMIFS('Payments Log'!D:D, 'Payments Log'!B:B, A194, 'Payments Log'!L:L, "Approved", 'Payments Log'!M:M, "Adjustment Debit") + 'Old Balance Sheet'!AE194</f>
        <v>0</v>
      </c>
      <c r="DW194" s="31">
        <f>IF(MAXIFS('Payments Log'!N:N, 'Payments Log'!L:L, "Approved", 'Payments Log'!M:M, "Credit", 'Payments Log'!B:B, A194) &gt; MAXIFS('Payments Log'!N:N, 'Payments Log'!L:L, "Approved", 'Payments Log'!M:M, "Virtual Credit", 'Payments Log'!B:B, A194), 0, SUMIFS('Payments Log'!D:D, 'Payments Log'!N:N, MAXIFS('Payments Log'!N:N, 'Payments Log'!L:L, "Approved", 'Payments Log'!M:M, "Virtual Credit", 'Payments Log'!B:B, A194)))</f>
        <v>0</v>
      </c>
      <c r="DX194" s="33">
        <f t="shared" si="6"/>
        <v>0</v>
      </c>
      <c r="DY194" s="33">
        <f t="shared" si="7"/>
        <v>0</v>
      </c>
      <c r="DZ194" s="33">
        <f t="shared" si="8"/>
        <v>0</v>
      </c>
      <c r="EA194" s="25" t="str">
        <f>(Sheet1!N194)</f>
        <v>Modern Auto Agency - Bettiah</v>
      </c>
      <c r="EB194" s="25" t="str">
        <f>(Sheet1!O194)</f>
        <v>1_UtGSoyOsljQXvmry7gfXGYwjwEjQbghQQGZebnq45M</v>
      </c>
      <c r="EC194" s="26" t="str">
        <f>(Sheet1!P194)</f>
        <v>Sub Dealer</v>
      </c>
      <c r="ED194" s="34" t="s">
        <v>13</v>
      </c>
    </row>
    <row r="195">
      <c r="A195" s="25" t="str">
        <f>(Sheet1!A195)</f>
        <v>1tv7cW1HkpPnyDwBqxX4e63ihXTxB7vNx36c1SO0c8cw</v>
      </c>
      <c r="B195" s="25" t="str">
        <f>(Sheet1!B195)</f>
        <v>MAA KALI AUTOMOBILES (MAA) - CHAUTARWA</v>
      </c>
      <c r="C195" s="30" t="s">
        <v>13</v>
      </c>
      <c r="D195" s="25" t="s">
        <v>72</v>
      </c>
      <c r="E195" s="25" t="s">
        <v>3820</v>
      </c>
      <c r="F195" s="31">
        <v>192.0</v>
      </c>
      <c r="G195" s="25" t="s">
        <v>3818</v>
      </c>
      <c r="H195" s="33">
        <v>100.0</v>
      </c>
      <c r="I195" s="33">
        <f>'Old Balance Sheet'!A195 + 'ACPL Calculations - 1.0'!A195 + 'ACPL Calculations - 2.0'!A195</f>
        <v>309</v>
      </c>
      <c r="J195" s="25" t="s">
        <v>3820</v>
      </c>
      <c r="K195" s="31">
        <v>192.0</v>
      </c>
      <c r="L195" s="25" t="s">
        <v>3818</v>
      </c>
      <c r="M195" s="33">
        <v>100.0</v>
      </c>
      <c r="N195" s="33">
        <f>'Old Balance Sheet'!B195 + 'ACPL Calculations - 1.0'!B195 + 'ACPL Calculations - 2.0'!B195</f>
        <v>5</v>
      </c>
      <c r="O195" s="25" t="s">
        <v>3820</v>
      </c>
      <c r="P195" s="31">
        <v>205.0</v>
      </c>
      <c r="Q195" s="25" t="s">
        <v>3818</v>
      </c>
      <c r="R195" s="33">
        <v>100.0</v>
      </c>
      <c r="S195" s="33">
        <f>'Old Balance Sheet'!C195 + 'ACPL Calculations - 1.0'!C195 + 'ACPL Calculations - 2.0'!C195</f>
        <v>0</v>
      </c>
      <c r="T195" s="25" t="s">
        <v>3820</v>
      </c>
      <c r="U195" s="33">
        <v>375.0</v>
      </c>
      <c r="V195" s="25" t="s">
        <v>3818</v>
      </c>
      <c r="W195" s="33">
        <v>100.0</v>
      </c>
      <c r="X195" s="33">
        <f>'Old Balance Sheet'!D195 + 'ACPL Calculations - 1.0'!D195 + 'ACPL Calculations - 2.0'!D195</f>
        <v>0</v>
      </c>
      <c r="Y195" s="25" t="s">
        <v>3820</v>
      </c>
      <c r="Z195" s="33">
        <v>460.0</v>
      </c>
      <c r="AA195" s="42" t="s">
        <v>3818</v>
      </c>
      <c r="AB195" s="43">
        <v>100.0</v>
      </c>
      <c r="AC195" s="33">
        <f>'Old Balance Sheet'!E195 + 'ACPL Calculations - 1.0'!E195 + 'ACPL Calculations - 2.0'!E195</f>
        <v>0</v>
      </c>
      <c r="AD195" s="25" t="s">
        <v>3820</v>
      </c>
      <c r="AE195" s="33">
        <v>838.99</v>
      </c>
      <c r="AF195" s="42" t="s">
        <v>3818</v>
      </c>
      <c r="AG195" s="43">
        <v>100.0</v>
      </c>
      <c r="AH195" s="33">
        <f>'Old Balance Sheet'!F195 + 'ACPL Calculations - 1.0'!F195 + 'ACPL Calculations - 2.0'!F195</f>
        <v>0</v>
      </c>
      <c r="AI195" s="25" t="s">
        <v>3820</v>
      </c>
      <c r="AJ195" s="33">
        <v>375.0</v>
      </c>
      <c r="AK195" s="42" t="s">
        <v>3818</v>
      </c>
      <c r="AL195" s="43">
        <v>100.0</v>
      </c>
      <c r="AM195" s="33">
        <f>'Old Balance Sheet'!G195 + 'ACPL Calculations - 1.0'!G195 + 'ACPL Calculations - 2.0'!G195</f>
        <v>0</v>
      </c>
      <c r="AN195" s="25" t="s">
        <v>3820</v>
      </c>
      <c r="AO195" s="33">
        <v>290.0</v>
      </c>
      <c r="AP195" s="42" t="s">
        <v>3818</v>
      </c>
      <c r="AQ195" s="43">
        <v>100.0</v>
      </c>
      <c r="AR195" s="33">
        <f>'Old Balance Sheet'!H195 + 'ACPL Calculations - 1.0'!H195 + 'ACPL Calculations - 2.0'!H195</f>
        <v>0</v>
      </c>
      <c r="AS195" s="25" t="s">
        <v>3819</v>
      </c>
      <c r="AT195" s="33">
        <v>838.99</v>
      </c>
      <c r="AU195" s="42" t="s">
        <v>3818</v>
      </c>
      <c r="AV195" s="43">
        <v>100.0</v>
      </c>
      <c r="AW195" s="33">
        <f>'Old Balance Sheet'!I195 + 'ACPL Calculations - 1.0'!I195 + 'ACPL Calculations - 2.0'!I195</f>
        <v>0</v>
      </c>
      <c r="AX195" s="25" t="s">
        <v>3820</v>
      </c>
      <c r="AY195" s="31">
        <v>290.0</v>
      </c>
      <c r="AZ195" s="42" t="s">
        <v>3818</v>
      </c>
      <c r="BA195" s="43">
        <v>100.0</v>
      </c>
      <c r="BB195" s="33">
        <f>'Old Balance Sheet'!J195 + 'ACPL Calculations - 1.0'!J195 + 'ACPL Calculations - 2.0'!J195</f>
        <v>0</v>
      </c>
      <c r="BC195" s="25" t="s">
        <v>3820</v>
      </c>
      <c r="BD195" s="31">
        <v>205.0</v>
      </c>
      <c r="BE195" s="42" t="s">
        <v>3818</v>
      </c>
      <c r="BF195" s="43">
        <v>100.0</v>
      </c>
      <c r="BG195" s="33">
        <f>'Old Balance Sheet'!K195 + 'ACPL Calculations - 1.0'!K195 + 'ACPL Calculations - 2.0'!K195</f>
        <v>0</v>
      </c>
      <c r="BH195" s="25" t="s">
        <v>3820</v>
      </c>
      <c r="BI195" s="31">
        <v>205.0</v>
      </c>
      <c r="BJ195" s="42" t="s">
        <v>3818</v>
      </c>
      <c r="BK195" s="43">
        <v>100.0</v>
      </c>
      <c r="BL195" s="33">
        <f>'Old Balance Sheet'!L195 + 'ACPL Calculations - 1.0'!L195 + 'ACPL Calculations - 2.0'!L195</f>
        <v>0</v>
      </c>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25"/>
      <c r="CJ195" s="25"/>
      <c r="CK195" s="25"/>
      <c r="CL195" s="33">
        <f t="shared" si="1"/>
        <v>314</v>
      </c>
      <c r="CM195" s="33">
        <f>'Old Balance Sheet'!R195 + 'ACPL Calculations - 1.0'!S195 + 'ACPL Calculations - 2.0'!S195</f>
        <v>138788</v>
      </c>
      <c r="CN195" s="33">
        <f>'Old Balance Sheet'!S195 + 'ACPL Calculations - 1.0'!T195 + 'ACPL Calculations - 2.0'!T195</f>
        <v>60379</v>
      </c>
      <c r="CO195" s="33">
        <f t="shared" si="2"/>
        <v>81548.88</v>
      </c>
      <c r="CP195" s="33">
        <f>'Old Balance Sheet'!T195 + 'ACPL Calculations - 1.0'!V195 + 'ACPL Calculations - 2.0'!V195</f>
        <v>0</v>
      </c>
      <c r="CQ195" s="33">
        <f>'Old Balance Sheet'!U195 + 'ACPL Calculations - 1.0'!W195 + 'ACPL Calculations - 2.0'!W195</f>
        <v>0</v>
      </c>
      <c r="CR195" s="33">
        <f>'Old Balance Sheet'!V195 + 'ACPL Calculations - 1.0'!X195 + 'ACPL Calculations - 2.0'!X195</f>
        <v>21169.88</v>
      </c>
      <c r="CS195" s="33">
        <f t="shared" si="3"/>
        <v>21169.88</v>
      </c>
      <c r="CT195" s="35"/>
      <c r="CU195" s="35"/>
      <c r="CV195" s="35"/>
      <c r="CW195" s="36">
        <f>'Old Balance Sheet'!W195 + 'ACPL Calculations - 1.0'!Z195 + 'ACPL Calculations - 2.0'!Z195</f>
        <v>0</v>
      </c>
      <c r="CX195" s="36">
        <f>'Old Balance Sheet'!X195 + 'ACPL Calculations - 1.0'!AA195 + 'ACPL Calculations - 2.0'!AA195</f>
        <v>0</v>
      </c>
      <c r="CY195" s="37">
        <v>0.0</v>
      </c>
      <c r="CZ195" s="38">
        <f>'Old Balance Sheet'!Y195 + 'ACPL Calculations - 1.0'!AB195 + 'ACPL Calculations - 2.0'!AB195</f>
        <v>0</v>
      </c>
      <c r="DA195" s="38">
        <f>'Old Balance Sheet'!Z195 + 'ACPL Calculations - 1.0'!AC195 + 'ACPL Calculations - 2.0'!AC195</f>
        <v>0</v>
      </c>
      <c r="DB195" s="38">
        <f>'Old Balance Sheet'!AA195 + 'ACPL Calculations - 1.0'!AD195 + 'ACPL Calculations - 2.0'!AD195</f>
        <v>0</v>
      </c>
      <c r="DC195" s="38">
        <f>'Old Balance Sheet'!AB195 + 'ACPL Calculations - 1.0'!AE195 + 'ACPL Calculations - 2.0'!AE195</f>
        <v>0</v>
      </c>
      <c r="DD195" s="38">
        <f t="shared" si="4"/>
        <v>0</v>
      </c>
      <c r="DE195" s="33">
        <f t="shared" si="5"/>
        <v>0</v>
      </c>
      <c r="DF195" s="35">
        <v>0.0</v>
      </c>
      <c r="DG195" s="35">
        <v>0.0</v>
      </c>
      <c r="DH195" s="35">
        <v>0.0</v>
      </c>
      <c r="DI195" s="35">
        <v>0.0</v>
      </c>
      <c r="DJ195" s="35">
        <v>0.0</v>
      </c>
      <c r="DK195" s="35">
        <v>0.0</v>
      </c>
      <c r="DL195" s="35">
        <v>0.0</v>
      </c>
      <c r="DM195" s="35">
        <v>0.0</v>
      </c>
      <c r="DN195" s="31">
        <v>0.0</v>
      </c>
      <c r="DO195" s="31">
        <v>0.0</v>
      </c>
      <c r="DP195" s="31">
        <v>0.0</v>
      </c>
      <c r="DQ195" s="31">
        <v>0.0</v>
      </c>
      <c r="DR195" s="31">
        <v>0.0</v>
      </c>
      <c r="DS195" s="31">
        <v>0.0</v>
      </c>
      <c r="DT195" s="31">
        <f>'Old Balance Sheet'!AC195</f>
        <v>0</v>
      </c>
      <c r="DU195" s="31">
        <f>DT195 + SUMIFS('Payments Log'!D:D, 'Payments Log'!B:B, A195, 'Payments Log'!L:L, "Approved", 'Payments Log'!M:M, "Credit") + 'Old Balance Sheet'!AD195 - 'Old Balance Sheet'!AC195</f>
        <v>0</v>
      </c>
      <c r="DV195" s="31">
        <f>SUMIFS('Payments Log'!D:D, 'Payments Log'!B:B, A195, 'Payments Log'!L:L, "Approved", 'Payments Log'!M:M, "Adjustment Credit") - SUMIFS('Payments Log'!D:D, 'Payments Log'!B:B, A195, 'Payments Log'!L:L, "Approved", 'Payments Log'!M:M, "Adjustment Debit") + 'Old Balance Sheet'!AE195</f>
        <v>0</v>
      </c>
      <c r="DW195" s="31">
        <f>IF(MAXIFS('Payments Log'!N:N, 'Payments Log'!L:L, "Approved", 'Payments Log'!M:M, "Credit", 'Payments Log'!B:B, A195) &gt; MAXIFS('Payments Log'!N:N, 'Payments Log'!L:L, "Approved", 'Payments Log'!M:M, "Virtual Credit", 'Payments Log'!B:B, A195), 0, SUMIFS('Payments Log'!D:D, 'Payments Log'!N:N, MAXIFS('Payments Log'!N:N, 'Payments Log'!L:L, "Approved", 'Payments Log'!M:M, "Virtual Credit", 'Payments Log'!B:B, A195)))</f>
        <v>0</v>
      </c>
      <c r="DX195" s="33">
        <f t="shared" si="6"/>
        <v>0</v>
      </c>
      <c r="DY195" s="33">
        <f t="shared" si="7"/>
        <v>0</v>
      </c>
      <c r="DZ195" s="33">
        <f t="shared" si="8"/>
        <v>0</v>
      </c>
      <c r="EA195" s="25" t="str">
        <f>(Sheet1!N195)</f>
        <v>Modern Auto Agency - Bettiah</v>
      </c>
      <c r="EB195" s="25" t="str">
        <f>(Sheet1!O195)</f>
        <v>1_UtGSoyOsljQXvmry7gfXGYwjwEjQbghQQGZebnq45M</v>
      </c>
      <c r="EC195" s="26" t="str">
        <f>(Sheet1!P195)</f>
        <v>Sub Dealer</v>
      </c>
      <c r="ED195" s="34" t="s">
        <v>13</v>
      </c>
    </row>
    <row r="196">
      <c r="A196" s="25" t="str">
        <f>(Sheet1!A196)</f>
        <v>1WQ0DX77J6m33SoaG5bV3EujIyD1Rwgu2cjhAGxkklkQ</v>
      </c>
      <c r="B196" s="25" t="str">
        <f>(Sheet1!B196)</f>
        <v>EMIRATES AUTO AGENCY (MAA) - SEMRA</v>
      </c>
      <c r="C196" s="30" t="s">
        <v>13</v>
      </c>
      <c r="D196" s="25" t="s">
        <v>72</v>
      </c>
      <c r="E196" s="25" t="s">
        <v>3820</v>
      </c>
      <c r="F196" s="31">
        <v>192.0</v>
      </c>
      <c r="G196" s="25" t="s">
        <v>3818</v>
      </c>
      <c r="H196" s="33">
        <v>100.0</v>
      </c>
      <c r="I196" s="33">
        <f>'Old Balance Sheet'!A196 + 'ACPL Calculations - 1.0'!A196 + 'ACPL Calculations - 2.0'!A196</f>
        <v>361</v>
      </c>
      <c r="J196" s="25" t="s">
        <v>3820</v>
      </c>
      <c r="K196" s="31">
        <v>192.0</v>
      </c>
      <c r="L196" s="25" t="s">
        <v>3818</v>
      </c>
      <c r="M196" s="33">
        <v>100.0</v>
      </c>
      <c r="N196" s="33">
        <f>'Old Balance Sheet'!B196 + 'ACPL Calculations - 1.0'!B196 + 'ACPL Calculations - 2.0'!B196</f>
        <v>0</v>
      </c>
      <c r="O196" s="25" t="s">
        <v>3820</v>
      </c>
      <c r="P196" s="31">
        <v>205.0</v>
      </c>
      <c r="Q196" s="25" t="s">
        <v>3818</v>
      </c>
      <c r="R196" s="33">
        <v>100.0</v>
      </c>
      <c r="S196" s="33">
        <f>'Old Balance Sheet'!C196 + 'ACPL Calculations - 1.0'!C196 + 'ACPL Calculations - 2.0'!C196</f>
        <v>0</v>
      </c>
      <c r="T196" s="25" t="s">
        <v>3820</v>
      </c>
      <c r="U196" s="33">
        <v>375.0</v>
      </c>
      <c r="V196" s="25" t="s">
        <v>3818</v>
      </c>
      <c r="W196" s="33">
        <v>100.0</v>
      </c>
      <c r="X196" s="33">
        <f>'Old Balance Sheet'!D196 + 'ACPL Calculations - 1.0'!D196 + 'ACPL Calculations - 2.0'!D196</f>
        <v>0</v>
      </c>
      <c r="Y196" s="25" t="s">
        <v>3820</v>
      </c>
      <c r="Z196" s="33">
        <v>460.0</v>
      </c>
      <c r="AA196" s="42" t="s">
        <v>3818</v>
      </c>
      <c r="AB196" s="43">
        <v>100.0</v>
      </c>
      <c r="AC196" s="33">
        <f>'Old Balance Sheet'!E196 + 'ACPL Calculations - 1.0'!E196 + 'ACPL Calculations - 2.0'!E196</f>
        <v>0</v>
      </c>
      <c r="AD196" s="25" t="s">
        <v>3820</v>
      </c>
      <c r="AE196" s="33">
        <v>838.99</v>
      </c>
      <c r="AF196" s="42" t="s">
        <v>3818</v>
      </c>
      <c r="AG196" s="43">
        <v>100.0</v>
      </c>
      <c r="AH196" s="33">
        <f>'Old Balance Sheet'!F196 + 'ACPL Calculations - 1.0'!F196 + 'ACPL Calculations - 2.0'!F196</f>
        <v>0</v>
      </c>
      <c r="AI196" s="25" t="s">
        <v>3820</v>
      </c>
      <c r="AJ196" s="33">
        <v>375.0</v>
      </c>
      <c r="AK196" s="42" t="s">
        <v>3818</v>
      </c>
      <c r="AL196" s="43">
        <v>100.0</v>
      </c>
      <c r="AM196" s="33">
        <f>'Old Balance Sheet'!G196 + 'ACPL Calculations - 1.0'!G196 + 'ACPL Calculations - 2.0'!G196</f>
        <v>0</v>
      </c>
      <c r="AN196" s="25" t="s">
        <v>3820</v>
      </c>
      <c r="AO196" s="33">
        <v>290.0</v>
      </c>
      <c r="AP196" s="42" t="s">
        <v>3818</v>
      </c>
      <c r="AQ196" s="43">
        <v>100.0</v>
      </c>
      <c r="AR196" s="33">
        <f>'Old Balance Sheet'!H196 + 'ACPL Calculations - 1.0'!H196 + 'ACPL Calculations - 2.0'!H196</f>
        <v>0</v>
      </c>
      <c r="AS196" s="25" t="s">
        <v>3819</v>
      </c>
      <c r="AT196" s="33">
        <v>838.99</v>
      </c>
      <c r="AU196" s="42" t="s">
        <v>3818</v>
      </c>
      <c r="AV196" s="43">
        <v>100.0</v>
      </c>
      <c r="AW196" s="33">
        <f>'Old Balance Sheet'!I196 + 'ACPL Calculations - 1.0'!I196 + 'ACPL Calculations - 2.0'!I196</f>
        <v>0</v>
      </c>
      <c r="AX196" s="25" t="s">
        <v>3820</v>
      </c>
      <c r="AY196" s="31">
        <v>290.0</v>
      </c>
      <c r="AZ196" s="42" t="s">
        <v>3818</v>
      </c>
      <c r="BA196" s="43">
        <v>100.0</v>
      </c>
      <c r="BB196" s="33">
        <f>'Old Balance Sheet'!J196 + 'ACPL Calculations - 1.0'!J196 + 'ACPL Calculations - 2.0'!J196</f>
        <v>0</v>
      </c>
      <c r="BC196" s="25" t="s">
        <v>3820</v>
      </c>
      <c r="BD196" s="31">
        <v>205.0</v>
      </c>
      <c r="BE196" s="42" t="s">
        <v>3818</v>
      </c>
      <c r="BF196" s="43">
        <v>100.0</v>
      </c>
      <c r="BG196" s="33">
        <f>'Old Balance Sheet'!K196 + 'ACPL Calculations - 1.0'!K196 + 'ACPL Calculations - 2.0'!K196</f>
        <v>0</v>
      </c>
      <c r="BH196" s="25" t="s">
        <v>3820</v>
      </c>
      <c r="BI196" s="31">
        <v>205.0</v>
      </c>
      <c r="BJ196" s="42" t="s">
        <v>3818</v>
      </c>
      <c r="BK196" s="43">
        <v>100.0</v>
      </c>
      <c r="BL196" s="33">
        <f>'Old Balance Sheet'!L196 + 'ACPL Calculations - 1.0'!L196 + 'ACPL Calculations - 2.0'!L196</f>
        <v>0</v>
      </c>
      <c r="BM196" s="25"/>
      <c r="BN196" s="25"/>
      <c r="BO196" s="25"/>
      <c r="BP196" s="25"/>
      <c r="BQ196" s="25"/>
      <c r="BR196" s="25"/>
      <c r="BS196" s="25"/>
      <c r="BT196" s="25"/>
      <c r="BU196" s="25"/>
      <c r="BV196" s="25"/>
      <c r="BW196" s="25"/>
      <c r="BX196" s="25"/>
      <c r="BY196" s="25"/>
      <c r="BZ196" s="25"/>
      <c r="CA196" s="25"/>
      <c r="CB196" s="25"/>
      <c r="CC196" s="25"/>
      <c r="CD196" s="25"/>
      <c r="CE196" s="25"/>
      <c r="CF196" s="25"/>
      <c r="CG196" s="25"/>
      <c r="CH196" s="25"/>
      <c r="CI196" s="25"/>
      <c r="CJ196" s="25"/>
      <c r="CK196" s="25"/>
      <c r="CL196" s="33">
        <f t="shared" si="1"/>
        <v>361</v>
      </c>
      <c r="CM196" s="33">
        <f>'Old Balance Sheet'!R196 + 'ACPL Calculations - 1.0'!S196 + 'ACPL Calculations - 2.0'!S196</f>
        <v>159562</v>
      </c>
      <c r="CN196" s="33">
        <f>'Old Balance Sheet'!S196 + 'ACPL Calculations - 1.0'!T196 + 'ACPL Calculations - 2.0'!T196</f>
        <v>69481</v>
      </c>
      <c r="CO196" s="33">
        <f t="shared" si="2"/>
        <v>93819.62</v>
      </c>
      <c r="CP196" s="33">
        <f>'Old Balance Sheet'!T196 + 'ACPL Calculations - 1.0'!V196 + 'ACPL Calculations - 2.0'!V196</f>
        <v>0</v>
      </c>
      <c r="CQ196" s="33">
        <f>'Old Balance Sheet'!U196 + 'ACPL Calculations - 1.0'!W196 + 'ACPL Calculations - 2.0'!W196</f>
        <v>0</v>
      </c>
      <c r="CR196" s="33">
        <f>'Old Balance Sheet'!V196 + 'ACPL Calculations - 1.0'!X196 + 'ACPL Calculations - 2.0'!X196</f>
        <v>24338.62</v>
      </c>
      <c r="CS196" s="33">
        <f t="shared" si="3"/>
        <v>24338.62</v>
      </c>
      <c r="CT196" s="35"/>
      <c r="CU196" s="35"/>
      <c r="CV196" s="35"/>
      <c r="CW196" s="36">
        <f>'Old Balance Sheet'!W196 + 'ACPL Calculations - 1.0'!Z196 + 'ACPL Calculations - 2.0'!Z196</f>
        <v>0</v>
      </c>
      <c r="CX196" s="36">
        <f>'Old Balance Sheet'!X196 + 'ACPL Calculations - 1.0'!AA196 + 'ACPL Calculations - 2.0'!AA196</f>
        <v>0</v>
      </c>
      <c r="CY196" s="37">
        <v>0.0</v>
      </c>
      <c r="CZ196" s="38">
        <f>'Old Balance Sheet'!Y196 + 'ACPL Calculations - 1.0'!AB196 + 'ACPL Calculations - 2.0'!AB196</f>
        <v>0</v>
      </c>
      <c r="DA196" s="38">
        <f>'Old Balance Sheet'!Z196 + 'ACPL Calculations - 1.0'!AC196 + 'ACPL Calculations - 2.0'!AC196</f>
        <v>0</v>
      </c>
      <c r="DB196" s="38">
        <f>'Old Balance Sheet'!AA196 + 'ACPL Calculations - 1.0'!AD196 + 'ACPL Calculations - 2.0'!AD196</f>
        <v>0</v>
      </c>
      <c r="DC196" s="38">
        <f>'Old Balance Sheet'!AB196 + 'ACPL Calculations - 1.0'!AE196 + 'ACPL Calculations - 2.0'!AE196</f>
        <v>0</v>
      </c>
      <c r="DD196" s="38">
        <f t="shared" si="4"/>
        <v>0</v>
      </c>
      <c r="DE196" s="33">
        <f t="shared" si="5"/>
        <v>0</v>
      </c>
      <c r="DF196" s="35">
        <v>0.0</v>
      </c>
      <c r="DG196" s="35">
        <v>0.0</v>
      </c>
      <c r="DH196" s="35">
        <v>0.0</v>
      </c>
      <c r="DI196" s="35">
        <v>0.0</v>
      </c>
      <c r="DJ196" s="35">
        <v>0.0</v>
      </c>
      <c r="DK196" s="35">
        <v>0.0</v>
      </c>
      <c r="DL196" s="35">
        <v>0.0</v>
      </c>
      <c r="DM196" s="35">
        <v>0.0</v>
      </c>
      <c r="DN196" s="31">
        <v>0.0</v>
      </c>
      <c r="DO196" s="31">
        <v>0.0</v>
      </c>
      <c r="DP196" s="31">
        <v>0.0</v>
      </c>
      <c r="DQ196" s="31">
        <v>0.0</v>
      </c>
      <c r="DR196" s="31">
        <v>0.0</v>
      </c>
      <c r="DS196" s="31">
        <v>0.0</v>
      </c>
      <c r="DT196" s="31">
        <f>'Old Balance Sheet'!AC196</f>
        <v>0</v>
      </c>
      <c r="DU196" s="31">
        <f>DT196 + SUMIFS('Payments Log'!D:D, 'Payments Log'!B:B, A196, 'Payments Log'!L:L, "Approved", 'Payments Log'!M:M, "Credit") + 'Old Balance Sheet'!AD196 - 'Old Balance Sheet'!AC196</f>
        <v>0</v>
      </c>
      <c r="DV196" s="31">
        <f>SUMIFS('Payments Log'!D:D, 'Payments Log'!B:B, A196, 'Payments Log'!L:L, "Approved", 'Payments Log'!M:M, "Adjustment Credit") - SUMIFS('Payments Log'!D:D, 'Payments Log'!B:B, A196, 'Payments Log'!L:L, "Approved", 'Payments Log'!M:M, "Adjustment Debit") + 'Old Balance Sheet'!AE196</f>
        <v>0</v>
      </c>
      <c r="DW196" s="31">
        <f>IF(MAXIFS('Payments Log'!N:N, 'Payments Log'!L:L, "Approved", 'Payments Log'!M:M, "Credit", 'Payments Log'!B:B, A196) &gt; MAXIFS('Payments Log'!N:N, 'Payments Log'!L:L, "Approved", 'Payments Log'!M:M, "Virtual Credit", 'Payments Log'!B:B, A196), 0, SUMIFS('Payments Log'!D:D, 'Payments Log'!N:N, MAXIFS('Payments Log'!N:N, 'Payments Log'!L:L, "Approved", 'Payments Log'!M:M, "Virtual Credit", 'Payments Log'!B:B, A196)))</f>
        <v>0</v>
      </c>
      <c r="DX196" s="33">
        <f t="shared" si="6"/>
        <v>0</v>
      </c>
      <c r="DY196" s="33">
        <f t="shared" si="7"/>
        <v>0</v>
      </c>
      <c r="DZ196" s="33">
        <f t="shared" si="8"/>
        <v>0</v>
      </c>
      <c r="EA196" s="25" t="str">
        <f>(Sheet1!N196)</f>
        <v>Modern Auto Agency - Bettiah</v>
      </c>
      <c r="EB196" s="25" t="str">
        <f>(Sheet1!O196)</f>
        <v>1_UtGSoyOsljQXvmry7gfXGYwjwEjQbghQQGZebnq45M</v>
      </c>
      <c r="EC196" s="26" t="str">
        <f>(Sheet1!P196)</f>
        <v>Sub Dealer</v>
      </c>
      <c r="ED196" s="34" t="s">
        <v>13</v>
      </c>
    </row>
    <row r="197">
      <c r="A197" s="25" t="str">
        <f>(Sheet1!A197)</f>
        <v>10TnasMBGApJv5zXBkEcyf7wGKAliCEb2pmIfKVexScs</v>
      </c>
      <c r="B197" s="25" t="str">
        <f>(Sheet1!B197)</f>
        <v>Mayank Automobiles - Muzaffarpur</v>
      </c>
      <c r="C197" s="30" t="s">
        <v>13</v>
      </c>
      <c r="D197" s="30" t="s">
        <v>72</v>
      </c>
      <c r="E197" s="30" t="s">
        <v>3817</v>
      </c>
      <c r="F197" s="31">
        <v>205.0</v>
      </c>
      <c r="G197" s="32" t="s">
        <v>3818</v>
      </c>
      <c r="H197" s="31">
        <v>100.0</v>
      </c>
      <c r="I197" s="33">
        <f>'Old Balance Sheet'!A197 + 'ACPL Calculations - 1.0'!A197 + 'ACPL Calculations - 2.0'!A197</f>
        <v>1</v>
      </c>
      <c r="J197" s="30" t="s">
        <v>3817</v>
      </c>
      <c r="K197" s="31">
        <v>205.0</v>
      </c>
      <c r="L197" s="32" t="s">
        <v>3818</v>
      </c>
      <c r="M197" s="31">
        <v>100.0</v>
      </c>
      <c r="N197" s="33">
        <f>'Old Balance Sheet'!B197 + 'ACPL Calculations - 1.0'!B197 + 'ACPL Calculations - 2.0'!B197</f>
        <v>0</v>
      </c>
      <c r="O197" s="30" t="s">
        <v>3817</v>
      </c>
      <c r="P197" s="31">
        <v>290.0</v>
      </c>
      <c r="Q197" s="32" t="s">
        <v>3818</v>
      </c>
      <c r="R197" s="31">
        <v>100.0</v>
      </c>
      <c r="S197" s="33">
        <f>'Old Balance Sheet'!C197 + 'ACPL Calculations - 1.0'!C197 + 'ACPL Calculations - 2.0'!C197</f>
        <v>89</v>
      </c>
      <c r="T197" s="30" t="s">
        <v>3817</v>
      </c>
      <c r="U197" s="31">
        <v>375.0</v>
      </c>
      <c r="V197" s="32" t="s">
        <v>3818</v>
      </c>
      <c r="W197" s="31">
        <v>100.0</v>
      </c>
      <c r="X197" s="33">
        <f>'Old Balance Sheet'!D197 + 'ACPL Calculations - 1.0'!D197 + 'ACPL Calculations - 2.0'!D197</f>
        <v>0</v>
      </c>
      <c r="Y197" s="30" t="s">
        <v>3817</v>
      </c>
      <c r="Z197" s="31">
        <v>460.0</v>
      </c>
      <c r="AA197" s="32" t="s">
        <v>3818</v>
      </c>
      <c r="AB197" s="31">
        <v>100.0</v>
      </c>
      <c r="AC197" s="33">
        <f>'Old Balance Sheet'!E197 + 'ACPL Calculations - 1.0'!E197 + 'ACPL Calculations - 2.0'!E197</f>
        <v>0</v>
      </c>
      <c r="AD197" s="30" t="s">
        <v>3817</v>
      </c>
      <c r="AE197" s="34">
        <v>838.99</v>
      </c>
      <c r="AF197" s="32" t="s">
        <v>3818</v>
      </c>
      <c r="AG197" s="31">
        <v>100.0</v>
      </c>
      <c r="AH197" s="33">
        <f>'Old Balance Sheet'!F197 + 'ACPL Calculations - 1.0'!F197 + 'ACPL Calculations - 2.0'!F197</f>
        <v>0</v>
      </c>
      <c r="AI197" s="30" t="s">
        <v>3817</v>
      </c>
      <c r="AJ197" s="31">
        <v>375.0</v>
      </c>
      <c r="AK197" s="32" t="s">
        <v>3818</v>
      </c>
      <c r="AL197" s="31">
        <v>100.0</v>
      </c>
      <c r="AM197" s="33">
        <f>'Old Balance Sheet'!G197 + 'ACPL Calculations - 1.0'!G197 + 'ACPL Calculations - 2.0'!G197</f>
        <v>0</v>
      </c>
      <c r="AN197" s="30" t="s">
        <v>3817</v>
      </c>
      <c r="AO197" s="31">
        <v>290.0</v>
      </c>
      <c r="AP197" s="32" t="s">
        <v>3818</v>
      </c>
      <c r="AQ197" s="31">
        <v>100.0</v>
      </c>
      <c r="AR197" s="33">
        <f>'Old Balance Sheet'!H197 + 'ACPL Calculations - 1.0'!H197 + 'ACPL Calculations - 2.0'!H197</f>
        <v>0</v>
      </c>
      <c r="AS197" s="30" t="s">
        <v>3819</v>
      </c>
      <c r="AT197" s="31">
        <v>838.99</v>
      </c>
      <c r="AU197" s="32" t="s">
        <v>3818</v>
      </c>
      <c r="AV197" s="31">
        <v>100.0</v>
      </c>
      <c r="AW197" s="33">
        <f>'Old Balance Sheet'!I197 + 'ACPL Calculations - 1.0'!I197 + 'ACPL Calculations - 2.0'!I197</f>
        <v>0</v>
      </c>
      <c r="AX197" s="30" t="s">
        <v>3817</v>
      </c>
      <c r="AY197" s="31">
        <v>290.0</v>
      </c>
      <c r="AZ197" s="32" t="s">
        <v>3818</v>
      </c>
      <c r="BA197" s="31">
        <v>100.0</v>
      </c>
      <c r="BB197" s="33">
        <f>'Old Balance Sheet'!J197 + 'ACPL Calculations - 1.0'!J197 + 'ACPL Calculations - 2.0'!J197</f>
        <v>0</v>
      </c>
      <c r="BC197" s="30" t="s">
        <v>3817</v>
      </c>
      <c r="BD197" s="31">
        <v>205.0</v>
      </c>
      <c r="BE197" s="32" t="s">
        <v>3818</v>
      </c>
      <c r="BF197" s="31">
        <v>100.0</v>
      </c>
      <c r="BG197" s="33">
        <f>'Old Balance Sheet'!K197 + 'ACPL Calculations - 1.0'!K197 + 'ACPL Calculations - 2.0'!K197</f>
        <v>0</v>
      </c>
      <c r="BH197" s="30" t="s">
        <v>3817</v>
      </c>
      <c r="BI197" s="31">
        <v>205.0</v>
      </c>
      <c r="BJ197" s="32" t="s">
        <v>3818</v>
      </c>
      <c r="BK197" s="31">
        <v>100.0</v>
      </c>
      <c r="BL197" s="33">
        <f>'Old Balance Sheet'!L197 + 'ACPL Calculations - 1.0'!L197 + 'ACPL Calculations - 2.0'!L197</f>
        <v>0</v>
      </c>
      <c r="BM197" s="33"/>
      <c r="BN197" s="33"/>
      <c r="BO197" s="33"/>
      <c r="BP197" s="33"/>
      <c r="BQ197" s="33"/>
      <c r="BR197" s="33"/>
      <c r="BS197" s="33"/>
      <c r="BT197" s="33"/>
      <c r="BU197" s="33"/>
      <c r="BV197" s="33"/>
      <c r="BW197" s="33"/>
      <c r="BX197" s="33"/>
      <c r="BY197" s="33"/>
      <c r="BZ197" s="33"/>
      <c r="CA197" s="33"/>
      <c r="CB197" s="33"/>
      <c r="CC197" s="33"/>
      <c r="CD197" s="33"/>
      <c r="CE197" s="33"/>
      <c r="CF197" s="33"/>
      <c r="CG197" s="33"/>
      <c r="CH197" s="33"/>
      <c r="CI197" s="33"/>
      <c r="CJ197" s="33"/>
      <c r="CK197" s="33"/>
      <c r="CL197" s="33">
        <f t="shared" si="1"/>
        <v>90</v>
      </c>
      <c r="CM197" s="33">
        <f>'Old Balance Sheet'!R197 + 'ACPL Calculations - 1.0'!S197 + 'ACPL Calculations - 2.0'!S197</f>
        <v>39728</v>
      </c>
      <c r="CN197" s="33">
        <f>'Old Balance Sheet'!S197 + 'ACPL Calculations - 1.0'!T197 + 'ACPL Calculations - 2.0'!T197</f>
        <v>18450</v>
      </c>
      <c r="CO197" s="33">
        <f t="shared" si="2"/>
        <v>24509.87</v>
      </c>
      <c r="CP197" s="33">
        <f>'Old Balance Sheet'!T197 + 'ACPL Calculations - 1.0'!V197 + 'ACPL Calculations - 2.0'!V197</f>
        <v>33.71</v>
      </c>
      <c r="CQ197" s="33">
        <f>'Old Balance Sheet'!U197 + 'ACPL Calculations - 1.0'!W197 + 'ACPL Calculations - 2.0'!W197</f>
        <v>33.71</v>
      </c>
      <c r="CR197" s="33">
        <f>'Old Balance Sheet'!V197 + 'ACPL Calculations - 1.0'!X197 + 'ACPL Calculations - 2.0'!X197</f>
        <v>5992.45</v>
      </c>
      <c r="CS197" s="33">
        <f t="shared" si="3"/>
        <v>6059.87</v>
      </c>
      <c r="CT197" s="35"/>
      <c r="CU197" s="35"/>
      <c r="CV197" s="35"/>
      <c r="CW197" s="36">
        <f>'Old Balance Sheet'!W197 + 'ACPL Calculations - 1.0'!Z197 + 'ACPL Calculations - 2.0'!Z197</f>
        <v>25287.83</v>
      </c>
      <c r="CX197" s="36">
        <f>'Old Balance Sheet'!X197 + 'ACPL Calculations - 1.0'!AA197 + 'ACPL Calculations - 2.0'!AA197</f>
        <v>25287.83</v>
      </c>
      <c r="CY197" s="37">
        <v>0.0</v>
      </c>
      <c r="CZ197" s="38">
        <f>'Old Balance Sheet'!Y197 + 'ACPL Calculations - 1.0'!AB197 + 'ACPL Calculations - 2.0'!AB197</f>
        <v>14878.97</v>
      </c>
      <c r="DA197" s="38">
        <f>'Old Balance Sheet'!Z197 + 'ACPL Calculations - 1.0'!AC197 + 'ACPL Calculations - 2.0'!AC197</f>
        <v>14440.17</v>
      </c>
      <c r="DB197" s="38">
        <f>'Old Balance Sheet'!AA197 + 'ACPL Calculations - 1.0'!AD197 + 'ACPL Calculations - 2.0'!AD197</f>
        <v>777.96</v>
      </c>
      <c r="DC197" s="38">
        <f>'Old Balance Sheet'!AB197 + 'ACPL Calculations - 1.0'!AE197 + 'ACPL Calculations - 2.0'!AE197</f>
        <v>0</v>
      </c>
      <c r="DD197" s="38">
        <f t="shared" si="4"/>
        <v>0</v>
      </c>
      <c r="DE197" s="33">
        <f t="shared" si="5"/>
        <v>0</v>
      </c>
      <c r="DF197" s="35">
        <v>0.0</v>
      </c>
      <c r="DG197" s="35">
        <v>0.0</v>
      </c>
      <c r="DH197" s="35">
        <v>0.0</v>
      </c>
      <c r="DI197" s="35">
        <v>0.0</v>
      </c>
      <c r="DJ197" s="35">
        <v>0.0</v>
      </c>
      <c r="DK197" s="35">
        <v>0.0</v>
      </c>
      <c r="DL197" s="35">
        <v>0.0</v>
      </c>
      <c r="DM197" s="35">
        <v>0.0</v>
      </c>
      <c r="DN197" s="31">
        <v>0.0</v>
      </c>
      <c r="DO197" s="31">
        <v>0.0</v>
      </c>
      <c r="DP197" s="31">
        <v>0.0</v>
      </c>
      <c r="DQ197" s="31">
        <v>0.0</v>
      </c>
      <c r="DR197" s="31">
        <v>0.0</v>
      </c>
      <c r="DS197" s="31">
        <v>0.0</v>
      </c>
      <c r="DT197" s="31">
        <f>'Old Balance Sheet'!AC197</f>
        <v>0</v>
      </c>
      <c r="DU197" s="31">
        <f>DT197 + SUMIFS('Payments Log'!D:D, 'Payments Log'!B:B, A197, 'Payments Log'!L:L, "Approved", 'Payments Log'!M:M, "Credit") + 'Old Balance Sheet'!AD197 - 'Old Balance Sheet'!AC197</f>
        <v>25168</v>
      </c>
      <c r="DV197" s="31">
        <f>SUMIFS('Payments Log'!D:D, 'Payments Log'!B:B, A197, 'Payments Log'!L:L, "Approved", 'Payments Log'!M:M, "Adjustment Credit") - SUMIFS('Payments Log'!D:D, 'Payments Log'!B:B, A197, 'Payments Log'!L:L, "Approved", 'Payments Log'!M:M, "Adjustment Debit") + 'Old Balance Sheet'!AE197</f>
        <v>0</v>
      </c>
      <c r="DW197" s="31">
        <f>IF(MAXIFS('Payments Log'!N:N, 'Payments Log'!L:L, "Approved", 'Payments Log'!M:M, "Credit", 'Payments Log'!B:B, A197) &gt; MAXIFS('Payments Log'!N:N, 'Payments Log'!L:L, "Approved", 'Payments Log'!M:M, "Virtual Credit", 'Payments Log'!B:B, A197), 0, SUMIFS('Payments Log'!D:D, 'Payments Log'!N:N, MAXIFS('Payments Log'!N:N, 'Payments Log'!L:L, "Approved", 'Payments Log'!M:M, "Virtual Credit", 'Payments Log'!B:B, A197)))</f>
        <v>0</v>
      </c>
      <c r="DX197" s="33">
        <f t="shared" si="6"/>
        <v>-119.83</v>
      </c>
      <c r="DY197" s="33">
        <f t="shared" si="7"/>
        <v>-119.83</v>
      </c>
      <c r="DZ197" s="33">
        <f t="shared" si="8"/>
        <v>-119.83</v>
      </c>
      <c r="EA197" s="25" t="str">
        <f>(Sheet1!N197)</f>
        <v>Mayank Automobiles - Muzaffarpur</v>
      </c>
      <c r="EB197" s="25" t="str">
        <f>(Sheet1!O197)</f>
        <v>10TnasMBGApJv5zXBkEcyf7wGKAliCEb2pmIfKVexScs</v>
      </c>
      <c r="EC197" s="26" t="str">
        <f>(Sheet1!P197)</f>
        <v>Dealer</v>
      </c>
      <c r="ED197" s="34" t="s">
        <v>13</v>
      </c>
    </row>
    <row r="198">
      <c r="A198" s="25" t="str">
        <f>(Sheet1!A198)</f>
        <v>1xdioECnPW5B9Jx1lGE6BzQBP3X2De1AEBtF29NVixH0</v>
      </c>
      <c r="B198" s="25" t="str">
        <f>(Sheet1!B198)</f>
        <v>Vishwakarma Automobiles - Muzaffarpur</v>
      </c>
      <c r="C198" s="30" t="s">
        <v>13</v>
      </c>
      <c r="D198" s="30" t="s">
        <v>72</v>
      </c>
      <c r="E198" s="30" t="s">
        <v>3817</v>
      </c>
      <c r="F198" s="31">
        <v>205.0</v>
      </c>
      <c r="G198" s="32" t="s">
        <v>3818</v>
      </c>
      <c r="H198" s="31">
        <v>100.0</v>
      </c>
      <c r="I198" s="33">
        <f>'Old Balance Sheet'!A198 + 'ACPL Calculations - 1.0'!A198 + 'ACPL Calculations - 2.0'!A198</f>
        <v>0</v>
      </c>
      <c r="J198" s="30" t="s">
        <v>3817</v>
      </c>
      <c r="K198" s="31">
        <v>205.0</v>
      </c>
      <c r="L198" s="32" t="s">
        <v>3818</v>
      </c>
      <c r="M198" s="31">
        <v>100.0</v>
      </c>
      <c r="N198" s="33">
        <f>'Old Balance Sheet'!B198 + 'ACPL Calculations - 1.0'!B198 + 'ACPL Calculations - 2.0'!B198</f>
        <v>0</v>
      </c>
      <c r="O198" s="30" t="s">
        <v>3817</v>
      </c>
      <c r="P198" s="31">
        <v>290.0</v>
      </c>
      <c r="Q198" s="32" t="s">
        <v>3818</v>
      </c>
      <c r="R198" s="31">
        <v>100.0</v>
      </c>
      <c r="S198" s="33">
        <f>'Old Balance Sheet'!C198 + 'ACPL Calculations - 1.0'!C198 + 'ACPL Calculations - 2.0'!C198</f>
        <v>0</v>
      </c>
      <c r="T198" s="30" t="s">
        <v>3817</v>
      </c>
      <c r="U198" s="31">
        <v>375.0</v>
      </c>
      <c r="V198" s="32" t="s">
        <v>3818</v>
      </c>
      <c r="W198" s="31">
        <v>100.0</v>
      </c>
      <c r="X198" s="33">
        <f>'Old Balance Sheet'!D198 + 'ACPL Calculations - 1.0'!D198 + 'ACPL Calculations - 2.0'!D198</f>
        <v>0</v>
      </c>
      <c r="Y198" s="30" t="s">
        <v>3817</v>
      </c>
      <c r="Z198" s="31">
        <v>375.0</v>
      </c>
      <c r="AA198" s="32" t="s">
        <v>3818</v>
      </c>
      <c r="AB198" s="31">
        <v>100.0</v>
      </c>
      <c r="AC198" s="33">
        <f>'Old Balance Sheet'!E198 + 'ACPL Calculations - 1.0'!E198 + 'ACPL Calculations - 2.0'!E198</f>
        <v>17</v>
      </c>
      <c r="AD198" s="30" t="s">
        <v>3817</v>
      </c>
      <c r="AE198" s="34">
        <v>838.99</v>
      </c>
      <c r="AF198" s="32" t="s">
        <v>3818</v>
      </c>
      <c r="AG198" s="31">
        <v>100.0</v>
      </c>
      <c r="AH198" s="33">
        <f>'Old Balance Sheet'!F198 + 'ACPL Calculations - 1.0'!F198 + 'ACPL Calculations - 2.0'!F198</f>
        <v>0</v>
      </c>
      <c r="AI198" s="30" t="s">
        <v>3817</v>
      </c>
      <c r="AJ198" s="31">
        <v>375.0</v>
      </c>
      <c r="AK198" s="32" t="s">
        <v>3818</v>
      </c>
      <c r="AL198" s="31">
        <v>100.0</v>
      </c>
      <c r="AM198" s="33">
        <f>'Old Balance Sheet'!G198 + 'ACPL Calculations - 1.0'!G198 + 'ACPL Calculations - 2.0'!G198</f>
        <v>0</v>
      </c>
      <c r="AN198" s="30" t="s">
        <v>3817</v>
      </c>
      <c r="AO198" s="31">
        <v>290.0</v>
      </c>
      <c r="AP198" s="32" t="s">
        <v>3818</v>
      </c>
      <c r="AQ198" s="31">
        <v>100.0</v>
      </c>
      <c r="AR198" s="33">
        <f>'Old Balance Sheet'!H198 + 'ACPL Calculations - 1.0'!H198 + 'ACPL Calculations - 2.0'!H198</f>
        <v>0</v>
      </c>
      <c r="AS198" s="30" t="s">
        <v>3819</v>
      </c>
      <c r="AT198" s="31">
        <v>838.99</v>
      </c>
      <c r="AU198" s="32" t="s">
        <v>3818</v>
      </c>
      <c r="AV198" s="31">
        <v>100.0</v>
      </c>
      <c r="AW198" s="33">
        <f>'Old Balance Sheet'!I198 + 'ACPL Calculations - 1.0'!I198 + 'ACPL Calculations - 2.0'!I198</f>
        <v>0</v>
      </c>
      <c r="AX198" s="30" t="s">
        <v>3817</v>
      </c>
      <c r="AY198" s="31">
        <v>290.0</v>
      </c>
      <c r="AZ198" s="32" t="s">
        <v>3818</v>
      </c>
      <c r="BA198" s="31">
        <v>100.0</v>
      </c>
      <c r="BB198" s="33">
        <f>'Old Balance Sheet'!J198 + 'ACPL Calculations - 1.0'!J198 + 'ACPL Calculations - 2.0'!J198</f>
        <v>0</v>
      </c>
      <c r="BC198" s="30" t="s">
        <v>3817</v>
      </c>
      <c r="BD198" s="31">
        <v>205.0</v>
      </c>
      <c r="BE198" s="32" t="s">
        <v>3818</v>
      </c>
      <c r="BF198" s="31">
        <v>100.0</v>
      </c>
      <c r="BG198" s="33">
        <f>'Old Balance Sheet'!K198 + 'ACPL Calculations - 1.0'!K198 + 'ACPL Calculations - 2.0'!K198</f>
        <v>0</v>
      </c>
      <c r="BH198" s="30" t="s">
        <v>3817</v>
      </c>
      <c r="BI198" s="31">
        <v>205.0</v>
      </c>
      <c r="BJ198" s="32" t="s">
        <v>3818</v>
      </c>
      <c r="BK198" s="31">
        <v>100.0</v>
      </c>
      <c r="BL198" s="33">
        <f>'Old Balance Sheet'!L198 + 'ACPL Calculations - 1.0'!L198 + 'ACPL Calculations - 2.0'!L198</f>
        <v>0</v>
      </c>
      <c r="BM198" s="33"/>
      <c r="BN198" s="33"/>
      <c r="BO198" s="33"/>
      <c r="BP198" s="33"/>
      <c r="BQ198" s="33"/>
      <c r="BR198" s="33"/>
      <c r="BS198" s="33"/>
      <c r="BT198" s="33"/>
      <c r="BU198" s="33"/>
      <c r="BV198" s="33"/>
      <c r="BW198" s="33"/>
      <c r="BX198" s="33"/>
      <c r="BY198" s="33"/>
      <c r="BZ198" s="33"/>
      <c r="CA198" s="33"/>
      <c r="CB198" s="33"/>
      <c r="CC198" s="33"/>
      <c r="CD198" s="33"/>
      <c r="CE198" s="33"/>
      <c r="CF198" s="33"/>
      <c r="CG198" s="33"/>
      <c r="CH198" s="33"/>
      <c r="CI198" s="33"/>
      <c r="CJ198" s="33"/>
      <c r="CK198" s="33"/>
      <c r="CL198" s="33">
        <f t="shared" si="1"/>
        <v>17</v>
      </c>
      <c r="CM198" s="33">
        <f>'Old Balance Sheet'!R198 + 'ACPL Calculations - 1.0'!S198 + 'ACPL Calculations - 2.0'!S198</f>
        <v>34000</v>
      </c>
      <c r="CN198" s="33">
        <f>'Old Balance Sheet'!S198 + 'ACPL Calculations - 1.0'!T198 + 'ACPL Calculations - 2.0'!T198</f>
        <v>7650</v>
      </c>
      <c r="CO198" s="33">
        <f t="shared" si="2"/>
        <v>12836.36</v>
      </c>
      <c r="CP198" s="33">
        <f>'Old Balance Sheet'!T198 + 'ACPL Calculations - 1.0'!V198 + 'ACPL Calculations - 2.0'!V198</f>
        <v>0</v>
      </c>
      <c r="CQ198" s="33">
        <f>'Old Balance Sheet'!U198 + 'ACPL Calculations - 1.0'!W198 + 'ACPL Calculations - 2.0'!W198</f>
        <v>0</v>
      </c>
      <c r="CR198" s="33">
        <f>'Old Balance Sheet'!V198 + 'ACPL Calculations - 1.0'!X198 + 'ACPL Calculations - 2.0'!X198</f>
        <v>5186.36</v>
      </c>
      <c r="CS198" s="33">
        <f t="shared" si="3"/>
        <v>5186.36</v>
      </c>
      <c r="CT198" s="35"/>
      <c r="CU198" s="35"/>
      <c r="CV198" s="35"/>
      <c r="CW198" s="36">
        <f>'Old Balance Sheet'!W198 + 'ACPL Calculations - 1.0'!Z198 + 'ACPL Calculations - 2.0'!Z198</f>
        <v>14952.69</v>
      </c>
      <c r="CX198" s="36">
        <f>'Old Balance Sheet'!X198 + 'ACPL Calculations - 1.0'!AA198 + 'ACPL Calculations - 2.0'!AA198</f>
        <v>14952.69</v>
      </c>
      <c r="CY198" s="37">
        <v>0.0</v>
      </c>
      <c r="CZ198" s="38">
        <f>'Old Balance Sheet'!Y198 + 'ACPL Calculations - 1.0'!AB198 + 'ACPL Calculations - 2.0'!AB198</f>
        <v>0</v>
      </c>
      <c r="DA198" s="38">
        <f>'Old Balance Sheet'!Z198 + 'ACPL Calculations - 1.0'!AC198 + 'ACPL Calculations - 2.0'!AC198</f>
        <v>19047.31</v>
      </c>
      <c r="DB198" s="38">
        <f>'Old Balance Sheet'!AA198 + 'ACPL Calculations - 1.0'!AD198 + 'ACPL Calculations - 2.0'!AD198</f>
        <v>2116.33</v>
      </c>
      <c r="DC198" s="38">
        <f>'Old Balance Sheet'!AB198 + 'ACPL Calculations - 1.0'!AE198 + 'ACPL Calculations - 2.0'!AE198</f>
        <v>0</v>
      </c>
      <c r="DD198" s="38">
        <f t="shared" si="4"/>
        <v>0</v>
      </c>
      <c r="DE198" s="33">
        <f t="shared" si="5"/>
        <v>0</v>
      </c>
      <c r="DF198" s="35">
        <v>0.0</v>
      </c>
      <c r="DG198" s="35">
        <v>0.0</v>
      </c>
      <c r="DH198" s="35">
        <v>0.0</v>
      </c>
      <c r="DI198" s="35">
        <v>0.0</v>
      </c>
      <c r="DJ198" s="35">
        <v>0.0</v>
      </c>
      <c r="DK198" s="35">
        <v>0.0</v>
      </c>
      <c r="DL198" s="35">
        <v>0.0</v>
      </c>
      <c r="DM198" s="35">
        <v>0.0</v>
      </c>
      <c r="DN198" s="31">
        <v>0.0</v>
      </c>
      <c r="DO198" s="31">
        <v>0.0</v>
      </c>
      <c r="DP198" s="31">
        <v>0.0</v>
      </c>
      <c r="DQ198" s="31">
        <v>0.0</v>
      </c>
      <c r="DR198" s="31">
        <v>0.0</v>
      </c>
      <c r="DS198" s="31">
        <v>0.0</v>
      </c>
      <c r="DT198" s="31">
        <f>'Old Balance Sheet'!AC198</f>
        <v>0</v>
      </c>
      <c r="DU198" s="31">
        <f>DT198 + SUMIFS('Payments Log'!D:D, 'Payments Log'!B:B, A198, 'Payments Log'!L:L, "Approved", 'Payments Log'!M:M, "Credit") + 'Old Balance Sheet'!AD198 - 'Old Balance Sheet'!AC198</f>
        <v>14953</v>
      </c>
      <c r="DV198" s="31">
        <f>SUMIFS('Payments Log'!D:D, 'Payments Log'!B:B, A198, 'Payments Log'!L:L, "Approved", 'Payments Log'!M:M, "Adjustment Credit") - SUMIFS('Payments Log'!D:D, 'Payments Log'!B:B, A198, 'Payments Log'!L:L, "Approved", 'Payments Log'!M:M, "Adjustment Debit") + 'Old Balance Sheet'!AE198</f>
        <v>0</v>
      </c>
      <c r="DW198" s="31">
        <f>IF(MAXIFS('Payments Log'!N:N, 'Payments Log'!L:L, "Approved", 'Payments Log'!M:M, "Credit", 'Payments Log'!B:B, A198) &gt; MAXIFS('Payments Log'!N:N, 'Payments Log'!L:L, "Approved", 'Payments Log'!M:M, "Virtual Credit", 'Payments Log'!B:B, A198), 0, SUMIFS('Payments Log'!D:D, 'Payments Log'!N:N, MAXIFS('Payments Log'!N:N, 'Payments Log'!L:L, "Approved", 'Payments Log'!M:M, "Virtual Credit", 'Payments Log'!B:B, A198)))</f>
        <v>0</v>
      </c>
      <c r="DX198" s="33">
        <f t="shared" si="6"/>
        <v>0.31</v>
      </c>
      <c r="DY198" s="33">
        <f t="shared" si="7"/>
        <v>0.31</v>
      </c>
      <c r="DZ198" s="33">
        <f t="shared" si="8"/>
        <v>0.31</v>
      </c>
      <c r="EA198" s="25" t="str">
        <f>(Sheet1!N198)</f>
        <v>Vishwakarma Automobiles - Muzaffarpur</v>
      </c>
      <c r="EB198" s="25" t="str">
        <f>(Sheet1!O198)</f>
        <v>1xdioECnPW5B9Jx1lGE6BzQBP3X2De1AEBtF29NVixH0</v>
      </c>
      <c r="EC198" s="26" t="str">
        <f>(Sheet1!P198)</f>
        <v>Dealer</v>
      </c>
      <c r="ED198" s="34" t="s">
        <v>13</v>
      </c>
    </row>
    <row r="199">
      <c r="A199" s="25" t="str">
        <f>(Sheet1!A199)</f>
        <v>1DoydwShLxFhj9cTyIaVm15blnPqnJh7zHTdoUs01LN8</v>
      </c>
      <c r="B199" s="25" t="str">
        <f>(Sheet1!B199)</f>
        <v>SVR MOTORS - RAICHUR</v>
      </c>
      <c r="C199" s="30" t="s">
        <v>3821</v>
      </c>
      <c r="D199" s="30" t="s">
        <v>72</v>
      </c>
      <c r="E199" s="30" t="s">
        <v>3819</v>
      </c>
      <c r="F199" s="31">
        <v>201.0</v>
      </c>
      <c r="G199" s="32" t="s">
        <v>3818</v>
      </c>
      <c r="H199" s="31">
        <v>100.0</v>
      </c>
      <c r="I199" s="33">
        <f>'Old Balance Sheet'!A199 + 'ACPL Calculations - 1.0'!A199 + 'ACPL Calculations - 2.0'!A199</f>
        <v>0</v>
      </c>
      <c r="J199" s="30" t="s">
        <v>3819</v>
      </c>
      <c r="K199" s="31">
        <v>80.0</v>
      </c>
      <c r="L199" s="32" t="s">
        <v>3818</v>
      </c>
      <c r="M199" s="31">
        <v>100.0</v>
      </c>
      <c r="N199" s="33">
        <f>'Old Balance Sheet'!B199 + 'ACPL Calculations - 1.0'!B199 + 'ACPL Calculations - 2.0'!B199</f>
        <v>0</v>
      </c>
      <c r="O199" s="30" t="s">
        <v>3819</v>
      </c>
      <c r="P199" s="31">
        <v>201.0</v>
      </c>
      <c r="Q199" s="32" t="s">
        <v>3818</v>
      </c>
      <c r="R199" s="31">
        <v>100.0</v>
      </c>
      <c r="S199" s="33">
        <f>'Old Balance Sheet'!C199 + 'ACPL Calculations - 1.0'!C199 + 'ACPL Calculations - 2.0'!C199</f>
        <v>3</v>
      </c>
      <c r="T199" s="30" t="s">
        <v>3819</v>
      </c>
      <c r="U199" s="31">
        <v>260.0</v>
      </c>
      <c r="V199" s="32" t="s">
        <v>3818</v>
      </c>
      <c r="W199" s="31">
        <v>100.0</v>
      </c>
      <c r="X199" s="33">
        <f>'Old Balance Sheet'!D199 + 'ACPL Calculations - 1.0'!D199 + 'ACPL Calculations - 2.0'!D199</f>
        <v>0</v>
      </c>
      <c r="Y199" s="30" t="s">
        <v>3819</v>
      </c>
      <c r="Z199" s="31">
        <v>390.0</v>
      </c>
      <c r="AA199" s="32" t="s">
        <v>3818</v>
      </c>
      <c r="AB199" s="31">
        <v>100.0</v>
      </c>
      <c r="AC199" s="33">
        <f>'Old Balance Sheet'!E199 + 'ACPL Calculations - 1.0'!E199 + 'ACPL Calculations - 2.0'!E199</f>
        <v>0</v>
      </c>
      <c r="AD199" s="30" t="s">
        <v>3819</v>
      </c>
      <c r="AE199" s="34">
        <v>1100.0</v>
      </c>
      <c r="AF199" s="32" t="s">
        <v>3818</v>
      </c>
      <c r="AG199" s="31">
        <v>100.0</v>
      </c>
      <c r="AH199" s="33">
        <f>'Old Balance Sheet'!F199 + 'ACPL Calculations - 1.0'!F199 + 'ACPL Calculations - 2.0'!F199</f>
        <v>0</v>
      </c>
      <c r="AI199" s="30" t="s">
        <v>3819</v>
      </c>
      <c r="AJ199" s="31">
        <v>212.0</v>
      </c>
      <c r="AK199" s="32" t="s">
        <v>3818</v>
      </c>
      <c r="AL199" s="31">
        <v>100.0</v>
      </c>
      <c r="AM199" s="33">
        <f>'Old Balance Sheet'!G199 + 'ACPL Calculations - 1.0'!G199 + 'ACPL Calculations - 2.0'!G199</f>
        <v>0</v>
      </c>
      <c r="AN199" s="30" t="s">
        <v>3819</v>
      </c>
      <c r="AO199" s="31">
        <v>325.0</v>
      </c>
      <c r="AP199" s="32" t="s">
        <v>3818</v>
      </c>
      <c r="AQ199" s="31">
        <v>100.0</v>
      </c>
      <c r="AR199" s="33">
        <f>'Old Balance Sheet'!H199 + 'ACPL Calculations - 1.0'!H199 + 'ACPL Calculations - 2.0'!H199</f>
        <v>0</v>
      </c>
      <c r="AS199" s="30" t="s">
        <v>3819</v>
      </c>
      <c r="AT199" s="31">
        <v>939.0</v>
      </c>
      <c r="AU199" s="32" t="s">
        <v>3818</v>
      </c>
      <c r="AV199" s="31">
        <v>100.0</v>
      </c>
      <c r="AW199" s="33">
        <f>'Old Balance Sheet'!I199 + 'ACPL Calculations - 1.0'!I199 + 'ACPL Calculations - 2.0'!I199</f>
        <v>0</v>
      </c>
      <c r="AX199" s="30" t="s">
        <v>3819</v>
      </c>
      <c r="AY199" s="31">
        <v>290.0</v>
      </c>
      <c r="AZ199" s="32" t="s">
        <v>3818</v>
      </c>
      <c r="BA199" s="31">
        <v>100.0</v>
      </c>
      <c r="BB199" s="33">
        <f>'Old Balance Sheet'!J199 + 'ACPL Calculations - 1.0'!J199 + 'ACPL Calculations - 2.0'!J199</f>
        <v>0</v>
      </c>
      <c r="BC199" s="30" t="s">
        <v>3819</v>
      </c>
      <c r="BD199" s="31">
        <v>205.0</v>
      </c>
      <c r="BE199" s="32" t="s">
        <v>3818</v>
      </c>
      <c r="BF199" s="31">
        <v>100.0</v>
      </c>
      <c r="BG199" s="33">
        <f>'Old Balance Sheet'!K199 + 'ACPL Calculations - 1.0'!K199 + 'ACPL Calculations - 2.0'!K199</f>
        <v>0</v>
      </c>
      <c r="BH199" s="30" t="s">
        <v>3819</v>
      </c>
      <c r="BI199" s="31">
        <v>205.0</v>
      </c>
      <c r="BJ199" s="32" t="s">
        <v>3818</v>
      </c>
      <c r="BK199" s="31">
        <v>100.0</v>
      </c>
      <c r="BL199" s="33">
        <f>'Old Balance Sheet'!L199 + 'ACPL Calculations - 1.0'!L199 + 'ACPL Calculations - 2.0'!L199</f>
        <v>0</v>
      </c>
      <c r="BM199" s="25"/>
      <c r="BN199" s="25"/>
      <c r="BO199" s="25"/>
      <c r="BP199" s="25"/>
      <c r="BQ199" s="25"/>
      <c r="BR199" s="25"/>
      <c r="BS199" s="25"/>
      <c r="BT199" s="25"/>
      <c r="BU199" s="25"/>
      <c r="BV199" s="25"/>
      <c r="BW199" s="25"/>
      <c r="BX199" s="25"/>
      <c r="BY199" s="25"/>
      <c r="BZ199" s="25"/>
      <c r="CA199" s="25"/>
      <c r="CB199" s="25"/>
      <c r="CC199" s="25"/>
      <c r="CD199" s="25"/>
      <c r="CE199" s="25"/>
      <c r="CF199" s="25"/>
      <c r="CG199" s="25"/>
      <c r="CH199" s="25"/>
      <c r="CI199" s="25"/>
      <c r="CJ199" s="25"/>
      <c r="CK199" s="25"/>
      <c r="CL199" s="33">
        <f t="shared" si="1"/>
        <v>3</v>
      </c>
      <c r="CM199" s="33">
        <f>'Old Balance Sheet'!R199 + 'ACPL Calculations - 1.0'!S199 + 'ACPL Calculations - 2.0'!S199</f>
        <v>916.36</v>
      </c>
      <c r="CN199" s="33">
        <f>'Old Balance Sheet'!S199 + 'ACPL Calculations - 1.0'!T199 + 'ACPL Calculations - 2.0'!T199</f>
        <v>607</v>
      </c>
      <c r="CO199" s="33">
        <f t="shared" si="2"/>
        <v>746.78</v>
      </c>
      <c r="CP199" s="33">
        <f>'Old Balance Sheet'!T199 + 'ACPL Calculations - 1.0'!V199 + 'ACPL Calculations - 2.0'!V199</f>
        <v>0</v>
      </c>
      <c r="CQ199" s="33">
        <f>'Old Balance Sheet'!U199 + 'ACPL Calculations - 1.0'!W199 + 'ACPL Calculations - 2.0'!W199</f>
        <v>0</v>
      </c>
      <c r="CR199" s="33">
        <f>'Old Balance Sheet'!V199 + 'ACPL Calculations - 1.0'!X199 + 'ACPL Calculations - 2.0'!X199</f>
        <v>139.78</v>
      </c>
      <c r="CS199" s="33">
        <f t="shared" si="3"/>
        <v>139.78</v>
      </c>
      <c r="CT199" s="35"/>
      <c r="CU199" s="35"/>
      <c r="CV199" s="35"/>
      <c r="CW199" s="36">
        <f>'Old Balance Sheet'!W199 + 'ACPL Calculations - 1.0'!Z199 + 'ACPL Calculations - 2.0'!Z199</f>
        <v>916.36</v>
      </c>
      <c r="CX199" s="36">
        <f>'Old Balance Sheet'!X199 + 'ACPL Calculations - 1.0'!AA199 + 'ACPL Calculations - 2.0'!AA199</f>
        <v>750.17</v>
      </c>
      <c r="CY199" s="37">
        <v>0.0</v>
      </c>
      <c r="CZ199" s="38">
        <f>'Old Balance Sheet'!Y199 + 'ACPL Calculations - 1.0'!AB199 + 'ACPL Calculations - 2.0'!AB199</f>
        <v>0</v>
      </c>
      <c r="DA199" s="38">
        <f>'Old Balance Sheet'!Z199 + 'ACPL Calculations - 1.0'!AC199 + 'ACPL Calculations - 2.0'!AC199</f>
        <v>0</v>
      </c>
      <c r="DB199" s="38">
        <f>'Old Balance Sheet'!AA199 + 'ACPL Calculations - 1.0'!AD199 + 'ACPL Calculations - 2.0'!AD199</f>
        <v>0</v>
      </c>
      <c r="DC199" s="38">
        <f>'Old Balance Sheet'!AB199 + 'ACPL Calculations - 1.0'!AE199 + 'ACPL Calculations - 2.0'!AE199</f>
        <v>0</v>
      </c>
      <c r="DD199" s="38">
        <f t="shared" si="4"/>
        <v>0</v>
      </c>
      <c r="DE199" s="33">
        <f t="shared" si="5"/>
        <v>0</v>
      </c>
      <c r="DF199" s="35">
        <v>0.0</v>
      </c>
      <c r="DG199" s="35">
        <v>0.0</v>
      </c>
      <c r="DH199" s="35">
        <v>0.0</v>
      </c>
      <c r="DI199" s="35">
        <v>0.0</v>
      </c>
      <c r="DJ199" s="35">
        <v>0.0</v>
      </c>
      <c r="DK199" s="35">
        <v>0.0</v>
      </c>
      <c r="DL199" s="35">
        <v>0.0</v>
      </c>
      <c r="DM199" s="35">
        <v>0.0</v>
      </c>
      <c r="DN199" s="31">
        <v>0.0</v>
      </c>
      <c r="DO199" s="31">
        <v>0.0</v>
      </c>
      <c r="DP199" s="31">
        <v>0.0</v>
      </c>
      <c r="DQ199" s="31">
        <v>0.0</v>
      </c>
      <c r="DR199" s="31">
        <v>0.0</v>
      </c>
      <c r="DS199" s="31">
        <v>0.0</v>
      </c>
      <c r="DT199" s="31">
        <f>'Old Balance Sheet'!AC199</f>
        <v>0</v>
      </c>
      <c r="DU199" s="31">
        <f>DT199 + SUMIFS('Payments Log'!D:D, 'Payments Log'!B:B, A199, 'Payments Log'!L:L, "Approved", 'Payments Log'!M:M, "Credit") + 'Old Balance Sheet'!AD199 - 'Old Balance Sheet'!AC199</f>
        <v>0</v>
      </c>
      <c r="DV199" s="31">
        <f>SUMIFS('Payments Log'!D:D, 'Payments Log'!B:B, A199, 'Payments Log'!L:L, "Approved", 'Payments Log'!M:M, "Adjustment Credit") - SUMIFS('Payments Log'!D:D, 'Payments Log'!B:B, A199, 'Payments Log'!L:L, "Approved", 'Payments Log'!M:M, "Adjustment Debit") + 'Old Balance Sheet'!AE199</f>
        <v>916.36</v>
      </c>
      <c r="DW199" s="31">
        <f>IF(MAXIFS('Payments Log'!N:N, 'Payments Log'!L:L, "Approved", 'Payments Log'!M:M, "Credit", 'Payments Log'!B:B, A199) &gt; MAXIFS('Payments Log'!N:N, 'Payments Log'!L:L, "Approved", 'Payments Log'!M:M, "Virtual Credit", 'Payments Log'!B:B, A199), 0, SUMIFS('Payments Log'!D:D, 'Payments Log'!N:N, MAXIFS('Payments Log'!N:N, 'Payments Log'!L:L, "Approved", 'Payments Log'!M:M, "Virtual Credit", 'Payments Log'!B:B, A199)))</f>
        <v>0</v>
      </c>
      <c r="DX199" s="33">
        <f t="shared" si="6"/>
        <v>0</v>
      </c>
      <c r="DY199" s="33">
        <f t="shared" si="7"/>
        <v>166.19</v>
      </c>
      <c r="DZ199" s="33">
        <f t="shared" si="8"/>
        <v>166.19</v>
      </c>
      <c r="EA199" s="25" t="str">
        <f>(Sheet1!N199)</f>
        <v>Vidhi Trading</v>
      </c>
      <c r="EB199" s="25" t="str">
        <f>(Sheet1!O199)</f>
        <v>1RYX1vfvY0jbK-8SlRPLYU11dr-HUe2ntxj5PumL7c0I</v>
      </c>
      <c r="EC199" s="26" t="str">
        <f>(Sheet1!P199)</f>
        <v>Sub Dealer</v>
      </c>
      <c r="ED199" s="34" t="s">
        <v>13</v>
      </c>
    </row>
    <row r="200">
      <c r="A200" s="25" t="str">
        <f>(Sheet1!A200)</f>
        <v>1vLaBz74ueKQC05BDHxZbKK6goeX4KXIwd6Tvp-pl8Zg</v>
      </c>
      <c r="B200" s="25" t="str">
        <f>(Sheet1!B200)</f>
        <v>Mahesh Motor 1 - Dinajpur</v>
      </c>
      <c r="C200" s="30" t="s">
        <v>13</v>
      </c>
      <c r="D200" s="30" t="s">
        <v>72</v>
      </c>
      <c r="E200" s="30" t="s">
        <v>3817</v>
      </c>
      <c r="F200" s="31">
        <v>205.0</v>
      </c>
      <c r="G200" s="32" t="s">
        <v>3818</v>
      </c>
      <c r="H200" s="31">
        <v>100.0</v>
      </c>
      <c r="I200" s="33">
        <f>'Old Balance Sheet'!A200 + 'ACPL Calculations - 1.0'!A200 + 'ACPL Calculations - 2.0'!A200</f>
        <v>477</v>
      </c>
      <c r="J200" s="30" t="s">
        <v>3817</v>
      </c>
      <c r="K200" s="31">
        <v>100.0</v>
      </c>
      <c r="L200" s="32" t="s">
        <v>3818</v>
      </c>
      <c r="M200" s="31">
        <v>100.0</v>
      </c>
      <c r="N200" s="33">
        <f>'Old Balance Sheet'!B200 + 'ACPL Calculations - 1.0'!B200 + 'ACPL Calculations - 2.0'!B200</f>
        <v>0</v>
      </c>
      <c r="O200" s="30" t="s">
        <v>3817</v>
      </c>
      <c r="P200" s="31">
        <v>245.0</v>
      </c>
      <c r="Q200" s="32" t="s">
        <v>3818</v>
      </c>
      <c r="R200" s="31">
        <v>100.0</v>
      </c>
      <c r="S200" s="33">
        <f>'Old Balance Sheet'!C200 + 'ACPL Calculations - 1.0'!C200 + 'ACPL Calculations - 2.0'!C200</f>
        <v>252</v>
      </c>
      <c r="T200" s="30" t="s">
        <v>3817</v>
      </c>
      <c r="U200" s="31">
        <v>375.0</v>
      </c>
      <c r="V200" s="32" t="s">
        <v>3818</v>
      </c>
      <c r="W200" s="31">
        <v>100.0</v>
      </c>
      <c r="X200" s="33">
        <f>'Old Balance Sheet'!D200 + 'ACPL Calculations - 1.0'!D200 + 'ACPL Calculations - 2.0'!D200</f>
        <v>0</v>
      </c>
      <c r="Y200" s="30" t="s">
        <v>3817</v>
      </c>
      <c r="Z200" s="31">
        <v>460.0</v>
      </c>
      <c r="AA200" s="32" t="s">
        <v>3818</v>
      </c>
      <c r="AB200" s="31">
        <v>100.0</v>
      </c>
      <c r="AC200" s="33">
        <f>'Old Balance Sheet'!E200 + 'ACPL Calculations - 1.0'!E200 + 'ACPL Calculations - 2.0'!E200</f>
        <v>1</v>
      </c>
      <c r="AD200" s="30" t="s">
        <v>3817</v>
      </c>
      <c r="AE200" s="34">
        <v>838.99</v>
      </c>
      <c r="AF200" s="32" t="s">
        <v>3818</v>
      </c>
      <c r="AG200" s="31">
        <v>100.0</v>
      </c>
      <c r="AH200" s="33">
        <f>'Old Balance Sheet'!F200 + 'ACPL Calculations - 1.0'!F200 + 'ACPL Calculations - 2.0'!F200</f>
        <v>0</v>
      </c>
      <c r="AI200" s="30" t="s">
        <v>3817</v>
      </c>
      <c r="AJ200" s="31">
        <v>375.0</v>
      </c>
      <c r="AK200" s="32" t="s">
        <v>3818</v>
      </c>
      <c r="AL200" s="31">
        <v>100.0</v>
      </c>
      <c r="AM200" s="33">
        <f>'Old Balance Sheet'!G200 + 'ACPL Calculations - 1.0'!G200 + 'ACPL Calculations - 2.0'!G200</f>
        <v>0</v>
      </c>
      <c r="AN200" s="30" t="s">
        <v>3817</v>
      </c>
      <c r="AO200" s="31">
        <v>290.0</v>
      </c>
      <c r="AP200" s="32" t="s">
        <v>3818</v>
      </c>
      <c r="AQ200" s="31">
        <v>100.0</v>
      </c>
      <c r="AR200" s="33">
        <f>'Old Balance Sheet'!H200 + 'ACPL Calculations - 1.0'!H200 + 'ACPL Calculations - 2.0'!H200</f>
        <v>0</v>
      </c>
      <c r="AS200" s="30" t="s">
        <v>3819</v>
      </c>
      <c r="AT200" s="31">
        <v>838.99</v>
      </c>
      <c r="AU200" s="32" t="s">
        <v>3818</v>
      </c>
      <c r="AV200" s="31">
        <v>100.0</v>
      </c>
      <c r="AW200" s="33">
        <f>'Old Balance Sheet'!I200 + 'ACPL Calculations - 1.0'!I200 + 'ACPL Calculations - 2.0'!I200</f>
        <v>0</v>
      </c>
      <c r="AX200" s="30" t="s">
        <v>3817</v>
      </c>
      <c r="AY200" s="31">
        <v>290.0</v>
      </c>
      <c r="AZ200" s="32" t="s">
        <v>3818</v>
      </c>
      <c r="BA200" s="31">
        <v>100.0</v>
      </c>
      <c r="BB200" s="33">
        <f>'Old Balance Sheet'!J200 + 'ACPL Calculations - 1.0'!J200 + 'ACPL Calculations - 2.0'!J200</f>
        <v>0</v>
      </c>
      <c r="BC200" s="30" t="s">
        <v>3817</v>
      </c>
      <c r="BD200" s="31">
        <v>205.0</v>
      </c>
      <c r="BE200" s="32" t="s">
        <v>3818</v>
      </c>
      <c r="BF200" s="31">
        <v>100.0</v>
      </c>
      <c r="BG200" s="33">
        <f>'Old Balance Sheet'!K200 + 'ACPL Calculations - 1.0'!K200 + 'ACPL Calculations - 2.0'!K200</f>
        <v>0</v>
      </c>
      <c r="BH200" s="30" t="s">
        <v>3817</v>
      </c>
      <c r="BI200" s="31">
        <v>205.0</v>
      </c>
      <c r="BJ200" s="32" t="s">
        <v>3818</v>
      </c>
      <c r="BK200" s="31">
        <v>100.0</v>
      </c>
      <c r="BL200" s="33">
        <f>'Old Balance Sheet'!L200 + 'ACPL Calculations - 1.0'!L200 + 'ACPL Calculations - 2.0'!L200</f>
        <v>0</v>
      </c>
      <c r="BM200" s="33"/>
      <c r="BN200" s="33"/>
      <c r="BO200" s="33"/>
      <c r="BP200" s="33"/>
      <c r="BQ200" s="33"/>
      <c r="BR200" s="33"/>
      <c r="BS200" s="33"/>
      <c r="BT200" s="33"/>
      <c r="BU200" s="33"/>
      <c r="BV200" s="33"/>
      <c r="BW200" s="33"/>
      <c r="BX200" s="33"/>
      <c r="BY200" s="33"/>
      <c r="BZ200" s="33"/>
      <c r="CA200" s="33"/>
      <c r="CB200" s="33"/>
      <c r="CC200" s="33"/>
      <c r="CD200" s="33"/>
      <c r="CE200" s="33"/>
      <c r="CF200" s="33"/>
      <c r="CG200" s="33"/>
      <c r="CH200" s="33"/>
      <c r="CI200" s="33"/>
      <c r="CJ200" s="33"/>
      <c r="CK200" s="33"/>
      <c r="CL200" s="33">
        <f t="shared" si="1"/>
        <v>730</v>
      </c>
      <c r="CM200" s="33">
        <f>'Old Balance Sheet'!R200 + 'ACPL Calculations - 1.0'!S200 + 'ACPL Calculations - 2.0'!S200</f>
        <v>357496</v>
      </c>
      <c r="CN200" s="33">
        <f>'Old Balance Sheet'!S200 + 'ACPL Calculations - 1.0'!T200 + 'ACPL Calculations - 2.0'!T200</f>
        <v>160030</v>
      </c>
      <c r="CO200" s="33">
        <f t="shared" si="2"/>
        <v>214561.68</v>
      </c>
      <c r="CP200" s="33">
        <f>'Old Balance Sheet'!T200 + 'ACPL Calculations - 1.0'!V200 + 'ACPL Calculations - 2.0'!V200</f>
        <v>0</v>
      </c>
      <c r="CQ200" s="33">
        <f>'Old Balance Sheet'!U200 + 'ACPL Calculations - 1.0'!W200 + 'ACPL Calculations - 2.0'!W200</f>
        <v>0</v>
      </c>
      <c r="CR200" s="33">
        <f>'Old Balance Sheet'!V200 + 'ACPL Calculations - 1.0'!X200 + 'ACPL Calculations - 2.0'!X200</f>
        <v>54531.68</v>
      </c>
      <c r="CS200" s="33">
        <f t="shared" si="3"/>
        <v>54531.68</v>
      </c>
      <c r="CT200" s="35"/>
      <c r="CU200" s="35"/>
      <c r="CV200" s="35"/>
      <c r="CW200" s="36">
        <f>'Old Balance Sheet'!W200 + 'ACPL Calculations - 1.0'!Z200 + 'ACPL Calculations - 2.0'!Z200</f>
        <v>0</v>
      </c>
      <c r="CX200" s="36">
        <f>'Old Balance Sheet'!X200 + 'ACPL Calculations - 1.0'!AA200 + 'ACPL Calculations - 2.0'!AA200</f>
        <v>0</v>
      </c>
      <c r="CY200" s="37">
        <v>0.0</v>
      </c>
      <c r="CZ200" s="38">
        <f>'Old Balance Sheet'!Y200 + 'ACPL Calculations - 1.0'!AB200 + 'ACPL Calculations - 2.0'!AB200</f>
        <v>0</v>
      </c>
      <c r="DA200" s="38">
        <f>'Old Balance Sheet'!Z200 + 'ACPL Calculations - 1.0'!AC200 + 'ACPL Calculations - 2.0'!AC200</f>
        <v>0</v>
      </c>
      <c r="DB200" s="38">
        <f>'Old Balance Sheet'!AA200 + 'ACPL Calculations - 1.0'!AD200 + 'ACPL Calculations - 2.0'!AD200</f>
        <v>0</v>
      </c>
      <c r="DC200" s="38">
        <f>'Old Balance Sheet'!AB200 + 'ACPL Calculations - 1.0'!AE200 + 'ACPL Calculations - 2.0'!AE200</f>
        <v>0</v>
      </c>
      <c r="DD200" s="38">
        <f t="shared" si="4"/>
        <v>0</v>
      </c>
      <c r="DE200" s="33">
        <f t="shared" si="5"/>
        <v>0</v>
      </c>
      <c r="DF200" s="35">
        <v>0.0</v>
      </c>
      <c r="DG200" s="35">
        <v>0.0</v>
      </c>
      <c r="DH200" s="35">
        <v>0.0</v>
      </c>
      <c r="DI200" s="35">
        <v>0.0</v>
      </c>
      <c r="DJ200" s="35">
        <v>0.0</v>
      </c>
      <c r="DK200" s="35">
        <v>0.0</v>
      </c>
      <c r="DL200" s="35">
        <v>0.0</v>
      </c>
      <c r="DM200" s="35">
        <v>0.0</v>
      </c>
      <c r="DN200" s="31">
        <v>0.0</v>
      </c>
      <c r="DO200" s="31">
        <v>0.0</v>
      </c>
      <c r="DP200" s="31">
        <v>0.0</v>
      </c>
      <c r="DQ200" s="31">
        <v>0.0</v>
      </c>
      <c r="DR200" s="31">
        <v>0.0</v>
      </c>
      <c r="DS200" s="31">
        <v>0.0</v>
      </c>
      <c r="DT200" s="31">
        <f>'Old Balance Sheet'!AC200</f>
        <v>0</v>
      </c>
      <c r="DU200" s="31">
        <f>DT200 + SUMIFS('Payments Log'!D:D, 'Payments Log'!B:B, A200, 'Payments Log'!L:L, "Approved", 'Payments Log'!M:M, "Credit") + 'Old Balance Sheet'!AD200 - 'Old Balance Sheet'!AC200</f>
        <v>0</v>
      </c>
      <c r="DV200" s="31">
        <f>SUMIFS('Payments Log'!D:D, 'Payments Log'!B:B, A200, 'Payments Log'!L:L, "Approved", 'Payments Log'!M:M, "Adjustment Credit") - SUMIFS('Payments Log'!D:D, 'Payments Log'!B:B, A200, 'Payments Log'!L:L, "Approved", 'Payments Log'!M:M, "Adjustment Debit") + 'Old Balance Sheet'!AE200</f>
        <v>0</v>
      </c>
      <c r="DW200" s="31">
        <f>IF(MAXIFS('Payments Log'!N:N, 'Payments Log'!L:L, "Approved", 'Payments Log'!M:M, "Credit", 'Payments Log'!B:B, A200) &gt; MAXIFS('Payments Log'!N:N, 'Payments Log'!L:L, "Approved", 'Payments Log'!M:M, "Virtual Credit", 'Payments Log'!B:B, A200), 0, SUMIFS('Payments Log'!D:D, 'Payments Log'!N:N, MAXIFS('Payments Log'!N:N, 'Payments Log'!L:L, "Approved", 'Payments Log'!M:M, "Virtual Credit", 'Payments Log'!B:B, A200)))</f>
        <v>0</v>
      </c>
      <c r="DX200" s="33">
        <f t="shared" si="6"/>
        <v>0</v>
      </c>
      <c r="DY200" s="33">
        <f t="shared" si="7"/>
        <v>0</v>
      </c>
      <c r="DZ200" s="33">
        <f t="shared" si="8"/>
        <v>0</v>
      </c>
      <c r="EA200" s="25" t="str">
        <f>(Sheet1!N200)</f>
        <v>MAHESH MOTORS - DINAJPUR</v>
      </c>
      <c r="EB200" s="25" t="str">
        <f>(Sheet1!O200)</f>
        <v>1DVpSm5a7kKqZxFgDUdJBRIcgAuTZosRKDnkmPEIdEG4</v>
      </c>
      <c r="EC200" s="26" t="str">
        <f>(Sheet1!P200)</f>
        <v>Sub Dealer</v>
      </c>
      <c r="ED200" s="34" t="s">
        <v>13</v>
      </c>
    </row>
    <row r="201">
      <c r="A201" s="25" t="str">
        <f>(Sheet1!A201)</f>
        <v>1rhJaBBEzbkggfETTk-DY2S-cRSFPRY-RoZp0bXmjg2U</v>
      </c>
      <c r="B201" s="25" t="str">
        <f>(Sheet1!B201)</f>
        <v>Mahesh Motor 2 - Dinajpur</v>
      </c>
      <c r="C201" s="30" t="s">
        <v>13</v>
      </c>
      <c r="D201" s="30" t="s">
        <v>72</v>
      </c>
      <c r="E201" s="30" t="s">
        <v>3817</v>
      </c>
      <c r="F201" s="31">
        <v>205.0</v>
      </c>
      <c r="G201" s="32" t="s">
        <v>3818</v>
      </c>
      <c r="H201" s="31">
        <v>100.0</v>
      </c>
      <c r="I201" s="33">
        <f>'Old Balance Sheet'!A201 + 'ACPL Calculations - 1.0'!A201 + 'ACPL Calculations - 2.0'!A201</f>
        <v>203</v>
      </c>
      <c r="J201" s="30" t="s">
        <v>3817</v>
      </c>
      <c r="K201" s="31">
        <v>100.0</v>
      </c>
      <c r="L201" s="32" t="s">
        <v>3818</v>
      </c>
      <c r="M201" s="31">
        <v>100.0</v>
      </c>
      <c r="N201" s="33">
        <f>'Old Balance Sheet'!B201 + 'ACPL Calculations - 1.0'!B201 + 'ACPL Calculations - 2.0'!B201</f>
        <v>0</v>
      </c>
      <c r="O201" s="30" t="s">
        <v>3817</v>
      </c>
      <c r="P201" s="31">
        <v>245.0</v>
      </c>
      <c r="Q201" s="32" t="s">
        <v>3818</v>
      </c>
      <c r="R201" s="31">
        <v>100.0</v>
      </c>
      <c r="S201" s="33">
        <f>'Old Balance Sheet'!C201 + 'ACPL Calculations - 1.0'!C201 + 'ACPL Calculations - 2.0'!C201</f>
        <v>152</v>
      </c>
      <c r="T201" s="30" t="s">
        <v>3817</v>
      </c>
      <c r="U201" s="31">
        <v>375.0</v>
      </c>
      <c r="V201" s="32" t="s">
        <v>3818</v>
      </c>
      <c r="W201" s="31">
        <v>100.0</v>
      </c>
      <c r="X201" s="33">
        <f>'Old Balance Sheet'!D201 + 'ACPL Calculations - 1.0'!D201 + 'ACPL Calculations - 2.0'!D201</f>
        <v>0</v>
      </c>
      <c r="Y201" s="30" t="s">
        <v>3817</v>
      </c>
      <c r="Z201" s="31">
        <v>460.0</v>
      </c>
      <c r="AA201" s="32" t="s">
        <v>3818</v>
      </c>
      <c r="AB201" s="31">
        <v>100.0</v>
      </c>
      <c r="AC201" s="33">
        <f>'Old Balance Sheet'!E201 + 'ACPL Calculations - 1.0'!E201 + 'ACPL Calculations - 2.0'!E201</f>
        <v>0</v>
      </c>
      <c r="AD201" s="30" t="s">
        <v>3817</v>
      </c>
      <c r="AE201" s="34">
        <v>838.99</v>
      </c>
      <c r="AF201" s="32" t="s">
        <v>3818</v>
      </c>
      <c r="AG201" s="31">
        <v>100.0</v>
      </c>
      <c r="AH201" s="33">
        <f>'Old Balance Sheet'!F201 + 'ACPL Calculations - 1.0'!F201 + 'ACPL Calculations - 2.0'!F201</f>
        <v>0</v>
      </c>
      <c r="AI201" s="30" t="s">
        <v>3817</v>
      </c>
      <c r="AJ201" s="31">
        <v>375.0</v>
      </c>
      <c r="AK201" s="32" t="s">
        <v>3818</v>
      </c>
      <c r="AL201" s="31">
        <v>100.0</v>
      </c>
      <c r="AM201" s="33">
        <f>'Old Balance Sheet'!G201 + 'ACPL Calculations - 1.0'!G201 + 'ACPL Calculations - 2.0'!G201</f>
        <v>0</v>
      </c>
      <c r="AN201" s="30" t="s">
        <v>3817</v>
      </c>
      <c r="AO201" s="31">
        <v>290.0</v>
      </c>
      <c r="AP201" s="32" t="s">
        <v>3818</v>
      </c>
      <c r="AQ201" s="31">
        <v>100.0</v>
      </c>
      <c r="AR201" s="33">
        <f>'Old Balance Sheet'!H201 + 'ACPL Calculations - 1.0'!H201 + 'ACPL Calculations - 2.0'!H201</f>
        <v>0</v>
      </c>
      <c r="AS201" s="30" t="s">
        <v>3819</v>
      </c>
      <c r="AT201" s="31">
        <v>838.99</v>
      </c>
      <c r="AU201" s="32" t="s">
        <v>3818</v>
      </c>
      <c r="AV201" s="31">
        <v>100.0</v>
      </c>
      <c r="AW201" s="33">
        <f>'Old Balance Sheet'!I201 + 'ACPL Calculations - 1.0'!I201 + 'ACPL Calculations - 2.0'!I201</f>
        <v>0</v>
      </c>
      <c r="AX201" s="30" t="s">
        <v>3817</v>
      </c>
      <c r="AY201" s="31">
        <v>290.0</v>
      </c>
      <c r="AZ201" s="32" t="s">
        <v>3818</v>
      </c>
      <c r="BA201" s="31">
        <v>100.0</v>
      </c>
      <c r="BB201" s="33">
        <f>'Old Balance Sheet'!J201 + 'ACPL Calculations - 1.0'!J201 + 'ACPL Calculations - 2.0'!J201</f>
        <v>0</v>
      </c>
      <c r="BC201" s="30" t="s">
        <v>3817</v>
      </c>
      <c r="BD201" s="31">
        <v>205.0</v>
      </c>
      <c r="BE201" s="32" t="s">
        <v>3818</v>
      </c>
      <c r="BF201" s="31">
        <v>100.0</v>
      </c>
      <c r="BG201" s="33">
        <f>'Old Balance Sheet'!K201 + 'ACPL Calculations - 1.0'!K201 + 'ACPL Calculations - 2.0'!K201</f>
        <v>0</v>
      </c>
      <c r="BH201" s="30" t="s">
        <v>3817</v>
      </c>
      <c r="BI201" s="31">
        <v>205.0</v>
      </c>
      <c r="BJ201" s="32" t="s">
        <v>3818</v>
      </c>
      <c r="BK201" s="31">
        <v>100.0</v>
      </c>
      <c r="BL201" s="33">
        <f>'Old Balance Sheet'!L201 + 'ACPL Calculations - 1.0'!L201 + 'ACPL Calculations - 2.0'!L201</f>
        <v>0</v>
      </c>
      <c r="BM201" s="33"/>
      <c r="BN201" s="33"/>
      <c r="BO201" s="33"/>
      <c r="BP201" s="33"/>
      <c r="BQ201" s="33"/>
      <c r="BR201" s="33"/>
      <c r="BS201" s="33"/>
      <c r="BT201" s="33"/>
      <c r="BU201" s="33"/>
      <c r="BV201" s="33"/>
      <c r="BW201" s="33"/>
      <c r="BX201" s="33"/>
      <c r="BY201" s="33"/>
      <c r="BZ201" s="33"/>
      <c r="CA201" s="33"/>
      <c r="CB201" s="33"/>
      <c r="CC201" s="33"/>
      <c r="CD201" s="33"/>
      <c r="CE201" s="33"/>
      <c r="CF201" s="33"/>
      <c r="CG201" s="33"/>
      <c r="CH201" s="33"/>
      <c r="CI201" s="33"/>
      <c r="CJ201" s="33"/>
      <c r="CK201" s="33"/>
      <c r="CL201" s="33">
        <f t="shared" si="1"/>
        <v>355</v>
      </c>
      <c r="CM201" s="33">
        <f>'Old Balance Sheet'!R201 + 'ACPL Calculations - 1.0'!S201 + 'ACPL Calculations - 2.0'!S201</f>
        <v>182450</v>
      </c>
      <c r="CN201" s="33">
        <f>'Old Balance Sheet'!S201 + 'ACPL Calculations - 1.0'!T201 + 'ACPL Calculations - 2.0'!T201</f>
        <v>78855</v>
      </c>
      <c r="CO201" s="33">
        <f t="shared" si="2"/>
        <v>106685.47</v>
      </c>
      <c r="CP201" s="33">
        <f>'Old Balance Sheet'!T201 + 'ACPL Calculations - 1.0'!V201 + 'ACPL Calculations - 2.0'!V201</f>
        <v>0</v>
      </c>
      <c r="CQ201" s="33">
        <f>'Old Balance Sheet'!U201 + 'ACPL Calculations - 1.0'!W201 + 'ACPL Calculations - 2.0'!W201</f>
        <v>0</v>
      </c>
      <c r="CR201" s="33">
        <f>'Old Balance Sheet'!V201 + 'ACPL Calculations - 1.0'!X201 + 'ACPL Calculations - 2.0'!X201</f>
        <v>27830.47</v>
      </c>
      <c r="CS201" s="33">
        <f t="shared" si="3"/>
        <v>27830.47</v>
      </c>
      <c r="CT201" s="35"/>
      <c r="CU201" s="35"/>
      <c r="CV201" s="35"/>
      <c r="CW201" s="36">
        <f>'Old Balance Sheet'!W201 + 'ACPL Calculations - 1.0'!Z201 + 'ACPL Calculations - 2.0'!Z201</f>
        <v>0</v>
      </c>
      <c r="CX201" s="36">
        <f>'Old Balance Sheet'!X201 + 'ACPL Calculations - 1.0'!AA201 + 'ACPL Calculations - 2.0'!AA201</f>
        <v>0</v>
      </c>
      <c r="CY201" s="37">
        <v>0.0</v>
      </c>
      <c r="CZ201" s="38">
        <f>'Old Balance Sheet'!Y201 + 'ACPL Calculations - 1.0'!AB201 + 'ACPL Calculations - 2.0'!AB201</f>
        <v>0</v>
      </c>
      <c r="DA201" s="38">
        <f>'Old Balance Sheet'!Z201 + 'ACPL Calculations - 1.0'!AC201 + 'ACPL Calculations - 2.0'!AC201</f>
        <v>0</v>
      </c>
      <c r="DB201" s="38">
        <f>'Old Balance Sheet'!AA201 + 'ACPL Calculations - 1.0'!AD201 + 'ACPL Calculations - 2.0'!AD201</f>
        <v>0</v>
      </c>
      <c r="DC201" s="38">
        <f>'Old Balance Sheet'!AB201 + 'ACPL Calculations - 1.0'!AE201 + 'ACPL Calculations - 2.0'!AE201</f>
        <v>0</v>
      </c>
      <c r="DD201" s="38">
        <f t="shared" si="4"/>
        <v>0</v>
      </c>
      <c r="DE201" s="33">
        <f t="shared" si="5"/>
        <v>0</v>
      </c>
      <c r="DF201" s="35">
        <v>0.0</v>
      </c>
      <c r="DG201" s="35">
        <v>0.0</v>
      </c>
      <c r="DH201" s="35">
        <v>0.0</v>
      </c>
      <c r="DI201" s="35">
        <v>0.0</v>
      </c>
      <c r="DJ201" s="35">
        <v>0.0</v>
      </c>
      <c r="DK201" s="35">
        <v>0.0</v>
      </c>
      <c r="DL201" s="35">
        <v>0.0</v>
      </c>
      <c r="DM201" s="35">
        <v>0.0</v>
      </c>
      <c r="DN201" s="31">
        <v>0.0</v>
      </c>
      <c r="DO201" s="31">
        <v>0.0</v>
      </c>
      <c r="DP201" s="31">
        <v>0.0</v>
      </c>
      <c r="DQ201" s="31">
        <v>0.0</v>
      </c>
      <c r="DR201" s="31">
        <v>0.0</v>
      </c>
      <c r="DS201" s="31">
        <v>0.0</v>
      </c>
      <c r="DT201" s="31">
        <f>'Old Balance Sheet'!AC201</f>
        <v>0</v>
      </c>
      <c r="DU201" s="31">
        <f>DT201 + SUMIFS('Payments Log'!D:D, 'Payments Log'!B:B, A201, 'Payments Log'!L:L, "Approved", 'Payments Log'!M:M, "Credit") + 'Old Balance Sheet'!AD201 - 'Old Balance Sheet'!AC201</f>
        <v>0</v>
      </c>
      <c r="DV201" s="31">
        <f>SUMIFS('Payments Log'!D:D, 'Payments Log'!B:B, A201, 'Payments Log'!L:L, "Approved", 'Payments Log'!M:M, "Adjustment Credit") - SUMIFS('Payments Log'!D:D, 'Payments Log'!B:B, A201, 'Payments Log'!L:L, "Approved", 'Payments Log'!M:M, "Adjustment Debit") + 'Old Balance Sheet'!AE201</f>
        <v>0</v>
      </c>
      <c r="DW201" s="31">
        <f>IF(MAXIFS('Payments Log'!N:N, 'Payments Log'!L:L, "Approved", 'Payments Log'!M:M, "Credit", 'Payments Log'!B:B, A201) &gt; MAXIFS('Payments Log'!N:N, 'Payments Log'!L:L, "Approved", 'Payments Log'!M:M, "Virtual Credit", 'Payments Log'!B:B, A201), 0, SUMIFS('Payments Log'!D:D, 'Payments Log'!N:N, MAXIFS('Payments Log'!N:N, 'Payments Log'!L:L, "Approved", 'Payments Log'!M:M, "Virtual Credit", 'Payments Log'!B:B, A201)))</f>
        <v>0</v>
      </c>
      <c r="DX201" s="33">
        <f t="shared" si="6"/>
        <v>0</v>
      </c>
      <c r="DY201" s="33">
        <f t="shared" si="7"/>
        <v>0</v>
      </c>
      <c r="DZ201" s="33">
        <f t="shared" si="8"/>
        <v>0</v>
      </c>
      <c r="EA201" s="25" t="str">
        <f>(Sheet1!N201)</f>
        <v>MAHESH MOTORS - DINAJPUR</v>
      </c>
      <c r="EB201" s="25" t="str">
        <f>(Sheet1!O201)</f>
        <v>1DVpSm5a7kKqZxFgDUdJBRIcgAuTZosRKDnkmPEIdEG4</v>
      </c>
      <c r="EC201" s="26" t="str">
        <f>(Sheet1!P201)</f>
        <v>Sub Dealer</v>
      </c>
      <c r="ED201" s="34" t="s">
        <v>13</v>
      </c>
    </row>
    <row r="202">
      <c r="A202" s="25" t="str">
        <f>(Sheet1!A202)</f>
        <v>1HiDqUYA_MPU2cm2LpWmxJaCWOO7QBi_JoETCkTl7vPU</v>
      </c>
      <c r="B202" s="25" t="str">
        <f>(Sheet1!B202)</f>
        <v>Mahesh Motor 3 - Dinajpur</v>
      </c>
      <c r="C202" s="30" t="s">
        <v>13</v>
      </c>
      <c r="D202" s="30" t="s">
        <v>72</v>
      </c>
      <c r="E202" s="30" t="s">
        <v>3817</v>
      </c>
      <c r="F202" s="31">
        <v>205.0</v>
      </c>
      <c r="G202" s="32" t="s">
        <v>3818</v>
      </c>
      <c r="H202" s="31">
        <v>100.0</v>
      </c>
      <c r="I202" s="33">
        <f>'Old Balance Sheet'!A202 + 'ACPL Calculations - 1.0'!A202 + 'ACPL Calculations - 2.0'!A202</f>
        <v>287</v>
      </c>
      <c r="J202" s="30" t="s">
        <v>3817</v>
      </c>
      <c r="K202" s="31">
        <v>100.0</v>
      </c>
      <c r="L202" s="32" t="s">
        <v>3818</v>
      </c>
      <c r="M202" s="31">
        <v>100.0</v>
      </c>
      <c r="N202" s="33">
        <f>'Old Balance Sheet'!B202 + 'ACPL Calculations - 1.0'!B202 + 'ACPL Calculations - 2.0'!B202</f>
        <v>4</v>
      </c>
      <c r="O202" s="30" t="s">
        <v>3817</v>
      </c>
      <c r="P202" s="31">
        <v>245.0</v>
      </c>
      <c r="Q202" s="32" t="s">
        <v>3818</v>
      </c>
      <c r="R202" s="31">
        <v>100.0</v>
      </c>
      <c r="S202" s="33">
        <f>'Old Balance Sheet'!C202 + 'ACPL Calculations - 1.0'!C202 + 'ACPL Calculations - 2.0'!C202</f>
        <v>36</v>
      </c>
      <c r="T202" s="30" t="s">
        <v>3817</v>
      </c>
      <c r="U202" s="31">
        <v>375.0</v>
      </c>
      <c r="V202" s="32" t="s">
        <v>3818</v>
      </c>
      <c r="W202" s="31">
        <v>100.0</v>
      </c>
      <c r="X202" s="33">
        <f>'Old Balance Sheet'!D202 + 'ACPL Calculations - 1.0'!D202 + 'ACPL Calculations - 2.0'!D202</f>
        <v>0</v>
      </c>
      <c r="Y202" s="30" t="s">
        <v>3817</v>
      </c>
      <c r="Z202" s="31">
        <v>460.0</v>
      </c>
      <c r="AA202" s="32" t="s">
        <v>3818</v>
      </c>
      <c r="AB202" s="31">
        <v>100.0</v>
      </c>
      <c r="AC202" s="33">
        <f>'Old Balance Sheet'!E202 + 'ACPL Calculations - 1.0'!E202 + 'ACPL Calculations - 2.0'!E202</f>
        <v>0</v>
      </c>
      <c r="AD202" s="30" t="s">
        <v>3817</v>
      </c>
      <c r="AE202" s="34">
        <v>838.99</v>
      </c>
      <c r="AF202" s="32" t="s">
        <v>3818</v>
      </c>
      <c r="AG202" s="31">
        <v>100.0</v>
      </c>
      <c r="AH202" s="33">
        <f>'Old Balance Sheet'!F202 + 'ACPL Calculations - 1.0'!F202 + 'ACPL Calculations - 2.0'!F202</f>
        <v>0</v>
      </c>
      <c r="AI202" s="30" t="s">
        <v>3817</v>
      </c>
      <c r="AJ202" s="31">
        <v>375.0</v>
      </c>
      <c r="AK202" s="32" t="s">
        <v>3818</v>
      </c>
      <c r="AL202" s="31">
        <v>100.0</v>
      </c>
      <c r="AM202" s="33">
        <f>'Old Balance Sheet'!G202 + 'ACPL Calculations - 1.0'!G202 + 'ACPL Calculations - 2.0'!G202</f>
        <v>0</v>
      </c>
      <c r="AN202" s="30" t="s">
        <v>3817</v>
      </c>
      <c r="AO202" s="31">
        <v>290.0</v>
      </c>
      <c r="AP202" s="32" t="s">
        <v>3818</v>
      </c>
      <c r="AQ202" s="31">
        <v>100.0</v>
      </c>
      <c r="AR202" s="33">
        <f>'Old Balance Sheet'!H202 + 'ACPL Calculations - 1.0'!H202 + 'ACPL Calculations - 2.0'!H202</f>
        <v>0</v>
      </c>
      <c r="AS202" s="30" t="s">
        <v>3819</v>
      </c>
      <c r="AT202" s="31">
        <v>838.99</v>
      </c>
      <c r="AU202" s="32" t="s">
        <v>3818</v>
      </c>
      <c r="AV202" s="31">
        <v>100.0</v>
      </c>
      <c r="AW202" s="33">
        <f>'Old Balance Sheet'!I202 + 'ACPL Calculations - 1.0'!I202 + 'ACPL Calculations - 2.0'!I202</f>
        <v>0</v>
      </c>
      <c r="AX202" s="30" t="s">
        <v>3817</v>
      </c>
      <c r="AY202" s="31">
        <v>290.0</v>
      </c>
      <c r="AZ202" s="32" t="s">
        <v>3818</v>
      </c>
      <c r="BA202" s="31">
        <v>100.0</v>
      </c>
      <c r="BB202" s="33">
        <f>'Old Balance Sheet'!J202 + 'ACPL Calculations - 1.0'!J202 + 'ACPL Calculations - 2.0'!J202</f>
        <v>0</v>
      </c>
      <c r="BC202" s="30" t="s">
        <v>3817</v>
      </c>
      <c r="BD202" s="31">
        <v>205.0</v>
      </c>
      <c r="BE202" s="32" t="s">
        <v>3818</v>
      </c>
      <c r="BF202" s="31">
        <v>100.0</v>
      </c>
      <c r="BG202" s="33">
        <f>'Old Balance Sheet'!K202 + 'ACPL Calculations - 1.0'!K202 + 'ACPL Calculations - 2.0'!K202</f>
        <v>0</v>
      </c>
      <c r="BH202" s="30" t="s">
        <v>3817</v>
      </c>
      <c r="BI202" s="31">
        <v>205.0</v>
      </c>
      <c r="BJ202" s="32" t="s">
        <v>3818</v>
      </c>
      <c r="BK202" s="31">
        <v>100.0</v>
      </c>
      <c r="BL202" s="33">
        <f>'Old Balance Sheet'!L202 + 'ACPL Calculations - 1.0'!L202 + 'ACPL Calculations - 2.0'!L202</f>
        <v>0</v>
      </c>
      <c r="BM202" s="33"/>
      <c r="BN202" s="33"/>
      <c r="BO202" s="33"/>
      <c r="BP202" s="33"/>
      <c r="BQ202" s="33"/>
      <c r="BR202" s="33"/>
      <c r="BS202" s="33"/>
      <c r="BT202" s="33"/>
      <c r="BU202" s="33"/>
      <c r="BV202" s="33"/>
      <c r="BW202" s="33"/>
      <c r="BX202" s="33"/>
      <c r="BY202" s="33"/>
      <c r="BZ202" s="33"/>
      <c r="CA202" s="33"/>
      <c r="CB202" s="33"/>
      <c r="CC202" s="33"/>
      <c r="CD202" s="33"/>
      <c r="CE202" s="33"/>
      <c r="CF202" s="33"/>
      <c r="CG202" s="33"/>
      <c r="CH202" s="33"/>
      <c r="CI202" s="33"/>
      <c r="CJ202" s="33"/>
      <c r="CK202" s="33"/>
      <c r="CL202" s="33">
        <f t="shared" si="1"/>
        <v>327</v>
      </c>
      <c r="CM202" s="33">
        <f>'Old Balance Sheet'!R202 + 'ACPL Calculations - 1.0'!S202 + 'ACPL Calculations - 2.0'!S202</f>
        <v>131076</v>
      </c>
      <c r="CN202" s="33">
        <f>'Old Balance Sheet'!S202 + 'ACPL Calculations - 1.0'!T202 + 'ACPL Calculations - 2.0'!T202</f>
        <v>68055</v>
      </c>
      <c r="CO202" s="33">
        <f t="shared" si="2"/>
        <v>88049.35</v>
      </c>
      <c r="CP202" s="33">
        <f>'Old Balance Sheet'!T202 + 'ACPL Calculations - 1.0'!V202 + 'ACPL Calculations - 2.0'!V202</f>
        <v>0</v>
      </c>
      <c r="CQ202" s="33">
        <f>'Old Balance Sheet'!U202 + 'ACPL Calculations - 1.0'!W202 + 'ACPL Calculations - 2.0'!W202</f>
        <v>0</v>
      </c>
      <c r="CR202" s="33">
        <f>'Old Balance Sheet'!V202 + 'ACPL Calculations - 1.0'!X202 + 'ACPL Calculations - 2.0'!X202</f>
        <v>19994.35</v>
      </c>
      <c r="CS202" s="33">
        <f t="shared" si="3"/>
        <v>19994.35</v>
      </c>
      <c r="CT202" s="35"/>
      <c r="CU202" s="35"/>
      <c r="CV202" s="35"/>
      <c r="CW202" s="36">
        <f>'Old Balance Sheet'!W202 + 'ACPL Calculations - 1.0'!Z202 + 'ACPL Calculations - 2.0'!Z202</f>
        <v>0</v>
      </c>
      <c r="CX202" s="36">
        <f>'Old Balance Sheet'!X202 + 'ACPL Calculations - 1.0'!AA202 + 'ACPL Calculations - 2.0'!AA202</f>
        <v>0</v>
      </c>
      <c r="CY202" s="37">
        <v>0.0</v>
      </c>
      <c r="CZ202" s="38">
        <f>'Old Balance Sheet'!Y202 + 'ACPL Calculations - 1.0'!AB202 + 'ACPL Calculations - 2.0'!AB202</f>
        <v>0</v>
      </c>
      <c r="DA202" s="38">
        <f>'Old Balance Sheet'!Z202 + 'ACPL Calculations - 1.0'!AC202 + 'ACPL Calculations - 2.0'!AC202</f>
        <v>0</v>
      </c>
      <c r="DB202" s="38">
        <f>'Old Balance Sheet'!AA202 + 'ACPL Calculations - 1.0'!AD202 + 'ACPL Calculations - 2.0'!AD202</f>
        <v>0</v>
      </c>
      <c r="DC202" s="38">
        <f>'Old Balance Sheet'!AB202 + 'ACPL Calculations - 1.0'!AE202 + 'ACPL Calculations - 2.0'!AE202</f>
        <v>0</v>
      </c>
      <c r="DD202" s="38">
        <f t="shared" si="4"/>
        <v>0</v>
      </c>
      <c r="DE202" s="33">
        <f t="shared" si="5"/>
        <v>0</v>
      </c>
      <c r="DF202" s="35">
        <v>0.0</v>
      </c>
      <c r="DG202" s="35">
        <v>0.0</v>
      </c>
      <c r="DH202" s="35">
        <v>0.0</v>
      </c>
      <c r="DI202" s="35">
        <v>0.0</v>
      </c>
      <c r="DJ202" s="35">
        <v>0.0</v>
      </c>
      <c r="DK202" s="35">
        <v>0.0</v>
      </c>
      <c r="DL202" s="35">
        <v>0.0</v>
      </c>
      <c r="DM202" s="35">
        <v>0.0</v>
      </c>
      <c r="DN202" s="31">
        <v>0.0</v>
      </c>
      <c r="DO202" s="31">
        <v>0.0</v>
      </c>
      <c r="DP202" s="31">
        <v>0.0</v>
      </c>
      <c r="DQ202" s="31">
        <v>0.0</v>
      </c>
      <c r="DR202" s="31">
        <v>0.0</v>
      </c>
      <c r="DS202" s="31">
        <v>0.0</v>
      </c>
      <c r="DT202" s="31">
        <f>'Old Balance Sheet'!AC202</f>
        <v>0</v>
      </c>
      <c r="DU202" s="31">
        <f>DT202 + SUMIFS('Payments Log'!D:D, 'Payments Log'!B:B, A202, 'Payments Log'!L:L, "Approved", 'Payments Log'!M:M, "Credit") + 'Old Balance Sheet'!AD202 - 'Old Balance Sheet'!AC202</f>
        <v>0</v>
      </c>
      <c r="DV202" s="31">
        <f>SUMIFS('Payments Log'!D:D, 'Payments Log'!B:B, A202, 'Payments Log'!L:L, "Approved", 'Payments Log'!M:M, "Adjustment Credit") - SUMIFS('Payments Log'!D:D, 'Payments Log'!B:B, A202, 'Payments Log'!L:L, "Approved", 'Payments Log'!M:M, "Adjustment Debit") + 'Old Balance Sheet'!AE202</f>
        <v>0</v>
      </c>
      <c r="DW202" s="31">
        <f>IF(MAXIFS('Payments Log'!N:N, 'Payments Log'!L:L, "Approved", 'Payments Log'!M:M, "Credit", 'Payments Log'!B:B, A202) &gt; MAXIFS('Payments Log'!N:N, 'Payments Log'!L:L, "Approved", 'Payments Log'!M:M, "Virtual Credit", 'Payments Log'!B:B, A202), 0, SUMIFS('Payments Log'!D:D, 'Payments Log'!N:N, MAXIFS('Payments Log'!N:N, 'Payments Log'!L:L, "Approved", 'Payments Log'!M:M, "Virtual Credit", 'Payments Log'!B:B, A202)))</f>
        <v>0</v>
      </c>
      <c r="DX202" s="33">
        <f t="shared" si="6"/>
        <v>0</v>
      </c>
      <c r="DY202" s="33">
        <f t="shared" si="7"/>
        <v>0</v>
      </c>
      <c r="DZ202" s="33">
        <f t="shared" si="8"/>
        <v>0</v>
      </c>
      <c r="EA202" s="25" t="str">
        <f>(Sheet1!N202)</f>
        <v>MAHESH MOTORS - DINAJPUR</v>
      </c>
      <c r="EB202" s="25" t="str">
        <f>(Sheet1!O202)</f>
        <v>1DVpSm5a7kKqZxFgDUdJBRIcgAuTZosRKDnkmPEIdEG4</v>
      </c>
      <c r="EC202" s="26" t="str">
        <f>(Sheet1!P202)</f>
        <v>Sub Dealer</v>
      </c>
      <c r="ED202" s="34" t="s">
        <v>13</v>
      </c>
    </row>
    <row r="203">
      <c r="A203" s="25" t="str">
        <f>(Sheet1!A203)</f>
        <v>1u5nlK89DUKbohumNTMcU9oOnhT7__c91_mu2iHHIxhk</v>
      </c>
      <c r="B203" s="25" t="str">
        <f>(Sheet1!B203)</f>
        <v>Tiwari Automobiles(AM) - Chhibramau</v>
      </c>
      <c r="C203" s="30" t="s">
        <v>13</v>
      </c>
      <c r="D203" s="25" t="s">
        <v>72</v>
      </c>
      <c r="E203" s="25" t="s">
        <v>3820</v>
      </c>
      <c r="F203" s="33">
        <v>205.0</v>
      </c>
      <c r="G203" s="25" t="s">
        <v>3818</v>
      </c>
      <c r="H203" s="33">
        <v>100.0</v>
      </c>
      <c r="I203" s="33">
        <f>'Old Balance Sheet'!A203 + 'ACPL Calculations - 1.0'!A203 + 'ACPL Calculations - 2.0'!A203</f>
        <v>0</v>
      </c>
      <c r="J203" s="25" t="s">
        <v>3820</v>
      </c>
      <c r="K203" s="33">
        <v>205.0</v>
      </c>
      <c r="L203" s="25" t="s">
        <v>3818</v>
      </c>
      <c r="M203" s="33">
        <v>100.0</v>
      </c>
      <c r="N203" s="33">
        <f>'Old Balance Sheet'!B203 + 'ACPL Calculations - 1.0'!B203 + 'ACPL Calculations - 2.0'!B203</f>
        <v>0</v>
      </c>
      <c r="O203" s="25" t="s">
        <v>3820</v>
      </c>
      <c r="P203" s="33">
        <v>205.0</v>
      </c>
      <c r="Q203" s="25" t="s">
        <v>3818</v>
      </c>
      <c r="R203" s="33">
        <v>100.0</v>
      </c>
      <c r="S203" s="33">
        <f>'Old Balance Sheet'!C203 + 'ACPL Calculations - 1.0'!C203 + 'ACPL Calculations - 2.0'!C203</f>
        <v>558</v>
      </c>
      <c r="T203" s="25" t="s">
        <v>3820</v>
      </c>
      <c r="U203" s="33">
        <v>375.0</v>
      </c>
      <c r="V203" s="25" t="s">
        <v>3818</v>
      </c>
      <c r="W203" s="33">
        <v>100.0</v>
      </c>
      <c r="X203" s="33">
        <f>'Old Balance Sheet'!D203 + 'ACPL Calculations - 1.0'!D203 + 'ACPL Calculations - 2.0'!D203</f>
        <v>0</v>
      </c>
      <c r="Y203" s="25" t="s">
        <v>3820</v>
      </c>
      <c r="Z203" s="33">
        <v>460.0</v>
      </c>
      <c r="AA203" s="42" t="s">
        <v>3818</v>
      </c>
      <c r="AB203" s="43">
        <v>100.0</v>
      </c>
      <c r="AC203" s="33">
        <f>'Old Balance Sheet'!E203 + 'ACPL Calculations - 1.0'!E203 + 'ACPL Calculations - 2.0'!E203</f>
        <v>0</v>
      </c>
      <c r="AD203" s="25" t="s">
        <v>3820</v>
      </c>
      <c r="AE203" s="33">
        <v>838.99</v>
      </c>
      <c r="AF203" s="42" t="s">
        <v>3818</v>
      </c>
      <c r="AG203" s="43">
        <v>100.0</v>
      </c>
      <c r="AH203" s="33">
        <f>'Old Balance Sheet'!F203 + 'ACPL Calculations - 1.0'!F203 + 'ACPL Calculations - 2.0'!F203</f>
        <v>0</v>
      </c>
      <c r="AI203" s="25" t="s">
        <v>3820</v>
      </c>
      <c r="AJ203" s="33">
        <v>375.0</v>
      </c>
      <c r="AK203" s="42" t="s">
        <v>3818</v>
      </c>
      <c r="AL203" s="43">
        <v>100.0</v>
      </c>
      <c r="AM203" s="33">
        <f>'Old Balance Sheet'!G203 + 'ACPL Calculations - 1.0'!G203 + 'ACPL Calculations - 2.0'!G203</f>
        <v>0</v>
      </c>
      <c r="AN203" s="25" t="s">
        <v>3820</v>
      </c>
      <c r="AO203" s="33">
        <v>290.0</v>
      </c>
      <c r="AP203" s="42" t="s">
        <v>3818</v>
      </c>
      <c r="AQ203" s="43">
        <v>100.0</v>
      </c>
      <c r="AR203" s="33">
        <f>'Old Balance Sheet'!H203 + 'ACPL Calculations - 1.0'!H203 + 'ACPL Calculations - 2.0'!H203</f>
        <v>0</v>
      </c>
      <c r="AS203" s="25" t="s">
        <v>3819</v>
      </c>
      <c r="AT203" s="33">
        <v>838.99</v>
      </c>
      <c r="AU203" s="42" t="s">
        <v>3818</v>
      </c>
      <c r="AV203" s="43">
        <v>100.0</v>
      </c>
      <c r="AW203" s="33">
        <f>'Old Balance Sheet'!I203 + 'ACPL Calculations - 1.0'!I203 + 'ACPL Calculations - 2.0'!I203</f>
        <v>0</v>
      </c>
      <c r="AX203" s="25" t="s">
        <v>3820</v>
      </c>
      <c r="AY203" s="31">
        <v>290.0</v>
      </c>
      <c r="AZ203" s="42" t="s">
        <v>3818</v>
      </c>
      <c r="BA203" s="43">
        <v>100.0</v>
      </c>
      <c r="BB203" s="33">
        <f>'Old Balance Sheet'!J203 + 'ACPL Calculations - 1.0'!J203 + 'ACPL Calculations - 2.0'!J203</f>
        <v>0</v>
      </c>
      <c r="BC203" s="25" t="s">
        <v>3820</v>
      </c>
      <c r="BD203" s="31">
        <v>205.0</v>
      </c>
      <c r="BE203" s="42" t="s">
        <v>3818</v>
      </c>
      <c r="BF203" s="43">
        <v>100.0</v>
      </c>
      <c r="BG203" s="33">
        <f>'Old Balance Sheet'!K203 + 'ACPL Calculations - 1.0'!K203 + 'ACPL Calculations - 2.0'!K203</f>
        <v>0</v>
      </c>
      <c r="BH203" s="25" t="s">
        <v>3820</v>
      </c>
      <c r="BI203" s="31">
        <v>205.0</v>
      </c>
      <c r="BJ203" s="42" t="s">
        <v>3818</v>
      </c>
      <c r="BK203" s="43">
        <v>100.0</v>
      </c>
      <c r="BL203" s="33">
        <f>'Old Balance Sheet'!L203 + 'ACPL Calculations - 1.0'!L203 + 'ACPL Calculations - 2.0'!L203</f>
        <v>0</v>
      </c>
      <c r="BM203" s="25"/>
      <c r="BN203" s="25"/>
      <c r="BO203" s="25"/>
      <c r="BP203" s="25"/>
      <c r="BQ203" s="25"/>
      <c r="BR203" s="25"/>
      <c r="BS203" s="25"/>
      <c r="BT203" s="25"/>
      <c r="BU203" s="25"/>
      <c r="BV203" s="25"/>
      <c r="BW203" s="25"/>
      <c r="BX203" s="25"/>
      <c r="BY203" s="25"/>
      <c r="BZ203" s="25"/>
      <c r="CA203" s="25"/>
      <c r="CB203" s="25"/>
      <c r="CC203" s="25"/>
      <c r="CD203" s="25"/>
      <c r="CE203" s="25"/>
      <c r="CF203" s="25"/>
      <c r="CG203" s="25"/>
      <c r="CH203" s="25"/>
      <c r="CI203" s="25"/>
      <c r="CJ203" s="25"/>
      <c r="CK203" s="25"/>
      <c r="CL203" s="33">
        <f t="shared" si="1"/>
        <v>558</v>
      </c>
      <c r="CM203" s="33">
        <f>'Old Balance Sheet'!R203 + 'ACPL Calculations - 1.0'!S203 + 'ACPL Calculations - 2.0'!S203</f>
        <v>385020</v>
      </c>
      <c r="CN203" s="33">
        <f>'Old Balance Sheet'!S203 + 'ACPL Calculations - 1.0'!T203 + 'ACPL Calculations - 2.0'!T203</f>
        <v>114390</v>
      </c>
      <c r="CO203" s="33">
        <f t="shared" si="2"/>
        <v>173119.5</v>
      </c>
      <c r="CP203" s="33">
        <f>'Old Balance Sheet'!T203 + 'ACPL Calculations - 1.0'!V203 + 'ACPL Calculations - 2.0'!V203</f>
        <v>0</v>
      </c>
      <c r="CQ203" s="33">
        <f>'Old Balance Sheet'!U203 + 'ACPL Calculations - 1.0'!W203 + 'ACPL Calculations - 2.0'!W203</f>
        <v>0</v>
      </c>
      <c r="CR203" s="33">
        <f>'Old Balance Sheet'!V203 + 'ACPL Calculations - 1.0'!X203 + 'ACPL Calculations - 2.0'!X203</f>
        <v>58729.5</v>
      </c>
      <c r="CS203" s="33">
        <f t="shared" si="3"/>
        <v>58729.5</v>
      </c>
      <c r="CT203" s="35"/>
      <c r="CU203" s="35"/>
      <c r="CV203" s="35"/>
      <c r="CW203" s="36">
        <f>'Old Balance Sheet'!W203 + 'ACPL Calculations - 1.0'!Z203 + 'ACPL Calculations - 2.0'!Z203</f>
        <v>0</v>
      </c>
      <c r="CX203" s="36">
        <f>'Old Balance Sheet'!X203 + 'ACPL Calculations - 1.0'!AA203 + 'ACPL Calculations - 2.0'!AA203</f>
        <v>0</v>
      </c>
      <c r="CY203" s="37">
        <v>0.0</v>
      </c>
      <c r="CZ203" s="38">
        <f>'Old Balance Sheet'!Y203 + 'ACPL Calculations - 1.0'!AB203 + 'ACPL Calculations - 2.0'!AB203</f>
        <v>0</v>
      </c>
      <c r="DA203" s="38">
        <f>'Old Balance Sheet'!Z203 + 'ACPL Calculations - 1.0'!AC203 + 'ACPL Calculations - 2.0'!AC203</f>
        <v>0</v>
      </c>
      <c r="DB203" s="38">
        <f>'Old Balance Sheet'!AA203 + 'ACPL Calculations - 1.0'!AD203 + 'ACPL Calculations - 2.0'!AD203</f>
        <v>0</v>
      </c>
      <c r="DC203" s="38">
        <f>'Old Balance Sheet'!AB203 + 'ACPL Calculations - 1.0'!AE203 + 'ACPL Calculations - 2.0'!AE203</f>
        <v>0</v>
      </c>
      <c r="DD203" s="38">
        <f t="shared" si="4"/>
        <v>0</v>
      </c>
      <c r="DE203" s="33">
        <f t="shared" si="5"/>
        <v>0</v>
      </c>
      <c r="DF203" s="35">
        <v>0.0</v>
      </c>
      <c r="DG203" s="35">
        <v>0.0</v>
      </c>
      <c r="DH203" s="35">
        <v>0.0</v>
      </c>
      <c r="DI203" s="35">
        <v>0.0</v>
      </c>
      <c r="DJ203" s="35">
        <v>0.0</v>
      </c>
      <c r="DK203" s="35">
        <v>0.0</v>
      </c>
      <c r="DL203" s="35">
        <v>0.0</v>
      </c>
      <c r="DM203" s="35">
        <v>0.0</v>
      </c>
      <c r="DN203" s="31">
        <v>0.0</v>
      </c>
      <c r="DO203" s="31">
        <v>0.0</v>
      </c>
      <c r="DP203" s="31">
        <v>0.0</v>
      </c>
      <c r="DQ203" s="31">
        <v>0.0</v>
      </c>
      <c r="DR203" s="31">
        <v>0.0</v>
      </c>
      <c r="DS203" s="31">
        <v>0.0</v>
      </c>
      <c r="DT203" s="31">
        <f>'Old Balance Sheet'!AC203</f>
        <v>0</v>
      </c>
      <c r="DU203" s="31">
        <f>DT203 + SUMIFS('Payments Log'!D:D, 'Payments Log'!B:B, A203, 'Payments Log'!L:L, "Approved", 'Payments Log'!M:M, "Credit") + 'Old Balance Sheet'!AD203 - 'Old Balance Sheet'!AC203</f>
        <v>0</v>
      </c>
      <c r="DV203" s="31">
        <f>SUMIFS('Payments Log'!D:D, 'Payments Log'!B:B, A203, 'Payments Log'!L:L, "Approved", 'Payments Log'!M:M, "Adjustment Credit") - SUMIFS('Payments Log'!D:D, 'Payments Log'!B:B, A203, 'Payments Log'!L:L, "Approved", 'Payments Log'!M:M, "Adjustment Debit") + 'Old Balance Sheet'!AE203</f>
        <v>0</v>
      </c>
      <c r="DW203" s="31">
        <f>IF(MAXIFS('Payments Log'!N:N, 'Payments Log'!L:L, "Approved", 'Payments Log'!M:M, "Credit", 'Payments Log'!B:B, A203) &gt; MAXIFS('Payments Log'!N:N, 'Payments Log'!L:L, "Approved", 'Payments Log'!M:M, "Virtual Credit", 'Payments Log'!B:B, A203), 0, SUMIFS('Payments Log'!D:D, 'Payments Log'!N:N, MAXIFS('Payments Log'!N:N, 'Payments Log'!L:L, "Approved", 'Payments Log'!M:M, "Virtual Credit", 'Payments Log'!B:B, A203)))</f>
        <v>0</v>
      </c>
      <c r="DX203" s="33">
        <f t="shared" si="6"/>
        <v>0</v>
      </c>
      <c r="DY203" s="33">
        <f t="shared" si="7"/>
        <v>0</v>
      </c>
      <c r="DZ203" s="33">
        <f t="shared" si="8"/>
        <v>0</v>
      </c>
      <c r="EA203" s="25" t="str">
        <f>(Sheet1!N203)</f>
        <v>Asha Motor - Kannauj</v>
      </c>
      <c r="EB203" s="25" t="str">
        <f>(Sheet1!O203)</f>
        <v>1hlnCiW64Y7uZNVOj2ewyfTULbWj1dUaXX2rUREx8W8o</v>
      </c>
      <c r="EC203" s="26" t="str">
        <f>(Sheet1!P203)</f>
        <v>Sub Dealer</v>
      </c>
      <c r="ED203" s="34" t="s">
        <v>13</v>
      </c>
    </row>
    <row r="204">
      <c r="A204" s="25" t="str">
        <f>(Sheet1!A204)</f>
        <v>1Enun10TuqDjmYI19mcuHneCrMiJ9pWK970R1I3IYu50</v>
      </c>
      <c r="B204" s="25" t="str">
        <f>(Sheet1!B204)</f>
        <v>Shanu Motors(AM) - Saurikh</v>
      </c>
      <c r="C204" s="30" t="s">
        <v>13</v>
      </c>
      <c r="D204" s="25" t="s">
        <v>72</v>
      </c>
      <c r="E204" s="25" t="s">
        <v>3820</v>
      </c>
      <c r="F204" s="33">
        <v>205.0</v>
      </c>
      <c r="G204" s="25" t="s">
        <v>3818</v>
      </c>
      <c r="H204" s="33">
        <v>100.0</v>
      </c>
      <c r="I204" s="33">
        <f>'Old Balance Sheet'!A204 + 'ACPL Calculations - 1.0'!A204 + 'ACPL Calculations - 2.0'!A204</f>
        <v>64</v>
      </c>
      <c r="J204" s="25" t="s">
        <v>3820</v>
      </c>
      <c r="K204" s="33">
        <v>205.0</v>
      </c>
      <c r="L204" s="25" t="s">
        <v>3818</v>
      </c>
      <c r="M204" s="33">
        <v>100.0</v>
      </c>
      <c r="N204" s="33">
        <f>'Old Balance Sheet'!B204 + 'ACPL Calculations - 1.0'!B204 + 'ACPL Calculations - 2.0'!B204</f>
        <v>0</v>
      </c>
      <c r="O204" s="25" t="s">
        <v>3820</v>
      </c>
      <c r="P204" s="33">
        <v>205.0</v>
      </c>
      <c r="Q204" s="25" t="s">
        <v>3818</v>
      </c>
      <c r="R204" s="33">
        <v>100.0</v>
      </c>
      <c r="S204" s="33">
        <f>'Old Balance Sheet'!C204 + 'ACPL Calculations - 1.0'!C204 + 'ACPL Calculations - 2.0'!C204</f>
        <v>129</v>
      </c>
      <c r="T204" s="25" t="s">
        <v>3820</v>
      </c>
      <c r="U204" s="33">
        <v>375.0</v>
      </c>
      <c r="V204" s="25" t="s">
        <v>3818</v>
      </c>
      <c r="W204" s="33">
        <v>100.0</v>
      </c>
      <c r="X204" s="33">
        <f>'Old Balance Sheet'!D204 + 'ACPL Calculations - 1.0'!D204 + 'ACPL Calculations - 2.0'!D204</f>
        <v>0</v>
      </c>
      <c r="Y204" s="25" t="s">
        <v>3820</v>
      </c>
      <c r="Z204" s="33">
        <v>460.0</v>
      </c>
      <c r="AA204" s="42" t="s">
        <v>3818</v>
      </c>
      <c r="AB204" s="43">
        <v>100.0</v>
      </c>
      <c r="AC204" s="33">
        <f>'Old Balance Sheet'!E204 + 'ACPL Calculations - 1.0'!E204 + 'ACPL Calculations - 2.0'!E204</f>
        <v>0</v>
      </c>
      <c r="AD204" s="25" t="s">
        <v>3820</v>
      </c>
      <c r="AE204" s="33">
        <v>838.99</v>
      </c>
      <c r="AF204" s="42" t="s">
        <v>3818</v>
      </c>
      <c r="AG204" s="43">
        <v>100.0</v>
      </c>
      <c r="AH204" s="33">
        <f>'Old Balance Sheet'!F204 + 'ACPL Calculations - 1.0'!F204 + 'ACPL Calculations - 2.0'!F204</f>
        <v>0</v>
      </c>
      <c r="AI204" s="25" t="s">
        <v>3820</v>
      </c>
      <c r="AJ204" s="33">
        <v>375.0</v>
      </c>
      <c r="AK204" s="42" t="s">
        <v>3818</v>
      </c>
      <c r="AL204" s="43">
        <v>100.0</v>
      </c>
      <c r="AM204" s="33">
        <f>'Old Balance Sheet'!G204 + 'ACPL Calculations - 1.0'!G204 + 'ACPL Calculations - 2.0'!G204</f>
        <v>0</v>
      </c>
      <c r="AN204" s="25" t="s">
        <v>3820</v>
      </c>
      <c r="AO204" s="33">
        <v>290.0</v>
      </c>
      <c r="AP204" s="42" t="s">
        <v>3818</v>
      </c>
      <c r="AQ204" s="43">
        <v>100.0</v>
      </c>
      <c r="AR204" s="33">
        <f>'Old Balance Sheet'!H204 + 'ACPL Calculations - 1.0'!H204 + 'ACPL Calculations - 2.0'!H204</f>
        <v>0</v>
      </c>
      <c r="AS204" s="25" t="s">
        <v>3819</v>
      </c>
      <c r="AT204" s="33">
        <v>838.99</v>
      </c>
      <c r="AU204" s="42" t="s">
        <v>3818</v>
      </c>
      <c r="AV204" s="43">
        <v>100.0</v>
      </c>
      <c r="AW204" s="33">
        <f>'Old Balance Sheet'!I204 + 'ACPL Calculations - 1.0'!I204 + 'ACPL Calculations - 2.0'!I204</f>
        <v>0</v>
      </c>
      <c r="AX204" s="25" t="s">
        <v>3820</v>
      </c>
      <c r="AY204" s="31">
        <v>290.0</v>
      </c>
      <c r="AZ204" s="42" t="s">
        <v>3818</v>
      </c>
      <c r="BA204" s="43">
        <v>100.0</v>
      </c>
      <c r="BB204" s="33">
        <f>'Old Balance Sheet'!J204 + 'ACPL Calculations - 1.0'!J204 + 'ACPL Calculations - 2.0'!J204</f>
        <v>0</v>
      </c>
      <c r="BC204" s="25" t="s">
        <v>3820</v>
      </c>
      <c r="BD204" s="31">
        <v>205.0</v>
      </c>
      <c r="BE204" s="42" t="s">
        <v>3818</v>
      </c>
      <c r="BF204" s="43">
        <v>100.0</v>
      </c>
      <c r="BG204" s="33">
        <f>'Old Balance Sheet'!K204 + 'ACPL Calculations - 1.0'!K204 + 'ACPL Calculations - 2.0'!K204</f>
        <v>0</v>
      </c>
      <c r="BH204" s="25" t="s">
        <v>3820</v>
      </c>
      <c r="BI204" s="31">
        <v>205.0</v>
      </c>
      <c r="BJ204" s="42" t="s">
        <v>3818</v>
      </c>
      <c r="BK204" s="43">
        <v>100.0</v>
      </c>
      <c r="BL204" s="33">
        <f>'Old Balance Sheet'!L204 + 'ACPL Calculations - 1.0'!L204 + 'ACPL Calculations - 2.0'!L204</f>
        <v>0</v>
      </c>
      <c r="BM204" s="25"/>
      <c r="BN204" s="25"/>
      <c r="BO204" s="25"/>
      <c r="BP204" s="25"/>
      <c r="BQ204" s="25"/>
      <c r="BR204" s="25"/>
      <c r="BS204" s="25"/>
      <c r="BT204" s="25"/>
      <c r="BU204" s="25"/>
      <c r="BV204" s="25"/>
      <c r="BW204" s="25"/>
      <c r="BX204" s="25"/>
      <c r="BY204" s="25"/>
      <c r="BZ204" s="25"/>
      <c r="CA204" s="25"/>
      <c r="CB204" s="25"/>
      <c r="CC204" s="25"/>
      <c r="CD204" s="25"/>
      <c r="CE204" s="25"/>
      <c r="CF204" s="25"/>
      <c r="CG204" s="25"/>
      <c r="CH204" s="25"/>
      <c r="CI204" s="25"/>
      <c r="CJ204" s="25"/>
      <c r="CK204" s="25"/>
      <c r="CL204" s="33">
        <f t="shared" si="1"/>
        <v>193</v>
      </c>
      <c r="CM204" s="33">
        <f>'Old Balance Sheet'!R204 + 'ACPL Calculations - 1.0'!S204 + 'ACPL Calculations - 2.0'!S204</f>
        <v>113970</v>
      </c>
      <c r="CN204" s="33">
        <f>'Old Balance Sheet'!S204 + 'ACPL Calculations - 1.0'!T204 + 'ACPL Calculations - 2.0'!T204</f>
        <v>39565</v>
      </c>
      <c r="CO204" s="33">
        <f t="shared" si="2"/>
        <v>56949.61</v>
      </c>
      <c r="CP204" s="33">
        <f>'Old Balance Sheet'!T204 + 'ACPL Calculations - 1.0'!V204 + 'ACPL Calculations - 2.0'!V204</f>
        <v>0</v>
      </c>
      <c r="CQ204" s="33">
        <f>'Old Balance Sheet'!U204 + 'ACPL Calculations - 1.0'!W204 + 'ACPL Calculations - 2.0'!W204</f>
        <v>0</v>
      </c>
      <c r="CR204" s="33">
        <f>'Old Balance Sheet'!V204 + 'ACPL Calculations - 1.0'!X204 + 'ACPL Calculations - 2.0'!X204</f>
        <v>17384.61</v>
      </c>
      <c r="CS204" s="33">
        <f t="shared" si="3"/>
        <v>17384.61</v>
      </c>
      <c r="CT204" s="35"/>
      <c r="CU204" s="35"/>
      <c r="CV204" s="35"/>
      <c r="CW204" s="36">
        <f>'Old Balance Sheet'!W204 + 'ACPL Calculations - 1.0'!Z204 + 'ACPL Calculations - 2.0'!Z204</f>
        <v>0</v>
      </c>
      <c r="CX204" s="36">
        <f>'Old Balance Sheet'!X204 + 'ACPL Calculations - 1.0'!AA204 + 'ACPL Calculations - 2.0'!AA204</f>
        <v>0</v>
      </c>
      <c r="CY204" s="37">
        <v>0.0</v>
      </c>
      <c r="CZ204" s="38">
        <f>'Old Balance Sheet'!Y204 + 'ACPL Calculations - 1.0'!AB204 + 'ACPL Calculations - 2.0'!AB204</f>
        <v>0</v>
      </c>
      <c r="DA204" s="38">
        <f>'Old Balance Sheet'!Z204 + 'ACPL Calculations - 1.0'!AC204 + 'ACPL Calculations - 2.0'!AC204</f>
        <v>0</v>
      </c>
      <c r="DB204" s="38">
        <f>'Old Balance Sheet'!AA204 + 'ACPL Calculations - 1.0'!AD204 + 'ACPL Calculations - 2.0'!AD204</f>
        <v>0</v>
      </c>
      <c r="DC204" s="38">
        <f>'Old Balance Sheet'!AB204 + 'ACPL Calculations - 1.0'!AE204 + 'ACPL Calculations - 2.0'!AE204</f>
        <v>0</v>
      </c>
      <c r="DD204" s="38">
        <f t="shared" si="4"/>
        <v>0</v>
      </c>
      <c r="DE204" s="33">
        <f t="shared" si="5"/>
        <v>0</v>
      </c>
      <c r="DF204" s="35">
        <v>0.0</v>
      </c>
      <c r="DG204" s="35">
        <v>0.0</v>
      </c>
      <c r="DH204" s="35">
        <v>0.0</v>
      </c>
      <c r="DI204" s="35">
        <v>0.0</v>
      </c>
      <c r="DJ204" s="35">
        <v>0.0</v>
      </c>
      <c r="DK204" s="35">
        <v>0.0</v>
      </c>
      <c r="DL204" s="35">
        <v>0.0</v>
      </c>
      <c r="DM204" s="35">
        <v>0.0</v>
      </c>
      <c r="DN204" s="31">
        <v>0.0</v>
      </c>
      <c r="DO204" s="31">
        <v>0.0</v>
      </c>
      <c r="DP204" s="31">
        <v>0.0</v>
      </c>
      <c r="DQ204" s="31">
        <v>0.0</v>
      </c>
      <c r="DR204" s="31">
        <v>0.0</v>
      </c>
      <c r="DS204" s="31">
        <v>0.0</v>
      </c>
      <c r="DT204" s="31">
        <f>'Old Balance Sheet'!AC204</f>
        <v>0</v>
      </c>
      <c r="DU204" s="31">
        <f>DT204 + SUMIFS('Payments Log'!D:D, 'Payments Log'!B:B, A204, 'Payments Log'!L:L, "Approved", 'Payments Log'!M:M, "Credit") + 'Old Balance Sheet'!AD204 - 'Old Balance Sheet'!AC204</f>
        <v>0</v>
      </c>
      <c r="DV204" s="31">
        <f>SUMIFS('Payments Log'!D:D, 'Payments Log'!B:B, A204, 'Payments Log'!L:L, "Approved", 'Payments Log'!M:M, "Adjustment Credit") - SUMIFS('Payments Log'!D:D, 'Payments Log'!B:B, A204, 'Payments Log'!L:L, "Approved", 'Payments Log'!M:M, "Adjustment Debit") + 'Old Balance Sheet'!AE204</f>
        <v>0</v>
      </c>
      <c r="DW204" s="31">
        <f>IF(MAXIFS('Payments Log'!N:N, 'Payments Log'!L:L, "Approved", 'Payments Log'!M:M, "Credit", 'Payments Log'!B:B, A204) &gt; MAXIFS('Payments Log'!N:N, 'Payments Log'!L:L, "Approved", 'Payments Log'!M:M, "Virtual Credit", 'Payments Log'!B:B, A204), 0, SUMIFS('Payments Log'!D:D, 'Payments Log'!N:N, MAXIFS('Payments Log'!N:N, 'Payments Log'!L:L, "Approved", 'Payments Log'!M:M, "Virtual Credit", 'Payments Log'!B:B, A204)))</f>
        <v>0</v>
      </c>
      <c r="DX204" s="33">
        <f t="shared" si="6"/>
        <v>0</v>
      </c>
      <c r="DY204" s="33">
        <f t="shared" si="7"/>
        <v>0</v>
      </c>
      <c r="DZ204" s="33">
        <f t="shared" si="8"/>
        <v>0</v>
      </c>
      <c r="EA204" s="25" t="str">
        <f>(Sheet1!N204)</f>
        <v>Asha Motor - Kannauj</v>
      </c>
      <c r="EB204" s="25" t="str">
        <f>(Sheet1!O204)</f>
        <v>1hlnCiW64Y7uZNVOj2ewyfTULbWj1dUaXX2rUREx8W8o</v>
      </c>
      <c r="EC204" s="26" t="str">
        <f>(Sheet1!P204)</f>
        <v>Sub Dealer</v>
      </c>
      <c r="ED204" s="34" t="s">
        <v>13</v>
      </c>
    </row>
    <row r="205">
      <c r="A205" s="25" t="str">
        <f>(Sheet1!A205)</f>
        <v>1t2jvG-avz320SBpAYKAjPj-BB8Kp974TQ1yfGetbst8</v>
      </c>
      <c r="B205" s="25" t="str">
        <f>(Sheet1!B205)</f>
        <v>Tirwa Motors(AM) - Tirwa</v>
      </c>
      <c r="C205" s="30" t="s">
        <v>13</v>
      </c>
      <c r="D205" s="25" t="s">
        <v>72</v>
      </c>
      <c r="E205" s="25" t="s">
        <v>3820</v>
      </c>
      <c r="F205" s="33">
        <v>205.0</v>
      </c>
      <c r="G205" s="25" t="s">
        <v>3818</v>
      </c>
      <c r="H205" s="33">
        <v>100.0</v>
      </c>
      <c r="I205" s="33">
        <f>'Old Balance Sheet'!A205 + 'ACPL Calculations - 1.0'!A205 + 'ACPL Calculations - 2.0'!A205</f>
        <v>0</v>
      </c>
      <c r="J205" s="25" t="s">
        <v>3820</v>
      </c>
      <c r="K205" s="33">
        <v>205.0</v>
      </c>
      <c r="L205" s="25" t="s">
        <v>3818</v>
      </c>
      <c r="M205" s="33">
        <v>100.0</v>
      </c>
      <c r="N205" s="33">
        <f>'Old Balance Sheet'!B205 + 'ACPL Calculations - 1.0'!B205 + 'ACPL Calculations - 2.0'!B205</f>
        <v>0</v>
      </c>
      <c r="O205" s="25" t="s">
        <v>3820</v>
      </c>
      <c r="P205" s="33">
        <v>205.0</v>
      </c>
      <c r="Q205" s="25" t="s">
        <v>3818</v>
      </c>
      <c r="R205" s="33">
        <v>100.0</v>
      </c>
      <c r="S205" s="33">
        <f>'Old Balance Sheet'!C205 + 'ACPL Calculations - 1.0'!C205 + 'ACPL Calculations - 2.0'!C205</f>
        <v>831</v>
      </c>
      <c r="T205" s="25" t="s">
        <v>3820</v>
      </c>
      <c r="U205" s="33">
        <v>375.0</v>
      </c>
      <c r="V205" s="25" t="s">
        <v>3818</v>
      </c>
      <c r="W205" s="33">
        <v>100.0</v>
      </c>
      <c r="X205" s="33">
        <f>'Old Balance Sheet'!D205 + 'ACPL Calculations - 1.0'!D205 + 'ACPL Calculations - 2.0'!D205</f>
        <v>0</v>
      </c>
      <c r="Y205" s="25" t="s">
        <v>3820</v>
      </c>
      <c r="Z205" s="33">
        <v>460.0</v>
      </c>
      <c r="AA205" s="42" t="s">
        <v>3818</v>
      </c>
      <c r="AB205" s="43">
        <v>100.0</v>
      </c>
      <c r="AC205" s="33">
        <f>'Old Balance Sheet'!E205 + 'ACPL Calculations - 1.0'!E205 + 'ACPL Calculations - 2.0'!E205</f>
        <v>0</v>
      </c>
      <c r="AD205" s="25" t="s">
        <v>3820</v>
      </c>
      <c r="AE205" s="33">
        <v>838.99</v>
      </c>
      <c r="AF205" s="42" t="s">
        <v>3818</v>
      </c>
      <c r="AG205" s="43">
        <v>100.0</v>
      </c>
      <c r="AH205" s="33">
        <f>'Old Balance Sheet'!F205 + 'ACPL Calculations - 1.0'!F205 + 'ACPL Calculations - 2.0'!F205</f>
        <v>0</v>
      </c>
      <c r="AI205" s="25" t="s">
        <v>3820</v>
      </c>
      <c r="AJ205" s="33">
        <v>375.0</v>
      </c>
      <c r="AK205" s="42" t="s">
        <v>3818</v>
      </c>
      <c r="AL205" s="43">
        <v>100.0</v>
      </c>
      <c r="AM205" s="33">
        <f>'Old Balance Sheet'!G205 + 'ACPL Calculations - 1.0'!G205 + 'ACPL Calculations - 2.0'!G205</f>
        <v>0</v>
      </c>
      <c r="AN205" s="25" t="s">
        <v>3820</v>
      </c>
      <c r="AO205" s="33">
        <v>290.0</v>
      </c>
      <c r="AP205" s="42" t="s">
        <v>3818</v>
      </c>
      <c r="AQ205" s="43">
        <v>100.0</v>
      </c>
      <c r="AR205" s="33">
        <f>'Old Balance Sheet'!H205 + 'ACPL Calculations - 1.0'!H205 + 'ACPL Calculations - 2.0'!H205</f>
        <v>0</v>
      </c>
      <c r="AS205" s="25" t="s">
        <v>3819</v>
      </c>
      <c r="AT205" s="33">
        <v>838.99</v>
      </c>
      <c r="AU205" s="42" t="s">
        <v>3818</v>
      </c>
      <c r="AV205" s="43">
        <v>100.0</v>
      </c>
      <c r="AW205" s="33">
        <f>'Old Balance Sheet'!I205 + 'ACPL Calculations - 1.0'!I205 + 'ACPL Calculations - 2.0'!I205</f>
        <v>0</v>
      </c>
      <c r="AX205" s="25" t="s">
        <v>3820</v>
      </c>
      <c r="AY205" s="31">
        <v>290.0</v>
      </c>
      <c r="AZ205" s="42" t="s">
        <v>3818</v>
      </c>
      <c r="BA205" s="43">
        <v>100.0</v>
      </c>
      <c r="BB205" s="33">
        <f>'Old Balance Sheet'!J205 + 'ACPL Calculations - 1.0'!J205 + 'ACPL Calculations - 2.0'!J205</f>
        <v>0</v>
      </c>
      <c r="BC205" s="25" t="s">
        <v>3820</v>
      </c>
      <c r="BD205" s="31">
        <v>205.0</v>
      </c>
      <c r="BE205" s="42" t="s">
        <v>3818</v>
      </c>
      <c r="BF205" s="43">
        <v>100.0</v>
      </c>
      <c r="BG205" s="33">
        <f>'Old Balance Sheet'!K205 + 'ACPL Calculations - 1.0'!K205 + 'ACPL Calculations - 2.0'!K205</f>
        <v>0</v>
      </c>
      <c r="BH205" s="25" t="s">
        <v>3820</v>
      </c>
      <c r="BI205" s="31">
        <v>205.0</v>
      </c>
      <c r="BJ205" s="42" t="s">
        <v>3818</v>
      </c>
      <c r="BK205" s="43">
        <v>100.0</v>
      </c>
      <c r="BL205" s="33">
        <f>'Old Balance Sheet'!L205 + 'ACPL Calculations - 1.0'!L205 + 'ACPL Calculations - 2.0'!L205</f>
        <v>0</v>
      </c>
      <c r="BM205" s="25"/>
      <c r="BN205" s="25"/>
      <c r="BO205" s="25"/>
      <c r="BP205" s="25"/>
      <c r="BQ205" s="25"/>
      <c r="BR205" s="25"/>
      <c r="BS205" s="25"/>
      <c r="BT205" s="25"/>
      <c r="BU205" s="25"/>
      <c r="BV205" s="25"/>
      <c r="BW205" s="25"/>
      <c r="BX205" s="25"/>
      <c r="BY205" s="25"/>
      <c r="BZ205" s="25"/>
      <c r="CA205" s="25"/>
      <c r="CB205" s="25"/>
      <c r="CC205" s="25"/>
      <c r="CD205" s="25"/>
      <c r="CE205" s="25"/>
      <c r="CF205" s="25"/>
      <c r="CG205" s="25"/>
      <c r="CH205" s="25"/>
      <c r="CI205" s="25"/>
      <c r="CJ205" s="25"/>
      <c r="CK205" s="25"/>
      <c r="CL205" s="33">
        <f t="shared" si="1"/>
        <v>831</v>
      </c>
      <c r="CM205" s="33">
        <f>'Old Balance Sheet'!R205 + 'ACPL Calculations - 1.0'!S205 + 'ACPL Calculations - 2.0'!S205</f>
        <v>573390</v>
      </c>
      <c r="CN205" s="33">
        <f>'Old Balance Sheet'!S205 + 'ACPL Calculations - 1.0'!T205 + 'ACPL Calculations - 2.0'!T205</f>
        <v>170355</v>
      </c>
      <c r="CO205" s="33">
        <f t="shared" si="2"/>
        <v>257817.75</v>
      </c>
      <c r="CP205" s="33">
        <f>'Old Balance Sheet'!T205 + 'ACPL Calculations - 1.0'!V205 + 'ACPL Calculations - 2.0'!V205</f>
        <v>0</v>
      </c>
      <c r="CQ205" s="33">
        <f>'Old Balance Sheet'!U205 + 'ACPL Calculations - 1.0'!W205 + 'ACPL Calculations - 2.0'!W205</f>
        <v>0</v>
      </c>
      <c r="CR205" s="33">
        <f>'Old Balance Sheet'!V205 + 'ACPL Calculations - 1.0'!X205 + 'ACPL Calculations - 2.0'!X205</f>
        <v>87462.75</v>
      </c>
      <c r="CS205" s="33">
        <f t="shared" si="3"/>
        <v>87462.75</v>
      </c>
      <c r="CT205" s="35"/>
      <c r="CU205" s="35"/>
      <c r="CV205" s="35"/>
      <c r="CW205" s="36">
        <f>'Old Balance Sheet'!W205 + 'ACPL Calculations - 1.0'!Z205 + 'ACPL Calculations - 2.0'!Z205</f>
        <v>0</v>
      </c>
      <c r="CX205" s="36">
        <f>'Old Balance Sheet'!X205 + 'ACPL Calculations - 1.0'!AA205 + 'ACPL Calculations - 2.0'!AA205</f>
        <v>0</v>
      </c>
      <c r="CY205" s="37">
        <v>0.0</v>
      </c>
      <c r="CZ205" s="38">
        <f>'Old Balance Sheet'!Y205 + 'ACPL Calculations - 1.0'!AB205 + 'ACPL Calculations - 2.0'!AB205</f>
        <v>0</v>
      </c>
      <c r="DA205" s="38">
        <f>'Old Balance Sheet'!Z205 + 'ACPL Calculations - 1.0'!AC205 + 'ACPL Calculations - 2.0'!AC205</f>
        <v>0</v>
      </c>
      <c r="DB205" s="38">
        <f>'Old Balance Sheet'!AA205 + 'ACPL Calculations - 1.0'!AD205 + 'ACPL Calculations - 2.0'!AD205</f>
        <v>0</v>
      </c>
      <c r="DC205" s="38">
        <f>'Old Balance Sheet'!AB205 + 'ACPL Calculations - 1.0'!AE205 + 'ACPL Calculations - 2.0'!AE205</f>
        <v>0</v>
      </c>
      <c r="DD205" s="38">
        <f t="shared" si="4"/>
        <v>0</v>
      </c>
      <c r="DE205" s="33">
        <f t="shared" si="5"/>
        <v>0</v>
      </c>
      <c r="DF205" s="35">
        <v>0.0</v>
      </c>
      <c r="DG205" s="35">
        <v>0.0</v>
      </c>
      <c r="DH205" s="35">
        <v>0.0</v>
      </c>
      <c r="DI205" s="35">
        <v>0.0</v>
      </c>
      <c r="DJ205" s="35">
        <v>0.0</v>
      </c>
      <c r="DK205" s="35">
        <v>0.0</v>
      </c>
      <c r="DL205" s="35">
        <v>0.0</v>
      </c>
      <c r="DM205" s="35">
        <v>0.0</v>
      </c>
      <c r="DN205" s="31">
        <v>0.0</v>
      </c>
      <c r="DO205" s="31">
        <v>0.0</v>
      </c>
      <c r="DP205" s="31">
        <v>0.0</v>
      </c>
      <c r="DQ205" s="31">
        <v>0.0</v>
      </c>
      <c r="DR205" s="31">
        <v>0.0</v>
      </c>
      <c r="DS205" s="31">
        <v>0.0</v>
      </c>
      <c r="DT205" s="31">
        <f>'Old Balance Sheet'!AC205</f>
        <v>0</v>
      </c>
      <c r="DU205" s="31">
        <f>DT205 + SUMIFS('Payments Log'!D:D, 'Payments Log'!B:B, A205, 'Payments Log'!L:L, "Approved", 'Payments Log'!M:M, "Credit") + 'Old Balance Sheet'!AD205 - 'Old Balance Sheet'!AC205</f>
        <v>0</v>
      </c>
      <c r="DV205" s="31">
        <f>SUMIFS('Payments Log'!D:D, 'Payments Log'!B:B, A205, 'Payments Log'!L:L, "Approved", 'Payments Log'!M:M, "Adjustment Credit") - SUMIFS('Payments Log'!D:D, 'Payments Log'!B:B, A205, 'Payments Log'!L:L, "Approved", 'Payments Log'!M:M, "Adjustment Debit") + 'Old Balance Sheet'!AE205</f>
        <v>0</v>
      </c>
      <c r="DW205" s="31">
        <f>IF(MAXIFS('Payments Log'!N:N, 'Payments Log'!L:L, "Approved", 'Payments Log'!M:M, "Credit", 'Payments Log'!B:B, A205) &gt; MAXIFS('Payments Log'!N:N, 'Payments Log'!L:L, "Approved", 'Payments Log'!M:M, "Virtual Credit", 'Payments Log'!B:B, A205), 0, SUMIFS('Payments Log'!D:D, 'Payments Log'!N:N, MAXIFS('Payments Log'!N:N, 'Payments Log'!L:L, "Approved", 'Payments Log'!M:M, "Virtual Credit", 'Payments Log'!B:B, A205)))</f>
        <v>0</v>
      </c>
      <c r="DX205" s="33">
        <f t="shared" si="6"/>
        <v>0</v>
      </c>
      <c r="DY205" s="33">
        <f t="shared" si="7"/>
        <v>0</v>
      </c>
      <c r="DZ205" s="33">
        <f t="shared" si="8"/>
        <v>0</v>
      </c>
      <c r="EA205" s="25" t="str">
        <f>(Sheet1!N205)</f>
        <v>Asha Motor - Kannauj</v>
      </c>
      <c r="EB205" s="25" t="str">
        <f>(Sheet1!O205)</f>
        <v>1hlnCiW64Y7uZNVOj2ewyfTULbWj1dUaXX2rUREx8W8o</v>
      </c>
      <c r="EC205" s="26" t="str">
        <f>(Sheet1!P205)</f>
        <v>Sub Dealer</v>
      </c>
      <c r="ED205" s="34" t="s">
        <v>13</v>
      </c>
    </row>
    <row r="206">
      <c r="A206" s="25" t="str">
        <f>(Sheet1!A206)</f>
        <v>1bfmIig1fGVakKR5J49ypp9KG-WRhILBb521RabDqaq4</v>
      </c>
      <c r="B206" s="25" t="str">
        <f>(Sheet1!B206)</f>
        <v>Ganesh Motors(AM) - Thathiya</v>
      </c>
      <c r="C206" s="30" t="s">
        <v>13</v>
      </c>
      <c r="D206" s="25" t="s">
        <v>72</v>
      </c>
      <c r="E206" s="25" t="s">
        <v>3820</v>
      </c>
      <c r="F206" s="33">
        <v>205.0</v>
      </c>
      <c r="G206" s="25" t="s">
        <v>3818</v>
      </c>
      <c r="H206" s="33">
        <v>100.0</v>
      </c>
      <c r="I206" s="33">
        <f>'Old Balance Sheet'!A206 + 'ACPL Calculations - 1.0'!A206 + 'ACPL Calculations - 2.0'!A206</f>
        <v>0</v>
      </c>
      <c r="J206" s="25" t="s">
        <v>3820</v>
      </c>
      <c r="K206" s="33">
        <v>205.0</v>
      </c>
      <c r="L206" s="25" t="s">
        <v>3818</v>
      </c>
      <c r="M206" s="33">
        <v>100.0</v>
      </c>
      <c r="N206" s="33">
        <f>'Old Balance Sheet'!B206 + 'ACPL Calculations - 1.0'!B206 + 'ACPL Calculations - 2.0'!B206</f>
        <v>0</v>
      </c>
      <c r="O206" s="25" t="s">
        <v>3820</v>
      </c>
      <c r="P206" s="33">
        <v>205.0</v>
      </c>
      <c r="Q206" s="25" t="s">
        <v>3818</v>
      </c>
      <c r="R206" s="33">
        <v>100.0</v>
      </c>
      <c r="S206" s="33">
        <f>'Old Balance Sheet'!C206 + 'ACPL Calculations - 1.0'!C206 + 'ACPL Calculations - 2.0'!C206</f>
        <v>30</v>
      </c>
      <c r="T206" s="25" t="s">
        <v>3820</v>
      </c>
      <c r="U206" s="33">
        <v>375.0</v>
      </c>
      <c r="V206" s="25" t="s">
        <v>3818</v>
      </c>
      <c r="W206" s="33">
        <v>100.0</v>
      </c>
      <c r="X206" s="33">
        <f>'Old Balance Sheet'!D206 + 'ACPL Calculations - 1.0'!D206 + 'ACPL Calculations - 2.0'!D206</f>
        <v>0</v>
      </c>
      <c r="Y206" s="25" t="s">
        <v>3820</v>
      </c>
      <c r="Z206" s="33">
        <v>460.0</v>
      </c>
      <c r="AA206" s="42" t="s">
        <v>3818</v>
      </c>
      <c r="AB206" s="43">
        <v>100.0</v>
      </c>
      <c r="AC206" s="33">
        <f>'Old Balance Sheet'!E206 + 'ACPL Calculations - 1.0'!E206 + 'ACPL Calculations - 2.0'!E206</f>
        <v>0</v>
      </c>
      <c r="AD206" s="25" t="s">
        <v>3820</v>
      </c>
      <c r="AE206" s="33">
        <v>838.99</v>
      </c>
      <c r="AF206" s="42" t="s">
        <v>3818</v>
      </c>
      <c r="AG206" s="43">
        <v>100.0</v>
      </c>
      <c r="AH206" s="33">
        <f>'Old Balance Sheet'!F206 + 'ACPL Calculations - 1.0'!F206 + 'ACPL Calculations - 2.0'!F206</f>
        <v>0</v>
      </c>
      <c r="AI206" s="25" t="s">
        <v>3820</v>
      </c>
      <c r="AJ206" s="33">
        <v>375.0</v>
      </c>
      <c r="AK206" s="42" t="s">
        <v>3818</v>
      </c>
      <c r="AL206" s="43">
        <v>100.0</v>
      </c>
      <c r="AM206" s="33">
        <f>'Old Balance Sheet'!G206 + 'ACPL Calculations - 1.0'!G206 + 'ACPL Calculations - 2.0'!G206</f>
        <v>0</v>
      </c>
      <c r="AN206" s="25" t="s">
        <v>3820</v>
      </c>
      <c r="AO206" s="33">
        <v>290.0</v>
      </c>
      <c r="AP206" s="42" t="s">
        <v>3818</v>
      </c>
      <c r="AQ206" s="43">
        <v>100.0</v>
      </c>
      <c r="AR206" s="33">
        <f>'Old Balance Sheet'!H206 + 'ACPL Calculations - 1.0'!H206 + 'ACPL Calculations - 2.0'!H206</f>
        <v>0</v>
      </c>
      <c r="AS206" s="25" t="s">
        <v>3819</v>
      </c>
      <c r="AT206" s="33">
        <v>838.99</v>
      </c>
      <c r="AU206" s="42" t="s">
        <v>3818</v>
      </c>
      <c r="AV206" s="43">
        <v>100.0</v>
      </c>
      <c r="AW206" s="33">
        <f>'Old Balance Sheet'!I206 + 'ACPL Calculations - 1.0'!I206 + 'ACPL Calculations - 2.0'!I206</f>
        <v>0</v>
      </c>
      <c r="AX206" s="25" t="s">
        <v>3820</v>
      </c>
      <c r="AY206" s="31">
        <v>290.0</v>
      </c>
      <c r="AZ206" s="42" t="s">
        <v>3818</v>
      </c>
      <c r="BA206" s="43">
        <v>100.0</v>
      </c>
      <c r="BB206" s="33">
        <f>'Old Balance Sheet'!J206 + 'ACPL Calculations - 1.0'!J206 + 'ACPL Calculations - 2.0'!J206</f>
        <v>0</v>
      </c>
      <c r="BC206" s="25" t="s">
        <v>3820</v>
      </c>
      <c r="BD206" s="31">
        <v>205.0</v>
      </c>
      <c r="BE206" s="42" t="s">
        <v>3818</v>
      </c>
      <c r="BF206" s="43">
        <v>100.0</v>
      </c>
      <c r="BG206" s="33">
        <f>'Old Balance Sheet'!K206 + 'ACPL Calculations - 1.0'!K206 + 'ACPL Calculations - 2.0'!K206</f>
        <v>0</v>
      </c>
      <c r="BH206" s="25" t="s">
        <v>3820</v>
      </c>
      <c r="BI206" s="31">
        <v>205.0</v>
      </c>
      <c r="BJ206" s="42" t="s">
        <v>3818</v>
      </c>
      <c r="BK206" s="43">
        <v>100.0</v>
      </c>
      <c r="BL206" s="33">
        <f>'Old Balance Sheet'!L206 + 'ACPL Calculations - 1.0'!L206 + 'ACPL Calculations - 2.0'!L206</f>
        <v>0</v>
      </c>
      <c r="BM206" s="25"/>
      <c r="BN206" s="25"/>
      <c r="BO206" s="25"/>
      <c r="BP206" s="25"/>
      <c r="BQ206" s="25"/>
      <c r="BR206" s="25"/>
      <c r="BS206" s="25"/>
      <c r="BT206" s="25"/>
      <c r="BU206" s="25"/>
      <c r="BV206" s="25"/>
      <c r="BW206" s="25"/>
      <c r="BX206" s="25"/>
      <c r="BY206" s="25"/>
      <c r="BZ206" s="25"/>
      <c r="CA206" s="25"/>
      <c r="CB206" s="25"/>
      <c r="CC206" s="25"/>
      <c r="CD206" s="25"/>
      <c r="CE206" s="25"/>
      <c r="CF206" s="25"/>
      <c r="CG206" s="25"/>
      <c r="CH206" s="25"/>
      <c r="CI206" s="25"/>
      <c r="CJ206" s="25"/>
      <c r="CK206" s="25"/>
      <c r="CL206" s="33">
        <f t="shared" si="1"/>
        <v>30</v>
      </c>
      <c r="CM206" s="33">
        <f>'Old Balance Sheet'!R206 + 'ACPL Calculations - 1.0'!S206 + 'ACPL Calculations - 2.0'!S206</f>
        <v>20700</v>
      </c>
      <c r="CN206" s="33">
        <f>'Old Balance Sheet'!S206 + 'ACPL Calculations - 1.0'!T206 + 'ACPL Calculations - 2.0'!T206</f>
        <v>6150</v>
      </c>
      <c r="CO206" s="33">
        <f t="shared" si="2"/>
        <v>9307.5</v>
      </c>
      <c r="CP206" s="33">
        <f>'Old Balance Sheet'!T206 + 'ACPL Calculations - 1.0'!V206 + 'ACPL Calculations - 2.0'!V206</f>
        <v>0</v>
      </c>
      <c r="CQ206" s="33">
        <f>'Old Balance Sheet'!U206 + 'ACPL Calculations - 1.0'!W206 + 'ACPL Calculations - 2.0'!W206</f>
        <v>0</v>
      </c>
      <c r="CR206" s="33">
        <f>'Old Balance Sheet'!V206 + 'ACPL Calculations - 1.0'!X206 + 'ACPL Calculations - 2.0'!X206</f>
        <v>3157.5</v>
      </c>
      <c r="CS206" s="33">
        <f t="shared" si="3"/>
        <v>3157.5</v>
      </c>
      <c r="CT206" s="35"/>
      <c r="CU206" s="35"/>
      <c r="CV206" s="35"/>
      <c r="CW206" s="36">
        <f>'Old Balance Sheet'!W206 + 'ACPL Calculations - 1.0'!Z206 + 'ACPL Calculations - 2.0'!Z206</f>
        <v>0</v>
      </c>
      <c r="CX206" s="36">
        <f>'Old Balance Sheet'!X206 + 'ACPL Calculations - 1.0'!AA206 + 'ACPL Calculations - 2.0'!AA206</f>
        <v>0</v>
      </c>
      <c r="CY206" s="37">
        <v>0.0</v>
      </c>
      <c r="CZ206" s="38">
        <f>'Old Balance Sheet'!Y206 + 'ACPL Calculations - 1.0'!AB206 + 'ACPL Calculations - 2.0'!AB206</f>
        <v>0</v>
      </c>
      <c r="DA206" s="38">
        <f>'Old Balance Sheet'!Z206 + 'ACPL Calculations - 1.0'!AC206 + 'ACPL Calculations - 2.0'!AC206</f>
        <v>0</v>
      </c>
      <c r="DB206" s="38">
        <f>'Old Balance Sheet'!AA206 + 'ACPL Calculations - 1.0'!AD206 + 'ACPL Calculations - 2.0'!AD206</f>
        <v>0</v>
      </c>
      <c r="DC206" s="38">
        <f>'Old Balance Sheet'!AB206 + 'ACPL Calculations - 1.0'!AE206 + 'ACPL Calculations - 2.0'!AE206</f>
        <v>0</v>
      </c>
      <c r="DD206" s="38">
        <f t="shared" si="4"/>
        <v>0</v>
      </c>
      <c r="DE206" s="33">
        <f t="shared" si="5"/>
        <v>0</v>
      </c>
      <c r="DF206" s="35">
        <v>0.0</v>
      </c>
      <c r="DG206" s="35">
        <v>0.0</v>
      </c>
      <c r="DH206" s="35">
        <v>0.0</v>
      </c>
      <c r="DI206" s="35">
        <v>0.0</v>
      </c>
      <c r="DJ206" s="35">
        <v>0.0</v>
      </c>
      <c r="DK206" s="35">
        <v>0.0</v>
      </c>
      <c r="DL206" s="35">
        <v>0.0</v>
      </c>
      <c r="DM206" s="35">
        <v>0.0</v>
      </c>
      <c r="DN206" s="31">
        <v>0.0</v>
      </c>
      <c r="DO206" s="31">
        <v>0.0</v>
      </c>
      <c r="DP206" s="31">
        <v>0.0</v>
      </c>
      <c r="DQ206" s="31">
        <v>0.0</v>
      </c>
      <c r="DR206" s="31">
        <v>0.0</v>
      </c>
      <c r="DS206" s="31">
        <v>0.0</v>
      </c>
      <c r="DT206" s="31">
        <f>'Old Balance Sheet'!AC206</f>
        <v>0</v>
      </c>
      <c r="DU206" s="31">
        <f>DT206 + SUMIFS('Payments Log'!D:D, 'Payments Log'!B:B, A206, 'Payments Log'!L:L, "Approved", 'Payments Log'!M:M, "Credit") + 'Old Balance Sheet'!AD206 - 'Old Balance Sheet'!AC206</f>
        <v>0</v>
      </c>
      <c r="DV206" s="31">
        <f>SUMIFS('Payments Log'!D:D, 'Payments Log'!B:B, A206, 'Payments Log'!L:L, "Approved", 'Payments Log'!M:M, "Adjustment Credit") - SUMIFS('Payments Log'!D:D, 'Payments Log'!B:B, A206, 'Payments Log'!L:L, "Approved", 'Payments Log'!M:M, "Adjustment Debit") + 'Old Balance Sheet'!AE206</f>
        <v>0</v>
      </c>
      <c r="DW206" s="31">
        <f>IF(MAXIFS('Payments Log'!N:N, 'Payments Log'!L:L, "Approved", 'Payments Log'!M:M, "Credit", 'Payments Log'!B:B, A206) &gt; MAXIFS('Payments Log'!N:N, 'Payments Log'!L:L, "Approved", 'Payments Log'!M:M, "Virtual Credit", 'Payments Log'!B:B, A206), 0, SUMIFS('Payments Log'!D:D, 'Payments Log'!N:N, MAXIFS('Payments Log'!N:N, 'Payments Log'!L:L, "Approved", 'Payments Log'!M:M, "Virtual Credit", 'Payments Log'!B:B, A206)))</f>
        <v>0</v>
      </c>
      <c r="DX206" s="33">
        <f t="shared" si="6"/>
        <v>0</v>
      </c>
      <c r="DY206" s="33">
        <f t="shared" si="7"/>
        <v>0</v>
      </c>
      <c r="DZ206" s="33">
        <f t="shared" si="8"/>
        <v>0</v>
      </c>
      <c r="EA206" s="25" t="str">
        <f>(Sheet1!N206)</f>
        <v>Asha Motor - Kannauj</v>
      </c>
      <c r="EB206" s="25" t="str">
        <f>(Sheet1!O206)</f>
        <v>1hlnCiW64Y7uZNVOj2ewyfTULbWj1dUaXX2rUREx8W8o</v>
      </c>
      <c r="EC206" s="26" t="str">
        <f>(Sheet1!P206)</f>
        <v>Sub Dealer</v>
      </c>
      <c r="ED206" s="34" t="s">
        <v>13</v>
      </c>
    </row>
    <row r="207">
      <c r="A207" s="25" t="str">
        <f>(Sheet1!A207)</f>
        <v>17IHK48lZbcBlgGAJSiVd_55rLbshhnkDVBqTU63zg3g</v>
      </c>
      <c r="B207" s="25" t="str">
        <f>(Sheet1!B207)</f>
        <v>Balaji Autowheels(AM) - Nademau</v>
      </c>
      <c r="C207" s="30" t="s">
        <v>13</v>
      </c>
      <c r="D207" s="25" t="s">
        <v>72</v>
      </c>
      <c r="E207" s="25" t="s">
        <v>3820</v>
      </c>
      <c r="F207" s="33">
        <v>205.0</v>
      </c>
      <c r="G207" s="25" t="s">
        <v>3818</v>
      </c>
      <c r="H207" s="33">
        <v>100.0</v>
      </c>
      <c r="I207" s="33">
        <f>'Old Balance Sheet'!A207 + 'ACPL Calculations - 1.0'!A207 + 'ACPL Calculations - 2.0'!A207</f>
        <v>0</v>
      </c>
      <c r="J207" s="25" t="s">
        <v>3820</v>
      </c>
      <c r="K207" s="33">
        <v>205.0</v>
      </c>
      <c r="L207" s="25" t="s">
        <v>3818</v>
      </c>
      <c r="M207" s="33">
        <v>100.0</v>
      </c>
      <c r="N207" s="33">
        <f>'Old Balance Sheet'!B207 + 'ACPL Calculations - 1.0'!B207 + 'ACPL Calculations - 2.0'!B207</f>
        <v>0</v>
      </c>
      <c r="O207" s="25" t="s">
        <v>3820</v>
      </c>
      <c r="P207" s="33">
        <v>205.0</v>
      </c>
      <c r="Q207" s="25" t="s">
        <v>3818</v>
      </c>
      <c r="R207" s="33">
        <v>100.0</v>
      </c>
      <c r="S207" s="33">
        <f>'Old Balance Sheet'!C207 + 'ACPL Calculations - 1.0'!C207 + 'ACPL Calculations - 2.0'!C207</f>
        <v>273</v>
      </c>
      <c r="T207" s="25" t="s">
        <v>3820</v>
      </c>
      <c r="U207" s="33">
        <v>375.0</v>
      </c>
      <c r="V207" s="25" t="s">
        <v>3818</v>
      </c>
      <c r="W207" s="33">
        <v>100.0</v>
      </c>
      <c r="X207" s="33">
        <f>'Old Balance Sheet'!D207 + 'ACPL Calculations - 1.0'!D207 + 'ACPL Calculations - 2.0'!D207</f>
        <v>0</v>
      </c>
      <c r="Y207" s="25" t="s">
        <v>3820</v>
      </c>
      <c r="Z207" s="33">
        <v>460.0</v>
      </c>
      <c r="AA207" s="42" t="s">
        <v>3818</v>
      </c>
      <c r="AB207" s="43">
        <v>100.0</v>
      </c>
      <c r="AC207" s="33">
        <f>'Old Balance Sheet'!E207 + 'ACPL Calculations - 1.0'!E207 + 'ACPL Calculations - 2.0'!E207</f>
        <v>0</v>
      </c>
      <c r="AD207" s="25" t="s">
        <v>3820</v>
      </c>
      <c r="AE207" s="33">
        <v>838.99</v>
      </c>
      <c r="AF207" s="42" t="s">
        <v>3818</v>
      </c>
      <c r="AG207" s="43">
        <v>100.0</v>
      </c>
      <c r="AH207" s="33">
        <f>'Old Balance Sheet'!F207 + 'ACPL Calculations - 1.0'!F207 + 'ACPL Calculations - 2.0'!F207</f>
        <v>0</v>
      </c>
      <c r="AI207" s="25" t="s">
        <v>3820</v>
      </c>
      <c r="AJ207" s="33">
        <v>375.0</v>
      </c>
      <c r="AK207" s="42" t="s">
        <v>3818</v>
      </c>
      <c r="AL207" s="43">
        <v>100.0</v>
      </c>
      <c r="AM207" s="33">
        <f>'Old Balance Sheet'!G207 + 'ACPL Calculations - 1.0'!G207 + 'ACPL Calculations - 2.0'!G207</f>
        <v>0</v>
      </c>
      <c r="AN207" s="25" t="s">
        <v>3820</v>
      </c>
      <c r="AO207" s="33">
        <v>290.0</v>
      </c>
      <c r="AP207" s="42" t="s">
        <v>3818</v>
      </c>
      <c r="AQ207" s="43">
        <v>100.0</v>
      </c>
      <c r="AR207" s="33">
        <f>'Old Balance Sheet'!H207 + 'ACPL Calculations - 1.0'!H207 + 'ACPL Calculations - 2.0'!H207</f>
        <v>0</v>
      </c>
      <c r="AS207" s="25" t="s">
        <v>3819</v>
      </c>
      <c r="AT207" s="33">
        <v>838.99</v>
      </c>
      <c r="AU207" s="42" t="s">
        <v>3818</v>
      </c>
      <c r="AV207" s="43">
        <v>100.0</v>
      </c>
      <c r="AW207" s="33">
        <f>'Old Balance Sheet'!I207 + 'ACPL Calculations - 1.0'!I207 + 'ACPL Calculations - 2.0'!I207</f>
        <v>0</v>
      </c>
      <c r="AX207" s="25" t="s">
        <v>3820</v>
      </c>
      <c r="AY207" s="31">
        <v>290.0</v>
      </c>
      <c r="AZ207" s="42" t="s">
        <v>3818</v>
      </c>
      <c r="BA207" s="43">
        <v>100.0</v>
      </c>
      <c r="BB207" s="33">
        <f>'Old Balance Sheet'!J207 + 'ACPL Calculations - 1.0'!J207 + 'ACPL Calculations - 2.0'!J207</f>
        <v>0</v>
      </c>
      <c r="BC207" s="25" t="s">
        <v>3820</v>
      </c>
      <c r="BD207" s="31">
        <v>205.0</v>
      </c>
      <c r="BE207" s="42" t="s">
        <v>3818</v>
      </c>
      <c r="BF207" s="43">
        <v>100.0</v>
      </c>
      <c r="BG207" s="33">
        <f>'Old Balance Sheet'!K207 + 'ACPL Calculations - 1.0'!K207 + 'ACPL Calculations - 2.0'!K207</f>
        <v>0</v>
      </c>
      <c r="BH207" s="25" t="s">
        <v>3820</v>
      </c>
      <c r="BI207" s="31">
        <v>205.0</v>
      </c>
      <c r="BJ207" s="42" t="s">
        <v>3818</v>
      </c>
      <c r="BK207" s="43">
        <v>100.0</v>
      </c>
      <c r="BL207" s="33">
        <f>'Old Balance Sheet'!L207 + 'ACPL Calculations - 1.0'!L207 + 'ACPL Calculations - 2.0'!L207</f>
        <v>0</v>
      </c>
      <c r="BM207" s="25"/>
      <c r="BN207" s="25"/>
      <c r="BO207" s="25"/>
      <c r="BP207" s="25"/>
      <c r="BQ207" s="25"/>
      <c r="BR207" s="25"/>
      <c r="BS207" s="25"/>
      <c r="BT207" s="25"/>
      <c r="BU207" s="25"/>
      <c r="BV207" s="25"/>
      <c r="BW207" s="25"/>
      <c r="BX207" s="25"/>
      <c r="BY207" s="25"/>
      <c r="BZ207" s="25"/>
      <c r="CA207" s="25"/>
      <c r="CB207" s="25"/>
      <c r="CC207" s="25"/>
      <c r="CD207" s="25"/>
      <c r="CE207" s="25"/>
      <c r="CF207" s="25"/>
      <c r="CG207" s="25"/>
      <c r="CH207" s="25"/>
      <c r="CI207" s="25"/>
      <c r="CJ207" s="25"/>
      <c r="CK207" s="25"/>
      <c r="CL207" s="33">
        <f t="shared" si="1"/>
        <v>273</v>
      </c>
      <c r="CM207" s="33">
        <f>'Old Balance Sheet'!R207 + 'ACPL Calculations - 1.0'!S207 + 'ACPL Calculations - 2.0'!S207</f>
        <v>188370</v>
      </c>
      <c r="CN207" s="33">
        <f>'Old Balance Sheet'!S207 + 'ACPL Calculations - 1.0'!T207 + 'ACPL Calculations - 2.0'!T207</f>
        <v>55965</v>
      </c>
      <c r="CO207" s="33">
        <f t="shared" si="2"/>
        <v>84698.25</v>
      </c>
      <c r="CP207" s="33">
        <f>'Old Balance Sheet'!T207 + 'ACPL Calculations - 1.0'!V207 + 'ACPL Calculations - 2.0'!V207</f>
        <v>0</v>
      </c>
      <c r="CQ207" s="33">
        <f>'Old Balance Sheet'!U207 + 'ACPL Calculations - 1.0'!W207 + 'ACPL Calculations - 2.0'!W207</f>
        <v>0</v>
      </c>
      <c r="CR207" s="33">
        <f>'Old Balance Sheet'!V207 + 'ACPL Calculations - 1.0'!X207 + 'ACPL Calculations - 2.0'!X207</f>
        <v>28733.25</v>
      </c>
      <c r="CS207" s="33">
        <f t="shared" si="3"/>
        <v>28733.25</v>
      </c>
      <c r="CT207" s="35"/>
      <c r="CU207" s="35"/>
      <c r="CV207" s="35"/>
      <c r="CW207" s="36">
        <f>'Old Balance Sheet'!W207 + 'ACPL Calculations - 1.0'!Z207 + 'ACPL Calculations - 2.0'!Z207</f>
        <v>0</v>
      </c>
      <c r="CX207" s="36">
        <f>'Old Balance Sheet'!X207 + 'ACPL Calculations - 1.0'!AA207 + 'ACPL Calculations - 2.0'!AA207</f>
        <v>0</v>
      </c>
      <c r="CY207" s="37">
        <v>0.0</v>
      </c>
      <c r="CZ207" s="38">
        <f>'Old Balance Sheet'!Y207 + 'ACPL Calculations - 1.0'!AB207 + 'ACPL Calculations - 2.0'!AB207</f>
        <v>0</v>
      </c>
      <c r="DA207" s="38">
        <f>'Old Balance Sheet'!Z207 + 'ACPL Calculations - 1.0'!AC207 + 'ACPL Calculations - 2.0'!AC207</f>
        <v>0</v>
      </c>
      <c r="DB207" s="38">
        <f>'Old Balance Sheet'!AA207 + 'ACPL Calculations - 1.0'!AD207 + 'ACPL Calculations - 2.0'!AD207</f>
        <v>0</v>
      </c>
      <c r="DC207" s="38">
        <f>'Old Balance Sheet'!AB207 + 'ACPL Calculations - 1.0'!AE207 + 'ACPL Calculations - 2.0'!AE207</f>
        <v>0</v>
      </c>
      <c r="DD207" s="38">
        <f t="shared" si="4"/>
        <v>0</v>
      </c>
      <c r="DE207" s="33">
        <f t="shared" si="5"/>
        <v>0</v>
      </c>
      <c r="DF207" s="35">
        <v>0.0</v>
      </c>
      <c r="DG207" s="35">
        <v>0.0</v>
      </c>
      <c r="DH207" s="35">
        <v>0.0</v>
      </c>
      <c r="DI207" s="35">
        <v>0.0</v>
      </c>
      <c r="DJ207" s="35">
        <v>0.0</v>
      </c>
      <c r="DK207" s="35">
        <v>0.0</v>
      </c>
      <c r="DL207" s="35">
        <v>0.0</v>
      </c>
      <c r="DM207" s="35">
        <v>0.0</v>
      </c>
      <c r="DN207" s="31">
        <v>0.0</v>
      </c>
      <c r="DO207" s="31">
        <v>0.0</v>
      </c>
      <c r="DP207" s="31">
        <v>0.0</v>
      </c>
      <c r="DQ207" s="31">
        <v>0.0</v>
      </c>
      <c r="DR207" s="31">
        <v>0.0</v>
      </c>
      <c r="DS207" s="31">
        <v>0.0</v>
      </c>
      <c r="DT207" s="31">
        <f>'Old Balance Sheet'!AC207</f>
        <v>0</v>
      </c>
      <c r="DU207" s="31">
        <f>DT207 + SUMIFS('Payments Log'!D:D, 'Payments Log'!B:B, A207, 'Payments Log'!L:L, "Approved", 'Payments Log'!M:M, "Credit") + 'Old Balance Sheet'!AD207 - 'Old Balance Sheet'!AC207</f>
        <v>0</v>
      </c>
      <c r="DV207" s="31">
        <f>SUMIFS('Payments Log'!D:D, 'Payments Log'!B:B, A207, 'Payments Log'!L:L, "Approved", 'Payments Log'!M:M, "Adjustment Credit") - SUMIFS('Payments Log'!D:D, 'Payments Log'!B:B, A207, 'Payments Log'!L:L, "Approved", 'Payments Log'!M:M, "Adjustment Debit") + 'Old Balance Sheet'!AE207</f>
        <v>0</v>
      </c>
      <c r="DW207" s="31">
        <f>IF(MAXIFS('Payments Log'!N:N, 'Payments Log'!L:L, "Approved", 'Payments Log'!M:M, "Credit", 'Payments Log'!B:B, A207) &gt; MAXIFS('Payments Log'!N:N, 'Payments Log'!L:L, "Approved", 'Payments Log'!M:M, "Virtual Credit", 'Payments Log'!B:B, A207), 0, SUMIFS('Payments Log'!D:D, 'Payments Log'!N:N, MAXIFS('Payments Log'!N:N, 'Payments Log'!L:L, "Approved", 'Payments Log'!M:M, "Virtual Credit", 'Payments Log'!B:B, A207)))</f>
        <v>0</v>
      </c>
      <c r="DX207" s="33">
        <f t="shared" si="6"/>
        <v>0</v>
      </c>
      <c r="DY207" s="33">
        <f t="shared" si="7"/>
        <v>0</v>
      </c>
      <c r="DZ207" s="33">
        <f t="shared" si="8"/>
        <v>0</v>
      </c>
      <c r="EA207" s="25" t="str">
        <f>(Sheet1!N207)</f>
        <v>Asha Motor - Kannauj</v>
      </c>
      <c r="EB207" s="25" t="str">
        <f>(Sheet1!O207)</f>
        <v>1hlnCiW64Y7uZNVOj2ewyfTULbWj1dUaXX2rUREx8W8o</v>
      </c>
      <c r="EC207" s="26" t="str">
        <f>(Sheet1!P207)</f>
        <v>Sub Dealer</v>
      </c>
      <c r="ED207" s="34" t="s">
        <v>13</v>
      </c>
    </row>
    <row r="208">
      <c r="A208" s="25" t="str">
        <f>(Sheet1!A208)</f>
        <v>1brGGXYNO7p4ye7lOi0GBEPWtsN031lP69rhfRORc5eg</v>
      </c>
      <c r="B208" s="25" t="str">
        <f>(Sheet1!B208)</f>
        <v>Shubhi Motors(AM) - Umarda</v>
      </c>
      <c r="C208" s="30" t="s">
        <v>13</v>
      </c>
      <c r="D208" s="25" t="s">
        <v>72</v>
      </c>
      <c r="E208" s="25" t="s">
        <v>3820</v>
      </c>
      <c r="F208" s="33">
        <v>205.0</v>
      </c>
      <c r="G208" s="25" t="s">
        <v>3818</v>
      </c>
      <c r="H208" s="33">
        <v>100.0</v>
      </c>
      <c r="I208" s="33">
        <f>'Old Balance Sheet'!A208 + 'ACPL Calculations - 1.0'!A208 + 'ACPL Calculations - 2.0'!A208</f>
        <v>0</v>
      </c>
      <c r="J208" s="25" t="s">
        <v>3820</v>
      </c>
      <c r="K208" s="33">
        <v>205.0</v>
      </c>
      <c r="L208" s="25" t="s">
        <v>3818</v>
      </c>
      <c r="M208" s="33">
        <v>100.0</v>
      </c>
      <c r="N208" s="33">
        <f>'Old Balance Sheet'!B208 + 'ACPL Calculations - 1.0'!B208 + 'ACPL Calculations - 2.0'!B208</f>
        <v>0</v>
      </c>
      <c r="O208" s="25" t="s">
        <v>3820</v>
      </c>
      <c r="P208" s="33">
        <v>205.0</v>
      </c>
      <c r="Q208" s="25" t="s">
        <v>3818</v>
      </c>
      <c r="R208" s="33">
        <v>100.0</v>
      </c>
      <c r="S208" s="33">
        <f>'Old Balance Sheet'!C208 + 'ACPL Calculations - 1.0'!C208 + 'ACPL Calculations - 2.0'!C208</f>
        <v>0</v>
      </c>
      <c r="T208" s="25" t="s">
        <v>3820</v>
      </c>
      <c r="U208" s="33">
        <v>375.0</v>
      </c>
      <c r="V208" s="25" t="s">
        <v>3818</v>
      </c>
      <c r="W208" s="33">
        <v>100.0</v>
      </c>
      <c r="X208" s="33">
        <f>'Old Balance Sheet'!D208 + 'ACPL Calculations - 1.0'!D208 + 'ACPL Calculations - 2.0'!D208</f>
        <v>0</v>
      </c>
      <c r="Y208" s="25" t="s">
        <v>3820</v>
      </c>
      <c r="Z208" s="33">
        <v>460.0</v>
      </c>
      <c r="AA208" s="42" t="s">
        <v>3818</v>
      </c>
      <c r="AB208" s="43">
        <v>100.0</v>
      </c>
      <c r="AC208" s="33">
        <f>'Old Balance Sheet'!E208 + 'ACPL Calculations - 1.0'!E208 + 'ACPL Calculations - 2.0'!E208</f>
        <v>0</v>
      </c>
      <c r="AD208" s="25" t="s">
        <v>3820</v>
      </c>
      <c r="AE208" s="33">
        <v>838.99</v>
      </c>
      <c r="AF208" s="42" t="s">
        <v>3818</v>
      </c>
      <c r="AG208" s="43">
        <v>100.0</v>
      </c>
      <c r="AH208" s="33">
        <f>'Old Balance Sheet'!F208 + 'ACPL Calculations - 1.0'!F208 + 'ACPL Calculations - 2.0'!F208</f>
        <v>0</v>
      </c>
      <c r="AI208" s="25" t="s">
        <v>3820</v>
      </c>
      <c r="AJ208" s="33">
        <v>375.0</v>
      </c>
      <c r="AK208" s="42" t="s">
        <v>3818</v>
      </c>
      <c r="AL208" s="43">
        <v>100.0</v>
      </c>
      <c r="AM208" s="33">
        <f>'Old Balance Sheet'!G208 + 'ACPL Calculations - 1.0'!G208 + 'ACPL Calculations - 2.0'!G208</f>
        <v>0</v>
      </c>
      <c r="AN208" s="25" t="s">
        <v>3820</v>
      </c>
      <c r="AO208" s="33">
        <v>290.0</v>
      </c>
      <c r="AP208" s="42" t="s">
        <v>3818</v>
      </c>
      <c r="AQ208" s="43">
        <v>100.0</v>
      </c>
      <c r="AR208" s="33">
        <f>'Old Balance Sheet'!H208 + 'ACPL Calculations - 1.0'!H208 + 'ACPL Calculations - 2.0'!H208</f>
        <v>0</v>
      </c>
      <c r="AS208" s="25" t="s">
        <v>3819</v>
      </c>
      <c r="AT208" s="33">
        <v>838.99</v>
      </c>
      <c r="AU208" s="42" t="s">
        <v>3818</v>
      </c>
      <c r="AV208" s="43">
        <v>100.0</v>
      </c>
      <c r="AW208" s="33">
        <f>'Old Balance Sheet'!I208 + 'ACPL Calculations - 1.0'!I208 + 'ACPL Calculations - 2.0'!I208</f>
        <v>0</v>
      </c>
      <c r="AX208" s="25" t="s">
        <v>3820</v>
      </c>
      <c r="AY208" s="31">
        <v>290.0</v>
      </c>
      <c r="AZ208" s="42" t="s">
        <v>3818</v>
      </c>
      <c r="BA208" s="43">
        <v>100.0</v>
      </c>
      <c r="BB208" s="33">
        <f>'Old Balance Sheet'!J208 + 'ACPL Calculations - 1.0'!J208 + 'ACPL Calculations - 2.0'!J208</f>
        <v>0</v>
      </c>
      <c r="BC208" s="25" t="s">
        <v>3820</v>
      </c>
      <c r="BD208" s="31">
        <v>205.0</v>
      </c>
      <c r="BE208" s="42" t="s">
        <v>3818</v>
      </c>
      <c r="BF208" s="43">
        <v>100.0</v>
      </c>
      <c r="BG208" s="33">
        <f>'Old Balance Sheet'!K208 + 'ACPL Calculations - 1.0'!K208 + 'ACPL Calculations - 2.0'!K208</f>
        <v>0</v>
      </c>
      <c r="BH208" s="25" t="s">
        <v>3820</v>
      </c>
      <c r="BI208" s="31">
        <v>205.0</v>
      </c>
      <c r="BJ208" s="42" t="s">
        <v>3818</v>
      </c>
      <c r="BK208" s="43">
        <v>100.0</v>
      </c>
      <c r="BL208" s="33">
        <f>'Old Balance Sheet'!L208 + 'ACPL Calculations - 1.0'!L208 + 'ACPL Calculations - 2.0'!L208</f>
        <v>0</v>
      </c>
      <c r="BM208" s="25"/>
      <c r="BN208" s="25"/>
      <c r="BO208" s="25"/>
      <c r="BP208" s="25"/>
      <c r="BQ208" s="25"/>
      <c r="BR208" s="25"/>
      <c r="BS208" s="25"/>
      <c r="BT208" s="25"/>
      <c r="BU208" s="25"/>
      <c r="BV208" s="25"/>
      <c r="BW208" s="25"/>
      <c r="BX208" s="25"/>
      <c r="BY208" s="25"/>
      <c r="BZ208" s="25"/>
      <c r="CA208" s="25"/>
      <c r="CB208" s="25"/>
      <c r="CC208" s="25"/>
      <c r="CD208" s="25"/>
      <c r="CE208" s="25"/>
      <c r="CF208" s="25"/>
      <c r="CG208" s="25"/>
      <c r="CH208" s="25"/>
      <c r="CI208" s="25"/>
      <c r="CJ208" s="25"/>
      <c r="CK208" s="25"/>
      <c r="CL208" s="33">
        <f t="shared" si="1"/>
        <v>0</v>
      </c>
      <c r="CM208" s="33">
        <f>'Old Balance Sheet'!R208 + 'ACPL Calculations - 1.0'!S208 + 'ACPL Calculations - 2.0'!S208</f>
        <v>0</v>
      </c>
      <c r="CN208" s="33">
        <f>'Old Balance Sheet'!S208 + 'ACPL Calculations - 1.0'!T208 + 'ACPL Calculations - 2.0'!T208</f>
        <v>0</v>
      </c>
      <c r="CO208" s="33">
        <f t="shared" si="2"/>
        <v>0</v>
      </c>
      <c r="CP208" s="33">
        <f>'Old Balance Sheet'!T208 + 'ACPL Calculations - 1.0'!V208 + 'ACPL Calculations - 2.0'!V208</f>
        <v>0</v>
      </c>
      <c r="CQ208" s="33">
        <f>'Old Balance Sheet'!U208 + 'ACPL Calculations - 1.0'!W208 + 'ACPL Calculations - 2.0'!W208</f>
        <v>0</v>
      </c>
      <c r="CR208" s="33">
        <f>'Old Balance Sheet'!V208 + 'ACPL Calculations - 1.0'!X208 + 'ACPL Calculations - 2.0'!X208</f>
        <v>0</v>
      </c>
      <c r="CS208" s="33">
        <f t="shared" si="3"/>
        <v>0</v>
      </c>
      <c r="CT208" s="35"/>
      <c r="CU208" s="35"/>
      <c r="CV208" s="35"/>
      <c r="CW208" s="36">
        <f>'Old Balance Sheet'!W208 + 'ACPL Calculations - 1.0'!Z208 + 'ACPL Calculations - 2.0'!Z208</f>
        <v>0</v>
      </c>
      <c r="CX208" s="36">
        <f>'Old Balance Sheet'!X208 + 'ACPL Calculations - 1.0'!AA208 + 'ACPL Calculations - 2.0'!AA208</f>
        <v>0</v>
      </c>
      <c r="CY208" s="37">
        <v>0.0</v>
      </c>
      <c r="CZ208" s="38">
        <f>'Old Balance Sheet'!Y208 + 'ACPL Calculations - 1.0'!AB208 + 'ACPL Calculations - 2.0'!AB208</f>
        <v>0</v>
      </c>
      <c r="DA208" s="38">
        <f>'Old Balance Sheet'!Z208 + 'ACPL Calculations - 1.0'!AC208 + 'ACPL Calculations - 2.0'!AC208</f>
        <v>0</v>
      </c>
      <c r="DB208" s="38">
        <f>'Old Balance Sheet'!AA208 + 'ACPL Calculations - 1.0'!AD208 + 'ACPL Calculations - 2.0'!AD208</f>
        <v>0</v>
      </c>
      <c r="DC208" s="38">
        <f>'Old Balance Sheet'!AB208 + 'ACPL Calculations - 1.0'!AE208 + 'ACPL Calculations - 2.0'!AE208</f>
        <v>0</v>
      </c>
      <c r="DD208" s="38">
        <f t="shared" si="4"/>
        <v>0</v>
      </c>
      <c r="DE208" s="33">
        <f t="shared" si="5"/>
        <v>0</v>
      </c>
      <c r="DF208" s="35">
        <v>0.0</v>
      </c>
      <c r="DG208" s="35">
        <v>0.0</v>
      </c>
      <c r="DH208" s="35">
        <v>0.0</v>
      </c>
      <c r="DI208" s="35">
        <v>0.0</v>
      </c>
      <c r="DJ208" s="35">
        <v>0.0</v>
      </c>
      <c r="DK208" s="35">
        <v>0.0</v>
      </c>
      <c r="DL208" s="35">
        <v>0.0</v>
      </c>
      <c r="DM208" s="35">
        <v>0.0</v>
      </c>
      <c r="DN208" s="31">
        <v>0.0</v>
      </c>
      <c r="DO208" s="31">
        <v>0.0</v>
      </c>
      <c r="DP208" s="31">
        <v>0.0</v>
      </c>
      <c r="DQ208" s="31">
        <v>0.0</v>
      </c>
      <c r="DR208" s="31">
        <v>0.0</v>
      </c>
      <c r="DS208" s="31">
        <v>0.0</v>
      </c>
      <c r="DT208" s="31">
        <f>'Old Balance Sheet'!AC208</f>
        <v>0</v>
      </c>
      <c r="DU208" s="31">
        <f>DT208 + SUMIFS('Payments Log'!D:D, 'Payments Log'!B:B, A208, 'Payments Log'!L:L, "Approved", 'Payments Log'!M:M, "Credit") + 'Old Balance Sheet'!AD208 - 'Old Balance Sheet'!AC208</f>
        <v>0</v>
      </c>
      <c r="DV208" s="31">
        <f>SUMIFS('Payments Log'!D:D, 'Payments Log'!B:B, A208, 'Payments Log'!L:L, "Approved", 'Payments Log'!M:M, "Adjustment Credit") - SUMIFS('Payments Log'!D:D, 'Payments Log'!B:B, A208, 'Payments Log'!L:L, "Approved", 'Payments Log'!M:M, "Adjustment Debit") + 'Old Balance Sheet'!AE208</f>
        <v>0</v>
      </c>
      <c r="DW208" s="31">
        <f>IF(MAXIFS('Payments Log'!N:N, 'Payments Log'!L:L, "Approved", 'Payments Log'!M:M, "Credit", 'Payments Log'!B:B, A208) &gt; MAXIFS('Payments Log'!N:N, 'Payments Log'!L:L, "Approved", 'Payments Log'!M:M, "Virtual Credit", 'Payments Log'!B:B, A208), 0, SUMIFS('Payments Log'!D:D, 'Payments Log'!N:N, MAXIFS('Payments Log'!N:N, 'Payments Log'!L:L, "Approved", 'Payments Log'!M:M, "Virtual Credit", 'Payments Log'!B:B, A208)))</f>
        <v>0</v>
      </c>
      <c r="DX208" s="33">
        <f t="shared" si="6"/>
        <v>0</v>
      </c>
      <c r="DY208" s="33">
        <f t="shared" si="7"/>
        <v>0</v>
      </c>
      <c r="DZ208" s="33">
        <f t="shared" si="8"/>
        <v>0</v>
      </c>
      <c r="EA208" s="25" t="str">
        <f>(Sheet1!N208)</f>
        <v>Asha Motor - Kannauj</v>
      </c>
      <c r="EB208" s="25" t="str">
        <f>(Sheet1!O208)</f>
        <v>1hlnCiW64Y7uZNVOj2ewyfTULbWj1dUaXX2rUREx8W8o</v>
      </c>
      <c r="EC208" s="26" t="str">
        <f>(Sheet1!P208)</f>
        <v>Sub Dealer</v>
      </c>
      <c r="ED208" s="34" t="s">
        <v>13</v>
      </c>
    </row>
    <row r="209">
      <c r="A209" s="25" t="str">
        <f>(Sheet1!A209)</f>
        <v>1_xXDhPc2zYZ10fr1h3mfn-L73eXsLjI78QDoo4z-PJk</v>
      </c>
      <c r="B209" s="25" t="str">
        <f>(Sheet1!B209)</f>
        <v>SM Motors(AM) - Sakrawa</v>
      </c>
      <c r="C209" s="30" t="s">
        <v>13</v>
      </c>
      <c r="D209" s="25" t="s">
        <v>72</v>
      </c>
      <c r="E209" s="25" t="s">
        <v>3820</v>
      </c>
      <c r="F209" s="33">
        <v>205.0</v>
      </c>
      <c r="G209" s="25" t="s">
        <v>3818</v>
      </c>
      <c r="H209" s="33">
        <v>100.0</v>
      </c>
      <c r="I209" s="33">
        <f>'Old Balance Sheet'!A209 + 'ACPL Calculations - 1.0'!A209 + 'ACPL Calculations - 2.0'!A209</f>
        <v>0</v>
      </c>
      <c r="J209" s="25" t="s">
        <v>3820</v>
      </c>
      <c r="K209" s="33">
        <v>205.0</v>
      </c>
      <c r="L209" s="25" t="s">
        <v>3818</v>
      </c>
      <c r="M209" s="33">
        <v>100.0</v>
      </c>
      <c r="N209" s="33">
        <f>'Old Balance Sheet'!B209 + 'ACPL Calculations - 1.0'!B209 + 'ACPL Calculations - 2.0'!B209</f>
        <v>0</v>
      </c>
      <c r="O209" s="25" t="s">
        <v>3820</v>
      </c>
      <c r="P209" s="33">
        <v>205.0</v>
      </c>
      <c r="Q209" s="25" t="s">
        <v>3818</v>
      </c>
      <c r="R209" s="33">
        <v>100.0</v>
      </c>
      <c r="S209" s="33">
        <f>'Old Balance Sheet'!C209 + 'ACPL Calculations - 1.0'!C209 + 'ACPL Calculations - 2.0'!C209</f>
        <v>351</v>
      </c>
      <c r="T209" s="25" t="s">
        <v>3820</v>
      </c>
      <c r="U209" s="33">
        <v>375.0</v>
      </c>
      <c r="V209" s="25" t="s">
        <v>3818</v>
      </c>
      <c r="W209" s="33">
        <v>100.0</v>
      </c>
      <c r="X209" s="33">
        <f>'Old Balance Sheet'!D209 + 'ACPL Calculations - 1.0'!D209 + 'ACPL Calculations - 2.0'!D209</f>
        <v>0</v>
      </c>
      <c r="Y209" s="25" t="s">
        <v>3820</v>
      </c>
      <c r="Z209" s="33">
        <v>460.0</v>
      </c>
      <c r="AA209" s="42" t="s">
        <v>3818</v>
      </c>
      <c r="AB209" s="43">
        <v>100.0</v>
      </c>
      <c r="AC209" s="33">
        <f>'Old Balance Sheet'!E209 + 'ACPL Calculations - 1.0'!E209 + 'ACPL Calculations - 2.0'!E209</f>
        <v>0</v>
      </c>
      <c r="AD209" s="25" t="s">
        <v>3820</v>
      </c>
      <c r="AE209" s="33">
        <v>838.99</v>
      </c>
      <c r="AF209" s="42" t="s">
        <v>3818</v>
      </c>
      <c r="AG209" s="43">
        <v>100.0</v>
      </c>
      <c r="AH209" s="33">
        <f>'Old Balance Sheet'!F209 + 'ACPL Calculations - 1.0'!F209 + 'ACPL Calculations - 2.0'!F209</f>
        <v>0</v>
      </c>
      <c r="AI209" s="25" t="s">
        <v>3820</v>
      </c>
      <c r="AJ209" s="33">
        <v>375.0</v>
      </c>
      <c r="AK209" s="42" t="s">
        <v>3818</v>
      </c>
      <c r="AL209" s="43">
        <v>100.0</v>
      </c>
      <c r="AM209" s="33">
        <f>'Old Balance Sheet'!G209 + 'ACPL Calculations - 1.0'!G209 + 'ACPL Calculations - 2.0'!G209</f>
        <v>0</v>
      </c>
      <c r="AN209" s="25" t="s">
        <v>3820</v>
      </c>
      <c r="AO209" s="33">
        <v>290.0</v>
      </c>
      <c r="AP209" s="42" t="s">
        <v>3818</v>
      </c>
      <c r="AQ209" s="43">
        <v>100.0</v>
      </c>
      <c r="AR209" s="33">
        <f>'Old Balance Sheet'!H209 + 'ACPL Calculations - 1.0'!H209 + 'ACPL Calculations - 2.0'!H209</f>
        <v>0</v>
      </c>
      <c r="AS209" s="25" t="s">
        <v>3819</v>
      </c>
      <c r="AT209" s="33">
        <v>838.99</v>
      </c>
      <c r="AU209" s="42" t="s">
        <v>3818</v>
      </c>
      <c r="AV209" s="43">
        <v>100.0</v>
      </c>
      <c r="AW209" s="33">
        <f>'Old Balance Sheet'!I209 + 'ACPL Calculations - 1.0'!I209 + 'ACPL Calculations - 2.0'!I209</f>
        <v>0</v>
      </c>
      <c r="AX209" s="25" t="s">
        <v>3820</v>
      </c>
      <c r="AY209" s="31">
        <v>290.0</v>
      </c>
      <c r="AZ209" s="42" t="s">
        <v>3818</v>
      </c>
      <c r="BA209" s="43">
        <v>100.0</v>
      </c>
      <c r="BB209" s="33">
        <f>'Old Balance Sheet'!J209 + 'ACPL Calculations - 1.0'!J209 + 'ACPL Calculations - 2.0'!J209</f>
        <v>0</v>
      </c>
      <c r="BC209" s="25" t="s">
        <v>3820</v>
      </c>
      <c r="BD209" s="31">
        <v>205.0</v>
      </c>
      <c r="BE209" s="42" t="s">
        <v>3818</v>
      </c>
      <c r="BF209" s="43">
        <v>100.0</v>
      </c>
      <c r="BG209" s="33">
        <f>'Old Balance Sheet'!K209 + 'ACPL Calculations - 1.0'!K209 + 'ACPL Calculations - 2.0'!K209</f>
        <v>0</v>
      </c>
      <c r="BH209" s="25" t="s">
        <v>3820</v>
      </c>
      <c r="BI209" s="31">
        <v>205.0</v>
      </c>
      <c r="BJ209" s="42" t="s">
        <v>3818</v>
      </c>
      <c r="BK209" s="43">
        <v>100.0</v>
      </c>
      <c r="BL209" s="33">
        <f>'Old Balance Sheet'!L209 + 'ACPL Calculations - 1.0'!L209 + 'ACPL Calculations - 2.0'!L209</f>
        <v>0</v>
      </c>
      <c r="BM209" s="25"/>
      <c r="BN209" s="25"/>
      <c r="BO209" s="25"/>
      <c r="BP209" s="25"/>
      <c r="BQ209" s="25"/>
      <c r="BR209" s="25"/>
      <c r="BS209" s="25"/>
      <c r="BT209" s="25"/>
      <c r="BU209" s="25"/>
      <c r="BV209" s="25"/>
      <c r="BW209" s="25"/>
      <c r="BX209" s="25"/>
      <c r="BY209" s="25"/>
      <c r="BZ209" s="25"/>
      <c r="CA209" s="25"/>
      <c r="CB209" s="25"/>
      <c r="CC209" s="25"/>
      <c r="CD209" s="25"/>
      <c r="CE209" s="25"/>
      <c r="CF209" s="25"/>
      <c r="CG209" s="25"/>
      <c r="CH209" s="25"/>
      <c r="CI209" s="25"/>
      <c r="CJ209" s="25"/>
      <c r="CK209" s="25"/>
      <c r="CL209" s="33">
        <f t="shared" si="1"/>
        <v>351</v>
      </c>
      <c r="CM209" s="33">
        <f>'Old Balance Sheet'!R209 + 'ACPL Calculations - 1.0'!S209 + 'ACPL Calculations - 2.0'!S209</f>
        <v>242190</v>
      </c>
      <c r="CN209" s="33">
        <f>'Old Balance Sheet'!S209 + 'ACPL Calculations - 1.0'!T209 + 'ACPL Calculations - 2.0'!T209</f>
        <v>71955</v>
      </c>
      <c r="CO209" s="33">
        <f t="shared" si="2"/>
        <v>108897.75</v>
      </c>
      <c r="CP209" s="33">
        <f>'Old Balance Sheet'!T209 + 'ACPL Calculations - 1.0'!V209 + 'ACPL Calculations - 2.0'!V209</f>
        <v>0</v>
      </c>
      <c r="CQ209" s="33">
        <f>'Old Balance Sheet'!U209 + 'ACPL Calculations - 1.0'!W209 + 'ACPL Calculations - 2.0'!W209</f>
        <v>0</v>
      </c>
      <c r="CR209" s="33">
        <f>'Old Balance Sheet'!V209 + 'ACPL Calculations - 1.0'!X209 + 'ACPL Calculations - 2.0'!X209</f>
        <v>36942.75</v>
      </c>
      <c r="CS209" s="33">
        <f t="shared" si="3"/>
        <v>36942.75</v>
      </c>
      <c r="CT209" s="35"/>
      <c r="CU209" s="35"/>
      <c r="CV209" s="35"/>
      <c r="CW209" s="36">
        <f>'Old Balance Sheet'!W209 + 'ACPL Calculations - 1.0'!Z209 + 'ACPL Calculations - 2.0'!Z209</f>
        <v>0</v>
      </c>
      <c r="CX209" s="36">
        <f>'Old Balance Sheet'!X209 + 'ACPL Calculations - 1.0'!AA209 + 'ACPL Calculations - 2.0'!AA209</f>
        <v>0</v>
      </c>
      <c r="CY209" s="37">
        <v>0.0</v>
      </c>
      <c r="CZ209" s="38">
        <f>'Old Balance Sheet'!Y209 + 'ACPL Calculations - 1.0'!AB209 + 'ACPL Calculations - 2.0'!AB209</f>
        <v>0</v>
      </c>
      <c r="DA209" s="38">
        <f>'Old Balance Sheet'!Z209 + 'ACPL Calculations - 1.0'!AC209 + 'ACPL Calculations - 2.0'!AC209</f>
        <v>0</v>
      </c>
      <c r="DB209" s="38">
        <f>'Old Balance Sheet'!AA209 + 'ACPL Calculations - 1.0'!AD209 + 'ACPL Calculations - 2.0'!AD209</f>
        <v>0</v>
      </c>
      <c r="DC209" s="38">
        <f>'Old Balance Sheet'!AB209 + 'ACPL Calculations - 1.0'!AE209 + 'ACPL Calculations - 2.0'!AE209</f>
        <v>0</v>
      </c>
      <c r="DD209" s="38">
        <f t="shared" si="4"/>
        <v>0</v>
      </c>
      <c r="DE209" s="33">
        <f t="shared" si="5"/>
        <v>0</v>
      </c>
      <c r="DF209" s="35">
        <v>0.0</v>
      </c>
      <c r="DG209" s="35">
        <v>0.0</v>
      </c>
      <c r="DH209" s="35">
        <v>0.0</v>
      </c>
      <c r="DI209" s="35">
        <v>0.0</v>
      </c>
      <c r="DJ209" s="35">
        <v>0.0</v>
      </c>
      <c r="DK209" s="35">
        <v>0.0</v>
      </c>
      <c r="DL209" s="35">
        <v>0.0</v>
      </c>
      <c r="DM209" s="35">
        <v>0.0</v>
      </c>
      <c r="DN209" s="31">
        <v>0.0</v>
      </c>
      <c r="DO209" s="31">
        <v>0.0</v>
      </c>
      <c r="DP209" s="31">
        <v>0.0</v>
      </c>
      <c r="DQ209" s="31">
        <v>0.0</v>
      </c>
      <c r="DR209" s="31">
        <v>0.0</v>
      </c>
      <c r="DS209" s="31">
        <v>0.0</v>
      </c>
      <c r="DT209" s="31">
        <f>'Old Balance Sheet'!AC209</f>
        <v>0</v>
      </c>
      <c r="DU209" s="31">
        <f>DT209 + SUMIFS('Payments Log'!D:D, 'Payments Log'!B:B, A209, 'Payments Log'!L:L, "Approved", 'Payments Log'!M:M, "Credit") + 'Old Balance Sheet'!AD209 - 'Old Balance Sheet'!AC209</f>
        <v>0</v>
      </c>
      <c r="DV209" s="31">
        <f>SUMIFS('Payments Log'!D:D, 'Payments Log'!B:B, A209, 'Payments Log'!L:L, "Approved", 'Payments Log'!M:M, "Adjustment Credit") - SUMIFS('Payments Log'!D:D, 'Payments Log'!B:B, A209, 'Payments Log'!L:L, "Approved", 'Payments Log'!M:M, "Adjustment Debit") + 'Old Balance Sheet'!AE209</f>
        <v>0</v>
      </c>
      <c r="DW209" s="31">
        <f>IF(MAXIFS('Payments Log'!N:N, 'Payments Log'!L:L, "Approved", 'Payments Log'!M:M, "Credit", 'Payments Log'!B:B, A209) &gt; MAXIFS('Payments Log'!N:N, 'Payments Log'!L:L, "Approved", 'Payments Log'!M:M, "Virtual Credit", 'Payments Log'!B:B, A209), 0, SUMIFS('Payments Log'!D:D, 'Payments Log'!N:N, MAXIFS('Payments Log'!N:N, 'Payments Log'!L:L, "Approved", 'Payments Log'!M:M, "Virtual Credit", 'Payments Log'!B:B, A209)))</f>
        <v>0</v>
      </c>
      <c r="DX209" s="33">
        <f t="shared" si="6"/>
        <v>0</v>
      </c>
      <c r="DY209" s="33">
        <f t="shared" si="7"/>
        <v>0</v>
      </c>
      <c r="DZ209" s="33">
        <f t="shared" si="8"/>
        <v>0</v>
      </c>
      <c r="EA209" s="25" t="str">
        <f>(Sheet1!N209)</f>
        <v>Asha Motor - Kannauj</v>
      </c>
      <c r="EB209" s="25" t="str">
        <f>(Sheet1!O209)</f>
        <v>1hlnCiW64Y7uZNVOj2ewyfTULbWj1dUaXX2rUREx8W8o</v>
      </c>
      <c r="EC209" s="26" t="str">
        <f>(Sheet1!P209)</f>
        <v>Sub Dealer</v>
      </c>
      <c r="ED209" s="34" t="s">
        <v>13</v>
      </c>
    </row>
    <row r="210">
      <c r="A210" s="25" t="str">
        <f>(Sheet1!A210)</f>
        <v>1OzQsznHYYDF5b9H7Egq-41PQKlWLvAn0FP2aFBNQa-s</v>
      </c>
      <c r="B210" s="25" t="str">
        <f>(Sheet1!B210)</f>
        <v>Sri Venkkateshwara(VT) - Raichur</v>
      </c>
      <c r="C210" s="30" t="s">
        <v>3821</v>
      </c>
      <c r="D210" s="30" t="s">
        <v>72</v>
      </c>
      <c r="E210" s="30" t="s">
        <v>3819</v>
      </c>
      <c r="F210" s="31">
        <v>201.0</v>
      </c>
      <c r="G210" s="32" t="s">
        <v>3818</v>
      </c>
      <c r="H210" s="31">
        <v>100.0</v>
      </c>
      <c r="I210" s="33">
        <f>'Old Balance Sheet'!A210 + 'ACPL Calculations - 1.0'!A210 + 'ACPL Calculations - 2.0'!A210</f>
        <v>0</v>
      </c>
      <c r="J210" s="30" t="s">
        <v>3819</v>
      </c>
      <c r="K210" s="31">
        <v>80.0</v>
      </c>
      <c r="L210" s="32" t="s">
        <v>3818</v>
      </c>
      <c r="M210" s="31">
        <v>100.0</v>
      </c>
      <c r="N210" s="33">
        <f>'Old Balance Sheet'!B210 + 'ACPL Calculations - 1.0'!B210 + 'ACPL Calculations - 2.0'!B210</f>
        <v>0</v>
      </c>
      <c r="O210" s="30" t="s">
        <v>3819</v>
      </c>
      <c r="P210" s="31">
        <v>201.0</v>
      </c>
      <c r="Q210" s="32" t="s">
        <v>3818</v>
      </c>
      <c r="R210" s="31">
        <v>100.0</v>
      </c>
      <c r="S210" s="33">
        <f>'Old Balance Sheet'!C210 + 'ACPL Calculations - 1.0'!C210 + 'ACPL Calculations - 2.0'!C210</f>
        <v>0</v>
      </c>
      <c r="T210" s="30" t="s">
        <v>3819</v>
      </c>
      <c r="U210" s="31">
        <v>260.0</v>
      </c>
      <c r="V210" s="32" t="s">
        <v>3818</v>
      </c>
      <c r="W210" s="31">
        <v>100.0</v>
      </c>
      <c r="X210" s="33">
        <f>'Old Balance Sheet'!D210 + 'ACPL Calculations - 1.0'!D210 + 'ACPL Calculations - 2.0'!D210</f>
        <v>0</v>
      </c>
      <c r="Y210" s="30" t="s">
        <v>3819</v>
      </c>
      <c r="Z210" s="31">
        <v>390.0</v>
      </c>
      <c r="AA210" s="32" t="s">
        <v>3818</v>
      </c>
      <c r="AB210" s="31">
        <v>100.0</v>
      </c>
      <c r="AC210" s="33">
        <f>'Old Balance Sheet'!E210 + 'ACPL Calculations - 1.0'!E210 + 'ACPL Calculations - 2.0'!E210</f>
        <v>117</v>
      </c>
      <c r="AD210" s="30" t="s">
        <v>3819</v>
      </c>
      <c r="AE210" s="34">
        <v>1100.0</v>
      </c>
      <c r="AF210" s="32" t="s">
        <v>3818</v>
      </c>
      <c r="AG210" s="31">
        <v>100.0</v>
      </c>
      <c r="AH210" s="33">
        <f>'Old Balance Sheet'!F210 + 'ACPL Calculations - 1.0'!F210 + 'ACPL Calculations - 2.0'!F210</f>
        <v>0</v>
      </c>
      <c r="AI210" s="30" t="s">
        <v>3819</v>
      </c>
      <c r="AJ210" s="31">
        <v>212.0</v>
      </c>
      <c r="AK210" s="32" t="s">
        <v>3818</v>
      </c>
      <c r="AL210" s="31">
        <v>100.0</v>
      </c>
      <c r="AM210" s="33">
        <f>'Old Balance Sheet'!G210 + 'ACPL Calculations - 1.0'!G210 + 'ACPL Calculations - 2.0'!G210</f>
        <v>0</v>
      </c>
      <c r="AN210" s="30" t="s">
        <v>3819</v>
      </c>
      <c r="AO210" s="31">
        <v>325.0</v>
      </c>
      <c r="AP210" s="32" t="s">
        <v>3818</v>
      </c>
      <c r="AQ210" s="31">
        <v>100.0</v>
      </c>
      <c r="AR210" s="33">
        <f>'Old Balance Sheet'!H210 + 'ACPL Calculations - 1.0'!H210 + 'ACPL Calculations - 2.0'!H210</f>
        <v>0</v>
      </c>
      <c r="AS210" s="30" t="s">
        <v>3819</v>
      </c>
      <c r="AT210" s="31">
        <v>939.0</v>
      </c>
      <c r="AU210" s="32" t="s">
        <v>3818</v>
      </c>
      <c r="AV210" s="31">
        <v>100.0</v>
      </c>
      <c r="AW210" s="33">
        <f>'Old Balance Sheet'!I210 + 'ACPL Calculations - 1.0'!I210 + 'ACPL Calculations - 2.0'!I210</f>
        <v>0</v>
      </c>
      <c r="AX210" s="30" t="s">
        <v>3819</v>
      </c>
      <c r="AY210" s="31">
        <v>290.0</v>
      </c>
      <c r="AZ210" s="32" t="s">
        <v>3818</v>
      </c>
      <c r="BA210" s="31">
        <v>100.0</v>
      </c>
      <c r="BB210" s="33">
        <f>'Old Balance Sheet'!J210 + 'ACPL Calculations - 1.0'!J210 + 'ACPL Calculations - 2.0'!J210</f>
        <v>0</v>
      </c>
      <c r="BC210" s="30" t="s">
        <v>3819</v>
      </c>
      <c r="BD210" s="31">
        <v>205.0</v>
      </c>
      <c r="BE210" s="32" t="s">
        <v>3818</v>
      </c>
      <c r="BF210" s="31">
        <v>100.0</v>
      </c>
      <c r="BG210" s="33">
        <f>'Old Balance Sheet'!K210 + 'ACPL Calculations - 1.0'!K210 + 'ACPL Calculations - 2.0'!K210</f>
        <v>0</v>
      </c>
      <c r="BH210" s="30" t="s">
        <v>3819</v>
      </c>
      <c r="BI210" s="31">
        <v>205.0</v>
      </c>
      <c r="BJ210" s="32" t="s">
        <v>3818</v>
      </c>
      <c r="BK210" s="31">
        <v>100.0</v>
      </c>
      <c r="BL210" s="33">
        <f>'Old Balance Sheet'!L210 + 'ACPL Calculations - 1.0'!L210 + 'ACPL Calculations - 2.0'!L210</f>
        <v>0</v>
      </c>
      <c r="BM210" s="25"/>
      <c r="BN210" s="25"/>
      <c r="BO210" s="25"/>
      <c r="BP210" s="25"/>
      <c r="BQ210" s="25"/>
      <c r="BR210" s="25"/>
      <c r="BS210" s="25"/>
      <c r="BT210" s="25"/>
      <c r="BU210" s="25"/>
      <c r="BV210" s="25"/>
      <c r="BW210" s="25"/>
      <c r="BX210" s="25"/>
      <c r="BY210" s="25"/>
      <c r="BZ210" s="25"/>
      <c r="CA210" s="25"/>
      <c r="CB210" s="25"/>
      <c r="CC210" s="25"/>
      <c r="CD210" s="25"/>
      <c r="CE210" s="25"/>
      <c r="CF210" s="25"/>
      <c r="CG210" s="25"/>
      <c r="CH210" s="25"/>
      <c r="CI210" s="25"/>
      <c r="CJ210" s="25"/>
      <c r="CK210" s="25"/>
      <c r="CL210" s="33">
        <f t="shared" si="1"/>
        <v>117</v>
      </c>
      <c r="CM210" s="33">
        <f>'Old Balance Sheet'!R210 + 'ACPL Calculations - 1.0'!S210 + 'ACPL Calculations - 2.0'!S210</f>
        <v>53843.4</v>
      </c>
      <c r="CN210" s="33">
        <f>'Old Balance Sheet'!S210 + 'ACPL Calculations - 1.0'!T210 + 'ACPL Calculations - 2.0'!T210</f>
        <v>45630</v>
      </c>
      <c r="CO210" s="33">
        <f t="shared" si="2"/>
        <v>53843.4</v>
      </c>
      <c r="CP210" s="33">
        <f>'Old Balance Sheet'!T210 + 'ACPL Calculations - 1.0'!V210 + 'ACPL Calculations - 2.0'!V210</f>
        <v>0</v>
      </c>
      <c r="CQ210" s="33">
        <f>'Old Balance Sheet'!U210 + 'ACPL Calculations - 1.0'!W210 + 'ACPL Calculations - 2.0'!W210</f>
        <v>0</v>
      </c>
      <c r="CR210" s="33">
        <f>'Old Balance Sheet'!V210 + 'ACPL Calculations - 1.0'!X210 + 'ACPL Calculations - 2.0'!X210</f>
        <v>8213.4</v>
      </c>
      <c r="CS210" s="33">
        <f t="shared" si="3"/>
        <v>8213.4</v>
      </c>
      <c r="CT210" s="35"/>
      <c r="CU210" s="35"/>
      <c r="CV210" s="35"/>
      <c r="CW210" s="36">
        <f>'Old Balance Sheet'!W210 + 'ACPL Calculations - 1.0'!Z210 + 'ACPL Calculations - 2.0'!Z210</f>
        <v>53843.4</v>
      </c>
      <c r="CX210" s="36">
        <f>'Old Balance Sheet'!X210 + 'ACPL Calculations - 1.0'!AA210 + 'ACPL Calculations - 2.0'!AA210</f>
        <v>53843.4</v>
      </c>
      <c r="CY210" s="37">
        <v>0.0</v>
      </c>
      <c r="CZ210" s="38">
        <f>'Old Balance Sheet'!Y210 + 'ACPL Calculations - 1.0'!AB210 + 'ACPL Calculations - 2.0'!AB210</f>
        <v>0</v>
      </c>
      <c r="DA210" s="38">
        <f>'Old Balance Sheet'!Z210 + 'ACPL Calculations - 1.0'!AC210 + 'ACPL Calculations - 2.0'!AC210</f>
        <v>0</v>
      </c>
      <c r="DB210" s="38">
        <f>'Old Balance Sheet'!AA210 + 'ACPL Calculations - 1.0'!AD210 + 'ACPL Calculations - 2.0'!AD210</f>
        <v>0</v>
      </c>
      <c r="DC210" s="38">
        <f>'Old Balance Sheet'!AB210 + 'ACPL Calculations - 1.0'!AE210 + 'ACPL Calculations - 2.0'!AE210</f>
        <v>0</v>
      </c>
      <c r="DD210" s="38">
        <f t="shared" si="4"/>
        <v>0</v>
      </c>
      <c r="DE210" s="33">
        <f t="shared" si="5"/>
        <v>0</v>
      </c>
      <c r="DF210" s="35">
        <v>0.0</v>
      </c>
      <c r="DG210" s="35">
        <v>0.0</v>
      </c>
      <c r="DH210" s="35">
        <v>0.0</v>
      </c>
      <c r="DI210" s="35">
        <v>0.0</v>
      </c>
      <c r="DJ210" s="35">
        <v>0.0</v>
      </c>
      <c r="DK210" s="35">
        <v>0.0</v>
      </c>
      <c r="DL210" s="35">
        <v>0.0</v>
      </c>
      <c r="DM210" s="35">
        <v>0.0</v>
      </c>
      <c r="DN210" s="31">
        <v>0.0</v>
      </c>
      <c r="DO210" s="31">
        <v>0.0</v>
      </c>
      <c r="DP210" s="31">
        <v>0.0</v>
      </c>
      <c r="DQ210" s="31">
        <v>0.0</v>
      </c>
      <c r="DR210" s="31">
        <v>0.0</v>
      </c>
      <c r="DS210" s="31">
        <v>0.0</v>
      </c>
      <c r="DT210" s="31">
        <f>'Old Balance Sheet'!AC210</f>
        <v>0</v>
      </c>
      <c r="DU210" s="31">
        <f>DT210 + SUMIFS('Payments Log'!D:D, 'Payments Log'!B:B, A210, 'Payments Log'!L:L, "Approved", 'Payments Log'!M:M, "Credit") + 'Old Balance Sheet'!AD210 - 'Old Balance Sheet'!AC210</f>
        <v>53841</v>
      </c>
      <c r="DV210" s="31">
        <f>SUMIFS('Payments Log'!D:D, 'Payments Log'!B:B, A210, 'Payments Log'!L:L, "Approved", 'Payments Log'!M:M, "Adjustment Credit") - SUMIFS('Payments Log'!D:D, 'Payments Log'!B:B, A210, 'Payments Log'!L:L, "Approved", 'Payments Log'!M:M, "Adjustment Debit") + 'Old Balance Sheet'!AE210</f>
        <v>2.4</v>
      </c>
      <c r="DW210" s="31">
        <f>IF(MAXIFS('Payments Log'!N:N, 'Payments Log'!L:L, "Approved", 'Payments Log'!M:M, "Credit", 'Payments Log'!B:B, A210) &gt; MAXIFS('Payments Log'!N:N, 'Payments Log'!L:L, "Approved", 'Payments Log'!M:M, "Virtual Credit", 'Payments Log'!B:B, A210), 0, SUMIFS('Payments Log'!D:D, 'Payments Log'!N:N, MAXIFS('Payments Log'!N:N, 'Payments Log'!L:L, "Approved", 'Payments Log'!M:M, "Virtual Credit", 'Payments Log'!B:B, A210)))</f>
        <v>0</v>
      </c>
      <c r="DX210" s="33">
        <f t="shared" si="6"/>
        <v>0</v>
      </c>
      <c r="DY210" s="33">
        <f t="shared" si="7"/>
        <v>0</v>
      </c>
      <c r="DZ210" s="33">
        <f t="shared" si="8"/>
        <v>0</v>
      </c>
      <c r="EA210" s="25" t="str">
        <f>(Sheet1!N210)</f>
        <v>Vidhi Trading</v>
      </c>
      <c r="EB210" s="25" t="str">
        <f>(Sheet1!O210)</f>
        <v>1RYX1vfvY0jbK-8SlRPLYU11dr-HUe2ntxj5PumL7c0I</v>
      </c>
      <c r="EC210" s="26" t="str">
        <f>(Sheet1!P210)</f>
        <v>Sub Dealer</v>
      </c>
      <c r="ED210" s="34" t="s">
        <v>13</v>
      </c>
    </row>
    <row r="211">
      <c r="A211" s="25" t="str">
        <f>(Sheet1!A211)</f>
        <v>11KI2mOYZ4I9wDgZ2By8zUkmcvYLaWDOUT2Ivww0nVBM</v>
      </c>
      <c r="B211" s="25" t="str">
        <f>(Sheet1!B211)</f>
        <v>Shree Balaji Bajaj Showroom(VT) - Raichur</v>
      </c>
      <c r="C211" s="30" t="s">
        <v>3821</v>
      </c>
      <c r="D211" s="30" t="s">
        <v>72</v>
      </c>
      <c r="E211" s="30" t="s">
        <v>3819</v>
      </c>
      <c r="F211" s="31">
        <v>201.0</v>
      </c>
      <c r="G211" s="32" t="s">
        <v>3818</v>
      </c>
      <c r="H211" s="31">
        <v>100.0</v>
      </c>
      <c r="I211" s="33">
        <f>'Old Balance Sheet'!A211 + 'ACPL Calculations - 1.0'!A211 + 'ACPL Calculations - 2.0'!A211</f>
        <v>0</v>
      </c>
      <c r="J211" s="30" t="s">
        <v>3819</v>
      </c>
      <c r="K211" s="31">
        <v>80.0</v>
      </c>
      <c r="L211" s="32" t="s">
        <v>3818</v>
      </c>
      <c r="M211" s="31">
        <v>100.0</v>
      </c>
      <c r="N211" s="33">
        <f>'Old Balance Sheet'!B211 + 'ACPL Calculations - 1.0'!B211 + 'ACPL Calculations - 2.0'!B211</f>
        <v>0</v>
      </c>
      <c r="O211" s="30" t="s">
        <v>3819</v>
      </c>
      <c r="P211" s="31">
        <v>201.0</v>
      </c>
      <c r="Q211" s="32" t="s">
        <v>3818</v>
      </c>
      <c r="R211" s="31">
        <v>100.0</v>
      </c>
      <c r="S211" s="33">
        <f>'Old Balance Sheet'!C211 + 'ACPL Calculations - 1.0'!C211 + 'ACPL Calculations - 2.0'!C211</f>
        <v>0</v>
      </c>
      <c r="T211" s="30" t="s">
        <v>3819</v>
      </c>
      <c r="U211" s="31">
        <v>260.0</v>
      </c>
      <c r="V211" s="32" t="s">
        <v>3818</v>
      </c>
      <c r="W211" s="31">
        <v>100.0</v>
      </c>
      <c r="X211" s="33">
        <f>'Old Balance Sheet'!D211 + 'ACPL Calculations - 1.0'!D211 + 'ACPL Calculations - 2.0'!D211</f>
        <v>0</v>
      </c>
      <c r="Y211" s="30" t="s">
        <v>3819</v>
      </c>
      <c r="Z211" s="31">
        <v>390.0</v>
      </c>
      <c r="AA211" s="32" t="s">
        <v>3818</v>
      </c>
      <c r="AB211" s="31">
        <v>100.0</v>
      </c>
      <c r="AC211" s="33">
        <f>'Old Balance Sheet'!E211 + 'ACPL Calculations - 1.0'!E211 + 'ACPL Calculations - 2.0'!E211</f>
        <v>1099</v>
      </c>
      <c r="AD211" s="30" t="s">
        <v>3819</v>
      </c>
      <c r="AE211" s="34">
        <v>1100.0</v>
      </c>
      <c r="AF211" s="32" t="s">
        <v>3818</v>
      </c>
      <c r="AG211" s="31">
        <v>100.0</v>
      </c>
      <c r="AH211" s="33">
        <f>'Old Balance Sheet'!F211 + 'ACPL Calculations - 1.0'!F211 + 'ACPL Calculations - 2.0'!F211</f>
        <v>0</v>
      </c>
      <c r="AI211" s="30" t="s">
        <v>3819</v>
      </c>
      <c r="AJ211" s="31">
        <v>212.0</v>
      </c>
      <c r="AK211" s="32" t="s">
        <v>3818</v>
      </c>
      <c r="AL211" s="31">
        <v>100.0</v>
      </c>
      <c r="AM211" s="33">
        <f>'Old Balance Sheet'!G211 + 'ACPL Calculations - 1.0'!G211 + 'ACPL Calculations - 2.0'!G211</f>
        <v>0</v>
      </c>
      <c r="AN211" s="30" t="s">
        <v>3819</v>
      </c>
      <c r="AO211" s="31">
        <v>325.0</v>
      </c>
      <c r="AP211" s="32" t="s">
        <v>3818</v>
      </c>
      <c r="AQ211" s="31">
        <v>100.0</v>
      </c>
      <c r="AR211" s="33">
        <f>'Old Balance Sheet'!H211 + 'ACPL Calculations - 1.0'!H211 + 'ACPL Calculations - 2.0'!H211</f>
        <v>0</v>
      </c>
      <c r="AS211" s="30" t="s">
        <v>3819</v>
      </c>
      <c r="AT211" s="31">
        <v>939.0</v>
      </c>
      <c r="AU211" s="32" t="s">
        <v>3818</v>
      </c>
      <c r="AV211" s="31">
        <v>100.0</v>
      </c>
      <c r="AW211" s="33">
        <f>'Old Balance Sheet'!I211 + 'ACPL Calculations - 1.0'!I211 + 'ACPL Calculations - 2.0'!I211</f>
        <v>0</v>
      </c>
      <c r="AX211" s="30" t="s">
        <v>3819</v>
      </c>
      <c r="AY211" s="31">
        <v>290.0</v>
      </c>
      <c r="AZ211" s="32" t="s">
        <v>3818</v>
      </c>
      <c r="BA211" s="31">
        <v>100.0</v>
      </c>
      <c r="BB211" s="33">
        <f>'Old Balance Sheet'!J211 + 'ACPL Calculations - 1.0'!J211 + 'ACPL Calculations - 2.0'!J211</f>
        <v>0</v>
      </c>
      <c r="BC211" s="30" t="s">
        <v>3819</v>
      </c>
      <c r="BD211" s="31">
        <v>205.0</v>
      </c>
      <c r="BE211" s="32" t="s">
        <v>3818</v>
      </c>
      <c r="BF211" s="31">
        <v>100.0</v>
      </c>
      <c r="BG211" s="33">
        <f>'Old Balance Sheet'!K211 + 'ACPL Calculations - 1.0'!K211 + 'ACPL Calculations - 2.0'!K211</f>
        <v>0</v>
      </c>
      <c r="BH211" s="30" t="s">
        <v>3819</v>
      </c>
      <c r="BI211" s="31">
        <v>205.0</v>
      </c>
      <c r="BJ211" s="32" t="s">
        <v>3818</v>
      </c>
      <c r="BK211" s="31">
        <v>100.0</v>
      </c>
      <c r="BL211" s="33">
        <f>'Old Balance Sheet'!L211 + 'ACPL Calculations - 1.0'!L211 + 'ACPL Calculations - 2.0'!L211</f>
        <v>0</v>
      </c>
      <c r="BM211" s="25"/>
      <c r="BN211" s="25"/>
      <c r="BO211" s="25"/>
      <c r="BP211" s="25"/>
      <c r="BQ211" s="25"/>
      <c r="BR211" s="25"/>
      <c r="BS211" s="25"/>
      <c r="BT211" s="25"/>
      <c r="BU211" s="25"/>
      <c r="BV211" s="25"/>
      <c r="BW211" s="25"/>
      <c r="BX211" s="25"/>
      <c r="BY211" s="25"/>
      <c r="BZ211" s="25"/>
      <c r="CA211" s="25"/>
      <c r="CB211" s="25"/>
      <c r="CC211" s="25"/>
      <c r="CD211" s="25"/>
      <c r="CE211" s="25"/>
      <c r="CF211" s="25"/>
      <c r="CG211" s="25"/>
      <c r="CH211" s="25"/>
      <c r="CI211" s="25"/>
      <c r="CJ211" s="25"/>
      <c r="CK211" s="25"/>
      <c r="CL211" s="33">
        <f t="shared" si="1"/>
        <v>1099</v>
      </c>
      <c r="CM211" s="33">
        <f>'Old Balance Sheet'!R211 + 'ACPL Calculations - 1.0'!S211 + 'ACPL Calculations - 2.0'!S211</f>
        <v>505759.8</v>
      </c>
      <c r="CN211" s="33">
        <f>'Old Balance Sheet'!S211 + 'ACPL Calculations - 1.0'!T211 + 'ACPL Calculations - 2.0'!T211</f>
        <v>428610</v>
      </c>
      <c r="CO211" s="33">
        <f t="shared" si="2"/>
        <v>505759.8</v>
      </c>
      <c r="CP211" s="33">
        <f>'Old Balance Sheet'!T211 + 'ACPL Calculations - 1.0'!V211 + 'ACPL Calculations - 2.0'!V211</f>
        <v>0</v>
      </c>
      <c r="CQ211" s="33">
        <f>'Old Balance Sheet'!U211 + 'ACPL Calculations - 1.0'!W211 + 'ACPL Calculations - 2.0'!W211</f>
        <v>0</v>
      </c>
      <c r="CR211" s="33">
        <f>'Old Balance Sheet'!V211 + 'ACPL Calculations - 1.0'!X211 + 'ACPL Calculations - 2.0'!X211</f>
        <v>77149.8</v>
      </c>
      <c r="CS211" s="33">
        <f t="shared" si="3"/>
        <v>77149.8</v>
      </c>
      <c r="CT211" s="35"/>
      <c r="CU211" s="35"/>
      <c r="CV211" s="35"/>
      <c r="CW211" s="36">
        <f>'Old Balance Sheet'!W211 + 'ACPL Calculations - 1.0'!Z211 + 'ACPL Calculations - 2.0'!Z211</f>
        <v>505759.8</v>
      </c>
      <c r="CX211" s="36">
        <f>'Old Balance Sheet'!X211 + 'ACPL Calculations - 1.0'!AA211 + 'ACPL Calculations - 2.0'!AA211</f>
        <v>505759.8</v>
      </c>
      <c r="CY211" s="37">
        <v>0.0</v>
      </c>
      <c r="CZ211" s="38">
        <f>'Old Balance Sheet'!Y211 + 'ACPL Calculations - 1.0'!AB211 + 'ACPL Calculations - 2.0'!AB211</f>
        <v>0</v>
      </c>
      <c r="DA211" s="38">
        <f>'Old Balance Sheet'!Z211 + 'ACPL Calculations - 1.0'!AC211 + 'ACPL Calculations - 2.0'!AC211</f>
        <v>0</v>
      </c>
      <c r="DB211" s="38">
        <f>'Old Balance Sheet'!AA211 + 'ACPL Calculations - 1.0'!AD211 + 'ACPL Calculations - 2.0'!AD211</f>
        <v>0</v>
      </c>
      <c r="DC211" s="38">
        <f>'Old Balance Sheet'!AB211 + 'ACPL Calculations - 1.0'!AE211 + 'ACPL Calculations - 2.0'!AE211</f>
        <v>0</v>
      </c>
      <c r="DD211" s="38">
        <f t="shared" si="4"/>
        <v>0</v>
      </c>
      <c r="DE211" s="33">
        <f t="shared" si="5"/>
        <v>0</v>
      </c>
      <c r="DF211" s="35">
        <v>0.0</v>
      </c>
      <c r="DG211" s="35">
        <v>0.0</v>
      </c>
      <c r="DH211" s="35">
        <v>0.0</v>
      </c>
      <c r="DI211" s="35">
        <v>0.0</v>
      </c>
      <c r="DJ211" s="35">
        <v>0.0</v>
      </c>
      <c r="DK211" s="35">
        <v>0.0</v>
      </c>
      <c r="DL211" s="35">
        <v>0.0</v>
      </c>
      <c r="DM211" s="35">
        <v>0.0</v>
      </c>
      <c r="DN211" s="31">
        <v>0.0</v>
      </c>
      <c r="DO211" s="31">
        <v>0.0</v>
      </c>
      <c r="DP211" s="31">
        <v>0.0</v>
      </c>
      <c r="DQ211" s="31">
        <v>0.0</v>
      </c>
      <c r="DR211" s="31">
        <v>0.0</v>
      </c>
      <c r="DS211" s="31">
        <v>0.0</v>
      </c>
      <c r="DT211" s="31">
        <f>'Old Balance Sheet'!AC211</f>
        <v>0</v>
      </c>
      <c r="DU211" s="31">
        <f>DT211 + SUMIFS('Payments Log'!D:D, 'Payments Log'!B:B, A211, 'Payments Log'!L:L, "Approved", 'Payments Log'!M:M, "Credit") + 'Old Balance Sheet'!AD211 - 'Old Balance Sheet'!AC211</f>
        <v>506070</v>
      </c>
      <c r="DV211" s="31">
        <f>SUMIFS('Payments Log'!D:D, 'Payments Log'!B:B, A211, 'Payments Log'!L:L, "Approved", 'Payments Log'!M:M, "Adjustment Credit") - SUMIFS('Payments Log'!D:D, 'Payments Log'!B:B, A211, 'Payments Log'!L:L, "Approved", 'Payments Log'!M:M, "Adjustment Debit") + 'Old Balance Sheet'!AE211</f>
        <v>0</v>
      </c>
      <c r="DW211" s="31">
        <f>IF(MAXIFS('Payments Log'!N:N, 'Payments Log'!L:L, "Approved", 'Payments Log'!M:M, "Credit", 'Payments Log'!B:B, A211) &gt; MAXIFS('Payments Log'!N:N, 'Payments Log'!L:L, "Approved", 'Payments Log'!M:M, "Virtual Credit", 'Payments Log'!B:B, A211), 0, SUMIFS('Payments Log'!D:D, 'Payments Log'!N:N, MAXIFS('Payments Log'!N:N, 'Payments Log'!L:L, "Approved", 'Payments Log'!M:M, "Virtual Credit", 'Payments Log'!B:B, A211)))</f>
        <v>0</v>
      </c>
      <c r="DX211" s="33">
        <f t="shared" si="6"/>
        <v>310.2</v>
      </c>
      <c r="DY211" s="33">
        <f t="shared" si="7"/>
        <v>310.2</v>
      </c>
      <c r="DZ211" s="33">
        <f t="shared" si="8"/>
        <v>310.2</v>
      </c>
      <c r="EA211" s="25" t="str">
        <f>(Sheet1!N211)</f>
        <v>Vidhi Trading</v>
      </c>
      <c r="EB211" s="25" t="str">
        <f>(Sheet1!O211)</f>
        <v>1RYX1vfvY0jbK-8SlRPLYU11dr-HUe2ntxj5PumL7c0I</v>
      </c>
      <c r="EC211" s="26" t="str">
        <f>(Sheet1!P211)</f>
        <v>Sub Dealer</v>
      </c>
      <c r="ED211" s="34" t="s">
        <v>13</v>
      </c>
    </row>
    <row r="212">
      <c r="A212" s="25" t="str">
        <f>(Sheet1!A212)</f>
        <v>1UEfgxxulqp3XdpHhzd5wSRwLxDHVUpADNPLxS1b2Hvo</v>
      </c>
      <c r="B212" s="25" t="str">
        <f>(Sheet1!B212)</f>
        <v>Mayank TEST</v>
      </c>
      <c r="C212" s="30" t="s">
        <v>13</v>
      </c>
      <c r="D212" s="25" t="s">
        <v>72</v>
      </c>
      <c r="E212" s="30" t="s">
        <v>3820</v>
      </c>
      <c r="F212" s="33">
        <v>205.0</v>
      </c>
      <c r="G212" s="25" t="s">
        <v>3818</v>
      </c>
      <c r="H212" s="33">
        <v>100.0</v>
      </c>
      <c r="I212" s="33">
        <f>'Old Balance Sheet'!A212 + 'ACPL Calculations - 1.0'!A212 + 'ACPL Calculations - 2.0'!A212</f>
        <v>0</v>
      </c>
      <c r="J212" s="30" t="s">
        <v>3820</v>
      </c>
      <c r="K212" s="33">
        <v>205.0</v>
      </c>
      <c r="L212" s="25" t="s">
        <v>3818</v>
      </c>
      <c r="M212" s="33">
        <v>100.0</v>
      </c>
      <c r="N212" s="33">
        <f>'Old Balance Sheet'!B212 + 'ACPL Calculations - 1.0'!B212 + 'ACPL Calculations - 2.0'!B212</f>
        <v>0</v>
      </c>
      <c r="O212" s="30" t="s">
        <v>3820</v>
      </c>
      <c r="P212" s="31">
        <v>290.0</v>
      </c>
      <c r="Q212" s="25" t="s">
        <v>3818</v>
      </c>
      <c r="R212" s="33">
        <v>100.0</v>
      </c>
      <c r="S212" s="33">
        <f>'Old Balance Sheet'!C212 + 'ACPL Calculations - 1.0'!C212 + 'ACPL Calculations - 2.0'!C212</f>
        <v>2</v>
      </c>
      <c r="T212" s="30" t="s">
        <v>3820</v>
      </c>
      <c r="U212" s="33">
        <v>375.0</v>
      </c>
      <c r="V212" s="25" t="s">
        <v>3818</v>
      </c>
      <c r="W212" s="33">
        <v>100.0</v>
      </c>
      <c r="X212" s="33">
        <f>'Old Balance Sheet'!D212 + 'ACPL Calculations - 1.0'!D212 + 'ACPL Calculations - 2.0'!D212</f>
        <v>0</v>
      </c>
      <c r="Y212" s="30" t="s">
        <v>3820</v>
      </c>
      <c r="Z212" s="33">
        <v>460.0</v>
      </c>
      <c r="AA212" s="42" t="s">
        <v>3818</v>
      </c>
      <c r="AB212" s="43">
        <v>100.0</v>
      </c>
      <c r="AC212" s="33">
        <f>'Old Balance Sheet'!E212 + 'ACPL Calculations - 1.0'!E212 + 'ACPL Calculations - 2.0'!E212</f>
        <v>0</v>
      </c>
      <c r="AD212" s="30" t="s">
        <v>3820</v>
      </c>
      <c r="AE212" s="33">
        <v>838.99</v>
      </c>
      <c r="AF212" s="42" t="s">
        <v>3818</v>
      </c>
      <c r="AG212" s="43">
        <v>100.0</v>
      </c>
      <c r="AH212" s="33">
        <f>'Old Balance Sheet'!F212 + 'ACPL Calculations - 1.0'!F212 + 'ACPL Calculations - 2.0'!F212</f>
        <v>0</v>
      </c>
      <c r="AI212" s="30" t="s">
        <v>3820</v>
      </c>
      <c r="AJ212" s="33">
        <v>375.0</v>
      </c>
      <c r="AK212" s="42" t="s">
        <v>3818</v>
      </c>
      <c r="AL212" s="43">
        <v>100.0</v>
      </c>
      <c r="AM212" s="33">
        <f>'Old Balance Sheet'!G212 + 'ACPL Calculations - 1.0'!G212 + 'ACPL Calculations - 2.0'!G212</f>
        <v>0</v>
      </c>
      <c r="AN212" s="30" t="s">
        <v>3820</v>
      </c>
      <c r="AO212" s="33">
        <v>290.0</v>
      </c>
      <c r="AP212" s="42" t="s">
        <v>3818</v>
      </c>
      <c r="AQ212" s="43">
        <v>100.0</v>
      </c>
      <c r="AR212" s="33">
        <f>'Old Balance Sheet'!H212 + 'ACPL Calculations - 1.0'!H212 + 'ACPL Calculations - 2.0'!H212</f>
        <v>0</v>
      </c>
      <c r="AS212" s="30" t="s">
        <v>3819</v>
      </c>
      <c r="AT212" s="33">
        <v>838.99</v>
      </c>
      <c r="AU212" s="42" t="s">
        <v>3818</v>
      </c>
      <c r="AV212" s="43">
        <v>100.0</v>
      </c>
      <c r="AW212" s="33">
        <f>'Old Balance Sheet'!I212 + 'ACPL Calculations - 1.0'!I212 + 'ACPL Calculations - 2.0'!I212</f>
        <v>0</v>
      </c>
      <c r="AX212" s="30" t="s">
        <v>3820</v>
      </c>
      <c r="AY212" s="31">
        <v>290.0</v>
      </c>
      <c r="AZ212" s="42" t="s">
        <v>3818</v>
      </c>
      <c r="BA212" s="43">
        <v>100.0</v>
      </c>
      <c r="BB212" s="33">
        <f>'Old Balance Sheet'!J212 + 'ACPL Calculations - 1.0'!J212 + 'ACPL Calculations - 2.0'!J212</f>
        <v>0</v>
      </c>
      <c r="BC212" s="30" t="s">
        <v>3820</v>
      </c>
      <c r="BD212" s="31">
        <v>205.0</v>
      </c>
      <c r="BE212" s="42" t="s">
        <v>3818</v>
      </c>
      <c r="BF212" s="43">
        <v>100.0</v>
      </c>
      <c r="BG212" s="33">
        <f>'Old Balance Sheet'!K212 + 'ACPL Calculations - 1.0'!K212 + 'ACPL Calculations - 2.0'!K212</f>
        <v>0</v>
      </c>
      <c r="BH212" s="30" t="s">
        <v>3820</v>
      </c>
      <c r="BI212" s="31">
        <v>205.0</v>
      </c>
      <c r="BJ212" s="42" t="s">
        <v>3818</v>
      </c>
      <c r="BK212" s="43">
        <v>100.0</v>
      </c>
      <c r="BL212" s="33">
        <f>'Old Balance Sheet'!L212 + 'ACPL Calculations - 1.0'!L212 + 'ACPL Calculations - 2.0'!L212</f>
        <v>0</v>
      </c>
      <c r="BM212" s="25"/>
      <c r="BN212" s="25"/>
      <c r="BO212" s="25"/>
      <c r="BP212" s="25"/>
      <c r="BQ212" s="25"/>
      <c r="BR212" s="25"/>
      <c r="BS212" s="25"/>
      <c r="BT212" s="25"/>
      <c r="BU212" s="25"/>
      <c r="BV212" s="25"/>
      <c r="BW212" s="25"/>
      <c r="BX212" s="25"/>
      <c r="BY212" s="25"/>
      <c r="BZ212" s="25"/>
      <c r="CA212" s="25"/>
      <c r="CB212" s="25"/>
      <c r="CC212" s="25"/>
      <c r="CD212" s="25"/>
      <c r="CE212" s="25"/>
      <c r="CF212" s="25"/>
      <c r="CG212" s="25"/>
      <c r="CH212" s="25"/>
      <c r="CI212" s="25"/>
      <c r="CJ212" s="25"/>
      <c r="CK212" s="25"/>
      <c r="CL212" s="33">
        <f t="shared" si="1"/>
        <v>2</v>
      </c>
      <c r="CM212" s="33">
        <f>'Old Balance Sheet'!R212 + 'ACPL Calculations - 1.0'!S212 + 'ACPL Calculations - 2.0'!S212</f>
        <v>1380</v>
      </c>
      <c r="CN212" s="33">
        <f>'Old Balance Sheet'!S212 + 'ACPL Calculations - 1.0'!T212 + 'ACPL Calculations - 2.0'!T212</f>
        <v>580</v>
      </c>
      <c r="CO212" s="33">
        <f t="shared" si="2"/>
        <v>790.52</v>
      </c>
      <c r="CP212" s="33">
        <f>'Old Balance Sheet'!T212 + 'ACPL Calculations - 1.0'!V212 + 'ACPL Calculations - 2.0'!V212</f>
        <v>105.26</v>
      </c>
      <c r="CQ212" s="33">
        <f>'Old Balance Sheet'!U212 + 'ACPL Calculations - 1.0'!W212 + 'ACPL Calculations - 2.0'!W212</f>
        <v>105.26</v>
      </c>
      <c r="CR212" s="33">
        <f>'Old Balance Sheet'!V212 + 'ACPL Calculations - 1.0'!X212 + 'ACPL Calculations - 2.0'!X212</f>
        <v>0</v>
      </c>
      <c r="CS212" s="33">
        <f t="shared" si="3"/>
        <v>210.52</v>
      </c>
      <c r="CT212" s="35"/>
      <c r="CU212" s="35"/>
      <c r="CV212" s="35"/>
      <c r="CW212" s="36">
        <f>'Old Balance Sheet'!W212 + 'ACPL Calculations - 1.0'!Z212 + 'ACPL Calculations - 2.0'!Z212</f>
        <v>0</v>
      </c>
      <c r="CX212" s="36">
        <f>'Old Balance Sheet'!X212 + 'ACPL Calculations - 1.0'!AA212 + 'ACPL Calculations - 2.0'!AA212</f>
        <v>0</v>
      </c>
      <c r="CY212" s="37">
        <v>0.0</v>
      </c>
      <c r="CZ212" s="38">
        <f>'Old Balance Sheet'!Y212 + 'ACPL Calculations - 1.0'!AB212 + 'ACPL Calculations - 2.0'!AB212</f>
        <v>0</v>
      </c>
      <c r="DA212" s="38">
        <f>'Old Balance Sheet'!Z212 + 'ACPL Calculations - 1.0'!AC212 + 'ACPL Calculations - 2.0'!AC212</f>
        <v>0</v>
      </c>
      <c r="DB212" s="38">
        <f>'Old Balance Sheet'!AA212 + 'ACPL Calculations - 1.0'!AD212 + 'ACPL Calculations - 2.0'!AD212</f>
        <v>0</v>
      </c>
      <c r="DC212" s="38">
        <f>'Old Balance Sheet'!AB212 + 'ACPL Calculations - 1.0'!AE212 + 'ACPL Calculations - 2.0'!AE212</f>
        <v>0</v>
      </c>
      <c r="DD212" s="38">
        <f t="shared" si="4"/>
        <v>0</v>
      </c>
      <c r="DE212" s="33">
        <f t="shared" si="5"/>
        <v>0</v>
      </c>
      <c r="DF212" s="35">
        <v>0.0</v>
      </c>
      <c r="DG212" s="35">
        <v>0.0</v>
      </c>
      <c r="DH212" s="35">
        <v>0.0</v>
      </c>
      <c r="DI212" s="35">
        <v>0.0</v>
      </c>
      <c r="DJ212" s="35">
        <v>0.0</v>
      </c>
      <c r="DK212" s="35">
        <v>0.0</v>
      </c>
      <c r="DL212" s="35">
        <v>0.0</v>
      </c>
      <c r="DM212" s="35">
        <v>0.0</v>
      </c>
      <c r="DN212" s="31">
        <v>0.0</v>
      </c>
      <c r="DO212" s="31">
        <v>0.0</v>
      </c>
      <c r="DP212" s="31">
        <v>0.0</v>
      </c>
      <c r="DQ212" s="31">
        <v>0.0</v>
      </c>
      <c r="DR212" s="31">
        <v>0.0</v>
      </c>
      <c r="DS212" s="31">
        <v>0.0</v>
      </c>
      <c r="DT212" s="31">
        <f>'Old Balance Sheet'!AC212</f>
        <v>0</v>
      </c>
      <c r="DU212" s="31">
        <f>DT212 + SUMIFS('Payments Log'!D:D, 'Payments Log'!B:B, A212, 'Payments Log'!L:L, "Approved", 'Payments Log'!M:M, "Credit") + 'Old Balance Sheet'!AD212 - 'Old Balance Sheet'!AC212</f>
        <v>0</v>
      </c>
      <c r="DV212" s="31">
        <f>SUMIFS('Payments Log'!D:D, 'Payments Log'!B:B, A212, 'Payments Log'!L:L, "Approved", 'Payments Log'!M:M, "Adjustment Credit") - SUMIFS('Payments Log'!D:D, 'Payments Log'!B:B, A212, 'Payments Log'!L:L, "Approved", 'Payments Log'!M:M, "Adjustment Debit") + 'Old Balance Sheet'!AE212</f>
        <v>0</v>
      </c>
      <c r="DW212" s="31">
        <f>IF(MAXIFS('Payments Log'!N:N, 'Payments Log'!L:L, "Approved", 'Payments Log'!M:M, "Credit", 'Payments Log'!B:B, A212) &gt; MAXIFS('Payments Log'!N:N, 'Payments Log'!L:L, "Approved", 'Payments Log'!M:M, "Virtual Credit", 'Payments Log'!B:B, A212), 0, SUMIFS('Payments Log'!D:D, 'Payments Log'!N:N, MAXIFS('Payments Log'!N:N, 'Payments Log'!L:L, "Approved", 'Payments Log'!M:M, "Virtual Credit", 'Payments Log'!B:B, A212)))</f>
        <v>0</v>
      </c>
      <c r="DX212" s="33">
        <f t="shared" si="6"/>
        <v>0</v>
      </c>
      <c r="DY212" s="33">
        <f t="shared" si="7"/>
        <v>0</v>
      </c>
      <c r="DZ212" s="33">
        <f t="shared" si="8"/>
        <v>0</v>
      </c>
      <c r="EA212" s="25" t="str">
        <f>(Sheet1!N212)</f>
        <v>MPS</v>
      </c>
      <c r="EB212" s="25" t="str">
        <f>(Sheet1!O212)</f>
        <v>1ClXh28BQwwGN7Q42xt0Dc8b_R_3jweBItLcbwVq3Rj0</v>
      </c>
      <c r="EC212" s="26" t="str">
        <f>(Sheet1!P212)</f>
        <v>Sub Dealer</v>
      </c>
      <c r="ED212" s="34" t="s">
        <v>13</v>
      </c>
    </row>
    <row r="213">
      <c r="A213" s="25" t="str">
        <f>(Sheet1!A213)</f>
        <v>1GSsoBjWtxEEY9Oe4QB_zfBq2Y31JMCHYWDUPZcHZ4Is</v>
      </c>
      <c r="B213" s="25" t="str">
        <f>(Sheet1!B213)</f>
        <v>Begusarai Auto Agencies - Begusarai</v>
      </c>
      <c r="C213" s="30" t="s">
        <v>13</v>
      </c>
      <c r="D213" s="30" t="s">
        <v>72</v>
      </c>
      <c r="E213" s="25" t="s">
        <v>3820</v>
      </c>
      <c r="F213" s="31">
        <v>185.0</v>
      </c>
      <c r="G213" s="32" t="s">
        <v>3818</v>
      </c>
      <c r="H213" s="31">
        <v>100.0</v>
      </c>
      <c r="I213" s="33">
        <f>'Old Balance Sheet'!A213 + 'ACPL Calculations - 1.0'!A213 + 'ACPL Calculations - 2.0'!A213</f>
        <v>3</v>
      </c>
      <c r="J213" s="25" t="s">
        <v>3820</v>
      </c>
      <c r="K213" s="31">
        <v>205.0</v>
      </c>
      <c r="L213" s="32" t="s">
        <v>3818</v>
      </c>
      <c r="M213" s="31">
        <v>100.0</v>
      </c>
      <c r="N213" s="33">
        <f>'Old Balance Sheet'!B213 + 'ACPL Calculations - 1.0'!B213 + 'ACPL Calculations - 2.0'!B213</f>
        <v>0</v>
      </c>
      <c r="O213" s="25" t="s">
        <v>3820</v>
      </c>
      <c r="P213" s="40">
        <v>205.0</v>
      </c>
      <c r="Q213" s="32" t="s">
        <v>3818</v>
      </c>
      <c r="R213" s="31">
        <v>100.0</v>
      </c>
      <c r="S213" s="33">
        <f>'Old Balance Sheet'!C213 + 'ACPL Calculations - 1.0'!C213 + 'ACPL Calculations - 2.0'!C213</f>
        <v>34</v>
      </c>
      <c r="T213" s="25" t="s">
        <v>3820</v>
      </c>
      <c r="U213" s="31">
        <v>375.0</v>
      </c>
      <c r="V213" s="32" t="s">
        <v>3818</v>
      </c>
      <c r="W213" s="31">
        <v>100.0</v>
      </c>
      <c r="X213" s="33">
        <f>'Old Balance Sheet'!D213 + 'ACPL Calculations - 1.0'!D213 + 'ACPL Calculations - 2.0'!D213</f>
        <v>0</v>
      </c>
      <c r="Y213" s="25" t="s">
        <v>3820</v>
      </c>
      <c r="Z213" s="31">
        <v>375.0</v>
      </c>
      <c r="AA213" s="32" t="s">
        <v>3818</v>
      </c>
      <c r="AB213" s="31">
        <v>100.0</v>
      </c>
      <c r="AC213" s="33">
        <f>'Old Balance Sheet'!E213 + 'ACPL Calculations - 1.0'!E213 + 'ACPL Calculations - 2.0'!E213</f>
        <v>0</v>
      </c>
      <c r="AD213" s="25" t="s">
        <v>3820</v>
      </c>
      <c r="AE213" s="34">
        <v>838.99</v>
      </c>
      <c r="AF213" s="32" t="s">
        <v>3818</v>
      </c>
      <c r="AG213" s="31">
        <v>100.0</v>
      </c>
      <c r="AH213" s="33">
        <f>'Old Balance Sheet'!F213 + 'ACPL Calculations - 1.0'!F213 + 'ACPL Calculations - 2.0'!F213</f>
        <v>0</v>
      </c>
      <c r="AI213" s="25" t="s">
        <v>3820</v>
      </c>
      <c r="AJ213" s="31">
        <v>375.0</v>
      </c>
      <c r="AK213" s="32" t="s">
        <v>3818</v>
      </c>
      <c r="AL213" s="31">
        <v>100.0</v>
      </c>
      <c r="AM213" s="33">
        <f>'Old Balance Sheet'!G213 + 'ACPL Calculations - 1.0'!G213 + 'ACPL Calculations - 2.0'!G213</f>
        <v>0</v>
      </c>
      <c r="AN213" s="25" t="s">
        <v>3820</v>
      </c>
      <c r="AO213" s="31">
        <v>290.0</v>
      </c>
      <c r="AP213" s="32" t="s">
        <v>3818</v>
      </c>
      <c r="AQ213" s="31">
        <v>100.0</v>
      </c>
      <c r="AR213" s="33">
        <f>'Old Balance Sheet'!H213 + 'ACPL Calculations - 1.0'!H213 + 'ACPL Calculations - 2.0'!H213</f>
        <v>0</v>
      </c>
      <c r="AS213" s="30" t="s">
        <v>3819</v>
      </c>
      <c r="AT213" s="31">
        <v>838.99</v>
      </c>
      <c r="AU213" s="32" t="s">
        <v>3818</v>
      </c>
      <c r="AV213" s="31">
        <v>100.0</v>
      </c>
      <c r="AW213" s="33">
        <f>'Old Balance Sheet'!I213 + 'ACPL Calculations - 1.0'!I213 + 'ACPL Calculations - 2.0'!I213</f>
        <v>0</v>
      </c>
      <c r="AX213" s="25" t="s">
        <v>3820</v>
      </c>
      <c r="AY213" s="31">
        <v>290.0</v>
      </c>
      <c r="AZ213" s="32" t="s">
        <v>3818</v>
      </c>
      <c r="BA213" s="31">
        <v>100.0</v>
      </c>
      <c r="BB213" s="33">
        <f>'Old Balance Sheet'!J213 + 'ACPL Calculations - 1.0'!J213 + 'ACPL Calculations - 2.0'!J213</f>
        <v>0</v>
      </c>
      <c r="BC213" s="25" t="s">
        <v>3820</v>
      </c>
      <c r="BD213" s="31">
        <v>205.0</v>
      </c>
      <c r="BE213" s="32" t="s">
        <v>3818</v>
      </c>
      <c r="BF213" s="31">
        <v>100.0</v>
      </c>
      <c r="BG213" s="33">
        <f>'Old Balance Sheet'!K213 + 'ACPL Calculations - 1.0'!K213 + 'ACPL Calculations - 2.0'!K213</f>
        <v>0</v>
      </c>
      <c r="BH213" s="25" t="s">
        <v>3820</v>
      </c>
      <c r="BI213" s="31">
        <v>205.0</v>
      </c>
      <c r="BJ213" s="32" t="s">
        <v>3818</v>
      </c>
      <c r="BK213" s="31">
        <v>100.0</v>
      </c>
      <c r="BL213" s="33">
        <f>'Old Balance Sheet'!L213 + 'ACPL Calculations - 1.0'!L213 + 'ACPL Calculations - 2.0'!L213</f>
        <v>0</v>
      </c>
      <c r="BM213" s="33"/>
      <c r="BN213" s="33"/>
      <c r="BO213" s="33"/>
      <c r="BP213" s="33"/>
      <c r="BQ213" s="33"/>
      <c r="BR213" s="33"/>
      <c r="BS213" s="33"/>
      <c r="BT213" s="33"/>
      <c r="BU213" s="33"/>
      <c r="BV213" s="33"/>
      <c r="BW213" s="33"/>
      <c r="BX213" s="33"/>
      <c r="BY213" s="33"/>
      <c r="BZ213" s="33"/>
      <c r="CA213" s="33"/>
      <c r="CB213" s="33"/>
      <c r="CC213" s="33"/>
      <c r="CD213" s="33"/>
      <c r="CE213" s="33"/>
      <c r="CF213" s="33"/>
      <c r="CG213" s="33"/>
      <c r="CH213" s="33"/>
      <c r="CI213" s="33"/>
      <c r="CJ213" s="33"/>
      <c r="CK213" s="33"/>
      <c r="CL213" s="33">
        <f t="shared" si="1"/>
        <v>37</v>
      </c>
      <c r="CM213" s="33">
        <f>'Old Balance Sheet'!R213 + 'ACPL Calculations - 1.0'!S213 + 'ACPL Calculations - 2.0'!S213</f>
        <v>14586</v>
      </c>
      <c r="CN213" s="33">
        <f>'Old Balance Sheet'!S213 + 'ACPL Calculations - 1.0'!T213 + 'ACPL Calculations - 2.0'!T213</f>
        <v>6865</v>
      </c>
      <c r="CO213" s="33">
        <f t="shared" si="2"/>
        <v>9089.92</v>
      </c>
      <c r="CP213" s="33">
        <f>'Old Balance Sheet'!T213 + 'ACPL Calculations - 1.0'!V213 + 'ACPL Calculations - 2.0'!V213</f>
        <v>0</v>
      </c>
      <c r="CQ213" s="33">
        <f>'Old Balance Sheet'!U213 + 'ACPL Calculations - 1.0'!W213 + 'ACPL Calculations - 2.0'!W213</f>
        <v>0</v>
      </c>
      <c r="CR213" s="33">
        <f>'Old Balance Sheet'!V213 + 'ACPL Calculations - 1.0'!X213 + 'ACPL Calculations - 2.0'!X213</f>
        <v>2224.92</v>
      </c>
      <c r="CS213" s="33">
        <f t="shared" si="3"/>
        <v>2224.92</v>
      </c>
      <c r="CT213" s="35"/>
      <c r="CU213" s="35"/>
      <c r="CV213" s="35"/>
      <c r="CW213" s="36">
        <f>'Old Balance Sheet'!W213 + 'ACPL Calculations - 1.0'!Z213 + 'ACPL Calculations - 2.0'!Z213</f>
        <v>14253.28</v>
      </c>
      <c r="CX213" s="36">
        <f>'Old Balance Sheet'!X213 + 'ACPL Calculations - 1.0'!AA213 + 'ACPL Calculations - 2.0'!AA213</f>
        <v>9373.36</v>
      </c>
      <c r="CY213" s="37">
        <v>0.0</v>
      </c>
      <c r="CZ213" s="38">
        <f>'Old Balance Sheet'!Y213 + 'ACPL Calculations - 1.0'!AB213 + 'ACPL Calculations - 2.0'!AB213</f>
        <v>5326.5</v>
      </c>
      <c r="DA213" s="38">
        <f>'Old Balance Sheet'!Z213 + 'ACPL Calculations - 1.0'!AC213 + 'ACPL Calculations - 2.0'!AC213</f>
        <v>332.72</v>
      </c>
      <c r="DB213" s="38">
        <f>'Old Balance Sheet'!AA213 + 'ACPL Calculations - 1.0'!AD213 + 'ACPL Calculations - 2.0'!AD213</f>
        <v>283.44</v>
      </c>
      <c r="DC213" s="38">
        <f>'Old Balance Sheet'!AB213 + 'ACPL Calculations - 1.0'!AE213 + 'ACPL Calculations - 2.0'!AE213</f>
        <v>4879.92</v>
      </c>
      <c r="DD213" s="38">
        <f t="shared" si="4"/>
        <v>4879.92</v>
      </c>
      <c r="DE213" s="33">
        <f t="shared" si="5"/>
        <v>4879.92</v>
      </c>
      <c r="DF213" s="35">
        <v>0.0</v>
      </c>
      <c r="DG213" s="35">
        <v>0.0</v>
      </c>
      <c r="DH213" s="35">
        <v>0.0</v>
      </c>
      <c r="DI213" s="35">
        <v>0.0</v>
      </c>
      <c r="DJ213" s="35">
        <v>0.0</v>
      </c>
      <c r="DK213" s="35">
        <v>0.0</v>
      </c>
      <c r="DL213" s="35">
        <v>0.0</v>
      </c>
      <c r="DM213" s="35">
        <v>0.0</v>
      </c>
      <c r="DN213" s="31">
        <v>0.0</v>
      </c>
      <c r="DO213" s="31">
        <v>0.0</v>
      </c>
      <c r="DP213" s="31">
        <v>0.0</v>
      </c>
      <c r="DQ213" s="31">
        <v>0.0</v>
      </c>
      <c r="DR213" s="31">
        <v>0.0</v>
      </c>
      <c r="DS213" s="31">
        <v>0.0</v>
      </c>
      <c r="DT213" s="31">
        <f>'Old Balance Sheet'!AC213</f>
        <v>0</v>
      </c>
      <c r="DU213" s="31">
        <f>DT213 + SUMIFS('Payments Log'!D:D, 'Payments Log'!B:B, A213, 'Payments Log'!L:L, "Approved", 'Payments Log'!M:M, "Credit") + 'Old Balance Sheet'!AD213 - 'Old Balance Sheet'!AC213</f>
        <v>15000</v>
      </c>
      <c r="DV213" s="31">
        <f>SUMIFS('Payments Log'!D:D, 'Payments Log'!B:B, A213, 'Payments Log'!L:L, "Approved", 'Payments Log'!M:M, "Adjustment Credit") - SUMIFS('Payments Log'!D:D, 'Payments Log'!B:B, A213, 'Payments Log'!L:L, "Approved", 'Payments Log'!M:M, "Adjustment Debit") + 'Old Balance Sheet'!AE213</f>
        <v>289.38</v>
      </c>
      <c r="DW213" s="31">
        <f>IF(MAXIFS('Payments Log'!N:N, 'Payments Log'!L:L, "Approved", 'Payments Log'!M:M, "Credit", 'Payments Log'!B:B, A213) &gt; MAXIFS('Payments Log'!N:N, 'Payments Log'!L:L, "Approved", 'Payments Log'!M:M, "Virtual Credit", 'Payments Log'!B:B, A213), 0, SUMIFS('Payments Log'!D:D, 'Payments Log'!N:N, MAXIFS('Payments Log'!N:N, 'Payments Log'!L:L, "Approved", 'Payments Log'!M:M, "Virtual Credit", 'Payments Log'!B:B, A213)))</f>
        <v>0</v>
      </c>
      <c r="DX213" s="33">
        <f t="shared" si="6"/>
        <v>1036.1</v>
      </c>
      <c r="DY213" s="33">
        <f t="shared" si="7"/>
        <v>5916.02</v>
      </c>
      <c r="DZ213" s="33">
        <f t="shared" si="8"/>
        <v>5916.02</v>
      </c>
      <c r="EA213" s="25" t="str">
        <f>(Sheet1!N213)</f>
        <v>Begusarai Auto Agencies - Begusarai</v>
      </c>
      <c r="EB213" s="25" t="str">
        <f>(Sheet1!O213)</f>
        <v>1GSsoBjWtxEEY9Oe4QB_zfBq2Y31JMCHYWDUPZcHZ4Is</v>
      </c>
      <c r="EC213" s="26" t="str">
        <f>(Sheet1!P213)</f>
        <v>Dealer</v>
      </c>
      <c r="ED213" s="34" t="s">
        <v>13</v>
      </c>
    </row>
    <row r="214">
      <c r="A214" s="25" t="str">
        <f>(Sheet1!A214)</f>
        <v>1cVGXbO2lp52NndvygvM_F7Cqcy0EMGxzT1ZUlpTQeiI</v>
      </c>
      <c r="B214" s="25" t="str">
        <f>(Sheet1!B214)</f>
        <v>BARABANKI MOTORS</v>
      </c>
      <c r="C214" s="30" t="s">
        <v>13</v>
      </c>
      <c r="D214" s="25" t="s">
        <v>72</v>
      </c>
      <c r="E214" s="25" t="s">
        <v>3820</v>
      </c>
      <c r="F214" s="33">
        <v>205.0</v>
      </c>
      <c r="G214" s="25" t="s">
        <v>3818</v>
      </c>
      <c r="H214" s="33">
        <v>100.0</v>
      </c>
      <c r="I214" s="33">
        <f>'Old Balance Sheet'!A214 + 'ACPL Calculations - 1.0'!A214 + 'ACPL Calculations - 2.0'!A214</f>
        <v>2318</v>
      </c>
      <c r="J214" s="25" t="s">
        <v>3820</v>
      </c>
      <c r="K214" s="33">
        <v>205.0</v>
      </c>
      <c r="L214" s="25" t="s">
        <v>3818</v>
      </c>
      <c r="M214" s="33">
        <v>100.0</v>
      </c>
      <c r="N214" s="33">
        <f>'Old Balance Sheet'!B214 + 'ACPL Calculations - 1.0'!B214 + 'ACPL Calculations - 2.0'!B214</f>
        <v>0</v>
      </c>
      <c r="O214" s="25" t="s">
        <v>3820</v>
      </c>
      <c r="P214" s="31">
        <v>290.0</v>
      </c>
      <c r="Q214" s="25" t="s">
        <v>3818</v>
      </c>
      <c r="R214" s="33">
        <v>100.0</v>
      </c>
      <c r="S214" s="33">
        <f>'Old Balance Sheet'!C214 + 'ACPL Calculations - 1.0'!C214 + 'ACPL Calculations - 2.0'!C214</f>
        <v>0</v>
      </c>
      <c r="T214" s="25" t="s">
        <v>3820</v>
      </c>
      <c r="U214" s="33">
        <v>375.0</v>
      </c>
      <c r="V214" s="25" t="s">
        <v>3818</v>
      </c>
      <c r="W214" s="33">
        <v>100.0</v>
      </c>
      <c r="X214" s="33">
        <f>'Old Balance Sheet'!D214 + 'ACPL Calculations - 1.0'!D214 + 'ACPL Calculations - 2.0'!D214</f>
        <v>0</v>
      </c>
      <c r="Y214" s="25" t="s">
        <v>3820</v>
      </c>
      <c r="Z214" s="33">
        <v>460.0</v>
      </c>
      <c r="AA214" s="42" t="s">
        <v>3818</v>
      </c>
      <c r="AB214" s="43">
        <v>100.0</v>
      </c>
      <c r="AC214" s="33">
        <f>'Old Balance Sheet'!E214 + 'ACPL Calculations - 1.0'!E214 + 'ACPL Calculations - 2.0'!E214</f>
        <v>0</v>
      </c>
      <c r="AD214" s="25" t="s">
        <v>3820</v>
      </c>
      <c r="AE214" s="33">
        <v>838.99</v>
      </c>
      <c r="AF214" s="42" t="s">
        <v>3818</v>
      </c>
      <c r="AG214" s="43">
        <v>100.0</v>
      </c>
      <c r="AH214" s="33">
        <f>'Old Balance Sheet'!F214 + 'ACPL Calculations - 1.0'!F214 + 'ACPL Calculations - 2.0'!F214</f>
        <v>0</v>
      </c>
      <c r="AI214" s="25" t="s">
        <v>3820</v>
      </c>
      <c r="AJ214" s="33">
        <v>375.0</v>
      </c>
      <c r="AK214" s="42" t="s">
        <v>3818</v>
      </c>
      <c r="AL214" s="43">
        <v>100.0</v>
      </c>
      <c r="AM214" s="33">
        <f>'Old Balance Sheet'!G214 + 'ACPL Calculations - 1.0'!G214 + 'ACPL Calculations - 2.0'!G214</f>
        <v>0</v>
      </c>
      <c r="AN214" s="25" t="s">
        <v>3820</v>
      </c>
      <c r="AO214" s="33">
        <v>290.0</v>
      </c>
      <c r="AP214" s="42" t="s">
        <v>3818</v>
      </c>
      <c r="AQ214" s="43">
        <v>100.0</v>
      </c>
      <c r="AR214" s="33">
        <f>'Old Balance Sheet'!H214 + 'ACPL Calculations - 1.0'!H214 + 'ACPL Calculations - 2.0'!H214</f>
        <v>0</v>
      </c>
      <c r="AS214" s="25" t="s">
        <v>3819</v>
      </c>
      <c r="AT214" s="33">
        <v>838.99</v>
      </c>
      <c r="AU214" s="42" t="s">
        <v>3818</v>
      </c>
      <c r="AV214" s="43">
        <v>100.0</v>
      </c>
      <c r="AW214" s="33">
        <f>'Old Balance Sheet'!I214 + 'ACPL Calculations - 1.0'!I214 + 'ACPL Calculations - 2.0'!I214</f>
        <v>0</v>
      </c>
      <c r="AX214" s="25" t="s">
        <v>3820</v>
      </c>
      <c r="AY214" s="31">
        <v>290.0</v>
      </c>
      <c r="AZ214" s="42" t="s">
        <v>3818</v>
      </c>
      <c r="BA214" s="43">
        <v>100.0</v>
      </c>
      <c r="BB214" s="33">
        <f>'Old Balance Sheet'!J214 + 'ACPL Calculations - 1.0'!J214 + 'ACPL Calculations - 2.0'!J214</f>
        <v>0</v>
      </c>
      <c r="BC214" s="25" t="s">
        <v>3820</v>
      </c>
      <c r="BD214" s="31">
        <v>205.0</v>
      </c>
      <c r="BE214" s="42" t="s">
        <v>3818</v>
      </c>
      <c r="BF214" s="43">
        <v>100.0</v>
      </c>
      <c r="BG214" s="33">
        <f>'Old Balance Sheet'!K214 + 'ACPL Calculations - 1.0'!K214 + 'ACPL Calculations - 2.0'!K214</f>
        <v>0</v>
      </c>
      <c r="BH214" s="25" t="s">
        <v>3820</v>
      </c>
      <c r="BI214" s="31">
        <v>205.0</v>
      </c>
      <c r="BJ214" s="42" t="s">
        <v>3818</v>
      </c>
      <c r="BK214" s="43">
        <v>100.0</v>
      </c>
      <c r="BL214" s="33">
        <f>'Old Balance Sheet'!L214 + 'ACPL Calculations - 1.0'!L214 + 'ACPL Calculations - 2.0'!L214</f>
        <v>0</v>
      </c>
      <c r="BM214" s="25"/>
      <c r="BN214" s="25"/>
      <c r="BO214" s="25"/>
      <c r="BP214" s="25"/>
      <c r="BQ214" s="25"/>
      <c r="BR214" s="25"/>
      <c r="BS214" s="25"/>
      <c r="BT214" s="25"/>
      <c r="BU214" s="25"/>
      <c r="BV214" s="25"/>
      <c r="BW214" s="25"/>
      <c r="BX214" s="25"/>
      <c r="BY214" s="25"/>
      <c r="BZ214" s="25"/>
      <c r="CA214" s="25"/>
      <c r="CB214" s="25"/>
      <c r="CC214" s="25"/>
      <c r="CD214" s="25"/>
      <c r="CE214" s="25"/>
      <c r="CF214" s="25"/>
      <c r="CG214" s="25"/>
      <c r="CH214" s="25"/>
      <c r="CI214" s="25"/>
      <c r="CJ214" s="25"/>
      <c r="CK214" s="25"/>
      <c r="CL214" s="33">
        <f t="shared" si="1"/>
        <v>2318</v>
      </c>
      <c r="CM214" s="33">
        <f>'Old Balance Sheet'!R214 + 'ACPL Calculations - 1.0'!S214 + 'ACPL Calculations - 2.0'!S214</f>
        <v>904020</v>
      </c>
      <c r="CN214" s="33">
        <f>'Old Balance Sheet'!S214 + 'ACPL Calculations - 1.0'!T214 + 'ACPL Calculations - 2.0'!T214</f>
        <v>475190</v>
      </c>
      <c r="CO214" s="33">
        <f t="shared" si="2"/>
        <v>613087.82</v>
      </c>
      <c r="CP214" s="33">
        <f>'Old Balance Sheet'!T214 + 'ACPL Calculations - 1.0'!V214 + 'ACPL Calculations - 2.0'!V214</f>
        <v>0</v>
      </c>
      <c r="CQ214" s="33">
        <f>'Old Balance Sheet'!U214 + 'ACPL Calculations - 1.0'!W214 + 'ACPL Calculations - 2.0'!W214</f>
        <v>0</v>
      </c>
      <c r="CR214" s="33">
        <f>'Old Balance Sheet'!V214 + 'ACPL Calculations - 1.0'!X214 + 'ACPL Calculations - 2.0'!X214</f>
        <v>137897.82</v>
      </c>
      <c r="CS214" s="33">
        <f t="shared" si="3"/>
        <v>137897.82</v>
      </c>
      <c r="CT214" s="35"/>
      <c r="CU214" s="35"/>
      <c r="CV214" s="35"/>
      <c r="CW214" s="36">
        <f>'Old Balance Sheet'!W214 + 'ACPL Calculations - 1.0'!Z214 + 'ACPL Calculations - 2.0'!Z214</f>
        <v>904020</v>
      </c>
      <c r="CX214" s="36">
        <f>'Old Balance Sheet'!X214 + 'ACPL Calculations - 1.0'!AA214 + 'ACPL Calculations - 2.0'!AA214</f>
        <v>627456.36</v>
      </c>
      <c r="CY214" s="37">
        <v>0.0</v>
      </c>
      <c r="CZ214" s="38">
        <f>'Old Balance Sheet'!Y214 + 'ACPL Calculations - 1.0'!AB214 + 'ACPL Calculations - 2.0'!AB214</f>
        <v>290806.68</v>
      </c>
      <c r="DA214" s="38">
        <f>'Old Balance Sheet'!Z214 + 'ACPL Calculations - 1.0'!AC214 + 'ACPL Calculations - 2.0'!AC214</f>
        <v>0</v>
      </c>
      <c r="DB214" s="38">
        <f>'Old Balance Sheet'!AA214 + 'ACPL Calculations - 1.0'!AD214 + 'ACPL Calculations - 2.0'!AD214</f>
        <v>14368.54</v>
      </c>
      <c r="DC214" s="38">
        <f>'Old Balance Sheet'!AB214 + 'ACPL Calculations - 1.0'!AE214 + 'ACPL Calculations - 2.0'!AE214</f>
        <v>276563.64</v>
      </c>
      <c r="DD214" s="38">
        <f t="shared" si="4"/>
        <v>276563.64</v>
      </c>
      <c r="DE214" s="33">
        <f t="shared" si="5"/>
        <v>276563.64</v>
      </c>
      <c r="DF214" s="35">
        <v>0.0</v>
      </c>
      <c r="DG214" s="35">
        <v>0.0</v>
      </c>
      <c r="DH214" s="35">
        <v>0.0</v>
      </c>
      <c r="DI214" s="35">
        <v>0.0</v>
      </c>
      <c r="DJ214" s="35">
        <v>0.0</v>
      </c>
      <c r="DK214" s="35">
        <v>0.0</v>
      </c>
      <c r="DL214" s="35">
        <v>0.0</v>
      </c>
      <c r="DM214" s="35">
        <v>0.0</v>
      </c>
      <c r="DN214" s="31">
        <v>0.0</v>
      </c>
      <c r="DO214" s="31">
        <v>0.0</v>
      </c>
      <c r="DP214" s="31">
        <v>0.0</v>
      </c>
      <c r="DQ214" s="31">
        <v>0.0</v>
      </c>
      <c r="DR214" s="31">
        <v>0.0</v>
      </c>
      <c r="DS214" s="31">
        <v>0.0</v>
      </c>
      <c r="DT214" s="31">
        <f>'Old Balance Sheet'!AC214</f>
        <v>0</v>
      </c>
      <c r="DU214" s="31">
        <f>DT214 + SUMIFS('Payments Log'!D:D, 'Payments Log'!B:B, A214, 'Payments Log'!L:L, "Approved", 'Payments Log'!M:M, "Credit") + 'Old Balance Sheet'!AD214 - 'Old Balance Sheet'!AC214</f>
        <v>938730</v>
      </c>
      <c r="DV214" s="31">
        <f>SUMIFS('Payments Log'!D:D, 'Payments Log'!B:B, A214, 'Payments Log'!L:L, "Approved", 'Payments Log'!M:M, "Adjustment Credit") - SUMIFS('Payments Log'!D:D, 'Payments Log'!B:B, A214, 'Payments Log'!L:L, "Approved", 'Payments Log'!M:M, "Adjustment Debit") + 'Old Balance Sheet'!AE214</f>
        <v>0</v>
      </c>
      <c r="DW214" s="31">
        <f>IF(MAXIFS('Payments Log'!N:N, 'Payments Log'!L:L, "Approved", 'Payments Log'!M:M, "Credit", 'Payments Log'!B:B, A214) &gt; MAXIFS('Payments Log'!N:N, 'Payments Log'!L:L, "Approved", 'Payments Log'!M:M, "Virtual Credit", 'Payments Log'!B:B, A214), 0, SUMIFS('Payments Log'!D:D, 'Payments Log'!N:N, MAXIFS('Payments Log'!N:N, 'Payments Log'!L:L, "Approved", 'Payments Log'!M:M, "Virtual Credit", 'Payments Log'!B:B, A214)))</f>
        <v>0</v>
      </c>
      <c r="DX214" s="33">
        <f t="shared" si="6"/>
        <v>34710</v>
      </c>
      <c r="DY214" s="33">
        <f t="shared" si="7"/>
        <v>311273.64</v>
      </c>
      <c r="DZ214" s="33">
        <f t="shared" si="8"/>
        <v>311273.64</v>
      </c>
      <c r="EA214" s="25" t="str">
        <f>(Sheet1!N214)</f>
        <v>BARABANKI MOTORS</v>
      </c>
      <c r="EB214" s="25" t="str">
        <f>(Sheet1!O214)</f>
        <v>1cVGXbO2lp52NndvygvM_F7Cqcy0EMGxzT1ZUlpTQeiI</v>
      </c>
      <c r="EC214" s="26" t="str">
        <f>(Sheet1!P214)</f>
        <v>Dealer</v>
      </c>
      <c r="ED214" s="34" t="s">
        <v>13</v>
      </c>
    </row>
    <row r="215">
      <c r="A215" s="25" t="str">
        <f>(Sheet1!A215)</f>
        <v>189IwjZKbhxdfpCM3_XZAiWsKnV1TiiKuwuI8GFe4AH0</v>
      </c>
      <c r="B215" s="25" t="str">
        <f>(Sheet1!B215)</f>
        <v>Bombay Automobiles- RAEBARELI</v>
      </c>
      <c r="C215" s="30" t="s">
        <v>13</v>
      </c>
      <c r="D215" s="25" t="s">
        <v>72</v>
      </c>
      <c r="E215" s="25" t="s">
        <v>3820</v>
      </c>
      <c r="F215" s="33">
        <v>205.0</v>
      </c>
      <c r="G215" s="25" t="s">
        <v>3818</v>
      </c>
      <c r="H215" s="33">
        <v>100.0</v>
      </c>
      <c r="I215" s="33">
        <f>'Old Balance Sheet'!A215 + 'ACPL Calculations - 1.0'!A215 + 'ACPL Calculations - 2.0'!A215</f>
        <v>78</v>
      </c>
      <c r="J215" s="25" t="s">
        <v>3820</v>
      </c>
      <c r="K215" s="33">
        <v>205.0</v>
      </c>
      <c r="L215" s="25" t="s">
        <v>3818</v>
      </c>
      <c r="M215" s="33">
        <v>100.0</v>
      </c>
      <c r="N215" s="33">
        <f>'Old Balance Sheet'!B215 + 'ACPL Calculations - 1.0'!B215 + 'ACPL Calculations - 2.0'!B215</f>
        <v>0</v>
      </c>
      <c r="O215" s="25" t="s">
        <v>3820</v>
      </c>
      <c r="P215" s="31">
        <v>290.0</v>
      </c>
      <c r="Q215" s="25" t="s">
        <v>3818</v>
      </c>
      <c r="R215" s="33">
        <v>100.0</v>
      </c>
      <c r="S215" s="33">
        <f>'Old Balance Sheet'!C215 + 'ACPL Calculations - 1.0'!C215 + 'ACPL Calculations - 2.0'!C215</f>
        <v>0</v>
      </c>
      <c r="T215" s="25" t="s">
        <v>3820</v>
      </c>
      <c r="U215" s="33">
        <v>375.0</v>
      </c>
      <c r="V215" s="25" t="s">
        <v>3818</v>
      </c>
      <c r="W215" s="33">
        <v>100.0</v>
      </c>
      <c r="X215" s="33">
        <f>'Old Balance Sheet'!D215 + 'ACPL Calculations - 1.0'!D215 + 'ACPL Calculations - 2.0'!D215</f>
        <v>0</v>
      </c>
      <c r="Y215" s="25" t="s">
        <v>3820</v>
      </c>
      <c r="Z215" s="33">
        <v>460.0</v>
      </c>
      <c r="AA215" s="42" t="s">
        <v>3818</v>
      </c>
      <c r="AB215" s="43">
        <v>100.0</v>
      </c>
      <c r="AC215" s="33">
        <f>'Old Balance Sheet'!E215 + 'ACPL Calculations - 1.0'!E215 + 'ACPL Calculations - 2.0'!E215</f>
        <v>0</v>
      </c>
      <c r="AD215" s="25" t="s">
        <v>3820</v>
      </c>
      <c r="AE215" s="33">
        <v>838.99</v>
      </c>
      <c r="AF215" s="42" t="s">
        <v>3818</v>
      </c>
      <c r="AG215" s="43">
        <v>100.0</v>
      </c>
      <c r="AH215" s="33">
        <f>'Old Balance Sheet'!F215 + 'ACPL Calculations - 1.0'!F215 + 'ACPL Calculations - 2.0'!F215</f>
        <v>0</v>
      </c>
      <c r="AI215" s="25" t="s">
        <v>3820</v>
      </c>
      <c r="AJ215" s="33">
        <v>375.0</v>
      </c>
      <c r="AK215" s="42" t="s">
        <v>3818</v>
      </c>
      <c r="AL215" s="43">
        <v>100.0</v>
      </c>
      <c r="AM215" s="33">
        <f>'Old Balance Sheet'!G215 + 'ACPL Calculations - 1.0'!G215 + 'ACPL Calculations - 2.0'!G215</f>
        <v>0</v>
      </c>
      <c r="AN215" s="25" t="s">
        <v>3820</v>
      </c>
      <c r="AO215" s="33">
        <v>290.0</v>
      </c>
      <c r="AP215" s="42" t="s">
        <v>3818</v>
      </c>
      <c r="AQ215" s="43">
        <v>100.0</v>
      </c>
      <c r="AR215" s="33">
        <f>'Old Balance Sheet'!H215 + 'ACPL Calculations - 1.0'!H215 + 'ACPL Calculations - 2.0'!H215</f>
        <v>0</v>
      </c>
      <c r="AS215" s="25" t="s">
        <v>3819</v>
      </c>
      <c r="AT215" s="33">
        <v>838.99</v>
      </c>
      <c r="AU215" s="42" t="s">
        <v>3818</v>
      </c>
      <c r="AV215" s="43">
        <v>100.0</v>
      </c>
      <c r="AW215" s="33">
        <f>'Old Balance Sheet'!I215 + 'ACPL Calculations - 1.0'!I215 + 'ACPL Calculations - 2.0'!I215</f>
        <v>0</v>
      </c>
      <c r="AX215" s="25" t="s">
        <v>3820</v>
      </c>
      <c r="AY215" s="31">
        <v>290.0</v>
      </c>
      <c r="AZ215" s="42" t="s">
        <v>3818</v>
      </c>
      <c r="BA215" s="43">
        <v>100.0</v>
      </c>
      <c r="BB215" s="33">
        <f>'Old Balance Sheet'!J215 + 'ACPL Calculations - 1.0'!J215 + 'ACPL Calculations - 2.0'!J215</f>
        <v>0</v>
      </c>
      <c r="BC215" s="25" t="s">
        <v>3820</v>
      </c>
      <c r="BD215" s="31">
        <v>205.0</v>
      </c>
      <c r="BE215" s="42" t="s">
        <v>3818</v>
      </c>
      <c r="BF215" s="43">
        <v>100.0</v>
      </c>
      <c r="BG215" s="33">
        <f>'Old Balance Sheet'!K215 + 'ACPL Calculations - 1.0'!K215 + 'ACPL Calculations - 2.0'!K215</f>
        <v>0</v>
      </c>
      <c r="BH215" s="25" t="s">
        <v>3820</v>
      </c>
      <c r="BI215" s="31">
        <v>205.0</v>
      </c>
      <c r="BJ215" s="42" t="s">
        <v>3818</v>
      </c>
      <c r="BK215" s="43">
        <v>100.0</v>
      </c>
      <c r="BL215" s="33">
        <f>'Old Balance Sheet'!L215 + 'ACPL Calculations - 1.0'!L215 + 'ACPL Calculations - 2.0'!L215</f>
        <v>0</v>
      </c>
      <c r="BM215" s="25"/>
      <c r="BN215" s="25"/>
      <c r="BO215" s="25"/>
      <c r="BP215" s="25"/>
      <c r="BQ215" s="25"/>
      <c r="BR215" s="25"/>
      <c r="BS215" s="25"/>
      <c r="BT215" s="25"/>
      <c r="BU215" s="25"/>
      <c r="BV215" s="25"/>
      <c r="BW215" s="25"/>
      <c r="BX215" s="25"/>
      <c r="BY215" s="25"/>
      <c r="BZ215" s="25"/>
      <c r="CA215" s="25"/>
      <c r="CB215" s="25"/>
      <c r="CC215" s="25"/>
      <c r="CD215" s="25"/>
      <c r="CE215" s="25"/>
      <c r="CF215" s="25"/>
      <c r="CG215" s="25"/>
      <c r="CH215" s="25"/>
      <c r="CI215" s="25"/>
      <c r="CJ215" s="25"/>
      <c r="CK215" s="25"/>
      <c r="CL215" s="33">
        <f t="shared" si="1"/>
        <v>78</v>
      </c>
      <c r="CM215" s="33">
        <f>'Old Balance Sheet'!R215 + 'ACPL Calculations - 1.0'!S215 + 'ACPL Calculations - 2.0'!S215</f>
        <v>30420</v>
      </c>
      <c r="CN215" s="33">
        <f>'Old Balance Sheet'!S215 + 'ACPL Calculations - 1.0'!T215 + 'ACPL Calculations - 2.0'!T215</f>
        <v>15990</v>
      </c>
      <c r="CO215" s="33">
        <f t="shared" si="2"/>
        <v>20630.22</v>
      </c>
      <c r="CP215" s="33">
        <f>'Old Balance Sheet'!T215 + 'ACPL Calculations - 1.0'!V215 + 'ACPL Calculations - 2.0'!V215</f>
        <v>0</v>
      </c>
      <c r="CQ215" s="33">
        <f>'Old Balance Sheet'!U215 + 'ACPL Calculations - 1.0'!W215 + 'ACPL Calculations - 2.0'!W215</f>
        <v>0</v>
      </c>
      <c r="CR215" s="33">
        <f>'Old Balance Sheet'!V215 + 'ACPL Calculations - 1.0'!X215 + 'ACPL Calculations - 2.0'!X215</f>
        <v>4640.22</v>
      </c>
      <c r="CS215" s="33">
        <f t="shared" si="3"/>
        <v>4640.22</v>
      </c>
      <c r="CT215" s="35"/>
      <c r="CU215" s="35"/>
      <c r="CV215" s="35"/>
      <c r="CW215" s="36">
        <f>'Old Balance Sheet'!W215 + 'ACPL Calculations - 1.0'!Z215 + 'ACPL Calculations - 2.0'!Z215</f>
        <v>30420</v>
      </c>
      <c r="CX215" s="36">
        <f>'Old Balance Sheet'!X215 + 'ACPL Calculations - 1.0'!AA215 + 'ACPL Calculations - 2.0'!AA215</f>
        <v>21037.12</v>
      </c>
      <c r="CY215" s="37">
        <v>0.0</v>
      </c>
      <c r="CZ215" s="38">
        <f>'Old Balance Sheet'!Y215 + 'ACPL Calculations - 1.0'!AB215 + 'ACPL Calculations - 2.0'!AB215</f>
        <v>9734.56</v>
      </c>
      <c r="DA215" s="38">
        <f>'Old Balance Sheet'!Z215 + 'ACPL Calculations - 1.0'!AC215 + 'ACPL Calculations - 2.0'!AC215</f>
        <v>0</v>
      </c>
      <c r="DB215" s="38">
        <f>'Old Balance Sheet'!AA215 + 'ACPL Calculations - 1.0'!AD215 + 'ACPL Calculations - 2.0'!AD215</f>
        <v>406.9</v>
      </c>
      <c r="DC215" s="38">
        <f>'Old Balance Sheet'!AB215 + 'ACPL Calculations - 1.0'!AE215 + 'ACPL Calculations - 2.0'!AE215</f>
        <v>9382.88</v>
      </c>
      <c r="DD215" s="38">
        <f t="shared" si="4"/>
        <v>9382.88</v>
      </c>
      <c r="DE215" s="33">
        <f t="shared" si="5"/>
        <v>9382.88</v>
      </c>
      <c r="DF215" s="35">
        <v>0.0</v>
      </c>
      <c r="DG215" s="35">
        <v>0.0</v>
      </c>
      <c r="DH215" s="35">
        <v>0.0</v>
      </c>
      <c r="DI215" s="35">
        <v>0.0</v>
      </c>
      <c r="DJ215" s="35">
        <v>0.0</v>
      </c>
      <c r="DK215" s="35">
        <v>0.0</v>
      </c>
      <c r="DL215" s="35">
        <v>0.0</v>
      </c>
      <c r="DM215" s="35">
        <v>0.0</v>
      </c>
      <c r="DN215" s="31">
        <v>0.0</v>
      </c>
      <c r="DO215" s="31">
        <v>0.0</v>
      </c>
      <c r="DP215" s="31">
        <v>0.0</v>
      </c>
      <c r="DQ215" s="31">
        <v>0.0</v>
      </c>
      <c r="DR215" s="31">
        <v>0.0</v>
      </c>
      <c r="DS215" s="31">
        <v>0.0</v>
      </c>
      <c r="DT215" s="31">
        <f>'Old Balance Sheet'!AC215</f>
        <v>0</v>
      </c>
      <c r="DU215" s="31">
        <f>DT215 + SUMIFS('Payments Log'!D:D, 'Payments Log'!B:B, A215, 'Payments Log'!L:L, "Approved", 'Payments Log'!M:M, "Credit") + 'Old Balance Sheet'!AD215 - 'Old Balance Sheet'!AC215</f>
        <v>31590</v>
      </c>
      <c r="DV215" s="31">
        <f>SUMIFS('Payments Log'!D:D, 'Payments Log'!B:B, A215, 'Payments Log'!L:L, "Approved", 'Payments Log'!M:M, "Adjustment Credit") - SUMIFS('Payments Log'!D:D, 'Payments Log'!B:B, A215, 'Payments Log'!L:L, "Approved", 'Payments Log'!M:M, "Adjustment Debit") + 'Old Balance Sheet'!AE215</f>
        <v>0</v>
      </c>
      <c r="DW215" s="31">
        <f>IF(MAXIFS('Payments Log'!N:N, 'Payments Log'!L:L, "Approved", 'Payments Log'!M:M, "Credit", 'Payments Log'!B:B, A215) &gt; MAXIFS('Payments Log'!N:N, 'Payments Log'!L:L, "Approved", 'Payments Log'!M:M, "Virtual Credit", 'Payments Log'!B:B, A215), 0, SUMIFS('Payments Log'!D:D, 'Payments Log'!N:N, MAXIFS('Payments Log'!N:N, 'Payments Log'!L:L, "Approved", 'Payments Log'!M:M, "Virtual Credit", 'Payments Log'!B:B, A215)))</f>
        <v>0</v>
      </c>
      <c r="DX215" s="33">
        <f t="shared" si="6"/>
        <v>1170</v>
      </c>
      <c r="DY215" s="33">
        <f t="shared" si="7"/>
        <v>10552.88</v>
      </c>
      <c r="DZ215" s="33">
        <f t="shared" si="8"/>
        <v>10552.88</v>
      </c>
      <c r="EA215" s="25" t="str">
        <f>(Sheet1!N215)</f>
        <v>Bombay Automobiles- RAEBARELI</v>
      </c>
      <c r="EB215" s="25" t="str">
        <f>(Sheet1!O215)</f>
        <v>189IwjZKbhxdfpCM3_XZAiWsKnV1TiiKuwuI8GFe4AH0</v>
      </c>
      <c r="EC215" s="26" t="str">
        <f>(Sheet1!P215)</f>
        <v>Dealer</v>
      </c>
      <c r="ED215" s="34" t="s">
        <v>13</v>
      </c>
    </row>
    <row r="216">
      <c r="A216" s="25" t="str">
        <f>(Sheet1!A216)</f>
        <v>10FVvx9Av8wfEkk7tdoP2PF6PtATj8pRZnm-XwFei7iM</v>
      </c>
      <c r="B216" s="25" t="str">
        <f>(Sheet1!B216)</f>
        <v>A.K Automobile(AM) - Taligram</v>
      </c>
      <c r="C216" s="30" t="s">
        <v>13</v>
      </c>
      <c r="D216" s="25" t="s">
        <v>72</v>
      </c>
      <c r="E216" s="25" t="s">
        <v>3820</v>
      </c>
      <c r="F216" s="33">
        <v>205.0</v>
      </c>
      <c r="G216" s="25" t="s">
        <v>3818</v>
      </c>
      <c r="H216" s="33">
        <v>100.0</v>
      </c>
      <c r="I216" s="33">
        <f>'Old Balance Sheet'!A216 + 'ACPL Calculations - 1.0'!A216 + 'ACPL Calculations - 2.0'!A216</f>
        <v>0</v>
      </c>
      <c r="J216" s="25" t="s">
        <v>3820</v>
      </c>
      <c r="K216" s="33">
        <v>205.0</v>
      </c>
      <c r="L216" s="25" t="s">
        <v>3818</v>
      </c>
      <c r="M216" s="33">
        <v>100.0</v>
      </c>
      <c r="N216" s="33">
        <f>'Old Balance Sheet'!B216 + 'ACPL Calculations - 1.0'!B216 + 'ACPL Calculations - 2.0'!B216</f>
        <v>0</v>
      </c>
      <c r="O216" s="25" t="s">
        <v>3820</v>
      </c>
      <c r="P216" s="31">
        <v>205.0</v>
      </c>
      <c r="Q216" s="25" t="s">
        <v>3818</v>
      </c>
      <c r="R216" s="33">
        <v>100.0</v>
      </c>
      <c r="S216" s="33">
        <f>'Old Balance Sheet'!C216 + 'ACPL Calculations - 1.0'!C216 + 'ACPL Calculations - 2.0'!C216</f>
        <v>0</v>
      </c>
      <c r="T216" s="25" t="s">
        <v>3820</v>
      </c>
      <c r="U216" s="33">
        <v>375.0</v>
      </c>
      <c r="V216" s="25" t="s">
        <v>3818</v>
      </c>
      <c r="W216" s="33">
        <v>100.0</v>
      </c>
      <c r="X216" s="33">
        <f>'Old Balance Sheet'!D216 + 'ACPL Calculations - 1.0'!D216 + 'ACPL Calculations - 2.0'!D216</f>
        <v>0</v>
      </c>
      <c r="Y216" s="25" t="s">
        <v>3820</v>
      </c>
      <c r="Z216" s="33">
        <v>460.0</v>
      </c>
      <c r="AA216" s="42" t="s">
        <v>3818</v>
      </c>
      <c r="AB216" s="43">
        <v>100.0</v>
      </c>
      <c r="AC216" s="33">
        <f>'Old Balance Sheet'!E216 + 'ACPL Calculations - 1.0'!E216 + 'ACPL Calculations - 2.0'!E216</f>
        <v>0</v>
      </c>
      <c r="AD216" s="25" t="s">
        <v>3820</v>
      </c>
      <c r="AE216" s="33">
        <v>838.99</v>
      </c>
      <c r="AF216" s="42" t="s">
        <v>3818</v>
      </c>
      <c r="AG216" s="43">
        <v>100.0</v>
      </c>
      <c r="AH216" s="33">
        <f>'Old Balance Sheet'!F216 + 'ACPL Calculations - 1.0'!F216 + 'ACPL Calculations - 2.0'!F216</f>
        <v>0</v>
      </c>
      <c r="AI216" s="25" t="s">
        <v>3820</v>
      </c>
      <c r="AJ216" s="33">
        <v>375.0</v>
      </c>
      <c r="AK216" s="42" t="s">
        <v>3818</v>
      </c>
      <c r="AL216" s="43">
        <v>100.0</v>
      </c>
      <c r="AM216" s="33">
        <f>'Old Balance Sheet'!G216 + 'ACPL Calculations - 1.0'!G216 + 'ACPL Calculations - 2.0'!G216</f>
        <v>0</v>
      </c>
      <c r="AN216" s="25" t="s">
        <v>3820</v>
      </c>
      <c r="AO216" s="33">
        <v>290.0</v>
      </c>
      <c r="AP216" s="42" t="s">
        <v>3818</v>
      </c>
      <c r="AQ216" s="43">
        <v>100.0</v>
      </c>
      <c r="AR216" s="33">
        <f>'Old Balance Sheet'!H216 + 'ACPL Calculations - 1.0'!H216 + 'ACPL Calculations - 2.0'!H216</f>
        <v>0</v>
      </c>
      <c r="AS216" s="25" t="s">
        <v>3819</v>
      </c>
      <c r="AT216" s="33">
        <v>838.99</v>
      </c>
      <c r="AU216" s="42" t="s">
        <v>3818</v>
      </c>
      <c r="AV216" s="43">
        <v>100.0</v>
      </c>
      <c r="AW216" s="33">
        <f>'Old Balance Sheet'!I216 + 'ACPL Calculations - 1.0'!I216 + 'ACPL Calculations - 2.0'!I216</f>
        <v>0</v>
      </c>
      <c r="AX216" s="25" t="s">
        <v>3820</v>
      </c>
      <c r="AY216" s="31">
        <v>290.0</v>
      </c>
      <c r="AZ216" s="42" t="s">
        <v>3818</v>
      </c>
      <c r="BA216" s="43">
        <v>100.0</v>
      </c>
      <c r="BB216" s="33">
        <f>'Old Balance Sheet'!J216 + 'ACPL Calculations - 1.0'!J216 + 'ACPL Calculations - 2.0'!J216</f>
        <v>0</v>
      </c>
      <c r="BC216" s="25" t="s">
        <v>3820</v>
      </c>
      <c r="BD216" s="31">
        <v>205.0</v>
      </c>
      <c r="BE216" s="42" t="s">
        <v>3818</v>
      </c>
      <c r="BF216" s="43">
        <v>100.0</v>
      </c>
      <c r="BG216" s="33">
        <f>'Old Balance Sheet'!K216 + 'ACPL Calculations - 1.0'!K216 + 'ACPL Calculations - 2.0'!K216</f>
        <v>0</v>
      </c>
      <c r="BH216" s="25" t="s">
        <v>3820</v>
      </c>
      <c r="BI216" s="31">
        <v>205.0</v>
      </c>
      <c r="BJ216" s="42" t="s">
        <v>3818</v>
      </c>
      <c r="BK216" s="43">
        <v>100.0</v>
      </c>
      <c r="BL216" s="33">
        <f>'Old Balance Sheet'!L216 + 'ACPL Calculations - 1.0'!L216 + 'ACPL Calculations - 2.0'!L216</f>
        <v>0</v>
      </c>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33">
        <f t="shared" si="1"/>
        <v>0</v>
      </c>
      <c r="CM216" s="33">
        <f>'Old Balance Sheet'!R216 + 'ACPL Calculations - 1.0'!S216 + 'ACPL Calculations - 2.0'!S216</f>
        <v>0</v>
      </c>
      <c r="CN216" s="33">
        <f>'Old Balance Sheet'!S216 + 'ACPL Calculations - 1.0'!T216 + 'ACPL Calculations - 2.0'!T216</f>
        <v>0</v>
      </c>
      <c r="CO216" s="33">
        <f t="shared" si="2"/>
        <v>0</v>
      </c>
      <c r="CP216" s="33">
        <f>'Old Balance Sheet'!T216 + 'ACPL Calculations - 1.0'!V216 + 'ACPL Calculations - 2.0'!V216</f>
        <v>0</v>
      </c>
      <c r="CQ216" s="33">
        <f>'Old Balance Sheet'!U216 + 'ACPL Calculations - 1.0'!W216 + 'ACPL Calculations - 2.0'!W216</f>
        <v>0</v>
      </c>
      <c r="CR216" s="33">
        <f>'Old Balance Sheet'!V216 + 'ACPL Calculations - 1.0'!X216 + 'ACPL Calculations - 2.0'!X216</f>
        <v>0</v>
      </c>
      <c r="CS216" s="33">
        <f t="shared" si="3"/>
        <v>0</v>
      </c>
      <c r="CT216" s="35"/>
      <c r="CU216" s="35"/>
      <c r="CV216" s="35"/>
      <c r="CW216" s="36">
        <f>'Old Balance Sheet'!W216 + 'ACPL Calculations - 1.0'!Z216 + 'ACPL Calculations - 2.0'!Z216</f>
        <v>0</v>
      </c>
      <c r="CX216" s="36">
        <f>'Old Balance Sheet'!X216 + 'ACPL Calculations - 1.0'!AA216 + 'ACPL Calculations - 2.0'!AA216</f>
        <v>0</v>
      </c>
      <c r="CY216" s="37">
        <v>0.0</v>
      </c>
      <c r="CZ216" s="38">
        <f>'Old Balance Sheet'!Y216 + 'ACPL Calculations - 1.0'!AB216 + 'ACPL Calculations - 2.0'!AB216</f>
        <v>0</v>
      </c>
      <c r="DA216" s="38">
        <f>'Old Balance Sheet'!Z216 + 'ACPL Calculations - 1.0'!AC216 + 'ACPL Calculations - 2.0'!AC216</f>
        <v>0</v>
      </c>
      <c r="DB216" s="38">
        <f>'Old Balance Sheet'!AA216 + 'ACPL Calculations - 1.0'!AD216 + 'ACPL Calculations - 2.0'!AD216</f>
        <v>0</v>
      </c>
      <c r="DC216" s="38">
        <f>'Old Balance Sheet'!AB216 + 'ACPL Calculations - 1.0'!AE216 + 'ACPL Calculations - 2.0'!AE216</f>
        <v>0</v>
      </c>
      <c r="DD216" s="38">
        <f t="shared" si="4"/>
        <v>0</v>
      </c>
      <c r="DE216" s="33">
        <f t="shared" si="5"/>
        <v>0</v>
      </c>
      <c r="DF216" s="35">
        <v>0.0</v>
      </c>
      <c r="DG216" s="35">
        <v>0.0</v>
      </c>
      <c r="DH216" s="35">
        <v>0.0</v>
      </c>
      <c r="DI216" s="35">
        <v>0.0</v>
      </c>
      <c r="DJ216" s="35">
        <v>0.0</v>
      </c>
      <c r="DK216" s="35">
        <v>0.0</v>
      </c>
      <c r="DL216" s="35">
        <v>0.0</v>
      </c>
      <c r="DM216" s="35">
        <v>0.0</v>
      </c>
      <c r="DN216" s="31">
        <v>0.0</v>
      </c>
      <c r="DO216" s="31">
        <v>0.0</v>
      </c>
      <c r="DP216" s="31">
        <v>0.0</v>
      </c>
      <c r="DQ216" s="31">
        <v>0.0</v>
      </c>
      <c r="DR216" s="31">
        <v>0.0</v>
      </c>
      <c r="DS216" s="31">
        <v>0.0</v>
      </c>
      <c r="DT216" s="31">
        <f>'Old Balance Sheet'!AC216</f>
        <v>0</v>
      </c>
      <c r="DU216" s="31">
        <f>DT216 + SUMIFS('Payments Log'!D:D, 'Payments Log'!B:B, A216, 'Payments Log'!L:L, "Approved", 'Payments Log'!M:M, "Credit") + 'Old Balance Sheet'!AD216 - 'Old Balance Sheet'!AC216</f>
        <v>0</v>
      </c>
      <c r="DV216" s="31">
        <f>SUMIFS('Payments Log'!D:D, 'Payments Log'!B:B, A216, 'Payments Log'!L:L, "Approved", 'Payments Log'!M:M, "Adjustment Credit") - SUMIFS('Payments Log'!D:D, 'Payments Log'!B:B, A216, 'Payments Log'!L:L, "Approved", 'Payments Log'!M:M, "Adjustment Debit") + 'Old Balance Sheet'!AE216</f>
        <v>0</v>
      </c>
      <c r="DW216" s="31">
        <f>IF(MAXIFS('Payments Log'!N:N, 'Payments Log'!L:L, "Approved", 'Payments Log'!M:M, "Credit", 'Payments Log'!B:B, A216) &gt; MAXIFS('Payments Log'!N:N, 'Payments Log'!L:L, "Approved", 'Payments Log'!M:M, "Virtual Credit", 'Payments Log'!B:B, A216), 0, SUMIFS('Payments Log'!D:D, 'Payments Log'!N:N, MAXIFS('Payments Log'!N:N, 'Payments Log'!L:L, "Approved", 'Payments Log'!M:M, "Virtual Credit", 'Payments Log'!B:B, A216)))</f>
        <v>0</v>
      </c>
      <c r="DX216" s="33">
        <f t="shared" si="6"/>
        <v>0</v>
      </c>
      <c r="DY216" s="33">
        <f t="shared" si="7"/>
        <v>0</v>
      </c>
      <c r="DZ216" s="33">
        <f t="shared" si="8"/>
        <v>0</v>
      </c>
      <c r="EA216" s="25" t="str">
        <f>(Sheet1!N216)</f>
        <v>Asha Motor - Kannauj</v>
      </c>
      <c r="EB216" s="25" t="str">
        <f>(Sheet1!O216)</f>
        <v>1hlnCiW64Y7uZNVOj2ewyfTULbWj1dUaXX2rUREx8W8o</v>
      </c>
      <c r="EC216" s="26" t="str">
        <f>(Sheet1!P216)</f>
        <v>Sub Dealer</v>
      </c>
      <c r="ED216" s="34" t="s">
        <v>13</v>
      </c>
    </row>
    <row r="217">
      <c r="A217" s="25" t="str">
        <f>(Sheet1!A217)</f>
        <v>19J_y8BUN9RSe9TTg9cxKYBBv29Tfi7RwvKo8Va7MJRQ</v>
      </c>
      <c r="B217" s="25" t="str">
        <f>(Sheet1!B217)</f>
        <v>Kshitij Auto Wheelers - Mirzapur</v>
      </c>
      <c r="C217" s="30" t="s">
        <v>13</v>
      </c>
      <c r="D217" s="25" t="s">
        <v>72</v>
      </c>
      <c r="E217" s="25" t="s">
        <v>3820</v>
      </c>
      <c r="F217" s="33">
        <v>205.0</v>
      </c>
      <c r="G217" s="25" t="s">
        <v>3818</v>
      </c>
      <c r="H217" s="33">
        <v>100.0</v>
      </c>
      <c r="I217" s="33">
        <f>'Old Balance Sheet'!A217 + 'ACPL Calculations - 1.0'!A217 + 'ACPL Calculations - 2.0'!A217</f>
        <v>3</v>
      </c>
      <c r="J217" s="25" t="s">
        <v>3820</v>
      </c>
      <c r="K217" s="33">
        <v>205.0</v>
      </c>
      <c r="L217" s="25" t="s">
        <v>3818</v>
      </c>
      <c r="M217" s="33">
        <v>100.0</v>
      </c>
      <c r="N217" s="33">
        <f>'Old Balance Sheet'!B217 + 'ACPL Calculations - 1.0'!B217 + 'ACPL Calculations - 2.0'!B217</f>
        <v>0</v>
      </c>
      <c r="O217" s="25" t="s">
        <v>3820</v>
      </c>
      <c r="P217" s="41">
        <v>150.0</v>
      </c>
      <c r="Q217" s="25" t="s">
        <v>3818</v>
      </c>
      <c r="R217" s="33">
        <v>100.0</v>
      </c>
      <c r="S217" s="33">
        <f>'Old Balance Sheet'!C217 + 'ACPL Calculations - 1.0'!C217 + 'ACPL Calculations - 2.0'!C217</f>
        <v>6214</v>
      </c>
      <c r="T217" s="25" t="s">
        <v>3820</v>
      </c>
      <c r="U217" s="33">
        <v>375.0</v>
      </c>
      <c r="V217" s="25" t="s">
        <v>3818</v>
      </c>
      <c r="W217" s="33">
        <v>100.0</v>
      </c>
      <c r="X217" s="33">
        <f>'Old Balance Sheet'!D217 + 'ACPL Calculations - 1.0'!D217 + 'ACPL Calculations - 2.0'!D217</f>
        <v>0</v>
      </c>
      <c r="Y217" s="25" t="s">
        <v>3820</v>
      </c>
      <c r="Z217" s="33">
        <v>460.0</v>
      </c>
      <c r="AA217" s="42" t="s">
        <v>3818</v>
      </c>
      <c r="AB217" s="43">
        <v>100.0</v>
      </c>
      <c r="AC217" s="33">
        <f>'Old Balance Sheet'!E217 + 'ACPL Calculations - 1.0'!E217 + 'ACPL Calculations - 2.0'!E217</f>
        <v>0</v>
      </c>
      <c r="AD217" s="25" t="s">
        <v>3820</v>
      </c>
      <c r="AE217" s="33">
        <v>838.99</v>
      </c>
      <c r="AF217" s="42" t="s">
        <v>3818</v>
      </c>
      <c r="AG217" s="43">
        <v>100.0</v>
      </c>
      <c r="AH217" s="33">
        <f>'Old Balance Sheet'!F217 + 'ACPL Calculations - 1.0'!F217 + 'ACPL Calculations - 2.0'!F217</f>
        <v>0</v>
      </c>
      <c r="AI217" s="25" t="s">
        <v>3820</v>
      </c>
      <c r="AJ217" s="33">
        <v>375.0</v>
      </c>
      <c r="AK217" s="42" t="s">
        <v>3818</v>
      </c>
      <c r="AL217" s="43">
        <v>100.0</v>
      </c>
      <c r="AM217" s="33">
        <f>'Old Balance Sheet'!G217 + 'ACPL Calculations - 1.0'!G217 + 'ACPL Calculations - 2.0'!G217</f>
        <v>0</v>
      </c>
      <c r="AN217" s="25" t="s">
        <v>3820</v>
      </c>
      <c r="AO217" s="33">
        <v>290.0</v>
      </c>
      <c r="AP217" s="42" t="s">
        <v>3818</v>
      </c>
      <c r="AQ217" s="43">
        <v>100.0</v>
      </c>
      <c r="AR217" s="33">
        <f>'Old Balance Sheet'!H217 + 'ACPL Calculations - 1.0'!H217 + 'ACPL Calculations - 2.0'!H217</f>
        <v>0</v>
      </c>
      <c r="AS217" s="25" t="s">
        <v>3819</v>
      </c>
      <c r="AT217" s="33">
        <v>838.99</v>
      </c>
      <c r="AU217" s="42" t="s">
        <v>3818</v>
      </c>
      <c r="AV217" s="43">
        <v>100.0</v>
      </c>
      <c r="AW217" s="33">
        <f>'Old Balance Sheet'!I217 + 'ACPL Calculations - 1.0'!I217 + 'ACPL Calculations - 2.0'!I217</f>
        <v>0</v>
      </c>
      <c r="AX217" s="25" t="s">
        <v>3820</v>
      </c>
      <c r="AY217" s="31">
        <v>290.0</v>
      </c>
      <c r="AZ217" s="42" t="s">
        <v>3818</v>
      </c>
      <c r="BA217" s="43">
        <v>100.0</v>
      </c>
      <c r="BB217" s="33">
        <f>'Old Balance Sheet'!J217 + 'ACPL Calculations - 1.0'!J217 + 'ACPL Calculations - 2.0'!J217</f>
        <v>0</v>
      </c>
      <c r="BC217" s="25" t="s">
        <v>3820</v>
      </c>
      <c r="BD217" s="31">
        <v>205.0</v>
      </c>
      <c r="BE217" s="42" t="s">
        <v>3818</v>
      </c>
      <c r="BF217" s="43">
        <v>100.0</v>
      </c>
      <c r="BG217" s="33">
        <f>'Old Balance Sheet'!K217 + 'ACPL Calculations - 1.0'!K217 + 'ACPL Calculations - 2.0'!K217</f>
        <v>0</v>
      </c>
      <c r="BH217" s="25" t="s">
        <v>3820</v>
      </c>
      <c r="BI217" s="31">
        <v>205.0</v>
      </c>
      <c r="BJ217" s="42" t="s">
        <v>3818</v>
      </c>
      <c r="BK217" s="43">
        <v>100.0</v>
      </c>
      <c r="BL217" s="33">
        <f>'Old Balance Sheet'!L217 + 'ACPL Calculations - 1.0'!L217 + 'ACPL Calculations - 2.0'!L217</f>
        <v>0</v>
      </c>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33">
        <f t="shared" si="1"/>
        <v>6217</v>
      </c>
      <c r="CM217" s="33">
        <f>'Old Balance Sheet'!R217 + 'ACPL Calculations - 1.0'!S217 + 'ACPL Calculations - 2.0'!S217</f>
        <v>4288138</v>
      </c>
      <c r="CN217" s="33">
        <f>'Old Balance Sheet'!S217 + 'ACPL Calculations - 1.0'!T217 + 'ACPL Calculations - 2.0'!T217</f>
        <v>1079290</v>
      </c>
      <c r="CO217" s="33">
        <f t="shared" si="2"/>
        <v>1733386.43</v>
      </c>
      <c r="CP217" s="33">
        <f>'Old Balance Sheet'!T217 + 'ACPL Calculations - 1.0'!V217 + 'ACPL Calculations - 2.0'!V217</f>
        <v>0</v>
      </c>
      <c r="CQ217" s="33">
        <f>'Old Balance Sheet'!U217 + 'ACPL Calculations - 1.0'!W217 + 'ACPL Calculations - 2.0'!W217</f>
        <v>0</v>
      </c>
      <c r="CR217" s="33">
        <f>'Old Balance Sheet'!V217 + 'ACPL Calculations - 1.0'!X217 + 'ACPL Calculations - 2.0'!X217</f>
        <v>654096.43</v>
      </c>
      <c r="CS217" s="33">
        <f t="shared" si="3"/>
        <v>654096.43</v>
      </c>
      <c r="CT217" s="35"/>
      <c r="CU217" s="35"/>
      <c r="CV217" s="35"/>
      <c r="CW217" s="36">
        <f>'Old Balance Sheet'!W217 + 'ACPL Calculations - 1.0'!Z217 + 'ACPL Calculations - 2.0'!Z217</f>
        <v>4286758</v>
      </c>
      <c r="CX217" s="36">
        <f>'Old Balance Sheet'!X217 + 'ACPL Calculations - 1.0'!AA217 + 'ACPL Calculations - 2.0'!AA217</f>
        <v>1860585.55</v>
      </c>
      <c r="CY217" s="37">
        <v>0.0</v>
      </c>
      <c r="CZ217" s="38">
        <f>'Old Balance Sheet'!Y217 + 'ACPL Calculations - 1.0'!AB217 + 'ACPL Calculations - 2.0'!AB217</f>
        <v>2553882.07</v>
      </c>
      <c r="DA217" s="38">
        <f>'Old Balance Sheet'!Z217 + 'ACPL Calculations - 1.0'!AC217 + 'ACPL Calculations - 2.0'!AC217</f>
        <v>0</v>
      </c>
      <c r="DB217" s="38">
        <f>'Old Balance Sheet'!AA217 + 'ACPL Calculations - 1.0'!AD217 + 'ACPL Calculations - 2.0'!AD217</f>
        <v>127709.62</v>
      </c>
      <c r="DC217" s="38">
        <f>'Old Balance Sheet'!AB217 + 'ACPL Calculations - 1.0'!AE217 + 'ACPL Calculations - 2.0'!AE217</f>
        <v>2426172.45</v>
      </c>
      <c r="DD217" s="38">
        <f t="shared" si="4"/>
        <v>2426172.45</v>
      </c>
      <c r="DE217" s="33">
        <f t="shared" si="5"/>
        <v>2426172.45</v>
      </c>
      <c r="DF217" s="35">
        <v>0.0</v>
      </c>
      <c r="DG217" s="35">
        <v>0.0</v>
      </c>
      <c r="DH217" s="35">
        <v>0.0</v>
      </c>
      <c r="DI217" s="35">
        <v>0.0</v>
      </c>
      <c r="DJ217" s="35">
        <v>0.0</v>
      </c>
      <c r="DK217" s="35">
        <v>0.0</v>
      </c>
      <c r="DL217" s="35">
        <v>0.0</v>
      </c>
      <c r="DM217" s="35">
        <v>0.0</v>
      </c>
      <c r="DN217" s="31">
        <v>0.0</v>
      </c>
      <c r="DO217" s="31">
        <v>0.0</v>
      </c>
      <c r="DP217" s="31">
        <v>0.0</v>
      </c>
      <c r="DQ217" s="31">
        <v>0.0</v>
      </c>
      <c r="DR217" s="31">
        <v>0.0</v>
      </c>
      <c r="DS217" s="31">
        <v>0.0</v>
      </c>
      <c r="DT217" s="31">
        <f>'Old Balance Sheet'!AC217</f>
        <v>0</v>
      </c>
      <c r="DU217" s="31">
        <f>DT217 + SUMIFS('Payments Log'!D:D, 'Payments Log'!B:B, A217, 'Payments Log'!L:L, "Approved", 'Payments Log'!M:M, "Credit") + 'Old Balance Sheet'!AD217 - 'Old Balance Sheet'!AC217</f>
        <v>4302000</v>
      </c>
      <c r="DV217" s="31">
        <f>SUMIFS('Payments Log'!D:D, 'Payments Log'!B:B, A217, 'Payments Log'!L:L, "Approved", 'Payments Log'!M:M, "Adjustment Credit") - SUMIFS('Payments Log'!D:D, 'Payments Log'!B:B, A217, 'Payments Log'!L:L, "Approved", 'Payments Log'!M:M, "Adjustment Debit") + 'Old Balance Sheet'!AE217</f>
        <v>0</v>
      </c>
      <c r="DW217" s="31">
        <f>IF(MAXIFS('Payments Log'!N:N, 'Payments Log'!L:L, "Approved", 'Payments Log'!M:M, "Credit", 'Payments Log'!B:B, A217) &gt; MAXIFS('Payments Log'!N:N, 'Payments Log'!L:L, "Approved", 'Payments Log'!M:M, "Virtual Credit", 'Payments Log'!B:B, A217), 0, SUMIFS('Payments Log'!D:D, 'Payments Log'!N:N, MAXIFS('Payments Log'!N:N, 'Payments Log'!L:L, "Approved", 'Payments Log'!M:M, "Virtual Credit", 'Payments Log'!B:B, A217)))</f>
        <v>0</v>
      </c>
      <c r="DX217" s="33">
        <f t="shared" si="6"/>
        <v>15242</v>
      </c>
      <c r="DY217" s="33">
        <f t="shared" si="7"/>
        <v>2441414.45</v>
      </c>
      <c r="DZ217" s="33">
        <f t="shared" si="8"/>
        <v>2441414.45</v>
      </c>
      <c r="EA217" s="25" t="str">
        <f>(Sheet1!N217)</f>
        <v>Kshitij Auto Wheelers - Mirzapur</v>
      </c>
      <c r="EB217" s="25" t="str">
        <f>(Sheet1!O217)</f>
        <v>19J_y8BUN9RSe9TTg9cxKYBBv29Tfi7RwvKo8Va7MJRQ</v>
      </c>
      <c r="EC217" s="26" t="str">
        <f>(Sheet1!P217)</f>
        <v>Dealer</v>
      </c>
      <c r="ED217" s="34" t="s">
        <v>13</v>
      </c>
    </row>
    <row r="218">
      <c r="A218" s="25" t="str">
        <f>(Sheet1!A218)</f>
        <v>1pIkLTEq99ZID0V0k8H0hOFXZDJQMaAoy2fsIol-e81k</v>
      </c>
      <c r="B218" s="25" t="str">
        <f>(Sheet1!B218)</f>
        <v>NITIN MATANHELIA - GORAKHPUR</v>
      </c>
      <c r="C218" s="30" t="s">
        <v>13</v>
      </c>
      <c r="D218" s="25" t="s">
        <v>72</v>
      </c>
      <c r="E218" s="25" t="s">
        <v>3820</v>
      </c>
      <c r="F218" s="31">
        <v>175.0</v>
      </c>
      <c r="G218" s="25" t="s">
        <v>3818</v>
      </c>
      <c r="H218" s="33">
        <v>100.0</v>
      </c>
      <c r="I218" s="33">
        <f>'Old Balance Sheet'!A218 + 'ACPL Calculations - 1.0'!A218 + 'ACPL Calculations - 2.0'!A218</f>
        <v>2645</v>
      </c>
      <c r="J218" s="25" t="s">
        <v>3820</v>
      </c>
      <c r="K218" s="33">
        <v>205.0</v>
      </c>
      <c r="L218" s="25" t="s">
        <v>3818</v>
      </c>
      <c r="M218" s="33">
        <v>100.0</v>
      </c>
      <c r="N218" s="33">
        <f>'Old Balance Sheet'!B218 + 'ACPL Calculations - 1.0'!B218 + 'ACPL Calculations - 2.0'!B218</f>
        <v>0</v>
      </c>
      <c r="O218" s="25" t="s">
        <v>3820</v>
      </c>
      <c r="P218" s="31">
        <v>205.0</v>
      </c>
      <c r="Q218" s="25" t="s">
        <v>3818</v>
      </c>
      <c r="R218" s="33">
        <v>100.0</v>
      </c>
      <c r="S218" s="33">
        <f>'Old Balance Sheet'!C218 + 'ACPL Calculations - 1.0'!C218 + 'ACPL Calculations - 2.0'!C218</f>
        <v>0</v>
      </c>
      <c r="T218" s="25" t="s">
        <v>3820</v>
      </c>
      <c r="U218" s="33">
        <v>375.0</v>
      </c>
      <c r="V218" s="25" t="s">
        <v>3818</v>
      </c>
      <c r="W218" s="33">
        <v>100.0</v>
      </c>
      <c r="X218" s="33">
        <f>'Old Balance Sheet'!D218 + 'ACPL Calculations - 1.0'!D218 + 'ACPL Calculations - 2.0'!D218</f>
        <v>0</v>
      </c>
      <c r="Y218" s="25" t="s">
        <v>3820</v>
      </c>
      <c r="Z218" s="33">
        <v>460.0</v>
      </c>
      <c r="AA218" s="42" t="s">
        <v>3818</v>
      </c>
      <c r="AB218" s="43">
        <v>100.0</v>
      </c>
      <c r="AC218" s="33">
        <f>'Old Balance Sheet'!E218 + 'ACPL Calculations - 1.0'!E218 + 'ACPL Calculations - 2.0'!E218</f>
        <v>0</v>
      </c>
      <c r="AD218" s="25" t="s">
        <v>3820</v>
      </c>
      <c r="AE218" s="33">
        <v>838.99</v>
      </c>
      <c r="AF218" s="42" t="s">
        <v>3818</v>
      </c>
      <c r="AG218" s="43">
        <v>100.0</v>
      </c>
      <c r="AH218" s="33">
        <f>'Old Balance Sheet'!F218 + 'ACPL Calculations - 1.0'!F218 + 'ACPL Calculations - 2.0'!F218</f>
        <v>0</v>
      </c>
      <c r="AI218" s="25" t="s">
        <v>3820</v>
      </c>
      <c r="AJ218" s="33">
        <v>375.0</v>
      </c>
      <c r="AK218" s="42" t="s">
        <v>3818</v>
      </c>
      <c r="AL218" s="43">
        <v>100.0</v>
      </c>
      <c r="AM218" s="33">
        <f>'Old Balance Sheet'!G218 + 'ACPL Calculations - 1.0'!G218 + 'ACPL Calculations - 2.0'!G218</f>
        <v>0</v>
      </c>
      <c r="AN218" s="25" t="s">
        <v>3820</v>
      </c>
      <c r="AO218" s="33">
        <v>290.0</v>
      </c>
      <c r="AP218" s="42" t="s">
        <v>3818</v>
      </c>
      <c r="AQ218" s="43">
        <v>100.0</v>
      </c>
      <c r="AR218" s="33">
        <f>'Old Balance Sheet'!H218 + 'ACPL Calculations - 1.0'!H218 + 'ACPL Calculations - 2.0'!H218</f>
        <v>0</v>
      </c>
      <c r="AS218" s="25" t="s">
        <v>3819</v>
      </c>
      <c r="AT218" s="33">
        <v>838.99</v>
      </c>
      <c r="AU218" s="42" t="s">
        <v>3818</v>
      </c>
      <c r="AV218" s="43">
        <v>100.0</v>
      </c>
      <c r="AW218" s="33">
        <f>'Old Balance Sheet'!I218 + 'ACPL Calculations - 1.0'!I218 + 'ACPL Calculations - 2.0'!I218</f>
        <v>0</v>
      </c>
      <c r="AX218" s="25" t="s">
        <v>3820</v>
      </c>
      <c r="AY218" s="31">
        <v>290.0</v>
      </c>
      <c r="AZ218" s="42" t="s">
        <v>3818</v>
      </c>
      <c r="BA218" s="43">
        <v>100.0</v>
      </c>
      <c r="BB218" s="33">
        <f>'Old Balance Sheet'!J218 + 'ACPL Calculations - 1.0'!J218 + 'ACPL Calculations - 2.0'!J218</f>
        <v>0</v>
      </c>
      <c r="BC218" s="25" t="s">
        <v>3820</v>
      </c>
      <c r="BD218" s="31">
        <v>205.0</v>
      </c>
      <c r="BE218" s="42" t="s">
        <v>3818</v>
      </c>
      <c r="BF218" s="43">
        <v>100.0</v>
      </c>
      <c r="BG218" s="33">
        <f>'Old Balance Sheet'!K218 + 'ACPL Calculations - 1.0'!K218 + 'ACPL Calculations - 2.0'!K218</f>
        <v>0</v>
      </c>
      <c r="BH218" s="25" t="s">
        <v>3820</v>
      </c>
      <c r="BI218" s="31">
        <v>205.0</v>
      </c>
      <c r="BJ218" s="42" t="s">
        <v>3818</v>
      </c>
      <c r="BK218" s="43">
        <v>100.0</v>
      </c>
      <c r="BL218" s="33">
        <f>'Old Balance Sheet'!L218 + 'ACPL Calculations - 1.0'!L218 + 'ACPL Calculations - 2.0'!L218</f>
        <v>0</v>
      </c>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33">
        <f t="shared" si="1"/>
        <v>2645</v>
      </c>
      <c r="CM218" s="33">
        <f>'Old Balance Sheet'!R218 + 'ACPL Calculations - 1.0'!S218 + 'ACPL Calculations - 2.0'!S218</f>
        <v>1079858</v>
      </c>
      <c r="CN218" s="33">
        <f>'Old Balance Sheet'!S218 + 'ACPL Calculations - 1.0'!T218 + 'ACPL Calculations - 2.0'!T218</f>
        <v>515885</v>
      </c>
      <c r="CO218" s="33">
        <f t="shared" si="2"/>
        <v>680603.02</v>
      </c>
      <c r="CP218" s="33">
        <f>'Old Balance Sheet'!T218 + 'ACPL Calculations - 1.0'!V218 + 'ACPL Calculations - 2.0'!V218</f>
        <v>33.71</v>
      </c>
      <c r="CQ218" s="33">
        <f>'Old Balance Sheet'!U218 + 'ACPL Calculations - 1.0'!W218 + 'ACPL Calculations - 2.0'!W218</f>
        <v>33.71</v>
      </c>
      <c r="CR218" s="33">
        <f>'Old Balance Sheet'!V218 + 'ACPL Calculations - 1.0'!X218 + 'ACPL Calculations - 2.0'!X218</f>
        <v>164650.6</v>
      </c>
      <c r="CS218" s="33">
        <f t="shared" si="3"/>
        <v>164718.02</v>
      </c>
      <c r="CT218" s="35"/>
      <c r="CU218" s="35"/>
      <c r="CV218" s="35"/>
      <c r="CW218" s="36">
        <f>'Old Balance Sheet'!W218 + 'ACPL Calculations - 1.0'!Z218 + 'ACPL Calculations - 2.0'!Z218</f>
        <v>1126710</v>
      </c>
      <c r="CX218" s="36">
        <f>'Old Balance Sheet'!X218 + 'ACPL Calculations - 1.0'!AA218 + 'ACPL Calculations - 2.0'!AA218</f>
        <v>727328.82</v>
      </c>
      <c r="CY218" s="37">
        <v>0.0</v>
      </c>
      <c r="CZ218" s="38">
        <f>'Old Balance Sheet'!Y218 + 'ACPL Calculations - 1.0'!AB218 + 'ACPL Calculations - 2.0'!AB218</f>
        <v>420410.46</v>
      </c>
      <c r="DA218" s="38">
        <f>'Old Balance Sheet'!Z218 + 'ACPL Calculations - 1.0'!AC218 + 'ACPL Calculations - 2.0'!AC218</f>
        <v>0</v>
      </c>
      <c r="DB218" s="38">
        <f>'Old Balance Sheet'!AA218 + 'ACPL Calculations - 1.0'!AD218 + 'ACPL Calculations - 2.0'!AD218</f>
        <v>21029.28</v>
      </c>
      <c r="DC218" s="38">
        <f>'Old Balance Sheet'!AB218 + 'ACPL Calculations - 1.0'!AE218 + 'ACPL Calculations - 2.0'!AE218</f>
        <v>399381.18</v>
      </c>
      <c r="DD218" s="38">
        <f t="shared" si="4"/>
        <v>399381.18</v>
      </c>
      <c r="DE218" s="33">
        <f t="shared" si="5"/>
        <v>399381.18</v>
      </c>
      <c r="DF218" s="35">
        <v>0.0</v>
      </c>
      <c r="DG218" s="35">
        <v>0.0</v>
      </c>
      <c r="DH218" s="35">
        <v>0.0</v>
      </c>
      <c r="DI218" s="35">
        <v>0.0</v>
      </c>
      <c r="DJ218" s="35">
        <v>0.0</v>
      </c>
      <c r="DK218" s="35">
        <v>0.0</v>
      </c>
      <c r="DL218" s="35">
        <v>0.0</v>
      </c>
      <c r="DM218" s="35">
        <v>0.0</v>
      </c>
      <c r="DN218" s="31">
        <v>0.0</v>
      </c>
      <c r="DO218" s="31">
        <v>0.0</v>
      </c>
      <c r="DP218" s="31">
        <v>0.0</v>
      </c>
      <c r="DQ218" s="31">
        <v>0.0</v>
      </c>
      <c r="DR218" s="31">
        <v>0.0</v>
      </c>
      <c r="DS218" s="31">
        <v>0.0</v>
      </c>
      <c r="DT218" s="31">
        <f>'Old Balance Sheet'!AC218</f>
        <v>0</v>
      </c>
      <c r="DU218" s="31">
        <f>DT218 + SUMIFS('Payments Log'!D:D, 'Payments Log'!B:B, A218, 'Payments Log'!L:L, "Approved", 'Payments Log'!M:M, "Credit") + 'Old Balance Sheet'!AD218 - 'Old Balance Sheet'!AC218</f>
        <v>1140700</v>
      </c>
      <c r="DV218" s="31">
        <f>SUMIFS('Payments Log'!D:D, 'Payments Log'!B:B, A218, 'Payments Log'!L:L, "Approved", 'Payments Log'!M:M, "Adjustment Credit") - SUMIFS('Payments Log'!D:D, 'Payments Log'!B:B, A218, 'Payments Log'!L:L, "Approved", 'Payments Log'!M:M, "Adjustment Debit") + 'Old Balance Sheet'!AE218</f>
        <v>0</v>
      </c>
      <c r="DW218" s="31">
        <f>IF(MAXIFS('Payments Log'!N:N, 'Payments Log'!L:L, "Approved", 'Payments Log'!M:M, "Credit", 'Payments Log'!B:B, A218) &gt; MAXIFS('Payments Log'!N:N, 'Payments Log'!L:L, "Approved", 'Payments Log'!M:M, "Virtual Credit", 'Payments Log'!B:B, A218), 0, SUMIFS('Payments Log'!D:D, 'Payments Log'!N:N, MAXIFS('Payments Log'!N:N, 'Payments Log'!L:L, "Approved", 'Payments Log'!M:M, "Virtual Credit", 'Payments Log'!B:B, A218)))</f>
        <v>0</v>
      </c>
      <c r="DX218" s="33">
        <f t="shared" si="6"/>
        <v>13990</v>
      </c>
      <c r="DY218" s="33">
        <f t="shared" si="7"/>
        <v>413371.18</v>
      </c>
      <c r="DZ218" s="33">
        <f t="shared" si="8"/>
        <v>413371.18</v>
      </c>
      <c r="EA218" s="25" t="str">
        <f>(Sheet1!N218)</f>
        <v>NITIN MATANHELIA - GORAKHPUR</v>
      </c>
      <c r="EB218" s="25" t="str">
        <f>(Sheet1!O218)</f>
        <v>1pIkLTEq99ZID0V0k8H0hOFXZDJQMaAoy2fsIol-e81k</v>
      </c>
      <c r="EC218" s="26" t="str">
        <f>(Sheet1!P218)</f>
        <v>Dealer</v>
      </c>
      <c r="ED218" s="34" t="s">
        <v>13</v>
      </c>
    </row>
    <row r="219">
      <c r="A219" s="25" t="str">
        <f>(Sheet1!A219)</f>
        <v>15TCKogSV6eLWZg1o0BLy9c__at_HGv_nwylQpiLk1k0</v>
      </c>
      <c r="B219" s="25" t="str">
        <f>(Sheet1!B219)</f>
        <v>Shivam Automobile - Chakia</v>
      </c>
      <c r="C219" s="30" t="s">
        <v>13</v>
      </c>
      <c r="D219" s="30" t="s">
        <v>72</v>
      </c>
      <c r="E219" s="30" t="s">
        <v>3817</v>
      </c>
      <c r="F219" s="31">
        <v>205.0</v>
      </c>
      <c r="G219" s="32" t="s">
        <v>3818</v>
      </c>
      <c r="H219" s="31">
        <v>100.0</v>
      </c>
      <c r="I219" s="33">
        <f>'Old Balance Sheet'!A219 + 'ACPL Calculations - 1.0'!A219 + 'ACPL Calculations - 2.0'!A219</f>
        <v>0</v>
      </c>
      <c r="J219" s="30" t="s">
        <v>3817</v>
      </c>
      <c r="K219" s="31">
        <v>205.0</v>
      </c>
      <c r="L219" s="32" t="s">
        <v>3818</v>
      </c>
      <c r="M219" s="31">
        <v>100.0</v>
      </c>
      <c r="N219" s="33">
        <f>'Old Balance Sheet'!B219 + 'ACPL Calculations - 1.0'!B219 + 'ACPL Calculations - 2.0'!B219</f>
        <v>0</v>
      </c>
      <c r="O219" s="30" t="s">
        <v>3817</v>
      </c>
      <c r="P219" s="31">
        <v>290.0</v>
      </c>
      <c r="Q219" s="32" t="s">
        <v>3818</v>
      </c>
      <c r="R219" s="31">
        <v>100.0</v>
      </c>
      <c r="S219" s="33">
        <f>'Old Balance Sheet'!C219 + 'ACPL Calculations - 1.0'!C219 + 'ACPL Calculations - 2.0'!C219</f>
        <v>0</v>
      </c>
      <c r="T219" s="30" t="s">
        <v>3817</v>
      </c>
      <c r="U219" s="31">
        <v>375.0</v>
      </c>
      <c r="V219" s="32" t="s">
        <v>3818</v>
      </c>
      <c r="W219" s="31">
        <v>100.0</v>
      </c>
      <c r="X219" s="33">
        <f>'Old Balance Sheet'!D219 + 'ACPL Calculations - 1.0'!D219 + 'ACPL Calculations - 2.0'!D219</f>
        <v>0</v>
      </c>
      <c r="Y219" s="30" t="s">
        <v>3817</v>
      </c>
      <c r="Z219" s="31">
        <v>375.0</v>
      </c>
      <c r="AA219" s="32" t="s">
        <v>3818</v>
      </c>
      <c r="AB219" s="31">
        <v>100.0</v>
      </c>
      <c r="AC219" s="33">
        <f>'Old Balance Sheet'!E219 + 'ACPL Calculations - 1.0'!E219 + 'ACPL Calculations - 2.0'!E219</f>
        <v>0</v>
      </c>
      <c r="AD219" s="30" t="s">
        <v>3817</v>
      </c>
      <c r="AE219" s="34">
        <v>838.99</v>
      </c>
      <c r="AF219" s="32" t="s">
        <v>3818</v>
      </c>
      <c r="AG219" s="31">
        <v>100.0</v>
      </c>
      <c r="AH219" s="33">
        <f>'Old Balance Sheet'!F219 + 'ACPL Calculations - 1.0'!F219 + 'ACPL Calculations - 2.0'!F219</f>
        <v>0</v>
      </c>
      <c r="AI219" s="30" t="s">
        <v>3817</v>
      </c>
      <c r="AJ219" s="31">
        <v>375.0</v>
      </c>
      <c r="AK219" s="32" t="s">
        <v>3818</v>
      </c>
      <c r="AL219" s="31">
        <v>100.0</v>
      </c>
      <c r="AM219" s="33">
        <f>'Old Balance Sheet'!G219 + 'ACPL Calculations - 1.0'!G219 + 'ACPL Calculations - 2.0'!G219</f>
        <v>0</v>
      </c>
      <c r="AN219" s="30" t="s">
        <v>3817</v>
      </c>
      <c r="AO219" s="31">
        <v>290.0</v>
      </c>
      <c r="AP219" s="32" t="s">
        <v>3818</v>
      </c>
      <c r="AQ219" s="31">
        <v>100.0</v>
      </c>
      <c r="AR219" s="33">
        <f>'Old Balance Sheet'!H219 + 'ACPL Calculations - 1.0'!H219 + 'ACPL Calculations - 2.0'!H219</f>
        <v>0</v>
      </c>
      <c r="AS219" s="30" t="s">
        <v>3819</v>
      </c>
      <c r="AT219" s="31">
        <v>838.99</v>
      </c>
      <c r="AU219" s="32" t="s">
        <v>3818</v>
      </c>
      <c r="AV219" s="31">
        <v>100.0</v>
      </c>
      <c r="AW219" s="33">
        <f>'Old Balance Sheet'!I219 + 'ACPL Calculations - 1.0'!I219 + 'ACPL Calculations - 2.0'!I219</f>
        <v>0</v>
      </c>
      <c r="AX219" s="30" t="s">
        <v>3817</v>
      </c>
      <c r="AY219" s="31">
        <v>290.0</v>
      </c>
      <c r="AZ219" s="32" t="s">
        <v>3818</v>
      </c>
      <c r="BA219" s="31">
        <v>100.0</v>
      </c>
      <c r="BB219" s="33">
        <f>'Old Balance Sheet'!J219 + 'ACPL Calculations - 1.0'!J219 + 'ACPL Calculations - 2.0'!J219</f>
        <v>0</v>
      </c>
      <c r="BC219" s="30" t="s">
        <v>3817</v>
      </c>
      <c r="BD219" s="31">
        <v>205.0</v>
      </c>
      <c r="BE219" s="32" t="s">
        <v>3818</v>
      </c>
      <c r="BF219" s="31">
        <v>100.0</v>
      </c>
      <c r="BG219" s="33">
        <f>'Old Balance Sheet'!K219 + 'ACPL Calculations - 1.0'!K219 + 'ACPL Calculations - 2.0'!K219</f>
        <v>0</v>
      </c>
      <c r="BH219" s="30" t="s">
        <v>3817</v>
      </c>
      <c r="BI219" s="31">
        <v>205.0</v>
      </c>
      <c r="BJ219" s="32" t="s">
        <v>3818</v>
      </c>
      <c r="BK219" s="31">
        <v>100.0</v>
      </c>
      <c r="BL219" s="33">
        <f>'Old Balance Sheet'!L219 + 'ACPL Calculations - 1.0'!L219 + 'ACPL Calculations - 2.0'!L219</f>
        <v>0</v>
      </c>
      <c r="BM219" s="33"/>
      <c r="BN219" s="33"/>
      <c r="BO219" s="33"/>
      <c r="BP219" s="33"/>
      <c r="BQ219" s="33"/>
      <c r="BR219" s="33"/>
      <c r="BS219" s="33"/>
      <c r="BT219" s="33"/>
      <c r="BU219" s="33"/>
      <c r="BV219" s="33"/>
      <c r="BW219" s="33"/>
      <c r="BX219" s="33"/>
      <c r="BY219" s="33"/>
      <c r="BZ219" s="33"/>
      <c r="CA219" s="33"/>
      <c r="CB219" s="33"/>
      <c r="CC219" s="33"/>
      <c r="CD219" s="33"/>
      <c r="CE219" s="33"/>
      <c r="CF219" s="33"/>
      <c r="CG219" s="33"/>
      <c r="CH219" s="33"/>
      <c r="CI219" s="33"/>
      <c r="CJ219" s="33"/>
      <c r="CK219" s="33"/>
      <c r="CL219" s="33">
        <f t="shared" si="1"/>
        <v>0</v>
      </c>
      <c r="CM219" s="33">
        <f>'Old Balance Sheet'!R219 + 'ACPL Calculations - 1.0'!S219 + 'ACPL Calculations - 2.0'!S219</f>
        <v>0</v>
      </c>
      <c r="CN219" s="33">
        <f>'Old Balance Sheet'!S219 + 'ACPL Calculations - 1.0'!T219 + 'ACPL Calculations - 2.0'!T219</f>
        <v>0</v>
      </c>
      <c r="CO219" s="33">
        <f t="shared" si="2"/>
        <v>0</v>
      </c>
      <c r="CP219" s="33">
        <f>'Old Balance Sheet'!T219 + 'ACPL Calculations - 1.0'!V219 + 'ACPL Calculations - 2.0'!V219</f>
        <v>0</v>
      </c>
      <c r="CQ219" s="33">
        <f>'Old Balance Sheet'!U219 + 'ACPL Calculations - 1.0'!W219 + 'ACPL Calculations - 2.0'!W219</f>
        <v>0</v>
      </c>
      <c r="CR219" s="33">
        <f>'Old Balance Sheet'!V219 + 'ACPL Calculations - 1.0'!X219 + 'ACPL Calculations - 2.0'!X219</f>
        <v>0</v>
      </c>
      <c r="CS219" s="33">
        <f t="shared" si="3"/>
        <v>0</v>
      </c>
      <c r="CT219" s="35"/>
      <c r="CU219" s="35"/>
      <c r="CV219" s="35"/>
      <c r="CW219" s="36">
        <f>'Old Balance Sheet'!W219 + 'ACPL Calculations - 1.0'!Z219 + 'ACPL Calculations - 2.0'!Z219</f>
        <v>0</v>
      </c>
      <c r="CX219" s="36">
        <f>'Old Balance Sheet'!X219 + 'ACPL Calculations - 1.0'!AA219 + 'ACPL Calculations - 2.0'!AA219</f>
        <v>0</v>
      </c>
      <c r="CY219" s="37">
        <v>0.0</v>
      </c>
      <c r="CZ219" s="38">
        <f>'Old Balance Sheet'!Y219 + 'ACPL Calculations - 1.0'!AB219 + 'ACPL Calculations - 2.0'!AB219</f>
        <v>0</v>
      </c>
      <c r="DA219" s="38">
        <f>'Old Balance Sheet'!Z219 + 'ACPL Calculations - 1.0'!AC219 + 'ACPL Calculations - 2.0'!AC219</f>
        <v>0</v>
      </c>
      <c r="DB219" s="38">
        <f>'Old Balance Sheet'!AA219 + 'ACPL Calculations - 1.0'!AD219 + 'ACPL Calculations - 2.0'!AD219</f>
        <v>0</v>
      </c>
      <c r="DC219" s="38">
        <f>'Old Balance Sheet'!AB219 + 'ACPL Calculations - 1.0'!AE219 + 'ACPL Calculations - 2.0'!AE219</f>
        <v>0</v>
      </c>
      <c r="DD219" s="38">
        <f t="shared" si="4"/>
        <v>0</v>
      </c>
      <c r="DE219" s="33">
        <f t="shared" si="5"/>
        <v>0</v>
      </c>
      <c r="DF219" s="35">
        <v>0.0</v>
      </c>
      <c r="DG219" s="35">
        <v>0.0</v>
      </c>
      <c r="DH219" s="35">
        <v>0.0</v>
      </c>
      <c r="DI219" s="35">
        <v>0.0</v>
      </c>
      <c r="DJ219" s="35">
        <v>0.0</v>
      </c>
      <c r="DK219" s="35">
        <v>0.0</v>
      </c>
      <c r="DL219" s="35">
        <v>0.0</v>
      </c>
      <c r="DM219" s="35">
        <v>0.0</v>
      </c>
      <c r="DN219" s="31">
        <v>0.0</v>
      </c>
      <c r="DO219" s="31">
        <v>0.0</v>
      </c>
      <c r="DP219" s="31">
        <v>0.0</v>
      </c>
      <c r="DQ219" s="31">
        <v>0.0</v>
      </c>
      <c r="DR219" s="31">
        <v>0.0</v>
      </c>
      <c r="DS219" s="31">
        <v>0.0</v>
      </c>
      <c r="DT219" s="31">
        <f>'Old Balance Sheet'!AC219</f>
        <v>0</v>
      </c>
      <c r="DU219" s="31">
        <f>DT219 + SUMIFS('Payments Log'!D:D, 'Payments Log'!B:B, A219, 'Payments Log'!L:L, "Approved", 'Payments Log'!M:M, "Credit") + 'Old Balance Sheet'!AD219 - 'Old Balance Sheet'!AC219</f>
        <v>0</v>
      </c>
      <c r="DV219" s="31">
        <f>SUMIFS('Payments Log'!D:D, 'Payments Log'!B:B, A219, 'Payments Log'!L:L, "Approved", 'Payments Log'!M:M, "Adjustment Credit") - SUMIFS('Payments Log'!D:D, 'Payments Log'!B:B, A219, 'Payments Log'!L:L, "Approved", 'Payments Log'!M:M, "Adjustment Debit") + 'Old Balance Sheet'!AE219</f>
        <v>0</v>
      </c>
      <c r="DW219" s="31">
        <f>IF(MAXIFS('Payments Log'!N:N, 'Payments Log'!L:L, "Approved", 'Payments Log'!M:M, "Credit", 'Payments Log'!B:B, A219) &gt; MAXIFS('Payments Log'!N:N, 'Payments Log'!L:L, "Approved", 'Payments Log'!M:M, "Virtual Credit", 'Payments Log'!B:B, A219), 0, SUMIFS('Payments Log'!D:D, 'Payments Log'!N:N, MAXIFS('Payments Log'!N:N, 'Payments Log'!L:L, "Approved", 'Payments Log'!M:M, "Virtual Credit", 'Payments Log'!B:B, A219)))</f>
        <v>0</v>
      </c>
      <c r="DX219" s="33">
        <f t="shared" si="6"/>
        <v>0</v>
      </c>
      <c r="DY219" s="33">
        <f t="shared" si="7"/>
        <v>0</v>
      </c>
      <c r="DZ219" s="33">
        <f t="shared" si="8"/>
        <v>0</v>
      </c>
      <c r="EA219" s="25" t="str">
        <f>(Sheet1!N219)</f>
        <v>Shivam Automobile - Chakia</v>
      </c>
      <c r="EB219" s="25" t="str">
        <f>(Sheet1!O219)</f>
        <v>15TCKogSV6eLWZg1o0BLy9c__at_HGv_nwylQpiLk1k0</v>
      </c>
      <c r="EC219" s="26" t="str">
        <f>(Sheet1!P219)</f>
        <v>Dealer</v>
      </c>
      <c r="ED219" s="34" t="s">
        <v>13</v>
      </c>
    </row>
    <row r="220">
      <c r="A220" s="25" t="str">
        <f>(Sheet1!A220)</f>
        <v>1IW00YIJovrtt6A8q0p0zoi4iwBPaPgOVnZqjzOz5yP0</v>
      </c>
      <c r="B220" s="25" t="str">
        <f>(Sheet1!B220)</f>
        <v>SHYAM MOTORS - FATEHPUR</v>
      </c>
      <c r="C220" s="30" t="s">
        <v>13</v>
      </c>
      <c r="D220" s="25" t="s">
        <v>72</v>
      </c>
      <c r="E220" s="25" t="s">
        <v>3820</v>
      </c>
      <c r="F220" s="33">
        <v>205.0</v>
      </c>
      <c r="G220" s="25" t="s">
        <v>3818</v>
      </c>
      <c r="H220" s="33">
        <v>100.0</v>
      </c>
      <c r="I220" s="33">
        <f>'Old Balance Sheet'!A220 + 'ACPL Calculations - 1.0'!A220 + 'ACPL Calculations - 2.0'!A220</f>
        <v>64</v>
      </c>
      <c r="J220" s="25" t="s">
        <v>3820</v>
      </c>
      <c r="K220" s="33">
        <v>205.0</v>
      </c>
      <c r="L220" s="25" t="s">
        <v>3818</v>
      </c>
      <c r="M220" s="33">
        <v>100.0</v>
      </c>
      <c r="N220" s="33">
        <f>'Old Balance Sheet'!B220 + 'ACPL Calculations - 1.0'!B220 + 'ACPL Calculations - 2.0'!B220</f>
        <v>0</v>
      </c>
      <c r="O220" s="25" t="s">
        <v>3820</v>
      </c>
      <c r="P220" s="31">
        <v>290.0</v>
      </c>
      <c r="Q220" s="25" t="s">
        <v>3818</v>
      </c>
      <c r="R220" s="33">
        <v>100.0</v>
      </c>
      <c r="S220" s="33">
        <f>'Old Balance Sheet'!C220 + 'ACPL Calculations - 1.0'!C220 + 'ACPL Calculations - 2.0'!C220</f>
        <v>0</v>
      </c>
      <c r="T220" s="25" t="s">
        <v>3820</v>
      </c>
      <c r="U220" s="33">
        <v>375.0</v>
      </c>
      <c r="V220" s="25" t="s">
        <v>3818</v>
      </c>
      <c r="W220" s="33">
        <v>100.0</v>
      </c>
      <c r="X220" s="33">
        <f>'Old Balance Sheet'!D220 + 'ACPL Calculations - 1.0'!D220 + 'ACPL Calculations - 2.0'!D220</f>
        <v>0</v>
      </c>
      <c r="Y220" s="25" t="s">
        <v>3820</v>
      </c>
      <c r="Z220" s="33">
        <v>460.0</v>
      </c>
      <c r="AA220" s="42" t="s">
        <v>3818</v>
      </c>
      <c r="AB220" s="43">
        <v>100.0</v>
      </c>
      <c r="AC220" s="33">
        <f>'Old Balance Sheet'!E220 + 'ACPL Calculations - 1.0'!E220 + 'ACPL Calculations - 2.0'!E220</f>
        <v>0</v>
      </c>
      <c r="AD220" s="25" t="s">
        <v>3820</v>
      </c>
      <c r="AE220" s="33">
        <v>838.99</v>
      </c>
      <c r="AF220" s="42" t="s">
        <v>3818</v>
      </c>
      <c r="AG220" s="43">
        <v>100.0</v>
      </c>
      <c r="AH220" s="33">
        <f>'Old Balance Sheet'!F220 + 'ACPL Calculations - 1.0'!F220 + 'ACPL Calculations - 2.0'!F220</f>
        <v>0</v>
      </c>
      <c r="AI220" s="25" t="s">
        <v>3820</v>
      </c>
      <c r="AJ220" s="33">
        <v>375.0</v>
      </c>
      <c r="AK220" s="42" t="s">
        <v>3818</v>
      </c>
      <c r="AL220" s="43">
        <v>100.0</v>
      </c>
      <c r="AM220" s="33">
        <f>'Old Balance Sheet'!G220 + 'ACPL Calculations - 1.0'!G220 + 'ACPL Calculations - 2.0'!G220</f>
        <v>0</v>
      </c>
      <c r="AN220" s="25" t="s">
        <v>3820</v>
      </c>
      <c r="AO220" s="33">
        <v>290.0</v>
      </c>
      <c r="AP220" s="42" t="s">
        <v>3818</v>
      </c>
      <c r="AQ220" s="43">
        <v>100.0</v>
      </c>
      <c r="AR220" s="33">
        <f>'Old Balance Sheet'!H220 + 'ACPL Calculations - 1.0'!H220 + 'ACPL Calculations - 2.0'!H220</f>
        <v>0</v>
      </c>
      <c r="AS220" s="25" t="s">
        <v>3819</v>
      </c>
      <c r="AT220" s="33">
        <v>838.99</v>
      </c>
      <c r="AU220" s="42" t="s">
        <v>3818</v>
      </c>
      <c r="AV220" s="43">
        <v>100.0</v>
      </c>
      <c r="AW220" s="33">
        <f>'Old Balance Sheet'!I220 + 'ACPL Calculations - 1.0'!I220 + 'ACPL Calculations - 2.0'!I220</f>
        <v>0</v>
      </c>
      <c r="AX220" s="25" t="s">
        <v>3820</v>
      </c>
      <c r="AY220" s="31">
        <v>290.0</v>
      </c>
      <c r="AZ220" s="42" t="s">
        <v>3818</v>
      </c>
      <c r="BA220" s="43">
        <v>100.0</v>
      </c>
      <c r="BB220" s="33">
        <f>'Old Balance Sheet'!J220 + 'ACPL Calculations - 1.0'!J220 + 'ACPL Calculations - 2.0'!J220</f>
        <v>0</v>
      </c>
      <c r="BC220" s="25" t="s">
        <v>3820</v>
      </c>
      <c r="BD220" s="31">
        <v>205.0</v>
      </c>
      <c r="BE220" s="42" t="s">
        <v>3818</v>
      </c>
      <c r="BF220" s="43">
        <v>100.0</v>
      </c>
      <c r="BG220" s="33">
        <f>'Old Balance Sheet'!K220 + 'ACPL Calculations - 1.0'!K220 + 'ACPL Calculations - 2.0'!K220</f>
        <v>0</v>
      </c>
      <c r="BH220" s="25" t="s">
        <v>3820</v>
      </c>
      <c r="BI220" s="31">
        <v>205.0</v>
      </c>
      <c r="BJ220" s="42" t="s">
        <v>3818</v>
      </c>
      <c r="BK220" s="43">
        <v>100.0</v>
      </c>
      <c r="BL220" s="33">
        <f>'Old Balance Sheet'!L220 + 'ACPL Calculations - 1.0'!L220 + 'ACPL Calculations - 2.0'!L220</f>
        <v>0</v>
      </c>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33">
        <f t="shared" si="1"/>
        <v>64</v>
      </c>
      <c r="CM220" s="33">
        <f>'Old Balance Sheet'!R220 + 'ACPL Calculations - 1.0'!S220 + 'ACPL Calculations - 2.0'!S220</f>
        <v>24960</v>
      </c>
      <c r="CN220" s="33">
        <f>'Old Balance Sheet'!S220 + 'ACPL Calculations - 1.0'!T220 + 'ACPL Calculations - 2.0'!T220</f>
        <v>13120</v>
      </c>
      <c r="CO220" s="33">
        <f t="shared" si="2"/>
        <v>16927.36</v>
      </c>
      <c r="CP220" s="33">
        <f>'Old Balance Sheet'!T220 + 'ACPL Calculations - 1.0'!V220 + 'ACPL Calculations - 2.0'!V220</f>
        <v>0</v>
      </c>
      <c r="CQ220" s="33">
        <f>'Old Balance Sheet'!U220 + 'ACPL Calculations - 1.0'!W220 + 'ACPL Calculations - 2.0'!W220</f>
        <v>0</v>
      </c>
      <c r="CR220" s="33">
        <f>'Old Balance Sheet'!V220 + 'ACPL Calculations - 1.0'!X220 + 'ACPL Calculations - 2.0'!X220</f>
        <v>3807.36</v>
      </c>
      <c r="CS220" s="33">
        <f t="shared" si="3"/>
        <v>3807.36</v>
      </c>
      <c r="CT220" s="35"/>
      <c r="CU220" s="35"/>
      <c r="CV220" s="35"/>
      <c r="CW220" s="36">
        <f>'Old Balance Sheet'!W220 + 'ACPL Calculations - 1.0'!Z220 + 'ACPL Calculations - 2.0'!Z220</f>
        <v>24960</v>
      </c>
      <c r="CX220" s="36">
        <f>'Old Balance Sheet'!X220 + 'ACPL Calculations - 1.0'!AA220 + 'ACPL Calculations - 2.0'!AA220</f>
        <v>17329.28</v>
      </c>
      <c r="CY220" s="37">
        <v>0.0</v>
      </c>
      <c r="CZ220" s="38">
        <f>'Old Balance Sheet'!Y220 + 'ACPL Calculations - 1.0'!AB220 + 'ACPL Calculations - 2.0'!AB220</f>
        <v>8032.64</v>
      </c>
      <c r="DA220" s="38">
        <f>'Old Balance Sheet'!Z220 + 'ACPL Calculations - 1.0'!AC220 + 'ACPL Calculations - 2.0'!AC220</f>
        <v>0</v>
      </c>
      <c r="DB220" s="38">
        <f>'Old Balance Sheet'!AA220 + 'ACPL Calculations - 1.0'!AD220 + 'ACPL Calculations - 2.0'!AD220</f>
        <v>401.92</v>
      </c>
      <c r="DC220" s="38">
        <f>'Old Balance Sheet'!AB220 + 'ACPL Calculations - 1.0'!AE220 + 'ACPL Calculations - 2.0'!AE220</f>
        <v>7630.72</v>
      </c>
      <c r="DD220" s="38">
        <f t="shared" si="4"/>
        <v>7630.72</v>
      </c>
      <c r="DE220" s="33">
        <f t="shared" si="5"/>
        <v>7630.72</v>
      </c>
      <c r="DF220" s="35">
        <v>0.0</v>
      </c>
      <c r="DG220" s="35">
        <v>0.0</v>
      </c>
      <c r="DH220" s="35">
        <v>0.0</v>
      </c>
      <c r="DI220" s="35">
        <v>0.0</v>
      </c>
      <c r="DJ220" s="35">
        <v>0.0</v>
      </c>
      <c r="DK220" s="35">
        <v>0.0</v>
      </c>
      <c r="DL220" s="35">
        <v>0.0</v>
      </c>
      <c r="DM220" s="35">
        <v>0.0</v>
      </c>
      <c r="DN220" s="31">
        <v>0.0</v>
      </c>
      <c r="DO220" s="31">
        <v>0.0</v>
      </c>
      <c r="DP220" s="31">
        <v>0.0</v>
      </c>
      <c r="DQ220" s="31">
        <v>0.0</v>
      </c>
      <c r="DR220" s="31">
        <v>0.0</v>
      </c>
      <c r="DS220" s="31">
        <v>0.0</v>
      </c>
      <c r="DT220" s="31">
        <f>'Old Balance Sheet'!AC220</f>
        <v>0</v>
      </c>
      <c r="DU220" s="31">
        <f>DT220 + SUMIFS('Payments Log'!D:D, 'Payments Log'!B:B, A220, 'Payments Log'!L:L, "Approved", 'Payments Log'!M:M, "Credit") + 'Old Balance Sheet'!AD220 - 'Old Balance Sheet'!AC220</f>
        <v>24410</v>
      </c>
      <c r="DV220" s="31">
        <f>SUMIFS('Payments Log'!D:D, 'Payments Log'!B:B, A220, 'Payments Log'!L:L, "Approved", 'Payments Log'!M:M, "Adjustment Credit") - SUMIFS('Payments Log'!D:D, 'Payments Log'!B:B, A220, 'Payments Log'!L:L, "Approved", 'Payments Log'!M:M, "Adjustment Debit") + 'Old Balance Sheet'!AE220</f>
        <v>590</v>
      </c>
      <c r="DW220" s="31">
        <f>IF(MAXIFS('Payments Log'!N:N, 'Payments Log'!L:L, "Approved", 'Payments Log'!M:M, "Credit", 'Payments Log'!B:B, A220) &gt; MAXIFS('Payments Log'!N:N, 'Payments Log'!L:L, "Approved", 'Payments Log'!M:M, "Virtual Credit", 'Payments Log'!B:B, A220), 0, SUMIFS('Payments Log'!D:D, 'Payments Log'!N:N, MAXIFS('Payments Log'!N:N, 'Payments Log'!L:L, "Approved", 'Payments Log'!M:M, "Virtual Credit", 'Payments Log'!B:B, A220)))</f>
        <v>0</v>
      </c>
      <c r="DX220" s="33">
        <f t="shared" si="6"/>
        <v>40</v>
      </c>
      <c r="DY220" s="33">
        <f t="shared" si="7"/>
        <v>7670.72</v>
      </c>
      <c r="DZ220" s="33">
        <f t="shared" si="8"/>
        <v>7670.72</v>
      </c>
      <c r="EA220" s="25" t="str">
        <f>(Sheet1!N220)</f>
        <v>SHYAM MOTORS - FATEHPUR</v>
      </c>
      <c r="EB220" s="25" t="str">
        <f>(Sheet1!O220)</f>
        <v>1IW00YIJovrtt6A8q0p0zoi4iwBPaPgOVnZqjzOz5yP0</v>
      </c>
      <c r="EC220" s="26" t="str">
        <f>(Sheet1!P220)</f>
        <v>Dealer</v>
      </c>
      <c r="ED220" s="34" t="s">
        <v>13</v>
      </c>
    </row>
    <row r="221">
      <c r="A221" s="25" t="str">
        <f>(Sheet1!A221)</f>
        <v>1WXvYHRsq58CQOMiTQW5jz_Rk7VXZzJwGsE9DYysdKio</v>
      </c>
      <c r="B221" s="25" t="str">
        <f>(Sheet1!B221)</f>
        <v>Goel Motors - Lucknow</v>
      </c>
      <c r="C221" s="30" t="s">
        <v>13</v>
      </c>
      <c r="D221" s="25" t="s">
        <v>72</v>
      </c>
      <c r="E221" s="25" t="s">
        <v>3820</v>
      </c>
      <c r="F221" s="31">
        <v>180.0</v>
      </c>
      <c r="G221" s="25" t="s">
        <v>3818</v>
      </c>
      <c r="H221" s="33">
        <v>100.0</v>
      </c>
      <c r="I221" s="33">
        <f>'Old Balance Sheet'!A221 + 'ACPL Calculations - 1.0'!A221 + 'ACPL Calculations - 2.0'!A221</f>
        <v>918</v>
      </c>
      <c r="J221" s="25" t="s">
        <v>3820</v>
      </c>
      <c r="K221" s="33">
        <v>205.0</v>
      </c>
      <c r="L221" s="25" t="s">
        <v>3818</v>
      </c>
      <c r="M221" s="33">
        <v>100.0</v>
      </c>
      <c r="N221" s="33">
        <f>'Old Balance Sheet'!B221 + 'ACPL Calculations - 1.0'!B221 + 'ACPL Calculations - 2.0'!B221</f>
        <v>0</v>
      </c>
      <c r="O221" s="25" t="s">
        <v>3820</v>
      </c>
      <c r="P221" s="31">
        <v>180.0</v>
      </c>
      <c r="Q221" s="25" t="s">
        <v>3818</v>
      </c>
      <c r="R221" s="33">
        <v>100.0</v>
      </c>
      <c r="S221" s="33">
        <f>'Old Balance Sheet'!C221 + 'ACPL Calculations - 1.0'!C221 + 'ACPL Calculations - 2.0'!C221</f>
        <v>0</v>
      </c>
      <c r="T221" s="25" t="s">
        <v>3820</v>
      </c>
      <c r="U221" s="33">
        <v>375.0</v>
      </c>
      <c r="V221" s="25" t="s">
        <v>3818</v>
      </c>
      <c r="W221" s="33">
        <v>100.0</v>
      </c>
      <c r="X221" s="33">
        <f>'Old Balance Sheet'!D221 + 'ACPL Calculations - 1.0'!D221 + 'ACPL Calculations - 2.0'!D221</f>
        <v>0</v>
      </c>
      <c r="Y221" s="25" t="s">
        <v>3820</v>
      </c>
      <c r="Z221" s="33">
        <v>460.0</v>
      </c>
      <c r="AA221" s="42" t="s">
        <v>3818</v>
      </c>
      <c r="AB221" s="43">
        <v>100.0</v>
      </c>
      <c r="AC221" s="33">
        <f>'Old Balance Sheet'!E221 + 'ACPL Calculations - 1.0'!E221 + 'ACPL Calculations - 2.0'!E221</f>
        <v>0</v>
      </c>
      <c r="AD221" s="25" t="s">
        <v>3820</v>
      </c>
      <c r="AE221" s="33">
        <v>838.99</v>
      </c>
      <c r="AF221" s="42" t="s">
        <v>3818</v>
      </c>
      <c r="AG221" s="43">
        <v>100.0</v>
      </c>
      <c r="AH221" s="33">
        <f>'Old Balance Sheet'!F221 + 'ACPL Calculations - 1.0'!F221 + 'ACPL Calculations - 2.0'!F221</f>
        <v>0</v>
      </c>
      <c r="AI221" s="25" t="s">
        <v>3820</v>
      </c>
      <c r="AJ221" s="33">
        <v>375.0</v>
      </c>
      <c r="AK221" s="42" t="s">
        <v>3818</v>
      </c>
      <c r="AL221" s="43">
        <v>100.0</v>
      </c>
      <c r="AM221" s="33">
        <f>'Old Balance Sheet'!G221 + 'ACPL Calculations - 1.0'!G221 + 'ACPL Calculations - 2.0'!G221</f>
        <v>0</v>
      </c>
      <c r="AN221" s="25" t="s">
        <v>3820</v>
      </c>
      <c r="AO221" s="33">
        <v>290.0</v>
      </c>
      <c r="AP221" s="42" t="s">
        <v>3818</v>
      </c>
      <c r="AQ221" s="43">
        <v>100.0</v>
      </c>
      <c r="AR221" s="33">
        <f>'Old Balance Sheet'!H221 + 'ACPL Calculations - 1.0'!H221 + 'ACPL Calculations - 2.0'!H221</f>
        <v>0</v>
      </c>
      <c r="AS221" s="25" t="s">
        <v>3819</v>
      </c>
      <c r="AT221" s="33">
        <v>838.99</v>
      </c>
      <c r="AU221" s="42" t="s">
        <v>3818</v>
      </c>
      <c r="AV221" s="43">
        <v>100.0</v>
      </c>
      <c r="AW221" s="33">
        <f>'Old Balance Sheet'!I221 + 'ACPL Calculations - 1.0'!I221 + 'ACPL Calculations - 2.0'!I221</f>
        <v>0</v>
      </c>
      <c r="AX221" s="25" t="s">
        <v>3820</v>
      </c>
      <c r="AY221" s="31">
        <v>290.0</v>
      </c>
      <c r="AZ221" s="42" t="s">
        <v>3818</v>
      </c>
      <c r="BA221" s="43">
        <v>100.0</v>
      </c>
      <c r="BB221" s="33">
        <f>'Old Balance Sheet'!J221 + 'ACPL Calculations - 1.0'!J221 + 'ACPL Calculations - 2.0'!J221</f>
        <v>0</v>
      </c>
      <c r="BC221" s="25" t="s">
        <v>3820</v>
      </c>
      <c r="BD221" s="31">
        <v>205.0</v>
      </c>
      <c r="BE221" s="42" t="s">
        <v>3818</v>
      </c>
      <c r="BF221" s="43">
        <v>100.0</v>
      </c>
      <c r="BG221" s="33">
        <f>'Old Balance Sheet'!K221 + 'ACPL Calculations - 1.0'!K221 + 'ACPL Calculations - 2.0'!K221</f>
        <v>0</v>
      </c>
      <c r="BH221" s="25" t="s">
        <v>3820</v>
      </c>
      <c r="BI221" s="31">
        <v>205.0</v>
      </c>
      <c r="BJ221" s="42" t="s">
        <v>3818</v>
      </c>
      <c r="BK221" s="43">
        <v>100.0</v>
      </c>
      <c r="BL221" s="33">
        <f>'Old Balance Sheet'!L221 + 'ACPL Calculations - 1.0'!L221 + 'ACPL Calculations - 2.0'!L221</f>
        <v>0</v>
      </c>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33">
        <f t="shared" si="1"/>
        <v>918</v>
      </c>
      <c r="CM221" s="33">
        <f>'Old Balance Sheet'!R221 + 'ACPL Calculations - 1.0'!S221 + 'ACPL Calculations - 2.0'!S221</f>
        <v>448920</v>
      </c>
      <c r="CN221" s="33">
        <f>'Old Balance Sheet'!S221 + 'ACPL Calculations - 1.0'!T221 + 'ACPL Calculations - 2.0'!T221</f>
        <v>168390</v>
      </c>
      <c r="CO221" s="33">
        <f t="shared" si="2"/>
        <v>236873.16</v>
      </c>
      <c r="CP221" s="33">
        <f>'Old Balance Sheet'!T221 + 'ACPL Calculations - 1.0'!V221 + 'ACPL Calculations - 2.0'!V221</f>
        <v>0</v>
      </c>
      <c r="CQ221" s="33">
        <f>'Old Balance Sheet'!U221 + 'ACPL Calculations - 1.0'!W221 + 'ACPL Calculations - 2.0'!W221</f>
        <v>0</v>
      </c>
      <c r="CR221" s="33">
        <f>'Old Balance Sheet'!V221 + 'ACPL Calculations - 1.0'!X221 + 'ACPL Calculations - 2.0'!X221</f>
        <v>68483.16</v>
      </c>
      <c r="CS221" s="33">
        <f t="shared" si="3"/>
        <v>68483.16</v>
      </c>
      <c r="CT221" s="35"/>
      <c r="CU221" s="35"/>
      <c r="CV221" s="35"/>
      <c r="CW221" s="36">
        <f>'Old Balance Sheet'!W221 + 'ACPL Calculations - 1.0'!Z221 + 'ACPL Calculations - 2.0'!Z221</f>
        <v>448430</v>
      </c>
      <c r="CX221" s="36">
        <f>'Old Balance Sheet'!X221 + 'ACPL Calculations - 1.0'!AA221 + 'ACPL Calculations - 2.0'!AA221</f>
        <v>247206.76</v>
      </c>
      <c r="CY221" s="37">
        <v>0.0</v>
      </c>
      <c r="CZ221" s="38">
        <f>'Old Balance Sheet'!Y221 + 'ACPL Calculations - 1.0'!AB221 + 'ACPL Calculations - 2.0'!AB221</f>
        <v>211811.59</v>
      </c>
      <c r="DA221" s="38">
        <f>'Old Balance Sheet'!Z221 + 'ACPL Calculations - 1.0'!AC221 + 'ACPL Calculations - 2.0'!AC221</f>
        <v>0</v>
      </c>
      <c r="DB221" s="38">
        <f>'Old Balance Sheet'!AA221 + 'ACPL Calculations - 1.0'!AD221 + 'ACPL Calculations - 2.0'!AD221</f>
        <v>10588.35</v>
      </c>
      <c r="DC221" s="38">
        <f>'Old Balance Sheet'!AB221 + 'ACPL Calculations - 1.0'!AE221 + 'ACPL Calculations - 2.0'!AE221</f>
        <v>201223.24</v>
      </c>
      <c r="DD221" s="38">
        <f t="shared" si="4"/>
        <v>201223.24</v>
      </c>
      <c r="DE221" s="33">
        <f t="shared" si="5"/>
        <v>176723.24</v>
      </c>
      <c r="DF221" s="35">
        <v>0.0</v>
      </c>
      <c r="DG221" s="35">
        <v>0.0</v>
      </c>
      <c r="DH221" s="35">
        <v>0.0</v>
      </c>
      <c r="DI221" s="35">
        <v>0.0</v>
      </c>
      <c r="DJ221" s="35">
        <v>0.0</v>
      </c>
      <c r="DK221" s="35">
        <v>0.0</v>
      </c>
      <c r="DL221" s="35">
        <v>0.0</v>
      </c>
      <c r="DM221" s="35">
        <v>0.0</v>
      </c>
      <c r="DN221" s="31">
        <v>0.0</v>
      </c>
      <c r="DO221" s="31">
        <v>0.0</v>
      </c>
      <c r="DP221" s="31">
        <v>0.0</v>
      </c>
      <c r="DQ221" s="31">
        <v>0.0</v>
      </c>
      <c r="DR221" s="31">
        <v>0.0</v>
      </c>
      <c r="DS221" s="31">
        <v>0.0</v>
      </c>
      <c r="DT221" s="31">
        <f>'Old Balance Sheet'!AC221</f>
        <v>0</v>
      </c>
      <c r="DU221" s="31">
        <f>DT221 + SUMIFS('Payments Log'!D:D, 'Payments Log'!B:B, A221, 'Payments Log'!L:L, "Approved", 'Payments Log'!M:M, "Credit") + 'Old Balance Sheet'!AD221 - 'Old Balance Sheet'!AC221</f>
        <v>423930</v>
      </c>
      <c r="DV221" s="31">
        <f>SUMIFS('Payments Log'!D:D, 'Payments Log'!B:B, A221, 'Payments Log'!L:L, "Approved", 'Payments Log'!M:M, "Adjustment Credit") - SUMIFS('Payments Log'!D:D, 'Payments Log'!B:B, A221, 'Payments Log'!L:L, "Approved", 'Payments Log'!M:M, "Adjustment Debit") + 'Old Balance Sheet'!AE221</f>
        <v>0</v>
      </c>
      <c r="DW221" s="31">
        <f>IF(MAXIFS('Payments Log'!N:N, 'Payments Log'!L:L, "Approved", 'Payments Log'!M:M, "Credit", 'Payments Log'!B:B, A221) &gt; MAXIFS('Payments Log'!N:N, 'Payments Log'!L:L, "Approved", 'Payments Log'!M:M, "Virtual Credit", 'Payments Log'!B:B, A221), 0, SUMIFS('Payments Log'!D:D, 'Payments Log'!N:N, MAXIFS('Payments Log'!N:N, 'Payments Log'!L:L, "Approved", 'Payments Log'!M:M, "Virtual Credit", 'Payments Log'!B:B, A221)))</f>
        <v>0</v>
      </c>
      <c r="DX221" s="33">
        <f t="shared" si="6"/>
        <v>-24500</v>
      </c>
      <c r="DY221" s="33">
        <f t="shared" si="7"/>
        <v>176723.24</v>
      </c>
      <c r="DZ221" s="33">
        <f t="shared" si="8"/>
        <v>176723.24</v>
      </c>
      <c r="EA221" s="25" t="str">
        <f>(Sheet1!N221)</f>
        <v>Goel Motors - Lucknow</v>
      </c>
      <c r="EB221" s="25" t="str">
        <f>(Sheet1!O221)</f>
        <v>1WXvYHRsq58CQOMiTQW5jz_Rk7VXZzJwGsE9DYysdKio</v>
      </c>
      <c r="EC221" s="26" t="str">
        <f>(Sheet1!P221)</f>
        <v>Dealer</v>
      </c>
      <c r="ED221" s="34" t="s">
        <v>13</v>
      </c>
    </row>
    <row r="222">
      <c r="A222" s="25" t="str">
        <f>(Sheet1!A222)</f>
        <v>1Y48WevU4dZlpN_oRadqFSD4ED20x97CYUdeAzWdn3go</v>
      </c>
      <c r="B222" s="25" t="str">
        <f>(Sheet1!B222)</f>
        <v>Mahalaxmi TVS- AHEMDABAD</v>
      </c>
      <c r="C222" s="30" t="s">
        <v>13</v>
      </c>
      <c r="D222" s="30" t="s">
        <v>72</v>
      </c>
      <c r="E222" s="30" t="s">
        <v>3817</v>
      </c>
      <c r="F222" s="31">
        <v>235.0</v>
      </c>
      <c r="G222" s="32" t="s">
        <v>3818</v>
      </c>
      <c r="H222" s="31">
        <v>100.0</v>
      </c>
      <c r="I222" s="33">
        <f>'Old Balance Sheet'!A222 + 'ACPL Calculations - 1.0'!A222 + 'ACPL Calculations - 2.0'!A222</f>
        <v>0</v>
      </c>
      <c r="J222" s="30" t="s">
        <v>3817</v>
      </c>
      <c r="K222" s="31">
        <v>235.0</v>
      </c>
      <c r="L222" s="32" t="s">
        <v>3818</v>
      </c>
      <c r="M222" s="31">
        <v>100.0</v>
      </c>
      <c r="N222" s="33">
        <f>'Old Balance Sheet'!B222 + 'ACPL Calculations - 1.0'!B222 + 'ACPL Calculations - 2.0'!B222</f>
        <v>0</v>
      </c>
      <c r="O222" s="30" t="s">
        <v>3817</v>
      </c>
      <c r="P222" s="31">
        <v>235.0</v>
      </c>
      <c r="Q222" s="32" t="s">
        <v>3818</v>
      </c>
      <c r="R222" s="31">
        <v>100.0</v>
      </c>
      <c r="S222" s="33">
        <f>'Old Balance Sheet'!C222 + 'ACPL Calculations - 1.0'!C222 + 'ACPL Calculations - 2.0'!C222</f>
        <v>1367</v>
      </c>
      <c r="T222" s="30" t="s">
        <v>3817</v>
      </c>
      <c r="U222" s="31">
        <v>375.0</v>
      </c>
      <c r="V222" s="32" t="s">
        <v>3818</v>
      </c>
      <c r="W222" s="31">
        <v>100.0</v>
      </c>
      <c r="X222" s="33">
        <f>'Old Balance Sheet'!D222 + 'ACPL Calculations - 1.0'!D222 + 'ACPL Calculations - 2.0'!D222</f>
        <v>0</v>
      </c>
      <c r="Y222" s="30" t="s">
        <v>3817</v>
      </c>
      <c r="Z222" s="31">
        <v>460.0</v>
      </c>
      <c r="AA222" s="32" t="s">
        <v>3818</v>
      </c>
      <c r="AB222" s="31">
        <v>100.0</v>
      </c>
      <c r="AC222" s="33">
        <f>'Old Balance Sheet'!E222 + 'ACPL Calculations - 1.0'!E222 + 'ACPL Calculations - 2.0'!E222</f>
        <v>0</v>
      </c>
      <c r="AD222" s="30" t="s">
        <v>3817</v>
      </c>
      <c r="AE222" s="34">
        <v>838.99</v>
      </c>
      <c r="AF222" s="32" t="s">
        <v>3818</v>
      </c>
      <c r="AG222" s="31">
        <v>100.0</v>
      </c>
      <c r="AH222" s="33">
        <f>'Old Balance Sheet'!F222 + 'ACPL Calculations - 1.0'!F222 + 'ACPL Calculations - 2.0'!F222</f>
        <v>0</v>
      </c>
      <c r="AI222" s="30" t="s">
        <v>3817</v>
      </c>
      <c r="AJ222" s="31">
        <v>375.0</v>
      </c>
      <c r="AK222" s="32" t="s">
        <v>3818</v>
      </c>
      <c r="AL222" s="31">
        <v>100.0</v>
      </c>
      <c r="AM222" s="33">
        <f>'Old Balance Sheet'!G222 + 'ACPL Calculations - 1.0'!G222 + 'ACPL Calculations - 2.0'!G222</f>
        <v>0</v>
      </c>
      <c r="AN222" s="30" t="s">
        <v>3817</v>
      </c>
      <c r="AO222" s="31">
        <v>290.0</v>
      </c>
      <c r="AP222" s="32" t="s">
        <v>3818</v>
      </c>
      <c r="AQ222" s="31">
        <v>100.0</v>
      </c>
      <c r="AR222" s="33">
        <f>'Old Balance Sheet'!H222 + 'ACPL Calculations - 1.0'!H222 + 'ACPL Calculations - 2.0'!H222</f>
        <v>0</v>
      </c>
      <c r="AS222" s="30" t="s">
        <v>3819</v>
      </c>
      <c r="AT222" s="31">
        <v>838.99</v>
      </c>
      <c r="AU222" s="32" t="s">
        <v>3818</v>
      </c>
      <c r="AV222" s="31">
        <v>100.0</v>
      </c>
      <c r="AW222" s="33">
        <f>'Old Balance Sheet'!I222 + 'ACPL Calculations - 1.0'!I222 + 'ACPL Calculations - 2.0'!I222</f>
        <v>0</v>
      </c>
      <c r="AX222" s="30" t="s">
        <v>3817</v>
      </c>
      <c r="AY222" s="31">
        <v>290.0</v>
      </c>
      <c r="AZ222" s="32" t="s">
        <v>3818</v>
      </c>
      <c r="BA222" s="31">
        <v>100.0</v>
      </c>
      <c r="BB222" s="33">
        <f>'Old Balance Sheet'!J222 + 'ACPL Calculations - 1.0'!J222 + 'ACPL Calculations - 2.0'!J222</f>
        <v>0</v>
      </c>
      <c r="BC222" s="30" t="s">
        <v>3817</v>
      </c>
      <c r="BD222" s="31">
        <v>205.0</v>
      </c>
      <c r="BE222" s="32" t="s">
        <v>3818</v>
      </c>
      <c r="BF222" s="31">
        <v>100.0</v>
      </c>
      <c r="BG222" s="33">
        <f>'Old Balance Sheet'!K222 + 'ACPL Calculations - 1.0'!K222 + 'ACPL Calculations - 2.0'!K222</f>
        <v>0</v>
      </c>
      <c r="BH222" s="30" t="s">
        <v>3817</v>
      </c>
      <c r="BI222" s="31">
        <v>205.0</v>
      </c>
      <c r="BJ222" s="32" t="s">
        <v>3818</v>
      </c>
      <c r="BK222" s="31">
        <v>100.0</v>
      </c>
      <c r="BL222" s="33">
        <f>'Old Balance Sheet'!L222 + 'ACPL Calculations - 1.0'!L222 + 'ACPL Calculations - 2.0'!L222</f>
        <v>0</v>
      </c>
      <c r="BM222" s="33"/>
      <c r="BN222" s="33"/>
      <c r="BO222" s="33"/>
      <c r="BP222" s="33"/>
      <c r="BQ222" s="33"/>
      <c r="BR222" s="33"/>
      <c r="BS222" s="33"/>
      <c r="BT222" s="33"/>
      <c r="BU222" s="33"/>
      <c r="BV222" s="33"/>
      <c r="BW222" s="33"/>
      <c r="BX222" s="33"/>
      <c r="BY222" s="33"/>
      <c r="BZ222" s="33"/>
      <c r="CA222" s="33"/>
      <c r="CB222" s="33"/>
      <c r="CC222" s="33"/>
      <c r="CD222" s="33"/>
      <c r="CE222" s="33"/>
      <c r="CF222" s="33"/>
      <c r="CG222" s="33"/>
      <c r="CH222" s="33"/>
      <c r="CI222" s="33"/>
      <c r="CJ222" s="33"/>
      <c r="CK222" s="33"/>
      <c r="CL222" s="33">
        <f t="shared" si="1"/>
        <v>1367</v>
      </c>
      <c r="CM222" s="33">
        <f>'Old Balance Sheet'!R222 + 'ACPL Calculations - 1.0'!S222 + 'ACPL Calculations - 2.0'!S222</f>
        <v>604214</v>
      </c>
      <c r="CN222" s="33">
        <f>'Old Balance Sheet'!S222 + 'ACPL Calculations - 1.0'!T222 + 'ACPL Calculations - 2.0'!T222</f>
        <v>321245</v>
      </c>
      <c r="CO222" s="33">
        <f t="shared" si="2"/>
        <v>413408.14</v>
      </c>
      <c r="CP222" s="33">
        <f>'Old Balance Sheet'!T222 + 'ACPL Calculations - 1.0'!V222 + 'ACPL Calculations - 2.0'!V222</f>
        <v>0</v>
      </c>
      <c r="CQ222" s="33">
        <f>'Old Balance Sheet'!U222 + 'ACPL Calculations - 1.0'!W222 + 'ACPL Calculations - 2.0'!W222</f>
        <v>0</v>
      </c>
      <c r="CR222" s="33">
        <f>'Old Balance Sheet'!V222 + 'ACPL Calculations - 1.0'!X222 + 'ACPL Calculations - 2.0'!X222</f>
        <v>92163.14</v>
      </c>
      <c r="CS222" s="33">
        <f t="shared" si="3"/>
        <v>92163.14</v>
      </c>
      <c r="CT222" s="35"/>
      <c r="CU222" s="35"/>
      <c r="CV222" s="35"/>
      <c r="CW222" s="36">
        <f>'Old Balance Sheet'!W222 + 'ACPL Calculations - 1.0'!Z222 + 'ACPL Calculations - 2.0'!Z222</f>
        <v>1019473</v>
      </c>
      <c r="CX222" s="36">
        <f>'Old Balance Sheet'!X222 + 'ACPL Calculations - 1.0'!AA222 + 'ACPL Calculations - 2.0'!AA222</f>
        <v>1019473</v>
      </c>
      <c r="CY222" s="37">
        <v>0.0</v>
      </c>
      <c r="CZ222" s="38">
        <f>'Old Balance Sheet'!Y222 + 'ACPL Calculations - 1.0'!AB222 + 'ACPL Calculations - 2.0'!AB222</f>
        <v>459916.1</v>
      </c>
      <c r="DA222" s="38">
        <f>'Old Balance Sheet'!Z222 + 'ACPL Calculations - 1.0'!AC222 + 'ACPL Calculations - 2.0'!AC222</f>
        <v>436917</v>
      </c>
      <c r="DB222" s="38">
        <f>'Old Balance Sheet'!AA222 + 'ACPL Calculations - 1.0'!AD222 + 'ACPL Calculations - 2.0'!AD222</f>
        <v>22999.1</v>
      </c>
      <c r="DC222" s="38">
        <f>'Old Balance Sheet'!AB222 + 'ACPL Calculations - 1.0'!AE222 + 'ACPL Calculations - 2.0'!AE222</f>
        <v>0</v>
      </c>
      <c r="DD222" s="38">
        <f t="shared" si="4"/>
        <v>0</v>
      </c>
      <c r="DE222" s="33">
        <f t="shared" si="5"/>
        <v>0</v>
      </c>
      <c r="DF222" s="35">
        <v>0.0</v>
      </c>
      <c r="DG222" s="35">
        <v>0.0</v>
      </c>
      <c r="DH222" s="35">
        <v>0.0</v>
      </c>
      <c r="DI222" s="35">
        <v>0.0</v>
      </c>
      <c r="DJ222" s="35">
        <v>0.0</v>
      </c>
      <c r="DK222" s="35">
        <v>0.0</v>
      </c>
      <c r="DL222" s="35">
        <v>0.0</v>
      </c>
      <c r="DM222" s="35">
        <v>0.0</v>
      </c>
      <c r="DN222" s="31">
        <v>0.0</v>
      </c>
      <c r="DO222" s="31">
        <v>0.0</v>
      </c>
      <c r="DP222" s="31">
        <v>0.0</v>
      </c>
      <c r="DQ222" s="31">
        <v>0.0</v>
      </c>
      <c r="DR222" s="31">
        <v>0.0</v>
      </c>
      <c r="DS222" s="31">
        <v>0.0</v>
      </c>
      <c r="DT222" s="31">
        <f>'Old Balance Sheet'!AC222</f>
        <v>0</v>
      </c>
      <c r="DU222" s="31">
        <f>DT222 + SUMIFS('Payments Log'!D:D, 'Payments Log'!B:B, A222, 'Payments Log'!L:L, "Approved", 'Payments Log'!M:M, "Credit") + 'Old Balance Sheet'!AD222 - 'Old Balance Sheet'!AC222</f>
        <v>1030000</v>
      </c>
      <c r="DV222" s="31">
        <f>SUMIFS('Payments Log'!D:D, 'Payments Log'!B:B, A222, 'Payments Log'!L:L, "Approved", 'Payments Log'!M:M, "Adjustment Credit") - SUMIFS('Payments Log'!D:D, 'Payments Log'!B:B, A222, 'Payments Log'!L:L, "Approved", 'Payments Log'!M:M, "Adjustment Debit") + 'Old Balance Sheet'!AE222</f>
        <v>0</v>
      </c>
      <c r="DW222" s="31">
        <f>IF(MAXIFS('Payments Log'!N:N, 'Payments Log'!L:L, "Approved", 'Payments Log'!M:M, "Credit", 'Payments Log'!B:B, A222) &gt; MAXIFS('Payments Log'!N:N, 'Payments Log'!L:L, "Approved", 'Payments Log'!M:M, "Virtual Credit", 'Payments Log'!B:B, A222), 0, SUMIFS('Payments Log'!D:D, 'Payments Log'!N:N, MAXIFS('Payments Log'!N:N, 'Payments Log'!L:L, "Approved", 'Payments Log'!M:M, "Virtual Credit", 'Payments Log'!B:B, A222)))</f>
        <v>0</v>
      </c>
      <c r="DX222" s="33">
        <f t="shared" si="6"/>
        <v>10527</v>
      </c>
      <c r="DY222" s="33">
        <f t="shared" si="7"/>
        <v>10527</v>
      </c>
      <c r="DZ222" s="33">
        <f t="shared" si="8"/>
        <v>10527</v>
      </c>
      <c r="EA222" s="25" t="str">
        <f>(Sheet1!N222)</f>
        <v>Mahalaxmi TVS- AHEMDABAD</v>
      </c>
      <c r="EB222" s="25" t="str">
        <f>(Sheet1!O222)</f>
        <v>1Y48WevU4dZlpN_oRadqFSD4ED20x97CYUdeAzWdn3go</v>
      </c>
      <c r="EC222" s="26" t="str">
        <f>(Sheet1!P222)</f>
        <v>Dealer</v>
      </c>
      <c r="ED222" s="34" t="s">
        <v>13</v>
      </c>
    </row>
    <row r="223">
      <c r="A223" s="25" t="str">
        <f>(Sheet1!A223)</f>
        <v>1iBXH7o4SHrOUcyupGINEY029YtS1MVzDOPaqJv2RrfU</v>
      </c>
      <c r="B223" s="25" t="str">
        <f>(Sheet1!B223)</f>
        <v>MADAN AUTO AGENCY - LAURIYA</v>
      </c>
      <c r="C223" s="30" t="s">
        <v>13</v>
      </c>
      <c r="D223" s="25" t="s">
        <v>72</v>
      </c>
      <c r="E223" s="25" t="s">
        <v>3820</v>
      </c>
      <c r="F223" s="31">
        <v>192.0</v>
      </c>
      <c r="G223" s="25" t="s">
        <v>3818</v>
      </c>
      <c r="H223" s="33">
        <v>100.0</v>
      </c>
      <c r="I223" s="33">
        <f>'Old Balance Sheet'!A223 + 'ACPL Calculations - 1.0'!A223 + 'ACPL Calculations - 2.0'!A223</f>
        <v>912</v>
      </c>
      <c r="J223" s="25" t="s">
        <v>3820</v>
      </c>
      <c r="K223" s="31">
        <v>192.0</v>
      </c>
      <c r="L223" s="25" t="s">
        <v>3818</v>
      </c>
      <c r="M223" s="33">
        <v>100.0</v>
      </c>
      <c r="N223" s="33">
        <f>'Old Balance Sheet'!B223 + 'ACPL Calculations - 1.0'!B223 + 'ACPL Calculations - 2.0'!B223</f>
        <v>4</v>
      </c>
      <c r="O223" s="25" t="s">
        <v>3820</v>
      </c>
      <c r="P223" s="31">
        <v>205.0</v>
      </c>
      <c r="Q223" s="25" t="s">
        <v>3818</v>
      </c>
      <c r="R223" s="33">
        <v>100.0</v>
      </c>
      <c r="S223" s="33">
        <f>'Old Balance Sheet'!C223 + 'ACPL Calculations - 1.0'!C223 + 'ACPL Calculations - 2.0'!C223</f>
        <v>0</v>
      </c>
      <c r="T223" s="25" t="s">
        <v>3820</v>
      </c>
      <c r="U223" s="33">
        <v>375.0</v>
      </c>
      <c r="V223" s="25" t="s">
        <v>3818</v>
      </c>
      <c r="W223" s="33">
        <v>100.0</v>
      </c>
      <c r="X223" s="33">
        <f>'Old Balance Sheet'!D223 + 'ACPL Calculations - 1.0'!D223 + 'ACPL Calculations - 2.0'!D223</f>
        <v>0</v>
      </c>
      <c r="Y223" s="25" t="s">
        <v>3820</v>
      </c>
      <c r="Z223" s="33">
        <v>460.0</v>
      </c>
      <c r="AA223" s="42" t="s">
        <v>3818</v>
      </c>
      <c r="AB223" s="43">
        <v>100.0</v>
      </c>
      <c r="AC223" s="33">
        <f>'Old Balance Sheet'!E223 + 'ACPL Calculations - 1.0'!E223 + 'ACPL Calculations - 2.0'!E223</f>
        <v>0</v>
      </c>
      <c r="AD223" s="25" t="s">
        <v>3820</v>
      </c>
      <c r="AE223" s="33">
        <v>838.99</v>
      </c>
      <c r="AF223" s="42" t="s">
        <v>3818</v>
      </c>
      <c r="AG223" s="43">
        <v>100.0</v>
      </c>
      <c r="AH223" s="33">
        <f>'Old Balance Sheet'!F223 + 'ACPL Calculations - 1.0'!F223 + 'ACPL Calculations - 2.0'!F223</f>
        <v>0</v>
      </c>
      <c r="AI223" s="25" t="s">
        <v>3820</v>
      </c>
      <c r="AJ223" s="33">
        <v>375.0</v>
      </c>
      <c r="AK223" s="42" t="s">
        <v>3818</v>
      </c>
      <c r="AL223" s="43">
        <v>100.0</v>
      </c>
      <c r="AM223" s="33">
        <f>'Old Balance Sheet'!G223 + 'ACPL Calculations - 1.0'!G223 + 'ACPL Calculations - 2.0'!G223</f>
        <v>0</v>
      </c>
      <c r="AN223" s="25" t="s">
        <v>3820</v>
      </c>
      <c r="AO223" s="33">
        <v>290.0</v>
      </c>
      <c r="AP223" s="42" t="s">
        <v>3818</v>
      </c>
      <c r="AQ223" s="43">
        <v>100.0</v>
      </c>
      <c r="AR223" s="33">
        <f>'Old Balance Sheet'!H223 + 'ACPL Calculations - 1.0'!H223 + 'ACPL Calculations - 2.0'!H223</f>
        <v>0</v>
      </c>
      <c r="AS223" s="25" t="s">
        <v>3819</v>
      </c>
      <c r="AT223" s="33">
        <v>838.99</v>
      </c>
      <c r="AU223" s="42" t="s">
        <v>3818</v>
      </c>
      <c r="AV223" s="43">
        <v>100.0</v>
      </c>
      <c r="AW223" s="33">
        <f>'Old Balance Sheet'!I223 + 'ACPL Calculations - 1.0'!I223 + 'ACPL Calculations - 2.0'!I223</f>
        <v>0</v>
      </c>
      <c r="AX223" s="25" t="s">
        <v>3820</v>
      </c>
      <c r="AY223" s="31">
        <v>290.0</v>
      </c>
      <c r="AZ223" s="42" t="s">
        <v>3818</v>
      </c>
      <c r="BA223" s="43">
        <v>100.0</v>
      </c>
      <c r="BB223" s="33">
        <f>'Old Balance Sheet'!J223 + 'ACPL Calculations - 1.0'!J223 + 'ACPL Calculations - 2.0'!J223</f>
        <v>0</v>
      </c>
      <c r="BC223" s="25" t="s">
        <v>3820</v>
      </c>
      <c r="BD223" s="31">
        <v>205.0</v>
      </c>
      <c r="BE223" s="42" t="s">
        <v>3818</v>
      </c>
      <c r="BF223" s="43">
        <v>100.0</v>
      </c>
      <c r="BG223" s="33">
        <f>'Old Balance Sheet'!K223 + 'ACPL Calculations - 1.0'!K223 + 'ACPL Calculations - 2.0'!K223</f>
        <v>0</v>
      </c>
      <c r="BH223" s="25" t="s">
        <v>3820</v>
      </c>
      <c r="BI223" s="31">
        <v>205.0</v>
      </c>
      <c r="BJ223" s="42" t="s">
        <v>3818</v>
      </c>
      <c r="BK223" s="43">
        <v>100.0</v>
      </c>
      <c r="BL223" s="33">
        <f>'Old Balance Sheet'!L223 + 'ACPL Calculations - 1.0'!L223 + 'ACPL Calculations - 2.0'!L223</f>
        <v>0</v>
      </c>
      <c r="BM223" s="25"/>
      <c r="BN223" s="25"/>
      <c r="BO223" s="25"/>
      <c r="BP223" s="25"/>
      <c r="BQ223" s="25"/>
      <c r="BR223" s="25"/>
      <c r="BS223" s="25"/>
      <c r="BT223" s="25"/>
      <c r="BU223" s="25"/>
      <c r="BV223" s="25"/>
      <c r="BW223" s="25"/>
      <c r="BX223" s="25"/>
      <c r="BY223" s="25"/>
      <c r="BZ223" s="25"/>
      <c r="CA223" s="25"/>
      <c r="CB223" s="25"/>
      <c r="CC223" s="25"/>
      <c r="CD223" s="25"/>
      <c r="CE223" s="25"/>
      <c r="CF223" s="25"/>
      <c r="CG223" s="25"/>
      <c r="CH223" s="25"/>
      <c r="CI223" s="25"/>
      <c r="CJ223" s="25"/>
      <c r="CK223" s="25"/>
      <c r="CL223" s="33">
        <f t="shared" si="1"/>
        <v>916</v>
      </c>
      <c r="CM223" s="33">
        <f>'Old Balance Sheet'!R223 + 'ACPL Calculations - 1.0'!S223 + 'ACPL Calculations - 2.0'!S223</f>
        <v>404872</v>
      </c>
      <c r="CN223" s="33">
        <f>'Old Balance Sheet'!S223 + 'ACPL Calculations - 1.0'!T223 + 'ACPL Calculations - 2.0'!T223</f>
        <v>175872</v>
      </c>
      <c r="CO223" s="33">
        <f t="shared" si="2"/>
        <v>237628.72</v>
      </c>
      <c r="CP223" s="33">
        <f>'Old Balance Sheet'!T223 + 'ACPL Calculations - 1.0'!V223 + 'ACPL Calculations - 2.0'!V223</f>
        <v>33.71</v>
      </c>
      <c r="CQ223" s="33">
        <f>'Old Balance Sheet'!U223 + 'ACPL Calculations - 1.0'!W223 + 'ACPL Calculations - 2.0'!W223</f>
        <v>33.71</v>
      </c>
      <c r="CR223" s="33">
        <f>'Old Balance Sheet'!V223 + 'ACPL Calculations - 1.0'!X223 + 'ACPL Calculations - 2.0'!X223</f>
        <v>61689.3</v>
      </c>
      <c r="CS223" s="33">
        <f t="shared" si="3"/>
        <v>61756.72</v>
      </c>
      <c r="CT223" s="35"/>
      <c r="CU223" s="35"/>
      <c r="CV223" s="35"/>
      <c r="CW223" s="36">
        <f>'Old Balance Sheet'!W223 + 'ACPL Calculations - 1.0'!Z223 + 'ACPL Calculations - 2.0'!Z223</f>
        <v>0</v>
      </c>
      <c r="CX223" s="36">
        <f>'Old Balance Sheet'!X223 + 'ACPL Calculations - 1.0'!AA223 + 'ACPL Calculations - 2.0'!AA223</f>
        <v>0</v>
      </c>
      <c r="CY223" s="37">
        <v>0.0</v>
      </c>
      <c r="CZ223" s="38">
        <f>'Old Balance Sheet'!Y223 + 'ACPL Calculations - 1.0'!AB223 + 'ACPL Calculations - 2.0'!AB223</f>
        <v>0</v>
      </c>
      <c r="DA223" s="38">
        <f>'Old Balance Sheet'!Z223 + 'ACPL Calculations - 1.0'!AC223 + 'ACPL Calculations - 2.0'!AC223</f>
        <v>0</v>
      </c>
      <c r="DB223" s="38">
        <f>'Old Balance Sheet'!AA223 + 'ACPL Calculations - 1.0'!AD223 + 'ACPL Calculations - 2.0'!AD223</f>
        <v>0</v>
      </c>
      <c r="DC223" s="38">
        <f>'Old Balance Sheet'!AB223 + 'ACPL Calculations - 1.0'!AE223 + 'ACPL Calculations - 2.0'!AE223</f>
        <v>0</v>
      </c>
      <c r="DD223" s="38">
        <f t="shared" si="4"/>
        <v>0</v>
      </c>
      <c r="DE223" s="33">
        <f t="shared" si="5"/>
        <v>0</v>
      </c>
      <c r="DF223" s="35">
        <v>0.0</v>
      </c>
      <c r="DG223" s="35">
        <v>0.0</v>
      </c>
      <c r="DH223" s="35">
        <v>0.0</v>
      </c>
      <c r="DI223" s="35">
        <v>0.0</v>
      </c>
      <c r="DJ223" s="35">
        <v>0.0</v>
      </c>
      <c r="DK223" s="35">
        <v>0.0</v>
      </c>
      <c r="DL223" s="35">
        <v>0.0</v>
      </c>
      <c r="DM223" s="35">
        <v>0.0</v>
      </c>
      <c r="DN223" s="31">
        <v>0.0</v>
      </c>
      <c r="DO223" s="31">
        <v>0.0</v>
      </c>
      <c r="DP223" s="31">
        <v>0.0</v>
      </c>
      <c r="DQ223" s="31">
        <v>0.0</v>
      </c>
      <c r="DR223" s="31">
        <v>0.0</v>
      </c>
      <c r="DS223" s="31">
        <v>0.0</v>
      </c>
      <c r="DT223" s="31">
        <f>'Old Balance Sheet'!AC223</f>
        <v>0</v>
      </c>
      <c r="DU223" s="31">
        <f>DT223 + SUMIFS('Payments Log'!D:D, 'Payments Log'!B:B, A223, 'Payments Log'!L:L, "Approved", 'Payments Log'!M:M, "Credit") + 'Old Balance Sheet'!AD223 - 'Old Balance Sheet'!AC223</f>
        <v>0</v>
      </c>
      <c r="DV223" s="31">
        <f>SUMIFS('Payments Log'!D:D, 'Payments Log'!B:B, A223, 'Payments Log'!L:L, "Approved", 'Payments Log'!M:M, "Adjustment Credit") - SUMIFS('Payments Log'!D:D, 'Payments Log'!B:B, A223, 'Payments Log'!L:L, "Approved", 'Payments Log'!M:M, "Adjustment Debit") + 'Old Balance Sheet'!AE223</f>
        <v>0</v>
      </c>
      <c r="DW223" s="31">
        <f>IF(MAXIFS('Payments Log'!N:N, 'Payments Log'!L:L, "Approved", 'Payments Log'!M:M, "Credit", 'Payments Log'!B:B, A223) &gt; MAXIFS('Payments Log'!N:N, 'Payments Log'!L:L, "Approved", 'Payments Log'!M:M, "Virtual Credit", 'Payments Log'!B:B, A223), 0, SUMIFS('Payments Log'!D:D, 'Payments Log'!N:N, MAXIFS('Payments Log'!N:N, 'Payments Log'!L:L, "Approved", 'Payments Log'!M:M, "Virtual Credit", 'Payments Log'!B:B, A223)))</f>
        <v>0</v>
      </c>
      <c r="DX223" s="33">
        <f t="shared" si="6"/>
        <v>0</v>
      </c>
      <c r="DY223" s="33">
        <f t="shared" si="7"/>
        <v>0</v>
      </c>
      <c r="DZ223" s="33">
        <f t="shared" si="8"/>
        <v>0</v>
      </c>
      <c r="EA223" s="25" t="str">
        <f>(Sheet1!N223)</f>
        <v>Modern Auto Agency - Bettiah</v>
      </c>
      <c r="EB223" s="25" t="str">
        <f>(Sheet1!O223)</f>
        <v>1_UtGSoyOsljQXvmry7gfXGYwjwEjQbghQQGZebnq45M</v>
      </c>
      <c r="EC223" s="26" t="str">
        <f>(Sheet1!P223)</f>
        <v>Sub Dealer</v>
      </c>
      <c r="ED223" s="34" t="s">
        <v>13</v>
      </c>
    </row>
    <row r="224">
      <c r="A224" s="25" t="str">
        <f>(Sheet1!A224)</f>
        <v>1JAbS28NFmfJxZrsQ7twsfzmqCme35J_wqOELlcNcX1c</v>
      </c>
      <c r="B224" s="25" t="str">
        <f>(Sheet1!B224)</f>
        <v>STALLIONZ TVS - AHMEDABAD</v>
      </c>
      <c r="C224" s="30" t="s">
        <v>13</v>
      </c>
      <c r="D224" s="30" t="s">
        <v>72</v>
      </c>
      <c r="E224" s="30" t="s">
        <v>3817</v>
      </c>
      <c r="F224" s="31">
        <v>215.0</v>
      </c>
      <c r="G224" s="32" t="s">
        <v>3818</v>
      </c>
      <c r="H224" s="31">
        <v>100.0</v>
      </c>
      <c r="I224" s="33">
        <f>'Old Balance Sheet'!A224 + 'ACPL Calculations - 1.0'!A224 + 'ACPL Calculations - 2.0'!A224</f>
        <v>0</v>
      </c>
      <c r="J224" s="30" t="s">
        <v>3817</v>
      </c>
      <c r="K224" s="31">
        <v>215.0</v>
      </c>
      <c r="L224" s="32" t="s">
        <v>3818</v>
      </c>
      <c r="M224" s="31">
        <v>100.0</v>
      </c>
      <c r="N224" s="33">
        <f>'Old Balance Sheet'!B224 + 'ACPL Calculations - 1.0'!B224 + 'ACPL Calculations - 2.0'!B224</f>
        <v>0</v>
      </c>
      <c r="O224" s="30" t="s">
        <v>3817</v>
      </c>
      <c r="P224" s="31">
        <v>215.0</v>
      </c>
      <c r="Q224" s="32" t="s">
        <v>3818</v>
      </c>
      <c r="R224" s="31">
        <v>100.0</v>
      </c>
      <c r="S224" s="33">
        <f>'Old Balance Sheet'!C224 + 'ACPL Calculations - 1.0'!C224 + 'ACPL Calculations - 2.0'!C224</f>
        <v>1446</v>
      </c>
      <c r="T224" s="30" t="s">
        <v>3817</v>
      </c>
      <c r="U224" s="31">
        <v>375.0</v>
      </c>
      <c r="V224" s="32" t="s">
        <v>3818</v>
      </c>
      <c r="W224" s="31">
        <v>100.0</v>
      </c>
      <c r="X224" s="33">
        <f>'Old Balance Sheet'!D224 + 'ACPL Calculations - 1.0'!D224 + 'ACPL Calculations - 2.0'!D224</f>
        <v>0</v>
      </c>
      <c r="Y224" s="30" t="s">
        <v>3817</v>
      </c>
      <c r="Z224" s="31">
        <v>460.0</v>
      </c>
      <c r="AA224" s="32" t="s">
        <v>3818</v>
      </c>
      <c r="AB224" s="31">
        <v>100.0</v>
      </c>
      <c r="AC224" s="33">
        <f>'Old Balance Sheet'!E224 + 'ACPL Calculations - 1.0'!E224 + 'ACPL Calculations - 2.0'!E224</f>
        <v>0</v>
      </c>
      <c r="AD224" s="30" t="s">
        <v>3817</v>
      </c>
      <c r="AE224" s="34">
        <v>838.99</v>
      </c>
      <c r="AF224" s="32" t="s">
        <v>3818</v>
      </c>
      <c r="AG224" s="31">
        <v>100.0</v>
      </c>
      <c r="AH224" s="33">
        <f>'Old Balance Sheet'!F224 + 'ACPL Calculations - 1.0'!F224 + 'ACPL Calculations - 2.0'!F224</f>
        <v>0</v>
      </c>
      <c r="AI224" s="30" t="s">
        <v>3817</v>
      </c>
      <c r="AJ224" s="31">
        <v>375.0</v>
      </c>
      <c r="AK224" s="32" t="s">
        <v>3818</v>
      </c>
      <c r="AL224" s="31">
        <v>100.0</v>
      </c>
      <c r="AM224" s="33">
        <f>'Old Balance Sheet'!G224 + 'ACPL Calculations - 1.0'!G224 + 'ACPL Calculations - 2.0'!G224</f>
        <v>0</v>
      </c>
      <c r="AN224" s="30" t="s">
        <v>3817</v>
      </c>
      <c r="AO224" s="31">
        <v>290.0</v>
      </c>
      <c r="AP224" s="32" t="s">
        <v>3818</v>
      </c>
      <c r="AQ224" s="31">
        <v>100.0</v>
      </c>
      <c r="AR224" s="33">
        <f>'Old Balance Sheet'!H224 + 'ACPL Calculations - 1.0'!H224 + 'ACPL Calculations - 2.0'!H224</f>
        <v>0</v>
      </c>
      <c r="AS224" s="30" t="s">
        <v>3819</v>
      </c>
      <c r="AT224" s="31">
        <v>838.99</v>
      </c>
      <c r="AU224" s="32" t="s">
        <v>3818</v>
      </c>
      <c r="AV224" s="31">
        <v>100.0</v>
      </c>
      <c r="AW224" s="33">
        <f>'Old Balance Sheet'!I224 + 'ACPL Calculations - 1.0'!I224 + 'ACPL Calculations - 2.0'!I224</f>
        <v>0</v>
      </c>
      <c r="AX224" s="30" t="s">
        <v>3817</v>
      </c>
      <c r="AY224" s="31">
        <v>290.0</v>
      </c>
      <c r="AZ224" s="32" t="s">
        <v>3818</v>
      </c>
      <c r="BA224" s="31">
        <v>100.0</v>
      </c>
      <c r="BB224" s="33">
        <f>'Old Balance Sheet'!J224 + 'ACPL Calculations - 1.0'!J224 + 'ACPL Calculations - 2.0'!J224</f>
        <v>0</v>
      </c>
      <c r="BC224" s="30" t="s">
        <v>3817</v>
      </c>
      <c r="BD224" s="31">
        <v>205.0</v>
      </c>
      <c r="BE224" s="32" t="s">
        <v>3818</v>
      </c>
      <c r="BF224" s="31">
        <v>100.0</v>
      </c>
      <c r="BG224" s="33">
        <f>'Old Balance Sheet'!K224 + 'ACPL Calculations - 1.0'!K224 + 'ACPL Calculations - 2.0'!K224</f>
        <v>0</v>
      </c>
      <c r="BH224" s="30" t="s">
        <v>3817</v>
      </c>
      <c r="BI224" s="31">
        <v>205.0</v>
      </c>
      <c r="BJ224" s="32" t="s">
        <v>3818</v>
      </c>
      <c r="BK224" s="31">
        <v>100.0</v>
      </c>
      <c r="BL224" s="33">
        <f>'Old Balance Sheet'!L224 + 'ACPL Calculations - 1.0'!L224 + 'ACPL Calculations - 2.0'!L224</f>
        <v>0</v>
      </c>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c r="CL224" s="33">
        <f t="shared" si="1"/>
        <v>1446</v>
      </c>
      <c r="CM224" s="33">
        <f>'Old Balance Sheet'!R224 + 'ACPL Calculations - 1.0'!S224 + 'ACPL Calculations - 2.0'!S224</f>
        <v>639132</v>
      </c>
      <c r="CN224" s="33">
        <f>'Old Balance Sheet'!S224 + 'ACPL Calculations - 1.0'!T224 + 'ACPL Calculations - 2.0'!T224</f>
        <v>311850</v>
      </c>
      <c r="CO224" s="33">
        <f t="shared" si="2"/>
        <v>409339.32</v>
      </c>
      <c r="CP224" s="33">
        <f>'Old Balance Sheet'!T224 + 'ACPL Calculations - 1.0'!V224 + 'ACPL Calculations - 2.0'!V224</f>
        <v>0</v>
      </c>
      <c r="CQ224" s="33">
        <f>'Old Balance Sheet'!U224 + 'ACPL Calculations - 1.0'!W224 + 'ACPL Calculations - 2.0'!W224</f>
        <v>0</v>
      </c>
      <c r="CR224" s="33">
        <f>'Old Balance Sheet'!V224 + 'ACPL Calculations - 1.0'!X224 + 'ACPL Calculations - 2.0'!X224</f>
        <v>97489.32</v>
      </c>
      <c r="CS224" s="33">
        <f t="shared" si="3"/>
        <v>97489.32</v>
      </c>
      <c r="CT224" s="35"/>
      <c r="CU224" s="35"/>
      <c r="CV224" s="35"/>
      <c r="CW224" s="36">
        <f>'Old Balance Sheet'!W224 + 'ACPL Calculations - 1.0'!Z224 + 'ACPL Calculations - 2.0'!Z224</f>
        <v>420830.4</v>
      </c>
      <c r="CX224" s="36">
        <f>'Old Balance Sheet'!X224 + 'ACPL Calculations - 1.0'!AA224 + 'ACPL Calculations - 2.0'!AA224</f>
        <v>420830.4</v>
      </c>
      <c r="CY224" s="37">
        <v>0.0</v>
      </c>
      <c r="CZ224" s="38">
        <f>'Old Balance Sheet'!Y224 + 'ACPL Calculations - 1.0'!AB224 + 'ACPL Calculations - 2.0'!AB224</f>
        <v>229792.68</v>
      </c>
      <c r="DA224" s="38">
        <f>'Old Balance Sheet'!Z224 + 'ACPL Calculations - 1.0'!AC224 + 'ACPL Calculations - 2.0'!AC224</f>
        <v>218301.6</v>
      </c>
      <c r="DB224" s="38">
        <f>'Old Balance Sheet'!AA224 + 'ACPL Calculations - 1.0'!AD224 + 'ACPL Calculations - 2.0'!AD224</f>
        <v>11491.08</v>
      </c>
      <c r="DC224" s="38">
        <f>'Old Balance Sheet'!AB224 + 'ACPL Calculations - 1.0'!AE224 + 'ACPL Calculations - 2.0'!AE224</f>
        <v>0</v>
      </c>
      <c r="DD224" s="38">
        <f t="shared" si="4"/>
        <v>0</v>
      </c>
      <c r="DE224" s="33">
        <f t="shared" si="5"/>
        <v>0</v>
      </c>
      <c r="DF224" s="35">
        <v>0.0</v>
      </c>
      <c r="DG224" s="35">
        <v>0.0</v>
      </c>
      <c r="DH224" s="35">
        <v>0.0</v>
      </c>
      <c r="DI224" s="35">
        <v>0.0</v>
      </c>
      <c r="DJ224" s="35">
        <v>0.0</v>
      </c>
      <c r="DK224" s="35">
        <v>0.0</v>
      </c>
      <c r="DL224" s="35">
        <v>0.0</v>
      </c>
      <c r="DM224" s="35">
        <v>0.0</v>
      </c>
      <c r="DN224" s="31">
        <v>0.0</v>
      </c>
      <c r="DO224" s="31">
        <v>0.0</v>
      </c>
      <c r="DP224" s="31">
        <v>0.0</v>
      </c>
      <c r="DQ224" s="31">
        <v>0.0</v>
      </c>
      <c r="DR224" s="31">
        <v>0.0</v>
      </c>
      <c r="DS224" s="31">
        <v>0.0</v>
      </c>
      <c r="DT224" s="31">
        <f>'Old Balance Sheet'!AC224</f>
        <v>0</v>
      </c>
      <c r="DU224" s="31">
        <f>DT224 + SUMIFS('Payments Log'!D:D, 'Payments Log'!B:B, A224, 'Payments Log'!L:L, "Approved", 'Payments Log'!M:M, "Credit") + 'Old Balance Sheet'!AD224 - 'Old Balance Sheet'!AC224</f>
        <v>424000</v>
      </c>
      <c r="DV224" s="31">
        <f>SUMIFS('Payments Log'!D:D, 'Payments Log'!B:B, A224, 'Payments Log'!L:L, "Approved", 'Payments Log'!M:M, "Adjustment Credit") - SUMIFS('Payments Log'!D:D, 'Payments Log'!B:B, A224, 'Payments Log'!L:L, "Approved", 'Payments Log'!M:M, "Adjustment Debit") + 'Old Balance Sheet'!AE224</f>
        <v>0</v>
      </c>
      <c r="DW224" s="31">
        <f>IF(MAXIFS('Payments Log'!N:N, 'Payments Log'!L:L, "Approved", 'Payments Log'!M:M, "Credit", 'Payments Log'!B:B, A224) &gt; MAXIFS('Payments Log'!N:N, 'Payments Log'!L:L, "Approved", 'Payments Log'!M:M, "Virtual Credit", 'Payments Log'!B:B, A224), 0, SUMIFS('Payments Log'!D:D, 'Payments Log'!N:N, MAXIFS('Payments Log'!N:N, 'Payments Log'!L:L, "Approved", 'Payments Log'!M:M, "Virtual Credit", 'Payments Log'!B:B, A224)))</f>
        <v>0</v>
      </c>
      <c r="DX224" s="33">
        <f t="shared" si="6"/>
        <v>3169.6</v>
      </c>
      <c r="DY224" s="33">
        <f t="shared" si="7"/>
        <v>3169.6</v>
      </c>
      <c r="DZ224" s="33">
        <f t="shared" si="8"/>
        <v>3169.6</v>
      </c>
      <c r="EA224" s="25" t="str">
        <f>(Sheet1!N224)</f>
        <v>STALLIONZ TVS - AHMEDABAD</v>
      </c>
      <c r="EB224" s="25" t="str">
        <f>(Sheet1!O224)</f>
        <v>1JAbS28NFmfJxZrsQ7twsfzmqCme35J_wqOELlcNcX1c</v>
      </c>
      <c r="EC224" s="26" t="str">
        <f>(Sheet1!P224)</f>
        <v>Dealer</v>
      </c>
      <c r="ED224" s="34" t="s">
        <v>13</v>
      </c>
    </row>
    <row r="225">
      <c r="A225" s="25" t="str">
        <f>(Sheet1!A225)</f>
        <v>1KROhijYRp4JJHg6qMghouwiu3FhY0i9nzQ4icP6smio</v>
      </c>
      <c r="B225" s="25" t="str">
        <f>(Sheet1!B225)</f>
        <v>SAI HERO-UDGIR</v>
      </c>
      <c r="C225" s="30" t="s">
        <v>13</v>
      </c>
      <c r="D225" s="30" t="s">
        <v>72</v>
      </c>
      <c r="E225" s="30" t="s">
        <v>3820</v>
      </c>
      <c r="F225" s="31">
        <v>205.0</v>
      </c>
      <c r="G225" s="32" t="s">
        <v>3818</v>
      </c>
      <c r="H225" s="31">
        <v>100.0</v>
      </c>
      <c r="I225" s="33">
        <f>'Old Balance Sheet'!A225 + 'ACPL Calculations - 1.0'!A225 + 'ACPL Calculations - 2.0'!A225</f>
        <v>0</v>
      </c>
      <c r="J225" s="30" t="s">
        <v>3820</v>
      </c>
      <c r="K225" s="31">
        <v>205.0</v>
      </c>
      <c r="L225" s="32" t="s">
        <v>3818</v>
      </c>
      <c r="M225" s="31">
        <v>100.0</v>
      </c>
      <c r="N225" s="33">
        <f>'Old Balance Sheet'!B225 + 'ACPL Calculations - 1.0'!B225 + 'ACPL Calculations - 2.0'!B225</f>
        <v>0</v>
      </c>
      <c r="O225" s="30" t="s">
        <v>3820</v>
      </c>
      <c r="P225" s="31">
        <v>290.0</v>
      </c>
      <c r="Q225" s="32" t="s">
        <v>3818</v>
      </c>
      <c r="R225" s="31">
        <v>100.0</v>
      </c>
      <c r="S225" s="33">
        <f>'Old Balance Sheet'!C225 + 'ACPL Calculations - 1.0'!C225 + 'ACPL Calculations - 2.0'!C225</f>
        <v>0</v>
      </c>
      <c r="T225" s="30" t="s">
        <v>3820</v>
      </c>
      <c r="U225" s="31">
        <v>375.0</v>
      </c>
      <c r="V225" s="32" t="s">
        <v>3818</v>
      </c>
      <c r="W225" s="31">
        <v>100.0</v>
      </c>
      <c r="X225" s="33">
        <f>'Old Balance Sheet'!D225 + 'ACPL Calculations - 1.0'!D225 + 'ACPL Calculations - 2.0'!D225</f>
        <v>0</v>
      </c>
      <c r="Y225" s="30" t="s">
        <v>3820</v>
      </c>
      <c r="Z225" s="31">
        <v>460.0</v>
      </c>
      <c r="AA225" s="32" t="s">
        <v>3818</v>
      </c>
      <c r="AB225" s="31">
        <v>100.0</v>
      </c>
      <c r="AC225" s="33">
        <f>'Old Balance Sheet'!E225 + 'ACPL Calculations - 1.0'!E225 + 'ACPL Calculations - 2.0'!E225</f>
        <v>0</v>
      </c>
      <c r="AD225" s="30" t="s">
        <v>3820</v>
      </c>
      <c r="AE225" s="34">
        <v>838.99</v>
      </c>
      <c r="AF225" s="32" t="s">
        <v>3818</v>
      </c>
      <c r="AG225" s="31">
        <v>100.0</v>
      </c>
      <c r="AH225" s="33">
        <f>'Old Balance Sheet'!F225 + 'ACPL Calculations - 1.0'!F225 + 'ACPL Calculations - 2.0'!F225</f>
        <v>0</v>
      </c>
      <c r="AI225" s="30" t="s">
        <v>3820</v>
      </c>
      <c r="AJ225" s="31">
        <v>375.0</v>
      </c>
      <c r="AK225" s="32" t="s">
        <v>3818</v>
      </c>
      <c r="AL225" s="31">
        <v>100.0</v>
      </c>
      <c r="AM225" s="33">
        <f>'Old Balance Sheet'!G225 + 'ACPL Calculations - 1.0'!G225 + 'ACPL Calculations - 2.0'!G225</f>
        <v>0</v>
      </c>
      <c r="AN225" s="30" t="s">
        <v>3820</v>
      </c>
      <c r="AO225" s="31">
        <v>290.0</v>
      </c>
      <c r="AP225" s="32" t="s">
        <v>3818</v>
      </c>
      <c r="AQ225" s="31">
        <v>100.0</v>
      </c>
      <c r="AR225" s="33">
        <f>'Old Balance Sheet'!H225 + 'ACPL Calculations - 1.0'!H225 + 'ACPL Calculations - 2.0'!H225</f>
        <v>0</v>
      </c>
      <c r="AS225" s="30" t="s">
        <v>3819</v>
      </c>
      <c r="AT225" s="31">
        <v>838.99</v>
      </c>
      <c r="AU225" s="32" t="s">
        <v>3818</v>
      </c>
      <c r="AV225" s="31">
        <v>100.0</v>
      </c>
      <c r="AW225" s="33">
        <f>'Old Balance Sheet'!I225 + 'ACPL Calculations - 1.0'!I225 + 'ACPL Calculations - 2.0'!I225</f>
        <v>0</v>
      </c>
      <c r="AX225" s="30" t="s">
        <v>3820</v>
      </c>
      <c r="AY225" s="31">
        <v>290.0</v>
      </c>
      <c r="AZ225" s="32" t="s">
        <v>3818</v>
      </c>
      <c r="BA225" s="31">
        <v>100.0</v>
      </c>
      <c r="BB225" s="33">
        <f>'Old Balance Sheet'!J225 + 'ACPL Calculations - 1.0'!J225 + 'ACPL Calculations - 2.0'!J225</f>
        <v>0</v>
      </c>
      <c r="BC225" s="30" t="s">
        <v>3820</v>
      </c>
      <c r="BD225" s="31">
        <v>100.0</v>
      </c>
      <c r="BE225" s="32" t="s">
        <v>3818</v>
      </c>
      <c r="BF225" s="31">
        <v>100.0</v>
      </c>
      <c r="BG225" s="33">
        <f>'Old Balance Sheet'!K225 + 'ACPL Calculations - 1.0'!K225 + 'ACPL Calculations - 2.0'!K225</f>
        <v>64</v>
      </c>
      <c r="BH225" s="30" t="s">
        <v>3820</v>
      </c>
      <c r="BI225" s="31">
        <v>100.0</v>
      </c>
      <c r="BJ225" s="32" t="s">
        <v>3818</v>
      </c>
      <c r="BK225" s="31">
        <v>100.0</v>
      </c>
      <c r="BL225" s="33">
        <f>'Old Balance Sheet'!L225 + 'ACPL Calculations - 1.0'!L225 + 'ACPL Calculations - 2.0'!L225</f>
        <v>0</v>
      </c>
      <c r="BM225" s="33"/>
      <c r="BN225" s="33"/>
      <c r="BO225" s="33"/>
      <c r="BP225" s="33"/>
      <c r="BQ225" s="33"/>
      <c r="BR225" s="33"/>
      <c r="BS225" s="33"/>
      <c r="BT225" s="33"/>
      <c r="BU225" s="33"/>
      <c r="BV225" s="33"/>
      <c r="BW225" s="33"/>
      <c r="BX225" s="33"/>
      <c r="BY225" s="33"/>
      <c r="BZ225" s="33"/>
      <c r="CA225" s="33"/>
      <c r="CB225" s="33"/>
      <c r="CC225" s="33"/>
      <c r="CD225" s="33"/>
      <c r="CE225" s="33"/>
      <c r="CF225" s="33"/>
      <c r="CG225" s="33"/>
      <c r="CH225" s="33"/>
      <c r="CI225" s="33"/>
      <c r="CJ225" s="33"/>
      <c r="CK225" s="33"/>
      <c r="CL225" s="33">
        <f t="shared" si="1"/>
        <v>64</v>
      </c>
      <c r="CM225" s="33">
        <f>'Old Balance Sheet'!R225 + 'ACPL Calculations - 1.0'!S225 + 'ACPL Calculations - 2.0'!S225</f>
        <v>70800</v>
      </c>
      <c r="CN225" s="33">
        <f>'Old Balance Sheet'!S225 + 'ACPL Calculations - 1.0'!T225 + 'ACPL Calculations - 2.0'!T225</f>
        <v>12000</v>
      </c>
      <c r="CO225" s="33">
        <f t="shared" si="2"/>
        <v>22800</v>
      </c>
      <c r="CP225" s="33">
        <f>'Old Balance Sheet'!T225 + 'ACPL Calculations - 1.0'!V225 + 'ACPL Calculations - 2.0'!V225</f>
        <v>0</v>
      </c>
      <c r="CQ225" s="33">
        <f>'Old Balance Sheet'!U225 + 'ACPL Calculations - 1.0'!W225 + 'ACPL Calculations - 2.0'!W225</f>
        <v>0</v>
      </c>
      <c r="CR225" s="33">
        <f>'Old Balance Sheet'!V225 + 'ACPL Calculations - 1.0'!X225 + 'ACPL Calculations - 2.0'!X225</f>
        <v>10800</v>
      </c>
      <c r="CS225" s="33">
        <f t="shared" si="3"/>
        <v>10800</v>
      </c>
      <c r="CT225" s="35"/>
      <c r="CU225" s="35"/>
      <c r="CV225" s="35"/>
      <c r="CW225" s="36">
        <f>'Old Balance Sheet'!W225 + 'ACPL Calculations - 1.0'!Z225 + 'ACPL Calculations - 2.0'!Z225</f>
        <v>70800</v>
      </c>
      <c r="CX225" s="36">
        <f>'Old Balance Sheet'!X225 + 'ACPL Calculations - 1.0'!AA225 + 'ACPL Calculations - 2.0'!AA225</f>
        <v>25200</v>
      </c>
      <c r="CY225" s="37">
        <v>0.0</v>
      </c>
      <c r="CZ225" s="38">
        <f>'Old Balance Sheet'!Y225 + 'ACPL Calculations - 1.0'!AB225 + 'ACPL Calculations - 2.0'!AB225</f>
        <v>48000</v>
      </c>
      <c r="DA225" s="38">
        <f>'Old Balance Sheet'!Z225 + 'ACPL Calculations - 1.0'!AC225 + 'ACPL Calculations - 2.0'!AC225</f>
        <v>0</v>
      </c>
      <c r="DB225" s="38">
        <f>'Old Balance Sheet'!AA225 + 'ACPL Calculations - 1.0'!AD225 + 'ACPL Calculations - 2.0'!AD225</f>
        <v>2400</v>
      </c>
      <c r="DC225" s="38">
        <f>'Old Balance Sheet'!AB225 + 'ACPL Calculations - 1.0'!AE225 + 'ACPL Calculations - 2.0'!AE225</f>
        <v>45600</v>
      </c>
      <c r="DD225" s="38">
        <f t="shared" si="4"/>
        <v>45600</v>
      </c>
      <c r="DE225" s="33">
        <f t="shared" si="5"/>
        <v>45600</v>
      </c>
      <c r="DF225" s="35">
        <v>0.0</v>
      </c>
      <c r="DG225" s="35">
        <v>0.0</v>
      </c>
      <c r="DH225" s="35">
        <v>0.0</v>
      </c>
      <c r="DI225" s="35">
        <v>0.0</v>
      </c>
      <c r="DJ225" s="35">
        <v>0.0</v>
      </c>
      <c r="DK225" s="35">
        <v>0.0</v>
      </c>
      <c r="DL225" s="35">
        <v>0.0</v>
      </c>
      <c r="DM225" s="35">
        <v>0.0</v>
      </c>
      <c r="DN225" s="31">
        <v>0.0</v>
      </c>
      <c r="DO225" s="31">
        <v>0.0</v>
      </c>
      <c r="DP225" s="31">
        <v>0.0</v>
      </c>
      <c r="DQ225" s="31">
        <v>0.0</v>
      </c>
      <c r="DR225" s="31">
        <v>0.0</v>
      </c>
      <c r="DS225" s="31">
        <v>0.0</v>
      </c>
      <c r="DT225" s="31">
        <f>'Old Balance Sheet'!AC225</f>
        <v>0</v>
      </c>
      <c r="DU225" s="31">
        <f>DT225 + SUMIFS('Payments Log'!D:D, 'Payments Log'!B:B, A225, 'Payments Log'!L:L, "Approved", 'Payments Log'!M:M, "Credit") + 'Old Balance Sheet'!AD225 - 'Old Balance Sheet'!AC225</f>
        <v>70800</v>
      </c>
      <c r="DV225" s="31">
        <f>SUMIFS('Payments Log'!D:D, 'Payments Log'!B:B, A225, 'Payments Log'!L:L, "Approved", 'Payments Log'!M:M, "Adjustment Credit") - SUMIFS('Payments Log'!D:D, 'Payments Log'!B:B, A225, 'Payments Log'!L:L, "Approved", 'Payments Log'!M:M, "Adjustment Debit") + 'Old Balance Sheet'!AE225</f>
        <v>0</v>
      </c>
      <c r="DW225" s="31">
        <f>IF(MAXIFS('Payments Log'!N:N, 'Payments Log'!L:L, "Approved", 'Payments Log'!M:M, "Credit", 'Payments Log'!B:B, A225) &gt; MAXIFS('Payments Log'!N:N, 'Payments Log'!L:L, "Approved", 'Payments Log'!M:M, "Virtual Credit", 'Payments Log'!B:B, A225), 0, SUMIFS('Payments Log'!D:D, 'Payments Log'!N:N, MAXIFS('Payments Log'!N:N, 'Payments Log'!L:L, "Approved", 'Payments Log'!M:M, "Virtual Credit", 'Payments Log'!B:B, A225)))</f>
        <v>0</v>
      </c>
      <c r="DX225" s="33">
        <f t="shared" si="6"/>
        <v>0</v>
      </c>
      <c r="DY225" s="33">
        <f t="shared" si="7"/>
        <v>45600</v>
      </c>
      <c r="DZ225" s="33">
        <f t="shared" si="8"/>
        <v>45600</v>
      </c>
      <c r="EA225" s="25" t="str">
        <f>(Sheet1!N225)</f>
        <v>SAI HERO-UDGIR</v>
      </c>
      <c r="EB225" s="25" t="str">
        <f>(Sheet1!O225)</f>
        <v>1KROhijYRp4JJHg6qMghouwiu3FhY0i9nzQ4icP6smio</v>
      </c>
      <c r="EC225" s="26" t="str">
        <f>(Sheet1!P225)</f>
        <v>Dealer</v>
      </c>
      <c r="ED225" s="34" t="s">
        <v>13</v>
      </c>
    </row>
    <row r="226">
      <c r="A226" s="25" t="str">
        <f>(Sheet1!A226)</f>
        <v>1nEeaFhAsFkti6A1RQlVCs8bVVDbn1HO5_E8Nv2sncWw</v>
      </c>
      <c r="B226" s="25" t="str">
        <f>(Sheet1!B226)</f>
        <v>Mahalaxmi TVS-ISANPUR</v>
      </c>
      <c r="C226" s="30" t="s">
        <v>13</v>
      </c>
      <c r="D226" s="30" t="s">
        <v>72</v>
      </c>
      <c r="E226" s="30" t="s">
        <v>3817</v>
      </c>
      <c r="F226" s="31">
        <v>235.0</v>
      </c>
      <c r="G226" s="32" t="s">
        <v>3818</v>
      </c>
      <c r="H226" s="31">
        <v>100.0</v>
      </c>
      <c r="I226" s="33">
        <f>'Old Balance Sheet'!A226 + 'ACPL Calculations - 1.0'!A226 + 'ACPL Calculations - 2.0'!A226</f>
        <v>0</v>
      </c>
      <c r="J226" s="30" t="s">
        <v>3817</v>
      </c>
      <c r="K226" s="31">
        <v>235.0</v>
      </c>
      <c r="L226" s="32" t="s">
        <v>3818</v>
      </c>
      <c r="M226" s="31">
        <v>100.0</v>
      </c>
      <c r="N226" s="33">
        <f>'Old Balance Sheet'!B226 + 'ACPL Calculations - 1.0'!B226 + 'ACPL Calculations - 2.0'!B226</f>
        <v>0</v>
      </c>
      <c r="O226" s="30" t="s">
        <v>3817</v>
      </c>
      <c r="P226" s="31">
        <v>235.0</v>
      </c>
      <c r="Q226" s="32" t="s">
        <v>3818</v>
      </c>
      <c r="R226" s="31">
        <v>100.0</v>
      </c>
      <c r="S226" s="33">
        <f>'Old Balance Sheet'!C226 + 'ACPL Calculations - 1.0'!C226 + 'ACPL Calculations - 2.0'!C226</f>
        <v>1228</v>
      </c>
      <c r="T226" s="30" t="s">
        <v>3817</v>
      </c>
      <c r="U226" s="31">
        <v>375.0</v>
      </c>
      <c r="V226" s="32" t="s">
        <v>3818</v>
      </c>
      <c r="W226" s="31">
        <v>100.0</v>
      </c>
      <c r="X226" s="33">
        <f>'Old Balance Sheet'!D226 + 'ACPL Calculations - 1.0'!D226 + 'ACPL Calculations - 2.0'!D226</f>
        <v>0</v>
      </c>
      <c r="Y226" s="30" t="s">
        <v>3817</v>
      </c>
      <c r="Z226" s="31">
        <v>460.0</v>
      </c>
      <c r="AA226" s="32" t="s">
        <v>3818</v>
      </c>
      <c r="AB226" s="31">
        <v>100.0</v>
      </c>
      <c r="AC226" s="33">
        <f>'Old Balance Sheet'!E226 + 'ACPL Calculations - 1.0'!E226 + 'ACPL Calculations - 2.0'!E226</f>
        <v>0</v>
      </c>
      <c r="AD226" s="30" t="s">
        <v>3817</v>
      </c>
      <c r="AE226" s="34">
        <v>838.99</v>
      </c>
      <c r="AF226" s="32" t="s">
        <v>3818</v>
      </c>
      <c r="AG226" s="31">
        <v>100.0</v>
      </c>
      <c r="AH226" s="33">
        <f>'Old Balance Sheet'!F226 + 'ACPL Calculations - 1.0'!F226 + 'ACPL Calculations - 2.0'!F226</f>
        <v>0</v>
      </c>
      <c r="AI226" s="30" t="s">
        <v>3817</v>
      </c>
      <c r="AJ226" s="31">
        <v>375.0</v>
      </c>
      <c r="AK226" s="32" t="s">
        <v>3818</v>
      </c>
      <c r="AL226" s="31">
        <v>100.0</v>
      </c>
      <c r="AM226" s="33">
        <f>'Old Balance Sheet'!G226 + 'ACPL Calculations - 1.0'!G226 + 'ACPL Calculations - 2.0'!G226</f>
        <v>0</v>
      </c>
      <c r="AN226" s="30" t="s">
        <v>3817</v>
      </c>
      <c r="AO226" s="31">
        <v>290.0</v>
      </c>
      <c r="AP226" s="32" t="s">
        <v>3818</v>
      </c>
      <c r="AQ226" s="31">
        <v>100.0</v>
      </c>
      <c r="AR226" s="33">
        <f>'Old Balance Sheet'!H226 + 'ACPL Calculations - 1.0'!H226 + 'ACPL Calculations - 2.0'!H226</f>
        <v>0</v>
      </c>
      <c r="AS226" s="30" t="s">
        <v>3819</v>
      </c>
      <c r="AT226" s="31">
        <v>838.99</v>
      </c>
      <c r="AU226" s="32" t="s">
        <v>3818</v>
      </c>
      <c r="AV226" s="31">
        <v>100.0</v>
      </c>
      <c r="AW226" s="33">
        <f>'Old Balance Sheet'!I226 + 'ACPL Calculations - 1.0'!I226 + 'ACPL Calculations - 2.0'!I226</f>
        <v>0</v>
      </c>
      <c r="AX226" s="30" t="s">
        <v>3817</v>
      </c>
      <c r="AY226" s="31">
        <v>290.0</v>
      </c>
      <c r="AZ226" s="32" t="s">
        <v>3818</v>
      </c>
      <c r="BA226" s="31">
        <v>100.0</v>
      </c>
      <c r="BB226" s="33">
        <f>'Old Balance Sheet'!J226 + 'ACPL Calculations - 1.0'!J226 + 'ACPL Calculations - 2.0'!J226</f>
        <v>0</v>
      </c>
      <c r="BC226" s="30" t="s">
        <v>3817</v>
      </c>
      <c r="BD226" s="31">
        <v>205.0</v>
      </c>
      <c r="BE226" s="32" t="s">
        <v>3818</v>
      </c>
      <c r="BF226" s="31">
        <v>100.0</v>
      </c>
      <c r="BG226" s="33">
        <f>'Old Balance Sheet'!K226 + 'ACPL Calculations - 1.0'!K226 + 'ACPL Calculations - 2.0'!K226</f>
        <v>0</v>
      </c>
      <c r="BH226" s="30" t="s">
        <v>3817</v>
      </c>
      <c r="BI226" s="31">
        <v>205.0</v>
      </c>
      <c r="BJ226" s="32" t="s">
        <v>3818</v>
      </c>
      <c r="BK226" s="31">
        <v>100.0</v>
      </c>
      <c r="BL226" s="33">
        <f>'Old Balance Sheet'!L226 + 'ACPL Calculations - 1.0'!L226 + 'ACPL Calculations - 2.0'!L226</f>
        <v>0</v>
      </c>
      <c r="BM226" s="33"/>
      <c r="BN226" s="33"/>
      <c r="BO226" s="33"/>
      <c r="BP226" s="33"/>
      <c r="BQ226" s="33"/>
      <c r="BR226" s="33"/>
      <c r="BS226" s="33"/>
      <c r="BT226" s="33"/>
      <c r="BU226" s="33"/>
      <c r="BV226" s="33"/>
      <c r="BW226" s="33"/>
      <c r="BX226" s="33"/>
      <c r="BY226" s="33"/>
      <c r="BZ226" s="33"/>
      <c r="CA226" s="33"/>
      <c r="CB226" s="33"/>
      <c r="CC226" s="33"/>
      <c r="CD226" s="33"/>
      <c r="CE226" s="33"/>
      <c r="CF226" s="33"/>
      <c r="CG226" s="33"/>
      <c r="CH226" s="33"/>
      <c r="CI226" s="33"/>
      <c r="CJ226" s="33"/>
      <c r="CK226" s="33"/>
      <c r="CL226" s="33">
        <f t="shared" si="1"/>
        <v>1228</v>
      </c>
      <c r="CM226" s="33">
        <f>'Old Balance Sheet'!R226 + 'ACPL Calculations - 1.0'!S226 + 'ACPL Calculations - 2.0'!S226</f>
        <v>542776</v>
      </c>
      <c r="CN226" s="33">
        <f>'Old Balance Sheet'!S226 + 'ACPL Calculations - 1.0'!T226 + 'ACPL Calculations - 2.0'!T226</f>
        <v>288580</v>
      </c>
      <c r="CO226" s="33">
        <f t="shared" si="2"/>
        <v>371371.76</v>
      </c>
      <c r="CP226" s="33">
        <f>'Old Balance Sheet'!T226 + 'ACPL Calculations - 1.0'!V226 + 'ACPL Calculations - 2.0'!V226</f>
        <v>0</v>
      </c>
      <c r="CQ226" s="33">
        <f>'Old Balance Sheet'!U226 + 'ACPL Calculations - 1.0'!W226 + 'ACPL Calculations - 2.0'!W226</f>
        <v>0</v>
      </c>
      <c r="CR226" s="33">
        <f>'Old Balance Sheet'!V226 + 'ACPL Calculations - 1.0'!X226 + 'ACPL Calculations - 2.0'!X226</f>
        <v>82791.76</v>
      </c>
      <c r="CS226" s="33">
        <f t="shared" si="3"/>
        <v>82791.76</v>
      </c>
      <c r="CT226" s="35"/>
      <c r="CU226" s="35"/>
      <c r="CV226" s="35"/>
      <c r="CW226" s="36">
        <f>'Old Balance Sheet'!W226 + 'ACPL Calculations - 1.0'!Z226 + 'ACPL Calculations - 2.0'!Z226</f>
        <v>0</v>
      </c>
      <c r="CX226" s="36">
        <f>'Old Balance Sheet'!X226 + 'ACPL Calculations - 1.0'!AA226 + 'ACPL Calculations - 2.0'!AA226</f>
        <v>0</v>
      </c>
      <c r="CY226" s="37">
        <v>0.0</v>
      </c>
      <c r="CZ226" s="38">
        <f>'Old Balance Sheet'!Y226 + 'ACPL Calculations - 1.0'!AB226 + 'ACPL Calculations - 2.0'!AB226</f>
        <v>0</v>
      </c>
      <c r="DA226" s="38">
        <f>'Old Balance Sheet'!Z226 + 'ACPL Calculations - 1.0'!AC226 + 'ACPL Calculations - 2.0'!AC226</f>
        <v>0</v>
      </c>
      <c r="DB226" s="38">
        <f>'Old Balance Sheet'!AA226 + 'ACPL Calculations - 1.0'!AD226 + 'ACPL Calculations - 2.0'!AD226</f>
        <v>0</v>
      </c>
      <c r="DC226" s="38">
        <f>'Old Balance Sheet'!AB226 + 'ACPL Calculations - 1.0'!AE226 + 'ACPL Calculations - 2.0'!AE226</f>
        <v>0</v>
      </c>
      <c r="DD226" s="38">
        <f t="shared" si="4"/>
        <v>0</v>
      </c>
      <c r="DE226" s="33">
        <f t="shared" si="5"/>
        <v>0</v>
      </c>
      <c r="DF226" s="35">
        <v>0.0</v>
      </c>
      <c r="DG226" s="35">
        <v>0.0</v>
      </c>
      <c r="DH226" s="35">
        <v>0.0</v>
      </c>
      <c r="DI226" s="35">
        <v>0.0</v>
      </c>
      <c r="DJ226" s="35">
        <v>0.0</v>
      </c>
      <c r="DK226" s="35">
        <v>0.0</v>
      </c>
      <c r="DL226" s="35">
        <v>0.0</v>
      </c>
      <c r="DM226" s="35">
        <v>0.0</v>
      </c>
      <c r="DN226" s="31">
        <v>0.0</v>
      </c>
      <c r="DO226" s="31">
        <v>0.0</v>
      </c>
      <c r="DP226" s="31">
        <v>0.0</v>
      </c>
      <c r="DQ226" s="31">
        <v>0.0</v>
      </c>
      <c r="DR226" s="31">
        <v>0.0</v>
      </c>
      <c r="DS226" s="31">
        <v>0.0</v>
      </c>
      <c r="DT226" s="31">
        <f>'Old Balance Sheet'!AC226</f>
        <v>0</v>
      </c>
      <c r="DU226" s="31">
        <f>DT226 + SUMIFS('Payments Log'!D:D, 'Payments Log'!B:B, A226, 'Payments Log'!L:L, "Approved", 'Payments Log'!M:M, "Credit") + 'Old Balance Sheet'!AD226 - 'Old Balance Sheet'!AC226</f>
        <v>0</v>
      </c>
      <c r="DV226" s="31">
        <f>SUMIFS('Payments Log'!D:D, 'Payments Log'!B:B, A226, 'Payments Log'!L:L, "Approved", 'Payments Log'!M:M, "Adjustment Credit") - SUMIFS('Payments Log'!D:D, 'Payments Log'!B:B, A226, 'Payments Log'!L:L, "Approved", 'Payments Log'!M:M, "Adjustment Debit") + 'Old Balance Sheet'!AE226</f>
        <v>0</v>
      </c>
      <c r="DW226" s="31">
        <f>IF(MAXIFS('Payments Log'!N:N, 'Payments Log'!L:L, "Approved", 'Payments Log'!M:M, "Credit", 'Payments Log'!B:B, A226) &gt; MAXIFS('Payments Log'!N:N, 'Payments Log'!L:L, "Approved", 'Payments Log'!M:M, "Virtual Credit", 'Payments Log'!B:B, A226), 0, SUMIFS('Payments Log'!D:D, 'Payments Log'!N:N, MAXIFS('Payments Log'!N:N, 'Payments Log'!L:L, "Approved", 'Payments Log'!M:M, "Virtual Credit", 'Payments Log'!B:B, A226)))</f>
        <v>0</v>
      </c>
      <c r="DX226" s="33">
        <f t="shared" si="6"/>
        <v>0</v>
      </c>
      <c r="DY226" s="33">
        <f t="shared" si="7"/>
        <v>0</v>
      </c>
      <c r="DZ226" s="33">
        <f t="shared" si="8"/>
        <v>0</v>
      </c>
      <c r="EA226" s="25" t="str">
        <f>(Sheet1!N226)</f>
        <v>Mahalaxmi TVS- AHEMDABAD</v>
      </c>
      <c r="EB226" s="25" t="str">
        <f>(Sheet1!O226)</f>
        <v>1Y48WevU4dZlpN_oRadqFSD4ED20x97CYUdeAzWdn3go</v>
      </c>
      <c r="EC226" s="26" t="str">
        <f>(Sheet1!P226)</f>
        <v>Sub Dealer</v>
      </c>
      <c r="ED226" s="34" t="s">
        <v>13</v>
      </c>
    </row>
    <row r="227">
      <c r="A227" s="25" t="str">
        <f>(Sheet1!A227)</f>
        <v>1IMcQqxHRw8US8te4fBVvZW4P02L-zmWAO8h94QGx7Eg</v>
      </c>
      <c r="B227" s="25" t="str">
        <f>(Sheet1!B227)</f>
        <v>MAHALAXMI TVS-ODHAV</v>
      </c>
      <c r="C227" s="30" t="s">
        <v>13</v>
      </c>
      <c r="D227" s="30" t="s">
        <v>72</v>
      </c>
      <c r="E227" s="30" t="s">
        <v>3817</v>
      </c>
      <c r="F227" s="31">
        <v>235.0</v>
      </c>
      <c r="G227" s="32" t="s">
        <v>3818</v>
      </c>
      <c r="H227" s="31">
        <v>100.0</v>
      </c>
      <c r="I227" s="33">
        <f>'Old Balance Sheet'!A227 + 'ACPL Calculations - 1.0'!A227 + 'ACPL Calculations - 2.0'!A227</f>
        <v>0</v>
      </c>
      <c r="J227" s="30" t="s">
        <v>3817</v>
      </c>
      <c r="K227" s="31">
        <v>235.0</v>
      </c>
      <c r="L227" s="32" t="s">
        <v>3818</v>
      </c>
      <c r="M227" s="31">
        <v>100.0</v>
      </c>
      <c r="N227" s="33">
        <f>'Old Balance Sheet'!B227 + 'ACPL Calculations - 1.0'!B227 + 'ACPL Calculations - 2.0'!B227</f>
        <v>0</v>
      </c>
      <c r="O227" s="30" t="s">
        <v>3817</v>
      </c>
      <c r="P227" s="31">
        <v>235.0</v>
      </c>
      <c r="Q227" s="32" t="s">
        <v>3818</v>
      </c>
      <c r="R227" s="31">
        <v>100.0</v>
      </c>
      <c r="S227" s="33">
        <f>'Old Balance Sheet'!C227 + 'ACPL Calculations - 1.0'!C227 + 'ACPL Calculations - 2.0'!C227</f>
        <v>700</v>
      </c>
      <c r="T227" s="30" t="s">
        <v>3817</v>
      </c>
      <c r="U227" s="31">
        <v>375.0</v>
      </c>
      <c r="V227" s="32" t="s">
        <v>3818</v>
      </c>
      <c r="W227" s="31">
        <v>100.0</v>
      </c>
      <c r="X227" s="33">
        <f>'Old Balance Sheet'!D227 + 'ACPL Calculations - 1.0'!D227 + 'ACPL Calculations - 2.0'!D227</f>
        <v>0</v>
      </c>
      <c r="Y227" s="30" t="s">
        <v>3817</v>
      </c>
      <c r="Z227" s="31">
        <v>460.0</v>
      </c>
      <c r="AA227" s="32" t="s">
        <v>3818</v>
      </c>
      <c r="AB227" s="31">
        <v>100.0</v>
      </c>
      <c r="AC227" s="33">
        <f>'Old Balance Sheet'!E227 + 'ACPL Calculations - 1.0'!E227 + 'ACPL Calculations - 2.0'!E227</f>
        <v>0</v>
      </c>
      <c r="AD227" s="30" t="s">
        <v>3817</v>
      </c>
      <c r="AE227" s="34">
        <v>838.99</v>
      </c>
      <c r="AF227" s="32" t="s">
        <v>3818</v>
      </c>
      <c r="AG227" s="31">
        <v>100.0</v>
      </c>
      <c r="AH227" s="33">
        <f>'Old Balance Sheet'!F227 + 'ACPL Calculations - 1.0'!F227 + 'ACPL Calculations - 2.0'!F227</f>
        <v>0</v>
      </c>
      <c r="AI227" s="30" t="s">
        <v>3817</v>
      </c>
      <c r="AJ227" s="31">
        <v>375.0</v>
      </c>
      <c r="AK227" s="32" t="s">
        <v>3818</v>
      </c>
      <c r="AL227" s="31">
        <v>100.0</v>
      </c>
      <c r="AM227" s="33">
        <f>'Old Balance Sheet'!G227 + 'ACPL Calculations - 1.0'!G227 + 'ACPL Calculations - 2.0'!G227</f>
        <v>0</v>
      </c>
      <c r="AN227" s="30" t="s">
        <v>3817</v>
      </c>
      <c r="AO227" s="31">
        <v>290.0</v>
      </c>
      <c r="AP227" s="32" t="s">
        <v>3818</v>
      </c>
      <c r="AQ227" s="31">
        <v>100.0</v>
      </c>
      <c r="AR227" s="33">
        <f>'Old Balance Sheet'!H227 + 'ACPL Calculations - 1.0'!H227 + 'ACPL Calculations - 2.0'!H227</f>
        <v>0</v>
      </c>
      <c r="AS227" s="30" t="s">
        <v>3819</v>
      </c>
      <c r="AT227" s="31">
        <v>838.99</v>
      </c>
      <c r="AU227" s="32" t="s">
        <v>3818</v>
      </c>
      <c r="AV227" s="31">
        <v>100.0</v>
      </c>
      <c r="AW227" s="33">
        <f>'Old Balance Sheet'!I227 + 'ACPL Calculations - 1.0'!I227 + 'ACPL Calculations - 2.0'!I227</f>
        <v>0</v>
      </c>
      <c r="AX227" s="30" t="s">
        <v>3817</v>
      </c>
      <c r="AY227" s="31">
        <v>290.0</v>
      </c>
      <c r="AZ227" s="32" t="s">
        <v>3818</v>
      </c>
      <c r="BA227" s="31">
        <v>100.0</v>
      </c>
      <c r="BB227" s="33">
        <f>'Old Balance Sheet'!J227 + 'ACPL Calculations - 1.0'!J227 + 'ACPL Calculations - 2.0'!J227</f>
        <v>0</v>
      </c>
      <c r="BC227" s="30" t="s">
        <v>3817</v>
      </c>
      <c r="BD227" s="31">
        <v>205.0</v>
      </c>
      <c r="BE227" s="32" t="s">
        <v>3818</v>
      </c>
      <c r="BF227" s="31">
        <v>100.0</v>
      </c>
      <c r="BG227" s="33">
        <f>'Old Balance Sheet'!K227 + 'ACPL Calculations - 1.0'!K227 + 'ACPL Calculations - 2.0'!K227</f>
        <v>0</v>
      </c>
      <c r="BH227" s="30" t="s">
        <v>3817</v>
      </c>
      <c r="BI227" s="31">
        <v>205.0</v>
      </c>
      <c r="BJ227" s="32" t="s">
        <v>3818</v>
      </c>
      <c r="BK227" s="31">
        <v>100.0</v>
      </c>
      <c r="BL227" s="33">
        <f>'Old Balance Sheet'!L227 + 'ACPL Calculations - 1.0'!L227 + 'ACPL Calculations - 2.0'!L227</f>
        <v>0</v>
      </c>
      <c r="BM227" s="33"/>
      <c r="BN227" s="33"/>
      <c r="BO227" s="33"/>
      <c r="BP227" s="33"/>
      <c r="BQ227" s="33"/>
      <c r="BR227" s="33"/>
      <c r="BS227" s="33"/>
      <c r="BT227" s="33"/>
      <c r="BU227" s="33"/>
      <c r="BV227" s="33"/>
      <c r="BW227" s="33"/>
      <c r="BX227" s="33"/>
      <c r="BY227" s="33"/>
      <c r="BZ227" s="33"/>
      <c r="CA227" s="33"/>
      <c r="CB227" s="33"/>
      <c r="CC227" s="33"/>
      <c r="CD227" s="33"/>
      <c r="CE227" s="33"/>
      <c r="CF227" s="33"/>
      <c r="CG227" s="33"/>
      <c r="CH227" s="33"/>
      <c r="CI227" s="33"/>
      <c r="CJ227" s="33"/>
      <c r="CK227" s="33"/>
      <c r="CL227" s="33">
        <f t="shared" si="1"/>
        <v>700</v>
      </c>
      <c r="CM227" s="33">
        <f>'Old Balance Sheet'!R227 + 'ACPL Calculations - 1.0'!S227 + 'ACPL Calculations - 2.0'!S227</f>
        <v>309400</v>
      </c>
      <c r="CN227" s="33">
        <f>'Old Balance Sheet'!S227 + 'ACPL Calculations - 1.0'!T227 + 'ACPL Calculations - 2.0'!T227</f>
        <v>164500</v>
      </c>
      <c r="CO227" s="33">
        <f t="shared" si="2"/>
        <v>211694</v>
      </c>
      <c r="CP227" s="33">
        <f>'Old Balance Sheet'!T227 + 'ACPL Calculations - 1.0'!V227 + 'ACPL Calculations - 2.0'!V227</f>
        <v>0</v>
      </c>
      <c r="CQ227" s="33">
        <f>'Old Balance Sheet'!U227 + 'ACPL Calculations - 1.0'!W227 + 'ACPL Calculations - 2.0'!W227</f>
        <v>0</v>
      </c>
      <c r="CR227" s="33">
        <f>'Old Balance Sheet'!V227 + 'ACPL Calculations - 1.0'!X227 + 'ACPL Calculations - 2.0'!X227</f>
        <v>47194</v>
      </c>
      <c r="CS227" s="33">
        <f t="shared" si="3"/>
        <v>47194</v>
      </c>
      <c r="CT227" s="35"/>
      <c r="CU227" s="35"/>
      <c r="CV227" s="35"/>
      <c r="CW227" s="36">
        <f>'Old Balance Sheet'!W227 + 'ACPL Calculations - 1.0'!Z227 + 'ACPL Calculations - 2.0'!Z227</f>
        <v>0</v>
      </c>
      <c r="CX227" s="36">
        <f>'Old Balance Sheet'!X227 + 'ACPL Calculations - 1.0'!AA227 + 'ACPL Calculations - 2.0'!AA227</f>
        <v>0</v>
      </c>
      <c r="CY227" s="37">
        <v>0.0</v>
      </c>
      <c r="CZ227" s="38">
        <f>'Old Balance Sheet'!Y227 + 'ACPL Calculations - 1.0'!AB227 + 'ACPL Calculations - 2.0'!AB227</f>
        <v>0</v>
      </c>
      <c r="DA227" s="38">
        <f>'Old Balance Sheet'!Z227 + 'ACPL Calculations - 1.0'!AC227 + 'ACPL Calculations - 2.0'!AC227</f>
        <v>0</v>
      </c>
      <c r="DB227" s="38">
        <f>'Old Balance Sheet'!AA227 + 'ACPL Calculations - 1.0'!AD227 + 'ACPL Calculations - 2.0'!AD227</f>
        <v>0</v>
      </c>
      <c r="DC227" s="38">
        <f>'Old Balance Sheet'!AB227 + 'ACPL Calculations - 1.0'!AE227 + 'ACPL Calculations - 2.0'!AE227</f>
        <v>0</v>
      </c>
      <c r="DD227" s="38">
        <f t="shared" si="4"/>
        <v>0</v>
      </c>
      <c r="DE227" s="33">
        <f t="shared" si="5"/>
        <v>0</v>
      </c>
      <c r="DF227" s="35">
        <v>0.0</v>
      </c>
      <c r="DG227" s="35">
        <v>0.0</v>
      </c>
      <c r="DH227" s="35">
        <v>0.0</v>
      </c>
      <c r="DI227" s="35">
        <v>0.0</v>
      </c>
      <c r="DJ227" s="35">
        <v>0.0</v>
      </c>
      <c r="DK227" s="35">
        <v>0.0</v>
      </c>
      <c r="DL227" s="35">
        <v>0.0</v>
      </c>
      <c r="DM227" s="35">
        <v>0.0</v>
      </c>
      <c r="DN227" s="31">
        <v>0.0</v>
      </c>
      <c r="DO227" s="31">
        <v>0.0</v>
      </c>
      <c r="DP227" s="31">
        <v>0.0</v>
      </c>
      <c r="DQ227" s="31">
        <v>0.0</v>
      </c>
      <c r="DR227" s="31">
        <v>0.0</v>
      </c>
      <c r="DS227" s="31">
        <v>0.0</v>
      </c>
      <c r="DT227" s="31">
        <f>'Old Balance Sheet'!AC227</f>
        <v>0</v>
      </c>
      <c r="DU227" s="31">
        <f>DT227 + SUMIFS('Payments Log'!D:D, 'Payments Log'!B:B, A227, 'Payments Log'!L:L, "Approved", 'Payments Log'!M:M, "Credit") + 'Old Balance Sheet'!AD227 - 'Old Balance Sheet'!AC227</f>
        <v>0</v>
      </c>
      <c r="DV227" s="31">
        <f>SUMIFS('Payments Log'!D:D, 'Payments Log'!B:B, A227, 'Payments Log'!L:L, "Approved", 'Payments Log'!M:M, "Adjustment Credit") - SUMIFS('Payments Log'!D:D, 'Payments Log'!B:B, A227, 'Payments Log'!L:L, "Approved", 'Payments Log'!M:M, "Adjustment Debit") + 'Old Balance Sheet'!AE227</f>
        <v>0</v>
      </c>
      <c r="DW227" s="31">
        <f>IF(MAXIFS('Payments Log'!N:N, 'Payments Log'!L:L, "Approved", 'Payments Log'!M:M, "Credit", 'Payments Log'!B:B, A227) &gt; MAXIFS('Payments Log'!N:N, 'Payments Log'!L:L, "Approved", 'Payments Log'!M:M, "Virtual Credit", 'Payments Log'!B:B, A227), 0, SUMIFS('Payments Log'!D:D, 'Payments Log'!N:N, MAXIFS('Payments Log'!N:N, 'Payments Log'!L:L, "Approved", 'Payments Log'!M:M, "Virtual Credit", 'Payments Log'!B:B, A227)))</f>
        <v>0</v>
      </c>
      <c r="DX227" s="33">
        <f t="shared" si="6"/>
        <v>0</v>
      </c>
      <c r="DY227" s="33">
        <f t="shared" si="7"/>
        <v>0</v>
      </c>
      <c r="DZ227" s="33">
        <f t="shared" si="8"/>
        <v>0</v>
      </c>
      <c r="EA227" s="25" t="str">
        <f>(Sheet1!N227)</f>
        <v>Mahalaxmi TVS- AHEMDABAD</v>
      </c>
      <c r="EB227" s="25" t="str">
        <f>(Sheet1!O227)</f>
        <v>1Y48WevU4dZlpN_oRadqFSD4ED20x97CYUdeAzWdn3go</v>
      </c>
      <c r="EC227" s="26" t="str">
        <f>(Sheet1!P227)</f>
        <v>Sub Dealer</v>
      </c>
      <c r="ED227" s="34" t="s">
        <v>13</v>
      </c>
    </row>
    <row r="228">
      <c r="A228" s="25" t="str">
        <f>(Sheet1!A228)</f>
        <v>1adAGJVvFi0F-pwP4fXxBabggqbrsou9iy1He5MQkXp4</v>
      </c>
      <c r="B228" s="25" t="str">
        <f>(Sheet1!B228)</f>
        <v>Janta Automobiles - Sariswa</v>
      </c>
      <c r="C228" s="30" t="s">
        <v>13</v>
      </c>
      <c r="D228" s="30" t="s">
        <v>72</v>
      </c>
      <c r="E228" s="30" t="s">
        <v>3820</v>
      </c>
      <c r="F228" s="31">
        <v>192.0</v>
      </c>
      <c r="G228" s="32" t="s">
        <v>3818</v>
      </c>
      <c r="H228" s="31">
        <v>100.0</v>
      </c>
      <c r="I228" s="33">
        <f>'Old Balance Sheet'!A228 + 'ACPL Calculations - 1.0'!A228 + 'ACPL Calculations - 2.0'!A228</f>
        <v>556</v>
      </c>
      <c r="J228" s="30" t="s">
        <v>3820</v>
      </c>
      <c r="K228" s="31">
        <v>192.0</v>
      </c>
      <c r="L228" s="32" t="s">
        <v>3818</v>
      </c>
      <c r="M228" s="31">
        <v>100.0</v>
      </c>
      <c r="N228" s="33">
        <f>'Old Balance Sheet'!B228 + 'ACPL Calculations - 1.0'!B228 + 'ACPL Calculations - 2.0'!B228</f>
        <v>0</v>
      </c>
      <c r="O228" s="30" t="s">
        <v>3820</v>
      </c>
      <c r="P228" s="31">
        <v>290.0</v>
      </c>
      <c r="Q228" s="32" t="s">
        <v>3818</v>
      </c>
      <c r="R228" s="31">
        <v>100.0</v>
      </c>
      <c r="S228" s="33">
        <f>'Old Balance Sheet'!C228 + 'ACPL Calculations - 1.0'!C228 + 'ACPL Calculations - 2.0'!C228</f>
        <v>0</v>
      </c>
      <c r="T228" s="30" t="s">
        <v>3820</v>
      </c>
      <c r="U228" s="31">
        <v>375.0</v>
      </c>
      <c r="V228" s="32" t="s">
        <v>3818</v>
      </c>
      <c r="W228" s="31">
        <v>100.0</v>
      </c>
      <c r="X228" s="33">
        <f>'Old Balance Sheet'!D228 + 'ACPL Calculations - 1.0'!D228 + 'ACPL Calculations - 2.0'!D228</f>
        <v>0</v>
      </c>
      <c r="Y228" s="30" t="s">
        <v>3820</v>
      </c>
      <c r="Z228" s="31">
        <v>460.0</v>
      </c>
      <c r="AA228" s="32" t="s">
        <v>3818</v>
      </c>
      <c r="AB228" s="31">
        <v>100.0</v>
      </c>
      <c r="AC228" s="33">
        <f>'Old Balance Sheet'!E228 + 'ACPL Calculations - 1.0'!E228 + 'ACPL Calculations - 2.0'!E228</f>
        <v>0</v>
      </c>
      <c r="AD228" s="30" t="s">
        <v>3820</v>
      </c>
      <c r="AE228" s="34">
        <v>838.99</v>
      </c>
      <c r="AF228" s="32" t="s">
        <v>3818</v>
      </c>
      <c r="AG228" s="31">
        <v>100.0</v>
      </c>
      <c r="AH228" s="33">
        <f>'Old Balance Sheet'!F228 + 'ACPL Calculations - 1.0'!F228 + 'ACPL Calculations - 2.0'!F228</f>
        <v>0</v>
      </c>
      <c r="AI228" s="30" t="s">
        <v>3820</v>
      </c>
      <c r="AJ228" s="31">
        <v>375.0</v>
      </c>
      <c r="AK228" s="32" t="s">
        <v>3818</v>
      </c>
      <c r="AL228" s="31">
        <v>100.0</v>
      </c>
      <c r="AM228" s="33">
        <f>'Old Balance Sheet'!G228 + 'ACPL Calculations - 1.0'!G228 + 'ACPL Calculations - 2.0'!G228</f>
        <v>0</v>
      </c>
      <c r="AN228" s="30" t="s">
        <v>3820</v>
      </c>
      <c r="AO228" s="31">
        <v>290.0</v>
      </c>
      <c r="AP228" s="32" t="s">
        <v>3818</v>
      </c>
      <c r="AQ228" s="31">
        <v>100.0</v>
      </c>
      <c r="AR228" s="33">
        <f>'Old Balance Sheet'!H228 + 'ACPL Calculations - 1.0'!H228 + 'ACPL Calculations - 2.0'!H228</f>
        <v>0</v>
      </c>
      <c r="AS228" s="30" t="s">
        <v>3819</v>
      </c>
      <c r="AT228" s="31">
        <v>838.99</v>
      </c>
      <c r="AU228" s="32" t="s">
        <v>3818</v>
      </c>
      <c r="AV228" s="31">
        <v>100.0</v>
      </c>
      <c r="AW228" s="33">
        <f>'Old Balance Sheet'!I228 + 'ACPL Calculations - 1.0'!I228 + 'ACPL Calculations - 2.0'!I228</f>
        <v>0</v>
      </c>
      <c r="AX228" s="30" t="s">
        <v>3820</v>
      </c>
      <c r="AY228" s="31">
        <v>290.0</v>
      </c>
      <c r="AZ228" s="32" t="s">
        <v>3818</v>
      </c>
      <c r="BA228" s="31">
        <v>100.0</v>
      </c>
      <c r="BB228" s="33">
        <f>'Old Balance Sheet'!J228 + 'ACPL Calculations - 1.0'!J228 + 'ACPL Calculations - 2.0'!J228</f>
        <v>0</v>
      </c>
      <c r="BC228" s="30" t="s">
        <v>3820</v>
      </c>
      <c r="BD228" s="31">
        <v>205.0</v>
      </c>
      <c r="BE228" s="32" t="s">
        <v>3818</v>
      </c>
      <c r="BF228" s="31">
        <v>100.0</v>
      </c>
      <c r="BG228" s="33">
        <f>'Old Balance Sheet'!K228 + 'ACPL Calculations - 1.0'!K228 + 'ACPL Calculations - 2.0'!K228</f>
        <v>0</v>
      </c>
      <c r="BH228" s="30" t="s">
        <v>3820</v>
      </c>
      <c r="BI228" s="31">
        <v>205.0</v>
      </c>
      <c r="BJ228" s="32" t="s">
        <v>3818</v>
      </c>
      <c r="BK228" s="31">
        <v>100.0</v>
      </c>
      <c r="BL228" s="33">
        <f>'Old Balance Sheet'!L228 + 'ACPL Calculations - 1.0'!L228 + 'ACPL Calculations - 2.0'!L228</f>
        <v>0</v>
      </c>
      <c r="BM228" s="33"/>
      <c r="BN228" s="33"/>
      <c r="BO228" s="33"/>
      <c r="BP228" s="33"/>
      <c r="BQ228" s="33"/>
      <c r="BR228" s="33"/>
      <c r="BS228" s="33"/>
      <c r="BT228" s="33"/>
      <c r="BU228" s="33"/>
      <c r="BV228" s="33"/>
      <c r="BW228" s="33"/>
      <c r="BX228" s="33"/>
      <c r="BY228" s="33"/>
      <c r="BZ228" s="33"/>
      <c r="CA228" s="33"/>
      <c r="CB228" s="33"/>
      <c r="CC228" s="33"/>
      <c r="CD228" s="33"/>
      <c r="CE228" s="33"/>
      <c r="CF228" s="33"/>
      <c r="CG228" s="33"/>
      <c r="CH228" s="33"/>
      <c r="CI228" s="33"/>
      <c r="CJ228" s="33"/>
      <c r="CK228" s="33"/>
      <c r="CL228" s="33">
        <f t="shared" si="1"/>
        <v>556</v>
      </c>
      <c r="CM228" s="33">
        <f>'Old Balance Sheet'!R228 + 'ACPL Calculations - 1.0'!S228 + 'ACPL Calculations - 2.0'!S228</f>
        <v>245752</v>
      </c>
      <c r="CN228" s="33">
        <f>'Old Balance Sheet'!S228 + 'ACPL Calculations - 1.0'!T228 + 'ACPL Calculations - 2.0'!T228</f>
        <v>106752</v>
      </c>
      <c r="CO228" s="33">
        <f t="shared" si="2"/>
        <v>144237.52</v>
      </c>
      <c r="CP228" s="33">
        <f>'Old Balance Sheet'!T228 + 'ACPL Calculations - 1.0'!V228 + 'ACPL Calculations - 2.0'!V228</f>
        <v>0</v>
      </c>
      <c r="CQ228" s="33">
        <f>'Old Balance Sheet'!U228 + 'ACPL Calculations - 1.0'!W228 + 'ACPL Calculations - 2.0'!W228</f>
        <v>0</v>
      </c>
      <c r="CR228" s="33">
        <f>'Old Balance Sheet'!V228 + 'ACPL Calculations - 1.0'!X228 + 'ACPL Calculations - 2.0'!X228</f>
        <v>37485.52</v>
      </c>
      <c r="CS228" s="33">
        <f t="shared" si="3"/>
        <v>37485.52</v>
      </c>
      <c r="CT228" s="35"/>
      <c r="CU228" s="35"/>
      <c r="CV228" s="35"/>
      <c r="CW228" s="36">
        <f>'Old Balance Sheet'!W228 + 'ACPL Calculations - 1.0'!Z228 + 'ACPL Calculations - 2.0'!Z228</f>
        <v>0</v>
      </c>
      <c r="CX228" s="36">
        <f>'Old Balance Sheet'!X228 + 'ACPL Calculations - 1.0'!AA228 + 'ACPL Calculations - 2.0'!AA228</f>
        <v>0</v>
      </c>
      <c r="CY228" s="37">
        <v>0.0</v>
      </c>
      <c r="CZ228" s="38">
        <f>'Old Balance Sheet'!Y228 + 'ACPL Calculations - 1.0'!AB228 + 'ACPL Calculations - 2.0'!AB228</f>
        <v>0</v>
      </c>
      <c r="DA228" s="38">
        <f>'Old Balance Sheet'!Z228 + 'ACPL Calculations - 1.0'!AC228 + 'ACPL Calculations - 2.0'!AC228</f>
        <v>0</v>
      </c>
      <c r="DB228" s="38">
        <f>'Old Balance Sheet'!AA228 + 'ACPL Calculations - 1.0'!AD228 + 'ACPL Calculations - 2.0'!AD228</f>
        <v>0</v>
      </c>
      <c r="DC228" s="38">
        <f>'Old Balance Sheet'!AB228 + 'ACPL Calculations - 1.0'!AE228 + 'ACPL Calculations - 2.0'!AE228</f>
        <v>0</v>
      </c>
      <c r="DD228" s="38">
        <f t="shared" si="4"/>
        <v>0</v>
      </c>
      <c r="DE228" s="33">
        <f t="shared" si="5"/>
        <v>0</v>
      </c>
      <c r="DF228" s="35">
        <v>0.0</v>
      </c>
      <c r="DG228" s="35">
        <v>0.0</v>
      </c>
      <c r="DH228" s="35">
        <v>0.0</v>
      </c>
      <c r="DI228" s="35">
        <v>0.0</v>
      </c>
      <c r="DJ228" s="35">
        <v>0.0</v>
      </c>
      <c r="DK228" s="35">
        <v>0.0</v>
      </c>
      <c r="DL228" s="35">
        <v>0.0</v>
      </c>
      <c r="DM228" s="35">
        <v>0.0</v>
      </c>
      <c r="DN228" s="31">
        <v>0.0</v>
      </c>
      <c r="DO228" s="31">
        <v>0.0</v>
      </c>
      <c r="DP228" s="31">
        <v>0.0</v>
      </c>
      <c r="DQ228" s="31">
        <v>0.0</v>
      </c>
      <c r="DR228" s="31">
        <v>0.0</v>
      </c>
      <c r="DS228" s="31">
        <v>0.0</v>
      </c>
      <c r="DT228" s="31">
        <f>'Old Balance Sheet'!AC228</f>
        <v>0</v>
      </c>
      <c r="DU228" s="31">
        <f>DT228 + SUMIFS('Payments Log'!D:D, 'Payments Log'!B:B, A228, 'Payments Log'!L:L, "Approved", 'Payments Log'!M:M, "Credit") + 'Old Balance Sheet'!AD228 - 'Old Balance Sheet'!AC228</f>
        <v>0</v>
      </c>
      <c r="DV228" s="31">
        <f>SUMIFS('Payments Log'!D:D, 'Payments Log'!B:B, A228, 'Payments Log'!L:L, "Approved", 'Payments Log'!M:M, "Adjustment Credit") - SUMIFS('Payments Log'!D:D, 'Payments Log'!B:B, A228, 'Payments Log'!L:L, "Approved", 'Payments Log'!M:M, "Adjustment Debit") + 'Old Balance Sheet'!AE228</f>
        <v>0</v>
      </c>
      <c r="DW228" s="31">
        <f>IF(MAXIFS('Payments Log'!N:N, 'Payments Log'!L:L, "Approved", 'Payments Log'!M:M, "Credit", 'Payments Log'!B:B, A228) &gt; MAXIFS('Payments Log'!N:N, 'Payments Log'!L:L, "Approved", 'Payments Log'!M:M, "Virtual Credit", 'Payments Log'!B:B, A228), 0, SUMIFS('Payments Log'!D:D, 'Payments Log'!N:N, MAXIFS('Payments Log'!N:N, 'Payments Log'!L:L, "Approved", 'Payments Log'!M:M, "Virtual Credit", 'Payments Log'!B:B, A228)))</f>
        <v>0</v>
      </c>
      <c r="DX228" s="33">
        <f t="shared" si="6"/>
        <v>0</v>
      </c>
      <c r="DY228" s="33">
        <f t="shared" si="7"/>
        <v>0</v>
      </c>
      <c r="DZ228" s="33">
        <f t="shared" si="8"/>
        <v>0</v>
      </c>
      <c r="EA228" s="25" t="str">
        <f>(Sheet1!N228)</f>
        <v>Modern Auto Agency - Bettiah</v>
      </c>
      <c r="EB228" s="25" t="str">
        <f>(Sheet1!O228)</f>
        <v>1_UtGSoyOsljQXvmry7gfXGYwjwEjQbghQQGZebnq45M</v>
      </c>
      <c r="EC228" s="26" t="str">
        <f>(Sheet1!P228)</f>
        <v>Sub Dealer</v>
      </c>
      <c r="ED228" s="34" t="s">
        <v>13</v>
      </c>
    </row>
    <row r="229">
      <c r="A229" s="26" t="str">
        <f>(Sheet1!A229)</f>
        <v>15uhTTh3U4NtU7dtogFOcc_qPQ7_1_JO1RNn9VV2M20o</v>
      </c>
      <c r="B229" s="26" t="str">
        <f>(Sheet1!B229)</f>
        <v>SHYAM BIHARI AUTO-CHANDOS</v>
      </c>
      <c r="C229" s="34" t="s">
        <v>13</v>
      </c>
      <c r="D229" s="34" t="s">
        <v>72</v>
      </c>
      <c r="E229" s="34" t="s">
        <v>3820</v>
      </c>
      <c r="F229" s="34">
        <v>170.0</v>
      </c>
      <c r="G229" s="34" t="s">
        <v>3818</v>
      </c>
      <c r="H229" s="34">
        <v>100.0</v>
      </c>
      <c r="I229" s="33">
        <f>'Old Balance Sheet'!A229 + 'ACPL Calculations - 1.0'!A229 + 'ACPL Calculations - 2.0'!A229</f>
        <v>0</v>
      </c>
      <c r="J229" s="34" t="s">
        <v>3820</v>
      </c>
      <c r="K229" s="34">
        <v>170.0</v>
      </c>
      <c r="L229" s="34" t="s">
        <v>3818</v>
      </c>
      <c r="M229" s="34">
        <v>100.0</v>
      </c>
      <c r="N229" s="33">
        <f>'Old Balance Sheet'!B229 + 'ACPL Calculations - 1.0'!B229 + 'ACPL Calculations - 2.0'!B229</f>
        <v>0</v>
      </c>
      <c r="O229" s="34" t="s">
        <v>3820</v>
      </c>
      <c r="P229" s="34">
        <v>170.0</v>
      </c>
      <c r="Q229" s="34" t="s">
        <v>3818</v>
      </c>
      <c r="R229" s="34">
        <v>100.0</v>
      </c>
      <c r="S229" s="33">
        <f>'Old Balance Sheet'!C229 + 'ACPL Calculations - 1.0'!C229 + 'ACPL Calculations - 2.0'!C229</f>
        <v>0</v>
      </c>
      <c r="T229" s="34" t="s">
        <v>3820</v>
      </c>
      <c r="U229" s="34">
        <v>170.0</v>
      </c>
      <c r="V229" s="34" t="s">
        <v>3818</v>
      </c>
      <c r="W229" s="34">
        <v>100.0</v>
      </c>
      <c r="X229" s="33">
        <f>'Old Balance Sheet'!D229 + 'ACPL Calculations - 1.0'!D229 + 'ACPL Calculations - 2.0'!D229</f>
        <v>0</v>
      </c>
      <c r="Y229" s="34" t="s">
        <v>3820</v>
      </c>
      <c r="Z229" s="34">
        <v>170.0</v>
      </c>
      <c r="AA229" s="32" t="s">
        <v>3818</v>
      </c>
      <c r="AB229" s="31">
        <v>100.0</v>
      </c>
      <c r="AC229" s="33">
        <f>'Old Balance Sheet'!E229 + 'ACPL Calculations - 1.0'!E229 + 'ACPL Calculations - 2.0'!E229</f>
        <v>162</v>
      </c>
      <c r="AD229" s="34" t="s">
        <v>3820</v>
      </c>
      <c r="AE229" s="34">
        <v>838.99</v>
      </c>
      <c r="AF229" s="32" t="s">
        <v>3818</v>
      </c>
      <c r="AG229" s="31">
        <v>100.0</v>
      </c>
      <c r="AH229" s="33">
        <f>'Old Balance Sheet'!F229 + 'ACPL Calculations - 1.0'!F229 + 'ACPL Calculations - 2.0'!F229</f>
        <v>0</v>
      </c>
      <c r="AI229" s="34" t="s">
        <v>3820</v>
      </c>
      <c r="AJ229" s="34">
        <v>170.0</v>
      </c>
      <c r="AK229" s="32" t="s">
        <v>3818</v>
      </c>
      <c r="AL229" s="31">
        <v>100.0</v>
      </c>
      <c r="AM229" s="33">
        <f>'Old Balance Sheet'!G229 + 'ACPL Calculations - 1.0'!G229 + 'ACPL Calculations - 2.0'!G229</f>
        <v>0</v>
      </c>
      <c r="AN229" s="34" t="s">
        <v>3820</v>
      </c>
      <c r="AO229" s="34">
        <v>170.0</v>
      </c>
      <c r="AP229" s="32" t="s">
        <v>3818</v>
      </c>
      <c r="AQ229" s="31">
        <v>100.0</v>
      </c>
      <c r="AR229" s="33">
        <f>'Old Balance Sheet'!H229 + 'ACPL Calculations - 1.0'!H229 + 'ACPL Calculations - 2.0'!H229</f>
        <v>0</v>
      </c>
      <c r="AS229" s="34" t="s">
        <v>3819</v>
      </c>
      <c r="AT229" s="34">
        <v>838.99</v>
      </c>
      <c r="AU229" s="32" t="s">
        <v>3818</v>
      </c>
      <c r="AV229" s="31">
        <v>100.0</v>
      </c>
      <c r="AW229" s="33">
        <f>'Old Balance Sheet'!I229 + 'ACPL Calculations - 1.0'!I229 + 'ACPL Calculations - 2.0'!I229</f>
        <v>0</v>
      </c>
      <c r="AX229" s="34" t="s">
        <v>3820</v>
      </c>
      <c r="AY229" s="34">
        <v>290.0</v>
      </c>
      <c r="AZ229" s="32" t="s">
        <v>3818</v>
      </c>
      <c r="BA229" s="31">
        <v>100.0</v>
      </c>
      <c r="BB229" s="33">
        <f>'Old Balance Sheet'!J229 + 'ACPL Calculations - 1.0'!J229 + 'ACPL Calculations - 2.0'!J229</f>
        <v>0</v>
      </c>
      <c r="BC229" s="34" t="s">
        <v>3820</v>
      </c>
      <c r="BD229" s="34">
        <v>205.0</v>
      </c>
      <c r="BE229" s="32" t="s">
        <v>3818</v>
      </c>
      <c r="BF229" s="31">
        <v>100.0</v>
      </c>
      <c r="BG229" s="33">
        <f>'Old Balance Sheet'!K229 + 'ACPL Calculations - 1.0'!K229 + 'ACPL Calculations - 2.0'!K229</f>
        <v>0</v>
      </c>
      <c r="BH229" s="34" t="s">
        <v>3820</v>
      </c>
      <c r="BI229" s="34">
        <v>205.0</v>
      </c>
      <c r="BJ229" s="32" t="s">
        <v>3818</v>
      </c>
      <c r="BK229" s="31">
        <v>100.0</v>
      </c>
      <c r="BL229" s="33">
        <f>'Old Balance Sheet'!L229 + 'ACPL Calculations - 1.0'!L229 + 'ACPL Calculations - 2.0'!L229</f>
        <v>0</v>
      </c>
      <c r="CL229" s="33">
        <f t="shared" si="1"/>
        <v>162</v>
      </c>
      <c r="CM229" s="33">
        <f>'Old Balance Sheet'!R229 + 'ACPL Calculations - 1.0'!S229 + 'ACPL Calculations - 2.0'!S229</f>
        <v>299700</v>
      </c>
      <c r="CN229" s="33">
        <f>'Old Balance Sheet'!S229 + 'ACPL Calculations - 1.0'!T229 + 'ACPL Calculations - 2.0'!T229</f>
        <v>27540</v>
      </c>
      <c r="CO229" s="33">
        <f t="shared" si="2"/>
        <v>73256.4</v>
      </c>
      <c r="CP229" s="33">
        <f>'Old Balance Sheet'!T229 + 'ACPL Calculations - 1.0'!V229 + 'ACPL Calculations - 2.0'!V229</f>
        <v>0</v>
      </c>
      <c r="CQ229" s="33">
        <f>'Old Balance Sheet'!U229 + 'ACPL Calculations - 1.0'!W229 + 'ACPL Calculations - 2.0'!W229</f>
        <v>0</v>
      </c>
      <c r="CR229" s="33">
        <f>'Old Balance Sheet'!V229 + 'ACPL Calculations - 1.0'!X229 + 'ACPL Calculations - 2.0'!X229</f>
        <v>45716.4</v>
      </c>
      <c r="CS229" s="33">
        <f t="shared" si="3"/>
        <v>45716.4</v>
      </c>
      <c r="CT229" s="35"/>
      <c r="CU229" s="35"/>
      <c r="CV229" s="35"/>
      <c r="CW229" s="36">
        <f>'Old Balance Sheet'!W229 + 'ACPL Calculations - 1.0'!Z229 + 'ACPL Calculations - 2.0'!Z229</f>
        <v>0</v>
      </c>
      <c r="CX229" s="36">
        <f>'Old Balance Sheet'!X229 + 'ACPL Calculations - 1.0'!AA229 + 'ACPL Calculations - 2.0'!AA229</f>
        <v>0</v>
      </c>
      <c r="CY229" s="37">
        <v>0.0</v>
      </c>
      <c r="CZ229" s="38">
        <f>'Old Balance Sheet'!Y229 + 'ACPL Calculations - 1.0'!AB229 + 'ACPL Calculations - 2.0'!AB229</f>
        <v>0</v>
      </c>
      <c r="DA229" s="38">
        <f>'Old Balance Sheet'!Z229 + 'ACPL Calculations - 1.0'!AC229 + 'ACPL Calculations - 2.0'!AC229</f>
        <v>0</v>
      </c>
      <c r="DB229" s="38">
        <f>'Old Balance Sheet'!AA229 + 'ACPL Calculations - 1.0'!AD229 + 'ACPL Calculations - 2.0'!AD229</f>
        <v>0</v>
      </c>
      <c r="DC229" s="38">
        <f>'Old Balance Sheet'!AB229 + 'ACPL Calculations - 1.0'!AE229 + 'ACPL Calculations - 2.0'!AE229</f>
        <v>0</v>
      </c>
      <c r="DD229" s="38">
        <f t="shared" si="4"/>
        <v>0</v>
      </c>
      <c r="DE229" s="33">
        <f t="shared" si="5"/>
        <v>0</v>
      </c>
      <c r="DF229" s="35">
        <v>0.0</v>
      </c>
      <c r="DG229" s="35">
        <v>0.0</v>
      </c>
      <c r="DH229" s="35">
        <v>0.0</v>
      </c>
      <c r="DI229" s="35">
        <v>0.0</v>
      </c>
      <c r="DJ229" s="35">
        <v>0.0</v>
      </c>
      <c r="DK229" s="35">
        <v>0.0</v>
      </c>
      <c r="DL229" s="35">
        <v>0.0</v>
      </c>
      <c r="DM229" s="35">
        <v>0.0</v>
      </c>
      <c r="DN229" s="31">
        <v>0.0</v>
      </c>
      <c r="DO229" s="31">
        <v>0.0</v>
      </c>
      <c r="DP229" s="31">
        <v>0.0</v>
      </c>
      <c r="DQ229" s="31">
        <v>0.0</v>
      </c>
      <c r="DR229" s="31">
        <v>0.0</v>
      </c>
      <c r="DS229" s="31">
        <v>0.0</v>
      </c>
      <c r="DT229" s="31">
        <f>'Old Balance Sheet'!AC229</f>
        <v>0</v>
      </c>
      <c r="DU229" s="31">
        <f>DT229 + SUMIFS('Payments Log'!D:D, 'Payments Log'!B:B, A229, 'Payments Log'!L:L, "Approved", 'Payments Log'!M:M, "Credit") + 'Old Balance Sheet'!AD229 - 'Old Balance Sheet'!AC229</f>
        <v>0</v>
      </c>
      <c r="DV229" s="31">
        <f>SUMIFS('Payments Log'!D:D, 'Payments Log'!B:B, A229, 'Payments Log'!L:L, "Approved", 'Payments Log'!M:M, "Adjustment Credit") - SUMIFS('Payments Log'!D:D, 'Payments Log'!B:B, A229, 'Payments Log'!L:L, "Approved", 'Payments Log'!M:M, "Adjustment Debit") + 'Old Balance Sheet'!AE229</f>
        <v>0</v>
      </c>
      <c r="DW229" s="31">
        <f>IF(MAXIFS('Payments Log'!N:N, 'Payments Log'!L:L, "Approved", 'Payments Log'!M:M, "Credit", 'Payments Log'!B:B, A229) &gt; MAXIFS('Payments Log'!N:N, 'Payments Log'!L:L, "Approved", 'Payments Log'!M:M, "Virtual Credit", 'Payments Log'!B:B, A229), 0, SUMIFS('Payments Log'!D:D, 'Payments Log'!N:N, MAXIFS('Payments Log'!N:N, 'Payments Log'!L:L, "Approved", 'Payments Log'!M:M, "Virtual Credit", 'Payments Log'!B:B, A229)))</f>
        <v>0</v>
      </c>
      <c r="DX229" s="33">
        <f t="shared" si="6"/>
        <v>0</v>
      </c>
      <c r="DY229" s="33">
        <f t="shared" si="7"/>
        <v>0</v>
      </c>
      <c r="DZ229" s="33">
        <f t="shared" si="8"/>
        <v>0</v>
      </c>
      <c r="EA229" s="25" t="str">
        <f>(Sheet1!N229)</f>
        <v>Vikas Autowheels</v>
      </c>
      <c r="EB229" s="25" t="str">
        <f>(Sheet1!O229)</f>
        <v>1944RLX7T1M23YXRXYoMnJ6nD_bKLldQXRpFRA0rDLvg</v>
      </c>
      <c r="EC229" s="26" t="str">
        <f>(Sheet1!P229)</f>
        <v>Sub Dealer</v>
      </c>
      <c r="ED229" s="34" t="s">
        <v>13</v>
      </c>
    </row>
    <row r="230">
      <c r="A230" s="26" t="str">
        <f>(Sheet1!A230)</f>
        <v>1TMoK3EazfL-7jZ93zmbRweRcJH2sH5eJ2ciO7ryiDaU</v>
      </c>
      <c r="B230" s="26" t="str">
        <f>(Sheet1!B230)</f>
        <v>JADON MOTORS-GABHANA</v>
      </c>
      <c r="C230" s="34" t="s">
        <v>13</v>
      </c>
      <c r="D230" s="34" t="s">
        <v>72</v>
      </c>
      <c r="E230" s="34" t="s">
        <v>3820</v>
      </c>
      <c r="F230" s="34">
        <v>170.0</v>
      </c>
      <c r="G230" s="34" t="s">
        <v>3818</v>
      </c>
      <c r="H230" s="34">
        <v>100.0</v>
      </c>
      <c r="I230" s="33">
        <f>'Old Balance Sheet'!A230 + 'ACPL Calculations - 1.0'!A230 + 'ACPL Calculations - 2.0'!A230</f>
        <v>0</v>
      </c>
      <c r="J230" s="34" t="s">
        <v>3820</v>
      </c>
      <c r="K230" s="34">
        <v>170.0</v>
      </c>
      <c r="L230" s="34" t="s">
        <v>3818</v>
      </c>
      <c r="M230" s="34">
        <v>100.0</v>
      </c>
      <c r="N230" s="33">
        <f>'Old Balance Sheet'!B230 + 'ACPL Calculations - 1.0'!B230 + 'ACPL Calculations - 2.0'!B230</f>
        <v>0</v>
      </c>
      <c r="O230" s="34" t="s">
        <v>3820</v>
      </c>
      <c r="P230" s="34">
        <v>170.0</v>
      </c>
      <c r="Q230" s="34" t="s">
        <v>3818</v>
      </c>
      <c r="R230" s="34">
        <v>100.0</v>
      </c>
      <c r="S230" s="33">
        <f>'Old Balance Sheet'!C230 + 'ACPL Calculations - 1.0'!C230 + 'ACPL Calculations - 2.0'!C230</f>
        <v>0</v>
      </c>
      <c r="T230" s="34" t="s">
        <v>3820</v>
      </c>
      <c r="U230" s="34">
        <v>170.0</v>
      </c>
      <c r="V230" s="34" t="s">
        <v>3818</v>
      </c>
      <c r="W230" s="34">
        <v>100.0</v>
      </c>
      <c r="X230" s="33">
        <f>'Old Balance Sheet'!D230 + 'ACPL Calculations - 1.0'!D230 + 'ACPL Calculations - 2.0'!D230</f>
        <v>0</v>
      </c>
      <c r="Y230" s="34" t="s">
        <v>3820</v>
      </c>
      <c r="Z230" s="34">
        <v>170.0</v>
      </c>
      <c r="AA230" s="32" t="s">
        <v>3818</v>
      </c>
      <c r="AB230" s="31">
        <v>100.0</v>
      </c>
      <c r="AC230" s="33">
        <f>'Old Balance Sheet'!E230 + 'ACPL Calculations - 1.0'!E230 + 'ACPL Calculations - 2.0'!E230</f>
        <v>117</v>
      </c>
      <c r="AD230" s="34" t="s">
        <v>3820</v>
      </c>
      <c r="AE230" s="34">
        <v>838.99</v>
      </c>
      <c r="AF230" s="32" t="s">
        <v>3818</v>
      </c>
      <c r="AG230" s="31">
        <v>100.0</v>
      </c>
      <c r="AH230" s="33">
        <f>'Old Balance Sheet'!F230 + 'ACPL Calculations - 1.0'!F230 + 'ACPL Calculations - 2.0'!F230</f>
        <v>0</v>
      </c>
      <c r="AI230" s="34" t="s">
        <v>3820</v>
      </c>
      <c r="AJ230" s="34">
        <v>170.0</v>
      </c>
      <c r="AK230" s="32" t="s">
        <v>3818</v>
      </c>
      <c r="AL230" s="31">
        <v>100.0</v>
      </c>
      <c r="AM230" s="33">
        <f>'Old Balance Sheet'!G230 + 'ACPL Calculations - 1.0'!G230 + 'ACPL Calculations - 2.0'!G230</f>
        <v>0</v>
      </c>
      <c r="AN230" s="34" t="s">
        <v>3820</v>
      </c>
      <c r="AO230" s="34">
        <v>170.0</v>
      </c>
      <c r="AP230" s="32" t="s">
        <v>3818</v>
      </c>
      <c r="AQ230" s="31">
        <v>100.0</v>
      </c>
      <c r="AR230" s="33">
        <f>'Old Balance Sheet'!H230 + 'ACPL Calculations - 1.0'!H230 + 'ACPL Calculations - 2.0'!H230</f>
        <v>0</v>
      </c>
      <c r="AS230" s="34" t="s">
        <v>3819</v>
      </c>
      <c r="AT230" s="34">
        <v>838.99</v>
      </c>
      <c r="AU230" s="32" t="s">
        <v>3818</v>
      </c>
      <c r="AV230" s="31">
        <v>100.0</v>
      </c>
      <c r="AW230" s="33">
        <f>'Old Balance Sheet'!I230 + 'ACPL Calculations - 1.0'!I230 + 'ACPL Calculations - 2.0'!I230</f>
        <v>0</v>
      </c>
      <c r="AX230" s="34" t="s">
        <v>3820</v>
      </c>
      <c r="AY230" s="34">
        <v>290.0</v>
      </c>
      <c r="AZ230" s="32" t="s">
        <v>3818</v>
      </c>
      <c r="BA230" s="31">
        <v>100.0</v>
      </c>
      <c r="BB230" s="33">
        <f>'Old Balance Sheet'!J230 + 'ACPL Calculations - 1.0'!J230 + 'ACPL Calculations - 2.0'!J230</f>
        <v>0</v>
      </c>
      <c r="BC230" s="34" t="s">
        <v>3820</v>
      </c>
      <c r="BD230" s="34">
        <v>205.0</v>
      </c>
      <c r="BE230" s="32" t="s">
        <v>3818</v>
      </c>
      <c r="BF230" s="31">
        <v>100.0</v>
      </c>
      <c r="BG230" s="33">
        <f>'Old Balance Sheet'!K230 + 'ACPL Calculations - 1.0'!K230 + 'ACPL Calculations - 2.0'!K230</f>
        <v>0</v>
      </c>
      <c r="BH230" s="34" t="s">
        <v>3820</v>
      </c>
      <c r="BI230" s="34">
        <v>205.0</v>
      </c>
      <c r="BJ230" s="32" t="s">
        <v>3818</v>
      </c>
      <c r="BK230" s="31">
        <v>100.0</v>
      </c>
      <c r="BL230" s="33">
        <f>'Old Balance Sheet'!L230 + 'ACPL Calculations - 1.0'!L230 + 'ACPL Calculations - 2.0'!L230</f>
        <v>0</v>
      </c>
      <c r="CL230" s="33">
        <f t="shared" si="1"/>
        <v>117</v>
      </c>
      <c r="CM230" s="33">
        <f>'Old Balance Sheet'!R230 + 'ACPL Calculations - 1.0'!S230 + 'ACPL Calculations - 2.0'!S230</f>
        <v>216450</v>
      </c>
      <c r="CN230" s="33">
        <f>'Old Balance Sheet'!S230 + 'ACPL Calculations - 1.0'!T230 + 'ACPL Calculations - 2.0'!T230</f>
        <v>19890</v>
      </c>
      <c r="CO230" s="33">
        <f t="shared" si="2"/>
        <v>52907.4</v>
      </c>
      <c r="CP230" s="33">
        <f>'Old Balance Sheet'!T230 + 'ACPL Calculations - 1.0'!V230 + 'ACPL Calculations - 2.0'!V230</f>
        <v>141.1</v>
      </c>
      <c r="CQ230" s="33">
        <f>'Old Balance Sheet'!U230 + 'ACPL Calculations - 1.0'!W230 + 'ACPL Calculations - 2.0'!W230</f>
        <v>141.1</v>
      </c>
      <c r="CR230" s="33">
        <f>'Old Balance Sheet'!V230 + 'ACPL Calculations - 1.0'!X230 + 'ACPL Calculations - 2.0'!X230</f>
        <v>32735.2</v>
      </c>
      <c r="CS230" s="33">
        <f t="shared" si="3"/>
        <v>33017.4</v>
      </c>
      <c r="CT230" s="35"/>
      <c r="CU230" s="35"/>
      <c r="CV230" s="35"/>
      <c r="CW230" s="36">
        <f>'Old Balance Sheet'!W230 + 'ACPL Calculations - 1.0'!Z230 + 'ACPL Calculations - 2.0'!Z230</f>
        <v>0</v>
      </c>
      <c r="CX230" s="36">
        <f>'Old Balance Sheet'!X230 + 'ACPL Calculations - 1.0'!AA230 + 'ACPL Calculations - 2.0'!AA230</f>
        <v>0</v>
      </c>
      <c r="CY230" s="37">
        <v>0.0</v>
      </c>
      <c r="CZ230" s="38">
        <f>'Old Balance Sheet'!Y230 + 'ACPL Calculations - 1.0'!AB230 + 'ACPL Calculations - 2.0'!AB230</f>
        <v>0</v>
      </c>
      <c r="DA230" s="38">
        <f>'Old Balance Sheet'!Z230 + 'ACPL Calculations - 1.0'!AC230 + 'ACPL Calculations - 2.0'!AC230</f>
        <v>0</v>
      </c>
      <c r="DB230" s="38">
        <f>'Old Balance Sheet'!AA230 + 'ACPL Calculations - 1.0'!AD230 + 'ACPL Calculations - 2.0'!AD230</f>
        <v>0</v>
      </c>
      <c r="DC230" s="38">
        <f>'Old Balance Sheet'!AB230 + 'ACPL Calculations - 1.0'!AE230 + 'ACPL Calculations - 2.0'!AE230</f>
        <v>0</v>
      </c>
      <c r="DD230" s="38">
        <f t="shared" si="4"/>
        <v>0</v>
      </c>
      <c r="DE230" s="33">
        <f t="shared" si="5"/>
        <v>0</v>
      </c>
      <c r="DF230" s="35">
        <v>0.0</v>
      </c>
      <c r="DG230" s="35">
        <v>0.0</v>
      </c>
      <c r="DH230" s="35">
        <v>0.0</v>
      </c>
      <c r="DI230" s="35">
        <v>0.0</v>
      </c>
      <c r="DJ230" s="35">
        <v>0.0</v>
      </c>
      <c r="DK230" s="35">
        <v>0.0</v>
      </c>
      <c r="DL230" s="35">
        <v>0.0</v>
      </c>
      <c r="DM230" s="35">
        <v>0.0</v>
      </c>
      <c r="DN230" s="31">
        <v>0.0</v>
      </c>
      <c r="DO230" s="31">
        <v>0.0</v>
      </c>
      <c r="DP230" s="31">
        <v>0.0</v>
      </c>
      <c r="DQ230" s="31">
        <v>0.0</v>
      </c>
      <c r="DR230" s="31">
        <v>0.0</v>
      </c>
      <c r="DS230" s="31">
        <v>0.0</v>
      </c>
      <c r="DT230" s="31">
        <f>'Old Balance Sheet'!AC230</f>
        <v>0</v>
      </c>
      <c r="DU230" s="31">
        <f>DT230 + SUMIFS('Payments Log'!D:D, 'Payments Log'!B:B, A230, 'Payments Log'!L:L, "Approved", 'Payments Log'!M:M, "Credit") + 'Old Balance Sheet'!AD230 - 'Old Balance Sheet'!AC230</f>
        <v>0</v>
      </c>
      <c r="DV230" s="31">
        <f>SUMIFS('Payments Log'!D:D, 'Payments Log'!B:B, A230, 'Payments Log'!L:L, "Approved", 'Payments Log'!M:M, "Adjustment Credit") - SUMIFS('Payments Log'!D:D, 'Payments Log'!B:B, A230, 'Payments Log'!L:L, "Approved", 'Payments Log'!M:M, "Adjustment Debit") + 'Old Balance Sheet'!AE230</f>
        <v>0</v>
      </c>
      <c r="DW230" s="31">
        <f>IF(MAXIFS('Payments Log'!N:N, 'Payments Log'!L:L, "Approved", 'Payments Log'!M:M, "Credit", 'Payments Log'!B:B, A230) &gt; MAXIFS('Payments Log'!N:N, 'Payments Log'!L:L, "Approved", 'Payments Log'!M:M, "Virtual Credit", 'Payments Log'!B:B, A230), 0, SUMIFS('Payments Log'!D:D, 'Payments Log'!N:N, MAXIFS('Payments Log'!N:N, 'Payments Log'!L:L, "Approved", 'Payments Log'!M:M, "Virtual Credit", 'Payments Log'!B:B, A230)))</f>
        <v>0</v>
      </c>
      <c r="DX230" s="33">
        <f t="shared" si="6"/>
        <v>0</v>
      </c>
      <c r="DY230" s="33">
        <f t="shared" si="7"/>
        <v>0</v>
      </c>
      <c r="DZ230" s="33">
        <f t="shared" si="8"/>
        <v>0</v>
      </c>
      <c r="EA230" s="25" t="str">
        <f>(Sheet1!N230)</f>
        <v>Vikas Autowheels</v>
      </c>
      <c r="EB230" s="25" t="str">
        <f>(Sheet1!O230)</f>
        <v>1944RLX7T1M23YXRXYoMnJ6nD_bKLldQXRpFRA0rDLvg</v>
      </c>
      <c r="EC230" s="26" t="str">
        <f>(Sheet1!P230)</f>
        <v>Sub Dealer</v>
      </c>
      <c r="ED230" s="34" t="s">
        <v>13</v>
      </c>
    </row>
    <row r="231">
      <c r="A231" s="26" t="str">
        <f>(Sheet1!A231)</f>
        <v>19-6IeElMwTssF4aorJkfA7Hy5Pfa62mHkj31T_xKwZg</v>
      </c>
      <c r="B231" s="26" t="str">
        <f>(Sheet1!B231)</f>
        <v>VIJAY AGENCY(AAA) - Aligarh</v>
      </c>
      <c r="C231" s="34" t="s">
        <v>13</v>
      </c>
      <c r="D231" s="34" t="s">
        <v>72</v>
      </c>
      <c r="E231" s="30" t="s">
        <v>3819</v>
      </c>
      <c r="F231" s="40">
        <v>155.0</v>
      </c>
      <c r="G231" s="34" t="s">
        <v>3818</v>
      </c>
      <c r="H231" s="34">
        <v>100.0</v>
      </c>
      <c r="I231" s="33">
        <f>'Old Balance Sheet'!A231 + 'ACPL Calculations - 1.0'!A231 + 'ACPL Calculations - 2.0'!A231</f>
        <v>0</v>
      </c>
      <c r="J231" s="30" t="s">
        <v>3819</v>
      </c>
      <c r="K231" s="31">
        <v>155.0</v>
      </c>
      <c r="L231" s="34" t="s">
        <v>3818</v>
      </c>
      <c r="M231" s="34">
        <v>100.0</v>
      </c>
      <c r="N231" s="33">
        <f>'Old Balance Sheet'!B231 + 'ACPL Calculations - 1.0'!B231 + 'ACPL Calculations - 2.0'!B231</f>
        <v>0</v>
      </c>
      <c r="O231" s="30" t="s">
        <v>3819</v>
      </c>
      <c r="P231" s="31">
        <v>155.0</v>
      </c>
      <c r="Q231" s="34" t="s">
        <v>3818</v>
      </c>
      <c r="R231" s="34">
        <v>100.0</v>
      </c>
      <c r="S231" s="33">
        <f>'Old Balance Sheet'!C231 + 'ACPL Calculations - 1.0'!C231 + 'ACPL Calculations - 2.0'!C231</f>
        <v>0</v>
      </c>
      <c r="T231" s="30" t="s">
        <v>3819</v>
      </c>
      <c r="U231" s="31">
        <v>155.0</v>
      </c>
      <c r="V231" s="34" t="s">
        <v>3818</v>
      </c>
      <c r="W231" s="34">
        <v>100.0</v>
      </c>
      <c r="X231" s="33">
        <f>'Old Balance Sheet'!D231 + 'ACPL Calculations - 1.0'!D231 + 'ACPL Calculations - 2.0'!D231</f>
        <v>0</v>
      </c>
      <c r="Y231" s="30" t="s">
        <v>3819</v>
      </c>
      <c r="Z231" s="41">
        <v>155.0</v>
      </c>
      <c r="AA231" s="32" t="s">
        <v>3818</v>
      </c>
      <c r="AB231" s="31">
        <v>100.0</v>
      </c>
      <c r="AC231" s="33">
        <f>'Old Balance Sheet'!E231 + 'ACPL Calculations - 1.0'!E231 + 'ACPL Calculations - 2.0'!E231</f>
        <v>405</v>
      </c>
      <c r="AD231" s="30" t="s">
        <v>3819</v>
      </c>
      <c r="AE231" s="34">
        <v>838.99</v>
      </c>
      <c r="AF231" s="32" t="s">
        <v>3818</v>
      </c>
      <c r="AG231" s="31">
        <v>100.0</v>
      </c>
      <c r="AH231" s="33">
        <f>'Old Balance Sheet'!F231 + 'ACPL Calculations - 1.0'!F231 + 'ACPL Calculations - 2.0'!F231</f>
        <v>0</v>
      </c>
      <c r="AI231" s="30" t="s">
        <v>3819</v>
      </c>
      <c r="AJ231" s="31">
        <v>155.0</v>
      </c>
      <c r="AK231" s="32" t="s">
        <v>3818</v>
      </c>
      <c r="AL231" s="31">
        <v>100.0</v>
      </c>
      <c r="AM231" s="33">
        <f>'Old Balance Sheet'!G231 + 'ACPL Calculations - 1.0'!G231 + 'ACPL Calculations - 2.0'!G231</f>
        <v>0</v>
      </c>
      <c r="AN231" s="30" t="s">
        <v>3819</v>
      </c>
      <c r="AO231" s="31">
        <v>155.0</v>
      </c>
      <c r="AP231" s="32" t="s">
        <v>3818</v>
      </c>
      <c r="AQ231" s="31">
        <v>100.0</v>
      </c>
      <c r="AR231" s="33">
        <f>'Old Balance Sheet'!H231 + 'ACPL Calculations - 1.0'!H231 + 'ACPL Calculations - 2.0'!H231</f>
        <v>0</v>
      </c>
      <c r="AS231" s="34" t="s">
        <v>3819</v>
      </c>
      <c r="AT231" s="34">
        <v>838.99</v>
      </c>
      <c r="AU231" s="32" t="s">
        <v>3818</v>
      </c>
      <c r="AV231" s="31">
        <v>100.0</v>
      </c>
      <c r="AW231" s="33">
        <f>'Old Balance Sheet'!I231 + 'ACPL Calculations - 1.0'!I231 + 'ACPL Calculations - 2.0'!I231</f>
        <v>0</v>
      </c>
      <c r="AX231" s="30" t="s">
        <v>3819</v>
      </c>
      <c r="AY231" s="31">
        <v>155.0</v>
      </c>
      <c r="AZ231" s="32" t="s">
        <v>3818</v>
      </c>
      <c r="BA231" s="31">
        <v>100.0</v>
      </c>
      <c r="BB231" s="33">
        <f>'Old Balance Sheet'!J231 + 'ACPL Calculations - 1.0'!J231 + 'ACPL Calculations - 2.0'!J231</f>
        <v>0</v>
      </c>
      <c r="BC231" s="30" t="s">
        <v>3819</v>
      </c>
      <c r="BD231" s="31">
        <v>155.0</v>
      </c>
      <c r="BE231" s="32" t="s">
        <v>3818</v>
      </c>
      <c r="BF231" s="31">
        <v>100.0</v>
      </c>
      <c r="BG231" s="33">
        <f>'Old Balance Sheet'!K231 + 'ACPL Calculations - 1.0'!K231 + 'ACPL Calculations - 2.0'!K231</f>
        <v>0</v>
      </c>
      <c r="BH231" s="30" t="s">
        <v>3819</v>
      </c>
      <c r="BI231" s="31">
        <v>155.0</v>
      </c>
      <c r="BJ231" s="32" t="s">
        <v>3818</v>
      </c>
      <c r="BK231" s="31">
        <v>100.0</v>
      </c>
      <c r="BL231" s="33">
        <f>'Old Balance Sheet'!L231 + 'ACPL Calculations - 1.0'!L231 + 'ACPL Calculations - 2.0'!L231</f>
        <v>0</v>
      </c>
      <c r="CL231" s="33">
        <f t="shared" si="1"/>
        <v>405</v>
      </c>
      <c r="CM231" s="33">
        <f>'Old Balance Sheet'!R231 + 'ACPL Calculations - 1.0'!S231 + 'ACPL Calculations - 2.0'!S231</f>
        <v>83774.1</v>
      </c>
      <c r="CN231" s="33">
        <f>'Old Balance Sheet'!S231 + 'ACPL Calculations - 1.0'!T231 + 'ACPL Calculations - 2.0'!T231</f>
        <v>70995</v>
      </c>
      <c r="CO231" s="33">
        <f t="shared" si="2"/>
        <v>83774.1</v>
      </c>
      <c r="CP231" s="33">
        <f>'Old Balance Sheet'!T231 + 'ACPL Calculations - 1.0'!V231 + 'ACPL Calculations - 2.0'!V231</f>
        <v>0</v>
      </c>
      <c r="CQ231" s="33">
        <f>'Old Balance Sheet'!U231 + 'ACPL Calculations - 1.0'!W231 + 'ACPL Calculations - 2.0'!W231</f>
        <v>0</v>
      </c>
      <c r="CR231" s="33">
        <f>'Old Balance Sheet'!V231 + 'ACPL Calculations - 1.0'!X231 + 'ACPL Calculations - 2.0'!X231</f>
        <v>12779.1</v>
      </c>
      <c r="CS231" s="33">
        <f t="shared" si="3"/>
        <v>12779.1</v>
      </c>
      <c r="CT231" s="35"/>
      <c r="CU231" s="35"/>
      <c r="CV231" s="35"/>
      <c r="CW231" s="36">
        <f>'Old Balance Sheet'!W231 + 'ACPL Calculations - 1.0'!Z231 + 'ACPL Calculations - 2.0'!Z231</f>
        <v>0</v>
      </c>
      <c r="CX231" s="36">
        <f>'Old Balance Sheet'!X231 + 'ACPL Calculations - 1.0'!AA231 + 'ACPL Calculations - 2.0'!AA231</f>
        <v>0</v>
      </c>
      <c r="CY231" s="37">
        <v>0.0</v>
      </c>
      <c r="CZ231" s="38">
        <f>'Old Balance Sheet'!Y231 + 'ACPL Calculations - 1.0'!AB231 + 'ACPL Calculations - 2.0'!AB231</f>
        <v>0</v>
      </c>
      <c r="DA231" s="38">
        <f>'Old Balance Sheet'!Z231 + 'ACPL Calculations - 1.0'!AC231 + 'ACPL Calculations - 2.0'!AC231</f>
        <v>0</v>
      </c>
      <c r="DB231" s="38">
        <f>'Old Balance Sheet'!AA231 + 'ACPL Calculations - 1.0'!AD231 + 'ACPL Calculations - 2.0'!AD231</f>
        <v>0</v>
      </c>
      <c r="DC231" s="38">
        <f>'Old Balance Sheet'!AB231 + 'ACPL Calculations - 1.0'!AE231 + 'ACPL Calculations - 2.0'!AE231</f>
        <v>0</v>
      </c>
      <c r="DD231" s="38">
        <f t="shared" si="4"/>
        <v>0</v>
      </c>
      <c r="DE231" s="33">
        <f t="shared" si="5"/>
        <v>0</v>
      </c>
      <c r="DF231" s="35">
        <v>0.0</v>
      </c>
      <c r="DG231" s="35">
        <v>0.0</v>
      </c>
      <c r="DH231" s="35">
        <v>0.0</v>
      </c>
      <c r="DI231" s="35">
        <v>0.0</v>
      </c>
      <c r="DJ231" s="35">
        <v>0.0</v>
      </c>
      <c r="DK231" s="35">
        <v>0.0</v>
      </c>
      <c r="DL231" s="35">
        <v>0.0</v>
      </c>
      <c r="DM231" s="35">
        <v>0.0</v>
      </c>
      <c r="DN231" s="31">
        <v>0.0</v>
      </c>
      <c r="DO231" s="31">
        <v>0.0</v>
      </c>
      <c r="DP231" s="31">
        <v>0.0</v>
      </c>
      <c r="DQ231" s="31">
        <v>0.0</v>
      </c>
      <c r="DR231" s="31">
        <v>0.0</v>
      </c>
      <c r="DS231" s="31">
        <v>0.0</v>
      </c>
      <c r="DT231" s="31">
        <f>'Old Balance Sheet'!AC231</f>
        <v>0</v>
      </c>
      <c r="DU231" s="31">
        <f>DT231 + SUMIFS('Payments Log'!D:D, 'Payments Log'!B:B, A231, 'Payments Log'!L:L, "Approved", 'Payments Log'!M:M, "Credit") + 'Old Balance Sheet'!AD231 - 'Old Balance Sheet'!AC231</f>
        <v>0</v>
      </c>
      <c r="DV231" s="31">
        <f>SUMIFS('Payments Log'!D:D, 'Payments Log'!B:B, A231, 'Payments Log'!L:L, "Approved", 'Payments Log'!M:M, "Adjustment Credit") - SUMIFS('Payments Log'!D:D, 'Payments Log'!B:B, A231, 'Payments Log'!L:L, "Approved", 'Payments Log'!M:M, "Adjustment Debit") + 'Old Balance Sheet'!AE231</f>
        <v>0</v>
      </c>
      <c r="DW231" s="31">
        <f>IF(MAXIFS('Payments Log'!N:N, 'Payments Log'!L:L, "Approved", 'Payments Log'!M:M, "Credit", 'Payments Log'!B:B, A231) &gt; MAXIFS('Payments Log'!N:N, 'Payments Log'!L:L, "Approved", 'Payments Log'!M:M, "Virtual Credit", 'Payments Log'!B:B, A231), 0, SUMIFS('Payments Log'!D:D, 'Payments Log'!N:N, MAXIFS('Payments Log'!N:N, 'Payments Log'!L:L, "Approved", 'Payments Log'!M:M, "Virtual Credit", 'Payments Log'!B:B, A231)))</f>
        <v>0</v>
      </c>
      <c r="DX231" s="33">
        <f t="shared" si="6"/>
        <v>0</v>
      </c>
      <c r="DY231" s="33">
        <f t="shared" si="7"/>
        <v>0</v>
      </c>
      <c r="DZ231" s="33">
        <f t="shared" si="8"/>
        <v>0</v>
      </c>
      <c r="EA231" s="25" t="str">
        <f>(Sheet1!N231)</f>
        <v>AAA</v>
      </c>
      <c r="EB231" s="25" t="str">
        <f>(Sheet1!O231)</f>
        <v>1AjVyIHPgPw3jscNmkTH1qzR2RokK5FZaJLjeNfOiYAA</v>
      </c>
      <c r="EC231" s="26" t="str">
        <f>(Sheet1!P231)</f>
        <v>Sub Dealer</v>
      </c>
      <c r="ED231" s="34" t="s">
        <v>13</v>
      </c>
    </row>
    <row r="232">
      <c r="A232" s="26" t="str">
        <f>(Sheet1!A232)</f>
        <v>1IvhNiO_rNg1IV2ApA-e8TfjWXV5sahUvtIFjbiqS99s</v>
      </c>
      <c r="B232" s="26" t="str">
        <f>(Sheet1!B232)</f>
        <v>Shivay Motors (AAA) - Vijaygarh</v>
      </c>
      <c r="C232" s="34" t="s">
        <v>13</v>
      </c>
      <c r="D232" s="34" t="s">
        <v>72</v>
      </c>
      <c r="E232" s="30" t="s">
        <v>3819</v>
      </c>
      <c r="F232" s="40">
        <v>155.0</v>
      </c>
      <c r="G232" s="34" t="s">
        <v>3818</v>
      </c>
      <c r="H232" s="34">
        <v>100.0</v>
      </c>
      <c r="I232" s="33">
        <f>'Old Balance Sheet'!A232 + 'ACPL Calculations - 1.0'!A232 + 'ACPL Calculations - 2.0'!A232</f>
        <v>0</v>
      </c>
      <c r="J232" s="30" t="s">
        <v>3819</v>
      </c>
      <c r="K232" s="31">
        <v>155.0</v>
      </c>
      <c r="L232" s="34" t="s">
        <v>3818</v>
      </c>
      <c r="M232" s="34">
        <v>100.0</v>
      </c>
      <c r="N232" s="33">
        <f>'Old Balance Sheet'!B232 + 'ACPL Calculations - 1.0'!B232 + 'ACPL Calculations - 2.0'!B232</f>
        <v>0</v>
      </c>
      <c r="O232" s="30" t="s">
        <v>3819</v>
      </c>
      <c r="P232" s="31">
        <v>155.0</v>
      </c>
      <c r="Q232" s="34" t="s">
        <v>3818</v>
      </c>
      <c r="R232" s="34">
        <v>100.0</v>
      </c>
      <c r="S232" s="33">
        <f>'Old Balance Sheet'!C232 + 'ACPL Calculations - 1.0'!C232 + 'ACPL Calculations - 2.0'!C232</f>
        <v>0</v>
      </c>
      <c r="T232" s="30" t="s">
        <v>3819</v>
      </c>
      <c r="U232" s="31">
        <v>155.0</v>
      </c>
      <c r="V232" s="34" t="s">
        <v>3818</v>
      </c>
      <c r="W232" s="34">
        <v>100.0</v>
      </c>
      <c r="X232" s="33">
        <f>'Old Balance Sheet'!D232 + 'ACPL Calculations - 1.0'!D232 + 'ACPL Calculations - 2.0'!D232</f>
        <v>0</v>
      </c>
      <c r="Y232" s="30" t="s">
        <v>3819</v>
      </c>
      <c r="Z232" s="41">
        <v>155.0</v>
      </c>
      <c r="AA232" s="32" t="s">
        <v>3818</v>
      </c>
      <c r="AB232" s="31">
        <v>100.0</v>
      </c>
      <c r="AC232" s="33">
        <f>'Old Balance Sheet'!E232 + 'ACPL Calculations - 1.0'!E232 + 'ACPL Calculations - 2.0'!E232</f>
        <v>0</v>
      </c>
      <c r="AD232" s="30" t="s">
        <v>3819</v>
      </c>
      <c r="AE232" s="34">
        <v>838.99</v>
      </c>
      <c r="AF232" s="32" t="s">
        <v>3818</v>
      </c>
      <c r="AG232" s="31">
        <v>100.0</v>
      </c>
      <c r="AH232" s="33">
        <f>'Old Balance Sheet'!F232 + 'ACPL Calculations - 1.0'!F232 + 'ACPL Calculations - 2.0'!F232</f>
        <v>0</v>
      </c>
      <c r="AI232" s="30" t="s">
        <v>3819</v>
      </c>
      <c r="AJ232" s="31">
        <v>155.0</v>
      </c>
      <c r="AK232" s="32" t="s">
        <v>3818</v>
      </c>
      <c r="AL232" s="31">
        <v>100.0</v>
      </c>
      <c r="AM232" s="33">
        <f>'Old Balance Sheet'!G232 + 'ACPL Calculations - 1.0'!G232 + 'ACPL Calculations - 2.0'!G232</f>
        <v>0</v>
      </c>
      <c r="AN232" s="30" t="s">
        <v>3819</v>
      </c>
      <c r="AO232" s="31">
        <v>155.0</v>
      </c>
      <c r="AP232" s="32" t="s">
        <v>3818</v>
      </c>
      <c r="AQ232" s="31">
        <v>100.0</v>
      </c>
      <c r="AR232" s="33">
        <f>'Old Balance Sheet'!H232 + 'ACPL Calculations - 1.0'!H232 + 'ACPL Calculations - 2.0'!H232</f>
        <v>0</v>
      </c>
      <c r="AS232" s="34" t="s">
        <v>3819</v>
      </c>
      <c r="AT232" s="34">
        <v>838.99</v>
      </c>
      <c r="AU232" s="32" t="s">
        <v>3818</v>
      </c>
      <c r="AV232" s="31">
        <v>100.0</v>
      </c>
      <c r="AW232" s="33">
        <f>'Old Balance Sheet'!I232 + 'ACPL Calculations - 1.0'!I232 + 'ACPL Calculations - 2.0'!I232</f>
        <v>0</v>
      </c>
      <c r="AX232" s="30" t="s">
        <v>3819</v>
      </c>
      <c r="AY232" s="31">
        <v>155.0</v>
      </c>
      <c r="AZ232" s="32" t="s">
        <v>3818</v>
      </c>
      <c r="BA232" s="31">
        <v>100.0</v>
      </c>
      <c r="BB232" s="33">
        <f>'Old Balance Sheet'!J232 + 'ACPL Calculations - 1.0'!J232 + 'ACPL Calculations - 2.0'!J232</f>
        <v>0</v>
      </c>
      <c r="BC232" s="30" t="s">
        <v>3819</v>
      </c>
      <c r="BD232" s="31">
        <v>155.0</v>
      </c>
      <c r="BE232" s="32" t="s">
        <v>3818</v>
      </c>
      <c r="BF232" s="31">
        <v>100.0</v>
      </c>
      <c r="BG232" s="33">
        <f>'Old Balance Sheet'!K232 + 'ACPL Calculations - 1.0'!K232 + 'ACPL Calculations - 2.0'!K232</f>
        <v>0</v>
      </c>
      <c r="BH232" s="30" t="s">
        <v>3819</v>
      </c>
      <c r="BI232" s="31">
        <v>155.0</v>
      </c>
      <c r="BJ232" s="32" t="s">
        <v>3818</v>
      </c>
      <c r="BK232" s="31">
        <v>100.0</v>
      </c>
      <c r="BL232" s="33">
        <f>'Old Balance Sheet'!L232 + 'ACPL Calculations - 1.0'!L232 + 'ACPL Calculations - 2.0'!L232</f>
        <v>0</v>
      </c>
      <c r="CL232" s="33">
        <f t="shared" si="1"/>
        <v>0</v>
      </c>
      <c r="CM232" s="33">
        <f>'Old Balance Sheet'!R232 + 'ACPL Calculations - 1.0'!S232 + 'ACPL Calculations - 2.0'!S232</f>
        <v>0</v>
      </c>
      <c r="CN232" s="33">
        <f>'Old Balance Sheet'!S232 + 'ACPL Calculations - 1.0'!T232 + 'ACPL Calculations - 2.0'!T232</f>
        <v>0</v>
      </c>
      <c r="CO232" s="33">
        <f t="shared" si="2"/>
        <v>0</v>
      </c>
      <c r="CP232" s="33">
        <f>'Old Balance Sheet'!T232 + 'ACPL Calculations - 1.0'!V232 + 'ACPL Calculations - 2.0'!V232</f>
        <v>0</v>
      </c>
      <c r="CQ232" s="33">
        <f>'Old Balance Sheet'!U232 + 'ACPL Calculations - 1.0'!W232 + 'ACPL Calculations - 2.0'!W232</f>
        <v>0</v>
      </c>
      <c r="CR232" s="33">
        <f>'Old Balance Sheet'!V232 + 'ACPL Calculations - 1.0'!X232 + 'ACPL Calculations - 2.0'!X232</f>
        <v>0</v>
      </c>
      <c r="CS232" s="33">
        <f t="shared" si="3"/>
        <v>0</v>
      </c>
      <c r="CT232" s="35"/>
      <c r="CU232" s="35"/>
      <c r="CV232" s="35"/>
      <c r="CW232" s="36">
        <f>'Old Balance Sheet'!W232 + 'ACPL Calculations - 1.0'!Z232 + 'ACPL Calculations - 2.0'!Z232</f>
        <v>0</v>
      </c>
      <c r="CX232" s="36">
        <f>'Old Balance Sheet'!X232 + 'ACPL Calculations - 1.0'!AA232 + 'ACPL Calculations - 2.0'!AA232</f>
        <v>0</v>
      </c>
      <c r="CY232" s="37">
        <v>0.0</v>
      </c>
      <c r="CZ232" s="38">
        <f>'Old Balance Sheet'!Y232 + 'ACPL Calculations - 1.0'!AB232 + 'ACPL Calculations - 2.0'!AB232</f>
        <v>0</v>
      </c>
      <c r="DA232" s="38">
        <f>'Old Balance Sheet'!Z232 + 'ACPL Calculations - 1.0'!AC232 + 'ACPL Calculations - 2.0'!AC232</f>
        <v>0</v>
      </c>
      <c r="DB232" s="38">
        <f>'Old Balance Sheet'!AA232 + 'ACPL Calculations - 1.0'!AD232 + 'ACPL Calculations - 2.0'!AD232</f>
        <v>0</v>
      </c>
      <c r="DC232" s="38">
        <f>'Old Balance Sheet'!AB232 + 'ACPL Calculations - 1.0'!AE232 + 'ACPL Calculations - 2.0'!AE232</f>
        <v>0</v>
      </c>
      <c r="DD232" s="38">
        <f t="shared" si="4"/>
        <v>0</v>
      </c>
      <c r="DE232" s="33">
        <f t="shared" si="5"/>
        <v>0</v>
      </c>
      <c r="DF232" s="35">
        <v>0.0</v>
      </c>
      <c r="DG232" s="35">
        <v>0.0</v>
      </c>
      <c r="DH232" s="35">
        <v>0.0</v>
      </c>
      <c r="DI232" s="35">
        <v>0.0</v>
      </c>
      <c r="DJ232" s="35">
        <v>0.0</v>
      </c>
      <c r="DK232" s="35">
        <v>0.0</v>
      </c>
      <c r="DL232" s="35">
        <v>0.0</v>
      </c>
      <c r="DM232" s="35">
        <v>0.0</v>
      </c>
      <c r="DN232" s="31">
        <v>0.0</v>
      </c>
      <c r="DO232" s="31">
        <v>0.0</v>
      </c>
      <c r="DP232" s="31">
        <v>0.0</v>
      </c>
      <c r="DQ232" s="31">
        <v>0.0</v>
      </c>
      <c r="DR232" s="31">
        <v>0.0</v>
      </c>
      <c r="DS232" s="31">
        <v>0.0</v>
      </c>
      <c r="DT232" s="31">
        <f>'Old Balance Sheet'!AC232</f>
        <v>0</v>
      </c>
      <c r="DU232" s="31">
        <f>DT232 + SUMIFS('Payments Log'!D:D, 'Payments Log'!B:B, A232, 'Payments Log'!L:L, "Approved", 'Payments Log'!M:M, "Credit") + 'Old Balance Sheet'!AD232 - 'Old Balance Sheet'!AC232</f>
        <v>0</v>
      </c>
      <c r="DV232" s="31">
        <f>SUMIFS('Payments Log'!D:D, 'Payments Log'!B:B, A232, 'Payments Log'!L:L, "Approved", 'Payments Log'!M:M, "Adjustment Credit") - SUMIFS('Payments Log'!D:D, 'Payments Log'!B:B, A232, 'Payments Log'!L:L, "Approved", 'Payments Log'!M:M, "Adjustment Debit") + 'Old Balance Sheet'!AE232</f>
        <v>0</v>
      </c>
      <c r="DW232" s="31">
        <f>IF(MAXIFS('Payments Log'!N:N, 'Payments Log'!L:L, "Approved", 'Payments Log'!M:M, "Credit", 'Payments Log'!B:B, A232) &gt; MAXIFS('Payments Log'!N:N, 'Payments Log'!L:L, "Approved", 'Payments Log'!M:M, "Virtual Credit", 'Payments Log'!B:B, A232), 0, SUMIFS('Payments Log'!D:D, 'Payments Log'!N:N, MAXIFS('Payments Log'!N:N, 'Payments Log'!L:L, "Approved", 'Payments Log'!M:M, "Virtual Credit", 'Payments Log'!B:B, A232)))</f>
        <v>0</v>
      </c>
      <c r="DX232" s="33">
        <f t="shared" si="6"/>
        <v>0</v>
      </c>
      <c r="DY232" s="33">
        <f t="shared" si="7"/>
        <v>0</v>
      </c>
      <c r="DZ232" s="33">
        <f t="shared" si="8"/>
        <v>0</v>
      </c>
      <c r="EA232" s="25" t="str">
        <f>(Sheet1!N232)</f>
        <v>AAA</v>
      </c>
      <c r="EB232" s="25" t="str">
        <f>(Sheet1!O232)</f>
        <v>1AjVyIHPgPw3jscNmkTH1qzR2RokK5FZaJLjeNfOiYAA</v>
      </c>
      <c r="EC232" s="26" t="str">
        <f>(Sheet1!P232)</f>
        <v>Sub Dealer</v>
      </c>
      <c r="ED232" s="34" t="s">
        <v>13</v>
      </c>
    </row>
    <row r="233">
      <c r="A233" s="26" t="str">
        <f>(Sheet1!A233)</f>
        <v>1kRyPQWS9rBO-hWXuMRpK-o-u45enSa2VVTYNekPb4kk</v>
      </c>
      <c r="B233" s="26" t="str">
        <f>(Sheet1!B233)</f>
        <v>PASHANKAR AUTO- PUNE</v>
      </c>
      <c r="C233" s="34" t="s">
        <v>13</v>
      </c>
      <c r="D233" s="34" t="s">
        <v>72</v>
      </c>
      <c r="E233" s="34" t="s">
        <v>3817</v>
      </c>
      <c r="F233" s="34">
        <v>205.0</v>
      </c>
      <c r="G233" s="34" t="s">
        <v>3818</v>
      </c>
      <c r="H233" s="34">
        <v>100.0</v>
      </c>
      <c r="I233" s="33">
        <f>'Old Balance Sheet'!A233 + 'ACPL Calculations - 1.0'!A233 + 'ACPL Calculations - 2.0'!A233</f>
        <v>0</v>
      </c>
      <c r="J233" s="34" t="s">
        <v>3817</v>
      </c>
      <c r="K233" s="34">
        <v>205.0</v>
      </c>
      <c r="L233" s="34" t="s">
        <v>3818</v>
      </c>
      <c r="M233" s="34">
        <v>100.0</v>
      </c>
      <c r="N233" s="33">
        <f>'Old Balance Sheet'!B233 + 'ACPL Calculations - 1.0'!B233 + 'ACPL Calculations - 2.0'!B233</f>
        <v>0</v>
      </c>
      <c r="O233" s="34" t="s">
        <v>3817</v>
      </c>
      <c r="P233" s="34">
        <v>290.0</v>
      </c>
      <c r="Q233" s="34" t="s">
        <v>3818</v>
      </c>
      <c r="R233" s="34">
        <v>100.0</v>
      </c>
      <c r="S233" s="33">
        <f>'Old Balance Sheet'!C233 + 'ACPL Calculations - 1.0'!C233 + 'ACPL Calculations - 2.0'!C233</f>
        <v>0</v>
      </c>
      <c r="T233" s="34" t="s">
        <v>3817</v>
      </c>
      <c r="U233" s="34">
        <v>375.0</v>
      </c>
      <c r="V233" s="34" t="s">
        <v>3818</v>
      </c>
      <c r="W233" s="34">
        <v>100.0</v>
      </c>
      <c r="X233" s="33">
        <f>'Old Balance Sheet'!D233 + 'ACPL Calculations - 1.0'!D233 + 'ACPL Calculations - 2.0'!D233</f>
        <v>0</v>
      </c>
      <c r="Y233" s="34" t="s">
        <v>3817</v>
      </c>
      <c r="Z233" s="34">
        <v>460.0</v>
      </c>
      <c r="AA233" s="32" t="s">
        <v>3818</v>
      </c>
      <c r="AB233" s="31">
        <v>100.0</v>
      </c>
      <c r="AC233" s="33">
        <f>'Old Balance Sheet'!E233 + 'ACPL Calculations - 1.0'!E233 + 'ACPL Calculations - 2.0'!E233</f>
        <v>0</v>
      </c>
      <c r="AD233" s="34" t="s">
        <v>3817</v>
      </c>
      <c r="AE233" s="34">
        <v>838.99</v>
      </c>
      <c r="AF233" s="32" t="s">
        <v>3818</v>
      </c>
      <c r="AG233" s="31">
        <v>100.0</v>
      </c>
      <c r="AH233" s="33">
        <f>'Old Balance Sheet'!F233 + 'ACPL Calculations - 1.0'!F233 + 'ACPL Calculations - 2.0'!F233</f>
        <v>0</v>
      </c>
      <c r="AI233" s="34" t="s">
        <v>3817</v>
      </c>
      <c r="AJ233" s="34">
        <v>375.0</v>
      </c>
      <c r="AK233" s="32" t="s">
        <v>3818</v>
      </c>
      <c r="AL233" s="31">
        <v>100.0</v>
      </c>
      <c r="AM233" s="33">
        <f>'Old Balance Sheet'!G233 + 'ACPL Calculations - 1.0'!G233 + 'ACPL Calculations - 2.0'!G233</f>
        <v>0</v>
      </c>
      <c r="AN233" s="34" t="s">
        <v>3817</v>
      </c>
      <c r="AO233" s="34">
        <v>290.0</v>
      </c>
      <c r="AP233" s="32" t="s">
        <v>3818</v>
      </c>
      <c r="AQ233" s="31">
        <v>100.0</v>
      </c>
      <c r="AR233" s="33">
        <f>'Old Balance Sheet'!H233 + 'ACPL Calculations - 1.0'!H233 + 'ACPL Calculations - 2.0'!H233</f>
        <v>0</v>
      </c>
      <c r="AS233" s="34" t="s">
        <v>3819</v>
      </c>
      <c r="AT233" s="34">
        <v>838.99</v>
      </c>
      <c r="AU233" s="32" t="s">
        <v>3818</v>
      </c>
      <c r="AV233" s="31">
        <v>100.0</v>
      </c>
      <c r="AW233" s="33">
        <f>'Old Balance Sheet'!I233 + 'ACPL Calculations - 1.0'!I233 + 'ACPL Calculations - 2.0'!I233</f>
        <v>0</v>
      </c>
      <c r="AX233" s="34" t="s">
        <v>3817</v>
      </c>
      <c r="AY233" s="34">
        <v>290.0</v>
      </c>
      <c r="AZ233" s="32" t="s">
        <v>3818</v>
      </c>
      <c r="BA233" s="31">
        <v>100.0</v>
      </c>
      <c r="BB233" s="33">
        <f>'Old Balance Sheet'!J233 + 'ACPL Calculations - 1.0'!J233 + 'ACPL Calculations - 2.0'!J233</f>
        <v>0</v>
      </c>
      <c r="BC233" s="34" t="s">
        <v>3817</v>
      </c>
      <c r="BD233" s="34">
        <v>170.0</v>
      </c>
      <c r="BE233" s="32" t="s">
        <v>3818</v>
      </c>
      <c r="BF233" s="31">
        <v>100.0</v>
      </c>
      <c r="BG233" s="33">
        <f>'Old Balance Sheet'!K233 + 'ACPL Calculations - 1.0'!K233 + 'ACPL Calculations - 2.0'!K233</f>
        <v>1208</v>
      </c>
      <c r="BH233" s="34" t="s">
        <v>3817</v>
      </c>
      <c r="BI233" s="34">
        <v>170.0</v>
      </c>
      <c r="BJ233" s="32" t="s">
        <v>3818</v>
      </c>
      <c r="BK233" s="31">
        <v>100.0</v>
      </c>
      <c r="BL233" s="33">
        <f>'Old Balance Sheet'!L233 + 'ACPL Calculations - 1.0'!L233 + 'ACPL Calculations - 2.0'!L233</f>
        <v>0</v>
      </c>
      <c r="CL233" s="33">
        <f t="shared" si="1"/>
        <v>1208</v>
      </c>
      <c r="CM233" s="33">
        <f>'Old Balance Sheet'!R233 + 'ACPL Calculations - 1.0'!S233 + 'ACPL Calculations - 2.0'!S233</f>
        <v>646200</v>
      </c>
      <c r="CN233" s="33">
        <f>'Old Balance Sheet'!S233 + 'ACPL Calculations - 1.0'!T233 + 'ACPL Calculations - 2.0'!T233</f>
        <v>244120</v>
      </c>
      <c r="CO233" s="33">
        <f t="shared" si="2"/>
        <v>342687.04</v>
      </c>
      <c r="CP233" s="33">
        <f>'Old Balance Sheet'!T233 + 'ACPL Calculations - 1.0'!V233 + 'ACPL Calculations - 2.0'!V233</f>
        <v>0</v>
      </c>
      <c r="CQ233" s="33">
        <f>'Old Balance Sheet'!U233 + 'ACPL Calculations - 1.0'!W233 + 'ACPL Calculations - 2.0'!W233</f>
        <v>0</v>
      </c>
      <c r="CR233" s="33">
        <f>'Old Balance Sheet'!V233 + 'ACPL Calculations - 1.0'!X233 + 'ACPL Calculations - 2.0'!X233</f>
        <v>98567.04</v>
      </c>
      <c r="CS233" s="33">
        <f t="shared" si="3"/>
        <v>98567.04</v>
      </c>
      <c r="CT233" s="35"/>
      <c r="CU233" s="35"/>
      <c r="CV233" s="35"/>
      <c r="CW233" s="36">
        <f>'Old Balance Sheet'!W233 + 'ACPL Calculations - 1.0'!Z233 + 'ACPL Calculations - 2.0'!Z233</f>
        <v>805302.52</v>
      </c>
      <c r="CX233" s="36">
        <f>'Old Balance Sheet'!X233 + 'ACPL Calculations - 1.0'!AA233 + 'ACPL Calculations - 2.0'!AA233</f>
        <v>634829.26</v>
      </c>
      <c r="CY233" s="37">
        <v>0.0</v>
      </c>
      <c r="CZ233" s="38">
        <f>'Old Balance Sheet'!Y233 + 'ACPL Calculations - 1.0'!AB233 + 'ACPL Calculations - 2.0'!AB233</f>
        <v>653435.06</v>
      </c>
      <c r="DA233" s="38">
        <f>'Old Balance Sheet'!Z233 + 'ACPL Calculations - 1.0'!AC233 + 'ACPL Calculations - 2.0'!AC233</f>
        <v>450287.48</v>
      </c>
      <c r="DB233" s="38">
        <f>'Old Balance Sheet'!AA233 + 'ACPL Calculations - 1.0'!AD233 + 'ACPL Calculations - 2.0'!AD233</f>
        <v>32674.32</v>
      </c>
      <c r="DC233" s="38">
        <f>'Old Balance Sheet'!AB233 + 'ACPL Calculations - 1.0'!AE233 + 'ACPL Calculations - 2.0'!AE233</f>
        <v>170473.26</v>
      </c>
      <c r="DD233" s="38">
        <f t="shared" si="4"/>
        <v>170473.26</v>
      </c>
      <c r="DE233" s="33">
        <f t="shared" si="5"/>
        <v>78606.5</v>
      </c>
      <c r="DF233" s="35">
        <v>0.0</v>
      </c>
      <c r="DG233" s="35">
        <v>0.0</v>
      </c>
      <c r="DH233" s="35">
        <v>0.0</v>
      </c>
      <c r="DI233" s="35">
        <v>0.0</v>
      </c>
      <c r="DJ233" s="35">
        <v>0.0</v>
      </c>
      <c r="DK233" s="35">
        <v>0.0</v>
      </c>
      <c r="DL233" s="35">
        <v>0.0</v>
      </c>
      <c r="DM233" s="35">
        <v>0.0</v>
      </c>
      <c r="DN233" s="31">
        <v>0.0</v>
      </c>
      <c r="DO233" s="31">
        <v>0.0</v>
      </c>
      <c r="DP233" s="31">
        <v>0.0</v>
      </c>
      <c r="DQ233" s="31">
        <v>0.0</v>
      </c>
      <c r="DR233" s="31">
        <v>0.0</v>
      </c>
      <c r="DS233" s="31">
        <v>0.0</v>
      </c>
      <c r="DT233" s="31">
        <f>'Old Balance Sheet'!AC233</f>
        <v>0</v>
      </c>
      <c r="DU233" s="31">
        <f>DT233 + SUMIFS('Payments Log'!D:D, 'Payments Log'!B:B, A233, 'Payments Log'!L:L, "Approved", 'Payments Log'!M:M, "Credit") + 'Old Balance Sheet'!AD233 - 'Old Balance Sheet'!AC233</f>
        <v>542962</v>
      </c>
      <c r="DV233" s="31">
        <f>SUMIFS('Payments Log'!D:D, 'Payments Log'!B:B, A233, 'Payments Log'!L:L, "Approved", 'Payments Log'!M:M, "Adjustment Credit") - SUMIFS('Payments Log'!D:D, 'Payments Log'!B:B, A233, 'Payments Log'!L:L, "Approved", 'Payments Log'!M:M, "Adjustment Debit") + 'Old Balance Sheet'!AE233</f>
        <v>170473.76</v>
      </c>
      <c r="DW233" s="31">
        <f>IF(MAXIFS('Payments Log'!N:N, 'Payments Log'!L:L, "Approved", 'Payments Log'!M:M, "Credit", 'Payments Log'!B:B, A233) &gt; MAXIFS('Payments Log'!N:N, 'Payments Log'!L:L, "Approved", 'Payments Log'!M:M, "Virtual Credit", 'Payments Log'!B:B, A233), 0, SUMIFS('Payments Log'!D:D, 'Payments Log'!N:N, MAXIFS('Payments Log'!N:N, 'Payments Log'!L:L, "Approved", 'Payments Log'!M:M, "Virtual Credit", 'Payments Log'!B:B, A233)))</f>
        <v>0</v>
      </c>
      <c r="DX233" s="33">
        <f t="shared" si="6"/>
        <v>-91866.76</v>
      </c>
      <c r="DY233" s="33">
        <f t="shared" si="7"/>
        <v>78606.5</v>
      </c>
      <c r="DZ233" s="33">
        <f t="shared" si="8"/>
        <v>78606.5</v>
      </c>
      <c r="EA233" s="25" t="str">
        <f>(Sheet1!N233)</f>
        <v>PASHANKAR AUTO- PUNE</v>
      </c>
      <c r="EB233" s="25" t="str">
        <f>(Sheet1!O233)</f>
        <v>1kRyPQWS9rBO-hWXuMRpK-o-u45enSa2VVTYNekPb4kk</v>
      </c>
      <c r="EC233" s="26" t="str">
        <f>(Sheet1!P233)</f>
        <v>Dealer</v>
      </c>
      <c r="ED233" s="34" t="s">
        <v>13</v>
      </c>
    </row>
    <row r="234">
      <c r="A234" s="26" t="str">
        <f>(Sheet1!A234)</f>
        <v>1R0uwjETF80Vss8P2a0gSsIF2iqphq4WIGrUlHbCVjKw</v>
      </c>
      <c r="B234" s="26" t="str">
        <f>(Sheet1!B234)</f>
        <v>VTECH TVS- AHMEDABAD</v>
      </c>
      <c r="C234" s="34" t="s">
        <v>13</v>
      </c>
      <c r="D234" s="34" t="s">
        <v>72</v>
      </c>
      <c r="E234" s="34" t="s">
        <v>3817</v>
      </c>
      <c r="F234" s="34">
        <v>205.0</v>
      </c>
      <c r="G234" s="34" t="s">
        <v>3818</v>
      </c>
      <c r="H234" s="34">
        <v>100.0</v>
      </c>
      <c r="I234" s="33">
        <f>'Old Balance Sheet'!A234 + 'ACPL Calculations - 1.0'!A234 + 'ACPL Calculations - 2.0'!A234</f>
        <v>0</v>
      </c>
      <c r="J234" s="34" t="s">
        <v>3817</v>
      </c>
      <c r="K234" s="34">
        <v>205.0</v>
      </c>
      <c r="L234" s="34" t="s">
        <v>3818</v>
      </c>
      <c r="M234" s="34">
        <v>100.0</v>
      </c>
      <c r="N234" s="33">
        <f>'Old Balance Sheet'!B234 + 'ACPL Calculations - 1.0'!B234 + 'ACPL Calculations - 2.0'!B234</f>
        <v>0</v>
      </c>
      <c r="O234" s="34" t="s">
        <v>3817</v>
      </c>
      <c r="P234" s="34">
        <v>205.0</v>
      </c>
      <c r="Q234" s="34" t="s">
        <v>3818</v>
      </c>
      <c r="R234" s="34">
        <v>100.0</v>
      </c>
      <c r="S234" s="33">
        <f>'Old Balance Sheet'!C234 + 'ACPL Calculations - 1.0'!C234 + 'ACPL Calculations - 2.0'!C234</f>
        <v>1981</v>
      </c>
      <c r="T234" s="34" t="s">
        <v>3817</v>
      </c>
      <c r="U234" s="34">
        <v>375.0</v>
      </c>
      <c r="V234" s="34" t="s">
        <v>3818</v>
      </c>
      <c r="W234" s="34">
        <v>100.0</v>
      </c>
      <c r="X234" s="33">
        <f>'Old Balance Sheet'!D234 + 'ACPL Calculations - 1.0'!D234 + 'ACPL Calculations - 2.0'!D234</f>
        <v>0</v>
      </c>
      <c r="Y234" s="34" t="s">
        <v>3817</v>
      </c>
      <c r="Z234" s="34">
        <v>460.0</v>
      </c>
      <c r="AA234" s="32" t="s">
        <v>3818</v>
      </c>
      <c r="AB234" s="31">
        <v>100.0</v>
      </c>
      <c r="AC234" s="33">
        <f>'Old Balance Sheet'!E234 + 'ACPL Calculations - 1.0'!E234 + 'ACPL Calculations - 2.0'!E234</f>
        <v>0</v>
      </c>
      <c r="AD234" s="34" t="s">
        <v>3817</v>
      </c>
      <c r="AE234" s="34">
        <v>838.99</v>
      </c>
      <c r="AF234" s="32" t="s">
        <v>3818</v>
      </c>
      <c r="AG234" s="31">
        <v>100.0</v>
      </c>
      <c r="AH234" s="33">
        <f>'Old Balance Sheet'!F234 + 'ACPL Calculations - 1.0'!F234 + 'ACPL Calculations - 2.0'!F234</f>
        <v>0</v>
      </c>
      <c r="AI234" s="34" t="s">
        <v>3817</v>
      </c>
      <c r="AJ234" s="34">
        <v>375.0</v>
      </c>
      <c r="AK234" s="32" t="s">
        <v>3818</v>
      </c>
      <c r="AL234" s="31">
        <v>100.0</v>
      </c>
      <c r="AM234" s="33">
        <f>'Old Balance Sheet'!G234 + 'ACPL Calculations - 1.0'!G234 + 'ACPL Calculations - 2.0'!G234</f>
        <v>0</v>
      </c>
      <c r="AN234" s="34" t="s">
        <v>3817</v>
      </c>
      <c r="AO234" s="34">
        <v>290.0</v>
      </c>
      <c r="AP234" s="32" t="s">
        <v>3818</v>
      </c>
      <c r="AQ234" s="31">
        <v>100.0</v>
      </c>
      <c r="AR234" s="33">
        <f>'Old Balance Sheet'!H234 + 'ACPL Calculations - 1.0'!H234 + 'ACPL Calculations - 2.0'!H234</f>
        <v>0</v>
      </c>
      <c r="AS234" s="34" t="s">
        <v>3819</v>
      </c>
      <c r="AT234" s="34">
        <v>838.99</v>
      </c>
      <c r="AU234" s="32" t="s">
        <v>3818</v>
      </c>
      <c r="AV234" s="31">
        <v>100.0</v>
      </c>
      <c r="AW234" s="33">
        <f>'Old Balance Sheet'!I234 + 'ACPL Calculations - 1.0'!I234 + 'ACPL Calculations - 2.0'!I234</f>
        <v>0</v>
      </c>
      <c r="AX234" s="34" t="s">
        <v>3817</v>
      </c>
      <c r="AY234" s="34">
        <v>290.0</v>
      </c>
      <c r="AZ234" s="32" t="s">
        <v>3818</v>
      </c>
      <c r="BA234" s="31">
        <v>100.0</v>
      </c>
      <c r="BB234" s="33">
        <f>'Old Balance Sheet'!J234 + 'ACPL Calculations - 1.0'!J234 + 'ACPL Calculations - 2.0'!J234</f>
        <v>0</v>
      </c>
      <c r="BC234" s="34" t="s">
        <v>3817</v>
      </c>
      <c r="BD234" s="34">
        <v>205.0</v>
      </c>
      <c r="BE234" s="32" t="s">
        <v>3818</v>
      </c>
      <c r="BF234" s="31">
        <v>100.0</v>
      </c>
      <c r="BG234" s="33">
        <f>'Old Balance Sheet'!K234 + 'ACPL Calculations - 1.0'!K234 + 'ACPL Calculations - 2.0'!K234</f>
        <v>0</v>
      </c>
      <c r="BH234" s="34" t="s">
        <v>3817</v>
      </c>
      <c r="BI234" s="34">
        <v>205.0</v>
      </c>
      <c r="BJ234" s="32" t="s">
        <v>3818</v>
      </c>
      <c r="BK234" s="31">
        <v>100.0</v>
      </c>
      <c r="BL234" s="33">
        <f>'Old Balance Sheet'!L234 + 'ACPL Calculations - 1.0'!L234 + 'ACPL Calculations - 2.0'!L234</f>
        <v>0</v>
      </c>
      <c r="CL234" s="33">
        <f t="shared" si="1"/>
        <v>1981</v>
      </c>
      <c r="CM234" s="33">
        <f>'Old Balance Sheet'!R234 + 'ACPL Calculations - 1.0'!S234 + 'ACPL Calculations - 2.0'!S234</f>
        <v>875602</v>
      </c>
      <c r="CN234" s="33">
        <f>'Old Balance Sheet'!S234 + 'ACPL Calculations - 1.0'!T234 + 'ACPL Calculations - 2.0'!T234</f>
        <v>410955</v>
      </c>
      <c r="CO234" s="33">
        <f t="shared" si="2"/>
        <v>544514.02</v>
      </c>
      <c r="CP234" s="33">
        <f>'Old Balance Sheet'!T234 + 'ACPL Calculations - 1.0'!V234 + 'ACPL Calculations - 2.0'!V234</f>
        <v>0</v>
      </c>
      <c r="CQ234" s="33">
        <f>'Old Balance Sheet'!U234 + 'ACPL Calculations - 1.0'!W234 + 'ACPL Calculations - 2.0'!W234</f>
        <v>0</v>
      </c>
      <c r="CR234" s="33">
        <f>'Old Balance Sheet'!V234 + 'ACPL Calculations - 1.0'!X234 + 'ACPL Calculations - 2.0'!X234</f>
        <v>133559.02</v>
      </c>
      <c r="CS234" s="33">
        <f t="shared" si="3"/>
        <v>133559.02</v>
      </c>
      <c r="CT234" s="35"/>
      <c r="CU234" s="35"/>
      <c r="CV234" s="35"/>
      <c r="CW234" s="36">
        <f>'Old Balance Sheet'!W234 + 'ACPL Calculations - 1.0'!Z234 + 'ACPL Calculations - 2.0'!Z234</f>
        <v>561070.4</v>
      </c>
      <c r="CX234" s="36">
        <f>'Old Balance Sheet'!X234 + 'ACPL Calculations - 1.0'!AA234 + 'ACPL Calculations - 2.0'!AA234</f>
        <v>561070.4</v>
      </c>
      <c r="CY234" s="37">
        <v>0.0</v>
      </c>
      <c r="CZ234" s="38">
        <f>'Old Balance Sheet'!Y234 + 'ACPL Calculations - 1.0'!AB234 + 'ACPL Calculations - 2.0'!AB234</f>
        <v>331087.98</v>
      </c>
      <c r="DA234" s="38">
        <f>'Old Balance Sheet'!Z234 + 'ACPL Calculations - 1.0'!AC234 + 'ACPL Calculations - 2.0'!AC234</f>
        <v>314531.6</v>
      </c>
      <c r="DB234" s="38">
        <f>'Old Balance Sheet'!AA234 + 'ACPL Calculations - 1.0'!AD234 + 'ACPL Calculations - 2.0'!AD234</f>
        <v>16556.38</v>
      </c>
      <c r="DC234" s="38">
        <f>'Old Balance Sheet'!AB234 + 'ACPL Calculations - 1.0'!AE234 + 'ACPL Calculations - 2.0'!AE234</f>
        <v>0</v>
      </c>
      <c r="DD234" s="38">
        <f t="shared" si="4"/>
        <v>0</v>
      </c>
      <c r="DE234" s="33">
        <f t="shared" si="5"/>
        <v>0</v>
      </c>
      <c r="DF234" s="35">
        <v>0.0</v>
      </c>
      <c r="DG234" s="35">
        <v>0.0</v>
      </c>
      <c r="DH234" s="35">
        <v>0.0</v>
      </c>
      <c r="DI234" s="35">
        <v>0.0</v>
      </c>
      <c r="DJ234" s="35">
        <v>0.0</v>
      </c>
      <c r="DK234" s="35">
        <v>0.0</v>
      </c>
      <c r="DL234" s="35">
        <v>0.0</v>
      </c>
      <c r="DM234" s="35">
        <v>0.0</v>
      </c>
      <c r="DN234" s="31">
        <v>0.0</v>
      </c>
      <c r="DO234" s="31">
        <v>0.0</v>
      </c>
      <c r="DP234" s="31">
        <v>0.0</v>
      </c>
      <c r="DQ234" s="31">
        <v>0.0</v>
      </c>
      <c r="DR234" s="31">
        <v>0.0</v>
      </c>
      <c r="DS234" s="31">
        <v>0.0</v>
      </c>
      <c r="DT234" s="31">
        <f>'Old Balance Sheet'!AC234</f>
        <v>0</v>
      </c>
      <c r="DU234" s="31">
        <f>DT234 + SUMIFS('Payments Log'!D:D, 'Payments Log'!B:B, A234, 'Payments Log'!L:L, "Approved", 'Payments Log'!M:M, "Credit") + 'Old Balance Sheet'!AD234 - 'Old Balance Sheet'!AC234</f>
        <v>562000</v>
      </c>
      <c r="DV234" s="31">
        <f>SUMIFS('Payments Log'!D:D, 'Payments Log'!B:B, A234, 'Payments Log'!L:L, "Approved", 'Payments Log'!M:M, "Adjustment Credit") - SUMIFS('Payments Log'!D:D, 'Payments Log'!B:B, A234, 'Payments Log'!L:L, "Approved", 'Payments Log'!M:M, "Adjustment Debit") + 'Old Balance Sheet'!AE234</f>
        <v>0</v>
      </c>
      <c r="DW234" s="31">
        <f>IF(MAXIFS('Payments Log'!N:N, 'Payments Log'!L:L, "Approved", 'Payments Log'!M:M, "Credit", 'Payments Log'!B:B, A234) &gt; MAXIFS('Payments Log'!N:N, 'Payments Log'!L:L, "Approved", 'Payments Log'!M:M, "Virtual Credit", 'Payments Log'!B:B, A234), 0, SUMIFS('Payments Log'!D:D, 'Payments Log'!N:N, MAXIFS('Payments Log'!N:N, 'Payments Log'!L:L, "Approved", 'Payments Log'!M:M, "Virtual Credit", 'Payments Log'!B:B, A234)))</f>
        <v>0</v>
      </c>
      <c r="DX234" s="33">
        <f t="shared" si="6"/>
        <v>929.6</v>
      </c>
      <c r="DY234" s="33">
        <f t="shared" si="7"/>
        <v>929.6</v>
      </c>
      <c r="DZ234" s="33">
        <f t="shared" si="8"/>
        <v>929.6</v>
      </c>
      <c r="EA234" s="25" t="str">
        <f>(Sheet1!N234)</f>
        <v>VTECH TVS- AHMEDABAD</v>
      </c>
      <c r="EB234" s="25" t="str">
        <f>(Sheet1!O234)</f>
        <v>1R0uwjETF80Vss8P2a0gSsIF2iqphq4WIGrUlHbCVjKw</v>
      </c>
      <c r="EC234" s="26" t="str">
        <f>(Sheet1!P234)</f>
        <v>Dealer</v>
      </c>
      <c r="ED234" s="34" t="s">
        <v>13</v>
      </c>
    </row>
    <row r="235">
      <c r="A235" s="26" t="str">
        <f>(Sheet1!A235)</f>
        <v>1rmVM0JAH6j1YGKR-ibbU8XL4IHeTiP7sO3zo1VitOis</v>
      </c>
      <c r="B235" s="26" t="str">
        <f>(Sheet1!B235)</f>
        <v>Tirupati Motors (AAA) - Akarabad</v>
      </c>
      <c r="C235" s="34" t="s">
        <v>13</v>
      </c>
      <c r="D235" s="34" t="s">
        <v>72</v>
      </c>
      <c r="E235" s="30" t="s">
        <v>3819</v>
      </c>
      <c r="F235" s="40">
        <v>155.0</v>
      </c>
      <c r="G235" s="34" t="s">
        <v>3818</v>
      </c>
      <c r="H235" s="34">
        <v>100.0</v>
      </c>
      <c r="I235" s="33">
        <f>'Old Balance Sheet'!A235 + 'ACPL Calculations - 1.0'!A235 + 'ACPL Calculations - 2.0'!A235</f>
        <v>0</v>
      </c>
      <c r="J235" s="30" t="s">
        <v>3819</v>
      </c>
      <c r="K235" s="31">
        <v>155.0</v>
      </c>
      <c r="L235" s="34" t="s">
        <v>3818</v>
      </c>
      <c r="M235" s="34">
        <v>100.0</v>
      </c>
      <c r="N235" s="33">
        <f>'Old Balance Sheet'!B235 + 'ACPL Calculations - 1.0'!B235 + 'ACPL Calculations - 2.0'!B235</f>
        <v>0</v>
      </c>
      <c r="O235" s="30" t="s">
        <v>3819</v>
      </c>
      <c r="P235" s="31">
        <v>155.0</v>
      </c>
      <c r="Q235" s="34" t="s">
        <v>3818</v>
      </c>
      <c r="R235" s="34">
        <v>100.0</v>
      </c>
      <c r="S235" s="33">
        <f>'Old Balance Sheet'!C235 + 'ACPL Calculations - 1.0'!C235 + 'ACPL Calculations - 2.0'!C235</f>
        <v>0</v>
      </c>
      <c r="T235" s="30" t="s">
        <v>3819</v>
      </c>
      <c r="U235" s="31">
        <v>155.0</v>
      </c>
      <c r="V235" s="34" t="s">
        <v>3818</v>
      </c>
      <c r="W235" s="34">
        <v>100.0</v>
      </c>
      <c r="X235" s="33">
        <f>'Old Balance Sheet'!D235 + 'ACPL Calculations - 1.0'!D235 + 'ACPL Calculations - 2.0'!D235</f>
        <v>0</v>
      </c>
      <c r="Y235" s="30" t="s">
        <v>3819</v>
      </c>
      <c r="Z235" s="41">
        <v>155.0</v>
      </c>
      <c r="AA235" s="32" t="s">
        <v>3818</v>
      </c>
      <c r="AB235" s="31">
        <v>100.0</v>
      </c>
      <c r="AC235" s="33">
        <f>'Old Balance Sheet'!E235 + 'ACPL Calculations - 1.0'!E235 + 'ACPL Calculations - 2.0'!E235</f>
        <v>630</v>
      </c>
      <c r="AD235" s="30" t="s">
        <v>3819</v>
      </c>
      <c r="AE235" s="34">
        <v>838.99</v>
      </c>
      <c r="AF235" s="32" t="s">
        <v>3818</v>
      </c>
      <c r="AG235" s="31">
        <v>100.0</v>
      </c>
      <c r="AH235" s="33">
        <f>'Old Balance Sheet'!F235 + 'ACPL Calculations - 1.0'!F235 + 'ACPL Calculations - 2.0'!F235</f>
        <v>0</v>
      </c>
      <c r="AI235" s="30" t="s">
        <v>3819</v>
      </c>
      <c r="AJ235" s="31">
        <v>155.0</v>
      </c>
      <c r="AK235" s="32" t="s">
        <v>3818</v>
      </c>
      <c r="AL235" s="31">
        <v>100.0</v>
      </c>
      <c r="AM235" s="33">
        <f>'Old Balance Sheet'!G235 + 'ACPL Calculations - 1.0'!G235 + 'ACPL Calculations - 2.0'!G235</f>
        <v>0</v>
      </c>
      <c r="AN235" s="30" t="s">
        <v>3819</v>
      </c>
      <c r="AO235" s="31">
        <v>155.0</v>
      </c>
      <c r="AP235" s="32" t="s">
        <v>3818</v>
      </c>
      <c r="AQ235" s="31">
        <v>100.0</v>
      </c>
      <c r="AR235" s="33">
        <f>'Old Balance Sheet'!H235 + 'ACPL Calculations - 1.0'!H235 + 'ACPL Calculations - 2.0'!H235</f>
        <v>0</v>
      </c>
      <c r="AS235" s="34" t="s">
        <v>3819</v>
      </c>
      <c r="AT235" s="34">
        <v>838.99</v>
      </c>
      <c r="AU235" s="32" t="s">
        <v>3818</v>
      </c>
      <c r="AV235" s="31">
        <v>100.0</v>
      </c>
      <c r="AW235" s="33">
        <f>'Old Balance Sheet'!I235 + 'ACPL Calculations - 1.0'!I235 + 'ACPL Calculations - 2.0'!I235</f>
        <v>0</v>
      </c>
      <c r="AX235" s="30" t="s">
        <v>3819</v>
      </c>
      <c r="AY235" s="31">
        <v>155.0</v>
      </c>
      <c r="AZ235" s="32" t="s">
        <v>3818</v>
      </c>
      <c r="BA235" s="31">
        <v>100.0</v>
      </c>
      <c r="BB235" s="33">
        <f>'Old Balance Sheet'!J235 + 'ACPL Calculations - 1.0'!J235 + 'ACPL Calculations - 2.0'!J235</f>
        <v>0</v>
      </c>
      <c r="BC235" s="30" t="s">
        <v>3819</v>
      </c>
      <c r="BD235" s="31">
        <v>155.0</v>
      </c>
      <c r="BE235" s="32" t="s">
        <v>3818</v>
      </c>
      <c r="BF235" s="31">
        <v>100.0</v>
      </c>
      <c r="BG235" s="33">
        <f>'Old Balance Sheet'!K235 + 'ACPL Calculations - 1.0'!K235 + 'ACPL Calculations - 2.0'!K235</f>
        <v>0</v>
      </c>
      <c r="BH235" s="30" t="s">
        <v>3819</v>
      </c>
      <c r="BI235" s="31">
        <v>155.0</v>
      </c>
      <c r="BJ235" s="32" t="s">
        <v>3818</v>
      </c>
      <c r="BK235" s="31">
        <v>100.0</v>
      </c>
      <c r="BL235" s="33">
        <f>'Old Balance Sheet'!L235 + 'ACPL Calculations - 1.0'!L235 + 'ACPL Calculations - 2.0'!L235</f>
        <v>0</v>
      </c>
      <c r="CL235" s="33">
        <f t="shared" si="1"/>
        <v>630</v>
      </c>
      <c r="CM235" s="33">
        <f>'Old Balance Sheet'!R235 + 'ACPL Calculations - 1.0'!S235 + 'ACPL Calculations - 2.0'!S235</f>
        <v>557008.5</v>
      </c>
      <c r="CN235" s="33">
        <f>'Old Balance Sheet'!S235 + 'ACPL Calculations - 1.0'!T235 + 'ACPL Calculations - 2.0'!T235</f>
        <v>101065</v>
      </c>
      <c r="CO235" s="33">
        <f t="shared" si="2"/>
        <v>186031.5</v>
      </c>
      <c r="CP235" s="33">
        <f>'Old Balance Sheet'!T235 + 'ACPL Calculations - 1.0'!V235 + 'ACPL Calculations - 2.0'!V235</f>
        <v>0</v>
      </c>
      <c r="CQ235" s="33">
        <f>'Old Balance Sheet'!U235 + 'ACPL Calculations - 1.0'!W235 + 'ACPL Calculations - 2.0'!W235</f>
        <v>0</v>
      </c>
      <c r="CR235" s="33">
        <f>'Old Balance Sheet'!V235 + 'ACPL Calculations - 1.0'!X235 + 'ACPL Calculations - 2.0'!X235</f>
        <v>84966.5</v>
      </c>
      <c r="CS235" s="33">
        <f t="shared" si="3"/>
        <v>84966.5</v>
      </c>
      <c r="CT235" s="35"/>
      <c r="CU235" s="35"/>
      <c r="CV235" s="35"/>
      <c r="CW235" s="36">
        <f>'Old Balance Sheet'!W235 + 'ACPL Calculations - 1.0'!Z235 + 'ACPL Calculations - 2.0'!Z235</f>
        <v>0</v>
      </c>
      <c r="CX235" s="36">
        <f>'Old Balance Sheet'!X235 + 'ACPL Calculations - 1.0'!AA235 + 'ACPL Calculations - 2.0'!AA235</f>
        <v>0</v>
      </c>
      <c r="CY235" s="37">
        <v>0.0</v>
      </c>
      <c r="CZ235" s="38">
        <f>'Old Balance Sheet'!Y235 + 'ACPL Calculations - 1.0'!AB235 + 'ACPL Calculations - 2.0'!AB235</f>
        <v>0</v>
      </c>
      <c r="DA235" s="38">
        <f>'Old Balance Sheet'!Z235 + 'ACPL Calculations - 1.0'!AC235 + 'ACPL Calculations - 2.0'!AC235</f>
        <v>0</v>
      </c>
      <c r="DB235" s="38">
        <f>'Old Balance Sheet'!AA235 + 'ACPL Calculations - 1.0'!AD235 + 'ACPL Calculations - 2.0'!AD235</f>
        <v>0</v>
      </c>
      <c r="DC235" s="38">
        <f>'Old Balance Sheet'!AB235 + 'ACPL Calculations - 1.0'!AE235 + 'ACPL Calculations - 2.0'!AE235</f>
        <v>0</v>
      </c>
      <c r="DD235" s="38">
        <f t="shared" si="4"/>
        <v>0</v>
      </c>
      <c r="DE235" s="33">
        <f t="shared" si="5"/>
        <v>0</v>
      </c>
      <c r="DF235" s="35">
        <v>0.0</v>
      </c>
      <c r="DG235" s="35">
        <v>0.0</v>
      </c>
      <c r="DH235" s="35">
        <v>0.0</v>
      </c>
      <c r="DI235" s="35">
        <v>0.0</v>
      </c>
      <c r="DJ235" s="35">
        <v>0.0</v>
      </c>
      <c r="DK235" s="35">
        <v>0.0</v>
      </c>
      <c r="DL235" s="35">
        <v>0.0</v>
      </c>
      <c r="DM235" s="35">
        <v>0.0</v>
      </c>
      <c r="DN235" s="31">
        <v>0.0</v>
      </c>
      <c r="DO235" s="31">
        <v>0.0</v>
      </c>
      <c r="DP235" s="31">
        <v>0.0</v>
      </c>
      <c r="DQ235" s="31">
        <v>0.0</v>
      </c>
      <c r="DR235" s="31">
        <v>0.0</v>
      </c>
      <c r="DS235" s="31">
        <v>0.0</v>
      </c>
      <c r="DT235" s="31">
        <f>'Old Balance Sheet'!AC235</f>
        <v>0</v>
      </c>
      <c r="DU235" s="31">
        <f>DT235 + SUMIFS('Payments Log'!D:D, 'Payments Log'!B:B, A235, 'Payments Log'!L:L, "Approved", 'Payments Log'!M:M, "Credit") + 'Old Balance Sheet'!AD235 - 'Old Balance Sheet'!AC235</f>
        <v>0</v>
      </c>
      <c r="DV235" s="31">
        <f>SUMIFS('Payments Log'!D:D, 'Payments Log'!B:B, A235, 'Payments Log'!L:L, "Approved", 'Payments Log'!M:M, "Adjustment Credit") - SUMIFS('Payments Log'!D:D, 'Payments Log'!B:B, A235, 'Payments Log'!L:L, "Approved", 'Payments Log'!M:M, "Adjustment Debit") + 'Old Balance Sheet'!AE235</f>
        <v>0</v>
      </c>
      <c r="DW235" s="31">
        <f>IF(MAXIFS('Payments Log'!N:N, 'Payments Log'!L:L, "Approved", 'Payments Log'!M:M, "Credit", 'Payments Log'!B:B, A235) &gt; MAXIFS('Payments Log'!N:N, 'Payments Log'!L:L, "Approved", 'Payments Log'!M:M, "Virtual Credit", 'Payments Log'!B:B, A235), 0, SUMIFS('Payments Log'!D:D, 'Payments Log'!N:N, MAXIFS('Payments Log'!N:N, 'Payments Log'!L:L, "Approved", 'Payments Log'!M:M, "Virtual Credit", 'Payments Log'!B:B, A235)))</f>
        <v>0</v>
      </c>
      <c r="DX235" s="33">
        <f t="shared" si="6"/>
        <v>0</v>
      </c>
      <c r="DY235" s="33">
        <f t="shared" si="7"/>
        <v>0</v>
      </c>
      <c r="DZ235" s="33">
        <f t="shared" si="8"/>
        <v>0</v>
      </c>
      <c r="EA235" s="25" t="str">
        <f>(Sheet1!N235)</f>
        <v>AAA</v>
      </c>
      <c r="EB235" s="25" t="str">
        <f>(Sheet1!O235)</f>
        <v>1AjVyIHPgPw3jscNmkTH1qzR2RokK5FZaJLjeNfOiYAA</v>
      </c>
      <c r="EC235" s="26" t="str">
        <f>(Sheet1!P235)</f>
        <v>Sub Dealer</v>
      </c>
      <c r="ED235" s="34" t="s">
        <v>13</v>
      </c>
    </row>
    <row r="236">
      <c r="A236" s="26" t="str">
        <f>(Sheet1!A236)</f>
        <v>1_uE35CAqnGldLOvxOd9EuBeNaRXa3FdEC-O8GGHnflo</v>
      </c>
      <c r="B236" s="26" t="str">
        <f>(Sheet1!B236)</f>
        <v>Deepak automobile (AAA) - Alampur</v>
      </c>
      <c r="C236" s="34" t="s">
        <v>13</v>
      </c>
      <c r="D236" s="34" t="s">
        <v>72</v>
      </c>
      <c r="E236" s="30" t="s">
        <v>3819</v>
      </c>
      <c r="F236" s="40">
        <v>155.0</v>
      </c>
      <c r="G236" s="34" t="s">
        <v>3818</v>
      </c>
      <c r="H236" s="34">
        <v>100.0</v>
      </c>
      <c r="I236" s="33">
        <f>'Old Balance Sheet'!A236 + 'ACPL Calculations - 1.0'!A236 + 'ACPL Calculations - 2.0'!A236</f>
        <v>0</v>
      </c>
      <c r="J236" s="30" t="s">
        <v>3819</v>
      </c>
      <c r="K236" s="31">
        <v>155.0</v>
      </c>
      <c r="L236" s="34" t="s">
        <v>3818</v>
      </c>
      <c r="M236" s="34">
        <v>100.0</v>
      </c>
      <c r="N236" s="33">
        <f>'Old Balance Sheet'!B236 + 'ACPL Calculations - 1.0'!B236 + 'ACPL Calculations - 2.0'!B236</f>
        <v>0</v>
      </c>
      <c r="O236" s="30" t="s">
        <v>3819</v>
      </c>
      <c r="P236" s="31">
        <v>155.0</v>
      </c>
      <c r="Q236" s="34" t="s">
        <v>3818</v>
      </c>
      <c r="R236" s="34">
        <v>100.0</v>
      </c>
      <c r="S236" s="33">
        <f>'Old Balance Sheet'!C236 + 'ACPL Calculations - 1.0'!C236 + 'ACPL Calculations - 2.0'!C236</f>
        <v>0</v>
      </c>
      <c r="T236" s="30" t="s">
        <v>3819</v>
      </c>
      <c r="U236" s="31">
        <v>155.0</v>
      </c>
      <c r="V236" s="34" t="s">
        <v>3818</v>
      </c>
      <c r="W236" s="34">
        <v>100.0</v>
      </c>
      <c r="X236" s="33">
        <f>'Old Balance Sheet'!D236 + 'ACPL Calculations - 1.0'!D236 + 'ACPL Calculations - 2.0'!D236</f>
        <v>0</v>
      </c>
      <c r="Y236" s="30" t="s">
        <v>3819</v>
      </c>
      <c r="Z236" s="41">
        <v>155.0</v>
      </c>
      <c r="AA236" s="32" t="s">
        <v>3818</v>
      </c>
      <c r="AB236" s="31">
        <v>100.0</v>
      </c>
      <c r="AC236" s="33">
        <f>'Old Balance Sheet'!E236 + 'ACPL Calculations - 1.0'!E236 + 'ACPL Calculations - 2.0'!E236</f>
        <v>231</v>
      </c>
      <c r="AD236" s="30" t="s">
        <v>3819</v>
      </c>
      <c r="AE236" s="34">
        <v>838.99</v>
      </c>
      <c r="AF236" s="32" t="s">
        <v>3818</v>
      </c>
      <c r="AG236" s="31">
        <v>100.0</v>
      </c>
      <c r="AH236" s="33">
        <f>'Old Balance Sheet'!F236 + 'ACPL Calculations - 1.0'!F236 + 'ACPL Calculations - 2.0'!F236</f>
        <v>0</v>
      </c>
      <c r="AI236" s="30" t="s">
        <v>3819</v>
      </c>
      <c r="AJ236" s="31">
        <v>155.0</v>
      </c>
      <c r="AK236" s="32" t="s">
        <v>3818</v>
      </c>
      <c r="AL236" s="31">
        <v>100.0</v>
      </c>
      <c r="AM236" s="33">
        <f>'Old Balance Sheet'!G236 + 'ACPL Calculations - 1.0'!G236 + 'ACPL Calculations - 2.0'!G236</f>
        <v>0</v>
      </c>
      <c r="AN236" s="30" t="s">
        <v>3819</v>
      </c>
      <c r="AO236" s="31">
        <v>155.0</v>
      </c>
      <c r="AP236" s="32" t="s">
        <v>3818</v>
      </c>
      <c r="AQ236" s="31">
        <v>100.0</v>
      </c>
      <c r="AR236" s="33">
        <f>'Old Balance Sheet'!H236 + 'ACPL Calculations - 1.0'!H236 + 'ACPL Calculations - 2.0'!H236</f>
        <v>0</v>
      </c>
      <c r="AS236" s="34" t="s">
        <v>3819</v>
      </c>
      <c r="AT236" s="34">
        <v>838.99</v>
      </c>
      <c r="AU236" s="32" t="s">
        <v>3818</v>
      </c>
      <c r="AV236" s="31">
        <v>100.0</v>
      </c>
      <c r="AW236" s="33">
        <f>'Old Balance Sheet'!I236 + 'ACPL Calculations - 1.0'!I236 + 'ACPL Calculations - 2.0'!I236</f>
        <v>0</v>
      </c>
      <c r="AX236" s="30" t="s">
        <v>3819</v>
      </c>
      <c r="AY236" s="31">
        <v>155.0</v>
      </c>
      <c r="AZ236" s="32" t="s">
        <v>3818</v>
      </c>
      <c r="BA236" s="31">
        <v>100.0</v>
      </c>
      <c r="BB236" s="33">
        <f>'Old Balance Sheet'!J236 + 'ACPL Calculations - 1.0'!J236 + 'ACPL Calculations - 2.0'!J236</f>
        <v>0</v>
      </c>
      <c r="BC236" s="30" t="s">
        <v>3819</v>
      </c>
      <c r="BD236" s="31">
        <v>155.0</v>
      </c>
      <c r="BE236" s="32" t="s">
        <v>3818</v>
      </c>
      <c r="BF236" s="31">
        <v>100.0</v>
      </c>
      <c r="BG236" s="33">
        <f>'Old Balance Sheet'!K236 + 'ACPL Calculations - 1.0'!K236 + 'ACPL Calculations - 2.0'!K236</f>
        <v>0</v>
      </c>
      <c r="BH236" s="30" t="s">
        <v>3819</v>
      </c>
      <c r="BI236" s="31">
        <v>155.0</v>
      </c>
      <c r="BJ236" s="32" t="s">
        <v>3818</v>
      </c>
      <c r="BK236" s="31">
        <v>100.0</v>
      </c>
      <c r="BL236" s="33">
        <f>'Old Balance Sheet'!L236 + 'ACPL Calculations - 1.0'!L236 + 'ACPL Calculations - 2.0'!L236</f>
        <v>0</v>
      </c>
      <c r="CL236" s="33">
        <f t="shared" si="1"/>
        <v>231</v>
      </c>
      <c r="CM236" s="33">
        <f>'Old Balance Sheet'!R236 + 'ACPL Calculations - 1.0'!S236 + 'ACPL Calculations - 2.0'!S236</f>
        <v>153945.6</v>
      </c>
      <c r="CN236" s="33">
        <f>'Old Balance Sheet'!S236 + 'ACPL Calculations - 1.0'!T236 + 'ACPL Calculations - 2.0'!T236</f>
        <v>36885</v>
      </c>
      <c r="CO236" s="33">
        <f t="shared" si="2"/>
        <v>60368</v>
      </c>
      <c r="CP236" s="33">
        <f>'Old Balance Sheet'!T236 + 'ACPL Calculations - 1.0'!V236 + 'ACPL Calculations - 2.0'!V236</f>
        <v>0</v>
      </c>
      <c r="CQ236" s="33">
        <f>'Old Balance Sheet'!U236 + 'ACPL Calculations - 1.0'!W236 + 'ACPL Calculations - 2.0'!W236</f>
        <v>0</v>
      </c>
      <c r="CR236" s="33">
        <f>'Old Balance Sheet'!V236 + 'ACPL Calculations - 1.0'!X236 + 'ACPL Calculations - 2.0'!X236</f>
        <v>23483</v>
      </c>
      <c r="CS236" s="33">
        <f t="shared" si="3"/>
        <v>23483</v>
      </c>
      <c r="CT236" s="35"/>
      <c r="CU236" s="35"/>
      <c r="CV236" s="35"/>
      <c r="CW236" s="36">
        <f>'Old Balance Sheet'!W236 + 'ACPL Calculations - 1.0'!Z236 + 'ACPL Calculations - 2.0'!Z236</f>
        <v>0</v>
      </c>
      <c r="CX236" s="36">
        <f>'Old Balance Sheet'!X236 + 'ACPL Calculations - 1.0'!AA236 + 'ACPL Calculations - 2.0'!AA236</f>
        <v>0</v>
      </c>
      <c r="CY236" s="37">
        <v>0.0</v>
      </c>
      <c r="CZ236" s="38">
        <f>'Old Balance Sheet'!Y236 + 'ACPL Calculations - 1.0'!AB236 + 'ACPL Calculations - 2.0'!AB236</f>
        <v>0</v>
      </c>
      <c r="DA236" s="38">
        <f>'Old Balance Sheet'!Z236 + 'ACPL Calculations - 1.0'!AC236 + 'ACPL Calculations - 2.0'!AC236</f>
        <v>0</v>
      </c>
      <c r="DB236" s="38">
        <f>'Old Balance Sheet'!AA236 + 'ACPL Calculations - 1.0'!AD236 + 'ACPL Calculations - 2.0'!AD236</f>
        <v>0</v>
      </c>
      <c r="DC236" s="38">
        <f>'Old Balance Sheet'!AB236 + 'ACPL Calculations - 1.0'!AE236 + 'ACPL Calculations - 2.0'!AE236</f>
        <v>0</v>
      </c>
      <c r="DD236" s="38">
        <f t="shared" si="4"/>
        <v>0</v>
      </c>
      <c r="DE236" s="33">
        <f t="shared" si="5"/>
        <v>0</v>
      </c>
      <c r="DF236" s="35">
        <v>0.0</v>
      </c>
      <c r="DG236" s="35">
        <v>0.0</v>
      </c>
      <c r="DH236" s="35">
        <v>0.0</v>
      </c>
      <c r="DI236" s="35">
        <v>0.0</v>
      </c>
      <c r="DJ236" s="35">
        <v>0.0</v>
      </c>
      <c r="DK236" s="35">
        <v>0.0</v>
      </c>
      <c r="DL236" s="35">
        <v>0.0</v>
      </c>
      <c r="DM236" s="35">
        <v>0.0</v>
      </c>
      <c r="DN236" s="31">
        <v>0.0</v>
      </c>
      <c r="DO236" s="31">
        <v>0.0</v>
      </c>
      <c r="DP236" s="31">
        <v>0.0</v>
      </c>
      <c r="DQ236" s="31">
        <v>0.0</v>
      </c>
      <c r="DR236" s="31">
        <v>0.0</v>
      </c>
      <c r="DS236" s="31">
        <v>0.0</v>
      </c>
      <c r="DT236" s="31">
        <f>'Old Balance Sheet'!AC236</f>
        <v>0</v>
      </c>
      <c r="DU236" s="31">
        <f>DT236 + SUMIFS('Payments Log'!D:D, 'Payments Log'!B:B, A236, 'Payments Log'!L:L, "Approved", 'Payments Log'!M:M, "Credit") + 'Old Balance Sheet'!AD236 - 'Old Balance Sheet'!AC236</f>
        <v>0</v>
      </c>
      <c r="DV236" s="31">
        <f>SUMIFS('Payments Log'!D:D, 'Payments Log'!B:B, A236, 'Payments Log'!L:L, "Approved", 'Payments Log'!M:M, "Adjustment Credit") - SUMIFS('Payments Log'!D:D, 'Payments Log'!B:B, A236, 'Payments Log'!L:L, "Approved", 'Payments Log'!M:M, "Adjustment Debit") + 'Old Balance Sheet'!AE236</f>
        <v>0</v>
      </c>
      <c r="DW236" s="31">
        <f>IF(MAXIFS('Payments Log'!N:N, 'Payments Log'!L:L, "Approved", 'Payments Log'!M:M, "Credit", 'Payments Log'!B:B, A236) &gt; MAXIFS('Payments Log'!N:N, 'Payments Log'!L:L, "Approved", 'Payments Log'!M:M, "Virtual Credit", 'Payments Log'!B:B, A236), 0, SUMIFS('Payments Log'!D:D, 'Payments Log'!N:N, MAXIFS('Payments Log'!N:N, 'Payments Log'!L:L, "Approved", 'Payments Log'!M:M, "Virtual Credit", 'Payments Log'!B:B, A236)))</f>
        <v>0</v>
      </c>
      <c r="DX236" s="33">
        <f t="shared" si="6"/>
        <v>0</v>
      </c>
      <c r="DY236" s="33">
        <f t="shared" si="7"/>
        <v>0</v>
      </c>
      <c r="DZ236" s="33">
        <f t="shared" si="8"/>
        <v>0</v>
      </c>
      <c r="EA236" s="25" t="str">
        <f>(Sheet1!N236)</f>
        <v>AAA</v>
      </c>
      <c r="EB236" s="25" t="str">
        <f>(Sheet1!O236)</f>
        <v>1AjVyIHPgPw3jscNmkTH1qzR2RokK5FZaJLjeNfOiYAA</v>
      </c>
      <c r="EC236" s="26" t="str">
        <f>(Sheet1!P236)</f>
        <v>Sub Dealer</v>
      </c>
      <c r="ED236" s="34" t="s">
        <v>13</v>
      </c>
    </row>
    <row r="237">
      <c r="A237" s="26" t="str">
        <f>(Sheet1!A237)</f>
        <v>1gvaMszi7LB0Gn6vUIkvOZFAnvJ4lHvDAQ1gAHX-11Zk</v>
      </c>
      <c r="B237" s="26" t="str">
        <f>(Sheet1!B237)</f>
        <v>Mahadev auto mobiles (AAA) - Jawan</v>
      </c>
      <c r="C237" s="34" t="s">
        <v>13</v>
      </c>
      <c r="D237" s="34" t="s">
        <v>72</v>
      </c>
      <c r="E237" s="30" t="s">
        <v>3819</v>
      </c>
      <c r="F237" s="40">
        <v>155.0</v>
      </c>
      <c r="G237" s="34" t="s">
        <v>3818</v>
      </c>
      <c r="H237" s="34">
        <v>100.0</v>
      </c>
      <c r="I237" s="33">
        <f>'Old Balance Sheet'!A237 + 'ACPL Calculations - 1.0'!A237 + 'ACPL Calculations - 2.0'!A237</f>
        <v>0</v>
      </c>
      <c r="J237" s="30" t="s">
        <v>3819</v>
      </c>
      <c r="K237" s="31">
        <v>155.0</v>
      </c>
      <c r="L237" s="34" t="s">
        <v>3818</v>
      </c>
      <c r="M237" s="34">
        <v>100.0</v>
      </c>
      <c r="N237" s="33">
        <f>'Old Balance Sheet'!B237 + 'ACPL Calculations - 1.0'!B237 + 'ACPL Calculations - 2.0'!B237</f>
        <v>0</v>
      </c>
      <c r="O237" s="30" t="s">
        <v>3819</v>
      </c>
      <c r="P237" s="31">
        <v>155.0</v>
      </c>
      <c r="Q237" s="34" t="s">
        <v>3818</v>
      </c>
      <c r="R237" s="34">
        <v>100.0</v>
      </c>
      <c r="S237" s="33">
        <f>'Old Balance Sheet'!C237 + 'ACPL Calculations - 1.0'!C237 + 'ACPL Calculations - 2.0'!C237</f>
        <v>0</v>
      </c>
      <c r="T237" s="30" t="s">
        <v>3819</v>
      </c>
      <c r="U237" s="31">
        <v>155.0</v>
      </c>
      <c r="V237" s="34" t="s">
        <v>3818</v>
      </c>
      <c r="W237" s="34">
        <v>100.0</v>
      </c>
      <c r="X237" s="33">
        <f>'Old Balance Sheet'!D237 + 'ACPL Calculations - 1.0'!D237 + 'ACPL Calculations - 2.0'!D237</f>
        <v>0</v>
      </c>
      <c r="Y237" s="30" t="s">
        <v>3819</v>
      </c>
      <c r="Z237" s="41">
        <v>155.0</v>
      </c>
      <c r="AA237" s="32" t="s">
        <v>3818</v>
      </c>
      <c r="AB237" s="31">
        <v>100.0</v>
      </c>
      <c r="AC237" s="33">
        <f>'Old Balance Sheet'!E237 + 'ACPL Calculations - 1.0'!E237 + 'ACPL Calculations - 2.0'!E237</f>
        <v>286</v>
      </c>
      <c r="AD237" s="30" t="s">
        <v>3819</v>
      </c>
      <c r="AE237" s="34">
        <v>838.99</v>
      </c>
      <c r="AF237" s="32" t="s">
        <v>3818</v>
      </c>
      <c r="AG237" s="31">
        <v>100.0</v>
      </c>
      <c r="AH237" s="33">
        <f>'Old Balance Sheet'!F237 + 'ACPL Calculations - 1.0'!F237 + 'ACPL Calculations - 2.0'!F237</f>
        <v>0</v>
      </c>
      <c r="AI237" s="30" t="s">
        <v>3819</v>
      </c>
      <c r="AJ237" s="31">
        <v>155.0</v>
      </c>
      <c r="AK237" s="32" t="s">
        <v>3818</v>
      </c>
      <c r="AL237" s="31">
        <v>100.0</v>
      </c>
      <c r="AM237" s="33">
        <f>'Old Balance Sheet'!G237 + 'ACPL Calculations - 1.0'!G237 + 'ACPL Calculations - 2.0'!G237</f>
        <v>0</v>
      </c>
      <c r="AN237" s="30" t="s">
        <v>3819</v>
      </c>
      <c r="AO237" s="31">
        <v>155.0</v>
      </c>
      <c r="AP237" s="32" t="s">
        <v>3818</v>
      </c>
      <c r="AQ237" s="31">
        <v>100.0</v>
      </c>
      <c r="AR237" s="33">
        <f>'Old Balance Sheet'!H237 + 'ACPL Calculations - 1.0'!H237 + 'ACPL Calculations - 2.0'!H237</f>
        <v>0</v>
      </c>
      <c r="AS237" s="34" t="s">
        <v>3819</v>
      </c>
      <c r="AT237" s="34">
        <v>838.99</v>
      </c>
      <c r="AU237" s="32" t="s">
        <v>3818</v>
      </c>
      <c r="AV237" s="31">
        <v>100.0</v>
      </c>
      <c r="AW237" s="33">
        <f>'Old Balance Sheet'!I237 + 'ACPL Calculations - 1.0'!I237 + 'ACPL Calculations - 2.0'!I237</f>
        <v>0</v>
      </c>
      <c r="AX237" s="30" t="s">
        <v>3819</v>
      </c>
      <c r="AY237" s="31">
        <v>155.0</v>
      </c>
      <c r="AZ237" s="32" t="s">
        <v>3818</v>
      </c>
      <c r="BA237" s="31">
        <v>100.0</v>
      </c>
      <c r="BB237" s="33">
        <f>'Old Balance Sheet'!J237 + 'ACPL Calculations - 1.0'!J237 + 'ACPL Calculations - 2.0'!J237</f>
        <v>0</v>
      </c>
      <c r="BC237" s="30" t="s">
        <v>3819</v>
      </c>
      <c r="BD237" s="31">
        <v>155.0</v>
      </c>
      <c r="BE237" s="32" t="s">
        <v>3818</v>
      </c>
      <c r="BF237" s="31">
        <v>100.0</v>
      </c>
      <c r="BG237" s="33">
        <f>'Old Balance Sheet'!K237 + 'ACPL Calculations - 1.0'!K237 + 'ACPL Calculations - 2.0'!K237</f>
        <v>0</v>
      </c>
      <c r="BH237" s="30" t="s">
        <v>3819</v>
      </c>
      <c r="BI237" s="31">
        <v>155.0</v>
      </c>
      <c r="BJ237" s="32" t="s">
        <v>3818</v>
      </c>
      <c r="BK237" s="31">
        <v>100.0</v>
      </c>
      <c r="BL237" s="33">
        <f>'Old Balance Sheet'!L237 + 'ACPL Calculations - 1.0'!L237 + 'ACPL Calculations - 2.0'!L237</f>
        <v>0</v>
      </c>
      <c r="CL237" s="33">
        <f t="shared" si="1"/>
        <v>286</v>
      </c>
      <c r="CM237" s="33">
        <f>'Old Balance Sheet'!R237 + 'ACPL Calculations - 1.0'!S237 + 'ACPL Calculations - 2.0'!S237</f>
        <v>260696.9</v>
      </c>
      <c r="CN237" s="33">
        <f>'Old Balance Sheet'!S237 + 'ACPL Calculations - 1.0'!T237 + 'ACPL Calculations - 2.0'!T237</f>
        <v>46305</v>
      </c>
      <c r="CO237" s="33">
        <f t="shared" si="2"/>
        <v>86071.9</v>
      </c>
      <c r="CP237" s="33">
        <f>'Old Balance Sheet'!T237 + 'ACPL Calculations - 1.0'!V237 + 'ACPL Calculations - 2.0'!V237</f>
        <v>0</v>
      </c>
      <c r="CQ237" s="33">
        <f>'Old Balance Sheet'!U237 + 'ACPL Calculations - 1.0'!W237 + 'ACPL Calculations - 2.0'!W237</f>
        <v>0</v>
      </c>
      <c r="CR237" s="33">
        <f>'Old Balance Sheet'!V237 + 'ACPL Calculations - 1.0'!X237 + 'ACPL Calculations - 2.0'!X237</f>
        <v>39766.9</v>
      </c>
      <c r="CS237" s="33">
        <f t="shared" si="3"/>
        <v>39766.9</v>
      </c>
      <c r="CT237" s="35"/>
      <c r="CU237" s="35"/>
      <c r="CV237" s="35"/>
      <c r="CW237" s="36">
        <f>'Old Balance Sheet'!W237 + 'ACPL Calculations - 1.0'!Z237 + 'ACPL Calculations - 2.0'!Z237</f>
        <v>0</v>
      </c>
      <c r="CX237" s="36">
        <f>'Old Balance Sheet'!X237 + 'ACPL Calculations - 1.0'!AA237 + 'ACPL Calculations - 2.0'!AA237</f>
        <v>0</v>
      </c>
      <c r="CY237" s="37">
        <v>0.0</v>
      </c>
      <c r="CZ237" s="38">
        <f>'Old Balance Sheet'!Y237 + 'ACPL Calculations - 1.0'!AB237 + 'ACPL Calculations - 2.0'!AB237</f>
        <v>0</v>
      </c>
      <c r="DA237" s="38">
        <f>'Old Balance Sheet'!Z237 + 'ACPL Calculations - 1.0'!AC237 + 'ACPL Calculations - 2.0'!AC237</f>
        <v>0</v>
      </c>
      <c r="DB237" s="38">
        <f>'Old Balance Sheet'!AA237 + 'ACPL Calculations - 1.0'!AD237 + 'ACPL Calculations - 2.0'!AD237</f>
        <v>0</v>
      </c>
      <c r="DC237" s="38">
        <f>'Old Balance Sheet'!AB237 + 'ACPL Calculations - 1.0'!AE237 + 'ACPL Calculations - 2.0'!AE237</f>
        <v>0</v>
      </c>
      <c r="DD237" s="38">
        <f t="shared" si="4"/>
        <v>0</v>
      </c>
      <c r="DE237" s="33">
        <f t="shared" si="5"/>
        <v>0</v>
      </c>
      <c r="DF237" s="35">
        <v>0.0</v>
      </c>
      <c r="DG237" s="35">
        <v>0.0</v>
      </c>
      <c r="DH237" s="35">
        <v>0.0</v>
      </c>
      <c r="DI237" s="35">
        <v>0.0</v>
      </c>
      <c r="DJ237" s="35">
        <v>0.0</v>
      </c>
      <c r="DK237" s="35">
        <v>0.0</v>
      </c>
      <c r="DL237" s="35">
        <v>0.0</v>
      </c>
      <c r="DM237" s="35">
        <v>0.0</v>
      </c>
      <c r="DN237" s="31">
        <v>0.0</v>
      </c>
      <c r="DO237" s="31">
        <v>0.0</v>
      </c>
      <c r="DP237" s="31">
        <v>0.0</v>
      </c>
      <c r="DQ237" s="31">
        <v>0.0</v>
      </c>
      <c r="DR237" s="31">
        <v>0.0</v>
      </c>
      <c r="DS237" s="31">
        <v>0.0</v>
      </c>
      <c r="DT237" s="31">
        <f>'Old Balance Sheet'!AC237</f>
        <v>0</v>
      </c>
      <c r="DU237" s="31">
        <f>DT237 + SUMIFS('Payments Log'!D:D, 'Payments Log'!B:B, A237, 'Payments Log'!L:L, "Approved", 'Payments Log'!M:M, "Credit") + 'Old Balance Sheet'!AD237 - 'Old Balance Sheet'!AC237</f>
        <v>0</v>
      </c>
      <c r="DV237" s="31">
        <f>SUMIFS('Payments Log'!D:D, 'Payments Log'!B:B, A237, 'Payments Log'!L:L, "Approved", 'Payments Log'!M:M, "Adjustment Credit") - SUMIFS('Payments Log'!D:D, 'Payments Log'!B:B, A237, 'Payments Log'!L:L, "Approved", 'Payments Log'!M:M, "Adjustment Debit") + 'Old Balance Sheet'!AE237</f>
        <v>0</v>
      </c>
      <c r="DW237" s="31">
        <f>IF(MAXIFS('Payments Log'!N:N, 'Payments Log'!L:L, "Approved", 'Payments Log'!M:M, "Credit", 'Payments Log'!B:B, A237) &gt; MAXIFS('Payments Log'!N:N, 'Payments Log'!L:L, "Approved", 'Payments Log'!M:M, "Virtual Credit", 'Payments Log'!B:B, A237), 0, SUMIFS('Payments Log'!D:D, 'Payments Log'!N:N, MAXIFS('Payments Log'!N:N, 'Payments Log'!L:L, "Approved", 'Payments Log'!M:M, "Virtual Credit", 'Payments Log'!B:B, A237)))</f>
        <v>0</v>
      </c>
      <c r="DX237" s="33">
        <f t="shared" si="6"/>
        <v>0</v>
      </c>
      <c r="DY237" s="33">
        <f t="shared" si="7"/>
        <v>0</v>
      </c>
      <c r="DZ237" s="33">
        <f t="shared" si="8"/>
        <v>0</v>
      </c>
      <c r="EA237" s="25" t="str">
        <f>(Sheet1!N237)</f>
        <v>AAA</v>
      </c>
      <c r="EB237" s="25" t="str">
        <f>(Sheet1!O237)</f>
        <v>1AjVyIHPgPw3jscNmkTH1qzR2RokK5FZaJLjeNfOiYAA</v>
      </c>
      <c r="EC237" s="26" t="str">
        <f>(Sheet1!P237)</f>
        <v>Sub Dealer</v>
      </c>
      <c r="ED237" s="34" t="s">
        <v>13</v>
      </c>
    </row>
    <row r="238">
      <c r="A238" s="26" t="str">
        <f>(Sheet1!A238)</f>
        <v>1uBXS8-e96xatYz1I0NwbT3MoqNyeJMLj5QciM0dVzK4</v>
      </c>
      <c r="B238" s="26" t="str">
        <f>(Sheet1!B238)</f>
        <v>Shiv Shyam (AAA) - Gorai </v>
      </c>
      <c r="C238" s="34" t="s">
        <v>13</v>
      </c>
      <c r="D238" s="34" t="s">
        <v>72</v>
      </c>
      <c r="E238" s="30" t="s">
        <v>3819</v>
      </c>
      <c r="F238" s="40">
        <v>155.0</v>
      </c>
      <c r="G238" s="34" t="s">
        <v>3818</v>
      </c>
      <c r="H238" s="34">
        <v>100.0</v>
      </c>
      <c r="I238" s="33">
        <f>'Old Balance Sheet'!A238 + 'ACPL Calculations - 1.0'!A238 + 'ACPL Calculations - 2.0'!A238</f>
        <v>33</v>
      </c>
      <c r="J238" s="30" t="s">
        <v>3819</v>
      </c>
      <c r="K238" s="31">
        <v>155.0</v>
      </c>
      <c r="L238" s="34" t="s">
        <v>3818</v>
      </c>
      <c r="M238" s="34">
        <v>100.0</v>
      </c>
      <c r="N238" s="33">
        <f>'Old Balance Sheet'!B238 + 'ACPL Calculations - 1.0'!B238 + 'ACPL Calculations - 2.0'!B238</f>
        <v>0</v>
      </c>
      <c r="O238" s="30" t="s">
        <v>3819</v>
      </c>
      <c r="P238" s="31">
        <v>155.0</v>
      </c>
      <c r="Q238" s="34" t="s">
        <v>3818</v>
      </c>
      <c r="R238" s="34">
        <v>100.0</v>
      </c>
      <c r="S238" s="33">
        <f>'Old Balance Sheet'!C238 + 'ACPL Calculations - 1.0'!C238 + 'ACPL Calculations - 2.0'!C238</f>
        <v>0</v>
      </c>
      <c r="T238" s="30" t="s">
        <v>3819</v>
      </c>
      <c r="U238" s="31">
        <v>155.0</v>
      </c>
      <c r="V238" s="34" t="s">
        <v>3818</v>
      </c>
      <c r="W238" s="34">
        <v>100.0</v>
      </c>
      <c r="X238" s="33">
        <f>'Old Balance Sheet'!D238 + 'ACPL Calculations - 1.0'!D238 + 'ACPL Calculations - 2.0'!D238</f>
        <v>0</v>
      </c>
      <c r="Y238" s="30" t="s">
        <v>3819</v>
      </c>
      <c r="Z238" s="41">
        <v>155.0</v>
      </c>
      <c r="AA238" s="32" t="s">
        <v>3818</v>
      </c>
      <c r="AB238" s="31">
        <v>100.0</v>
      </c>
      <c r="AC238" s="33">
        <f>'Old Balance Sheet'!E238 + 'ACPL Calculations - 1.0'!E238 + 'ACPL Calculations - 2.0'!E238</f>
        <v>155</v>
      </c>
      <c r="AD238" s="30" t="s">
        <v>3819</v>
      </c>
      <c r="AE238" s="34">
        <v>838.99</v>
      </c>
      <c r="AF238" s="32" t="s">
        <v>3818</v>
      </c>
      <c r="AG238" s="31">
        <v>100.0</v>
      </c>
      <c r="AH238" s="33">
        <f>'Old Balance Sheet'!F238 + 'ACPL Calculations - 1.0'!F238 + 'ACPL Calculations - 2.0'!F238</f>
        <v>0</v>
      </c>
      <c r="AI238" s="30" t="s">
        <v>3819</v>
      </c>
      <c r="AJ238" s="31">
        <v>155.0</v>
      </c>
      <c r="AK238" s="32" t="s">
        <v>3818</v>
      </c>
      <c r="AL238" s="31">
        <v>100.0</v>
      </c>
      <c r="AM238" s="33">
        <f>'Old Balance Sheet'!G238 + 'ACPL Calculations - 1.0'!G238 + 'ACPL Calculations - 2.0'!G238</f>
        <v>0</v>
      </c>
      <c r="AN238" s="30" t="s">
        <v>3819</v>
      </c>
      <c r="AO238" s="31">
        <v>155.0</v>
      </c>
      <c r="AP238" s="32" t="s">
        <v>3818</v>
      </c>
      <c r="AQ238" s="31">
        <v>100.0</v>
      </c>
      <c r="AR238" s="33">
        <f>'Old Balance Sheet'!H238 + 'ACPL Calculations - 1.0'!H238 + 'ACPL Calculations - 2.0'!H238</f>
        <v>0</v>
      </c>
      <c r="AS238" s="34" t="s">
        <v>3819</v>
      </c>
      <c r="AT238" s="34">
        <v>838.99</v>
      </c>
      <c r="AU238" s="32" t="s">
        <v>3818</v>
      </c>
      <c r="AV238" s="31">
        <v>100.0</v>
      </c>
      <c r="AW238" s="33">
        <f>'Old Balance Sheet'!I238 + 'ACPL Calculations - 1.0'!I238 + 'ACPL Calculations - 2.0'!I238</f>
        <v>0</v>
      </c>
      <c r="AX238" s="30" t="s">
        <v>3819</v>
      </c>
      <c r="AY238" s="31">
        <v>155.0</v>
      </c>
      <c r="AZ238" s="32" t="s">
        <v>3818</v>
      </c>
      <c r="BA238" s="31">
        <v>100.0</v>
      </c>
      <c r="BB238" s="33">
        <f>'Old Balance Sheet'!J238 + 'ACPL Calculations - 1.0'!J238 + 'ACPL Calculations - 2.0'!J238</f>
        <v>0</v>
      </c>
      <c r="BC238" s="30" t="s">
        <v>3819</v>
      </c>
      <c r="BD238" s="31">
        <v>155.0</v>
      </c>
      <c r="BE238" s="32" t="s">
        <v>3818</v>
      </c>
      <c r="BF238" s="31">
        <v>100.0</v>
      </c>
      <c r="BG238" s="33">
        <f>'Old Balance Sheet'!K238 + 'ACPL Calculations - 1.0'!K238 + 'ACPL Calculations - 2.0'!K238</f>
        <v>0</v>
      </c>
      <c r="BH238" s="30" t="s">
        <v>3819</v>
      </c>
      <c r="BI238" s="31">
        <v>155.0</v>
      </c>
      <c r="BJ238" s="32" t="s">
        <v>3818</v>
      </c>
      <c r="BK238" s="31">
        <v>100.0</v>
      </c>
      <c r="BL238" s="33">
        <f>'Old Balance Sheet'!L238 + 'ACPL Calculations - 1.0'!L238 + 'ACPL Calculations - 2.0'!L238</f>
        <v>0</v>
      </c>
      <c r="CL238" s="33">
        <f t="shared" si="1"/>
        <v>188</v>
      </c>
      <c r="CM238" s="33">
        <f>'Old Balance Sheet'!R238 + 'ACPL Calculations - 1.0'!S238 + 'ACPL Calculations - 2.0'!S238</f>
        <v>114157.7</v>
      </c>
      <c r="CN238" s="33">
        <f>'Old Balance Sheet'!S238 + 'ACPL Calculations - 1.0'!T238 + 'ACPL Calculations - 2.0'!T238</f>
        <v>29340</v>
      </c>
      <c r="CO238" s="33">
        <f t="shared" si="2"/>
        <v>46753.69</v>
      </c>
      <c r="CP238" s="33">
        <f>'Old Balance Sheet'!T238 + 'ACPL Calculations - 1.0'!V238 + 'ACPL Calculations - 2.0'!V238</f>
        <v>0</v>
      </c>
      <c r="CQ238" s="33">
        <f>'Old Balance Sheet'!U238 + 'ACPL Calculations - 1.0'!W238 + 'ACPL Calculations - 2.0'!W238</f>
        <v>0</v>
      </c>
      <c r="CR238" s="33">
        <f>'Old Balance Sheet'!V238 + 'ACPL Calculations - 1.0'!X238 + 'ACPL Calculations - 2.0'!X238</f>
        <v>17413.69</v>
      </c>
      <c r="CS238" s="33">
        <f t="shared" si="3"/>
        <v>17413.69</v>
      </c>
      <c r="CT238" s="35"/>
      <c r="CU238" s="35"/>
      <c r="CV238" s="35"/>
      <c r="CW238" s="36">
        <f>'Old Balance Sheet'!W238 + 'ACPL Calculations - 1.0'!Z238 + 'ACPL Calculations - 2.0'!Z238</f>
        <v>0</v>
      </c>
      <c r="CX238" s="36">
        <f>'Old Balance Sheet'!X238 + 'ACPL Calculations - 1.0'!AA238 + 'ACPL Calculations - 2.0'!AA238</f>
        <v>0</v>
      </c>
      <c r="CY238" s="37">
        <v>0.0</v>
      </c>
      <c r="CZ238" s="38">
        <f>'Old Balance Sheet'!Y238 + 'ACPL Calculations - 1.0'!AB238 + 'ACPL Calculations - 2.0'!AB238</f>
        <v>0</v>
      </c>
      <c r="DA238" s="38">
        <f>'Old Balance Sheet'!Z238 + 'ACPL Calculations - 1.0'!AC238 + 'ACPL Calculations - 2.0'!AC238</f>
        <v>0</v>
      </c>
      <c r="DB238" s="38">
        <f>'Old Balance Sheet'!AA238 + 'ACPL Calculations - 1.0'!AD238 + 'ACPL Calculations - 2.0'!AD238</f>
        <v>0</v>
      </c>
      <c r="DC238" s="38">
        <f>'Old Balance Sheet'!AB238 + 'ACPL Calculations - 1.0'!AE238 + 'ACPL Calculations - 2.0'!AE238</f>
        <v>0</v>
      </c>
      <c r="DD238" s="38">
        <f t="shared" si="4"/>
        <v>0</v>
      </c>
      <c r="DE238" s="33">
        <f t="shared" si="5"/>
        <v>0</v>
      </c>
      <c r="DF238" s="35">
        <v>0.0</v>
      </c>
      <c r="DG238" s="35">
        <v>0.0</v>
      </c>
      <c r="DH238" s="35">
        <v>0.0</v>
      </c>
      <c r="DI238" s="35">
        <v>0.0</v>
      </c>
      <c r="DJ238" s="35">
        <v>0.0</v>
      </c>
      <c r="DK238" s="35">
        <v>0.0</v>
      </c>
      <c r="DL238" s="35">
        <v>0.0</v>
      </c>
      <c r="DM238" s="35">
        <v>0.0</v>
      </c>
      <c r="DN238" s="31">
        <v>0.0</v>
      </c>
      <c r="DO238" s="31">
        <v>0.0</v>
      </c>
      <c r="DP238" s="31">
        <v>0.0</v>
      </c>
      <c r="DQ238" s="31">
        <v>0.0</v>
      </c>
      <c r="DR238" s="31">
        <v>0.0</v>
      </c>
      <c r="DS238" s="31">
        <v>0.0</v>
      </c>
      <c r="DT238" s="31">
        <f>'Old Balance Sheet'!AC238</f>
        <v>0</v>
      </c>
      <c r="DU238" s="31">
        <f>DT238 + SUMIFS('Payments Log'!D:D, 'Payments Log'!B:B, A238, 'Payments Log'!L:L, "Approved", 'Payments Log'!M:M, "Credit") + 'Old Balance Sheet'!AD238 - 'Old Balance Sheet'!AC238</f>
        <v>0</v>
      </c>
      <c r="DV238" s="31">
        <f>SUMIFS('Payments Log'!D:D, 'Payments Log'!B:B, A238, 'Payments Log'!L:L, "Approved", 'Payments Log'!M:M, "Adjustment Credit") - SUMIFS('Payments Log'!D:D, 'Payments Log'!B:B, A238, 'Payments Log'!L:L, "Approved", 'Payments Log'!M:M, "Adjustment Debit") + 'Old Balance Sheet'!AE238</f>
        <v>0</v>
      </c>
      <c r="DW238" s="31">
        <f>IF(MAXIFS('Payments Log'!N:N, 'Payments Log'!L:L, "Approved", 'Payments Log'!M:M, "Credit", 'Payments Log'!B:B, A238) &gt; MAXIFS('Payments Log'!N:N, 'Payments Log'!L:L, "Approved", 'Payments Log'!M:M, "Virtual Credit", 'Payments Log'!B:B, A238), 0, SUMIFS('Payments Log'!D:D, 'Payments Log'!N:N, MAXIFS('Payments Log'!N:N, 'Payments Log'!L:L, "Approved", 'Payments Log'!M:M, "Virtual Credit", 'Payments Log'!B:B, A238)))</f>
        <v>0</v>
      </c>
      <c r="DX238" s="33">
        <f t="shared" si="6"/>
        <v>0</v>
      </c>
      <c r="DY238" s="33">
        <f t="shared" si="7"/>
        <v>0</v>
      </c>
      <c r="DZ238" s="33">
        <f t="shared" si="8"/>
        <v>0</v>
      </c>
      <c r="EA238" s="25" t="str">
        <f>(Sheet1!N238)</f>
        <v>AAA</v>
      </c>
      <c r="EB238" s="25" t="str">
        <f>(Sheet1!O238)</f>
        <v>1AjVyIHPgPw3jscNmkTH1qzR2RokK5FZaJLjeNfOiYAA</v>
      </c>
      <c r="EC238" s="26" t="str">
        <f>(Sheet1!P238)</f>
        <v>Sub Dealer</v>
      </c>
      <c r="ED238" s="34" t="s">
        <v>13</v>
      </c>
    </row>
    <row r="239">
      <c r="A239" s="26" t="str">
        <f>(Sheet1!A239)</f>
        <v>15jnPMaEu2_OeDOATlNJjrJBvmq3ePhgdLWGBHROQJbo</v>
      </c>
      <c r="B239" s="26" t="str">
        <f>(Sheet1!B239)</f>
        <v>PASHANKAR AUTO- PUNE(SD)</v>
      </c>
      <c r="C239" s="34" t="s">
        <v>13</v>
      </c>
      <c r="D239" s="34" t="s">
        <v>72</v>
      </c>
      <c r="E239" s="34" t="s">
        <v>3817</v>
      </c>
      <c r="F239" s="34">
        <v>205.0</v>
      </c>
      <c r="G239" s="34" t="s">
        <v>3818</v>
      </c>
      <c r="H239" s="34">
        <v>100.0</v>
      </c>
      <c r="I239" s="33">
        <f>'Old Balance Sheet'!A239 + 'ACPL Calculations - 1.0'!A239 + 'ACPL Calculations - 2.0'!A239</f>
        <v>0</v>
      </c>
      <c r="J239" s="34" t="s">
        <v>3817</v>
      </c>
      <c r="K239" s="34">
        <v>205.0</v>
      </c>
      <c r="L239" s="34" t="s">
        <v>3818</v>
      </c>
      <c r="M239" s="34">
        <v>100.0</v>
      </c>
      <c r="N239" s="33">
        <f>'Old Balance Sheet'!B239 + 'ACPL Calculations - 1.0'!B239 + 'ACPL Calculations - 2.0'!B239</f>
        <v>0</v>
      </c>
      <c r="O239" s="34" t="s">
        <v>3817</v>
      </c>
      <c r="P239" s="34">
        <v>290.0</v>
      </c>
      <c r="Q239" s="34" t="s">
        <v>3818</v>
      </c>
      <c r="R239" s="34">
        <v>100.0</v>
      </c>
      <c r="S239" s="33">
        <f>'Old Balance Sheet'!C239 + 'ACPL Calculations - 1.0'!C239 + 'ACPL Calculations - 2.0'!C239</f>
        <v>0</v>
      </c>
      <c r="T239" s="34" t="s">
        <v>3817</v>
      </c>
      <c r="U239" s="34">
        <v>375.0</v>
      </c>
      <c r="V239" s="34" t="s">
        <v>3818</v>
      </c>
      <c r="W239" s="34">
        <v>100.0</v>
      </c>
      <c r="X239" s="33">
        <f>'Old Balance Sheet'!D239 + 'ACPL Calculations - 1.0'!D239 + 'ACPL Calculations - 2.0'!D239</f>
        <v>0</v>
      </c>
      <c r="Y239" s="34" t="s">
        <v>3817</v>
      </c>
      <c r="Z239" s="34">
        <v>460.0</v>
      </c>
      <c r="AA239" s="32" t="s">
        <v>3818</v>
      </c>
      <c r="AB239" s="31">
        <v>100.0</v>
      </c>
      <c r="AC239" s="33">
        <f>'Old Balance Sheet'!E239 + 'ACPL Calculations - 1.0'!E239 + 'ACPL Calculations - 2.0'!E239</f>
        <v>0</v>
      </c>
      <c r="AD239" s="34" t="s">
        <v>3817</v>
      </c>
      <c r="AE239" s="34">
        <v>838.99</v>
      </c>
      <c r="AF239" s="32" t="s">
        <v>3818</v>
      </c>
      <c r="AG239" s="31">
        <v>100.0</v>
      </c>
      <c r="AH239" s="33">
        <f>'Old Balance Sheet'!F239 + 'ACPL Calculations - 1.0'!F239 + 'ACPL Calculations - 2.0'!F239</f>
        <v>0</v>
      </c>
      <c r="AI239" s="34" t="s">
        <v>3817</v>
      </c>
      <c r="AJ239" s="34">
        <v>375.0</v>
      </c>
      <c r="AK239" s="32" t="s">
        <v>3818</v>
      </c>
      <c r="AL239" s="31">
        <v>100.0</v>
      </c>
      <c r="AM239" s="33">
        <f>'Old Balance Sheet'!G239 + 'ACPL Calculations - 1.0'!G239 + 'ACPL Calculations - 2.0'!G239</f>
        <v>0</v>
      </c>
      <c r="AN239" s="34" t="s">
        <v>3817</v>
      </c>
      <c r="AO239" s="34">
        <v>290.0</v>
      </c>
      <c r="AP239" s="32" t="s">
        <v>3818</v>
      </c>
      <c r="AQ239" s="31">
        <v>100.0</v>
      </c>
      <c r="AR239" s="33">
        <f>'Old Balance Sheet'!H239 + 'ACPL Calculations - 1.0'!H239 + 'ACPL Calculations - 2.0'!H239</f>
        <v>0</v>
      </c>
      <c r="AS239" s="34" t="s">
        <v>3819</v>
      </c>
      <c r="AT239" s="34">
        <v>838.99</v>
      </c>
      <c r="AU239" s="32" t="s">
        <v>3818</v>
      </c>
      <c r="AV239" s="31">
        <v>100.0</v>
      </c>
      <c r="AW239" s="33">
        <f>'Old Balance Sheet'!I239 + 'ACPL Calculations - 1.0'!I239 + 'ACPL Calculations - 2.0'!I239</f>
        <v>0</v>
      </c>
      <c r="AX239" s="34" t="s">
        <v>3817</v>
      </c>
      <c r="AY239" s="34">
        <v>290.0</v>
      </c>
      <c r="AZ239" s="32" t="s">
        <v>3818</v>
      </c>
      <c r="BA239" s="31">
        <v>100.0</v>
      </c>
      <c r="BB239" s="33">
        <f>'Old Balance Sheet'!J239 + 'ACPL Calculations - 1.0'!J239 + 'ACPL Calculations - 2.0'!J239</f>
        <v>0</v>
      </c>
      <c r="BC239" s="34" t="s">
        <v>3817</v>
      </c>
      <c r="BD239" s="34">
        <v>280.0</v>
      </c>
      <c r="BE239" s="32" t="s">
        <v>3818</v>
      </c>
      <c r="BF239" s="31">
        <v>100.0</v>
      </c>
      <c r="BG239" s="33">
        <f>'Old Balance Sheet'!K239 + 'ACPL Calculations - 1.0'!K239 + 'ACPL Calculations - 2.0'!K239</f>
        <v>608</v>
      </c>
      <c r="BH239" s="34" t="s">
        <v>3817</v>
      </c>
      <c r="BI239" s="34">
        <v>280.0</v>
      </c>
      <c r="BJ239" s="32" t="s">
        <v>3818</v>
      </c>
      <c r="BK239" s="31">
        <v>100.0</v>
      </c>
      <c r="BL239" s="33">
        <f>'Old Balance Sheet'!L239 + 'ACPL Calculations - 1.0'!L239 + 'ACPL Calculations - 2.0'!L239</f>
        <v>0</v>
      </c>
      <c r="CL239" s="33">
        <f t="shared" si="1"/>
        <v>608</v>
      </c>
      <c r="CM239" s="33">
        <f>'Old Balance Sheet'!R239 + 'ACPL Calculations - 1.0'!S239 + 'ACPL Calculations - 2.0'!S239</f>
        <v>609390</v>
      </c>
      <c r="CN239" s="33">
        <f>'Old Balance Sheet'!S239 + 'ACPL Calculations - 1.0'!T239 + 'ACPL Calculations - 2.0'!T239</f>
        <v>166510</v>
      </c>
      <c r="CO239" s="33">
        <f t="shared" si="2"/>
        <v>259467.9</v>
      </c>
      <c r="CP239" s="33">
        <f>'Old Balance Sheet'!T239 + 'ACPL Calculations - 1.0'!V239 + 'ACPL Calculations - 2.0'!V239</f>
        <v>0</v>
      </c>
      <c r="CQ239" s="33">
        <f>'Old Balance Sheet'!U239 + 'ACPL Calculations - 1.0'!W239 + 'ACPL Calculations - 2.0'!W239</f>
        <v>0</v>
      </c>
      <c r="CR239" s="33">
        <f>'Old Balance Sheet'!V239 + 'ACPL Calculations - 1.0'!X239 + 'ACPL Calculations - 2.0'!X239</f>
        <v>92957.9</v>
      </c>
      <c r="CS239" s="33">
        <f t="shared" si="3"/>
        <v>92957.9</v>
      </c>
      <c r="CT239" s="35"/>
      <c r="CU239" s="35"/>
      <c r="CV239" s="35"/>
      <c r="CW239" s="36">
        <f>'Old Balance Sheet'!W239 + 'ACPL Calculations - 1.0'!Z239 + 'ACPL Calculations - 2.0'!Z239</f>
        <v>0</v>
      </c>
      <c r="CX239" s="36">
        <f>'Old Balance Sheet'!X239 + 'ACPL Calculations - 1.0'!AA239 + 'ACPL Calculations - 2.0'!AA239</f>
        <v>0</v>
      </c>
      <c r="CY239" s="37">
        <v>0.0</v>
      </c>
      <c r="CZ239" s="38">
        <f>'Old Balance Sheet'!Y239 + 'ACPL Calculations - 1.0'!AB239 + 'ACPL Calculations - 2.0'!AB239</f>
        <v>0</v>
      </c>
      <c r="DA239" s="38">
        <f>'Old Balance Sheet'!Z239 + 'ACPL Calculations - 1.0'!AC239 + 'ACPL Calculations - 2.0'!AC239</f>
        <v>0</v>
      </c>
      <c r="DB239" s="38">
        <f>'Old Balance Sheet'!AA239 + 'ACPL Calculations - 1.0'!AD239 + 'ACPL Calculations - 2.0'!AD239</f>
        <v>0</v>
      </c>
      <c r="DC239" s="38">
        <f>'Old Balance Sheet'!AB239 + 'ACPL Calculations - 1.0'!AE239 + 'ACPL Calculations - 2.0'!AE239</f>
        <v>0</v>
      </c>
      <c r="DD239" s="38">
        <f t="shared" si="4"/>
        <v>0</v>
      </c>
      <c r="DE239" s="33">
        <f t="shared" si="5"/>
        <v>0</v>
      </c>
      <c r="DF239" s="35">
        <v>0.0</v>
      </c>
      <c r="DG239" s="35">
        <v>0.0</v>
      </c>
      <c r="DH239" s="35">
        <v>0.0</v>
      </c>
      <c r="DI239" s="35">
        <v>0.0</v>
      </c>
      <c r="DJ239" s="35">
        <v>0.0</v>
      </c>
      <c r="DK239" s="35">
        <v>0.0</v>
      </c>
      <c r="DL239" s="35">
        <v>0.0</v>
      </c>
      <c r="DM239" s="35">
        <v>0.0</v>
      </c>
      <c r="DN239" s="31">
        <v>0.0</v>
      </c>
      <c r="DO239" s="31">
        <v>0.0</v>
      </c>
      <c r="DP239" s="31">
        <v>0.0</v>
      </c>
      <c r="DQ239" s="31">
        <v>0.0</v>
      </c>
      <c r="DR239" s="31">
        <v>0.0</v>
      </c>
      <c r="DS239" s="31">
        <v>0.0</v>
      </c>
      <c r="DT239" s="31">
        <f>'Old Balance Sheet'!AC239</f>
        <v>0</v>
      </c>
      <c r="DU239" s="31">
        <f>DT239 + SUMIFS('Payments Log'!D:D, 'Payments Log'!B:B, A239, 'Payments Log'!L:L, "Approved", 'Payments Log'!M:M, "Credit") + 'Old Balance Sheet'!AD239 - 'Old Balance Sheet'!AC239</f>
        <v>0</v>
      </c>
      <c r="DV239" s="31">
        <f>SUMIFS('Payments Log'!D:D, 'Payments Log'!B:B, A239, 'Payments Log'!L:L, "Approved", 'Payments Log'!M:M, "Adjustment Credit") - SUMIFS('Payments Log'!D:D, 'Payments Log'!B:B, A239, 'Payments Log'!L:L, "Approved", 'Payments Log'!M:M, "Adjustment Debit") + 'Old Balance Sheet'!AE239</f>
        <v>0</v>
      </c>
      <c r="DW239" s="31">
        <f>IF(MAXIFS('Payments Log'!N:N, 'Payments Log'!L:L, "Approved", 'Payments Log'!M:M, "Credit", 'Payments Log'!B:B, A239) &gt; MAXIFS('Payments Log'!N:N, 'Payments Log'!L:L, "Approved", 'Payments Log'!M:M, "Virtual Credit", 'Payments Log'!B:B, A239), 0, SUMIFS('Payments Log'!D:D, 'Payments Log'!N:N, MAXIFS('Payments Log'!N:N, 'Payments Log'!L:L, "Approved", 'Payments Log'!M:M, "Virtual Credit", 'Payments Log'!B:B, A239)))</f>
        <v>0</v>
      </c>
      <c r="DX239" s="33">
        <f t="shared" si="6"/>
        <v>0</v>
      </c>
      <c r="DY239" s="33">
        <f t="shared" si="7"/>
        <v>0</v>
      </c>
      <c r="DZ239" s="33">
        <f t="shared" si="8"/>
        <v>0</v>
      </c>
      <c r="EA239" s="25" t="str">
        <f>(Sheet1!N239)</f>
        <v>PASHANKAR AUTO- PUNE</v>
      </c>
      <c r="EB239" s="25" t="str">
        <f>(Sheet1!O239)</f>
        <v>1kRyPQWS9rBO-hWXuMRpK-o-u45enSa2VVTYNekPb4kk</v>
      </c>
      <c r="EC239" s="26" t="str">
        <f>(Sheet1!P239)</f>
        <v>Sub Dealer</v>
      </c>
      <c r="ED239" s="34" t="s">
        <v>3821</v>
      </c>
    </row>
    <row r="240">
      <c r="A240" s="26" t="str">
        <f>(Sheet1!A240)</f>
        <v>1D3-RH4t-FdI5s6mabxVe_emj1BWZlSPFuf3stfCzc8s</v>
      </c>
      <c r="B240" s="26" t="str">
        <f>(Sheet1!B240)</f>
        <v>M.L. MOTORS (KH) -  Gonda</v>
      </c>
      <c r="C240" s="34" t="s">
        <v>13</v>
      </c>
      <c r="D240" s="34" t="s">
        <v>72</v>
      </c>
      <c r="E240" s="34" t="s">
        <v>3820</v>
      </c>
      <c r="F240" s="34">
        <v>185.0</v>
      </c>
      <c r="G240" s="34" t="s">
        <v>3818</v>
      </c>
      <c r="H240" s="34">
        <v>100.0</v>
      </c>
      <c r="I240" s="33">
        <f>'Old Balance Sheet'!A240 + 'ACPL Calculations - 1.0'!A240 + 'ACPL Calculations - 2.0'!A240</f>
        <v>0</v>
      </c>
      <c r="J240" s="34" t="s">
        <v>3820</v>
      </c>
      <c r="K240" s="34">
        <v>205.0</v>
      </c>
      <c r="L240" s="34" t="s">
        <v>3818</v>
      </c>
      <c r="M240" s="34">
        <v>100.0</v>
      </c>
      <c r="N240" s="33">
        <f>'Old Balance Sheet'!B240 + 'ACPL Calculations - 1.0'!B240 + 'ACPL Calculations - 2.0'!B240</f>
        <v>0</v>
      </c>
      <c r="O240" s="34" t="s">
        <v>3820</v>
      </c>
      <c r="P240" s="34">
        <v>205.0</v>
      </c>
      <c r="Q240" s="34" t="s">
        <v>3818</v>
      </c>
      <c r="R240" s="34">
        <v>100.0</v>
      </c>
      <c r="S240" s="33">
        <f>'Old Balance Sheet'!C240 + 'ACPL Calculations - 1.0'!C240 + 'ACPL Calculations - 2.0'!C240</f>
        <v>229</v>
      </c>
      <c r="T240" s="34" t="s">
        <v>3820</v>
      </c>
      <c r="U240" s="34">
        <v>375.0</v>
      </c>
      <c r="V240" s="34" t="s">
        <v>3818</v>
      </c>
      <c r="W240" s="34">
        <v>100.0</v>
      </c>
      <c r="X240" s="33">
        <f>'Old Balance Sheet'!D240 + 'ACPL Calculations - 1.0'!D240 + 'ACPL Calculations - 2.0'!D240</f>
        <v>0</v>
      </c>
      <c r="Y240" s="34" t="s">
        <v>3820</v>
      </c>
      <c r="Z240" s="34">
        <v>460.0</v>
      </c>
      <c r="AA240" s="32" t="s">
        <v>3818</v>
      </c>
      <c r="AB240" s="31">
        <v>100.0</v>
      </c>
      <c r="AC240" s="33">
        <f>'Old Balance Sheet'!E240 + 'ACPL Calculations - 1.0'!E240 + 'ACPL Calculations - 2.0'!E240</f>
        <v>0</v>
      </c>
      <c r="AD240" s="34" t="s">
        <v>3820</v>
      </c>
      <c r="AE240" s="34">
        <v>838.99</v>
      </c>
      <c r="AF240" s="32" t="s">
        <v>3818</v>
      </c>
      <c r="AG240" s="31">
        <v>100.0</v>
      </c>
      <c r="AH240" s="33">
        <f>'Old Balance Sheet'!F240 + 'ACPL Calculations - 1.0'!F240 + 'ACPL Calculations - 2.0'!F240</f>
        <v>0</v>
      </c>
      <c r="AI240" s="34" t="s">
        <v>3820</v>
      </c>
      <c r="AJ240" s="34">
        <v>375.0</v>
      </c>
      <c r="AK240" s="32" t="s">
        <v>3818</v>
      </c>
      <c r="AL240" s="31">
        <v>100.0</v>
      </c>
      <c r="AM240" s="33">
        <f>'Old Balance Sheet'!G240 + 'ACPL Calculations - 1.0'!G240 + 'ACPL Calculations - 2.0'!G240</f>
        <v>0</v>
      </c>
      <c r="AN240" s="34" t="s">
        <v>3820</v>
      </c>
      <c r="AO240" s="34">
        <v>290.0</v>
      </c>
      <c r="AP240" s="32" t="s">
        <v>3818</v>
      </c>
      <c r="AQ240" s="31">
        <v>100.0</v>
      </c>
      <c r="AR240" s="33">
        <f>'Old Balance Sheet'!H240 + 'ACPL Calculations - 1.0'!H240 + 'ACPL Calculations - 2.0'!H240</f>
        <v>0</v>
      </c>
      <c r="AS240" s="34" t="s">
        <v>3819</v>
      </c>
      <c r="AT240" s="34">
        <v>838.99</v>
      </c>
      <c r="AU240" s="32" t="s">
        <v>3818</v>
      </c>
      <c r="AV240" s="31">
        <v>100.0</v>
      </c>
      <c r="AW240" s="33">
        <f>'Old Balance Sheet'!I240 + 'ACPL Calculations - 1.0'!I240 + 'ACPL Calculations - 2.0'!I240</f>
        <v>0</v>
      </c>
      <c r="AX240" s="34" t="s">
        <v>3820</v>
      </c>
      <c r="AY240" s="34">
        <v>290.0</v>
      </c>
      <c r="AZ240" s="32" t="s">
        <v>3818</v>
      </c>
      <c r="BA240" s="31">
        <v>100.0</v>
      </c>
      <c r="BB240" s="33">
        <f>'Old Balance Sheet'!J240 + 'ACPL Calculations - 1.0'!J240 + 'ACPL Calculations - 2.0'!J240</f>
        <v>0</v>
      </c>
      <c r="BC240" s="34" t="s">
        <v>3820</v>
      </c>
      <c r="BD240" s="34">
        <v>205.0</v>
      </c>
      <c r="BE240" s="32" t="s">
        <v>3818</v>
      </c>
      <c r="BF240" s="31">
        <v>100.0</v>
      </c>
      <c r="BG240" s="33">
        <f>'Old Balance Sheet'!K240 + 'ACPL Calculations - 1.0'!K240 + 'ACPL Calculations - 2.0'!K240</f>
        <v>0</v>
      </c>
      <c r="BH240" s="34" t="s">
        <v>3820</v>
      </c>
      <c r="BI240" s="34">
        <v>205.0</v>
      </c>
      <c r="BJ240" s="32" t="s">
        <v>3818</v>
      </c>
      <c r="BK240" s="31">
        <v>100.0</v>
      </c>
      <c r="BL240" s="33">
        <f>'Old Balance Sheet'!L240 + 'ACPL Calculations - 1.0'!L240 + 'ACPL Calculations - 2.0'!L240</f>
        <v>0</v>
      </c>
      <c r="CL240" s="33">
        <f t="shared" si="1"/>
        <v>229</v>
      </c>
      <c r="CM240" s="33">
        <f>'Old Balance Sheet'!R240 + 'ACPL Calculations - 1.0'!S240 + 'ACPL Calculations - 2.0'!S240</f>
        <v>101218</v>
      </c>
      <c r="CN240" s="33">
        <f>'Old Balance Sheet'!S240 + 'ACPL Calculations - 1.0'!T240 + 'ACPL Calculations - 2.0'!T240</f>
        <v>42365</v>
      </c>
      <c r="CO240" s="33">
        <f t="shared" si="2"/>
        <v>57804.18</v>
      </c>
      <c r="CP240" s="33">
        <f>'Old Balance Sheet'!T240 + 'ACPL Calculations - 1.0'!V240 + 'ACPL Calculations - 2.0'!V240</f>
        <v>33.71</v>
      </c>
      <c r="CQ240" s="33">
        <f>'Old Balance Sheet'!U240 + 'ACPL Calculations - 1.0'!W240 + 'ACPL Calculations - 2.0'!W240</f>
        <v>33.71</v>
      </c>
      <c r="CR240" s="33">
        <f>'Old Balance Sheet'!V240 + 'ACPL Calculations - 1.0'!X240 + 'ACPL Calculations - 2.0'!X240</f>
        <v>15371.76</v>
      </c>
      <c r="CS240" s="33">
        <f t="shared" si="3"/>
        <v>15439.18</v>
      </c>
      <c r="CT240" s="35"/>
      <c r="CU240" s="35"/>
      <c r="CV240" s="35"/>
      <c r="CW240" s="36">
        <f>'Old Balance Sheet'!W240 + 'ACPL Calculations - 1.0'!Z240 + 'ACPL Calculations - 2.0'!Z240</f>
        <v>0</v>
      </c>
      <c r="CX240" s="36">
        <f>'Old Balance Sheet'!X240 + 'ACPL Calculations - 1.0'!AA240 + 'ACPL Calculations - 2.0'!AA240</f>
        <v>0</v>
      </c>
      <c r="CY240" s="37">
        <v>0.0</v>
      </c>
      <c r="CZ240" s="38">
        <f>'Old Balance Sheet'!Y240 + 'ACPL Calculations - 1.0'!AB240 + 'ACPL Calculations - 2.0'!AB240</f>
        <v>0</v>
      </c>
      <c r="DA240" s="38">
        <f>'Old Balance Sheet'!Z240 + 'ACPL Calculations - 1.0'!AC240 + 'ACPL Calculations - 2.0'!AC240</f>
        <v>0</v>
      </c>
      <c r="DB240" s="38">
        <f>'Old Balance Sheet'!AA240 + 'ACPL Calculations - 1.0'!AD240 + 'ACPL Calculations - 2.0'!AD240</f>
        <v>0</v>
      </c>
      <c r="DC240" s="38">
        <f>'Old Balance Sheet'!AB240 + 'ACPL Calculations - 1.0'!AE240 + 'ACPL Calculations - 2.0'!AE240</f>
        <v>0</v>
      </c>
      <c r="DD240" s="38">
        <f t="shared" si="4"/>
        <v>0</v>
      </c>
      <c r="DE240" s="33">
        <f t="shared" si="5"/>
        <v>0</v>
      </c>
      <c r="DF240" s="35">
        <v>0.0</v>
      </c>
      <c r="DG240" s="35">
        <v>0.0</v>
      </c>
      <c r="DH240" s="35">
        <v>0.0</v>
      </c>
      <c r="DI240" s="35">
        <v>0.0</v>
      </c>
      <c r="DJ240" s="35">
        <v>0.0</v>
      </c>
      <c r="DK240" s="35">
        <v>0.0</v>
      </c>
      <c r="DL240" s="35">
        <v>0.0</v>
      </c>
      <c r="DM240" s="35">
        <v>0.0</v>
      </c>
      <c r="DN240" s="31">
        <v>0.0</v>
      </c>
      <c r="DO240" s="31">
        <v>0.0</v>
      </c>
      <c r="DP240" s="31">
        <v>0.0</v>
      </c>
      <c r="DQ240" s="31">
        <v>0.0</v>
      </c>
      <c r="DR240" s="31">
        <v>0.0</v>
      </c>
      <c r="DS240" s="31">
        <v>0.0</v>
      </c>
      <c r="DT240" s="31">
        <f>'Old Balance Sheet'!AC240</f>
        <v>0</v>
      </c>
      <c r="DU240" s="31">
        <f>DT240 + SUMIFS('Payments Log'!D:D, 'Payments Log'!B:B, A240, 'Payments Log'!L:L, "Approved", 'Payments Log'!M:M, "Credit") + 'Old Balance Sheet'!AD240 - 'Old Balance Sheet'!AC240</f>
        <v>0</v>
      </c>
      <c r="DV240" s="31">
        <f>SUMIFS('Payments Log'!D:D, 'Payments Log'!B:B, A240, 'Payments Log'!L:L, "Approved", 'Payments Log'!M:M, "Adjustment Credit") - SUMIFS('Payments Log'!D:D, 'Payments Log'!B:B, A240, 'Payments Log'!L:L, "Approved", 'Payments Log'!M:M, "Adjustment Debit") + 'Old Balance Sheet'!AE240</f>
        <v>0</v>
      </c>
      <c r="DW240" s="31">
        <f>IF(MAXIFS('Payments Log'!N:N, 'Payments Log'!L:L, "Approved", 'Payments Log'!M:M, "Credit", 'Payments Log'!B:B, A240) &gt; MAXIFS('Payments Log'!N:N, 'Payments Log'!L:L, "Approved", 'Payments Log'!M:M, "Virtual Credit", 'Payments Log'!B:B, A240), 0, SUMIFS('Payments Log'!D:D, 'Payments Log'!N:N, MAXIFS('Payments Log'!N:N, 'Payments Log'!L:L, "Approved", 'Payments Log'!M:M, "Virtual Credit", 'Payments Log'!B:B, A240)))</f>
        <v>0</v>
      </c>
      <c r="DX240" s="33">
        <f t="shared" si="6"/>
        <v>0</v>
      </c>
      <c r="DY240" s="33">
        <f t="shared" si="7"/>
        <v>0</v>
      </c>
      <c r="DZ240" s="33">
        <f t="shared" si="8"/>
        <v>0</v>
      </c>
      <c r="EA240" s="25" t="str">
        <f>(Sheet1!N240)</f>
        <v>Kamal Hero - Gonda</v>
      </c>
      <c r="EB240" s="25" t="str">
        <f>(Sheet1!O240)</f>
        <v>1VIUqOp_UXFVjhTtvQswmqJ7NEi8nkGyfHAoJPy-wvSA</v>
      </c>
      <c r="EC240" s="26" t="str">
        <f>(Sheet1!P240)</f>
        <v>Sub Dealer</v>
      </c>
      <c r="ED240" s="34" t="s">
        <v>13</v>
      </c>
    </row>
    <row r="241">
      <c r="A241" s="26" t="str">
        <f>(Sheet1!A241)</f>
        <v>1uNRBa-tQr-tK4ljePvXpBlFQNtLdUR6FKNphcYBf9iY</v>
      </c>
      <c r="B241" s="26" t="str">
        <f>(Sheet1!B241)</f>
        <v>BRIJ NEW CPA - MATHURA</v>
      </c>
      <c r="C241" s="34" t="s">
        <v>13</v>
      </c>
      <c r="D241" s="34" t="s">
        <v>72</v>
      </c>
      <c r="E241" s="34" t="s">
        <v>3820</v>
      </c>
      <c r="F241" s="31">
        <v>170.0</v>
      </c>
      <c r="G241" s="34" t="s">
        <v>3818</v>
      </c>
      <c r="H241" s="34">
        <v>100.0</v>
      </c>
      <c r="I241" s="33">
        <f>'Old Balance Sheet'!A241 + 'ACPL Calculations - 1.0'!A241 + 'ACPL Calculations - 2.0'!A241</f>
        <v>516</v>
      </c>
      <c r="J241" s="34" t="s">
        <v>3820</v>
      </c>
      <c r="K241" s="31">
        <v>170.0</v>
      </c>
      <c r="L241" s="34" t="s">
        <v>3818</v>
      </c>
      <c r="M241" s="34">
        <v>100.0</v>
      </c>
      <c r="N241" s="33">
        <f>'Old Balance Sheet'!B241 + 'ACPL Calculations - 1.0'!B241 + 'ACPL Calculations - 2.0'!B241</f>
        <v>0</v>
      </c>
      <c r="O241" s="34" t="s">
        <v>3820</v>
      </c>
      <c r="P241" s="31">
        <v>170.0</v>
      </c>
      <c r="Q241" s="34" t="s">
        <v>3818</v>
      </c>
      <c r="R241" s="34">
        <v>100.0</v>
      </c>
      <c r="S241" s="33">
        <f>'Old Balance Sheet'!C241 + 'ACPL Calculations - 1.0'!C241 + 'ACPL Calculations - 2.0'!C241</f>
        <v>0</v>
      </c>
      <c r="T241" s="34" t="s">
        <v>3820</v>
      </c>
      <c r="U241" s="31">
        <v>170.0</v>
      </c>
      <c r="V241" s="34" t="s">
        <v>3818</v>
      </c>
      <c r="W241" s="34">
        <v>100.0</v>
      </c>
      <c r="X241" s="33">
        <f>'Old Balance Sheet'!D241 + 'ACPL Calculations - 1.0'!D241 + 'ACPL Calculations - 2.0'!D241</f>
        <v>0</v>
      </c>
      <c r="Y241" s="34" t="s">
        <v>3820</v>
      </c>
      <c r="Z241" s="31">
        <v>170.0</v>
      </c>
      <c r="AA241" s="32" t="s">
        <v>3818</v>
      </c>
      <c r="AB241" s="31">
        <v>100.0</v>
      </c>
      <c r="AC241" s="33">
        <f>'Old Balance Sheet'!E241 + 'ACPL Calculations - 1.0'!E241 + 'ACPL Calculations - 2.0'!E241</f>
        <v>0</v>
      </c>
      <c r="AD241" s="34" t="s">
        <v>3820</v>
      </c>
      <c r="AE241" s="34">
        <v>838.99</v>
      </c>
      <c r="AF241" s="32" t="s">
        <v>3818</v>
      </c>
      <c r="AG241" s="31">
        <v>100.0</v>
      </c>
      <c r="AH241" s="33">
        <f>'Old Balance Sheet'!F241 + 'ACPL Calculations - 1.0'!F241 + 'ACPL Calculations - 2.0'!F241</f>
        <v>0</v>
      </c>
      <c r="AI241" s="34" t="s">
        <v>3820</v>
      </c>
      <c r="AJ241" s="34">
        <v>375.0</v>
      </c>
      <c r="AK241" s="32" t="s">
        <v>3818</v>
      </c>
      <c r="AL241" s="31">
        <v>100.0</v>
      </c>
      <c r="AM241" s="33">
        <f>'Old Balance Sheet'!G241 + 'ACPL Calculations - 1.0'!G241 + 'ACPL Calculations - 2.0'!G241</f>
        <v>0</v>
      </c>
      <c r="AN241" s="34" t="s">
        <v>3820</v>
      </c>
      <c r="AO241" s="31">
        <v>170.0</v>
      </c>
      <c r="AP241" s="32" t="s">
        <v>3818</v>
      </c>
      <c r="AQ241" s="31">
        <v>100.0</v>
      </c>
      <c r="AR241" s="33">
        <f>'Old Balance Sheet'!H241 + 'ACPL Calculations - 1.0'!H241 + 'ACPL Calculations - 2.0'!H241</f>
        <v>0</v>
      </c>
      <c r="AS241" s="34" t="s">
        <v>3819</v>
      </c>
      <c r="AT241" s="34">
        <v>838.99</v>
      </c>
      <c r="AU241" s="32" t="s">
        <v>3818</v>
      </c>
      <c r="AV241" s="31">
        <v>100.0</v>
      </c>
      <c r="AW241" s="33">
        <f>'Old Balance Sheet'!I241 + 'ACPL Calculations - 1.0'!I241 + 'ACPL Calculations - 2.0'!I241</f>
        <v>0</v>
      </c>
      <c r="AX241" s="34" t="s">
        <v>3820</v>
      </c>
      <c r="AY241" s="31">
        <v>170.0</v>
      </c>
      <c r="AZ241" s="32" t="s">
        <v>3818</v>
      </c>
      <c r="BA241" s="31">
        <v>100.0</v>
      </c>
      <c r="BB241" s="33">
        <f>'Old Balance Sheet'!J241 + 'ACPL Calculations - 1.0'!J241 + 'ACPL Calculations - 2.0'!J241</f>
        <v>0</v>
      </c>
      <c r="BC241" s="34" t="s">
        <v>3820</v>
      </c>
      <c r="BD241" s="31">
        <v>170.0</v>
      </c>
      <c r="BE241" s="32" t="s">
        <v>3818</v>
      </c>
      <c r="BF241" s="31">
        <v>100.0</v>
      </c>
      <c r="BG241" s="33">
        <f>'Old Balance Sheet'!K241 + 'ACPL Calculations - 1.0'!K241 + 'ACPL Calculations - 2.0'!K241</f>
        <v>0</v>
      </c>
      <c r="BH241" s="34" t="s">
        <v>3820</v>
      </c>
      <c r="BI241" s="34">
        <v>205.0</v>
      </c>
      <c r="BJ241" s="32" t="s">
        <v>3818</v>
      </c>
      <c r="BK241" s="31">
        <v>100.0</v>
      </c>
      <c r="BL241" s="33">
        <f>'Old Balance Sheet'!L241 + 'ACPL Calculations - 1.0'!L241 + 'ACPL Calculations - 2.0'!L241</f>
        <v>0</v>
      </c>
      <c r="CL241" s="33">
        <f t="shared" si="1"/>
        <v>516</v>
      </c>
      <c r="CM241" s="33">
        <f>'Old Balance Sheet'!R241 + 'ACPL Calculations - 1.0'!S241 + 'ACPL Calculations - 2.0'!S241</f>
        <v>252640</v>
      </c>
      <c r="CN241" s="33">
        <f>'Old Balance Sheet'!S241 + 'ACPL Calculations - 1.0'!T241 + 'ACPL Calculations - 2.0'!T241</f>
        <v>105780</v>
      </c>
      <c r="CO241" s="33">
        <f t="shared" si="2"/>
        <v>144320.48</v>
      </c>
      <c r="CP241" s="33">
        <f>'Old Balance Sheet'!T241 + 'ACPL Calculations - 1.0'!V241 + 'ACPL Calculations - 2.0'!V241</f>
        <v>0</v>
      </c>
      <c r="CQ241" s="33">
        <f>'Old Balance Sheet'!U241 + 'ACPL Calculations - 1.0'!W241 + 'ACPL Calculations - 2.0'!W241</f>
        <v>0</v>
      </c>
      <c r="CR241" s="33">
        <f>'Old Balance Sheet'!V241 + 'ACPL Calculations - 1.0'!X241 + 'ACPL Calculations - 2.0'!X241</f>
        <v>38540.48</v>
      </c>
      <c r="CS241" s="33">
        <f t="shared" si="3"/>
        <v>38540.48</v>
      </c>
      <c r="CT241" s="35"/>
      <c r="CU241" s="35"/>
      <c r="CV241" s="35"/>
      <c r="CW241" s="36">
        <f>'Old Balance Sheet'!W241 + 'ACPL Calculations - 1.0'!Z241 + 'ACPL Calculations - 2.0'!Z241</f>
        <v>0</v>
      </c>
      <c r="CX241" s="36">
        <f>'Old Balance Sheet'!X241 + 'ACPL Calculations - 1.0'!AA241 + 'ACPL Calculations - 2.0'!AA241</f>
        <v>0</v>
      </c>
      <c r="CY241" s="37">
        <v>0.0</v>
      </c>
      <c r="CZ241" s="38">
        <f>'Old Balance Sheet'!Y241 + 'ACPL Calculations - 1.0'!AB241 + 'ACPL Calculations - 2.0'!AB241</f>
        <v>0</v>
      </c>
      <c r="DA241" s="38">
        <f>'Old Balance Sheet'!Z241 + 'ACPL Calculations - 1.0'!AC241 + 'ACPL Calculations - 2.0'!AC241</f>
        <v>0</v>
      </c>
      <c r="DB241" s="38">
        <f>'Old Balance Sheet'!AA241 + 'ACPL Calculations - 1.0'!AD241 + 'ACPL Calculations - 2.0'!AD241</f>
        <v>0</v>
      </c>
      <c r="DC241" s="38">
        <f>'Old Balance Sheet'!AB241 + 'ACPL Calculations - 1.0'!AE241 + 'ACPL Calculations - 2.0'!AE241</f>
        <v>0</v>
      </c>
      <c r="DD241" s="38">
        <f t="shared" si="4"/>
        <v>0</v>
      </c>
      <c r="DE241" s="33">
        <f t="shared" si="5"/>
        <v>0</v>
      </c>
      <c r="DF241" s="35">
        <v>0.0</v>
      </c>
      <c r="DG241" s="35">
        <v>0.0</v>
      </c>
      <c r="DH241" s="35">
        <v>0.0</v>
      </c>
      <c r="DI241" s="35">
        <v>0.0</v>
      </c>
      <c r="DJ241" s="35">
        <v>0.0</v>
      </c>
      <c r="DK241" s="35">
        <v>0.0</v>
      </c>
      <c r="DL241" s="35">
        <v>0.0</v>
      </c>
      <c r="DM241" s="35">
        <v>0.0</v>
      </c>
      <c r="DN241" s="31">
        <v>0.0</v>
      </c>
      <c r="DO241" s="31">
        <v>0.0</v>
      </c>
      <c r="DP241" s="31">
        <v>0.0</v>
      </c>
      <c r="DQ241" s="31">
        <v>0.0</v>
      </c>
      <c r="DR241" s="31">
        <v>0.0</v>
      </c>
      <c r="DS241" s="31">
        <v>0.0</v>
      </c>
      <c r="DT241" s="31">
        <f>'Old Balance Sheet'!AC241</f>
        <v>0</v>
      </c>
      <c r="DU241" s="31">
        <f>DT241 + SUMIFS('Payments Log'!D:D, 'Payments Log'!B:B, A241, 'Payments Log'!L:L, "Approved", 'Payments Log'!M:M, "Credit") + 'Old Balance Sheet'!AD241 - 'Old Balance Sheet'!AC241</f>
        <v>0</v>
      </c>
      <c r="DV241" s="31">
        <f>SUMIFS('Payments Log'!D:D, 'Payments Log'!B:B, A241, 'Payments Log'!L:L, "Approved", 'Payments Log'!M:M, "Adjustment Credit") - SUMIFS('Payments Log'!D:D, 'Payments Log'!B:B, A241, 'Payments Log'!L:L, "Approved", 'Payments Log'!M:M, "Adjustment Debit") + 'Old Balance Sheet'!AE241</f>
        <v>0</v>
      </c>
      <c r="DW241" s="31">
        <f>IF(MAXIFS('Payments Log'!N:N, 'Payments Log'!L:L, "Approved", 'Payments Log'!M:M, "Credit", 'Payments Log'!B:B, A241) &gt; MAXIFS('Payments Log'!N:N, 'Payments Log'!L:L, "Approved", 'Payments Log'!M:M, "Virtual Credit", 'Payments Log'!B:B, A241), 0, SUMIFS('Payments Log'!D:D, 'Payments Log'!N:N, MAXIFS('Payments Log'!N:N, 'Payments Log'!L:L, "Approved", 'Payments Log'!M:M, "Virtual Credit", 'Payments Log'!B:B, A241)))</f>
        <v>0</v>
      </c>
      <c r="DX241" s="33">
        <f t="shared" si="6"/>
        <v>0</v>
      </c>
      <c r="DY241" s="33">
        <f t="shared" si="7"/>
        <v>0</v>
      </c>
      <c r="DZ241" s="33">
        <f t="shared" si="8"/>
        <v>0</v>
      </c>
      <c r="EA241" s="25" t="str">
        <f>(Sheet1!N241)</f>
        <v>Brij Biwheelers</v>
      </c>
      <c r="EB241" s="25" t="str">
        <f>(Sheet1!O241)</f>
        <v>1ytBGcO8tIze81xKkAa9lWDcflthsPL6SuADAXbhmuwA</v>
      </c>
      <c r="EC241" s="26" t="str">
        <f>(Sheet1!P241)</f>
        <v>Sub Dealer</v>
      </c>
      <c r="ED241" s="34" t="s">
        <v>13</v>
      </c>
    </row>
    <row r="242">
      <c r="A242" s="26" t="str">
        <f>(Sheet1!A242)</f>
        <v>1WZ3iIAbNB5bzglH4XYG8P38qAiheukTawTpLVIGfqb8</v>
      </c>
      <c r="B242" s="26" t="str">
        <f>(Sheet1!B242)</f>
        <v>GAURAV SHARMA (BBW)- SONKH</v>
      </c>
      <c r="C242" s="34" t="s">
        <v>13</v>
      </c>
      <c r="D242" s="34" t="s">
        <v>72</v>
      </c>
      <c r="E242" s="34" t="s">
        <v>3820</v>
      </c>
      <c r="F242" s="31">
        <v>170.0</v>
      </c>
      <c r="G242" s="34" t="s">
        <v>3818</v>
      </c>
      <c r="H242" s="34">
        <v>100.0</v>
      </c>
      <c r="I242" s="33">
        <f>'Old Balance Sheet'!A242 + 'ACPL Calculations - 1.0'!A242 + 'ACPL Calculations - 2.0'!A242</f>
        <v>1</v>
      </c>
      <c r="J242" s="34" t="s">
        <v>3820</v>
      </c>
      <c r="K242" s="31">
        <v>170.0</v>
      </c>
      <c r="L242" s="34" t="s">
        <v>3818</v>
      </c>
      <c r="M242" s="34">
        <v>100.0</v>
      </c>
      <c r="N242" s="33">
        <f>'Old Balance Sheet'!B242 + 'ACPL Calculations - 1.0'!B242 + 'ACPL Calculations - 2.0'!B242</f>
        <v>0</v>
      </c>
      <c r="O242" s="34" t="s">
        <v>3820</v>
      </c>
      <c r="P242" s="31">
        <v>170.0</v>
      </c>
      <c r="Q242" s="34" t="s">
        <v>3818</v>
      </c>
      <c r="R242" s="34">
        <v>100.0</v>
      </c>
      <c r="S242" s="33">
        <f>'Old Balance Sheet'!C242 + 'ACPL Calculations - 1.0'!C242 + 'ACPL Calculations - 2.0'!C242</f>
        <v>0</v>
      </c>
      <c r="T242" s="34" t="s">
        <v>3820</v>
      </c>
      <c r="U242" s="31">
        <v>170.0</v>
      </c>
      <c r="V242" s="34" t="s">
        <v>3818</v>
      </c>
      <c r="W242" s="34">
        <v>100.0</v>
      </c>
      <c r="X242" s="33">
        <f>'Old Balance Sheet'!D242 + 'ACPL Calculations - 1.0'!D242 + 'ACPL Calculations - 2.0'!D242</f>
        <v>0</v>
      </c>
      <c r="Y242" s="34" t="s">
        <v>3820</v>
      </c>
      <c r="Z242" s="31">
        <v>170.0</v>
      </c>
      <c r="AA242" s="32" t="s">
        <v>3818</v>
      </c>
      <c r="AB242" s="31">
        <v>100.0</v>
      </c>
      <c r="AC242" s="33">
        <f>'Old Balance Sheet'!E242 + 'ACPL Calculations - 1.0'!E242 + 'ACPL Calculations - 2.0'!E242</f>
        <v>0</v>
      </c>
      <c r="AD242" s="34" t="s">
        <v>3820</v>
      </c>
      <c r="AE242" s="34">
        <v>838.99</v>
      </c>
      <c r="AF242" s="32" t="s">
        <v>3818</v>
      </c>
      <c r="AG242" s="31">
        <v>100.0</v>
      </c>
      <c r="AH242" s="33">
        <f>'Old Balance Sheet'!F242 + 'ACPL Calculations - 1.0'!F242 + 'ACPL Calculations - 2.0'!F242</f>
        <v>0</v>
      </c>
      <c r="AI242" s="34" t="s">
        <v>3820</v>
      </c>
      <c r="AJ242" s="34">
        <v>375.0</v>
      </c>
      <c r="AK242" s="32" t="s">
        <v>3818</v>
      </c>
      <c r="AL242" s="31">
        <v>100.0</v>
      </c>
      <c r="AM242" s="33">
        <f>'Old Balance Sheet'!G242 + 'ACPL Calculations - 1.0'!G242 + 'ACPL Calculations - 2.0'!G242</f>
        <v>0</v>
      </c>
      <c r="AN242" s="34" t="s">
        <v>3820</v>
      </c>
      <c r="AO242" s="31">
        <v>170.0</v>
      </c>
      <c r="AP242" s="32" t="s">
        <v>3818</v>
      </c>
      <c r="AQ242" s="31">
        <v>100.0</v>
      </c>
      <c r="AR242" s="33">
        <f>'Old Balance Sheet'!H242 + 'ACPL Calculations - 1.0'!H242 + 'ACPL Calculations - 2.0'!H242</f>
        <v>0</v>
      </c>
      <c r="AS242" s="34" t="s">
        <v>3819</v>
      </c>
      <c r="AT242" s="34">
        <v>838.99</v>
      </c>
      <c r="AU242" s="32" t="s">
        <v>3818</v>
      </c>
      <c r="AV242" s="31">
        <v>100.0</v>
      </c>
      <c r="AW242" s="33">
        <f>'Old Balance Sheet'!I242 + 'ACPL Calculations - 1.0'!I242 + 'ACPL Calculations - 2.0'!I242</f>
        <v>0</v>
      </c>
      <c r="AX242" s="34" t="s">
        <v>3820</v>
      </c>
      <c r="AY242" s="31">
        <v>170.0</v>
      </c>
      <c r="AZ242" s="32" t="s">
        <v>3818</v>
      </c>
      <c r="BA242" s="31">
        <v>100.0</v>
      </c>
      <c r="BB242" s="33">
        <f>'Old Balance Sheet'!J242 + 'ACPL Calculations - 1.0'!J242 + 'ACPL Calculations - 2.0'!J242</f>
        <v>0</v>
      </c>
      <c r="BC242" s="34" t="s">
        <v>3820</v>
      </c>
      <c r="BD242" s="31">
        <v>170.0</v>
      </c>
      <c r="BE242" s="32" t="s">
        <v>3818</v>
      </c>
      <c r="BF242" s="31">
        <v>100.0</v>
      </c>
      <c r="BG242" s="33">
        <f>'Old Balance Sheet'!K242 + 'ACPL Calculations - 1.0'!K242 + 'ACPL Calculations - 2.0'!K242</f>
        <v>0</v>
      </c>
      <c r="BH242" s="34" t="s">
        <v>3820</v>
      </c>
      <c r="BI242" s="34">
        <v>205.0</v>
      </c>
      <c r="BJ242" s="32" t="s">
        <v>3818</v>
      </c>
      <c r="BK242" s="31">
        <v>100.0</v>
      </c>
      <c r="BL242" s="33">
        <f>'Old Balance Sheet'!L242 + 'ACPL Calculations - 1.0'!L242 + 'ACPL Calculations - 2.0'!L242</f>
        <v>0</v>
      </c>
      <c r="CL242" s="33">
        <f t="shared" si="1"/>
        <v>1</v>
      </c>
      <c r="CM242" s="33">
        <f>'Old Balance Sheet'!R242 + 'ACPL Calculations - 1.0'!S242 + 'ACPL Calculations - 2.0'!S242</f>
        <v>390</v>
      </c>
      <c r="CN242" s="33">
        <f>'Old Balance Sheet'!S242 + 'ACPL Calculations - 1.0'!T242 + 'ACPL Calculations - 2.0'!T242</f>
        <v>205</v>
      </c>
      <c r="CO242" s="33">
        <f t="shared" si="2"/>
        <v>264.49</v>
      </c>
      <c r="CP242" s="33">
        <f>'Old Balance Sheet'!T242 + 'ACPL Calculations - 1.0'!V242 + 'ACPL Calculations - 2.0'!V242</f>
        <v>0</v>
      </c>
      <c r="CQ242" s="33">
        <f>'Old Balance Sheet'!U242 + 'ACPL Calculations - 1.0'!W242 + 'ACPL Calculations - 2.0'!W242</f>
        <v>0</v>
      </c>
      <c r="CR242" s="33">
        <f>'Old Balance Sheet'!V242 + 'ACPL Calculations - 1.0'!X242 + 'ACPL Calculations - 2.0'!X242</f>
        <v>59.49</v>
      </c>
      <c r="CS242" s="33">
        <f t="shared" si="3"/>
        <v>59.49</v>
      </c>
      <c r="CT242" s="35"/>
      <c r="CU242" s="35"/>
      <c r="CV242" s="35"/>
      <c r="CW242" s="36">
        <f>'Old Balance Sheet'!W242 + 'ACPL Calculations - 1.0'!Z242 + 'ACPL Calculations - 2.0'!Z242</f>
        <v>0</v>
      </c>
      <c r="CX242" s="36">
        <f>'Old Balance Sheet'!X242 + 'ACPL Calculations - 1.0'!AA242 + 'ACPL Calculations - 2.0'!AA242</f>
        <v>0</v>
      </c>
      <c r="CY242" s="37">
        <v>0.0</v>
      </c>
      <c r="CZ242" s="38">
        <f>'Old Balance Sheet'!Y242 + 'ACPL Calculations - 1.0'!AB242 + 'ACPL Calculations - 2.0'!AB242</f>
        <v>0</v>
      </c>
      <c r="DA242" s="38">
        <f>'Old Balance Sheet'!Z242 + 'ACPL Calculations - 1.0'!AC242 + 'ACPL Calculations - 2.0'!AC242</f>
        <v>0</v>
      </c>
      <c r="DB242" s="38">
        <f>'Old Balance Sheet'!AA242 + 'ACPL Calculations - 1.0'!AD242 + 'ACPL Calculations - 2.0'!AD242</f>
        <v>0</v>
      </c>
      <c r="DC242" s="38">
        <f>'Old Balance Sheet'!AB242 + 'ACPL Calculations - 1.0'!AE242 + 'ACPL Calculations - 2.0'!AE242</f>
        <v>0</v>
      </c>
      <c r="DD242" s="38">
        <f t="shared" si="4"/>
        <v>0</v>
      </c>
      <c r="DE242" s="33">
        <f t="shared" si="5"/>
        <v>0</v>
      </c>
      <c r="DF242" s="35">
        <v>0.0</v>
      </c>
      <c r="DG242" s="35">
        <v>0.0</v>
      </c>
      <c r="DH242" s="35">
        <v>0.0</v>
      </c>
      <c r="DI242" s="35">
        <v>0.0</v>
      </c>
      <c r="DJ242" s="35">
        <v>0.0</v>
      </c>
      <c r="DK242" s="35">
        <v>0.0</v>
      </c>
      <c r="DL242" s="35">
        <v>0.0</v>
      </c>
      <c r="DM242" s="35">
        <v>0.0</v>
      </c>
      <c r="DN242" s="31">
        <v>0.0</v>
      </c>
      <c r="DO242" s="31">
        <v>0.0</v>
      </c>
      <c r="DP242" s="31">
        <v>0.0</v>
      </c>
      <c r="DQ242" s="31">
        <v>0.0</v>
      </c>
      <c r="DR242" s="31">
        <v>0.0</v>
      </c>
      <c r="DS242" s="31">
        <v>0.0</v>
      </c>
      <c r="DT242" s="31">
        <f>'Old Balance Sheet'!AC242</f>
        <v>0</v>
      </c>
      <c r="DU242" s="31">
        <f>DT242 + SUMIFS('Payments Log'!D:D, 'Payments Log'!B:B, A242, 'Payments Log'!L:L, "Approved", 'Payments Log'!M:M, "Credit") + 'Old Balance Sheet'!AD242 - 'Old Balance Sheet'!AC242</f>
        <v>0</v>
      </c>
      <c r="DV242" s="31">
        <f>SUMIFS('Payments Log'!D:D, 'Payments Log'!B:B, A242, 'Payments Log'!L:L, "Approved", 'Payments Log'!M:M, "Adjustment Credit") - SUMIFS('Payments Log'!D:D, 'Payments Log'!B:B, A242, 'Payments Log'!L:L, "Approved", 'Payments Log'!M:M, "Adjustment Debit") + 'Old Balance Sheet'!AE242</f>
        <v>0</v>
      </c>
      <c r="DW242" s="31">
        <f>IF(MAXIFS('Payments Log'!N:N, 'Payments Log'!L:L, "Approved", 'Payments Log'!M:M, "Credit", 'Payments Log'!B:B, A242) &gt; MAXIFS('Payments Log'!N:N, 'Payments Log'!L:L, "Approved", 'Payments Log'!M:M, "Virtual Credit", 'Payments Log'!B:B, A242), 0, SUMIFS('Payments Log'!D:D, 'Payments Log'!N:N, MAXIFS('Payments Log'!N:N, 'Payments Log'!L:L, "Approved", 'Payments Log'!M:M, "Virtual Credit", 'Payments Log'!B:B, A242)))</f>
        <v>0</v>
      </c>
      <c r="DX242" s="33">
        <f t="shared" si="6"/>
        <v>0</v>
      </c>
      <c r="DY242" s="33">
        <f t="shared" si="7"/>
        <v>0</v>
      </c>
      <c r="DZ242" s="33">
        <f t="shared" si="8"/>
        <v>0</v>
      </c>
      <c r="EA242" s="25" t="str">
        <f>(Sheet1!N242)</f>
        <v>Brij Biwheelers</v>
      </c>
      <c r="EB242" s="25" t="str">
        <f>(Sheet1!O242)</f>
        <v>1ytBGcO8tIze81xKkAa9lWDcflthsPL6SuADAXbhmuwA</v>
      </c>
      <c r="EC242" s="26" t="str">
        <f>(Sheet1!P242)</f>
        <v>Sub Dealer</v>
      </c>
      <c r="ED242" s="34" t="s">
        <v>13</v>
      </c>
    </row>
    <row r="243">
      <c r="A243" s="26" t="str">
        <f>(Sheet1!A243)</f>
        <v>1N2nhUlQIv8rArpkobd5RsjT5bHurvDy7GgSqr-hveAE</v>
      </c>
      <c r="B243" s="26" t="str">
        <f>(Sheet1!B243)</f>
        <v>MADAR AUTOMOBILE - CHAURE BAZAR</v>
      </c>
      <c r="C243" s="34" t="s">
        <v>13</v>
      </c>
      <c r="D243" s="34" t="s">
        <v>72</v>
      </c>
      <c r="E243" s="34" t="s">
        <v>3820</v>
      </c>
      <c r="F243" s="31">
        <v>155.0</v>
      </c>
      <c r="G243" s="34" t="s">
        <v>3818</v>
      </c>
      <c r="H243" s="34">
        <v>100.0</v>
      </c>
      <c r="I243" s="33">
        <f>'Old Balance Sheet'!A243 + 'ACPL Calculations - 1.0'!A243 + 'ACPL Calculations - 2.0'!A243</f>
        <v>0</v>
      </c>
      <c r="J243" s="34" t="s">
        <v>3820</v>
      </c>
      <c r="K243" s="34">
        <v>175.0</v>
      </c>
      <c r="L243" s="34" t="s">
        <v>3818</v>
      </c>
      <c r="M243" s="34">
        <v>100.0</v>
      </c>
      <c r="N243" s="33">
        <f>'Old Balance Sheet'!B243 + 'ACPL Calculations - 1.0'!B243 + 'ACPL Calculations - 2.0'!B243</f>
        <v>0</v>
      </c>
      <c r="O243" s="34" t="s">
        <v>3820</v>
      </c>
      <c r="P243" s="34">
        <v>290.0</v>
      </c>
      <c r="Q243" s="34" t="s">
        <v>3818</v>
      </c>
      <c r="R243" s="34">
        <v>100.0</v>
      </c>
      <c r="S243" s="33">
        <f>'Old Balance Sheet'!C243 + 'ACPL Calculations - 1.0'!C243 + 'ACPL Calculations - 2.0'!C243</f>
        <v>0</v>
      </c>
      <c r="T243" s="34" t="s">
        <v>3820</v>
      </c>
      <c r="U243" s="34">
        <v>375.0</v>
      </c>
      <c r="V243" s="34" t="s">
        <v>3818</v>
      </c>
      <c r="W243" s="34">
        <v>100.0</v>
      </c>
      <c r="X243" s="33">
        <f>'Old Balance Sheet'!D243 + 'ACPL Calculations - 1.0'!D243 + 'ACPL Calculations - 2.0'!D243</f>
        <v>0</v>
      </c>
      <c r="Y243" s="34" t="s">
        <v>3820</v>
      </c>
      <c r="Z243" s="34">
        <v>375.0</v>
      </c>
      <c r="AA243" s="32" t="s">
        <v>3818</v>
      </c>
      <c r="AB243" s="31">
        <v>100.0</v>
      </c>
      <c r="AC243" s="33">
        <f>'Old Balance Sheet'!E243 + 'ACPL Calculations - 1.0'!E243 + 'ACPL Calculations - 2.0'!E243</f>
        <v>0</v>
      </c>
      <c r="AD243" s="34" t="s">
        <v>3820</v>
      </c>
      <c r="AE243" s="34">
        <v>838.99</v>
      </c>
      <c r="AF243" s="32" t="s">
        <v>3818</v>
      </c>
      <c r="AG243" s="31">
        <v>100.0</v>
      </c>
      <c r="AH243" s="33">
        <f>'Old Balance Sheet'!F243 + 'ACPL Calculations - 1.0'!F243 + 'ACPL Calculations - 2.0'!F243</f>
        <v>0</v>
      </c>
      <c r="AI243" s="34" t="s">
        <v>3820</v>
      </c>
      <c r="AJ243" s="34">
        <v>375.0</v>
      </c>
      <c r="AK243" s="32" t="s">
        <v>3818</v>
      </c>
      <c r="AL243" s="31">
        <v>100.0</v>
      </c>
      <c r="AM243" s="33">
        <f>'Old Balance Sheet'!G243 + 'ACPL Calculations - 1.0'!G243 + 'ACPL Calculations - 2.0'!G243</f>
        <v>0</v>
      </c>
      <c r="AN243" s="34" t="s">
        <v>3820</v>
      </c>
      <c r="AO243" s="34">
        <v>290.0</v>
      </c>
      <c r="AP243" s="32" t="s">
        <v>3818</v>
      </c>
      <c r="AQ243" s="31">
        <v>100.0</v>
      </c>
      <c r="AR243" s="33">
        <f>'Old Balance Sheet'!H243 + 'ACPL Calculations - 1.0'!H243 + 'ACPL Calculations - 2.0'!H243</f>
        <v>0</v>
      </c>
      <c r="AS243" s="34" t="s">
        <v>3819</v>
      </c>
      <c r="AT243" s="34">
        <v>838.99</v>
      </c>
      <c r="AU243" s="32" t="s">
        <v>3818</v>
      </c>
      <c r="AV243" s="31">
        <v>100.0</v>
      </c>
      <c r="AW243" s="33">
        <f>'Old Balance Sheet'!I243 + 'ACPL Calculations - 1.0'!I243 + 'ACPL Calculations - 2.0'!I243</f>
        <v>0</v>
      </c>
      <c r="AX243" s="34" t="s">
        <v>3820</v>
      </c>
      <c r="AY243" s="34">
        <v>290.0</v>
      </c>
      <c r="AZ243" s="32" t="s">
        <v>3818</v>
      </c>
      <c r="BA243" s="31">
        <v>100.0</v>
      </c>
      <c r="BB243" s="33">
        <f>'Old Balance Sheet'!J243 + 'ACPL Calculations - 1.0'!J243 + 'ACPL Calculations - 2.0'!J243</f>
        <v>0</v>
      </c>
      <c r="BC243" s="34" t="s">
        <v>3820</v>
      </c>
      <c r="BD243" s="34">
        <v>205.0</v>
      </c>
      <c r="BE243" s="32" t="s">
        <v>3818</v>
      </c>
      <c r="BF243" s="31">
        <v>100.0</v>
      </c>
      <c r="BG243" s="33">
        <f>'Old Balance Sheet'!K243 + 'ACPL Calculations - 1.0'!K243 + 'ACPL Calculations - 2.0'!K243</f>
        <v>0</v>
      </c>
      <c r="BH243" s="34" t="s">
        <v>3820</v>
      </c>
      <c r="BI243" s="34">
        <v>205.0</v>
      </c>
      <c r="BJ243" s="32" t="s">
        <v>3818</v>
      </c>
      <c r="BK243" s="31">
        <v>100.0</v>
      </c>
      <c r="BL243" s="33">
        <f>'Old Balance Sheet'!L243 + 'ACPL Calculations - 1.0'!L243 + 'ACPL Calculations - 2.0'!L243</f>
        <v>0</v>
      </c>
      <c r="CL243" s="33">
        <f t="shared" si="1"/>
        <v>0</v>
      </c>
      <c r="CM243" s="33">
        <f>'Old Balance Sheet'!R243 + 'ACPL Calculations - 1.0'!S243 + 'ACPL Calculations - 2.0'!S243</f>
        <v>0</v>
      </c>
      <c r="CN243" s="33">
        <f>'Old Balance Sheet'!S243 + 'ACPL Calculations - 1.0'!T243 + 'ACPL Calculations - 2.0'!T243</f>
        <v>0</v>
      </c>
      <c r="CO243" s="33">
        <f t="shared" si="2"/>
        <v>0</v>
      </c>
      <c r="CP243" s="33">
        <f>'Old Balance Sheet'!T243 + 'ACPL Calculations - 1.0'!V243 + 'ACPL Calculations - 2.0'!V243</f>
        <v>0</v>
      </c>
      <c r="CQ243" s="33">
        <f>'Old Balance Sheet'!U243 + 'ACPL Calculations - 1.0'!W243 + 'ACPL Calculations - 2.0'!W243</f>
        <v>0</v>
      </c>
      <c r="CR243" s="33">
        <f>'Old Balance Sheet'!V243 + 'ACPL Calculations - 1.0'!X243 + 'ACPL Calculations - 2.0'!X243</f>
        <v>0</v>
      </c>
      <c r="CS243" s="33">
        <f t="shared" si="3"/>
        <v>0</v>
      </c>
      <c r="CT243" s="35"/>
      <c r="CU243" s="35"/>
      <c r="CV243" s="35"/>
      <c r="CW243" s="36">
        <f>'Old Balance Sheet'!W243 + 'ACPL Calculations - 1.0'!Z243 + 'ACPL Calculations - 2.0'!Z243</f>
        <v>0</v>
      </c>
      <c r="CX243" s="36">
        <f>'Old Balance Sheet'!X243 + 'ACPL Calculations - 1.0'!AA243 + 'ACPL Calculations - 2.0'!AA243</f>
        <v>0</v>
      </c>
      <c r="CY243" s="37">
        <v>0.0</v>
      </c>
      <c r="CZ243" s="38">
        <f>'Old Balance Sheet'!Y243 + 'ACPL Calculations - 1.0'!AB243 + 'ACPL Calculations - 2.0'!AB243</f>
        <v>0</v>
      </c>
      <c r="DA243" s="38">
        <f>'Old Balance Sheet'!Z243 + 'ACPL Calculations - 1.0'!AC243 + 'ACPL Calculations - 2.0'!AC243</f>
        <v>0</v>
      </c>
      <c r="DB243" s="38">
        <f>'Old Balance Sheet'!AA243 + 'ACPL Calculations - 1.0'!AD243 + 'ACPL Calculations - 2.0'!AD243</f>
        <v>0</v>
      </c>
      <c r="DC243" s="38">
        <f>'Old Balance Sheet'!AB243 + 'ACPL Calculations - 1.0'!AE243 + 'ACPL Calculations - 2.0'!AE243</f>
        <v>0</v>
      </c>
      <c r="DD243" s="38">
        <f t="shared" si="4"/>
        <v>0</v>
      </c>
      <c r="DE243" s="33">
        <f t="shared" si="5"/>
        <v>0</v>
      </c>
      <c r="DF243" s="35">
        <v>0.0</v>
      </c>
      <c r="DG243" s="35">
        <v>0.0</v>
      </c>
      <c r="DH243" s="35">
        <v>0.0</v>
      </c>
      <c r="DI243" s="35">
        <v>0.0</v>
      </c>
      <c r="DJ243" s="35">
        <v>0.0</v>
      </c>
      <c r="DK243" s="35">
        <v>0.0</v>
      </c>
      <c r="DL243" s="35">
        <v>0.0</v>
      </c>
      <c r="DM243" s="35">
        <v>0.0</v>
      </c>
      <c r="DN243" s="31">
        <v>0.0</v>
      </c>
      <c r="DO243" s="31">
        <v>0.0</v>
      </c>
      <c r="DP243" s="31">
        <v>0.0</v>
      </c>
      <c r="DQ243" s="31">
        <v>0.0</v>
      </c>
      <c r="DR243" s="31">
        <v>0.0</v>
      </c>
      <c r="DS243" s="31">
        <v>0.0</v>
      </c>
      <c r="DT243" s="31">
        <f>'Old Balance Sheet'!AC243</f>
        <v>0</v>
      </c>
      <c r="DU243" s="31">
        <f>DT243 + SUMIFS('Payments Log'!D:D, 'Payments Log'!B:B, A243, 'Payments Log'!L:L, "Approved", 'Payments Log'!M:M, "Credit") + 'Old Balance Sheet'!AD243 - 'Old Balance Sheet'!AC243</f>
        <v>0</v>
      </c>
      <c r="DV243" s="31">
        <f>SUMIFS('Payments Log'!D:D, 'Payments Log'!B:B, A243, 'Payments Log'!L:L, "Approved", 'Payments Log'!M:M, "Adjustment Credit") - SUMIFS('Payments Log'!D:D, 'Payments Log'!B:B, A243, 'Payments Log'!L:L, "Approved", 'Payments Log'!M:M, "Adjustment Debit") + 'Old Balance Sheet'!AE243</f>
        <v>0</v>
      </c>
      <c r="DW243" s="31">
        <f>IF(MAXIFS('Payments Log'!N:N, 'Payments Log'!L:L, "Approved", 'Payments Log'!M:M, "Credit", 'Payments Log'!B:B, A243) &gt; MAXIFS('Payments Log'!N:N, 'Payments Log'!L:L, "Approved", 'Payments Log'!M:M, "Virtual Credit", 'Payments Log'!B:B, A243), 0, SUMIFS('Payments Log'!D:D, 'Payments Log'!N:N, MAXIFS('Payments Log'!N:N, 'Payments Log'!L:L, "Approved", 'Payments Log'!M:M, "Virtual Credit", 'Payments Log'!B:B, A243)))</f>
        <v>0</v>
      </c>
      <c r="DX243" s="33">
        <f t="shared" si="6"/>
        <v>0</v>
      </c>
      <c r="DY243" s="33">
        <f t="shared" si="7"/>
        <v>0</v>
      </c>
      <c r="DZ243" s="33">
        <f t="shared" si="8"/>
        <v>0</v>
      </c>
      <c r="EA243" s="25" t="str">
        <f>(Sheet1!N243)</f>
        <v>Vanshadi Motors - Faizabad</v>
      </c>
      <c r="EB243" s="25" t="str">
        <f>(Sheet1!O243)</f>
        <v>1S2YNz2hsIyDIwT68EF1VR8O-D7oanl9HQJpcApwJPG4</v>
      </c>
      <c r="EC243" s="26" t="str">
        <f>(Sheet1!P243)</f>
        <v>Sub Dealer</v>
      </c>
      <c r="ED243" s="34" t="s">
        <v>13</v>
      </c>
    </row>
    <row r="244">
      <c r="A244" s="26" t="str">
        <f>(Sheet1!A244)</f>
        <v>1kGb6hrNJXovJfW0VYZrNJI9HEgnPDMsvnJUI4qK6La4</v>
      </c>
      <c r="B244" s="26" t="str">
        <f>(Sheet1!B244)</f>
        <v>V.K MOTORS (VM)- BADAGAON</v>
      </c>
      <c r="C244" s="34" t="s">
        <v>13</v>
      </c>
      <c r="D244" s="34" t="s">
        <v>72</v>
      </c>
      <c r="E244" s="34" t="s">
        <v>3820</v>
      </c>
      <c r="F244" s="31">
        <v>155.0</v>
      </c>
      <c r="G244" s="34" t="s">
        <v>3818</v>
      </c>
      <c r="H244" s="34">
        <v>100.0</v>
      </c>
      <c r="I244" s="33">
        <f>'Old Balance Sheet'!A244 + 'ACPL Calculations - 1.0'!A244 + 'ACPL Calculations - 2.0'!A244</f>
        <v>0</v>
      </c>
      <c r="J244" s="34" t="s">
        <v>3820</v>
      </c>
      <c r="K244" s="34">
        <v>175.0</v>
      </c>
      <c r="L244" s="34" t="s">
        <v>3818</v>
      </c>
      <c r="M244" s="34">
        <v>100.0</v>
      </c>
      <c r="N244" s="33">
        <f>'Old Balance Sheet'!B244 + 'ACPL Calculations - 1.0'!B244 + 'ACPL Calculations - 2.0'!B244</f>
        <v>0</v>
      </c>
      <c r="O244" s="34" t="s">
        <v>3820</v>
      </c>
      <c r="P244" s="34">
        <v>290.0</v>
      </c>
      <c r="Q244" s="34" t="s">
        <v>3818</v>
      </c>
      <c r="R244" s="34">
        <v>100.0</v>
      </c>
      <c r="S244" s="33">
        <f>'Old Balance Sheet'!C244 + 'ACPL Calculations - 1.0'!C244 + 'ACPL Calculations - 2.0'!C244</f>
        <v>0</v>
      </c>
      <c r="T244" s="34" t="s">
        <v>3820</v>
      </c>
      <c r="U244" s="34">
        <v>375.0</v>
      </c>
      <c r="V244" s="34" t="s">
        <v>3818</v>
      </c>
      <c r="W244" s="34">
        <v>100.0</v>
      </c>
      <c r="X244" s="33">
        <f>'Old Balance Sheet'!D244 + 'ACPL Calculations - 1.0'!D244 + 'ACPL Calculations - 2.0'!D244</f>
        <v>0</v>
      </c>
      <c r="Y244" s="34" t="s">
        <v>3820</v>
      </c>
      <c r="Z244" s="34">
        <v>375.0</v>
      </c>
      <c r="AA244" s="32" t="s">
        <v>3818</v>
      </c>
      <c r="AB244" s="31">
        <v>100.0</v>
      </c>
      <c r="AC244" s="33">
        <f>'Old Balance Sheet'!E244 + 'ACPL Calculations - 1.0'!E244 + 'ACPL Calculations - 2.0'!E244</f>
        <v>0</v>
      </c>
      <c r="AD244" s="34" t="s">
        <v>3820</v>
      </c>
      <c r="AE244" s="34">
        <v>838.99</v>
      </c>
      <c r="AF244" s="32" t="s">
        <v>3818</v>
      </c>
      <c r="AG244" s="31">
        <v>100.0</v>
      </c>
      <c r="AH244" s="33">
        <f>'Old Balance Sheet'!F244 + 'ACPL Calculations - 1.0'!F244 + 'ACPL Calculations - 2.0'!F244</f>
        <v>0</v>
      </c>
      <c r="AI244" s="34" t="s">
        <v>3820</v>
      </c>
      <c r="AJ244" s="34">
        <v>375.0</v>
      </c>
      <c r="AK244" s="32" t="s">
        <v>3818</v>
      </c>
      <c r="AL244" s="31">
        <v>100.0</v>
      </c>
      <c r="AM244" s="33">
        <f>'Old Balance Sheet'!G244 + 'ACPL Calculations - 1.0'!G244 + 'ACPL Calculations - 2.0'!G244</f>
        <v>0</v>
      </c>
      <c r="AN244" s="34" t="s">
        <v>3820</v>
      </c>
      <c r="AO244" s="34">
        <v>290.0</v>
      </c>
      <c r="AP244" s="32" t="s">
        <v>3818</v>
      </c>
      <c r="AQ244" s="31">
        <v>100.0</v>
      </c>
      <c r="AR244" s="33">
        <f>'Old Balance Sheet'!H244 + 'ACPL Calculations - 1.0'!H244 + 'ACPL Calculations - 2.0'!H244</f>
        <v>0</v>
      </c>
      <c r="AS244" s="34" t="s">
        <v>3819</v>
      </c>
      <c r="AT244" s="34">
        <v>838.99</v>
      </c>
      <c r="AU244" s="32" t="s">
        <v>3818</v>
      </c>
      <c r="AV244" s="31">
        <v>100.0</v>
      </c>
      <c r="AW244" s="33">
        <f>'Old Balance Sheet'!I244 + 'ACPL Calculations - 1.0'!I244 + 'ACPL Calculations - 2.0'!I244</f>
        <v>0</v>
      </c>
      <c r="AX244" s="34" t="s">
        <v>3820</v>
      </c>
      <c r="AY244" s="34">
        <v>290.0</v>
      </c>
      <c r="AZ244" s="32" t="s">
        <v>3818</v>
      </c>
      <c r="BA244" s="31">
        <v>100.0</v>
      </c>
      <c r="BB244" s="33">
        <f>'Old Balance Sheet'!J244 + 'ACPL Calculations - 1.0'!J244 + 'ACPL Calculations - 2.0'!J244</f>
        <v>0</v>
      </c>
      <c r="BC244" s="34" t="s">
        <v>3820</v>
      </c>
      <c r="BD244" s="34">
        <v>205.0</v>
      </c>
      <c r="BE244" s="32" t="s">
        <v>3818</v>
      </c>
      <c r="BF244" s="31">
        <v>100.0</v>
      </c>
      <c r="BG244" s="33">
        <f>'Old Balance Sheet'!K244 + 'ACPL Calculations - 1.0'!K244 + 'ACPL Calculations - 2.0'!K244</f>
        <v>0</v>
      </c>
      <c r="BH244" s="34" t="s">
        <v>3820</v>
      </c>
      <c r="BI244" s="34">
        <v>205.0</v>
      </c>
      <c r="BJ244" s="32" t="s">
        <v>3818</v>
      </c>
      <c r="BK244" s="31">
        <v>100.0</v>
      </c>
      <c r="BL244" s="33">
        <f>'Old Balance Sheet'!L244 + 'ACPL Calculations - 1.0'!L244 + 'ACPL Calculations - 2.0'!L244</f>
        <v>0</v>
      </c>
      <c r="CL244" s="33">
        <f t="shared" si="1"/>
        <v>0</v>
      </c>
      <c r="CM244" s="33">
        <f>'Old Balance Sheet'!R244 + 'ACPL Calculations - 1.0'!S244 + 'ACPL Calculations - 2.0'!S244</f>
        <v>0</v>
      </c>
      <c r="CN244" s="33">
        <f>'Old Balance Sheet'!S244 + 'ACPL Calculations - 1.0'!T244 + 'ACPL Calculations - 2.0'!T244</f>
        <v>0</v>
      </c>
      <c r="CO244" s="33">
        <f t="shared" si="2"/>
        <v>0</v>
      </c>
      <c r="CP244" s="33">
        <f>'Old Balance Sheet'!T244 + 'ACPL Calculations - 1.0'!V244 + 'ACPL Calculations - 2.0'!V244</f>
        <v>0</v>
      </c>
      <c r="CQ244" s="33">
        <f>'Old Balance Sheet'!U244 + 'ACPL Calculations - 1.0'!W244 + 'ACPL Calculations - 2.0'!W244</f>
        <v>0</v>
      </c>
      <c r="CR244" s="33">
        <f>'Old Balance Sheet'!V244 + 'ACPL Calculations - 1.0'!X244 + 'ACPL Calculations - 2.0'!X244</f>
        <v>0</v>
      </c>
      <c r="CS244" s="33">
        <f t="shared" si="3"/>
        <v>0</v>
      </c>
      <c r="CT244" s="35"/>
      <c r="CU244" s="35"/>
      <c r="CV244" s="35"/>
      <c r="CW244" s="36">
        <f>'Old Balance Sheet'!W244 + 'ACPL Calculations - 1.0'!Z244 + 'ACPL Calculations - 2.0'!Z244</f>
        <v>0</v>
      </c>
      <c r="CX244" s="36">
        <f>'Old Balance Sheet'!X244 + 'ACPL Calculations - 1.0'!AA244 + 'ACPL Calculations - 2.0'!AA244</f>
        <v>0</v>
      </c>
      <c r="CY244" s="37">
        <v>0.0</v>
      </c>
      <c r="CZ244" s="38">
        <f>'Old Balance Sheet'!Y244 + 'ACPL Calculations - 1.0'!AB244 + 'ACPL Calculations - 2.0'!AB244</f>
        <v>0</v>
      </c>
      <c r="DA244" s="38">
        <f>'Old Balance Sheet'!Z244 + 'ACPL Calculations - 1.0'!AC244 + 'ACPL Calculations - 2.0'!AC244</f>
        <v>0</v>
      </c>
      <c r="DB244" s="38">
        <f>'Old Balance Sheet'!AA244 + 'ACPL Calculations - 1.0'!AD244 + 'ACPL Calculations - 2.0'!AD244</f>
        <v>0</v>
      </c>
      <c r="DC244" s="38">
        <f>'Old Balance Sheet'!AB244 + 'ACPL Calculations - 1.0'!AE244 + 'ACPL Calculations - 2.0'!AE244</f>
        <v>0</v>
      </c>
      <c r="DD244" s="38">
        <f t="shared" si="4"/>
        <v>0</v>
      </c>
      <c r="DE244" s="33">
        <f t="shared" si="5"/>
        <v>0</v>
      </c>
      <c r="DF244" s="35">
        <v>0.0</v>
      </c>
      <c r="DG244" s="35">
        <v>0.0</v>
      </c>
      <c r="DH244" s="35">
        <v>0.0</v>
      </c>
      <c r="DI244" s="35">
        <v>0.0</v>
      </c>
      <c r="DJ244" s="35">
        <v>0.0</v>
      </c>
      <c r="DK244" s="35">
        <v>0.0</v>
      </c>
      <c r="DL244" s="35">
        <v>0.0</v>
      </c>
      <c r="DM244" s="35">
        <v>0.0</v>
      </c>
      <c r="DN244" s="31">
        <v>0.0</v>
      </c>
      <c r="DO244" s="31">
        <v>0.0</v>
      </c>
      <c r="DP244" s="31">
        <v>0.0</v>
      </c>
      <c r="DQ244" s="31">
        <v>0.0</v>
      </c>
      <c r="DR244" s="31">
        <v>0.0</v>
      </c>
      <c r="DS244" s="31">
        <v>0.0</v>
      </c>
      <c r="DT244" s="31">
        <f>'Old Balance Sheet'!AC244</f>
        <v>0</v>
      </c>
      <c r="DU244" s="31">
        <f>DT244 + SUMIFS('Payments Log'!D:D, 'Payments Log'!B:B, A244, 'Payments Log'!L:L, "Approved", 'Payments Log'!M:M, "Credit") + 'Old Balance Sheet'!AD244 - 'Old Balance Sheet'!AC244</f>
        <v>0</v>
      </c>
      <c r="DV244" s="31">
        <f>SUMIFS('Payments Log'!D:D, 'Payments Log'!B:B, A244, 'Payments Log'!L:L, "Approved", 'Payments Log'!M:M, "Adjustment Credit") - SUMIFS('Payments Log'!D:D, 'Payments Log'!B:B, A244, 'Payments Log'!L:L, "Approved", 'Payments Log'!M:M, "Adjustment Debit") + 'Old Balance Sheet'!AE244</f>
        <v>0</v>
      </c>
      <c r="DW244" s="31">
        <f>IF(MAXIFS('Payments Log'!N:N, 'Payments Log'!L:L, "Approved", 'Payments Log'!M:M, "Credit", 'Payments Log'!B:B, A244) &gt; MAXIFS('Payments Log'!N:N, 'Payments Log'!L:L, "Approved", 'Payments Log'!M:M, "Virtual Credit", 'Payments Log'!B:B, A244), 0, SUMIFS('Payments Log'!D:D, 'Payments Log'!N:N, MAXIFS('Payments Log'!N:N, 'Payments Log'!L:L, "Approved", 'Payments Log'!M:M, "Virtual Credit", 'Payments Log'!B:B, A244)))</f>
        <v>0</v>
      </c>
      <c r="DX244" s="33">
        <f t="shared" si="6"/>
        <v>0</v>
      </c>
      <c r="DY244" s="33">
        <f t="shared" si="7"/>
        <v>0</v>
      </c>
      <c r="DZ244" s="33">
        <f t="shared" si="8"/>
        <v>0</v>
      </c>
      <c r="EA244" s="25" t="str">
        <f>(Sheet1!N244)</f>
        <v>Vanshadi Motors - Faizabad</v>
      </c>
      <c r="EB244" s="25" t="str">
        <f>(Sheet1!O244)</f>
        <v>1S2YNz2hsIyDIwT68EF1VR8O-D7oanl9HQJpcApwJPG4</v>
      </c>
      <c r="EC244" s="26" t="str">
        <f>(Sheet1!P244)</f>
        <v>Sub Dealer</v>
      </c>
      <c r="ED244" s="34" t="s">
        <v>13</v>
      </c>
    </row>
    <row r="245">
      <c r="A245" s="26" t="str">
        <f>(Sheet1!A245)</f>
        <v>10eOuCid3doBRgqrYrW2izRAjuevQTzEFfL_e1Msg9_c</v>
      </c>
      <c r="B245" s="26" t="str">
        <f>(Sheet1!B245)</f>
        <v>AGARWAL AUTO SALES(CA) - RUDAULI</v>
      </c>
      <c r="C245" s="34" t="s">
        <v>13</v>
      </c>
      <c r="D245" s="34" t="s">
        <v>72</v>
      </c>
      <c r="E245" s="34" t="s">
        <v>3820</v>
      </c>
      <c r="F245" s="31">
        <v>155.0</v>
      </c>
      <c r="G245" s="34" t="s">
        <v>3818</v>
      </c>
      <c r="H245" s="34">
        <v>100.0</v>
      </c>
      <c r="I245" s="33">
        <f>'Old Balance Sheet'!A245 + 'ACPL Calculations - 1.0'!A245 + 'ACPL Calculations - 2.0'!A245</f>
        <v>0</v>
      </c>
      <c r="J245" s="34" t="s">
        <v>3820</v>
      </c>
      <c r="K245" s="34">
        <v>205.0</v>
      </c>
      <c r="L245" s="34" t="s">
        <v>3818</v>
      </c>
      <c r="M245" s="34">
        <v>100.0</v>
      </c>
      <c r="N245" s="33">
        <f>'Old Balance Sheet'!B245 + 'ACPL Calculations - 1.0'!B245 + 'ACPL Calculations - 2.0'!B245</f>
        <v>0</v>
      </c>
      <c r="O245" s="34" t="s">
        <v>3820</v>
      </c>
      <c r="P245" s="34">
        <v>290.0</v>
      </c>
      <c r="Q245" s="34" t="s">
        <v>3818</v>
      </c>
      <c r="R245" s="34">
        <v>100.0</v>
      </c>
      <c r="S245" s="33">
        <f>'Old Balance Sheet'!C245 + 'ACPL Calculations - 1.0'!C245 + 'ACPL Calculations - 2.0'!C245</f>
        <v>0</v>
      </c>
      <c r="T245" s="34" t="s">
        <v>3820</v>
      </c>
      <c r="U245" s="34">
        <v>375.0</v>
      </c>
      <c r="V245" s="34" t="s">
        <v>3818</v>
      </c>
      <c r="W245" s="34">
        <v>100.0</v>
      </c>
      <c r="X245" s="33">
        <f>'Old Balance Sheet'!D245 + 'ACPL Calculations - 1.0'!D245 + 'ACPL Calculations - 2.0'!D245</f>
        <v>0</v>
      </c>
      <c r="Y245" s="34" t="s">
        <v>3820</v>
      </c>
      <c r="Z245" s="34">
        <v>375.0</v>
      </c>
      <c r="AA245" s="32" t="s">
        <v>3818</v>
      </c>
      <c r="AB245" s="31">
        <v>100.0</v>
      </c>
      <c r="AC245" s="33">
        <f>'Old Balance Sheet'!E245 + 'ACPL Calculations - 1.0'!E245 + 'ACPL Calculations - 2.0'!E245</f>
        <v>0</v>
      </c>
      <c r="AD245" s="34" t="s">
        <v>3820</v>
      </c>
      <c r="AE245" s="34">
        <v>838.99</v>
      </c>
      <c r="AF245" s="32" t="s">
        <v>3818</v>
      </c>
      <c r="AG245" s="31">
        <v>100.0</v>
      </c>
      <c r="AH245" s="33">
        <f>'Old Balance Sheet'!F245 + 'ACPL Calculations - 1.0'!F245 + 'ACPL Calculations - 2.0'!F245</f>
        <v>0</v>
      </c>
      <c r="AI245" s="34" t="s">
        <v>3820</v>
      </c>
      <c r="AJ245" s="34">
        <v>375.0</v>
      </c>
      <c r="AK245" s="32" t="s">
        <v>3818</v>
      </c>
      <c r="AL245" s="31">
        <v>100.0</v>
      </c>
      <c r="AM245" s="33">
        <f>'Old Balance Sheet'!G245 + 'ACPL Calculations - 1.0'!G245 + 'ACPL Calculations - 2.0'!G245</f>
        <v>0</v>
      </c>
      <c r="AN245" s="34" t="s">
        <v>3820</v>
      </c>
      <c r="AO245" s="34">
        <v>290.0</v>
      </c>
      <c r="AP245" s="32" t="s">
        <v>3818</v>
      </c>
      <c r="AQ245" s="31">
        <v>100.0</v>
      </c>
      <c r="AR245" s="33">
        <f>'Old Balance Sheet'!H245 + 'ACPL Calculations - 1.0'!H245 + 'ACPL Calculations - 2.0'!H245</f>
        <v>0</v>
      </c>
      <c r="AS245" s="34" t="s">
        <v>3819</v>
      </c>
      <c r="AT245" s="34">
        <v>838.99</v>
      </c>
      <c r="AU245" s="32" t="s">
        <v>3818</v>
      </c>
      <c r="AV245" s="31">
        <v>100.0</v>
      </c>
      <c r="AW245" s="33">
        <f>'Old Balance Sheet'!I245 + 'ACPL Calculations - 1.0'!I245 + 'ACPL Calculations - 2.0'!I245</f>
        <v>0</v>
      </c>
      <c r="AX245" s="34" t="s">
        <v>3820</v>
      </c>
      <c r="AY245" s="34">
        <v>290.0</v>
      </c>
      <c r="AZ245" s="32" t="s">
        <v>3818</v>
      </c>
      <c r="BA245" s="31">
        <v>100.0</v>
      </c>
      <c r="BB245" s="33">
        <f>'Old Balance Sheet'!J245 + 'ACPL Calculations - 1.0'!J245 + 'ACPL Calculations - 2.0'!J245</f>
        <v>0</v>
      </c>
      <c r="BC245" s="34" t="s">
        <v>3820</v>
      </c>
      <c r="BD245" s="34">
        <v>205.0</v>
      </c>
      <c r="BE245" s="32" t="s">
        <v>3818</v>
      </c>
      <c r="BF245" s="31">
        <v>100.0</v>
      </c>
      <c r="BG245" s="33">
        <f>'Old Balance Sheet'!K245 + 'ACPL Calculations - 1.0'!K245 + 'ACPL Calculations - 2.0'!K245</f>
        <v>0</v>
      </c>
      <c r="BH245" s="34" t="s">
        <v>3820</v>
      </c>
      <c r="BI245" s="34">
        <v>205.0</v>
      </c>
      <c r="BJ245" s="32" t="s">
        <v>3818</v>
      </c>
      <c r="BK245" s="31">
        <v>100.0</v>
      </c>
      <c r="BL245" s="33">
        <f>'Old Balance Sheet'!L245 + 'ACPL Calculations - 1.0'!L245 + 'ACPL Calculations - 2.0'!L245</f>
        <v>0</v>
      </c>
      <c r="CL245" s="33">
        <f t="shared" si="1"/>
        <v>0</v>
      </c>
      <c r="CM245" s="33">
        <f>'Old Balance Sheet'!R245 + 'ACPL Calculations - 1.0'!S245 + 'ACPL Calculations - 2.0'!S245</f>
        <v>0</v>
      </c>
      <c r="CN245" s="33">
        <f>'Old Balance Sheet'!S245 + 'ACPL Calculations - 1.0'!T245 + 'ACPL Calculations - 2.0'!T245</f>
        <v>0</v>
      </c>
      <c r="CO245" s="33">
        <f t="shared" si="2"/>
        <v>0</v>
      </c>
      <c r="CP245" s="33">
        <f>'Old Balance Sheet'!T245 + 'ACPL Calculations - 1.0'!V245 + 'ACPL Calculations - 2.0'!V245</f>
        <v>0</v>
      </c>
      <c r="CQ245" s="33">
        <f>'Old Balance Sheet'!U245 + 'ACPL Calculations - 1.0'!W245 + 'ACPL Calculations - 2.0'!W245</f>
        <v>0</v>
      </c>
      <c r="CR245" s="33">
        <f>'Old Balance Sheet'!V245 + 'ACPL Calculations - 1.0'!X245 + 'ACPL Calculations - 2.0'!X245</f>
        <v>0</v>
      </c>
      <c r="CS245" s="33">
        <f t="shared" si="3"/>
        <v>0</v>
      </c>
      <c r="CT245" s="35"/>
      <c r="CU245" s="35"/>
      <c r="CV245" s="35"/>
      <c r="CW245" s="36">
        <f>'Old Balance Sheet'!W245 + 'ACPL Calculations - 1.0'!Z245 + 'ACPL Calculations - 2.0'!Z245</f>
        <v>0</v>
      </c>
      <c r="CX245" s="36">
        <f>'Old Balance Sheet'!X245 + 'ACPL Calculations - 1.0'!AA245 + 'ACPL Calculations - 2.0'!AA245</f>
        <v>0</v>
      </c>
      <c r="CY245" s="37">
        <v>0.0</v>
      </c>
      <c r="CZ245" s="38">
        <f>'Old Balance Sheet'!Y245 + 'ACPL Calculations - 1.0'!AB245 + 'ACPL Calculations - 2.0'!AB245</f>
        <v>0</v>
      </c>
      <c r="DA245" s="38">
        <f>'Old Balance Sheet'!Z245 + 'ACPL Calculations - 1.0'!AC245 + 'ACPL Calculations - 2.0'!AC245</f>
        <v>0</v>
      </c>
      <c r="DB245" s="38">
        <f>'Old Balance Sheet'!AA245 + 'ACPL Calculations - 1.0'!AD245 + 'ACPL Calculations - 2.0'!AD245</f>
        <v>0</v>
      </c>
      <c r="DC245" s="38">
        <f>'Old Balance Sheet'!AB245 + 'ACPL Calculations - 1.0'!AE245 + 'ACPL Calculations - 2.0'!AE245</f>
        <v>0</v>
      </c>
      <c r="DD245" s="38">
        <f t="shared" si="4"/>
        <v>0</v>
      </c>
      <c r="DE245" s="33">
        <f t="shared" si="5"/>
        <v>0</v>
      </c>
      <c r="DF245" s="35">
        <v>0.0</v>
      </c>
      <c r="DG245" s="35">
        <v>0.0</v>
      </c>
      <c r="DH245" s="35">
        <v>0.0</v>
      </c>
      <c r="DI245" s="35">
        <v>0.0</v>
      </c>
      <c r="DJ245" s="35">
        <v>0.0</v>
      </c>
      <c r="DK245" s="35">
        <v>0.0</v>
      </c>
      <c r="DL245" s="35">
        <v>0.0</v>
      </c>
      <c r="DM245" s="35">
        <v>0.0</v>
      </c>
      <c r="DN245" s="31">
        <v>0.0</v>
      </c>
      <c r="DO245" s="31">
        <v>0.0</v>
      </c>
      <c r="DP245" s="31">
        <v>0.0</v>
      </c>
      <c r="DQ245" s="31">
        <v>0.0</v>
      </c>
      <c r="DR245" s="31">
        <v>0.0</v>
      </c>
      <c r="DS245" s="31">
        <v>0.0</v>
      </c>
      <c r="DT245" s="31">
        <f>'Old Balance Sheet'!AC245</f>
        <v>0</v>
      </c>
      <c r="DU245" s="31">
        <f>DT245 + SUMIFS('Payments Log'!D:D, 'Payments Log'!B:B, A245, 'Payments Log'!L:L, "Approved", 'Payments Log'!M:M, "Credit") + 'Old Balance Sheet'!AD245 - 'Old Balance Sheet'!AC245</f>
        <v>0</v>
      </c>
      <c r="DV245" s="31">
        <f>SUMIFS('Payments Log'!D:D, 'Payments Log'!B:B, A245, 'Payments Log'!L:L, "Approved", 'Payments Log'!M:M, "Adjustment Credit") - SUMIFS('Payments Log'!D:D, 'Payments Log'!B:B, A245, 'Payments Log'!L:L, "Approved", 'Payments Log'!M:M, "Adjustment Debit") + 'Old Balance Sheet'!AE245</f>
        <v>0</v>
      </c>
      <c r="DW245" s="31">
        <f>IF(MAXIFS('Payments Log'!N:N, 'Payments Log'!L:L, "Approved", 'Payments Log'!M:M, "Credit", 'Payments Log'!B:B, A245) &gt; MAXIFS('Payments Log'!N:N, 'Payments Log'!L:L, "Approved", 'Payments Log'!M:M, "Virtual Credit", 'Payments Log'!B:B, A245), 0, SUMIFS('Payments Log'!D:D, 'Payments Log'!N:N, MAXIFS('Payments Log'!N:N, 'Payments Log'!L:L, "Approved", 'Payments Log'!M:M, "Virtual Credit", 'Payments Log'!B:B, A245)))</f>
        <v>0</v>
      </c>
      <c r="DX245" s="33">
        <f t="shared" si="6"/>
        <v>0</v>
      </c>
      <c r="DY245" s="33">
        <f t="shared" si="7"/>
        <v>0</v>
      </c>
      <c r="DZ245" s="33">
        <f t="shared" si="8"/>
        <v>0</v>
      </c>
      <c r="EA245" s="25" t="str">
        <f>(Sheet1!N245)</f>
        <v>Chandra Automobiles - Faizabad</v>
      </c>
      <c r="EB245" s="25" t="str">
        <f>(Sheet1!O245)</f>
        <v>1TMTMDBTSLXzi0POas5HDprui-sp3TCVvRYWE8buap-0</v>
      </c>
      <c r="EC245" s="26" t="str">
        <f>(Sheet1!P245)</f>
        <v>Sub Dealer</v>
      </c>
      <c r="ED245" s="34" t="s">
        <v>13</v>
      </c>
    </row>
    <row r="246">
      <c r="A246" s="26" t="str">
        <f>(Sheet1!A246)</f>
        <v>1OENaFEyiGUoyWg7ywU3cmqippkCDyzCnmx9kypMk5Cc</v>
      </c>
      <c r="B246" s="26" t="str">
        <f>(Sheet1!B246)</f>
        <v>ASIA AUTOMOBILES (CA) - KUMAR GANJ</v>
      </c>
      <c r="C246" s="34" t="s">
        <v>13</v>
      </c>
      <c r="D246" s="34" t="s">
        <v>72</v>
      </c>
      <c r="E246" s="34" t="s">
        <v>3820</v>
      </c>
      <c r="F246" s="31">
        <v>155.0</v>
      </c>
      <c r="G246" s="34" t="s">
        <v>3818</v>
      </c>
      <c r="H246" s="34">
        <v>100.0</v>
      </c>
      <c r="I246" s="33">
        <f>'Old Balance Sheet'!A246 + 'ACPL Calculations - 1.0'!A246 + 'ACPL Calculations - 2.0'!A246</f>
        <v>0</v>
      </c>
      <c r="J246" s="34" t="s">
        <v>3820</v>
      </c>
      <c r="K246" s="34">
        <v>205.0</v>
      </c>
      <c r="L246" s="34" t="s">
        <v>3818</v>
      </c>
      <c r="M246" s="34">
        <v>100.0</v>
      </c>
      <c r="N246" s="33">
        <f>'Old Balance Sheet'!B246 + 'ACPL Calculations - 1.0'!B246 + 'ACPL Calculations - 2.0'!B246</f>
        <v>0</v>
      </c>
      <c r="O246" s="34" t="s">
        <v>3820</v>
      </c>
      <c r="P246" s="34">
        <v>290.0</v>
      </c>
      <c r="Q246" s="34" t="s">
        <v>3818</v>
      </c>
      <c r="R246" s="34">
        <v>100.0</v>
      </c>
      <c r="S246" s="33">
        <f>'Old Balance Sheet'!C246 + 'ACPL Calculations - 1.0'!C246 + 'ACPL Calculations - 2.0'!C246</f>
        <v>0</v>
      </c>
      <c r="T246" s="34" t="s">
        <v>3820</v>
      </c>
      <c r="U246" s="34">
        <v>375.0</v>
      </c>
      <c r="V246" s="34" t="s">
        <v>3818</v>
      </c>
      <c r="W246" s="34">
        <v>100.0</v>
      </c>
      <c r="X246" s="33">
        <f>'Old Balance Sheet'!D246 + 'ACPL Calculations - 1.0'!D246 + 'ACPL Calculations - 2.0'!D246</f>
        <v>0</v>
      </c>
      <c r="Y246" s="34" t="s">
        <v>3820</v>
      </c>
      <c r="Z246" s="34">
        <v>375.0</v>
      </c>
      <c r="AA246" s="32" t="s">
        <v>3818</v>
      </c>
      <c r="AB246" s="31">
        <v>100.0</v>
      </c>
      <c r="AC246" s="33">
        <f>'Old Balance Sheet'!E246 + 'ACPL Calculations - 1.0'!E246 + 'ACPL Calculations - 2.0'!E246</f>
        <v>0</v>
      </c>
      <c r="AD246" s="34" t="s">
        <v>3820</v>
      </c>
      <c r="AE246" s="34">
        <v>838.99</v>
      </c>
      <c r="AF246" s="32" t="s">
        <v>3818</v>
      </c>
      <c r="AG246" s="31">
        <v>100.0</v>
      </c>
      <c r="AH246" s="33">
        <f>'Old Balance Sheet'!F246 + 'ACPL Calculations - 1.0'!F246 + 'ACPL Calculations - 2.0'!F246</f>
        <v>0</v>
      </c>
      <c r="AI246" s="34" t="s">
        <v>3820</v>
      </c>
      <c r="AJ246" s="34">
        <v>375.0</v>
      </c>
      <c r="AK246" s="32" t="s">
        <v>3818</v>
      </c>
      <c r="AL246" s="31">
        <v>100.0</v>
      </c>
      <c r="AM246" s="33">
        <f>'Old Balance Sheet'!G246 + 'ACPL Calculations - 1.0'!G246 + 'ACPL Calculations - 2.0'!G246</f>
        <v>0</v>
      </c>
      <c r="AN246" s="34" t="s">
        <v>3820</v>
      </c>
      <c r="AO246" s="34">
        <v>290.0</v>
      </c>
      <c r="AP246" s="32" t="s">
        <v>3818</v>
      </c>
      <c r="AQ246" s="31">
        <v>100.0</v>
      </c>
      <c r="AR246" s="33">
        <f>'Old Balance Sheet'!H246 + 'ACPL Calculations - 1.0'!H246 + 'ACPL Calculations - 2.0'!H246</f>
        <v>0</v>
      </c>
      <c r="AS246" s="34" t="s">
        <v>3819</v>
      </c>
      <c r="AT246" s="34">
        <v>838.99</v>
      </c>
      <c r="AU246" s="32" t="s">
        <v>3818</v>
      </c>
      <c r="AV246" s="31">
        <v>100.0</v>
      </c>
      <c r="AW246" s="33">
        <f>'Old Balance Sheet'!I246 + 'ACPL Calculations - 1.0'!I246 + 'ACPL Calculations - 2.0'!I246</f>
        <v>0</v>
      </c>
      <c r="AX246" s="34" t="s">
        <v>3820</v>
      </c>
      <c r="AY246" s="34">
        <v>290.0</v>
      </c>
      <c r="AZ246" s="32" t="s">
        <v>3818</v>
      </c>
      <c r="BA246" s="31">
        <v>100.0</v>
      </c>
      <c r="BB246" s="33">
        <f>'Old Balance Sheet'!J246 + 'ACPL Calculations - 1.0'!J246 + 'ACPL Calculations - 2.0'!J246</f>
        <v>0</v>
      </c>
      <c r="BC246" s="34" t="s">
        <v>3820</v>
      </c>
      <c r="BD246" s="34">
        <v>205.0</v>
      </c>
      <c r="BE246" s="32" t="s">
        <v>3818</v>
      </c>
      <c r="BF246" s="31">
        <v>100.0</v>
      </c>
      <c r="BG246" s="33">
        <f>'Old Balance Sheet'!K246 + 'ACPL Calculations - 1.0'!K246 + 'ACPL Calculations - 2.0'!K246</f>
        <v>0</v>
      </c>
      <c r="BH246" s="34" t="s">
        <v>3820</v>
      </c>
      <c r="BI246" s="34">
        <v>205.0</v>
      </c>
      <c r="BJ246" s="32" t="s">
        <v>3818</v>
      </c>
      <c r="BK246" s="31">
        <v>100.0</v>
      </c>
      <c r="BL246" s="33">
        <f>'Old Balance Sheet'!L246 + 'ACPL Calculations - 1.0'!L246 + 'ACPL Calculations - 2.0'!L246</f>
        <v>0</v>
      </c>
      <c r="CL246" s="33">
        <f t="shared" si="1"/>
        <v>0</v>
      </c>
      <c r="CM246" s="33">
        <f>'Old Balance Sheet'!R246 + 'ACPL Calculations - 1.0'!S246 + 'ACPL Calculations - 2.0'!S246</f>
        <v>0</v>
      </c>
      <c r="CN246" s="33">
        <f>'Old Balance Sheet'!S246 + 'ACPL Calculations - 1.0'!T246 + 'ACPL Calculations - 2.0'!T246</f>
        <v>0</v>
      </c>
      <c r="CO246" s="33">
        <f t="shared" si="2"/>
        <v>0</v>
      </c>
      <c r="CP246" s="33">
        <f>'Old Balance Sheet'!T246 + 'ACPL Calculations - 1.0'!V246 + 'ACPL Calculations - 2.0'!V246</f>
        <v>0</v>
      </c>
      <c r="CQ246" s="33">
        <f>'Old Balance Sheet'!U246 + 'ACPL Calculations - 1.0'!W246 + 'ACPL Calculations - 2.0'!W246</f>
        <v>0</v>
      </c>
      <c r="CR246" s="33">
        <f>'Old Balance Sheet'!V246 + 'ACPL Calculations - 1.0'!X246 + 'ACPL Calculations - 2.0'!X246</f>
        <v>0</v>
      </c>
      <c r="CS246" s="33">
        <f t="shared" si="3"/>
        <v>0</v>
      </c>
      <c r="CT246" s="35"/>
      <c r="CU246" s="35"/>
      <c r="CV246" s="35"/>
      <c r="CW246" s="36">
        <f>'Old Balance Sheet'!W246 + 'ACPL Calculations - 1.0'!Z246 + 'ACPL Calculations - 2.0'!Z246</f>
        <v>0</v>
      </c>
      <c r="CX246" s="36">
        <f>'Old Balance Sheet'!X246 + 'ACPL Calculations - 1.0'!AA246 + 'ACPL Calculations - 2.0'!AA246</f>
        <v>0</v>
      </c>
      <c r="CY246" s="37">
        <v>0.0</v>
      </c>
      <c r="CZ246" s="38">
        <f>'Old Balance Sheet'!Y246 + 'ACPL Calculations - 1.0'!AB246 + 'ACPL Calculations - 2.0'!AB246</f>
        <v>0</v>
      </c>
      <c r="DA246" s="38">
        <f>'Old Balance Sheet'!Z246 + 'ACPL Calculations - 1.0'!AC246 + 'ACPL Calculations - 2.0'!AC246</f>
        <v>0</v>
      </c>
      <c r="DB246" s="38">
        <f>'Old Balance Sheet'!AA246 + 'ACPL Calculations - 1.0'!AD246 + 'ACPL Calculations - 2.0'!AD246</f>
        <v>0</v>
      </c>
      <c r="DC246" s="38">
        <f>'Old Balance Sheet'!AB246 + 'ACPL Calculations - 1.0'!AE246 + 'ACPL Calculations - 2.0'!AE246</f>
        <v>0</v>
      </c>
      <c r="DD246" s="38">
        <f t="shared" si="4"/>
        <v>0</v>
      </c>
      <c r="DE246" s="33">
        <f t="shared" si="5"/>
        <v>0</v>
      </c>
      <c r="DF246" s="35">
        <v>0.0</v>
      </c>
      <c r="DG246" s="35">
        <v>0.0</v>
      </c>
      <c r="DH246" s="35">
        <v>0.0</v>
      </c>
      <c r="DI246" s="35">
        <v>0.0</v>
      </c>
      <c r="DJ246" s="35">
        <v>0.0</v>
      </c>
      <c r="DK246" s="35">
        <v>0.0</v>
      </c>
      <c r="DL246" s="35">
        <v>0.0</v>
      </c>
      <c r="DM246" s="35">
        <v>0.0</v>
      </c>
      <c r="DN246" s="31">
        <v>0.0</v>
      </c>
      <c r="DO246" s="31">
        <v>0.0</v>
      </c>
      <c r="DP246" s="31">
        <v>0.0</v>
      </c>
      <c r="DQ246" s="31">
        <v>0.0</v>
      </c>
      <c r="DR246" s="31">
        <v>0.0</v>
      </c>
      <c r="DS246" s="31">
        <v>0.0</v>
      </c>
      <c r="DT246" s="31">
        <f>'Old Balance Sheet'!AC246</f>
        <v>0</v>
      </c>
      <c r="DU246" s="31">
        <f>DT246 + SUMIFS('Payments Log'!D:D, 'Payments Log'!B:B, A246, 'Payments Log'!L:L, "Approved", 'Payments Log'!M:M, "Credit") + 'Old Balance Sheet'!AD246 - 'Old Balance Sheet'!AC246</f>
        <v>0</v>
      </c>
      <c r="DV246" s="31">
        <f>SUMIFS('Payments Log'!D:D, 'Payments Log'!B:B, A246, 'Payments Log'!L:L, "Approved", 'Payments Log'!M:M, "Adjustment Credit") - SUMIFS('Payments Log'!D:D, 'Payments Log'!B:B, A246, 'Payments Log'!L:L, "Approved", 'Payments Log'!M:M, "Adjustment Debit") + 'Old Balance Sheet'!AE246</f>
        <v>0</v>
      </c>
      <c r="DW246" s="31">
        <f>IF(MAXIFS('Payments Log'!N:N, 'Payments Log'!L:L, "Approved", 'Payments Log'!M:M, "Credit", 'Payments Log'!B:B, A246) &gt; MAXIFS('Payments Log'!N:N, 'Payments Log'!L:L, "Approved", 'Payments Log'!M:M, "Virtual Credit", 'Payments Log'!B:B, A246), 0, SUMIFS('Payments Log'!D:D, 'Payments Log'!N:N, MAXIFS('Payments Log'!N:N, 'Payments Log'!L:L, "Approved", 'Payments Log'!M:M, "Virtual Credit", 'Payments Log'!B:B, A246)))</f>
        <v>0</v>
      </c>
      <c r="DX246" s="33">
        <f t="shared" si="6"/>
        <v>0</v>
      </c>
      <c r="DY246" s="33">
        <f t="shared" si="7"/>
        <v>0</v>
      </c>
      <c r="DZ246" s="33">
        <f t="shared" si="8"/>
        <v>0</v>
      </c>
      <c r="EA246" s="25" t="str">
        <f>(Sheet1!N246)</f>
        <v>Chandra Automobiles - Faizabad</v>
      </c>
      <c r="EB246" s="25" t="str">
        <f>(Sheet1!O246)</f>
        <v>1TMTMDBTSLXzi0POas5HDprui-sp3TCVvRYWE8buap-0</v>
      </c>
      <c r="EC246" s="26" t="str">
        <f>(Sheet1!P246)</f>
        <v>Sub Dealer</v>
      </c>
      <c r="ED246" s="34" t="s">
        <v>13</v>
      </c>
    </row>
    <row r="247">
      <c r="A247" s="26" t="str">
        <f>(Sheet1!A247)</f>
        <v>159YPitGIgsrUYgelmfjtenQTfG48TpPtKkSuINSG0gc</v>
      </c>
      <c r="B247" s="26" t="str">
        <f>(Sheet1!B247)</f>
        <v>GUPTA AUTO SALES(CA) - SUJAGANJ</v>
      </c>
      <c r="C247" s="34" t="s">
        <v>13</v>
      </c>
      <c r="D247" s="34" t="s">
        <v>72</v>
      </c>
      <c r="E247" s="34" t="s">
        <v>3820</v>
      </c>
      <c r="F247" s="31">
        <v>155.0</v>
      </c>
      <c r="G247" s="34" t="s">
        <v>3818</v>
      </c>
      <c r="H247" s="34">
        <v>100.0</v>
      </c>
      <c r="I247" s="33">
        <f>'Old Balance Sheet'!A247 + 'ACPL Calculations - 1.0'!A247 + 'ACPL Calculations - 2.0'!A247</f>
        <v>0</v>
      </c>
      <c r="J247" s="34" t="s">
        <v>3820</v>
      </c>
      <c r="K247" s="34">
        <v>205.0</v>
      </c>
      <c r="L247" s="34" t="s">
        <v>3818</v>
      </c>
      <c r="M247" s="34">
        <v>100.0</v>
      </c>
      <c r="N247" s="33">
        <f>'Old Balance Sheet'!B247 + 'ACPL Calculations - 1.0'!B247 + 'ACPL Calculations - 2.0'!B247</f>
        <v>0</v>
      </c>
      <c r="O247" s="34" t="s">
        <v>3820</v>
      </c>
      <c r="P247" s="34">
        <v>290.0</v>
      </c>
      <c r="Q247" s="34" t="s">
        <v>3818</v>
      </c>
      <c r="R247" s="34">
        <v>100.0</v>
      </c>
      <c r="S247" s="33">
        <f>'Old Balance Sheet'!C247 + 'ACPL Calculations - 1.0'!C247 + 'ACPL Calculations - 2.0'!C247</f>
        <v>0</v>
      </c>
      <c r="T247" s="34" t="s">
        <v>3820</v>
      </c>
      <c r="U247" s="34">
        <v>375.0</v>
      </c>
      <c r="V247" s="34" t="s">
        <v>3818</v>
      </c>
      <c r="W247" s="34">
        <v>100.0</v>
      </c>
      <c r="X247" s="33">
        <f>'Old Balance Sheet'!D247 + 'ACPL Calculations - 1.0'!D247 + 'ACPL Calculations - 2.0'!D247</f>
        <v>0</v>
      </c>
      <c r="Y247" s="34" t="s">
        <v>3820</v>
      </c>
      <c r="Z247" s="34">
        <v>375.0</v>
      </c>
      <c r="AA247" s="32" t="s">
        <v>3818</v>
      </c>
      <c r="AB247" s="31">
        <v>100.0</v>
      </c>
      <c r="AC247" s="33">
        <f>'Old Balance Sheet'!E247 + 'ACPL Calculations - 1.0'!E247 + 'ACPL Calculations - 2.0'!E247</f>
        <v>0</v>
      </c>
      <c r="AD247" s="34" t="s">
        <v>3820</v>
      </c>
      <c r="AE247" s="34">
        <v>838.99</v>
      </c>
      <c r="AF247" s="32" t="s">
        <v>3818</v>
      </c>
      <c r="AG247" s="31">
        <v>100.0</v>
      </c>
      <c r="AH247" s="33">
        <f>'Old Balance Sheet'!F247 + 'ACPL Calculations - 1.0'!F247 + 'ACPL Calculations - 2.0'!F247</f>
        <v>0</v>
      </c>
      <c r="AI247" s="34" t="s">
        <v>3820</v>
      </c>
      <c r="AJ247" s="34">
        <v>375.0</v>
      </c>
      <c r="AK247" s="32" t="s">
        <v>3818</v>
      </c>
      <c r="AL247" s="31">
        <v>100.0</v>
      </c>
      <c r="AM247" s="33">
        <f>'Old Balance Sheet'!G247 + 'ACPL Calculations - 1.0'!G247 + 'ACPL Calculations - 2.0'!G247</f>
        <v>0</v>
      </c>
      <c r="AN247" s="34" t="s">
        <v>3820</v>
      </c>
      <c r="AO247" s="34">
        <v>290.0</v>
      </c>
      <c r="AP247" s="32" t="s">
        <v>3818</v>
      </c>
      <c r="AQ247" s="31">
        <v>100.0</v>
      </c>
      <c r="AR247" s="33">
        <f>'Old Balance Sheet'!H247 + 'ACPL Calculations - 1.0'!H247 + 'ACPL Calculations - 2.0'!H247</f>
        <v>0</v>
      </c>
      <c r="AS247" s="34" t="s">
        <v>3819</v>
      </c>
      <c r="AT247" s="34">
        <v>838.99</v>
      </c>
      <c r="AU247" s="32" t="s">
        <v>3818</v>
      </c>
      <c r="AV247" s="31">
        <v>100.0</v>
      </c>
      <c r="AW247" s="33">
        <f>'Old Balance Sheet'!I247 + 'ACPL Calculations - 1.0'!I247 + 'ACPL Calculations - 2.0'!I247</f>
        <v>0</v>
      </c>
      <c r="AX247" s="34" t="s">
        <v>3820</v>
      </c>
      <c r="AY247" s="34">
        <v>290.0</v>
      </c>
      <c r="AZ247" s="32" t="s">
        <v>3818</v>
      </c>
      <c r="BA247" s="31">
        <v>100.0</v>
      </c>
      <c r="BB247" s="33">
        <f>'Old Balance Sheet'!J247 + 'ACPL Calculations - 1.0'!J247 + 'ACPL Calculations - 2.0'!J247</f>
        <v>0</v>
      </c>
      <c r="BC247" s="34" t="s">
        <v>3820</v>
      </c>
      <c r="BD247" s="34">
        <v>205.0</v>
      </c>
      <c r="BE247" s="32" t="s">
        <v>3818</v>
      </c>
      <c r="BF247" s="31">
        <v>100.0</v>
      </c>
      <c r="BG247" s="33">
        <f>'Old Balance Sheet'!K247 + 'ACPL Calculations - 1.0'!K247 + 'ACPL Calculations - 2.0'!K247</f>
        <v>0</v>
      </c>
      <c r="BH247" s="34" t="s">
        <v>3820</v>
      </c>
      <c r="BI247" s="34">
        <v>205.0</v>
      </c>
      <c r="BJ247" s="32" t="s">
        <v>3818</v>
      </c>
      <c r="BK247" s="31">
        <v>100.0</v>
      </c>
      <c r="BL247" s="33">
        <f>'Old Balance Sheet'!L247 + 'ACPL Calculations - 1.0'!L247 + 'ACPL Calculations - 2.0'!L247</f>
        <v>0</v>
      </c>
      <c r="CL247" s="33">
        <f t="shared" si="1"/>
        <v>0</v>
      </c>
      <c r="CM247" s="33">
        <f>'Old Balance Sheet'!R247 + 'ACPL Calculations - 1.0'!S247 + 'ACPL Calculations - 2.0'!S247</f>
        <v>0</v>
      </c>
      <c r="CN247" s="33">
        <f>'Old Balance Sheet'!S247 + 'ACPL Calculations - 1.0'!T247 + 'ACPL Calculations - 2.0'!T247</f>
        <v>0</v>
      </c>
      <c r="CO247" s="33">
        <f t="shared" si="2"/>
        <v>0</v>
      </c>
      <c r="CP247" s="33">
        <f>'Old Balance Sheet'!T247 + 'ACPL Calculations - 1.0'!V247 + 'ACPL Calculations - 2.0'!V247</f>
        <v>0</v>
      </c>
      <c r="CQ247" s="33">
        <f>'Old Balance Sheet'!U247 + 'ACPL Calculations - 1.0'!W247 + 'ACPL Calculations - 2.0'!W247</f>
        <v>0</v>
      </c>
      <c r="CR247" s="33">
        <f>'Old Balance Sheet'!V247 + 'ACPL Calculations - 1.0'!X247 + 'ACPL Calculations - 2.0'!X247</f>
        <v>0</v>
      </c>
      <c r="CS247" s="33">
        <f t="shared" si="3"/>
        <v>0</v>
      </c>
      <c r="CT247" s="35"/>
      <c r="CU247" s="35"/>
      <c r="CV247" s="35"/>
      <c r="CW247" s="36">
        <f>'Old Balance Sheet'!W247 + 'ACPL Calculations - 1.0'!Z247 + 'ACPL Calculations - 2.0'!Z247</f>
        <v>0</v>
      </c>
      <c r="CX247" s="36">
        <f>'Old Balance Sheet'!X247 + 'ACPL Calculations - 1.0'!AA247 + 'ACPL Calculations - 2.0'!AA247</f>
        <v>0</v>
      </c>
      <c r="CY247" s="37">
        <v>0.0</v>
      </c>
      <c r="CZ247" s="38">
        <f>'Old Balance Sheet'!Y247 + 'ACPL Calculations - 1.0'!AB247 + 'ACPL Calculations - 2.0'!AB247</f>
        <v>0</v>
      </c>
      <c r="DA247" s="38">
        <f>'Old Balance Sheet'!Z247 + 'ACPL Calculations - 1.0'!AC247 + 'ACPL Calculations - 2.0'!AC247</f>
        <v>0</v>
      </c>
      <c r="DB247" s="38">
        <f>'Old Balance Sheet'!AA247 + 'ACPL Calculations - 1.0'!AD247 + 'ACPL Calculations - 2.0'!AD247</f>
        <v>0</v>
      </c>
      <c r="DC247" s="38">
        <f>'Old Balance Sheet'!AB247 + 'ACPL Calculations - 1.0'!AE247 + 'ACPL Calculations - 2.0'!AE247</f>
        <v>0</v>
      </c>
      <c r="DD247" s="38">
        <f t="shared" si="4"/>
        <v>0</v>
      </c>
      <c r="DE247" s="33">
        <f t="shared" si="5"/>
        <v>0</v>
      </c>
      <c r="DF247" s="35">
        <v>0.0</v>
      </c>
      <c r="DG247" s="35">
        <v>0.0</v>
      </c>
      <c r="DH247" s="35">
        <v>0.0</v>
      </c>
      <c r="DI247" s="35">
        <v>0.0</v>
      </c>
      <c r="DJ247" s="35">
        <v>0.0</v>
      </c>
      <c r="DK247" s="35">
        <v>0.0</v>
      </c>
      <c r="DL247" s="35">
        <v>0.0</v>
      </c>
      <c r="DM247" s="35">
        <v>0.0</v>
      </c>
      <c r="DN247" s="31">
        <v>0.0</v>
      </c>
      <c r="DO247" s="31">
        <v>0.0</v>
      </c>
      <c r="DP247" s="31">
        <v>0.0</v>
      </c>
      <c r="DQ247" s="31">
        <v>0.0</v>
      </c>
      <c r="DR247" s="31">
        <v>0.0</v>
      </c>
      <c r="DS247" s="31">
        <v>0.0</v>
      </c>
      <c r="DT247" s="31">
        <f>'Old Balance Sheet'!AC247</f>
        <v>0</v>
      </c>
      <c r="DU247" s="31">
        <f>DT247 + SUMIFS('Payments Log'!D:D, 'Payments Log'!B:B, A247, 'Payments Log'!L:L, "Approved", 'Payments Log'!M:M, "Credit") + 'Old Balance Sheet'!AD247 - 'Old Balance Sheet'!AC247</f>
        <v>0</v>
      </c>
      <c r="DV247" s="31">
        <f>SUMIFS('Payments Log'!D:D, 'Payments Log'!B:B, A247, 'Payments Log'!L:L, "Approved", 'Payments Log'!M:M, "Adjustment Credit") - SUMIFS('Payments Log'!D:D, 'Payments Log'!B:B, A247, 'Payments Log'!L:L, "Approved", 'Payments Log'!M:M, "Adjustment Debit") + 'Old Balance Sheet'!AE247</f>
        <v>0</v>
      </c>
      <c r="DW247" s="31">
        <f>IF(MAXIFS('Payments Log'!N:N, 'Payments Log'!L:L, "Approved", 'Payments Log'!M:M, "Credit", 'Payments Log'!B:B, A247) &gt; MAXIFS('Payments Log'!N:N, 'Payments Log'!L:L, "Approved", 'Payments Log'!M:M, "Virtual Credit", 'Payments Log'!B:B, A247), 0, SUMIFS('Payments Log'!D:D, 'Payments Log'!N:N, MAXIFS('Payments Log'!N:N, 'Payments Log'!L:L, "Approved", 'Payments Log'!M:M, "Virtual Credit", 'Payments Log'!B:B, A247)))</f>
        <v>0</v>
      </c>
      <c r="DX247" s="33">
        <f t="shared" si="6"/>
        <v>0</v>
      </c>
      <c r="DY247" s="33">
        <f t="shared" si="7"/>
        <v>0</v>
      </c>
      <c r="DZ247" s="33">
        <f t="shared" si="8"/>
        <v>0</v>
      </c>
      <c r="EA247" s="25" t="str">
        <f>(Sheet1!N247)</f>
        <v>Chandra Automobiles - Faizabad</v>
      </c>
      <c r="EB247" s="25" t="str">
        <f>(Sheet1!O247)</f>
        <v>1TMTMDBTSLXzi0POas5HDprui-sp3TCVvRYWE8buap-0</v>
      </c>
      <c r="EC247" s="26" t="str">
        <f>(Sheet1!P247)</f>
        <v>Sub Dealer</v>
      </c>
      <c r="ED247" s="34" t="s">
        <v>13</v>
      </c>
    </row>
    <row r="248">
      <c r="A248" s="26" t="str">
        <f>(Sheet1!A248)</f>
        <v>1JVjJRde0atJYfSJfEseKCQhdqjcP24_d1-09TphqSpA</v>
      </c>
      <c r="B248" s="26" t="str">
        <f>(Sheet1!B248)</f>
        <v>MAWAIEE AUTOSALES(CA) - RAUZAGAON</v>
      </c>
      <c r="C248" s="34" t="s">
        <v>13</v>
      </c>
      <c r="D248" s="34" t="s">
        <v>72</v>
      </c>
      <c r="E248" s="34" t="s">
        <v>3820</v>
      </c>
      <c r="F248" s="31">
        <v>155.0</v>
      </c>
      <c r="G248" s="34" t="s">
        <v>3818</v>
      </c>
      <c r="H248" s="34">
        <v>100.0</v>
      </c>
      <c r="I248" s="33">
        <f>'Old Balance Sheet'!A248 + 'ACPL Calculations - 1.0'!A248 + 'ACPL Calculations - 2.0'!A248</f>
        <v>0</v>
      </c>
      <c r="J248" s="34" t="s">
        <v>3820</v>
      </c>
      <c r="K248" s="34">
        <v>205.0</v>
      </c>
      <c r="L248" s="34" t="s">
        <v>3818</v>
      </c>
      <c r="M248" s="34">
        <v>100.0</v>
      </c>
      <c r="N248" s="33">
        <f>'Old Balance Sheet'!B248 + 'ACPL Calculations - 1.0'!B248 + 'ACPL Calculations - 2.0'!B248</f>
        <v>0</v>
      </c>
      <c r="O248" s="34" t="s">
        <v>3820</v>
      </c>
      <c r="P248" s="34">
        <v>290.0</v>
      </c>
      <c r="Q248" s="34" t="s">
        <v>3818</v>
      </c>
      <c r="R248" s="34">
        <v>100.0</v>
      </c>
      <c r="S248" s="33">
        <f>'Old Balance Sheet'!C248 + 'ACPL Calculations - 1.0'!C248 + 'ACPL Calculations - 2.0'!C248</f>
        <v>0</v>
      </c>
      <c r="T248" s="34" t="s">
        <v>3820</v>
      </c>
      <c r="U248" s="34">
        <v>375.0</v>
      </c>
      <c r="V248" s="34" t="s">
        <v>3818</v>
      </c>
      <c r="W248" s="34">
        <v>100.0</v>
      </c>
      <c r="X248" s="33">
        <f>'Old Balance Sheet'!D248 + 'ACPL Calculations - 1.0'!D248 + 'ACPL Calculations - 2.0'!D248</f>
        <v>0</v>
      </c>
      <c r="Y248" s="34" t="s">
        <v>3820</v>
      </c>
      <c r="Z248" s="34">
        <v>375.0</v>
      </c>
      <c r="AA248" s="32" t="s">
        <v>3818</v>
      </c>
      <c r="AB248" s="31">
        <v>100.0</v>
      </c>
      <c r="AC248" s="33">
        <f>'Old Balance Sheet'!E248 + 'ACPL Calculations - 1.0'!E248 + 'ACPL Calculations - 2.0'!E248</f>
        <v>0</v>
      </c>
      <c r="AD248" s="34" t="s">
        <v>3820</v>
      </c>
      <c r="AE248" s="34">
        <v>838.99</v>
      </c>
      <c r="AF248" s="32" t="s">
        <v>3818</v>
      </c>
      <c r="AG248" s="31">
        <v>100.0</v>
      </c>
      <c r="AH248" s="33">
        <f>'Old Balance Sheet'!F248 + 'ACPL Calculations - 1.0'!F248 + 'ACPL Calculations - 2.0'!F248</f>
        <v>0</v>
      </c>
      <c r="AI248" s="34" t="s">
        <v>3820</v>
      </c>
      <c r="AJ248" s="34">
        <v>375.0</v>
      </c>
      <c r="AK248" s="32" t="s">
        <v>3818</v>
      </c>
      <c r="AL248" s="31">
        <v>100.0</v>
      </c>
      <c r="AM248" s="33">
        <f>'Old Balance Sheet'!G248 + 'ACPL Calculations - 1.0'!G248 + 'ACPL Calculations - 2.0'!G248</f>
        <v>0</v>
      </c>
      <c r="AN248" s="34" t="s">
        <v>3820</v>
      </c>
      <c r="AO248" s="34">
        <v>290.0</v>
      </c>
      <c r="AP248" s="32" t="s">
        <v>3818</v>
      </c>
      <c r="AQ248" s="31">
        <v>100.0</v>
      </c>
      <c r="AR248" s="33">
        <f>'Old Balance Sheet'!H248 + 'ACPL Calculations - 1.0'!H248 + 'ACPL Calculations - 2.0'!H248</f>
        <v>0</v>
      </c>
      <c r="AS248" s="34" t="s">
        <v>3819</v>
      </c>
      <c r="AT248" s="34">
        <v>838.99</v>
      </c>
      <c r="AU248" s="32" t="s">
        <v>3818</v>
      </c>
      <c r="AV248" s="31">
        <v>100.0</v>
      </c>
      <c r="AW248" s="33">
        <f>'Old Balance Sheet'!I248 + 'ACPL Calculations - 1.0'!I248 + 'ACPL Calculations - 2.0'!I248</f>
        <v>0</v>
      </c>
      <c r="AX248" s="34" t="s">
        <v>3820</v>
      </c>
      <c r="AY248" s="34">
        <v>290.0</v>
      </c>
      <c r="AZ248" s="32" t="s">
        <v>3818</v>
      </c>
      <c r="BA248" s="31">
        <v>100.0</v>
      </c>
      <c r="BB248" s="33">
        <f>'Old Balance Sheet'!J248 + 'ACPL Calculations - 1.0'!J248 + 'ACPL Calculations - 2.0'!J248</f>
        <v>0</v>
      </c>
      <c r="BC248" s="34" t="s">
        <v>3820</v>
      </c>
      <c r="BD248" s="34">
        <v>205.0</v>
      </c>
      <c r="BE248" s="32" t="s">
        <v>3818</v>
      </c>
      <c r="BF248" s="31">
        <v>100.0</v>
      </c>
      <c r="BG248" s="33">
        <f>'Old Balance Sheet'!K248 + 'ACPL Calculations - 1.0'!K248 + 'ACPL Calculations - 2.0'!K248</f>
        <v>0</v>
      </c>
      <c r="BH248" s="34" t="s">
        <v>3820</v>
      </c>
      <c r="BI248" s="34">
        <v>205.0</v>
      </c>
      <c r="BJ248" s="32" t="s">
        <v>3818</v>
      </c>
      <c r="BK248" s="31">
        <v>100.0</v>
      </c>
      <c r="BL248" s="33">
        <f>'Old Balance Sheet'!L248 + 'ACPL Calculations - 1.0'!L248 + 'ACPL Calculations - 2.0'!L248</f>
        <v>0</v>
      </c>
      <c r="CL248" s="33">
        <f t="shared" si="1"/>
        <v>0</v>
      </c>
      <c r="CM248" s="33">
        <f>'Old Balance Sheet'!R248 + 'ACPL Calculations - 1.0'!S248 + 'ACPL Calculations - 2.0'!S248</f>
        <v>0</v>
      </c>
      <c r="CN248" s="33">
        <f>'Old Balance Sheet'!S248 + 'ACPL Calculations - 1.0'!T248 + 'ACPL Calculations - 2.0'!T248</f>
        <v>0</v>
      </c>
      <c r="CO248" s="33">
        <f t="shared" si="2"/>
        <v>0</v>
      </c>
      <c r="CP248" s="33">
        <f>'Old Balance Sheet'!T248 + 'ACPL Calculations - 1.0'!V248 + 'ACPL Calculations - 2.0'!V248</f>
        <v>0</v>
      </c>
      <c r="CQ248" s="33">
        <f>'Old Balance Sheet'!U248 + 'ACPL Calculations - 1.0'!W248 + 'ACPL Calculations - 2.0'!W248</f>
        <v>0</v>
      </c>
      <c r="CR248" s="33">
        <f>'Old Balance Sheet'!V248 + 'ACPL Calculations - 1.0'!X248 + 'ACPL Calculations - 2.0'!X248</f>
        <v>0</v>
      </c>
      <c r="CS248" s="33">
        <f t="shared" si="3"/>
        <v>0</v>
      </c>
      <c r="CT248" s="35"/>
      <c r="CU248" s="35"/>
      <c r="CV248" s="35"/>
      <c r="CW248" s="36">
        <f>'Old Balance Sheet'!W248 + 'ACPL Calculations - 1.0'!Z248 + 'ACPL Calculations - 2.0'!Z248</f>
        <v>0</v>
      </c>
      <c r="CX248" s="36">
        <f>'Old Balance Sheet'!X248 + 'ACPL Calculations - 1.0'!AA248 + 'ACPL Calculations - 2.0'!AA248</f>
        <v>0</v>
      </c>
      <c r="CY248" s="37">
        <v>0.0</v>
      </c>
      <c r="CZ248" s="38">
        <f>'Old Balance Sheet'!Y248 + 'ACPL Calculations - 1.0'!AB248 + 'ACPL Calculations - 2.0'!AB248</f>
        <v>0</v>
      </c>
      <c r="DA248" s="38">
        <f>'Old Balance Sheet'!Z248 + 'ACPL Calculations - 1.0'!AC248 + 'ACPL Calculations - 2.0'!AC248</f>
        <v>0</v>
      </c>
      <c r="DB248" s="38">
        <f>'Old Balance Sheet'!AA248 + 'ACPL Calculations - 1.0'!AD248 + 'ACPL Calculations - 2.0'!AD248</f>
        <v>0</v>
      </c>
      <c r="DC248" s="38">
        <f>'Old Balance Sheet'!AB248 + 'ACPL Calculations - 1.0'!AE248 + 'ACPL Calculations - 2.0'!AE248</f>
        <v>0</v>
      </c>
      <c r="DD248" s="38">
        <f t="shared" si="4"/>
        <v>0</v>
      </c>
      <c r="DE248" s="33">
        <f t="shared" si="5"/>
        <v>0</v>
      </c>
      <c r="DF248" s="35">
        <v>0.0</v>
      </c>
      <c r="DG248" s="35">
        <v>0.0</v>
      </c>
      <c r="DH248" s="35">
        <v>0.0</v>
      </c>
      <c r="DI248" s="35">
        <v>0.0</v>
      </c>
      <c r="DJ248" s="35">
        <v>0.0</v>
      </c>
      <c r="DK248" s="35">
        <v>0.0</v>
      </c>
      <c r="DL248" s="35">
        <v>0.0</v>
      </c>
      <c r="DM248" s="35">
        <v>0.0</v>
      </c>
      <c r="DN248" s="31">
        <v>0.0</v>
      </c>
      <c r="DO248" s="31">
        <v>0.0</v>
      </c>
      <c r="DP248" s="31">
        <v>0.0</v>
      </c>
      <c r="DQ248" s="31">
        <v>0.0</v>
      </c>
      <c r="DR248" s="31">
        <v>0.0</v>
      </c>
      <c r="DS248" s="31">
        <v>0.0</v>
      </c>
      <c r="DT248" s="31">
        <f>'Old Balance Sheet'!AC248</f>
        <v>0</v>
      </c>
      <c r="DU248" s="31">
        <f>DT248 + SUMIFS('Payments Log'!D:D, 'Payments Log'!B:B, A248, 'Payments Log'!L:L, "Approved", 'Payments Log'!M:M, "Credit") + 'Old Balance Sheet'!AD248 - 'Old Balance Sheet'!AC248</f>
        <v>0</v>
      </c>
      <c r="DV248" s="31">
        <f>SUMIFS('Payments Log'!D:D, 'Payments Log'!B:B, A248, 'Payments Log'!L:L, "Approved", 'Payments Log'!M:M, "Adjustment Credit") - SUMIFS('Payments Log'!D:D, 'Payments Log'!B:B, A248, 'Payments Log'!L:L, "Approved", 'Payments Log'!M:M, "Adjustment Debit") + 'Old Balance Sheet'!AE248</f>
        <v>0</v>
      </c>
      <c r="DW248" s="31">
        <f>IF(MAXIFS('Payments Log'!N:N, 'Payments Log'!L:L, "Approved", 'Payments Log'!M:M, "Credit", 'Payments Log'!B:B, A248) &gt; MAXIFS('Payments Log'!N:N, 'Payments Log'!L:L, "Approved", 'Payments Log'!M:M, "Virtual Credit", 'Payments Log'!B:B, A248), 0, SUMIFS('Payments Log'!D:D, 'Payments Log'!N:N, MAXIFS('Payments Log'!N:N, 'Payments Log'!L:L, "Approved", 'Payments Log'!M:M, "Virtual Credit", 'Payments Log'!B:B, A248)))</f>
        <v>0</v>
      </c>
      <c r="DX248" s="33">
        <f t="shared" si="6"/>
        <v>0</v>
      </c>
      <c r="DY248" s="33">
        <f t="shared" si="7"/>
        <v>0</v>
      </c>
      <c r="DZ248" s="33">
        <f t="shared" si="8"/>
        <v>0</v>
      </c>
      <c r="EA248" s="25" t="str">
        <f>(Sheet1!N248)</f>
        <v>Chandra Automobiles - Faizabad</v>
      </c>
      <c r="EB248" s="25" t="str">
        <f>(Sheet1!O248)</f>
        <v>1TMTMDBTSLXzi0POas5HDprui-sp3TCVvRYWE8buap-0</v>
      </c>
      <c r="EC248" s="26" t="str">
        <f>(Sheet1!P248)</f>
        <v>Sub Dealer</v>
      </c>
      <c r="ED248" s="34" t="s">
        <v>13</v>
      </c>
    </row>
    <row r="249">
      <c r="A249" s="26" t="str">
        <f>(Sheet1!A249)</f>
        <v>1HhuPJCqA1nYQYw-vxTr9qoSA3wtg7ifzyfbJykuK79E</v>
      </c>
      <c r="B249" s="26" t="str">
        <f>(Sheet1!B249)</f>
        <v>RADHEY AUTOMOBILES (CA) - BIKAPUR</v>
      </c>
      <c r="C249" s="34" t="s">
        <v>13</v>
      </c>
      <c r="D249" s="34" t="s">
        <v>72</v>
      </c>
      <c r="E249" s="34" t="s">
        <v>3820</v>
      </c>
      <c r="F249" s="31">
        <v>155.0</v>
      </c>
      <c r="G249" s="34" t="s">
        <v>3818</v>
      </c>
      <c r="H249" s="34">
        <v>100.0</v>
      </c>
      <c r="I249" s="33">
        <f>'Old Balance Sheet'!A249 + 'ACPL Calculations - 1.0'!A249 + 'ACPL Calculations - 2.0'!A249</f>
        <v>0</v>
      </c>
      <c r="J249" s="34" t="s">
        <v>3820</v>
      </c>
      <c r="K249" s="34">
        <v>205.0</v>
      </c>
      <c r="L249" s="34" t="s">
        <v>3818</v>
      </c>
      <c r="M249" s="34">
        <v>100.0</v>
      </c>
      <c r="N249" s="33">
        <f>'Old Balance Sheet'!B249 + 'ACPL Calculations - 1.0'!B249 + 'ACPL Calculations - 2.0'!B249</f>
        <v>0</v>
      </c>
      <c r="O249" s="34" t="s">
        <v>3820</v>
      </c>
      <c r="P249" s="34">
        <v>290.0</v>
      </c>
      <c r="Q249" s="34" t="s">
        <v>3818</v>
      </c>
      <c r="R249" s="34">
        <v>100.0</v>
      </c>
      <c r="S249" s="33">
        <f>'Old Balance Sheet'!C249 + 'ACPL Calculations - 1.0'!C249 + 'ACPL Calculations - 2.0'!C249</f>
        <v>0</v>
      </c>
      <c r="T249" s="34" t="s">
        <v>3820</v>
      </c>
      <c r="U249" s="34">
        <v>375.0</v>
      </c>
      <c r="V249" s="34" t="s">
        <v>3818</v>
      </c>
      <c r="W249" s="34">
        <v>100.0</v>
      </c>
      <c r="X249" s="33">
        <f>'Old Balance Sheet'!D249 + 'ACPL Calculations - 1.0'!D249 + 'ACPL Calculations - 2.0'!D249</f>
        <v>0</v>
      </c>
      <c r="Y249" s="34" t="s">
        <v>3820</v>
      </c>
      <c r="Z249" s="34">
        <v>375.0</v>
      </c>
      <c r="AA249" s="32" t="s">
        <v>3818</v>
      </c>
      <c r="AB249" s="31">
        <v>100.0</v>
      </c>
      <c r="AC249" s="33">
        <f>'Old Balance Sheet'!E249 + 'ACPL Calculations - 1.0'!E249 + 'ACPL Calculations - 2.0'!E249</f>
        <v>0</v>
      </c>
      <c r="AD249" s="34" t="s">
        <v>3820</v>
      </c>
      <c r="AE249" s="34">
        <v>838.99</v>
      </c>
      <c r="AF249" s="32" t="s">
        <v>3818</v>
      </c>
      <c r="AG249" s="31">
        <v>100.0</v>
      </c>
      <c r="AH249" s="33">
        <f>'Old Balance Sheet'!F249 + 'ACPL Calculations - 1.0'!F249 + 'ACPL Calculations - 2.0'!F249</f>
        <v>0</v>
      </c>
      <c r="AI249" s="34" t="s">
        <v>3820</v>
      </c>
      <c r="AJ249" s="34">
        <v>375.0</v>
      </c>
      <c r="AK249" s="32" t="s">
        <v>3818</v>
      </c>
      <c r="AL249" s="31">
        <v>100.0</v>
      </c>
      <c r="AM249" s="33">
        <f>'Old Balance Sheet'!G249 + 'ACPL Calculations - 1.0'!G249 + 'ACPL Calculations - 2.0'!G249</f>
        <v>0</v>
      </c>
      <c r="AN249" s="34" t="s">
        <v>3820</v>
      </c>
      <c r="AO249" s="34">
        <v>290.0</v>
      </c>
      <c r="AP249" s="32" t="s">
        <v>3818</v>
      </c>
      <c r="AQ249" s="31">
        <v>100.0</v>
      </c>
      <c r="AR249" s="33">
        <f>'Old Balance Sheet'!H249 + 'ACPL Calculations - 1.0'!H249 + 'ACPL Calculations - 2.0'!H249</f>
        <v>0</v>
      </c>
      <c r="AS249" s="34" t="s">
        <v>3819</v>
      </c>
      <c r="AT249" s="34">
        <v>838.99</v>
      </c>
      <c r="AU249" s="32" t="s">
        <v>3818</v>
      </c>
      <c r="AV249" s="31">
        <v>100.0</v>
      </c>
      <c r="AW249" s="33">
        <f>'Old Balance Sheet'!I249 + 'ACPL Calculations - 1.0'!I249 + 'ACPL Calculations - 2.0'!I249</f>
        <v>0</v>
      </c>
      <c r="AX249" s="34" t="s">
        <v>3820</v>
      </c>
      <c r="AY249" s="34">
        <v>290.0</v>
      </c>
      <c r="AZ249" s="32" t="s">
        <v>3818</v>
      </c>
      <c r="BA249" s="31">
        <v>100.0</v>
      </c>
      <c r="BB249" s="33">
        <f>'Old Balance Sheet'!J249 + 'ACPL Calculations - 1.0'!J249 + 'ACPL Calculations - 2.0'!J249</f>
        <v>0</v>
      </c>
      <c r="BC249" s="34" t="s">
        <v>3820</v>
      </c>
      <c r="BD249" s="34">
        <v>205.0</v>
      </c>
      <c r="BE249" s="32" t="s">
        <v>3818</v>
      </c>
      <c r="BF249" s="31">
        <v>100.0</v>
      </c>
      <c r="BG249" s="33">
        <f>'Old Balance Sheet'!K249 + 'ACPL Calculations - 1.0'!K249 + 'ACPL Calculations - 2.0'!K249</f>
        <v>0</v>
      </c>
      <c r="BH249" s="34" t="s">
        <v>3820</v>
      </c>
      <c r="BI249" s="34">
        <v>205.0</v>
      </c>
      <c r="BJ249" s="32" t="s">
        <v>3818</v>
      </c>
      <c r="BK249" s="31">
        <v>100.0</v>
      </c>
      <c r="BL249" s="33">
        <f>'Old Balance Sheet'!L249 + 'ACPL Calculations - 1.0'!L249 + 'ACPL Calculations - 2.0'!L249</f>
        <v>0</v>
      </c>
      <c r="CL249" s="33">
        <f t="shared" si="1"/>
        <v>0</v>
      </c>
      <c r="CM249" s="33">
        <f>'Old Balance Sheet'!R249 + 'ACPL Calculations - 1.0'!S249 + 'ACPL Calculations - 2.0'!S249</f>
        <v>0</v>
      </c>
      <c r="CN249" s="33">
        <f>'Old Balance Sheet'!S249 + 'ACPL Calculations - 1.0'!T249 + 'ACPL Calculations - 2.0'!T249</f>
        <v>0</v>
      </c>
      <c r="CO249" s="33">
        <f t="shared" si="2"/>
        <v>0</v>
      </c>
      <c r="CP249" s="33">
        <f>'Old Balance Sheet'!T249 + 'ACPL Calculations - 1.0'!V249 + 'ACPL Calculations - 2.0'!V249</f>
        <v>0</v>
      </c>
      <c r="CQ249" s="33">
        <f>'Old Balance Sheet'!U249 + 'ACPL Calculations - 1.0'!W249 + 'ACPL Calculations - 2.0'!W249</f>
        <v>0</v>
      </c>
      <c r="CR249" s="33">
        <f>'Old Balance Sheet'!V249 + 'ACPL Calculations - 1.0'!X249 + 'ACPL Calculations - 2.0'!X249</f>
        <v>0</v>
      </c>
      <c r="CS249" s="33">
        <f t="shared" si="3"/>
        <v>0</v>
      </c>
      <c r="CT249" s="35"/>
      <c r="CU249" s="35"/>
      <c r="CV249" s="35"/>
      <c r="CW249" s="36">
        <f>'Old Balance Sheet'!W249 + 'ACPL Calculations - 1.0'!Z249 + 'ACPL Calculations - 2.0'!Z249</f>
        <v>0</v>
      </c>
      <c r="CX249" s="36">
        <f>'Old Balance Sheet'!X249 + 'ACPL Calculations - 1.0'!AA249 + 'ACPL Calculations - 2.0'!AA249</f>
        <v>0</v>
      </c>
      <c r="CY249" s="37">
        <v>0.0</v>
      </c>
      <c r="CZ249" s="38">
        <f>'Old Balance Sheet'!Y249 + 'ACPL Calculations - 1.0'!AB249 + 'ACPL Calculations - 2.0'!AB249</f>
        <v>0</v>
      </c>
      <c r="DA249" s="38">
        <f>'Old Balance Sheet'!Z249 + 'ACPL Calculations - 1.0'!AC249 + 'ACPL Calculations - 2.0'!AC249</f>
        <v>0</v>
      </c>
      <c r="DB249" s="38">
        <f>'Old Balance Sheet'!AA249 + 'ACPL Calculations - 1.0'!AD249 + 'ACPL Calculations - 2.0'!AD249</f>
        <v>0</v>
      </c>
      <c r="DC249" s="38">
        <f>'Old Balance Sheet'!AB249 + 'ACPL Calculations - 1.0'!AE249 + 'ACPL Calculations - 2.0'!AE249</f>
        <v>0</v>
      </c>
      <c r="DD249" s="38">
        <f t="shared" si="4"/>
        <v>0</v>
      </c>
      <c r="DE249" s="33">
        <f t="shared" si="5"/>
        <v>0</v>
      </c>
      <c r="DF249" s="35">
        <v>0.0</v>
      </c>
      <c r="DG249" s="35">
        <v>0.0</v>
      </c>
      <c r="DH249" s="35">
        <v>0.0</v>
      </c>
      <c r="DI249" s="35">
        <v>0.0</v>
      </c>
      <c r="DJ249" s="35">
        <v>0.0</v>
      </c>
      <c r="DK249" s="35">
        <v>0.0</v>
      </c>
      <c r="DL249" s="35">
        <v>0.0</v>
      </c>
      <c r="DM249" s="35">
        <v>0.0</v>
      </c>
      <c r="DN249" s="31">
        <v>0.0</v>
      </c>
      <c r="DO249" s="31">
        <v>0.0</v>
      </c>
      <c r="DP249" s="31">
        <v>0.0</v>
      </c>
      <c r="DQ249" s="31">
        <v>0.0</v>
      </c>
      <c r="DR249" s="31">
        <v>0.0</v>
      </c>
      <c r="DS249" s="31">
        <v>0.0</v>
      </c>
      <c r="DT249" s="31">
        <f>'Old Balance Sheet'!AC249</f>
        <v>0</v>
      </c>
      <c r="DU249" s="31">
        <f>DT249 + SUMIFS('Payments Log'!D:D, 'Payments Log'!B:B, A249, 'Payments Log'!L:L, "Approved", 'Payments Log'!M:M, "Credit") + 'Old Balance Sheet'!AD249 - 'Old Balance Sheet'!AC249</f>
        <v>0</v>
      </c>
      <c r="DV249" s="31">
        <f>SUMIFS('Payments Log'!D:D, 'Payments Log'!B:B, A249, 'Payments Log'!L:L, "Approved", 'Payments Log'!M:M, "Adjustment Credit") - SUMIFS('Payments Log'!D:D, 'Payments Log'!B:B, A249, 'Payments Log'!L:L, "Approved", 'Payments Log'!M:M, "Adjustment Debit") + 'Old Balance Sheet'!AE249</f>
        <v>0</v>
      </c>
      <c r="DW249" s="31">
        <f>IF(MAXIFS('Payments Log'!N:N, 'Payments Log'!L:L, "Approved", 'Payments Log'!M:M, "Credit", 'Payments Log'!B:B, A249) &gt; MAXIFS('Payments Log'!N:N, 'Payments Log'!L:L, "Approved", 'Payments Log'!M:M, "Virtual Credit", 'Payments Log'!B:B, A249), 0, SUMIFS('Payments Log'!D:D, 'Payments Log'!N:N, MAXIFS('Payments Log'!N:N, 'Payments Log'!L:L, "Approved", 'Payments Log'!M:M, "Virtual Credit", 'Payments Log'!B:B, A249)))</f>
        <v>0</v>
      </c>
      <c r="DX249" s="33">
        <f t="shared" si="6"/>
        <v>0</v>
      </c>
      <c r="DY249" s="33">
        <f t="shared" si="7"/>
        <v>0</v>
      </c>
      <c r="DZ249" s="33">
        <f t="shared" si="8"/>
        <v>0</v>
      </c>
      <c r="EA249" s="25" t="str">
        <f>(Sheet1!N249)</f>
        <v>Chandra Automobiles - Faizabad</v>
      </c>
      <c r="EB249" s="25" t="str">
        <f>(Sheet1!O249)</f>
        <v>1TMTMDBTSLXzi0POas5HDprui-sp3TCVvRYWE8buap-0</v>
      </c>
      <c r="EC249" s="26" t="str">
        <f>(Sheet1!P249)</f>
        <v>Sub Dealer</v>
      </c>
      <c r="ED249" s="34" t="s">
        <v>13</v>
      </c>
    </row>
    <row r="250">
      <c r="A250" s="26" t="str">
        <f>(Sheet1!A250)</f>
        <v>17sBaqChbGSOQK_DIkRnUGicSgCSUWKTJKT6g-HiL9uY</v>
      </c>
      <c r="B250" s="26" t="str">
        <f>(Sheet1!B250)</f>
        <v>SHREE AUTOSALES (CA) - GAOSAIGANJ</v>
      </c>
      <c r="C250" s="34" t="s">
        <v>13</v>
      </c>
      <c r="D250" s="34" t="s">
        <v>72</v>
      </c>
      <c r="E250" s="34" t="s">
        <v>3820</v>
      </c>
      <c r="F250" s="31">
        <v>155.0</v>
      </c>
      <c r="G250" s="34" t="s">
        <v>3818</v>
      </c>
      <c r="H250" s="34">
        <v>100.0</v>
      </c>
      <c r="I250" s="33">
        <f>'Old Balance Sheet'!A250 + 'ACPL Calculations - 1.0'!A250 + 'ACPL Calculations - 2.0'!A250</f>
        <v>0</v>
      </c>
      <c r="J250" s="34" t="s">
        <v>3820</v>
      </c>
      <c r="K250" s="34">
        <v>205.0</v>
      </c>
      <c r="L250" s="34" t="s">
        <v>3818</v>
      </c>
      <c r="M250" s="34">
        <v>100.0</v>
      </c>
      <c r="N250" s="33">
        <f>'Old Balance Sheet'!B250 + 'ACPL Calculations - 1.0'!B250 + 'ACPL Calculations - 2.0'!B250</f>
        <v>0</v>
      </c>
      <c r="O250" s="34" t="s">
        <v>3820</v>
      </c>
      <c r="P250" s="34">
        <v>290.0</v>
      </c>
      <c r="Q250" s="34" t="s">
        <v>3818</v>
      </c>
      <c r="R250" s="34">
        <v>100.0</v>
      </c>
      <c r="S250" s="33">
        <f>'Old Balance Sheet'!C250 + 'ACPL Calculations - 1.0'!C250 + 'ACPL Calculations - 2.0'!C250</f>
        <v>0</v>
      </c>
      <c r="T250" s="34" t="s">
        <v>3820</v>
      </c>
      <c r="U250" s="34">
        <v>375.0</v>
      </c>
      <c r="V250" s="34" t="s">
        <v>3818</v>
      </c>
      <c r="W250" s="34">
        <v>100.0</v>
      </c>
      <c r="X250" s="33">
        <f>'Old Balance Sheet'!D250 + 'ACPL Calculations - 1.0'!D250 + 'ACPL Calculations - 2.0'!D250</f>
        <v>0</v>
      </c>
      <c r="Y250" s="34" t="s">
        <v>3820</v>
      </c>
      <c r="Z250" s="34">
        <v>375.0</v>
      </c>
      <c r="AA250" s="32" t="s">
        <v>3818</v>
      </c>
      <c r="AB250" s="31">
        <v>100.0</v>
      </c>
      <c r="AC250" s="33">
        <f>'Old Balance Sheet'!E250 + 'ACPL Calculations - 1.0'!E250 + 'ACPL Calculations - 2.0'!E250</f>
        <v>0</v>
      </c>
      <c r="AD250" s="34" t="s">
        <v>3820</v>
      </c>
      <c r="AE250" s="34">
        <v>838.99</v>
      </c>
      <c r="AF250" s="32" t="s">
        <v>3818</v>
      </c>
      <c r="AG250" s="31">
        <v>100.0</v>
      </c>
      <c r="AH250" s="33">
        <f>'Old Balance Sheet'!F250 + 'ACPL Calculations - 1.0'!F250 + 'ACPL Calculations - 2.0'!F250</f>
        <v>0</v>
      </c>
      <c r="AI250" s="34" t="s">
        <v>3820</v>
      </c>
      <c r="AJ250" s="34">
        <v>375.0</v>
      </c>
      <c r="AK250" s="32" t="s">
        <v>3818</v>
      </c>
      <c r="AL250" s="31">
        <v>100.0</v>
      </c>
      <c r="AM250" s="33">
        <f>'Old Balance Sheet'!G250 + 'ACPL Calculations - 1.0'!G250 + 'ACPL Calculations - 2.0'!G250</f>
        <v>0</v>
      </c>
      <c r="AN250" s="34" t="s">
        <v>3820</v>
      </c>
      <c r="AO250" s="34">
        <v>290.0</v>
      </c>
      <c r="AP250" s="32" t="s">
        <v>3818</v>
      </c>
      <c r="AQ250" s="31">
        <v>100.0</v>
      </c>
      <c r="AR250" s="33">
        <f>'Old Balance Sheet'!H250 + 'ACPL Calculations - 1.0'!H250 + 'ACPL Calculations - 2.0'!H250</f>
        <v>0</v>
      </c>
      <c r="AS250" s="34" t="s">
        <v>3819</v>
      </c>
      <c r="AT250" s="34">
        <v>838.99</v>
      </c>
      <c r="AU250" s="32" t="s">
        <v>3818</v>
      </c>
      <c r="AV250" s="31">
        <v>100.0</v>
      </c>
      <c r="AW250" s="33">
        <f>'Old Balance Sheet'!I250 + 'ACPL Calculations - 1.0'!I250 + 'ACPL Calculations - 2.0'!I250</f>
        <v>0</v>
      </c>
      <c r="AX250" s="34" t="s">
        <v>3820</v>
      </c>
      <c r="AY250" s="34">
        <v>290.0</v>
      </c>
      <c r="AZ250" s="32" t="s">
        <v>3818</v>
      </c>
      <c r="BA250" s="31">
        <v>100.0</v>
      </c>
      <c r="BB250" s="33">
        <f>'Old Balance Sheet'!J250 + 'ACPL Calculations - 1.0'!J250 + 'ACPL Calculations - 2.0'!J250</f>
        <v>0</v>
      </c>
      <c r="BC250" s="34" t="s">
        <v>3820</v>
      </c>
      <c r="BD250" s="34">
        <v>205.0</v>
      </c>
      <c r="BE250" s="32" t="s">
        <v>3818</v>
      </c>
      <c r="BF250" s="31">
        <v>100.0</v>
      </c>
      <c r="BG250" s="33">
        <f>'Old Balance Sheet'!K250 + 'ACPL Calculations - 1.0'!K250 + 'ACPL Calculations - 2.0'!K250</f>
        <v>0</v>
      </c>
      <c r="BH250" s="34" t="s">
        <v>3820</v>
      </c>
      <c r="BI250" s="34">
        <v>205.0</v>
      </c>
      <c r="BJ250" s="32" t="s">
        <v>3818</v>
      </c>
      <c r="BK250" s="31">
        <v>100.0</v>
      </c>
      <c r="BL250" s="33">
        <f>'Old Balance Sheet'!L250 + 'ACPL Calculations - 1.0'!L250 + 'ACPL Calculations - 2.0'!L250</f>
        <v>0</v>
      </c>
      <c r="CL250" s="33">
        <f t="shared" si="1"/>
        <v>0</v>
      </c>
      <c r="CM250" s="33">
        <f>'Old Balance Sheet'!R250 + 'ACPL Calculations - 1.0'!S250 + 'ACPL Calculations - 2.0'!S250</f>
        <v>0</v>
      </c>
      <c r="CN250" s="33">
        <f>'Old Balance Sheet'!S250 + 'ACPL Calculations - 1.0'!T250 + 'ACPL Calculations - 2.0'!T250</f>
        <v>0</v>
      </c>
      <c r="CO250" s="33">
        <f t="shared" si="2"/>
        <v>0</v>
      </c>
      <c r="CP250" s="33">
        <f>'Old Balance Sheet'!T250 + 'ACPL Calculations - 1.0'!V250 + 'ACPL Calculations - 2.0'!V250</f>
        <v>0</v>
      </c>
      <c r="CQ250" s="33">
        <f>'Old Balance Sheet'!U250 + 'ACPL Calculations - 1.0'!W250 + 'ACPL Calculations - 2.0'!W250</f>
        <v>0</v>
      </c>
      <c r="CR250" s="33">
        <f>'Old Balance Sheet'!V250 + 'ACPL Calculations - 1.0'!X250 + 'ACPL Calculations - 2.0'!X250</f>
        <v>0</v>
      </c>
      <c r="CS250" s="33">
        <f t="shared" si="3"/>
        <v>0</v>
      </c>
      <c r="CT250" s="35"/>
      <c r="CU250" s="35"/>
      <c r="CV250" s="35"/>
      <c r="CW250" s="36">
        <f>'Old Balance Sheet'!W250 + 'ACPL Calculations - 1.0'!Z250 + 'ACPL Calculations - 2.0'!Z250</f>
        <v>0</v>
      </c>
      <c r="CX250" s="36">
        <f>'Old Balance Sheet'!X250 + 'ACPL Calculations - 1.0'!AA250 + 'ACPL Calculations - 2.0'!AA250</f>
        <v>0</v>
      </c>
      <c r="CY250" s="37">
        <v>0.0</v>
      </c>
      <c r="CZ250" s="38">
        <f>'Old Balance Sheet'!Y250 + 'ACPL Calculations - 1.0'!AB250 + 'ACPL Calculations - 2.0'!AB250</f>
        <v>0</v>
      </c>
      <c r="DA250" s="38">
        <f>'Old Balance Sheet'!Z250 + 'ACPL Calculations - 1.0'!AC250 + 'ACPL Calculations - 2.0'!AC250</f>
        <v>0</v>
      </c>
      <c r="DB250" s="38">
        <f>'Old Balance Sheet'!AA250 + 'ACPL Calculations - 1.0'!AD250 + 'ACPL Calculations - 2.0'!AD250</f>
        <v>0</v>
      </c>
      <c r="DC250" s="38">
        <f>'Old Balance Sheet'!AB250 + 'ACPL Calculations - 1.0'!AE250 + 'ACPL Calculations - 2.0'!AE250</f>
        <v>0</v>
      </c>
      <c r="DD250" s="38">
        <f t="shared" si="4"/>
        <v>0</v>
      </c>
      <c r="DE250" s="33">
        <f t="shared" si="5"/>
        <v>0</v>
      </c>
      <c r="DF250" s="35">
        <v>0.0</v>
      </c>
      <c r="DG250" s="35">
        <v>0.0</v>
      </c>
      <c r="DH250" s="35">
        <v>0.0</v>
      </c>
      <c r="DI250" s="35">
        <v>0.0</v>
      </c>
      <c r="DJ250" s="35">
        <v>0.0</v>
      </c>
      <c r="DK250" s="35">
        <v>0.0</v>
      </c>
      <c r="DL250" s="35">
        <v>0.0</v>
      </c>
      <c r="DM250" s="35">
        <v>0.0</v>
      </c>
      <c r="DN250" s="31">
        <v>0.0</v>
      </c>
      <c r="DO250" s="31">
        <v>0.0</v>
      </c>
      <c r="DP250" s="31">
        <v>0.0</v>
      </c>
      <c r="DQ250" s="31">
        <v>0.0</v>
      </c>
      <c r="DR250" s="31">
        <v>0.0</v>
      </c>
      <c r="DS250" s="31">
        <v>0.0</v>
      </c>
      <c r="DT250" s="31">
        <f>'Old Balance Sheet'!AC250</f>
        <v>0</v>
      </c>
      <c r="DU250" s="31">
        <f>DT250 + SUMIFS('Payments Log'!D:D, 'Payments Log'!B:B, A250, 'Payments Log'!L:L, "Approved", 'Payments Log'!M:M, "Credit") + 'Old Balance Sheet'!AD250 - 'Old Balance Sheet'!AC250</f>
        <v>0</v>
      </c>
      <c r="DV250" s="31">
        <f>SUMIFS('Payments Log'!D:D, 'Payments Log'!B:B, A250, 'Payments Log'!L:L, "Approved", 'Payments Log'!M:M, "Adjustment Credit") - SUMIFS('Payments Log'!D:D, 'Payments Log'!B:B, A250, 'Payments Log'!L:L, "Approved", 'Payments Log'!M:M, "Adjustment Debit") + 'Old Balance Sheet'!AE250</f>
        <v>0</v>
      </c>
      <c r="DW250" s="31">
        <f>IF(MAXIFS('Payments Log'!N:N, 'Payments Log'!L:L, "Approved", 'Payments Log'!M:M, "Credit", 'Payments Log'!B:B, A250) &gt; MAXIFS('Payments Log'!N:N, 'Payments Log'!L:L, "Approved", 'Payments Log'!M:M, "Virtual Credit", 'Payments Log'!B:B, A250), 0, SUMIFS('Payments Log'!D:D, 'Payments Log'!N:N, MAXIFS('Payments Log'!N:N, 'Payments Log'!L:L, "Approved", 'Payments Log'!M:M, "Virtual Credit", 'Payments Log'!B:B, A250)))</f>
        <v>0</v>
      </c>
      <c r="DX250" s="33">
        <f t="shared" si="6"/>
        <v>0</v>
      </c>
      <c r="DY250" s="33">
        <f t="shared" si="7"/>
        <v>0</v>
      </c>
      <c r="DZ250" s="33">
        <f t="shared" si="8"/>
        <v>0</v>
      </c>
      <c r="EA250" s="25" t="str">
        <f>(Sheet1!N250)</f>
        <v>Chandra Automobiles - Faizabad</v>
      </c>
      <c r="EB250" s="25" t="str">
        <f>(Sheet1!O250)</f>
        <v>1TMTMDBTSLXzi0POas5HDprui-sp3TCVvRYWE8buap-0</v>
      </c>
      <c r="EC250" s="26" t="str">
        <f>(Sheet1!P250)</f>
        <v>Sub Dealer</v>
      </c>
      <c r="ED250" s="34" t="s">
        <v>13</v>
      </c>
    </row>
    <row r="251">
      <c r="A251" s="26" t="str">
        <f>(Sheet1!A251)</f>
        <v>1VTFWB6Hw6EUp6TdZoOlRcBVDxwR_k4LX_ysjQi3ijbA</v>
      </c>
      <c r="B251" s="26" t="str">
        <f>(Sheet1!B251)</f>
        <v>SIYARAM AUTOMOBILES(CA) - HAIDARGANJ BAZAR</v>
      </c>
      <c r="C251" s="34" t="s">
        <v>13</v>
      </c>
      <c r="D251" s="34" t="s">
        <v>72</v>
      </c>
      <c r="E251" s="34" t="s">
        <v>3820</v>
      </c>
      <c r="F251" s="31">
        <v>155.0</v>
      </c>
      <c r="G251" s="34" t="s">
        <v>3818</v>
      </c>
      <c r="H251" s="34">
        <v>100.0</v>
      </c>
      <c r="I251" s="33">
        <f>'Old Balance Sheet'!A251 + 'ACPL Calculations - 1.0'!A251 + 'ACPL Calculations - 2.0'!A251</f>
        <v>0</v>
      </c>
      <c r="J251" s="34" t="s">
        <v>3820</v>
      </c>
      <c r="K251" s="34">
        <v>205.0</v>
      </c>
      <c r="L251" s="34" t="s">
        <v>3818</v>
      </c>
      <c r="M251" s="34">
        <v>100.0</v>
      </c>
      <c r="N251" s="33">
        <f>'Old Balance Sheet'!B251 + 'ACPL Calculations - 1.0'!B251 + 'ACPL Calculations - 2.0'!B251</f>
        <v>0</v>
      </c>
      <c r="O251" s="34" t="s">
        <v>3820</v>
      </c>
      <c r="P251" s="34">
        <v>290.0</v>
      </c>
      <c r="Q251" s="34" t="s">
        <v>3818</v>
      </c>
      <c r="R251" s="34">
        <v>100.0</v>
      </c>
      <c r="S251" s="33">
        <f>'Old Balance Sheet'!C251 + 'ACPL Calculations - 1.0'!C251 + 'ACPL Calculations - 2.0'!C251</f>
        <v>0</v>
      </c>
      <c r="T251" s="34" t="s">
        <v>3820</v>
      </c>
      <c r="U251" s="34">
        <v>375.0</v>
      </c>
      <c r="V251" s="34" t="s">
        <v>3818</v>
      </c>
      <c r="W251" s="34">
        <v>100.0</v>
      </c>
      <c r="X251" s="33">
        <f>'Old Balance Sheet'!D251 + 'ACPL Calculations - 1.0'!D251 + 'ACPL Calculations - 2.0'!D251</f>
        <v>0</v>
      </c>
      <c r="Y251" s="34" t="s">
        <v>3820</v>
      </c>
      <c r="Z251" s="34">
        <v>375.0</v>
      </c>
      <c r="AA251" s="32" t="s">
        <v>3818</v>
      </c>
      <c r="AB251" s="31">
        <v>100.0</v>
      </c>
      <c r="AC251" s="33">
        <f>'Old Balance Sheet'!E251 + 'ACPL Calculations - 1.0'!E251 + 'ACPL Calculations - 2.0'!E251</f>
        <v>0</v>
      </c>
      <c r="AD251" s="34" t="s">
        <v>3820</v>
      </c>
      <c r="AE251" s="34">
        <v>838.99</v>
      </c>
      <c r="AF251" s="32" t="s">
        <v>3818</v>
      </c>
      <c r="AG251" s="31">
        <v>100.0</v>
      </c>
      <c r="AH251" s="33">
        <f>'Old Balance Sheet'!F251 + 'ACPL Calculations - 1.0'!F251 + 'ACPL Calculations - 2.0'!F251</f>
        <v>0</v>
      </c>
      <c r="AI251" s="34" t="s">
        <v>3820</v>
      </c>
      <c r="AJ251" s="34">
        <v>375.0</v>
      </c>
      <c r="AK251" s="32" t="s">
        <v>3818</v>
      </c>
      <c r="AL251" s="31">
        <v>100.0</v>
      </c>
      <c r="AM251" s="33">
        <f>'Old Balance Sheet'!G251 + 'ACPL Calculations - 1.0'!G251 + 'ACPL Calculations - 2.0'!G251</f>
        <v>0</v>
      </c>
      <c r="AN251" s="34" t="s">
        <v>3820</v>
      </c>
      <c r="AO251" s="34">
        <v>290.0</v>
      </c>
      <c r="AP251" s="32" t="s">
        <v>3818</v>
      </c>
      <c r="AQ251" s="31">
        <v>100.0</v>
      </c>
      <c r="AR251" s="33">
        <f>'Old Balance Sheet'!H251 + 'ACPL Calculations - 1.0'!H251 + 'ACPL Calculations - 2.0'!H251</f>
        <v>0</v>
      </c>
      <c r="AS251" s="34" t="s">
        <v>3819</v>
      </c>
      <c r="AT251" s="34">
        <v>838.99</v>
      </c>
      <c r="AU251" s="32" t="s">
        <v>3818</v>
      </c>
      <c r="AV251" s="31">
        <v>100.0</v>
      </c>
      <c r="AW251" s="33">
        <f>'Old Balance Sheet'!I251 + 'ACPL Calculations - 1.0'!I251 + 'ACPL Calculations - 2.0'!I251</f>
        <v>0</v>
      </c>
      <c r="AX251" s="34" t="s">
        <v>3820</v>
      </c>
      <c r="AY251" s="34">
        <v>290.0</v>
      </c>
      <c r="AZ251" s="32" t="s">
        <v>3818</v>
      </c>
      <c r="BA251" s="31">
        <v>100.0</v>
      </c>
      <c r="BB251" s="33">
        <f>'Old Balance Sheet'!J251 + 'ACPL Calculations - 1.0'!J251 + 'ACPL Calculations - 2.0'!J251</f>
        <v>0</v>
      </c>
      <c r="BC251" s="34" t="s">
        <v>3820</v>
      </c>
      <c r="BD251" s="34">
        <v>205.0</v>
      </c>
      <c r="BE251" s="32" t="s">
        <v>3818</v>
      </c>
      <c r="BF251" s="31">
        <v>100.0</v>
      </c>
      <c r="BG251" s="33">
        <f>'Old Balance Sheet'!K251 + 'ACPL Calculations - 1.0'!K251 + 'ACPL Calculations - 2.0'!K251</f>
        <v>0</v>
      </c>
      <c r="BH251" s="34" t="s">
        <v>3820</v>
      </c>
      <c r="BI251" s="34">
        <v>205.0</v>
      </c>
      <c r="BJ251" s="32" t="s">
        <v>3818</v>
      </c>
      <c r="BK251" s="31">
        <v>100.0</v>
      </c>
      <c r="BL251" s="33">
        <f>'Old Balance Sheet'!L251 + 'ACPL Calculations - 1.0'!L251 + 'ACPL Calculations - 2.0'!L251</f>
        <v>0</v>
      </c>
      <c r="CL251" s="33">
        <f t="shared" si="1"/>
        <v>0</v>
      </c>
      <c r="CM251" s="33">
        <f>'Old Balance Sheet'!R251 + 'ACPL Calculations - 1.0'!S251 + 'ACPL Calculations - 2.0'!S251</f>
        <v>0</v>
      </c>
      <c r="CN251" s="33">
        <f>'Old Balance Sheet'!S251 + 'ACPL Calculations - 1.0'!T251 + 'ACPL Calculations - 2.0'!T251</f>
        <v>0</v>
      </c>
      <c r="CO251" s="33">
        <f t="shared" si="2"/>
        <v>0</v>
      </c>
      <c r="CP251" s="33">
        <f>'Old Balance Sheet'!T251 + 'ACPL Calculations - 1.0'!V251 + 'ACPL Calculations - 2.0'!V251</f>
        <v>0</v>
      </c>
      <c r="CQ251" s="33">
        <f>'Old Balance Sheet'!U251 + 'ACPL Calculations - 1.0'!W251 + 'ACPL Calculations - 2.0'!W251</f>
        <v>0</v>
      </c>
      <c r="CR251" s="33">
        <f>'Old Balance Sheet'!V251 + 'ACPL Calculations - 1.0'!X251 + 'ACPL Calculations - 2.0'!X251</f>
        <v>0</v>
      </c>
      <c r="CS251" s="33">
        <f t="shared" si="3"/>
        <v>0</v>
      </c>
      <c r="CT251" s="35"/>
      <c r="CU251" s="35"/>
      <c r="CV251" s="35"/>
      <c r="CW251" s="36">
        <f>'Old Balance Sheet'!W251 + 'ACPL Calculations - 1.0'!Z251 + 'ACPL Calculations - 2.0'!Z251</f>
        <v>0</v>
      </c>
      <c r="CX251" s="36">
        <f>'Old Balance Sheet'!X251 + 'ACPL Calculations - 1.0'!AA251 + 'ACPL Calculations - 2.0'!AA251</f>
        <v>0</v>
      </c>
      <c r="CY251" s="37">
        <v>0.0</v>
      </c>
      <c r="CZ251" s="38">
        <f>'Old Balance Sheet'!Y251 + 'ACPL Calculations - 1.0'!AB251 + 'ACPL Calculations - 2.0'!AB251</f>
        <v>0</v>
      </c>
      <c r="DA251" s="38">
        <f>'Old Balance Sheet'!Z251 + 'ACPL Calculations - 1.0'!AC251 + 'ACPL Calculations - 2.0'!AC251</f>
        <v>0</v>
      </c>
      <c r="DB251" s="38">
        <f>'Old Balance Sheet'!AA251 + 'ACPL Calculations - 1.0'!AD251 + 'ACPL Calculations - 2.0'!AD251</f>
        <v>0</v>
      </c>
      <c r="DC251" s="38">
        <f>'Old Balance Sheet'!AB251 + 'ACPL Calculations - 1.0'!AE251 + 'ACPL Calculations - 2.0'!AE251</f>
        <v>0</v>
      </c>
      <c r="DD251" s="38">
        <f t="shared" si="4"/>
        <v>0</v>
      </c>
      <c r="DE251" s="33">
        <f t="shared" si="5"/>
        <v>0</v>
      </c>
      <c r="DF251" s="35">
        <v>0.0</v>
      </c>
      <c r="DG251" s="35">
        <v>0.0</v>
      </c>
      <c r="DH251" s="35">
        <v>0.0</v>
      </c>
      <c r="DI251" s="35">
        <v>0.0</v>
      </c>
      <c r="DJ251" s="35">
        <v>0.0</v>
      </c>
      <c r="DK251" s="35">
        <v>0.0</v>
      </c>
      <c r="DL251" s="35">
        <v>0.0</v>
      </c>
      <c r="DM251" s="35">
        <v>0.0</v>
      </c>
      <c r="DN251" s="31">
        <v>0.0</v>
      </c>
      <c r="DO251" s="31">
        <v>0.0</v>
      </c>
      <c r="DP251" s="31">
        <v>0.0</v>
      </c>
      <c r="DQ251" s="31">
        <v>0.0</v>
      </c>
      <c r="DR251" s="31">
        <v>0.0</v>
      </c>
      <c r="DS251" s="31">
        <v>0.0</v>
      </c>
      <c r="DT251" s="31">
        <f>'Old Balance Sheet'!AC251</f>
        <v>0</v>
      </c>
      <c r="DU251" s="31">
        <f>DT251 + SUMIFS('Payments Log'!D:D, 'Payments Log'!B:B, A251, 'Payments Log'!L:L, "Approved", 'Payments Log'!M:M, "Credit") + 'Old Balance Sheet'!AD251 - 'Old Balance Sheet'!AC251</f>
        <v>0</v>
      </c>
      <c r="DV251" s="31">
        <f>SUMIFS('Payments Log'!D:D, 'Payments Log'!B:B, A251, 'Payments Log'!L:L, "Approved", 'Payments Log'!M:M, "Adjustment Credit") - SUMIFS('Payments Log'!D:D, 'Payments Log'!B:B, A251, 'Payments Log'!L:L, "Approved", 'Payments Log'!M:M, "Adjustment Debit") + 'Old Balance Sheet'!AE251</f>
        <v>0</v>
      </c>
      <c r="DW251" s="31">
        <f>IF(MAXIFS('Payments Log'!N:N, 'Payments Log'!L:L, "Approved", 'Payments Log'!M:M, "Credit", 'Payments Log'!B:B, A251) &gt; MAXIFS('Payments Log'!N:N, 'Payments Log'!L:L, "Approved", 'Payments Log'!M:M, "Virtual Credit", 'Payments Log'!B:B, A251), 0, SUMIFS('Payments Log'!D:D, 'Payments Log'!N:N, MAXIFS('Payments Log'!N:N, 'Payments Log'!L:L, "Approved", 'Payments Log'!M:M, "Virtual Credit", 'Payments Log'!B:B, A251)))</f>
        <v>0</v>
      </c>
      <c r="DX251" s="33">
        <f t="shared" si="6"/>
        <v>0</v>
      </c>
      <c r="DY251" s="33">
        <f t="shared" si="7"/>
        <v>0</v>
      </c>
      <c r="DZ251" s="33">
        <f t="shared" si="8"/>
        <v>0</v>
      </c>
      <c r="EA251" s="25" t="str">
        <f>(Sheet1!N251)</f>
        <v>Chandra Automobiles - Faizabad</v>
      </c>
      <c r="EB251" s="25" t="str">
        <f>(Sheet1!O251)</f>
        <v>1TMTMDBTSLXzi0POas5HDprui-sp3TCVvRYWE8buap-0</v>
      </c>
      <c r="EC251" s="26" t="str">
        <f>(Sheet1!P251)</f>
        <v>Sub Dealer</v>
      </c>
      <c r="ED251" s="34" t="s">
        <v>13</v>
      </c>
    </row>
    <row r="252">
      <c r="A252" s="26" t="str">
        <f>(Sheet1!A252)</f>
        <v>1SSzUIjRsBuOQW-kzcJRcEuyLwfZTtwgEZNTVqimPXRM</v>
      </c>
      <c r="B252" s="26" t="str">
        <f>(Sheet1!B252)</f>
        <v>YADAV AUTOSALES (CA) - BABA BAZAR</v>
      </c>
      <c r="C252" s="34" t="s">
        <v>13</v>
      </c>
      <c r="D252" s="34" t="s">
        <v>72</v>
      </c>
      <c r="E252" s="34" t="s">
        <v>3820</v>
      </c>
      <c r="F252" s="31">
        <v>155.0</v>
      </c>
      <c r="G252" s="34" t="s">
        <v>3818</v>
      </c>
      <c r="H252" s="34">
        <v>100.0</v>
      </c>
      <c r="I252" s="33">
        <f>'Old Balance Sheet'!A252 + 'ACPL Calculations - 1.0'!A252 + 'ACPL Calculations - 2.0'!A252</f>
        <v>0</v>
      </c>
      <c r="J252" s="34" t="s">
        <v>3820</v>
      </c>
      <c r="K252" s="34">
        <v>205.0</v>
      </c>
      <c r="L252" s="34" t="s">
        <v>3818</v>
      </c>
      <c r="M252" s="34">
        <v>100.0</v>
      </c>
      <c r="N252" s="33">
        <f>'Old Balance Sheet'!B252 + 'ACPL Calculations - 1.0'!B252 + 'ACPL Calculations - 2.0'!B252</f>
        <v>0</v>
      </c>
      <c r="O252" s="34" t="s">
        <v>3820</v>
      </c>
      <c r="P252" s="34">
        <v>290.0</v>
      </c>
      <c r="Q252" s="34" t="s">
        <v>3818</v>
      </c>
      <c r="R252" s="34">
        <v>100.0</v>
      </c>
      <c r="S252" s="33">
        <f>'Old Balance Sheet'!C252 + 'ACPL Calculations - 1.0'!C252 + 'ACPL Calculations - 2.0'!C252</f>
        <v>0</v>
      </c>
      <c r="T252" s="34" t="s">
        <v>3820</v>
      </c>
      <c r="U252" s="34">
        <v>375.0</v>
      </c>
      <c r="V252" s="34" t="s">
        <v>3818</v>
      </c>
      <c r="W252" s="34">
        <v>100.0</v>
      </c>
      <c r="X252" s="33">
        <f>'Old Balance Sheet'!D252 + 'ACPL Calculations - 1.0'!D252 + 'ACPL Calculations - 2.0'!D252</f>
        <v>0</v>
      </c>
      <c r="Y252" s="34" t="s">
        <v>3820</v>
      </c>
      <c r="Z252" s="34">
        <v>375.0</v>
      </c>
      <c r="AA252" s="32" t="s">
        <v>3818</v>
      </c>
      <c r="AB252" s="31">
        <v>100.0</v>
      </c>
      <c r="AC252" s="33">
        <f>'Old Balance Sheet'!E252 + 'ACPL Calculations - 1.0'!E252 + 'ACPL Calculations - 2.0'!E252</f>
        <v>0</v>
      </c>
      <c r="AD252" s="34" t="s">
        <v>3820</v>
      </c>
      <c r="AE252" s="34">
        <v>838.99</v>
      </c>
      <c r="AF252" s="32" t="s">
        <v>3818</v>
      </c>
      <c r="AG252" s="31">
        <v>100.0</v>
      </c>
      <c r="AH252" s="33">
        <f>'Old Balance Sheet'!F252 + 'ACPL Calculations - 1.0'!F252 + 'ACPL Calculations - 2.0'!F252</f>
        <v>0</v>
      </c>
      <c r="AI252" s="34" t="s">
        <v>3820</v>
      </c>
      <c r="AJ252" s="34">
        <v>375.0</v>
      </c>
      <c r="AK252" s="32" t="s">
        <v>3818</v>
      </c>
      <c r="AL252" s="31">
        <v>100.0</v>
      </c>
      <c r="AM252" s="33">
        <f>'Old Balance Sheet'!G252 + 'ACPL Calculations - 1.0'!G252 + 'ACPL Calculations - 2.0'!G252</f>
        <v>0</v>
      </c>
      <c r="AN252" s="34" t="s">
        <v>3820</v>
      </c>
      <c r="AO252" s="34">
        <v>290.0</v>
      </c>
      <c r="AP252" s="32" t="s">
        <v>3818</v>
      </c>
      <c r="AQ252" s="31">
        <v>100.0</v>
      </c>
      <c r="AR252" s="33">
        <f>'Old Balance Sheet'!H252 + 'ACPL Calculations - 1.0'!H252 + 'ACPL Calculations - 2.0'!H252</f>
        <v>0</v>
      </c>
      <c r="AS252" s="34" t="s">
        <v>3819</v>
      </c>
      <c r="AT252" s="34">
        <v>838.99</v>
      </c>
      <c r="AU252" s="32" t="s">
        <v>3818</v>
      </c>
      <c r="AV252" s="31">
        <v>100.0</v>
      </c>
      <c r="AW252" s="33">
        <f>'Old Balance Sheet'!I252 + 'ACPL Calculations - 1.0'!I252 + 'ACPL Calculations - 2.0'!I252</f>
        <v>0</v>
      </c>
      <c r="AX252" s="34" t="s">
        <v>3820</v>
      </c>
      <c r="AY252" s="34">
        <v>290.0</v>
      </c>
      <c r="AZ252" s="32" t="s">
        <v>3818</v>
      </c>
      <c r="BA252" s="31">
        <v>100.0</v>
      </c>
      <c r="BB252" s="33">
        <f>'Old Balance Sheet'!J252 + 'ACPL Calculations - 1.0'!J252 + 'ACPL Calculations - 2.0'!J252</f>
        <v>0</v>
      </c>
      <c r="BC252" s="34" t="s">
        <v>3820</v>
      </c>
      <c r="BD252" s="34">
        <v>205.0</v>
      </c>
      <c r="BE252" s="32" t="s">
        <v>3818</v>
      </c>
      <c r="BF252" s="31">
        <v>100.0</v>
      </c>
      <c r="BG252" s="33">
        <f>'Old Balance Sheet'!K252 + 'ACPL Calculations - 1.0'!K252 + 'ACPL Calculations - 2.0'!K252</f>
        <v>0</v>
      </c>
      <c r="BH252" s="34" t="s">
        <v>3820</v>
      </c>
      <c r="BI252" s="34">
        <v>205.0</v>
      </c>
      <c r="BJ252" s="32" t="s">
        <v>3818</v>
      </c>
      <c r="BK252" s="31">
        <v>100.0</v>
      </c>
      <c r="BL252" s="33">
        <f>'Old Balance Sheet'!L252 + 'ACPL Calculations - 1.0'!L252 + 'ACPL Calculations - 2.0'!L252</f>
        <v>0</v>
      </c>
      <c r="CL252" s="33">
        <f t="shared" si="1"/>
        <v>0</v>
      </c>
      <c r="CM252" s="33">
        <f>'Old Balance Sheet'!R252 + 'ACPL Calculations - 1.0'!S252 + 'ACPL Calculations - 2.0'!S252</f>
        <v>0</v>
      </c>
      <c r="CN252" s="33">
        <f>'Old Balance Sheet'!S252 + 'ACPL Calculations - 1.0'!T252 + 'ACPL Calculations - 2.0'!T252</f>
        <v>0</v>
      </c>
      <c r="CO252" s="33">
        <f t="shared" si="2"/>
        <v>0</v>
      </c>
      <c r="CP252" s="33">
        <f>'Old Balance Sheet'!T252 + 'ACPL Calculations - 1.0'!V252 + 'ACPL Calculations - 2.0'!V252</f>
        <v>0</v>
      </c>
      <c r="CQ252" s="33">
        <f>'Old Balance Sheet'!U252 + 'ACPL Calculations - 1.0'!W252 + 'ACPL Calculations - 2.0'!W252</f>
        <v>0</v>
      </c>
      <c r="CR252" s="33">
        <f>'Old Balance Sheet'!V252 + 'ACPL Calculations - 1.0'!X252 + 'ACPL Calculations - 2.0'!X252</f>
        <v>0</v>
      </c>
      <c r="CS252" s="33">
        <f t="shared" si="3"/>
        <v>0</v>
      </c>
      <c r="CT252" s="35"/>
      <c r="CU252" s="35"/>
      <c r="CV252" s="35"/>
      <c r="CW252" s="36">
        <f>'Old Balance Sheet'!W252 + 'ACPL Calculations - 1.0'!Z252 + 'ACPL Calculations - 2.0'!Z252</f>
        <v>0</v>
      </c>
      <c r="CX252" s="36">
        <f>'Old Balance Sheet'!X252 + 'ACPL Calculations - 1.0'!AA252 + 'ACPL Calculations - 2.0'!AA252</f>
        <v>0</v>
      </c>
      <c r="CY252" s="37">
        <v>0.0</v>
      </c>
      <c r="CZ252" s="38">
        <f>'Old Balance Sheet'!Y252 + 'ACPL Calculations - 1.0'!AB252 + 'ACPL Calculations - 2.0'!AB252</f>
        <v>0</v>
      </c>
      <c r="DA252" s="38">
        <f>'Old Balance Sheet'!Z252 + 'ACPL Calculations - 1.0'!AC252 + 'ACPL Calculations - 2.0'!AC252</f>
        <v>0</v>
      </c>
      <c r="DB252" s="38">
        <f>'Old Balance Sheet'!AA252 + 'ACPL Calculations - 1.0'!AD252 + 'ACPL Calculations - 2.0'!AD252</f>
        <v>0</v>
      </c>
      <c r="DC252" s="38">
        <f>'Old Balance Sheet'!AB252 + 'ACPL Calculations - 1.0'!AE252 + 'ACPL Calculations - 2.0'!AE252</f>
        <v>0</v>
      </c>
      <c r="DD252" s="38">
        <f t="shared" si="4"/>
        <v>0</v>
      </c>
      <c r="DE252" s="33">
        <f t="shared" si="5"/>
        <v>0</v>
      </c>
      <c r="DF252" s="35">
        <v>0.0</v>
      </c>
      <c r="DG252" s="35">
        <v>0.0</v>
      </c>
      <c r="DH252" s="35">
        <v>0.0</v>
      </c>
      <c r="DI252" s="35">
        <v>0.0</v>
      </c>
      <c r="DJ252" s="35">
        <v>0.0</v>
      </c>
      <c r="DK252" s="35">
        <v>0.0</v>
      </c>
      <c r="DL252" s="35">
        <v>0.0</v>
      </c>
      <c r="DM252" s="35">
        <v>0.0</v>
      </c>
      <c r="DN252" s="31">
        <v>0.0</v>
      </c>
      <c r="DO252" s="31">
        <v>0.0</v>
      </c>
      <c r="DP252" s="31">
        <v>0.0</v>
      </c>
      <c r="DQ252" s="31">
        <v>0.0</v>
      </c>
      <c r="DR252" s="31">
        <v>0.0</v>
      </c>
      <c r="DS252" s="31">
        <v>0.0</v>
      </c>
      <c r="DT252" s="31">
        <f>'Old Balance Sheet'!AC252</f>
        <v>0</v>
      </c>
      <c r="DU252" s="31">
        <f>DT252 + SUMIFS('Payments Log'!D:D, 'Payments Log'!B:B, A252, 'Payments Log'!L:L, "Approved", 'Payments Log'!M:M, "Credit") + 'Old Balance Sheet'!AD252 - 'Old Balance Sheet'!AC252</f>
        <v>0</v>
      </c>
      <c r="DV252" s="31">
        <f>SUMIFS('Payments Log'!D:D, 'Payments Log'!B:B, A252, 'Payments Log'!L:L, "Approved", 'Payments Log'!M:M, "Adjustment Credit") - SUMIFS('Payments Log'!D:D, 'Payments Log'!B:B, A252, 'Payments Log'!L:L, "Approved", 'Payments Log'!M:M, "Adjustment Debit") + 'Old Balance Sheet'!AE252</f>
        <v>0</v>
      </c>
      <c r="DW252" s="31">
        <f>IF(MAXIFS('Payments Log'!N:N, 'Payments Log'!L:L, "Approved", 'Payments Log'!M:M, "Credit", 'Payments Log'!B:B, A252) &gt; MAXIFS('Payments Log'!N:N, 'Payments Log'!L:L, "Approved", 'Payments Log'!M:M, "Virtual Credit", 'Payments Log'!B:B, A252), 0, SUMIFS('Payments Log'!D:D, 'Payments Log'!N:N, MAXIFS('Payments Log'!N:N, 'Payments Log'!L:L, "Approved", 'Payments Log'!M:M, "Virtual Credit", 'Payments Log'!B:B, A252)))</f>
        <v>0</v>
      </c>
      <c r="DX252" s="33">
        <f t="shared" si="6"/>
        <v>0</v>
      </c>
      <c r="DY252" s="33">
        <f t="shared" si="7"/>
        <v>0</v>
      </c>
      <c r="DZ252" s="33">
        <f t="shared" si="8"/>
        <v>0</v>
      </c>
      <c r="EA252" s="25" t="str">
        <f>(Sheet1!N252)</f>
        <v>Chandra Automobiles - Faizabad</v>
      </c>
      <c r="EB252" s="25" t="str">
        <f>(Sheet1!O252)</f>
        <v>1TMTMDBTSLXzi0POas5HDprui-sp3TCVvRYWE8buap-0</v>
      </c>
      <c r="EC252" s="26" t="str">
        <f>(Sheet1!P252)</f>
        <v>Sub Dealer</v>
      </c>
      <c r="ED252" s="34" t="s">
        <v>13</v>
      </c>
    </row>
    <row r="253">
      <c r="A253" s="26" t="str">
        <f>(Sheet1!A253)</f>
        <v>1osOyuHF4zURKwQBQVId__BAxFL3ovjDFMAESaHNUzcw</v>
      </c>
      <c r="B253" s="26" t="str">
        <f>(Sheet1!B253)</f>
        <v>GURU AUTO (MA) - AGSAULI</v>
      </c>
      <c r="C253" s="34" t="s">
        <v>13</v>
      </c>
      <c r="D253" s="34" t="s">
        <v>72</v>
      </c>
      <c r="E253" s="34" t="s">
        <v>3820</v>
      </c>
      <c r="F253" s="31">
        <v>170.0</v>
      </c>
      <c r="G253" s="34" t="s">
        <v>3818</v>
      </c>
      <c r="H253" s="34">
        <v>100.0</v>
      </c>
      <c r="I253" s="33">
        <f>'Old Balance Sheet'!A253 + 'ACPL Calculations - 1.0'!A253 + 'ACPL Calculations - 2.0'!A253</f>
        <v>0</v>
      </c>
      <c r="J253" s="34" t="s">
        <v>3820</v>
      </c>
      <c r="K253" s="31">
        <v>170.0</v>
      </c>
      <c r="L253" s="34" t="s">
        <v>3818</v>
      </c>
      <c r="M253" s="34">
        <v>100.0</v>
      </c>
      <c r="N253" s="33">
        <f>'Old Balance Sheet'!B253 + 'ACPL Calculations - 1.0'!B253 + 'ACPL Calculations - 2.0'!B253</f>
        <v>0</v>
      </c>
      <c r="O253" s="34" t="s">
        <v>3820</v>
      </c>
      <c r="P253" s="31">
        <v>170.0</v>
      </c>
      <c r="Q253" s="34" t="s">
        <v>3818</v>
      </c>
      <c r="R253" s="34">
        <v>100.0</v>
      </c>
      <c r="S253" s="33">
        <f>'Old Balance Sheet'!C253 + 'ACPL Calculations - 1.0'!C253 + 'ACPL Calculations - 2.0'!C253</f>
        <v>0</v>
      </c>
      <c r="T253" s="34" t="s">
        <v>3820</v>
      </c>
      <c r="U253" s="31">
        <v>170.0</v>
      </c>
      <c r="V253" s="34" t="s">
        <v>3818</v>
      </c>
      <c r="W253" s="34">
        <v>100.0</v>
      </c>
      <c r="X253" s="33">
        <f>'Old Balance Sheet'!D253 + 'ACPL Calculations - 1.0'!D253 + 'ACPL Calculations - 2.0'!D253</f>
        <v>0</v>
      </c>
      <c r="Y253" s="34" t="s">
        <v>3820</v>
      </c>
      <c r="Z253" s="31">
        <v>170.0</v>
      </c>
      <c r="AA253" s="32" t="s">
        <v>3818</v>
      </c>
      <c r="AB253" s="31">
        <v>100.0</v>
      </c>
      <c r="AC253" s="33">
        <f>'Old Balance Sheet'!E253 + 'ACPL Calculations - 1.0'!E253 + 'ACPL Calculations - 2.0'!E253</f>
        <v>281</v>
      </c>
      <c r="AD253" s="34" t="s">
        <v>3820</v>
      </c>
      <c r="AE253" s="34">
        <v>838.99</v>
      </c>
      <c r="AF253" s="32" t="s">
        <v>3818</v>
      </c>
      <c r="AG253" s="31">
        <v>100.0</v>
      </c>
      <c r="AH253" s="33">
        <f>'Old Balance Sheet'!F253 + 'ACPL Calculations - 1.0'!F253 + 'ACPL Calculations - 2.0'!F253</f>
        <v>0</v>
      </c>
      <c r="AI253" s="34" t="s">
        <v>3820</v>
      </c>
      <c r="AJ253" s="31">
        <v>170.0</v>
      </c>
      <c r="AK253" s="32" t="s">
        <v>3818</v>
      </c>
      <c r="AL253" s="31">
        <v>100.0</v>
      </c>
      <c r="AM253" s="33">
        <f>'Old Balance Sheet'!G253 + 'ACPL Calculations - 1.0'!G253 + 'ACPL Calculations - 2.0'!G253</f>
        <v>0</v>
      </c>
      <c r="AN253" s="34" t="s">
        <v>3820</v>
      </c>
      <c r="AO253" s="31">
        <v>170.0</v>
      </c>
      <c r="AP253" s="32" t="s">
        <v>3818</v>
      </c>
      <c r="AQ253" s="31">
        <v>100.0</v>
      </c>
      <c r="AR253" s="33">
        <f>'Old Balance Sheet'!H253 + 'ACPL Calculations - 1.0'!H253 + 'ACPL Calculations - 2.0'!H253</f>
        <v>0</v>
      </c>
      <c r="AS253" s="34" t="s">
        <v>3819</v>
      </c>
      <c r="AT253" s="34">
        <v>838.99</v>
      </c>
      <c r="AU253" s="32" t="s">
        <v>3818</v>
      </c>
      <c r="AV253" s="31">
        <v>100.0</v>
      </c>
      <c r="AW253" s="33">
        <f>'Old Balance Sheet'!I253 + 'ACPL Calculations - 1.0'!I253 + 'ACPL Calculations - 2.0'!I253</f>
        <v>0</v>
      </c>
      <c r="AX253" s="34" t="s">
        <v>3820</v>
      </c>
      <c r="AY253" s="31">
        <v>170.0</v>
      </c>
      <c r="AZ253" s="32" t="s">
        <v>3818</v>
      </c>
      <c r="BA253" s="31">
        <v>100.0</v>
      </c>
      <c r="BB253" s="33">
        <f>'Old Balance Sheet'!J253 + 'ACPL Calculations - 1.0'!J253 + 'ACPL Calculations - 2.0'!J253</f>
        <v>0</v>
      </c>
      <c r="BC253" s="34" t="s">
        <v>3820</v>
      </c>
      <c r="BD253" s="31">
        <v>170.0</v>
      </c>
      <c r="BE253" s="32" t="s">
        <v>3818</v>
      </c>
      <c r="BF253" s="31">
        <v>100.0</v>
      </c>
      <c r="BG253" s="33">
        <f>'Old Balance Sheet'!K253 + 'ACPL Calculations - 1.0'!K253 + 'ACPL Calculations - 2.0'!K253</f>
        <v>0</v>
      </c>
      <c r="BH253" s="34" t="s">
        <v>3820</v>
      </c>
      <c r="BI253" s="31">
        <v>170.0</v>
      </c>
      <c r="BJ253" s="32" t="s">
        <v>3818</v>
      </c>
      <c r="BK253" s="31">
        <v>100.0</v>
      </c>
      <c r="BL253" s="33">
        <f>'Old Balance Sheet'!L253 + 'ACPL Calculations - 1.0'!L253 + 'ACPL Calculations - 2.0'!L253</f>
        <v>0</v>
      </c>
      <c r="CL253" s="33">
        <f t="shared" si="1"/>
        <v>281</v>
      </c>
      <c r="CM253" s="33">
        <f>'Old Balance Sheet'!R253 + 'ACPL Calculations - 1.0'!S253 + 'ACPL Calculations - 2.0'!S253</f>
        <v>491750</v>
      </c>
      <c r="CN253" s="33">
        <f>'Old Balance Sheet'!S253 + 'ACPL Calculations - 1.0'!T253 + 'ACPL Calculations - 2.0'!T253</f>
        <v>49220</v>
      </c>
      <c r="CO253" s="33">
        <f t="shared" si="2"/>
        <v>124232.95</v>
      </c>
      <c r="CP253" s="33">
        <f>'Old Balance Sheet'!T253 + 'ACPL Calculations - 1.0'!V253 + 'ACPL Calculations - 2.0'!V253</f>
        <v>0</v>
      </c>
      <c r="CQ253" s="33">
        <f>'Old Balance Sheet'!U253 + 'ACPL Calculations - 1.0'!W253 + 'ACPL Calculations - 2.0'!W253</f>
        <v>0</v>
      </c>
      <c r="CR253" s="33">
        <f>'Old Balance Sheet'!V253 + 'ACPL Calculations - 1.0'!X253 + 'ACPL Calculations - 2.0'!X253</f>
        <v>75012.95</v>
      </c>
      <c r="CS253" s="33">
        <f t="shared" si="3"/>
        <v>75012.95</v>
      </c>
      <c r="CT253" s="35"/>
      <c r="CU253" s="35"/>
      <c r="CV253" s="35"/>
      <c r="CW253" s="36">
        <f>'Old Balance Sheet'!W253 + 'ACPL Calculations - 1.0'!Z253 + 'ACPL Calculations - 2.0'!Z253</f>
        <v>0</v>
      </c>
      <c r="CX253" s="36">
        <f>'Old Balance Sheet'!X253 + 'ACPL Calculations - 1.0'!AA253 + 'ACPL Calculations - 2.0'!AA253</f>
        <v>0</v>
      </c>
      <c r="CY253" s="37">
        <v>0.0</v>
      </c>
      <c r="CZ253" s="38">
        <f>'Old Balance Sheet'!Y253 + 'ACPL Calculations - 1.0'!AB253 + 'ACPL Calculations - 2.0'!AB253</f>
        <v>0</v>
      </c>
      <c r="DA253" s="38">
        <f>'Old Balance Sheet'!Z253 + 'ACPL Calculations - 1.0'!AC253 + 'ACPL Calculations - 2.0'!AC253</f>
        <v>0</v>
      </c>
      <c r="DB253" s="38">
        <f>'Old Balance Sheet'!AA253 + 'ACPL Calculations - 1.0'!AD253 + 'ACPL Calculations - 2.0'!AD253</f>
        <v>0</v>
      </c>
      <c r="DC253" s="38">
        <f>'Old Balance Sheet'!AB253 + 'ACPL Calculations - 1.0'!AE253 + 'ACPL Calculations - 2.0'!AE253</f>
        <v>0</v>
      </c>
      <c r="DD253" s="38">
        <f t="shared" si="4"/>
        <v>0</v>
      </c>
      <c r="DE253" s="33">
        <f t="shared" si="5"/>
        <v>0</v>
      </c>
      <c r="DF253" s="35">
        <v>0.0</v>
      </c>
      <c r="DG253" s="35">
        <v>0.0</v>
      </c>
      <c r="DH253" s="35">
        <v>0.0</v>
      </c>
      <c r="DI253" s="35">
        <v>0.0</v>
      </c>
      <c r="DJ253" s="35">
        <v>0.0</v>
      </c>
      <c r="DK253" s="35">
        <v>0.0</v>
      </c>
      <c r="DL253" s="35">
        <v>0.0</v>
      </c>
      <c r="DM253" s="35">
        <v>0.0</v>
      </c>
      <c r="DN253" s="31">
        <v>0.0</v>
      </c>
      <c r="DO253" s="31">
        <v>0.0</v>
      </c>
      <c r="DP253" s="31">
        <v>0.0</v>
      </c>
      <c r="DQ253" s="31">
        <v>0.0</v>
      </c>
      <c r="DR253" s="31">
        <v>0.0</v>
      </c>
      <c r="DS253" s="31">
        <v>0.0</v>
      </c>
      <c r="DT253" s="31">
        <f>'Old Balance Sheet'!AC253</f>
        <v>0</v>
      </c>
      <c r="DU253" s="31">
        <f>DT253 + SUMIFS('Payments Log'!D:D, 'Payments Log'!B:B, A253, 'Payments Log'!L:L, "Approved", 'Payments Log'!M:M, "Credit") + 'Old Balance Sheet'!AD253 - 'Old Balance Sheet'!AC253</f>
        <v>0</v>
      </c>
      <c r="DV253" s="31">
        <f>SUMIFS('Payments Log'!D:D, 'Payments Log'!B:B, A253, 'Payments Log'!L:L, "Approved", 'Payments Log'!M:M, "Adjustment Credit") - SUMIFS('Payments Log'!D:D, 'Payments Log'!B:B, A253, 'Payments Log'!L:L, "Approved", 'Payments Log'!M:M, "Adjustment Debit") + 'Old Balance Sheet'!AE253</f>
        <v>0</v>
      </c>
      <c r="DW253" s="31">
        <f>IF(MAXIFS('Payments Log'!N:N, 'Payments Log'!L:L, "Approved", 'Payments Log'!M:M, "Credit", 'Payments Log'!B:B, A253) &gt; MAXIFS('Payments Log'!N:N, 'Payments Log'!L:L, "Approved", 'Payments Log'!M:M, "Virtual Credit", 'Payments Log'!B:B, A253), 0, SUMIFS('Payments Log'!D:D, 'Payments Log'!N:N, MAXIFS('Payments Log'!N:N, 'Payments Log'!L:L, "Approved", 'Payments Log'!M:M, "Virtual Credit", 'Payments Log'!B:B, A253)))</f>
        <v>0</v>
      </c>
      <c r="DX253" s="33">
        <f t="shared" si="6"/>
        <v>0</v>
      </c>
      <c r="DY253" s="33">
        <f t="shared" si="7"/>
        <v>0</v>
      </c>
      <c r="DZ253" s="33">
        <f t="shared" si="8"/>
        <v>0</v>
      </c>
      <c r="EA253" s="25" t="str">
        <f>(Sheet1!N253)</f>
        <v>Maharaja Autoworld</v>
      </c>
      <c r="EB253" s="25" t="str">
        <f>(Sheet1!O253)</f>
        <v>1mkGLSaVL5-IAXKq9KqXFgJH64Li9oMA9V0u_seCn1jg</v>
      </c>
      <c r="EC253" s="26" t="str">
        <f>(Sheet1!P253)</f>
        <v>Sub Dealer</v>
      </c>
      <c r="ED253" s="34" t="s">
        <v>13</v>
      </c>
    </row>
    <row r="254">
      <c r="A254" s="26" t="str">
        <f>(Sheet1!A254)</f>
        <v>1jBLj7YlO7RVCF75qSzQ559wmnPniOl1ikS8tNuHDQd0</v>
      </c>
      <c r="B254" s="26" t="str">
        <f>(Sheet1!B254)</f>
        <v>SAGAR AUTOMOBILES (MAW) - MURSAN</v>
      </c>
      <c r="C254" s="34" t="s">
        <v>13</v>
      </c>
      <c r="D254" s="34" t="s">
        <v>72</v>
      </c>
      <c r="E254" s="34" t="s">
        <v>3820</v>
      </c>
      <c r="F254" s="31">
        <v>170.0</v>
      </c>
      <c r="G254" s="34" t="s">
        <v>3818</v>
      </c>
      <c r="H254" s="34">
        <v>100.0</v>
      </c>
      <c r="I254" s="33">
        <f>'Old Balance Sheet'!A254 + 'ACPL Calculations - 1.0'!A254 + 'ACPL Calculations - 2.0'!A254</f>
        <v>0</v>
      </c>
      <c r="J254" s="34" t="s">
        <v>3820</v>
      </c>
      <c r="K254" s="31">
        <v>170.0</v>
      </c>
      <c r="L254" s="34" t="s">
        <v>3818</v>
      </c>
      <c r="M254" s="34">
        <v>100.0</v>
      </c>
      <c r="N254" s="33">
        <f>'Old Balance Sheet'!B254 + 'ACPL Calculations - 1.0'!B254 + 'ACPL Calculations - 2.0'!B254</f>
        <v>0</v>
      </c>
      <c r="O254" s="34" t="s">
        <v>3820</v>
      </c>
      <c r="P254" s="31">
        <v>170.0</v>
      </c>
      <c r="Q254" s="34" t="s">
        <v>3818</v>
      </c>
      <c r="R254" s="34">
        <v>100.0</v>
      </c>
      <c r="S254" s="33">
        <f>'Old Balance Sheet'!C254 + 'ACPL Calculations - 1.0'!C254 + 'ACPL Calculations - 2.0'!C254</f>
        <v>0</v>
      </c>
      <c r="T254" s="34" t="s">
        <v>3820</v>
      </c>
      <c r="U254" s="31">
        <v>170.0</v>
      </c>
      <c r="V254" s="34" t="s">
        <v>3818</v>
      </c>
      <c r="W254" s="34">
        <v>100.0</v>
      </c>
      <c r="X254" s="33">
        <f>'Old Balance Sheet'!D254 + 'ACPL Calculations - 1.0'!D254 + 'ACPL Calculations - 2.0'!D254</f>
        <v>0</v>
      </c>
      <c r="Y254" s="34" t="s">
        <v>3820</v>
      </c>
      <c r="Z254" s="31">
        <v>170.0</v>
      </c>
      <c r="AA254" s="32" t="s">
        <v>3818</v>
      </c>
      <c r="AB254" s="31">
        <v>100.0</v>
      </c>
      <c r="AC254" s="33">
        <f>'Old Balance Sheet'!E254 + 'ACPL Calculations - 1.0'!E254 + 'ACPL Calculations - 2.0'!E254</f>
        <v>412</v>
      </c>
      <c r="AD254" s="34" t="s">
        <v>3820</v>
      </c>
      <c r="AE254" s="34">
        <v>838.99</v>
      </c>
      <c r="AF254" s="32" t="s">
        <v>3818</v>
      </c>
      <c r="AG254" s="31">
        <v>100.0</v>
      </c>
      <c r="AH254" s="33">
        <f>'Old Balance Sheet'!F254 + 'ACPL Calculations - 1.0'!F254 + 'ACPL Calculations - 2.0'!F254</f>
        <v>0</v>
      </c>
      <c r="AI254" s="34" t="s">
        <v>3820</v>
      </c>
      <c r="AJ254" s="31">
        <v>170.0</v>
      </c>
      <c r="AK254" s="32" t="s">
        <v>3818</v>
      </c>
      <c r="AL254" s="31">
        <v>100.0</v>
      </c>
      <c r="AM254" s="33">
        <f>'Old Balance Sheet'!G254 + 'ACPL Calculations - 1.0'!G254 + 'ACPL Calculations - 2.0'!G254</f>
        <v>0</v>
      </c>
      <c r="AN254" s="34" t="s">
        <v>3820</v>
      </c>
      <c r="AO254" s="31">
        <v>170.0</v>
      </c>
      <c r="AP254" s="32" t="s">
        <v>3818</v>
      </c>
      <c r="AQ254" s="31">
        <v>100.0</v>
      </c>
      <c r="AR254" s="33">
        <f>'Old Balance Sheet'!H254 + 'ACPL Calculations - 1.0'!H254 + 'ACPL Calculations - 2.0'!H254</f>
        <v>0</v>
      </c>
      <c r="AS254" s="34" t="s">
        <v>3819</v>
      </c>
      <c r="AT254" s="34">
        <v>838.99</v>
      </c>
      <c r="AU254" s="32" t="s">
        <v>3818</v>
      </c>
      <c r="AV254" s="31">
        <v>100.0</v>
      </c>
      <c r="AW254" s="33">
        <f>'Old Balance Sheet'!I254 + 'ACPL Calculations - 1.0'!I254 + 'ACPL Calculations - 2.0'!I254</f>
        <v>0</v>
      </c>
      <c r="AX254" s="34" t="s">
        <v>3820</v>
      </c>
      <c r="AY254" s="31">
        <v>170.0</v>
      </c>
      <c r="AZ254" s="32" t="s">
        <v>3818</v>
      </c>
      <c r="BA254" s="31">
        <v>100.0</v>
      </c>
      <c r="BB254" s="33">
        <f>'Old Balance Sheet'!J254 + 'ACPL Calculations - 1.0'!J254 + 'ACPL Calculations - 2.0'!J254</f>
        <v>0</v>
      </c>
      <c r="BC254" s="34" t="s">
        <v>3820</v>
      </c>
      <c r="BD254" s="31">
        <v>170.0</v>
      </c>
      <c r="BE254" s="32" t="s">
        <v>3818</v>
      </c>
      <c r="BF254" s="31">
        <v>100.0</v>
      </c>
      <c r="BG254" s="33">
        <f>'Old Balance Sheet'!K254 + 'ACPL Calculations - 1.0'!K254 + 'ACPL Calculations - 2.0'!K254</f>
        <v>0</v>
      </c>
      <c r="BH254" s="34" t="s">
        <v>3820</v>
      </c>
      <c r="BI254" s="31">
        <v>170.0</v>
      </c>
      <c r="BJ254" s="32" t="s">
        <v>3818</v>
      </c>
      <c r="BK254" s="31">
        <v>100.0</v>
      </c>
      <c r="BL254" s="33">
        <f>'Old Balance Sheet'!L254 + 'ACPL Calculations - 1.0'!L254 + 'ACPL Calculations - 2.0'!L254</f>
        <v>0</v>
      </c>
      <c r="CL254" s="33">
        <f t="shared" si="1"/>
        <v>412</v>
      </c>
      <c r="CM254" s="33">
        <f>'Old Balance Sheet'!R254 + 'ACPL Calculations - 1.0'!S254 + 'ACPL Calculations - 2.0'!S254</f>
        <v>721000</v>
      </c>
      <c r="CN254" s="33">
        <f>'Old Balance Sheet'!S254 + 'ACPL Calculations - 1.0'!T254 + 'ACPL Calculations - 2.0'!T254</f>
        <v>74390</v>
      </c>
      <c r="CO254" s="33">
        <f t="shared" si="2"/>
        <v>184373.4</v>
      </c>
      <c r="CP254" s="33">
        <f>'Old Balance Sheet'!T254 + 'ACPL Calculations - 1.0'!V254 + 'ACPL Calculations - 2.0'!V254</f>
        <v>0</v>
      </c>
      <c r="CQ254" s="33">
        <f>'Old Balance Sheet'!U254 + 'ACPL Calculations - 1.0'!W254 + 'ACPL Calculations - 2.0'!W254</f>
        <v>0</v>
      </c>
      <c r="CR254" s="33">
        <f>'Old Balance Sheet'!V254 + 'ACPL Calculations - 1.0'!X254 + 'ACPL Calculations - 2.0'!X254</f>
        <v>109983.4</v>
      </c>
      <c r="CS254" s="33">
        <f t="shared" si="3"/>
        <v>109983.4</v>
      </c>
      <c r="CT254" s="35"/>
      <c r="CU254" s="35"/>
      <c r="CV254" s="35"/>
      <c r="CW254" s="36">
        <f>'Old Balance Sheet'!W254 + 'ACPL Calculations - 1.0'!Z254 + 'ACPL Calculations - 2.0'!Z254</f>
        <v>0</v>
      </c>
      <c r="CX254" s="36">
        <f>'Old Balance Sheet'!X254 + 'ACPL Calculations - 1.0'!AA254 + 'ACPL Calculations - 2.0'!AA254</f>
        <v>0</v>
      </c>
      <c r="CY254" s="37">
        <v>0.0</v>
      </c>
      <c r="CZ254" s="38">
        <f>'Old Balance Sheet'!Y254 + 'ACPL Calculations - 1.0'!AB254 + 'ACPL Calculations - 2.0'!AB254</f>
        <v>0</v>
      </c>
      <c r="DA254" s="38">
        <f>'Old Balance Sheet'!Z254 + 'ACPL Calculations - 1.0'!AC254 + 'ACPL Calculations - 2.0'!AC254</f>
        <v>0</v>
      </c>
      <c r="DB254" s="38">
        <f>'Old Balance Sheet'!AA254 + 'ACPL Calculations - 1.0'!AD254 + 'ACPL Calculations - 2.0'!AD254</f>
        <v>0</v>
      </c>
      <c r="DC254" s="38">
        <f>'Old Balance Sheet'!AB254 + 'ACPL Calculations - 1.0'!AE254 + 'ACPL Calculations - 2.0'!AE254</f>
        <v>0</v>
      </c>
      <c r="DD254" s="38">
        <f t="shared" si="4"/>
        <v>0</v>
      </c>
      <c r="DE254" s="33">
        <f t="shared" si="5"/>
        <v>0</v>
      </c>
      <c r="DF254" s="35">
        <v>0.0</v>
      </c>
      <c r="DG254" s="35">
        <v>0.0</v>
      </c>
      <c r="DH254" s="35">
        <v>0.0</v>
      </c>
      <c r="DI254" s="35">
        <v>0.0</v>
      </c>
      <c r="DJ254" s="35">
        <v>0.0</v>
      </c>
      <c r="DK254" s="35">
        <v>0.0</v>
      </c>
      <c r="DL254" s="35">
        <v>0.0</v>
      </c>
      <c r="DM254" s="35">
        <v>0.0</v>
      </c>
      <c r="DN254" s="31">
        <v>0.0</v>
      </c>
      <c r="DO254" s="31">
        <v>0.0</v>
      </c>
      <c r="DP254" s="31">
        <v>0.0</v>
      </c>
      <c r="DQ254" s="31">
        <v>0.0</v>
      </c>
      <c r="DR254" s="31">
        <v>0.0</v>
      </c>
      <c r="DS254" s="31">
        <v>0.0</v>
      </c>
      <c r="DT254" s="31">
        <f>'Old Balance Sheet'!AC254</f>
        <v>0</v>
      </c>
      <c r="DU254" s="31">
        <f>DT254 + SUMIFS('Payments Log'!D:D, 'Payments Log'!B:B, A254, 'Payments Log'!L:L, "Approved", 'Payments Log'!M:M, "Credit") + 'Old Balance Sheet'!AD254 - 'Old Balance Sheet'!AC254</f>
        <v>0</v>
      </c>
      <c r="DV254" s="31">
        <f>SUMIFS('Payments Log'!D:D, 'Payments Log'!B:B, A254, 'Payments Log'!L:L, "Approved", 'Payments Log'!M:M, "Adjustment Credit") - SUMIFS('Payments Log'!D:D, 'Payments Log'!B:B, A254, 'Payments Log'!L:L, "Approved", 'Payments Log'!M:M, "Adjustment Debit") + 'Old Balance Sheet'!AE254</f>
        <v>0</v>
      </c>
      <c r="DW254" s="31">
        <f>IF(MAXIFS('Payments Log'!N:N, 'Payments Log'!L:L, "Approved", 'Payments Log'!M:M, "Credit", 'Payments Log'!B:B, A254) &gt; MAXIFS('Payments Log'!N:N, 'Payments Log'!L:L, "Approved", 'Payments Log'!M:M, "Virtual Credit", 'Payments Log'!B:B, A254), 0, SUMIFS('Payments Log'!D:D, 'Payments Log'!N:N, MAXIFS('Payments Log'!N:N, 'Payments Log'!L:L, "Approved", 'Payments Log'!M:M, "Virtual Credit", 'Payments Log'!B:B, A254)))</f>
        <v>0</v>
      </c>
      <c r="DX254" s="33">
        <f t="shared" si="6"/>
        <v>0</v>
      </c>
      <c r="DY254" s="33">
        <f t="shared" si="7"/>
        <v>0</v>
      </c>
      <c r="DZ254" s="33">
        <f t="shared" si="8"/>
        <v>0</v>
      </c>
      <c r="EA254" s="25" t="str">
        <f>(Sheet1!N254)</f>
        <v>Maharaja Autoworld</v>
      </c>
      <c r="EB254" s="25" t="str">
        <f>(Sheet1!O254)</f>
        <v>1mkGLSaVL5-IAXKq9KqXFgJH64Li9oMA9V0u_seCn1jg</v>
      </c>
      <c r="EC254" s="26" t="str">
        <f>(Sheet1!P254)</f>
        <v>Sub Dealer</v>
      </c>
      <c r="ED254" s="34" t="s">
        <v>13</v>
      </c>
    </row>
    <row r="255">
      <c r="A255" s="26" t="str">
        <f>(Sheet1!A255)</f>
        <v>15WvTCHWZ7k40lgk7ekOThzqz2K_9MGli20N9iYkrug0</v>
      </c>
      <c r="B255" s="26" t="str">
        <f>(Sheet1!B255)</f>
        <v>KWALITY MOTORS (MAW) - SASNI</v>
      </c>
      <c r="C255" s="34" t="s">
        <v>13</v>
      </c>
      <c r="D255" s="34" t="s">
        <v>72</v>
      </c>
      <c r="E255" s="34" t="s">
        <v>3820</v>
      </c>
      <c r="F255" s="31">
        <v>170.0</v>
      </c>
      <c r="G255" s="34" t="s">
        <v>3818</v>
      </c>
      <c r="H255" s="34">
        <v>100.0</v>
      </c>
      <c r="I255" s="33">
        <f>'Old Balance Sheet'!A255 + 'ACPL Calculations - 1.0'!A255 + 'ACPL Calculations - 2.0'!A255</f>
        <v>0</v>
      </c>
      <c r="J255" s="34" t="s">
        <v>3820</v>
      </c>
      <c r="K255" s="31">
        <v>170.0</v>
      </c>
      <c r="L255" s="34" t="s">
        <v>3818</v>
      </c>
      <c r="M255" s="34">
        <v>100.0</v>
      </c>
      <c r="N255" s="33">
        <f>'Old Balance Sheet'!B255 + 'ACPL Calculations - 1.0'!B255 + 'ACPL Calculations - 2.0'!B255</f>
        <v>0</v>
      </c>
      <c r="O255" s="34" t="s">
        <v>3820</v>
      </c>
      <c r="P255" s="31">
        <v>170.0</v>
      </c>
      <c r="Q255" s="34" t="s">
        <v>3818</v>
      </c>
      <c r="R255" s="34">
        <v>100.0</v>
      </c>
      <c r="S255" s="33">
        <f>'Old Balance Sheet'!C255 + 'ACPL Calculations - 1.0'!C255 + 'ACPL Calculations - 2.0'!C255</f>
        <v>0</v>
      </c>
      <c r="T255" s="34" t="s">
        <v>3820</v>
      </c>
      <c r="U255" s="31">
        <v>170.0</v>
      </c>
      <c r="V255" s="34" t="s">
        <v>3818</v>
      </c>
      <c r="W255" s="34">
        <v>100.0</v>
      </c>
      <c r="X255" s="33">
        <f>'Old Balance Sheet'!D255 + 'ACPL Calculations - 1.0'!D255 + 'ACPL Calculations - 2.0'!D255</f>
        <v>0</v>
      </c>
      <c r="Y255" s="34" t="s">
        <v>3820</v>
      </c>
      <c r="Z255" s="31">
        <v>170.0</v>
      </c>
      <c r="AA255" s="32" t="s">
        <v>3818</v>
      </c>
      <c r="AB255" s="31">
        <v>100.0</v>
      </c>
      <c r="AC255" s="33">
        <f>'Old Balance Sheet'!E255 + 'ACPL Calculations - 1.0'!E255 + 'ACPL Calculations - 2.0'!E255</f>
        <v>0</v>
      </c>
      <c r="AD255" s="34" t="s">
        <v>3820</v>
      </c>
      <c r="AE255" s="34">
        <v>838.99</v>
      </c>
      <c r="AF255" s="32" t="s">
        <v>3818</v>
      </c>
      <c r="AG255" s="31">
        <v>100.0</v>
      </c>
      <c r="AH255" s="33">
        <f>'Old Balance Sheet'!F255 + 'ACPL Calculations - 1.0'!F255 + 'ACPL Calculations - 2.0'!F255</f>
        <v>0</v>
      </c>
      <c r="AI255" s="34" t="s">
        <v>3820</v>
      </c>
      <c r="AJ255" s="31">
        <v>170.0</v>
      </c>
      <c r="AK255" s="32" t="s">
        <v>3818</v>
      </c>
      <c r="AL255" s="31">
        <v>100.0</v>
      </c>
      <c r="AM255" s="33">
        <f>'Old Balance Sheet'!G255 + 'ACPL Calculations - 1.0'!G255 + 'ACPL Calculations - 2.0'!G255</f>
        <v>0</v>
      </c>
      <c r="AN255" s="34" t="s">
        <v>3820</v>
      </c>
      <c r="AO255" s="31">
        <v>170.0</v>
      </c>
      <c r="AP255" s="32" t="s">
        <v>3818</v>
      </c>
      <c r="AQ255" s="31">
        <v>100.0</v>
      </c>
      <c r="AR255" s="33">
        <f>'Old Balance Sheet'!H255 + 'ACPL Calculations - 1.0'!H255 + 'ACPL Calculations - 2.0'!H255</f>
        <v>0</v>
      </c>
      <c r="AS255" s="34" t="s">
        <v>3819</v>
      </c>
      <c r="AT255" s="34">
        <v>838.99</v>
      </c>
      <c r="AU255" s="32" t="s">
        <v>3818</v>
      </c>
      <c r="AV255" s="31">
        <v>100.0</v>
      </c>
      <c r="AW255" s="33">
        <f>'Old Balance Sheet'!I255 + 'ACPL Calculations - 1.0'!I255 + 'ACPL Calculations - 2.0'!I255</f>
        <v>0</v>
      </c>
      <c r="AX255" s="34" t="s">
        <v>3820</v>
      </c>
      <c r="AY255" s="31">
        <v>170.0</v>
      </c>
      <c r="AZ255" s="32" t="s">
        <v>3818</v>
      </c>
      <c r="BA255" s="31">
        <v>100.0</v>
      </c>
      <c r="BB255" s="33">
        <f>'Old Balance Sheet'!J255 + 'ACPL Calculations - 1.0'!J255 + 'ACPL Calculations - 2.0'!J255</f>
        <v>0</v>
      </c>
      <c r="BC255" s="34" t="s">
        <v>3820</v>
      </c>
      <c r="BD255" s="31">
        <v>170.0</v>
      </c>
      <c r="BE255" s="32" t="s">
        <v>3818</v>
      </c>
      <c r="BF255" s="31">
        <v>100.0</v>
      </c>
      <c r="BG255" s="33">
        <f>'Old Balance Sheet'!K255 + 'ACPL Calculations - 1.0'!K255 + 'ACPL Calculations - 2.0'!K255</f>
        <v>0</v>
      </c>
      <c r="BH255" s="34" t="s">
        <v>3820</v>
      </c>
      <c r="BI255" s="31">
        <v>170.0</v>
      </c>
      <c r="BJ255" s="32" t="s">
        <v>3818</v>
      </c>
      <c r="BK255" s="31">
        <v>100.0</v>
      </c>
      <c r="BL255" s="33">
        <f>'Old Balance Sheet'!L255 + 'ACPL Calculations - 1.0'!L255 + 'ACPL Calculations - 2.0'!L255</f>
        <v>0</v>
      </c>
      <c r="CL255" s="33">
        <f t="shared" si="1"/>
        <v>0</v>
      </c>
      <c r="CM255" s="33">
        <f>'Old Balance Sheet'!R255 + 'ACPL Calculations - 1.0'!S255 + 'ACPL Calculations - 2.0'!S255</f>
        <v>0</v>
      </c>
      <c r="CN255" s="33">
        <f>'Old Balance Sheet'!S255 + 'ACPL Calculations - 1.0'!T255 + 'ACPL Calculations - 2.0'!T255</f>
        <v>0</v>
      </c>
      <c r="CO255" s="33">
        <f t="shared" si="2"/>
        <v>0</v>
      </c>
      <c r="CP255" s="33">
        <f>'Old Balance Sheet'!T255 + 'ACPL Calculations - 1.0'!V255 + 'ACPL Calculations - 2.0'!V255</f>
        <v>0</v>
      </c>
      <c r="CQ255" s="33">
        <f>'Old Balance Sheet'!U255 + 'ACPL Calculations - 1.0'!W255 + 'ACPL Calculations - 2.0'!W255</f>
        <v>0</v>
      </c>
      <c r="CR255" s="33">
        <f>'Old Balance Sheet'!V255 + 'ACPL Calculations - 1.0'!X255 + 'ACPL Calculations - 2.0'!X255</f>
        <v>0</v>
      </c>
      <c r="CS255" s="33">
        <f t="shared" si="3"/>
        <v>0</v>
      </c>
      <c r="CT255" s="35"/>
      <c r="CU255" s="35"/>
      <c r="CV255" s="35"/>
      <c r="CW255" s="36">
        <f>'Old Balance Sheet'!W255 + 'ACPL Calculations - 1.0'!Z255 + 'ACPL Calculations - 2.0'!Z255</f>
        <v>0</v>
      </c>
      <c r="CX255" s="36">
        <f>'Old Balance Sheet'!X255 + 'ACPL Calculations - 1.0'!AA255 + 'ACPL Calculations - 2.0'!AA255</f>
        <v>0</v>
      </c>
      <c r="CY255" s="37">
        <v>0.0</v>
      </c>
      <c r="CZ255" s="38">
        <f>'Old Balance Sheet'!Y255 + 'ACPL Calculations - 1.0'!AB255 + 'ACPL Calculations - 2.0'!AB255</f>
        <v>0</v>
      </c>
      <c r="DA255" s="38">
        <f>'Old Balance Sheet'!Z255 + 'ACPL Calculations - 1.0'!AC255 + 'ACPL Calculations - 2.0'!AC255</f>
        <v>0</v>
      </c>
      <c r="DB255" s="38">
        <f>'Old Balance Sheet'!AA255 + 'ACPL Calculations - 1.0'!AD255 + 'ACPL Calculations - 2.0'!AD255</f>
        <v>0</v>
      </c>
      <c r="DC255" s="38">
        <f>'Old Balance Sheet'!AB255 + 'ACPL Calculations - 1.0'!AE255 + 'ACPL Calculations - 2.0'!AE255</f>
        <v>0</v>
      </c>
      <c r="DD255" s="38">
        <f t="shared" si="4"/>
        <v>0</v>
      </c>
      <c r="DE255" s="33">
        <f t="shared" si="5"/>
        <v>0</v>
      </c>
      <c r="DF255" s="35">
        <v>0.0</v>
      </c>
      <c r="DG255" s="35">
        <v>0.0</v>
      </c>
      <c r="DH255" s="35">
        <v>0.0</v>
      </c>
      <c r="DI255" s="35">
        <v>0.0</v>
      </c>
      <c r="DJ255" s="35">
        <v>0.0</v>
      </c>
      <c r="DK255" s="35">
        <v>0.0</v>
      </c>
      <c r="DL255" s="35">
        <v>0.0</v>
      </c>
      <c r="DM255" s="35">
        <v>0.0</v>
      </c>
      <c r="DN255" s="31">
        <v>0.0</v>
      </c>
      <c r="DO255" s="31">
        <v>0.0</v>
      </c>
      <c r="DP255" s="31">
        <v>0.0</v>
      </c>
      <c r="DQ255" s="31">
        <v>0.0</v>
      </c>
      <c r="DR255" s="31">
        <v>0.0</v>
      </c>
      <c r="DS255" s="31">
        <v>0.0</v>
      </c>
      <c r="DT255" s="31">
        <f>'Old Balance Sheet'!AC255</f>
        <v>0</v>
      </c>
      <c r="DU255" s="31">
        <f>DT255 + SUMIFS('Payments Log'!D:D, 'Payments Log'!B:B, A255, 'Payments Log'!L:L, "Approved", 'Payments Log'!M:M, "Credit") + 'Old Balance Sheet'!AD255 - 'Old Balance Sheet'!AC255</f>
        <v>0</v>
      </c>
      <c r="DV255" s="31">
        <f>SUMIFS('Payments Log'!D:D, 'Payments Log'!B:B, A255, 'Payments Log'!L:L, "Approved", 'Payments Log'!M:M, "Adjustment Credit") - SUMIFS('Payments Log'!D:D, 'Payments Log'!B:B, A255, 'Payments Log'!L:L, "Approved", 'Payments Log'!M:M, "Adjustment Debit") + 'Old Balance Sheet'!AE255</f>
        <v>0</v>
      </c>
      <c r="DW255" s="31">
        <f>IF(MAXIFS('Payments Log'!N:N, 'Payments Log'!L:L, "Approved", 'Payments Log'!M:M, "Credit", 'Payments Log'!B:B, A255) &gt; MAXIFS('Payments Log'!N:N, 'Payments Log'!L:L, "Approved", 'Payments Log'!M:M, "Virtual Credit", 'Payments Log'!B:B, A255), 0, SUMIFS('Payments Log'!D:D, 'Payments Log'!N:N, MAXIFS('Payments Log'!N:N, 'Payments Log'!L:L, "Approved", 'Payments Log'!M:M, "Virtual Credit", 'Payments Log'!B:B, A255)))</f>
        <v>0</v>
      </c>
      <c r="DX255" s="33">
        <f t="shared" si="6"/>
        <v>0</v>
      </c>
      <c r="DY255" s="33">
        <f t="shared" si="7"/>
        <v>0</v>
      </c>
      <c r="DZ255" s="33">
        <f t="shared" si="8"/>
        <v>0</v>
      </c>
      <c r="EA255" s="25" t="str">
        <f>(Sheet1!N255)</f>
        <v>Maharaja Autoworld</v>
      </c>
      <c r="EB255" s="25" t="str">
        <f>(Sheet1!O255)</f>
        <v>1mkGLSaVL5-IAXKq9KqXFgJH64Li9oMA9V0u_seCn1jg</v>
      </c>
      <c r="EC255" s="26" t="str">
        <f>(Sheet1!P255)</f>
        <v>Sub Dealer</v>
      </c>
      <c r="ED255" s="34" t="s">
        <v>13</v>
      </c>
    </row>
    <row r="256">
      <c r="A256" s="26" t="str">
        <f>(Sheet1!A256)</f>
        <v>1zWSCvcfPxAcr86Cn-xiLCzYM42hDpWaMzqQvGvc-Ojw</v>
      </c>
      <c r="B256" s="26" t="str">
        <f>(Sheet1!B256)</f>
        <v>ZEESHAN AUTOMOBILES (CA) - SOHAWAL</v>
      </c>
      <c r="C256" s="34" t="s">
        <v>13</v>
      </c>
      <c r="D256" s="34" t="s">
        <v>72</v>
      </c>
      <c r="E256" s="34" t="s">
        <v>3820</v>
      </c>
      <c r="F256" s="31">
        <v>155.0</v>
      </c>
      <c r="G256" s="34" t="s">
        <v>3818</v>
      </c>
      <c r="H256" s="34">
        <v>100.0</v>
      </c>
      <c r="I256" s="33">
        <f>'Old Balance Sheet'!A256 + 'ACPL Calculations - 1.0'!A256 + 'ACPL Calculations - 2.0'!A256</f>
        <v>0</v>
      </c>
      <c r="J256" s="34" t="s">
        <v>3820</v>
      </c>
      <c r="K256" s="34">
        <v>205.0</v>
      </c>
      <c r="L256" s="34" t="s">
        <v>3818</v>
      </c>
      <c r="M256" s="34">
        <v>100.0</v>
      </c>
      <c r="N256" s="33">
        <f>'Old Balance Sheet'!B256 + 'ACPL Calculations - 1.0'!B256 + 'ACPL Calculations - 2.0'!B256</f>
        <v>0</v>
      </c>
      <c r="O256" s="34" t="s">
        <v>3820</v>
      </c>
      <c r="P256" s="34">
        <v>290.0</v>
      </c>
      <c r="Q256" s="34" t="s">
        <v>3818</v>
      </c>
      <c r="R256" s="34">
        <v>100.0</v>
      </c>
      <c r="S256" s="33">
        <f>'Old Balance Sheet'!C256 + 'ACPL Calculations - 1.0'!C256 + 'ACPL Calculations - 2.0'!C256</f>
        <v>0</v>
      </c>
      <c r="T256" s="34" t="s">
        <v>3820</v>
      </c>
      <c r="U256" s="34">
        <v>375.0</v>
      </c>
      <c r="V256" s="34" t="s">
        <v>3818</v>
      </c>
      <c r="W256" s="34">
        <v>100.0</v>
      </c>
      <c r="X256" s="33">
        <f>'Old Balance Sheet'!D256 + 'ACPL Calculations - 1.0'!D256 + 'ACPL Calculations - 2.0'!D256</f>
        <v>0</v>
      </c>
      <c r="Y256" s="34" t="s">
        <v>3820</v>
      </c>
      <c r="Z256" s="34">
        <v>375.0</v>
      </c>
      <c r="AA256" s="32" t="s">
        <v>3818</v>
      </c>
      <c r="AB256" s="31">
        <v>100.0</v>
      </c>
      <c r="AC256" s="33">
        <f>'Old Balance Sheet'!E256 + 'ACPL Calculations - 1.0'!E256 + 'ACPL Calculations - 2.0'!E256</f>
        <v>0</v>
      </c>
      <c r="AD256" s="34" t="s">
        <v>3820</v>
      </c>
      <c r="AE256" s="34">
        <v>838.99</v>
      </c>
      <c r="AF256" s="32" t="s">
        <v>3818</v>
      </c>
      <c r="AG256" s="31">
        <v>100.0</v>
      </c>
      <c r="AH256" s="33">
        <f>'Old Balance Sheet'!F256 + 'ACPL Calculations - 1.0'!F256 + 'ACPL Calculations - 2.0'!F256</f>
        <v>0</v>
      </c>
      <c r="AI256" s="34" t="s">
        <v>3820</v>
      </c>
      <c r="AJ256" s="34">
        <v>375.0</v>
      </c>
      <c r="AK256" s="32" t="s">
        <v>3818</v>
      </c>
      <c r="AL256" s="31">
        <v>100.0</v>
      </c>
      <c r="AM256" s="33">
        <f>'Old Balance Sheet'!G256 + 'ACPL Calculations - 1.0'!G256 + 'ACPL Calculations - 2.0'!G256</f>
        <v>0</v>
      </c>
      <c r="AN256" s="34" t="s">
        <v>3820</v>
      </c>
      <c r="AO256" s="34">
        <v>290.0</v>
      </c>
      <c r="AP256" s="32" t="s">
        <v>3818</v>
      </c>
      <c r="AQ256" s="31">
        <v>100.0</v>
      </c>
      <c r="AR256" s="33">
        <f>'Old Balance Sheet'!H256 + 'ACPL Calculations - 1.0'!H256 + 'ACPL Calculations - 2.0'!H256</f>
        <v>0</v>
      </c>
      <c r="AS256" s="34" t="s">
        <v>3819</v>
      </c>
      <c r="AT256" s="34">
        <v>838.99</v>
      </c>
      <c r="AU256" s="32" t="s">
        <v>3818</v>
      </c>
      <c r="AV256" s="31">
        <v>100.0</v>
      </c>
      <c r="AW256" s="33">
        <f>'Old Balance Sheet'!I256 + 'ACPL Calculations - 1.0'!I256 + 'ACPL Calculations - 2.0'!I256</f>
        <v>0</v>
      </c>
      <c r="AX256" s="34" t="s">
        <v>3820</v>
      </c>
      <c r="AY256" s="34">
        <v>290.0</v>
      </c>
      <c r="AZ256" s="32" t="s">
        <v>3818</v>
      </c>
      <c r="BA256" s="31">
        <v>100.0</v>
      </c>
      <c r="BB256" s="33">
        <f>'Old Balance Sheet'!J256 + 'ACPL Calculations - 1.0'!J256 + 'ACPL Calculations - 2.0'!J256</f>
        <v>0</v>
      </c>
      <c r="BC256" s="34" t="s">
        <v>3820</v>
      </c>
      <c r="BD256" s="34">
        <v>205.0</v>
      </c>
      <c r="BE256" s="32" t="s">
        <v>3818</v>
      </c>
      <c r="BF256" s="31">
        <v>100.0</v>
      </c>
      <c r="BG256" s="33">
        <f>'Old Balance Sheet'!K256 + 'ACPL Calculations - 1.0'!K256 + 'ACPL Calculations - 2.0'!K256</f>
        <v>0</v>
      </c>
      <c r="BH256" s="34" t="s">
        <v>3820</v>
      </c>
      <c r="BI256" s="34">
        <v>205.0</v>
      </c>
      <c r="BJ256" s="32" t="s">
        <v>3818</v>
      </c>
      <c r="BK256" s="31">
        <v>100.0</v>
      </c>
      <c r="BL256" s="33">
        <f>'Old Balance Sheet'!L256 + 'ACPL Calculations - 1.0'!L256 + 'ACPL Calculations - 2.0'!L256</f>
        <v>0</v>
      </c>
      <c r="CL256" s="33">
        <f t="shared" si="1"/>
        <v>0</v>
      </c>
      <c r="CM256" s="33">
        <f>'Old Balance Sheet'!R256 + 'ACPL Calculations - 1.0'!S256 + 'ACPL Calculations - 2.0'!S256</f>
        <v>0</v>
      </c>
      <c r="CN256" s="33">
        <f>'Old Balance Sheet'!S256 + 'ACPL Calculations - 1.0'!T256 + 'ACPL Calculations - 2.0'!T256</f>
        <v>0</v>
      </c>
      <c r="CO256" s="33">
        <f t="shared" si="2"/>
        <v>0</v>
      </c>
      <c r="CP256" s="33">
        <f>'Old Balance Sheet'!T256 + 'ACPL Calculations - 1.0'!V256 + 'ACPL Calculations - 2.0'!V256</f>
        <v>0</v>
      </c>
      <c r="CQ256" s="33">
        <f>'Old Balance Sheet'!U256 + 'ACPL Calculations - 1.0'!W256 + 'ACPL Calculations - 2.0'!W256</f>
        <v>0</v>
      </c>
      <c r="CR256" s="33">
        <f>'Old Balance Sheet'!V256 + 'ACPL Calculations - 1.0'!X256 + 'ACPL Calculations - 2.0'!X256</f>
        <v>0</v>
      </c>
      <c r="CS256" s="33">
        <f t="shared" si="3"/>
        <v>0</v>
      </c>
      <c r="CT256" s="35"/>
      <c r="CU256" s="35"/>
      <c r="CV256" s="35"/>
      <c r="CW256" s="36">
        <f>'Old Balance Sheet'!W256 + 'ACPL Calculations - 1.0'!Z256 + 'ACPL Calculations - 2.0'!Z256</f>
        <v>0</v>
      </c>
      <c r="CX256" s="36">
        <f>'Old Balance Sheet'!X256 + 'ACPL Calculations - 1.0'!AA256 + 'ACPL Calculations - 2.0'!AA256</f>
        <v>0</v>
      </c>
      <c r="CY256" s="37">
        <v>0.0</v>
      </c>
      <c r="CZ256" s="38">
        <f>'Old Balance Sheet'!Y256 + 'ACPL Calculations - 1.0'!AB256 + 'ACPL Calculations - 2.0'!AB256</f>
        <v>0</v>
      </c>
      <c r="DA256" s="38">
        <f>'Old Balance Sheet'!Z256 + 'ACPL Calculations - 1.0'!AC256 + 'ACPL Calculations - 2.0'!AC256</f>
        <v>0</v>
      </c>
      <c r="DB256" s="38">
        <f>'Old Balance Sheet'!AA256 + 'ACPL Calculations - 1.0'!AD256 + 'ACPL Calculations - 2.0'!AD256</f>
        <v>0</v>
      </c>
      <c r="DC256" s="38">
        <f>'Old Balance Sheet'!AB256 + 'ACPL Calculations - 1.0'!AE256 + 'ACPL Calculations - 2.0'!AE256</f>
        <v>0</v>
      </c>
      <c r="DD256" s="38">
        <f t="shared" si="4"/>
        <v>0</v>
      </c>
      <c r="DE256" s="33">
        <f t="shared" si="5"/>
        <v>0</v>
      </c>
      <c r="DF256" s="35">
        <v>0.0</v>
      </c>
      <c r="DG256" s="35">
        <v>0.0</v>
      </c>
      <c r="DH256" s="35">
        <v>0.0</v>
      </c>
      <c r="DI256" s="35">
        <v>0.0</v>
      </c>
      <c r="DJ256" s="35">
        <v>0.0</v>
      </c>
      <c r="DK256" s="35">
        <v>0.0</v>
      </c>
      <c r="DL256" s="35">
        <v>0.0</v>
      </c>
      <c r="DM256" s="35">
        <v>0.0</v>
      </c>
      <c r="DN256" s="31">
        <v>0.0</v>
      </c>
      <c r="DO256" s="31">
        <v>0.0</v>
      </c>
      <c r="DP256" s="31">
        <v>0.0</v>
      </c>
      <c r="DQ256" s="31">
        <v>0.0</v>
      </c>
      <c r="DR256" s="31">
        <v>0.0</v>
      </c>
      <c r="DS256" s="31">
        <v>0.0</v>
      </c>
      <c r="DT256" s="31">
        <f>'Old Balance Sheet'!AC256</f>
        <v>0</v>
      </c>
      <c r="DU256" s="31">
        <f>DT256 + SUMIFS('Payments Log'!D:D, 'Payments Log'!B:B, A256, 'Payments Log'!L:L, "Approved", 'Payments Log'!M:M, "Credit") + 'Old Balance Sheet'!AD256 - 'Old Balance Sheet'!AC256</f>
        <v>0</v>
      </c>
      <c r="DV256" s="31">
        <f>SUMIFS('Payments Log'!D:D, 'Payments Log'!B:B, A256, 'Payments Log'!L:L, "Approved", 'Payments Log'!M:M, "Adjustment Credit") - SUMIFS('Payments Log'!D:D, 'Payments Log'!B:B, A256, 'Payments Log'!L:L, "Approved", 'Payments Log'!M:M, "Adjustment Debit") + 'Old Balance Sheet'!AE256</f>
        <v>0</v>
      </c>
      <c r="DW256" s="31">
        <f>IF(MAXIFS('Payments Log'!N:N, 'Payments Log'!L:L, "Approved", 'Payments Log'!M:M, "Credit", 'Payments Log'!B:B, A256) &gt; MAXIFS('Payments Log'!N:N, 'Payments Log'!L:L, "Approved", 'Payments Log'!M:M, "Virtual Credit", 'Payments Log'!B:B, A256), 0, SUMIFS('Payments Log'!D:D, 'Payments Log'!N:N, MAXIFS('Payments Log'!N:N, 'Payments Log'!L:L, "Approved", 'Payments Log'!M:M, "Virtual Credit", 'Payments Log'!B:B, A256)))</f>
        <v>0</v>
      </c>
      <c r="DX256" s="33">
        <f t="shared" si="6"/>
        <v>0</v>
      </c>
      <c r="DY256" s="33">
        <f t="shared" si="7"/>
        <v>0</v>
      </c>
      <c r="DZ256" s="33">
        <f t="shared" si="8"/>
        <v>0</v>
      </c>
      <c r="EA256" s="25" t="str">
        <f>(Sheet1!N256)</f>
        <v>Chandra Automobiles - Faizabad</v>
      </c>
      <c r="EB256" s="25" t="str">
        <f>(Sheet1!O256)</f>
        <v>1TMTMDBTSLXzi0POas5HDprui-sp3TCVvRYWE8buap-0</v>
      </c>
      <c r="EC256" s="26" t="str">
        <f>(Sheet1!P256)</f>
        <v>Sub Dealer</v>
      </c>
      <c r="ED256" s="34" t="s">
        <v>13</v>
      </c>
    </row>
    <row r="257">
      <c r="A257" s="26" t="str">
        <f>(Sheet1!A257)</f>
        <v>1tYhmR4lNj1YHeqiigs35s15UxKEVLcMXrnIYSlOkRQk</v>
      </c>
      <c r="B257" s="26" t="str">
        <f>(Sheet1!B257)</f>
        <v>SANDEEP HERO (VA) - INAYAT NAGAR</v>
      </c>
      <c r="C257" s="34" t="s">
        <v>13</v>
      </c>
      <c r="D257" s="34" t="s">
        <v>72</v>
      </c>
      <c r="E257" s="34" t="s">
        <v>3820</v>
      </c>
      <c r="F257" s="31">
        <v>155.0</v>
      </c>
      <c r="G257" s="34" t="s">
        <v>3818</v>
      </c>
      <c r="H257" s="34">
        <v>100.0</v>
      </c>
      <c r="I257" s="33">
        <f>'Old Balance Sheet'!A257 + 'ACPL Calculations - 1.0'!A257 + 'ACPL Calculations - 2.0'!A257</f>
        <v>0</v>
      </c>
      <c r="J257" s="34" t="s">
        <v>3820</v>
      </c>
      <c r="K257" s="34">
        <v>175.0</v>
      </c>
      <c r="L257" s="34" t="s">
        <v>3818</v>
      </c>
      <c r="M257" s="34">
        <v>100.0</v>
      </c>
      <c r="N257" s="33">
        <f>'Old Balance Sheet'!B257 + 'ACPL Calculations - 1.0'!B257 + 'ACPL Calculations - 2.0'!B257</f>
        <v>0</v>
      </c>
      <c r="O257" s="34" t="s">
        <v>3820</v>
      </c>
      <c r="P257" s="34">
        <v>290.0</v>
      </c>
      <c r="Q257" s="34" t="s">
        <v>3818</v>
      </c>
      <c r="R257" s="34">
        <v>100.0</v>
      </c>
      <c r="S257" s="33">
        <f>'Old Balance Sheet'!C257 + 'ACPL Calculations - 1.0'!C257 + 'ACPL Calculations - 2.0'!C257</f>
        <v>0</v>
      </c>
      <c r="T257" s="34" t="s">
        <v>3820</v>
      </c>
      <c r="U257" s="34">
        <v>375.0</v>
      </c>
      <c r="V257" s="34" t="s">
        <v>3818</v>
      </c>
      <c r="W257" s="34">
        <v>100.0</v>
      </c>
      <c r="X257" s="33">
        <f>'Old Balance Sheet'!D257 + 'ACPL Calculations - 1.0'!D257 + 'ACPL Calculations - 2.0'!D257</f>
        <v>0</v>
      </c>
      <c r="Y257" s="34" t="s">
        <v>3820</v>
      </c>
      <c r="Z257" s="34">
        <v>375.0</v>
      </c>
      <c r="AA257" s="32" t="s">
        <v>3818</v>
      </c>
      <c r="AB257" s="31">
        <v>100.0</v>
      </c>
      <c r="AC257" s="33">
        <f>'Old Balance Sheet'!E257 + 'ACPL Calculations - 1.0'!E257 + 'ACPL Calculations - 2.0'!E257</f>
        <v>0</v>
      </c>
      <c r="AD257" s="34" t="s">
        <v>3820</v>
      </c>
      <c r="AE257" s="34">
        <v>838.99</v>
      </c>
      <c r="AF257" s="32" t="s">
        <v>3818</v>
      </c>
      <c r="AG257" s="31">
        <v>100.0</v>
      </c>
      <c r="AH257" s="33">
        <f>'Old Balance Sheet'!F257 + 'ACPL Calculations - 1.0'!F257 + 'ACPL Calculations - 2.0'!F257</f>
        <v>0</v>
      </c>
      <c r="AI257" s="34" t="s">
        <v>3820</v>
      </c>
      <c r="AJ257" s="34">
        <v>375.0</v>
      </c>
      <c r="AK257" s="32" t="s">
        <v>3818</v>
      </c>
      <c r="AL257" s="31">
        <v>100.0</v>
      </c>
      <c r="AM257" s="33">
        <f>'Old Balance Sheet'!G257 + 'ACPL Calculations - 1.0'!G257 + 'ACPL Calculations - 2.0'!G257</f>
        <v>0</v>
      </c>
      <c r="AN257" s="34" t="s">
        <v>3820</v>
      </c>
      <c r="AO257" s="34">
        <v>290.0</v>
      </c>
      <c r="AP257" s="32" t="s">
        <v>3818</v>
      </c>
      <c r="AQ257" s="31">
        <v>100.0</v>
      </c>
      <c r="AR257" s="33">
        <f>'Old Balance Sheet'!H257 + 'ACPL Calculations - 1.0'!H257 + 'ACPL Calculations - 2.0'!H257</f>
        <v>0</v>
      </c>
      <c r="AS257" s="34" t="s">
        <v>3819</v>
      </c>
      <c r="AT257" s="34">
        <v>838.99</v>
      </c>
      <c r="AU257" s="32" t="s">
        <v>3818</v>
      </c>
      <c r="AV257" s="31">
        <v>100.0</v>
      </c>
      <c r="AW257" s="33">
        <f>'Old Balance Sheet'!I257 + 'ACPL Calculations - 1.0'!I257 + 'ACPL Calculations - 2.0'!I257</f>
        <v>0</v>
      </c>
      <c r="AX257" s="34" t="s">
        <v>3820</v>
      </c>
      <c r="AY257" s="34">
        <v>290.0</v>
      </c>
      <c r="AZ257" s="32" t="s">
        <v>3818</v>
      </c>
      <c r="BA257" s="31">
        <v>100.0</v>
      </c>
      <c r="BB257" s="33">
        <f>'Old Balance Sheet'!J257 + 'ACPL Calculations - 1.0'!J257 + 'ACPL Calculations - 2.0'!J257</f>
        <v>0</v>
      </c>
      <c r="BC257" s="34" t="s">
        <v>3820</v>
      </c>
      <c r="BD257" s="34">
        <v>205.0</v>
      </c>
      <c r="BE257" s="32" t="s">
        <v>3818</v>
      </c>
      <c r="BF257" s="31">
        <v>100.0</v>
      </c>
      <c r="BG257" s="33">
        <f>'Old Balance Sheet'!K257 + 'ACPL Calculations - 1.0'!K257 + 'ACPL Calculations - 2.0'!K257</f>
        <v>0</v>
      </c>
      <c r="BH257" s="34" t="s">
        <v>3820</v>
      </c>
      <c r="BI257" s="34">
        <v>205.0</v>
      </c>
      <c r="BJ257" s="32" t="s">
        <v>3818</v>
      </c>
      <c r="BK257" s="31">
        <v>100.0</v>
      </c>
      <c r="BL257" s="33">
        <f>'Old Balance Sheet'!L257 + 'ACPL Calculations - 1.0'!L257 + 'ACPL Calculations - 2.0'!L257</f>
        <v>0</v>
      </c>
      <c r="CL257" s="33">
        <f t="shared" si="1"/>
        <v>0</v>
      </c>
      <c r="CM257" s="33">
        <f>'Old Balance Sheet'!R257 + 'ACPL Calculations - 1.0'!S257 + 'ACPL Calculations - 2.0'!S257</f>
        <v>0</v>
      </c>
      <c r="CN257" s="33">
        <f>'Old Balance Sheet'!S257 + 'ACPL Calculations - 1.0'!T257 + 'ACPL Calculations - 2.0'!T257</f>
        <v>0</v>
      </c>
      <c r="CO257" s="33">
        <f t="shared" si="2"/>
        <v>0</v>
      </c>
      <c r="CP257" s="33">
        <f>'Old Balance Sheet'!T257 + 'ACPL Calculations - 1.0'!V257 + 'ACPL Calculations - 2.0'!V257</f>
        <v>0</v>
      </c>
      <c r="CQ257" s="33">
        <f>'Old Balance Sheet'!U257 + 'ACPL Calculations - 1.0'!W257 + 'ACPL Calculations - 2.0'!W257</f>
        <v>0</v>
      </c>
      <c r="CR257" s="33">
        <f>'Old Balance Sheet'!V257 + 'ACPL Calculations - 1.0'!X257 + 'ACPL Calculations - 2.0'!X257</f>
        <v>0</v>
      </c>
      <c r="CS257" s="33">
        <f t="shared" si="3"/>
        <v>0</v>
      </c>
      <c r="CT257" s="35"/>
      <c r="CU257" s="35"/>
      <c r="CV257" s="35"/>
      <c r="CW257" s="36">
        <f>'Old Balance Sheet'!W257 + 'ACPL Calculations - 1.0'!Z257 + 'ACPL Calculations - 2.0'!Z257</f>
        <v>0</v>
      </c>
      <c r="CX257" s="36">
        <f>'Old Balance Sheet'!X257 + 'ACPL Calculations - 1.0'!AA257 + 'ACPL Calculations - 2.0'!AA257</f>
        <v>0</v>
      </c>
      <c r="CY257" s="37">
        <v>0.0</v>
      </c>
      <c r="CZ257" s="38">
        <f>'Old Balance Sheet'!Y257 + 'ACPL Calculations - 1.0'!AB257 + 'ACPL Calculations - 2.0'!AB257</f>
        <v>0</v>
      </c>
      <c r="DA257" s="38">
        <f>'Old Balance Sheet'!Z257 + 'ACPL Calculations - 1.0'!AC257 + 'ACPL Calculations - 2.0'!AC257</f>
        <v>0</v>
      </c>
      <c r="DB257" s="38">
        <f>'Old Balance Sheet'!AA257 + 'ACPL Calculations - 1.0'!AD257 + 'ACPL Calculations - 2.0'!AD257</f>
        <v>0</v>
      </c>
      <c r="DC257" s="38">
        <f>'Old Balance Sheet'!AB257 + 'ACPL Calculations - 1.0'!AE257 + 'ACPL Calculations - 2.0'!AE257</f>
        <v>0</v>
      </c>
      <c r="DD257" s="38">
        <f t="shared" si="4"/>
        <v>0</v>
      </c>
      <c r="DE257" s="33">
        <f t="shared" si="5"/>
        <v>0</v>
      </c>
      <c r="DF257" s="35">
        <v>0.0</v>
      </c>
      <c r="DG257" s="35">
        <v>0.0</v>
      </c>
      <c r="DH257" s="35">
        <v>0.0</v>
      </c>
      <c r="DI257" s="35">
        <v>0.0</v>
      </c>
      <c r="DJ257" s="35">
        <v>0.0</v>
      </c>
      <c r="DK257" s="35">
        <v>0.0</v>
      </c>
      <c r="DL257" s="35">
        <v>0.0</v>
      </c>
      <c r="DM257" s="35">
        <v>0.0</v>
      </c>
      <c r="DN257" s="31">
        <v>0.0</v>
      </c>
      <c r="DO257" s="31">
        <v>0.0</v>
      </c>
      <c r="DP257" s="31">
        <v>0.0</v>
      </c>
      <c r="DQ257" s="31">
        <v>0.0</v>
      </c>
      <c r="DR257" s="31">
        <v>0.0</v>
      </c>
      <c r="DS257" s="31">
        <v>0.0</v>
      </c>
      <c r="DT257" s="31">
        <f>'Old Balance Sheet'!AC257</f>
        <v>0</v>
      </c>
      <c r="DU257" s="31">
        <f>DT257 + SUMIFS('Payments Log'!D:D, 'Payments Log'!B:B, A257, 'Payments Log'!L:L, "Approved", 'Payments Log'!M:M, "Credit") + 'Old Balance Sheet'!AD257 - 'Old Balance Sheet'!AC257</f>
        <v>0</v>
      </c>
      <c r="DV257" s="31">
        <f>SUMIFS('Payments Log'!D:D, 'Payments Log'!B:B, A257, 'Payments Log'!L:L, "Approved", 'Payments Log'!M:M, "Adjustment Credit") - SUMIFS('Payments Log'!D:D, 'Payments Log'!B:B, A257, 'Payments Log'!L:L, "Approved", 'Payments Log'!M:M, "Adjustment Debit") + 'Old Balance Sheet'!AE257</f>
        <v>0</v>
      </c>
      <c r="DW257" s="31">
        <f>IF(MAXIFS('Payments Log'!N:N, 'Payments Log'!L:L, "Approved", 'Payments Log'!M:M, "Credit", 'Payments Log'!B:B, A257) &gt; MAXIFS('Payments Log'!N:N, 'Payments Log'!L:L, "Approved", 'Payments Log'!M:M, "Virtual Credit", 'Payments Log'!B:B, A257), 0, SUMIFS('Payments Log'!D:D, 'Payments Log'!N:N, MAXIFS('Payments Log'!N:N, 'Payments Log'!L:L, "Approved", 'Payments Log'!M:M, "Virtual Credit", 'Payments Log'!B:B, A257)))</f>
        <v>0</v>
      </c>
      <c r="DX257" s="33">
        <f t="shared" si="6"/>
        <v>0</v>
      </c>
      <c r="DY257" s="33">
        <f t="shared" si="7"/>
        <v>0</v>
      </c>
      <c r="DZ257" s="33">
        <f t="shared" si="8"/>
        <v>0</v>
      </c>
      <c r="EA257" s="25" t="str">
        <f>(Sheet1!N257)</f>
        <v>Vanshadi Motors - Faizabad</v>
      </c>
      <c r="EB257" s="25" t="str">
        <f>(Sheet1!O257)</f>
        <v>1S2YNz2hsIyDIwT68EF1VR8O-D7oanl9HQJpcApwJPG4</v>
      </c>
      <c r="EC257" s="26" t="str">
        <f>(Sheet1!P257)</f>
        <v>Sub Dealer</v>
      </c>
      <c r="ED257" s="34" t="s">
        <v>13</v>
      </c>
    </row>
    <row r="258">
      <c r="A258" s="26" t="str">
        <f>(Sheet1!A258)</f>
        <v>1oG8KJLWAlMywHu47lg3UpNHq7GaTnmFRLHM1WnMwroU</v>
      </c>
      <c r="B258" s="26" t="str">
        <f>(Sheet1!B258)</f>
        <v>RAHUL AUTOSALES (VA) - LALUWA PUR</v>
      </c>
      <c r="C258" s="34" t="s">
        <v>13</v>
      </c>
      <c r="D258" s="34" t="s">
        <v>72</v>
      </c>
      <c r="E258" s="34" t="s">
        <v>3820</v>
      </c>
      <c r="F258" s="31">
        <v>155.0</v>
      </c>
      <c r="G258" s="34" t="s">
        <v>3818</v>
      </c>
      <c r="H258" s="34">
        <v>100.0</v>
      </c>
      <c r="I258" s="33">
        <f>'Old Balance Sheet'!A258 + 'ACPL Calculations - 1.0'!A258 + 'ACPL Calculations - 2.0'!A258</f>
        <v>0</v>
      </c>
      <c r="J258" s="34" t="s">
        <v>3820</v>
      </c>
      <c r="K258" s="34">
        <v>175.0</v>
      </c>
      <c r="L258" s="34" t="s">
        <v>3818</v>
      </c>
      <c r="M258" s="34">
        <v>100.0</v>
      </c>
      <c r="N258" s="33">
        <f>'Old Balance Sheet'!B258 + 'ACPL Calculations - 1.0'!B258 + 'ACPL Calculations - 2.0'!B258</f>
        <v>0</v>
      </c>
      <c r="O258" s="34" t="s">
        <v>3820</v>
      </c>
      <c r="P258" s="34">
        <v>290.0</v>
      </c>
      <c r="Q258" s="34" t="s">
        <v>3818</v>
      </c>
      <c r="R258" s="34">
        <v>100.0</v>
      </c>
      <c r="S258" s="33">
        <f>'Old Balance Sheet'!C258 + 'ACPL Calculations - 1.0'!C258 + 'ACPL Calculations - 2.0'!C258</f>
        <v>0</v>
      </c>
      <c r="T258" s="34" t="s">
        <v>3820</v>
      </c>
      <c r="U258" s="34">
        <v>375.0</v>
      </c>
      <c r="V258" s="34" t="s">
        <v>3818</v>
      </c>
      <c r="W258" s="34">
        <v>100.0</v>
      </c>
      <c r="X258" s="33">
        <f>'Old Balance Sheet'!D258 + 'ACPL Calculations - 1.0'!D258 + 'ACPL Calculations - 2.0'!D258</f>
        <v>0</v>
      </c>
      <c r="Y258" s="34" t="s">
        <v>3820</v>
      </c>
      <c r="Z258" s="34">
        <v>375.0</v>
      </c>
      <c r="AA258" s="32" t="s">
        <v>3818</v>
      </c>
      <c r="AB258" s="31">
        <v>100.0</v>
      </c>
      <c r="AC258" s="33">
        <f>'Old Balance Sheet'!E258 + 'ACPL Calculations - 1.0'!E258 + 'ACPL Calculations - 2.0'!E258</f>
        <v>0</v>
      </c>
      <c r="AD258" s="34" t="s">
        <v>3820</v>
      </c>
      <c r="AE258" s="34">
        <v>838.99</v>
      </c>
      <c r="AF258" s="32" t="s">
        <v>3818</v>
      </c>
      <c r="AG258" s="31">
        <v>100.0</v>
      </c>
      <c r="AH258" s="33">
        <f>'Old Balance Sheet'!F258 + 'ACPL Calculations - 1.0'!F258 + 'ACPL Calculations - 2.0'!F258</f>
        <v>0</v>
      </c>
      <c r="AI258" s="34" t="s">
        <v>3820</v>
      </c>
      <c r="AJ258" s="34">
        <v>375.0</v>
      </c>
      <c r="AK258" s="32" t="s">
        <v>3818</v>
      </c>
      <c r="AL258" s="31">
        <v>100.0</v>
      </c>
      <c r="AM258" s="33">
        <f>'Old Balance Sheet'!G258 + 'ACPL Calculations - 1.0'!G258 + 'ACPL Calculations - 2.0'!G258</f>
        <v>0</v>
      </c>
      <c r="AN258" s="34" t="s">
        <v>3820</v>
      </c>
      <c r="AO258" s="34">
        <v>290.0</v>
      </c>
      <c r="AP258" s="32" t="s">
        <v>3818</v>
      </c>
      <c r="AQ258" s="31">
        <v>100.0</v>
      </c>
      <c r="AR258" s="33">
        <f>'Old Balance Sheet'!H258 + 'ACPL Calculations - 1.0'!H258 + 'ACPL Calculations - 2.0'!H258</f>
        <v>0</v>
      </c>
      <c r="AS258" s="34" t="s">
        <v>3819</v>
      </c>
      <c r="AT258" s="34">
        <v>838.99</v>
      </c>
      <c r="AU258" s="32" t="s">
        <v>3818</v>
      </c>
      <c r="AV258" s="31">
        <v>100.0</v>
      </c>
      <c r="AW258" s="33">
        <f>'Old Balance Sheet'!I258 + 'ACPL Calculations - 1.0'!I258 + 'ACPL Calculations - 2.0'!I258</f>
        <v>0</v>
      </c>
      <c r="AX258" s="34" t="s">
        <v>3820</v>
      </c>
      <c r="AY258" s="34">
        <v>290.0</v>
      </c>
      <c r="AZ258" s="32" t="s">
        <v>3818</v>
      </c>
      <c r="BA258" s="31">
        <v>100.0</v>
      </c>
      <c r="BB258" s="33">
        <f>'Old Balance Sheet'!J258 + 'ACPL Calculations - 1.0'!J258 + 'ACPL Calculations - 2.0'!J258</f>
        <v>0</v>
      </c>
      <c r="BC258" s="34" t="s">
        <v>3820</v>
      </c>
      <c r="BD258" s="34">
        <v>205.0</v>
      </c>
      <c r="BE258" s="32" t="s">
        <v>3818</v>
      </c>
      <c r="BF258" s="31">
        <v>100.0</v>
      </c>
      <c r="BG258" s="33">
        <f>'Old Balance Sheet'!K258 + 'ACPL Calculations - 1.0'!K258 + 'ACPL Calculations - 2.0'!K258</f>
        <v>0</v>
      </c>
      <c r="BH258" s="34" t="s">
        <v>3820</v>
      </c>
      <c r="BI258" s="34">
        <v>205.0</v>
      </c>
      <c r="BJ258" s="32" t="s">
        <v>3818</v>
      </c>
      <c r="BK258" s="31">
        <v>100.0</v>
      </c>
      <c r="BL258" s="33">
        <f>'Old Balance Sheet'!L258 + 'ACPL Calculations - 1.0'!L258 + 'ACPL Calculations - 2.0'!L258</f>
        <v>0</v>
      </c>
      <c r="CL258" s="33">
        <f t="shared" si="1"/>
        <v>0</v>
      </c>
      <c r="CM258" s="33">
        <f>'Old Balance Sheet'!R258 + 'ACPL Calculations - 1.0'!S258 + 'ACPL Calculations - 2.0'!S258</f>
        <v>0</v>
      </c>
      <c r="CN258" s="33">
        <f>'Old Balance Sheet'!S258 + 'ACPL Calculations - 1.0'!T258 + 'ACPL Calculations - 2.0'!T258</f>
        <v>0</v>
      </c>
      <c r="CO258" s="33">
        <f t="shared" si="2"/>
        <v>0</v>
      </c>
      <c r="CP258" s="33">
        <f>'Old Balance Sheet'!T258 + 'ACPL Calculations - 1.0'!V258 + 'ACPL Calculations - 2.0'!V258</f>
        <v>0</v>
      </c>
      <c r="CQ258" s="33">
        <f>'Old Balance Sheet'!U258 + 'ACPL Calculations - 1.0'!W258 + 'ACPL Calculations - 2.0'!W258</f>
        <v>0</v>
      </c>
      <c r="CR258" s="33">
        <f>'Old Balance Sheet'!V258 + 'ACPL Calculations - 1.0'!X258 + 'ACPL Calculations - 2.0'!X258</f>
        <v>0</v>
      </c>
      <c r="CS258" s="33">
        <f t="shared" si="3"/>
        <v>0</v>
      </c>
      <c r="CT258" s="35"/>
      <c r="CU258" s="35"/>
      <c r="CV258" s="35"/>
      <c r="CW258" s="36">
        <f>'Old Balance Sheet'!W258 + 'ACPL Calculations - 1.0'!Z258 + 'ACPL Calculations - 2.0'!Z258</f>
        <v>0</v>
      </c>
      <c r="CX258" s="36">
        <f>'Old Balance Sheet'!X258 + 'ACPL Calculations - 1.0'!AA258 + 'ACPL Calculations - 2.0'!AA258</f>
        <v>0</v>
      </c>
      <c r="CY258" s="37">
        <v>0.0</v>
      </c>
      <c r="CZ258" s="38">
        <f>'Old Balance Sheet'!Y258 + 'ACPL Calculations - 1.0'!AB258 + 'ACPL Calculations - 2.0'!AB258</f>
        <v>0</v>
      </c>
      <c r="DA258" s="38">
        <f>'Old Balance Sheet'!Z258 + 'ACPL Calculations - 1.0'!AC258 + 'ACPL Calculations - 2.0'!AC258</f>
        <v>0</v>
      </c>
      <c r="DB258" s="38">
        <f>'Old Balance Sheet'!AA258 + 'ACPL Calculations - 1.0'!AD258 + 'ACPL Calculations - 2.0'!AD258</f>
        <v>0</v>
      </c>
      <c r="DC258" s="38">
        <f>'Old Balance Sheet'!AB258 + 'ACPL Calculations - 1.0'!AE258 + 'ACPL Calculations - 2.0'!AE258</f>
        <v>0</v>
      </c>
      <c r="DD258" s="38">
        <f t="shared" si="4"/>
        <v>0</v>
      </c>
      <c r="DE258" s="33">
        <f t="shared" si="5"/>
        <v>0</v>
      </c>
      <c r="DF258" s="35">
        <v>0.0</v>
      </c>
      <c r="DG258" s="35">
        <v>0.0</v>
      </c>
      <c r="DH258" s="35">
        <v>0.0</v>
      </c>
      <c r="DI258" s="35">
        <v>0.0</v>
      </c>
      <c r="DJ258" s="35">
        <v>0.0</v>
      </c>
      <c r="DK258" s="35">
        <v>0.0</v>
      </c>
      <c r="DL258" s="35">
        <v>0.0</v>
      </c>
      <c r="DM258" s="35">
        <v>0.0</v>
      </c>
      <c r="DN258" s="31">
        <v>0.0</v>
      </c>
      <c r="DO258" s="31">
        <v>0.0</v>
      </c>
      <c r="DP258" s="31">
        <v>0.0</v>
      </c>
      <c r="DQ258" s="31">
        <v>0.0</v>
      </c>
      <c r="DR258" s="31">
        <v>0.0</v>
      </c>
      <c r="DS258" s="31">
        <v>0.0</v>
      </c>
      <c r="DT258" s="31">
        <f>'Old Balance Sheet'!AC258</f>
        <v>0</v>
      </c>
      <c r="DU258" s="31">
        <f>DT258 + SUMIFS('Payments Log'!D:D, 'Payments Log'!B:B, A258, 'Payments Log'!L:L, "Approved", 'Payments Log'!M:M, "Credit") + 'Old Balance Sheet'!AD258 - 'Old Balance Sheet'!AC258</f>
        <v>0</v>
      </c>
      <c r="DV258" s="31">
        <f>SUMIFS('Payments Log'!D:D, 'Payments Log'!B:B, A258, 'Payments Log'!L:L, "Approved", 'Payments Log'!M:M, "Adjustment Credit") - SUMIFS('Payments Log'!D:D, 'Payments Log'!B:B, A258, 'Payments Log'!L:L, "Approved", 'Payments Log'!M:M, "Adjustment Debit") + 'Old Balance Sheet'!AE258</f>
        <v>0</v>
      </c>
      <c r="DW258" s="31">
        <f>IF(MAXIFS('Payments Log'!N:N, 'Payments Log'!L:L, "Approved", 'Payments Log'!M:M, "Credit", 'Payments Log'!B:B, A258) &gt; MAXIFS('Payments Log'!N:N, 'Payments Log'!L:L, "Approved", 'Payments Log'!M:M, "Virtual Credit", 'Payments Log'!B:B, A258), 0, SUMIFS('Payments Log'!D:D, 'Payments Log'!N:N, MAXIFS('Payments Log'!N:N, 'Payments Log'!L:L, "Approved", 'Payments Log'!M:M, "Virtual Credit", 'Payments Log'!B:B, A258)))</f>
        <v>0</v>
      </c>
      <c r="DX258" s="33">
        <f t="shared" si="6"/>
        <v>0</v>
      </c>
      <c r="DY258" s="33">
        <f t="shared" si="7"/>
        <v>0</v>
      </c>
      <c r="DZ258" s="33">
        <f t="shared" si="8"/>
        <v>0</v>
      </c>
      <c r="EA258" s="25" t="str">
        <f>(Sheet1!N258)</f>
        <v>Vanshadi Motors - Faizabad</v>
      </c>
      <c r="EB258" s="25" t="str">
        <f>(Sheet1!O258)</f>
        <v>1S2YNz2hsIyDIwT68EF1VR8O-D7oanl9HQJpcApwJPG4</v>
      </c>
      <c r="EC258" s="26" t="str">
        <f>(Sheet1!P258)</f>
        <v>Sub Dealer</v>
      </c>
      <c r="ED258" s="34" t="s">
        <v>13</v>
      </c>
    </row>
    <row r="259">
      <c r="A259" s="26" t="str">
        <f>(Sheet1!A259)</f>
        <v>18YeFXhbwOry3OVJYZRIqhn6Omyqh0U-ahQsWUD0TmFQ</v>
      </c>
      <c r="B259" s="26" t="str">
        <f>(Sheet1!B259)</f>
        <v>SILVER WHEELS - KANPUR</v>
      </c>
      <c r="C259" s="34" t="s">
        <v>13</v>
      </c>
      <c r="D259" s="34" t="s">
        <v>72</v>
      </c>
      <c r="E259" s="34" t="s">
        <v>3817</v>
      </c>
      <c r="F259" s="34">
        <v>165.0</v>
      </c>
      <c r="G259" s="34" t="s">
        <v>3818</v>
      </c>
      <c r="H259" s="34">
        <v>100.0</v>
      </c>
      <c r="I259" s="33">
        <f>'Old Balance Sheet'!A259 + 'ACPL Calculations - 1.0'!A259 + 'ACPL Calculations - 2.0'!A259</f>
        <v>247</v>
      </c>
      <c r="J259" s="34" t="s">
        <v>3817</v>
      </c>
      <c r="K259" s="34">
        <v>205.0</v>
      </c>
      <c r="L259" s="34" t="s">
        <v>3818</v>
      </c>
      <c r="M259" s="34">
        <v>100.0</v>
      </c>
      <c r="N259" s="33">
        <f>'Old Balance Sheet'!B259 + 'ACPL Calculations - 1.0'!B259 + 'ACPL Calculations - 2.0'!B259</f>
        <v>0</v>
      </c>
      <c r="O259" s="34" t="s">
        <v>3817</v>
      </c>
      <c r="P259" s="34">
        <v>290.0</v>
      </c>
      <c r="Q259" s="34" t="s">
        <v>3818</v>
      </c>
      <c r="R259" s="34">
        <v>100.0</v>
      </c>
      <c r="S259" s="33">
        <f>'Old Balance Sheet'!C259 + 'ACPL Calculations - 1.0'!C259 + 'ACPL Calculations - 2.0'!C259</f>
        <v>0</v>
      </c>
      <c r="T259" s="34" t="s">
        <v>3817</v>
      </c>
      <c r="U259" s="34">
        <v>375.0</v>
      </c>
      <c r="V259" s="34" t="s">
        <v>3818</v>
      </c>
      <c r="W259" s="34">
        <v>100.0</v>
      </c>
      <c r="X259" s="33">
        <f>'Old Balance Sheet'!D259 + 'ACPL Calculations - 1.0'!D259 + 'ACPL Calculations - 2.0'!D259</f>
        <v>0</v>
      </c>
      <c r="Y259" s="34" t="s">
        <v>3817</v>
      </c>
      <c r="Z259" s="34">
        <v>460.0</v>
      </c>
      <c r="AA259" s="32" t="s">
        <v>3818</v>
      </c>
      <c r="AB259" s="31">
        <v>100.0</v>
      </c>
      <c r="AC259" s="33">
        <f>'Old Balance Sheet'!E259 + 'ACPL Calculations - 1.0'!E259 + 'ACPL Calculations - 2.0'!E259</f>
        <v>0</v>
      </c>
      <c r="AD259" s="34" t="s">
        <v>3817</v>
      </c>
      <c r="AE259" s="34">
        <v>838.99</v>
      </c>
      <c r="AF259" s="32" t="s">
        <v>3818</v>
      </c>
      <c r="AG259" s="31">
        <v>100.0</v>
      </c>
      <c r="AH259" s="33">
        <f>'Old Balance Sheet'!F259 + 'ACPL Calculations - 1.0'!F259 + 'ACPL Calculations - 2.0'!F259</f>
        <v>0</v>
      </c>
      <c r="AI259" s="34" t="s">
        <v>3817</v>
      </c>
      <c r="AJ259" s="34">
        <v>375.0</v>
      </c>
      <c r="AK259" s="32" t="s">
        <v>3818</v>
      </c>
      <c r="AL259" s="31">
        <v>100.0</v>
      </c>
      <c r="AM259" s="33">
        <f>'Old Balance Sheet'!G259 + 'ACPL Calculations - 1.0'!G259 + 'ACPL Calculations - 2.0'!G259</f>
        <v>0</v>
      </c>
      <c r="AN259" s="34" t="s">
        <v>3817</v>
      </c>
      <c r="AO259" s="34">
        <v>290.0</v>
      </c>
      <c r="AP259" s="32" t="s">
        <v>3818</v>
      </c>
      <c r="AQ259" s="31">
        <v>100.0</v>
      </c>
      <c r="AR259" s="33">
        <f>'Old Balance Sheet'!H259 + 'ACPL Calculations - 1.0'!H259 + 'ACPL Calculations - 2.0'!H259</f>
        <v>0</v>
      </c>
      <c r="AS259" s="34" t="s">
        <v>3819</v>
      </c>
      <c r="AT259" s="34">
        <v>838.99</v>
      </c>
      <c r="AU259" s="32" t="s">
        <v>3818</v>
      </c>
      <c r="AV259" s="31">
        <v>100.0</v>
      </c>
      <c r="AW259" s="33">
        <f>'Old Balance Sheet'!I259 + 'ACPL Calculations - 1.0'!I259 + 'ACPL Calculations - 2.0'!I259</f>
        <v>0</v>
      </c>
      <c r="AX259" s="34" t="s">
        <v>3817</v>
      </c>
      <c r="AY259" s="34">
        <v>290.0</v>
      </c>
      <c r="AZ259" s="32" t="s">
        <v>3818</v>
      </c>
      <c r="BA259" s="31">
        <v>100.0</v>
      </c>
      <c r="BB259" s="33">
        <f>'Old Balance Sheet'!J259 + 'ACPL Calculations - 1.0'!J259 + 'ACPL Calculations - 2.0'!J259</f>
        <v>0</v>
      </c>
      <c r="BC259" s="34" t="s">
        <v>3817</v>
      </c>
      <c r="BD259" s="34">
        <v>205.0</v>
      </c>
      <c r="BE259" s="32" t="s">
        <v>3818</v>
      </c>
      <c r="BF259" s="31">
        <v>100.0</v>
      </c>
      <c r="BG259" s="33">
        <f>'Old Balance Sheet'!K259 + 'ACPL Calculations - 1.0'!K259 + 'ACPL Calculations - 2.0'!K259</f>
        <v>0</v>
      </c>
      <c r="BH259" s="34" t="s">
        <v>3817</v>
      </c>
      <c r="BI259" s="34">
        <v>205.0</v>
      </c>
      <c r="BJ259" s="32" t="s">
        <v>3818</v>
      </c>
      <c r="BK259" s="31">
        <v>100.0</v>
      </c>
      <c r="BL259" s="33">
        <f>'Old Balance Sheet'!L259 + 'ACPL Calculations - 1.0'!L259 + 'ACPL Calculations - 2.0'!L259</f>
        <v>0</v>
      </c>
      <c r="CL259" s="33">
        <f t="shared" si="1"/>
        <v>247</v>
      </c>
      <c r="CM259" s="33">
        <f>'Old Balance Sheet'!R259 + 'ACPL Calculations - 1.0'!S259 + 'ACPL Calculations - 2.0'!S259</f>
        <v>96330</v>
      </c>
      <c r="CN259" s="33">
        <f>'Old Balance Sheet'!S259 + 'ACPL Calculations - 1.0'!T259 + 'ACPL Calculations - 2.0'!T259</f>
        <v>40755</v>
      </c>
      <c r="CO259" s="33">
        <f t="shared" si="2"/>
        <v>55449.03</v>
      </c>
      <c r="CP259" s="33">
        <f>'Old Balance Sheet'!T259 + 'ACPL Calculations - 1.0'!V259 + 'ACPL Calculations - 2.0'!V259</f>
        <v>0</v>
      </c>
      <c r="CQ259" s="33">
        <f>'Old Balance Sheet'!U259 + 'ACPL Calculations - 1.0'!W259 + 'ACPL Calculations - 2.0'!W259</f>
        <v>0</v>
      </c>
      <c r="CR259" s="33">
        <f>'Old Balance Sheet'!V259 + 'ACPL Calculations - 1.0'!X259 + 'ACPL Calculations - 2.0'!X259</f>
        <v>14694.03</v>
      </c>
      <c r="CS259" s="33">
        <f t="shared" si="3"/>
        <v>14694.03</v>
      </c>
      <c r="CT259" s="35"/>
      <c r="CU259" s="35"/>
      <c r="CV259" s="35"/>
      <c r="CW259" s="36">
        <f>'Old Balance Sheet'!W259 + 'ACPL Calculations - 1.0'!Z259 + 'ACPL Calculations - 2.0'!Z259</f>
        <v>57261.42</v>
      </c>
      <c r="CX259" s="36">
        <f>'Old Balance Sheet'!X259 + 'ACPL Calculations - 1.0'!AA259 + 'ACPL Calculations - 2.0'!AA259</f>
        <v>57261.42</v>
      </c>
      <c r="CY259" s="37">
        <v>0.0</v>
      </c>
      <c r="CZ259" s="38">
        <f>'Old Balance Sheet'!Y259 + 'ACPL Calculations - 1.0'!AB259 + 'ACPL Calculations - 2.0'!AB259</f>
        <v>40715.46</v>
      </c>
      <c r="DA259" s="38">
        <f>'Old Balance Sheet'!Z259 + 'ACPL Calculations - 1.0'!AC259 + 'ACPL Calculations - 2.0'!AC259</f>
        <v>38678.58</v>
      </c>
      <c r="DB259" s="38">
        <f>'Old Balance Sheet'!AA259 + 'ACPL Calculations - 1.0'!AD259 + 'ACPL Calculations - 2.0'!AD259</f>
        <v>2036.88</v>
      </c>
      <c r="DC259" s="38">
        <f>'Old Balance Sheet'!AB259 + 'ACPL Calculations - 1.0'!AE259 + 'ACPL Calculations - 2.0'!AE259</f>
        <v>0</v>
      </c>
      <c r="DD259" s="38">
        <f t="shared" si="4"/>
        <v>0</v>
      </c>
      <c r="DE259" s="33">
        <f t="shared" si="5"/>
        <v>0</v>
      </c>
      <c r="DF259" s="35">
        <v>0.0</v>
      </c>
      <c r="DG259" s="35">
        <v>0.0</v>
      </c>
      <c r="DH259" s="35">
        <v>0.0</v>
      </c>
      <c r="DI259" s="35">
        <v>0.0</v>
      </c>
      <c r="DJ259" s="35">
        <v>0.0</v>
      </c>
      <c r="DK259" s="35">
        <v>0.0</v>
      </c>
      <c r="DL259" s="35">
        <v>0.0</v>
      </c>
      <c r="DM259" s="35">
        <v>0.0</v>
      </c>
      <c r="DN259" s="31">
        <v>0.0</v>
      </c>
      <c r="DO259" s="31">
        <v>0.0</v>
      </c>
      <c r="DP259" s="31">
        <v>0.0</v>
      </c>
      <c r="DQ259" s="31">
        <v>0.0</v>
      </c>
      <c r="DR259" s="31">
        <v>0.0</v>
      </c>
      <c r="DS259" s="31">
        <v>0.0</v>
      </c>
      <c r="DT259" s="31">
        <f>'Old Balance Sheet'!AC259</f>
        <v>0</v>
      </c>
      <c r="DU259" s="31">
        <f>DT259 + SUMIFS('Payments Log'!D:D, 'Payments Log'!B:B, A259, 'Payments Log'!L:L, "Approved", 'Payments Log'!M:M, "Credit") + 'Old Balance Sheet'!AD259 - 'Old Balance Sheet'!AC259</f>
        <v>49000</v>
      </c>
      <c r="DV259" s="31">
        <f>SUMIFS('Payments Log'!D:D, 'Payments Log'!B:B, A259, 'Payments Log'!L:L, "Approved", 'Payments Log'!M:M, "Adjustment Credit") - SUMIFS('Payments Log'!D:D, 'Payments Log'!B:B, A259, 'Payments Log'!L:L, "Approved", 'Payments Log'!M:M, "Adjustment Debit") + 'Old Balance Sheet'!AE259</f>
        <v>0</v>
      </c>
      <c r="DW259" s="31">
        <f>IF(MAXIFS('Payments Log'!N:N, 'Payments Log'!L:L, "Approved", 'Payments Log'!M:M, "Credit", 'Payments Log'!B:B, A259) &gt; MAXIFS('Payments Log'!N:N, 'Payments Log'!L:L, "Approved", 'Payments Log'!M:M, "Virtual Credit", 'Payments Log'!B:B, A259), 0, SUMIFS('Payments Log'!D:D, 'Payments Log'!N:N, MAXIFS('Payments Log'!N:N, 'Payments Log'!L:L, "Approved", 'Payments Log'!M:M, "Virtual Credit", 'Payments Log'!B:B, A259)))</f>
        <v>0</v>
      </c>
      <c r="DX259" s="33">
        <f t="shared" si="6"/>
        <v>-8261.42</v>
      </c>
      <c r="DY259" s="33">
        <f t="shared" si="7"/>
        <v>-8261.42</v>
      </c>
      <c r="DZ259" s="33">
        <f t="shared" si="8"/>
        <v>-8261.42</v>
      </c>
      <c r="EA259" s="25" t="str">
        <f>(Sheet1!N259)</f>
        <v>SILVER WHEELS - KANPUR</v>
      </c>
      <c r="EB259" s="25" t="str">
        <f>(Sheet1!O259)</f>
        <v>18YeFXhbwOry3OVJYZRIqhn6Omyqh0U-ahQsWUD0TmFQ</v>
      </c>
      <c r="EC259" s="26" t="str">
        <f>(Sheet1!P259)</f>
        <v>Dealer</v>
      </c>
      <c r="ED259" s="34" t="s">
        <v>13</v>
      </c>
    </row>
    <row r="260">
      <c r="A260" s="26" t="str">
        <f>(Sheet1!A260)</f>
        <v>1i7nD8aYC6tcitvs73AUebjtv4kfapAZjbotnlncyi9w</v>
      </c>
      <c r="B260" s="26" t="str">
        <f>(Sheet1!B260)</f>
        <v>SARASWATI MOTORS - PRAYAGRAJ</v>
      </c>
      <c r="C260" s="34" t="s">
        <v>13</v>
      </c>
      <c r="D260" s="34" t="s">
        <v>72</v>
      </c>
      <c r="E260" s="34" t="s">
        <v>3820</v>
      </c>
      <c r="F260" s="34">
        <v>182.0</v>
      </c>
      <c r="G260" s="34" t="s">
        <v>3818</v>
      </c>
      <c r="H260" s="34">
        <v>100.0</v>
      </c>
      <c r="I260" s="33">
        <f>'Old Balance Sheet'!A260 + 'ACPL Calculations - 1.0'!A260 + 'ACPL Calculations - 2.0'!A260</f>
        <v>0</v>
      </c>
      <c r="J260" s="34" t="s">
        <v>3820</v>
      </c>
      <c r="K260" s="34">
        <v>205.0</v>
      </c>
      <c r="L260" s="34" t="s">
        <v>3818</v>
      </c>
      <c r="M260" s="34">
        <v>100.0</v>
      </c>
      <c r="N260" s="33">
        <f>'Old Balance Sheet'!B260 + 'ACPL Calculations - 1.0'!B260 + 'ACPL Calculations - 2.0'!B260</f>
        <v>0</v>
      </c>
      <c r="O260" s="34" t="s">
        <v>3820</v>
      </c>
      <c r="P260" s="34">
        <v>290.0</v>
      </c>
      <c r="Q260" s="34" t="s">
        <v>3818</v>
      </c>
      <c r="R260" s="34">
        <v>100.0</v>
      </c>
      <c r="S260" s="33">
        <f>'Old Balance Sheet'!C260 + 'ACPL Calculations - 1.0'!C260 + 'ACPL Calculations - 2.0'!C260</f>
        <v>0</v>
      </c>
      <c r="T260" s="34" t="s">
        <v>3820</v>
      </c>
      <c r="U260" s="34">
        <v>375.0</v>
      </c>
      <c r="V260" s="34" t="s">
        <v>3818</v>
      </c>
      <c r="W260" s="34">
        <v>100.0</v>
      </c>
      <c r="X260" s="33">
        <f>'Old Balance Sheet'!D260 + 'ACPL Calculations - 1.0'!D260 + 'ACPL Calculations - 2.0'!D260</f>
        <v>0</v>
      </c>
      <c r="Y260" s="34" t="s">
        <v>3820</v>
      </c>
      <c r="Z260" s="34">
        <v>460.0</v>
      </c>
      <c r="AA260" s="32" t="s">
        <v>3818</v>
      </c>
      <c r="AB260" s="31">
        <v>100.0</v>
      </c>
      <c r="AC260" s="33">
        <f>'Old Balance Sheet'!E260 + 'ACPL Calculations - 1.0'!E260 + 'ACPL Calculations - 2.0'!E260</f>
        <v>0</v>
      </c>
      <c r="AD260" s="34" t="s">
        <v>3820</v>
      </c>
      <c r="AE260" s="34">
        <v>838.99</v>
      </c>
      <c r="AF260" s="32" t="s">
        <v>3818</v>
      </c>
      <c r="AG260" s="31">
        <v>100.0</v>
      </c>
      <c r="AH260" s="33">
        <f>'Old Balance Sheet'!F260 + 'ACPL Calculations - 1.0'!F260 + 'ACPL Calculations - 2.0'!F260</f>
        <v>0</v>
      </c>
      <c r="AI260" s="34" t="s">
        <v>3820</v>
      </c>
      <c r="AJ260" s="34">
        <v>375.0</v>
      </c>
      <c r="AK260" s="32" t="s">
        <v>3818</v>
      </c>
      <c r="AL260" s="31">
        <v>100.0</v>
      </c>
      <c r="AM260" s="33">
        <f>'Old Balance Sheet'!G260 + 'ACPL Calculations - 1.0'!G260 + 'ACPL Calculations - 2.0'!G260</f>
        <v>0</v>
      </c>
      <c r="AN260" s="34" t="s">
        <v>3820</v>
      </c>
      <c r="AO260" s="34">
        <v>290.0</v>
      </c>
      <c r="AP260" s="32" t="s">
        <v>3818</v>
      </c>
      <c r="AQ260" s="31">
        <v>100.0</v>
      </c>
      <c r="AR260" s="33">
        <f>'Old Balance Sheet'!H260 + 'ACPL Calculations - 1.0'!H260 + 'ACPL Calculations - 2.0'!H260</f>
        <v>0</v>
      </c>
      <c r="AS260" s="34" t="s">
        <v>3819</v>
      </c>
      <c r="AT260" s="34">
        <v>838.99</v>
      </c>
      <c r="AU260" s="32" t="s">
        <v>3818</v>
      </c>
      <c r="AV260" s="31">
        <v>100.0</v>
      </c>
      <c r="AW260" s="33">
        <f>'Old Balance Sheet'!I260 + 'ACPL Calculations - 1.0'!I260 + 'ACPL Calculations - 2.0'!I260</f>
        <v>0</v>
      </c>
      <c r="AX260" s="34" t="s">
        <v>3820</v>
      </c>
      <c r="AY260" s="34">
        <v>290.0</v>
      </c>
      <c r="AZ260" s="32" t="s">
        <v>3818</v>
      </c>
      <c r="BA260" s="31">
        <v>100.0</v>
      </c>
      <c r="BB260" s="33">
        <f>'Old Balance Sheet'!J260 + 'ACPL Calculations - 1.0'!J260 + 'ACPL Calculations - 2.0'!J260</f>
        <v>0</v>
      </c>
      <c r="BC260" s="34" t="s">
        <v>3820</v>
      </c>
      <c r="BD260" s="34">
        <v>205.0</v>
      </c>
      <c r="BE260" s="32" t="s">
        <v>3818</v>
      </c>
      <c r="BF260" s="31">
        <v>100.0</v>
      </c>
      <c r="BG260" s="33">
        <f>'Old Balance Sheet'!K260 + 'ACPL Calculations - 1.0'!K260 + 'ACPL Calculations - 2.0'!K260</f>
        <v>0</v>
      </c>
      <c r="BH260" s="34" t="s">
        <v>3820</v>
      </c>
      <c r="BI260" s="34">
        <v>205.0</v>
      </c>
      <c r="BJ260" s="32" t="s">
        <v>3818</v>
      </c>
      <c r="BK260" s="31">
        <v>100.0</v>
      </c>
      <c r="BL260" s="33">
        <f>'Old Balance Sheet'!L260 + 'ACPL Calculations - 1.0'!L260 + 'ACPL Calculations - 2.0'!L260</f>
        <v>0</v>
      </c>
      <c r="CL260" s="33">
        <f t="shared" si="1"/>
        <v>0</v>
      </c>
      <c r="CM260" s="33">
        <f>'Old Balance Sheet'!R260 + 'ACPL Calculations - 1.0'!S260 + 'ACPL Calculations - 2.0'!S260</f>
        <v>0</v>
      </c>
      <c r="CN260" s="33">
        <f>'Old Balance Sheet'!S260 + 'ACPL Calculations - 1.0'!T260 + 'ACPL Calculations - 2.0'!T260</f>
        <v>0</v>
      </c>
      <c r="CO260" s="33">
        <f t="shared" si="2"/>
        <v>0</v>
      </c>
      <c r="CP260" s="33">
        <f>'Old Balance Sheet'!T260 + 'ACPL Calculations - 1.0'!V260 + 'ACPL Calculations - 2.0'!V260</f>
        <v>0</v>
      </c>
      <c r="CQ260" s="33">
        <f>'Old Balance Sheet'!U260 + 'ACPL Calculations - 1.0'!W260 + 'ACPL Calculations - 2.0'!W260</f>
        <v>0</v>
      </c>
      <c r="CR260" s="33">
        <f>'Old Balance Sheet'!V260 + 'ACPL Calculations - 1.0'!X260 + 'ACPL Calculations - 2.0'!X260</f>
        <v>0</v>
      </c>
      <c r="CS260" s="33">
        <f t="shared" si="3"/>
        <v>0</v>
      </c>
      <c r="CT260" s="35"/>
      <c r="CU260" s="35"/>
      <c r="CV260" s="35"/>
      <c r="CW260" s="36">
        <f>'Old Balance Sheet'!W260 + 'ACPL Calculations - 1.0'!Z260 + 'ACPL Calculations - 2.0'!Z260</f>
        <v>0</v>
      </c>
      <c r="CX260" s="36">
        <f>'Old Balance Sheet'!X260 + 'ACPL Calculations - 1.0'!AA260 + 'ACPL Calculations - 2.0'!AA260</f>
        <v>0</v>
      </c>
      <c r="CY260" s="37">
        <v>0.0</v>
      </c>
      <c r="CZ260" s="38">
        <f>'Old Balance Sheet'!Y260 + 'ACPL Calculations - 1.0'!AB260 + 'ACPL Calculations - 2.0'!AB260</f>
        <v>0</v>
      </c>
      <c r="DA260" s="38">
        <f>'Old Balance Sheet'!Z260 + 'ACPL Calculations - 1.0'!AC260 + 'ACPL Calculations - 2.0'!AC260</f>
        <v>0</v>
      </c>
      <c r="DB260" s="38">
        <f>'Old Balance Sheet'!AA260 + 'ACPL Calculations - 1.0'!AD260 + 'ACPL Calculations - 2.0'!AD260</f>
        <v>0</v>
      </c>
      <c r="DC260" s="38">
        <f>'Old Balance Sheet'!AB260 + 'ACPL Calculations - 1.0'!AE260 + 'ACPL Calculations - 2.0'!AE260</f>
        <v>0</v>
      </c>
      <c r="DD260" s="38">
        <f t="shared" si="4"/>
        <v>0</v>
      </c>
      <c r="DE260" s="33">
        <f t="shared" si="5"/>
        <v>0</v>
      </c>
      <c r="DF260" s="35">
        <v>0.0</v>
      </c>
      <c r="DG260" s="35">
        <v>0.0</v>
      </c>
      <c r="DH260" s="35">
        <v>0.0</v>
      </c>
      <c r="DI260" s="35">
        <v>0.0</v>
      </c>
      <c r="DJ260" s="35">
        <v>0.0</v>
      </c>
      <c r="DK260" s="35">
        <v>0.0</v>
      </c>
      <c r="DL260" s="35">
        <v>0.0</v>
      </c>
      <c r="DM260" s="35">
        <v>0.0</v>
      </c>
      <c r="DN260" s="31">
        <v>0.0</v>
      </c>
      <c r="DO260" s="31">
        <v>0.0</v>
      </c>
      <c r="DP260" s="31">
        <v>0.0</v>
      </c>
      <c r="DQ260" s="31">
        <v>0.0</v>
      </c>
      <c r="DR260" s="31">
        <v>0.0</v>
      </c>
      <c r="DS260" s="31">
        <v>0.0</v>
      </c>
      <c r="DT260" s="31">
        <f>'Old Balance Sheet'!AC260</f>
        <v>0</v>
      </c>
      <c r="DU260" s="31">
        <f>DT260 + SUMIFS('Payments Log'!D:D, 'Payments Log'!B:B, A260, 'Payments Log'!L:L, "Approved", 'Payments Log'!M:M, "Credit") + 'Old Balance Sheet'!AD260 - 'Old Balance Sheet'!AC260</f>
        <v>0</v>
      </c>
      <c r="DV260" s="31">
        <f>SUMIFS('Payments Log'!D:D, 'Payments Log'!B:B, A260, 'Payments Log'!L:L, "Approved", 'Payments Log'!M:M, "Adjustment Credit") - SUMIFS('Payments Log'!D:D, 'Payments Log'!B:B, A260, 'Payments Log'!L:L, "Approved", 'Payments Log'!M:M, "Adjustment Debit") + 'Old Balance Sheet'!AE260</f>
        <v>0</v>
      </c>
      <c r="DW260" s="31">
        <f>IF(MAXIFS('Payments Log'!N:N, 'Payments Log'!L:L, "Approved", 'Payments Log'!M:M, "Credit", 'Payments Log'!B:B, A260) &gt; MAXIFS('Payments Log'!N:N, 'Payments Log'!L:L, "Approved", 'Payments Log'!M:M, "Virtual Credit", 'Payments Log'!B:B, A260), 0, SUMIFS('Payments Log'!D:D, 'Payments Log'!N:N, MAXIFS('Payments Log'!N:N, 'Payments Log'!L:L, "Approved", 'Payments Log'!M:M, "Virtual Credit", 'Payments Log'!B:B, A260)))</f>
        <v>0</v>
      </c>
      <c r="DX260" s="33">
        <f t="shared" si="6"/>
        <v>0</v>
      </c>
      <c r="DY260" s="33">
        <f t="shared" si="7"/>
        <v>0</v>
      </c>
      <c r="DZ260" s="33">
        <f t="shared" si="8"/>
        <v>0</v>
      </c>
      <c r="EA260" s="25" t="str">
        <f>(Sheet1!N260)</f>
        <v>SARASWATI MOTORS - PRAYAGRAJ</v>
      </c>
      <c r="EB260" s="25" t="str">
        <f>(Sheet1!O260)</f>
        <v>1i7nD8aYC6tcitvs73AUebjtv4kfapAZjbotnlncyi9w</v>
      </c>
      <c r="EC260" s="26" t="str">
        <f>(Sheet1!P260)</f>
        <v>Dealer</v>
      </c>
      <c r="ED260" s="34" t="s">
        <v>13</v>
      </c>
    </row>
    <row r="261">
      <c r="A261" s="26" t="str">
        <f>(Sheet1!A261)</f>
        <v>1yvgpH1Hw8bnf4lrnmBAiOKNDWfY-irs2VtrGdI62N3w</v>
      </c>
      <c r="B261" s="26" t="str">
        <f>(Sheet1!B261)</f>
        <v>Mongold World Hero(VAW) - Khair</v>
      </c>
      <c r="C261" s="34" t="s">
        <v>13</v>
      </c>
      <c r="D261" s="34" t="s">
        <v>72</v>
      </c>
      <c r="E261" s="34" t="s">
        <v>3820</v>
      </c>
      <c r="F261" s="34">
        <v>170.0</v>
      </c>
      <c r="G261" s="34" t="s">
        <v>3818</v>
      </c>
      <c r="H261" s="34">
        <v>100.0</v>
      </c>
      <c r="I261" s="33">
        <f>'Old Balance Sheet'!A261 + 'ACPL Calculations - 1.0'!A261 + 'ACPL Calculations - 2.0'!A261</f>
        <v>12</v>
      </c>
      <c r="J261" s="34" t="s">
        <v>3820</v>
      </c>
      <c r="K261" s="34">
        <v>170.0</v>
      </c>
      <c r="L261" s="34" t="s">
        <v>3818</v>
      </c>
      <c r="M261" s="34">
        <v>100.0</v>
      </c>
      <c r="N261" s="33">
        <f>'Old Balance Sheet'!B261 + 'ACPL Calculations - 1.0'!B261 + 'ACPL Calculations - 2.0'!B261</f>
        <v>0</v>
      </c>
      <c r="O261" s="34" t="s">
        <v>3820</v>
      </c>
      <c r="P261" s="34">
        <v>170.0</v>
      </c>
      <c r="Q261" s="34" t="s">
        <v>3818</v>
      </c>
      <c r="R261" s="34">
        <v>100.0</v>
      </c>
      <c r="S261" s="33">
        <f>'Old Balance Sheet'!C261 + 'ACPL Calculations - 1.0'!C261 + 'ACPL Calculations - 2.0'!C261</f>
        <v>0</v>
      </c>
      <c r="T261" s="34" t="s">
        <v>3820</v>
      </c>
      <c r="U261" s="34">
        <v>170.0</v>
      </c>
      <c r="V261" s="34" t="s">
        <v>3818</v>
      </c>
      <c r="W261" s="34">
        <v>100.0</v>
      </c>
      <c r="X261" s="33">
        <f>'Old Balance Sheet'!D261 + 'ACPL Calculations - 1.0'!D261 + 'ACPL Calculations - 2.0'!D261</f>
        <v>0</v>
      </c>
      <c r="Y261" s="34" t="s">
        <v>3820</v>
      </c>
      <c r="Z261" s="34">
        <v>170.0</v>
      </c>
      <c r="AA261" s="32" t="s">
        <v>3818</v>
      </c>
      <c r="AB261" s="31">
        <v>100.0</v>
      </c>
      <c r="AC261" s="33">
        <f>'Old Balance Sheet'!E261 + 'ACPL Calculations - 1.0'!E261 + 'ACPL Calculations - 2.0'!E261</f>
        <v>336</v>
      </c>
      <c r="AD261" s="34" t="s">
        <v>3820</v>
      </c>
      <c r="AE261" s="34">
        <v>838.99</v>
      </c>
      <c r="AF261" s="32" t="s">
        <v>3818</v>
      </c>
      <c r="AG261" s="31">
        <v>100.0</v>
      </c>
      <c r="AH261" s="33">
        <f>'Old Balance Sheet'!F261 + 'ACPL Calculations - 1.0'!F261 + 'ACPL Calculations - 2.0'!F261</f>
        <v>0</v>
      </c>
      <c r="AI261" s="34" t="s">
        <v>3820</v>
      </c>
      <c r="AJ261" s="34">
        <v>170.0</v>
      </c>
      <c r="AK261" s="32" t="s">
        <v>3818</v>
      </c>
      <c r="AL261" s="31">
        <v>100.0</v>
      </c>
      <c r="AM261" s="33">
        <f>'Old Balance Sheet'!G261 + 'ACPL Calculations - 1.0'!G261 + 'ACPL Calculations - 2.0'!G261</f>
        <v>0</v>
      </c>
      <c r="AN261" s="34" t="s">
        <v>3820</v>
      </c>
      <c r="AO261" s="34">
        <v>170.0</v>
      </c>
      <c r="AP261" s="32" t="s">
        <v>3818</v>
      </c>
      <c r="AQ261" s="31">
        <v>100.0</v>
      </c>
      <c r="AR261" s="33">
        <f>'Old Balance Sheet'!H261 + 'ACPL Calculations - 1.0'!H261 + 'ACPL Calculations - 2.0'!H261</f>
        <v>0</v>
      </c>
      <c r="AS261" s="34" t="s">
        <v>3819</v>
      </c>
      <c r="AT261" s="34">
        <v>838.99</v>
      </c>
      <c r="AU261" s="32" t="s">
        <v>3818</v>
      </c>
      <c r="AV261" s="31">
        <v>100.0</v>
      </c>
      <c r="AW261" s="33">
        <f>'Old Balance Sheet'!I261 + 'ACPL Calculations - 1.0'!I261 + 'ACPL Calculations - 2.0'!I261</f>
        <v>0</v>
      </c>
      <c r="AX261" s="34" t="s">
        <v>3820</v>
      </c>
      <c r="AY261" s="34">
        <v>290.0</v>
      </c>
      <c r="AZ261" s="32" t="s">
        <v>3818</v>
      </c>
      <c r="BA261" s="31">
        <v>100.0</v>
      </c>
      <c r="BB261" s="33">
        <f>'Old Balance Sheet'!J261 + 'ACPL Calculations - 1.0'!J261 + 'ACPL Calculations - 2.0'!J261</f>
        <v>0</v>
      </c>
      <c r="BC261" s="34" t="s">
        <v>3820</v>
      </c>
      <c r="BD261" s="34">
        <v>205.0</v>
      </c>
      <c r="BE261" s="32" t="s">
        <v>3818</v>
      </c>
      <c r="BF261" s="31">
        <v>100.0</v>
      </c>
      <c r="BG261" s="33">
        <f>'Old Balance Sheet'!K261 + 'ACPL Calculations - 1.0'!K261 + 'ACPL Calculations - 2.0'!K261</f>
        <v>0</v>
      </c>
      <c r="BH261" s="34" t="s">
        <v>3820</v>
      </c>
      <c r="BI261" s="34">
        <v>205.0</v>
      </c>
      <c r="BJ261" s="32" t="s">
        <v>3818</v>
      </c>
      <c r="BK261" s="31">
        <v>100.0</v>
      </c>
      <c r="BL261" s="33">
        <f>'Old Balance Sheet'!L261 + 'ACPL Calculations - 1.0'!L261 + 'ACPL Calculations - 2.0'!L261</f>
        <v>0</v>
      </c>
      <c r="CL261" s="33">
        <f t="shared" si="1"/>
        <v>348</v>
      </c>
      <c r="CM261" s="33">
        <f>'Old Balance Sheet'!R261 + 'ACPL Calculations - 1.0'!S261 + 'ACPL Calculations - 2.0'!S261</f>
        <v>627380</v>
      </c>
      <c r="CN261" s="33">
        <f>'Old Balance Sheet'!S261 + 'ACPL Calculations - 1.0'!T261 + 'ACPL Calculations - 2.0'!T261</f>
        <v>59160</v>
      </c>
      <c r="CO261" s="33">
        <f t="shared" si="2"/>
        <v>154860.94</v>
      </c>
      <c r="CP261" s="33">
        <f>'Old Balance Sheet'!T261 + 'ACPL Calculations - 1.0'!V261 + 'ACPL Calculations - 2.0'!V261</f>
        <v>0</v>
      </c>
      <c r="CQ261" s="33">
        <f>'Old Balance Sheet'!U261 + 'ACPL Calculations - 1.0'!W261 + 'ACPL Calculations - 2.0'!W261</f>
        <v>0</v>
      </c>
      <c r="CR261" s="33">
        <f>'Old Balance Sheet'!V261 + 'ACPL Calculations - 1.0'!X261 + 'ACPL Calculations - 2.0'!X261</f>
        <v>95700.94</v>
      </c>
      <c r="CS261" s="33">
        <f t="shared" si="3"/>
        <v>95700.94</v>
      </c>
      <c r="CT261" s="35"/>
      <c r="CU261" s="35"/>
      <c r="CV261" s="35"/>
      <c r="CW261" s="36">
        <f>'Old Balance Sheet'!W261 + 'ACPL Calculations - 1.0'!Z261 + 'ACPL Calculations - 2.0'!Z261</f>
        <v>0</v>
      </c>
      <c r="CX261" s="36">
        <f>'Old Balance Sheet'!X261 + 'ACPL Calculations - 1.0'!AA261 + 'ACPL Calculations - 2.0'!AA261</f>
        <v>0</v>
      </c>
      <c r="CY261" s="37">
        <v>0.0</v>
      </c>
      <c r="CZ261" s="38">
        <f>'Old Balance Sheet'!Y261 + 'ACPL Calculations - 1.0'!AB261 + 'ACPL Calculations - 2.0'!AB261</f>
        <v>0</v>
      </c>
      <c r="DA261" s="38">
        <f>'Old Balance Sheet'!Z261 + 'ACPL Calculations - 1.0'!AC261 + 'ACPL Calculations - 2.0'!AC261</f>
        <v>0</v>
      </c>
      <c r="DB261" s="38">
        <f>'Old Balance Sheet'!AA261 + 'ACPL Calculations - 1.0'!AD261 + 'ACPL Calculations - 2.0'!AD261</f>
        <v>0</v>
      </c>
      <c r="DC261" s="38">
        <f>'Old Balance Sheet'!AB261 + 'ACPL Calculations - 1.0'!AE261 + 'ACPL Calculations - 2.0'!AE261</f>
        <v>0</v>
      </c>
      <c r="DD261" s="38">
        <f t="shared" si="4"/>
        <v>0</v>
      </c>
      <c r="DE261" s="33">
        <f t="shared" si="5"/>
        <v>0</v>
      </c>
      <c r="DF261" s="35">
        <v>0.0</v>
      </c>
      <c r="DG261" s="35">
        <v>0.0</v>
      </c>
      <c r="DH261" s="35">
        <v>0.0</v>
      </c>
      <c r="DI261" s="35">
        <v>0.0</v>
      </c>
      <c r="DJ261" s="35">
        <v>0.0</v>
      </c>
      <c r="DK261" s="35">
        <v>0.0</v>
      </c>
      <c r="DL261" s="35">
        <v>0.0</v>
      </c>
      <c r="DM261" s="35">
        <v>0.0</v>
      </c>
      <c r="DN261" s="31">
        <v>0.0</v>
      </c>
      <c r="DO261" s="31">
        <v>0.0</v>
      </c>
      <c r="DP261" s="31">
        <v>0.0</v>
      </c>
      <c r="DQ261" s="31">
        <v>0.0</v>
      </c>
      <c r="DR261" s="31">
        <v>0.0</v>
      </c>
      <c r="DS261" s="31">
        <v>0.0</v>
      </c>
      <c r="DT261" s="31">
        <f>'Old Balance Sheet'!AC261</f>
        <v>0</v>
      </c>
      <c r="DU261" s="31">
        <f>DT261 + SUMIFS('Payments Log'!D:D, 'Payments Log'!B:B, A261, 'Payments Log'!L:L, "Approved", 'Payments Log'!M:M, "Credit") + 'Old Balance Sheet'!AD261 - 'Old Balance Sheet'!AC261</f>
        <v>0</v>
      </c>
      <c r="DV261" s="31">
        <f>SUMIFS('Payments Log'!D:D, 'Payments Log'!B:B, A261, 'Payments Log'!L:L, "Approved", 'Payments Log'!M:M, "Adjustment Credit") - SUMIFS('Payments Log'!D:D, 'Payments Log'!B:B, A261, 'Payments Log'!L:L, "Approved", 'Payments Log'!M:M, "Adjustment Debit") + 'Old Balance Sheet'!AE261</f>
        <v>0</v>
      </c>
      <c r="DW261" s="31">
        <f>IF(MAXIFS('Payments Log'!N:N, 'Payments Log'!L:L, "Approved", 'Payments Log'!M:M, "Credit", 'Payments Log'!B:B, A261) &gt; MAXIFS('Payments Log'!N:N, 'Payments Log'!L:L, "Approved", 'Payments Log'!M:M, "Virtual Credit", 'Payments Log'!B:B, A261), 0, SUMIFS('Payments Log'!D:D, 'Payments Log'!N:N, MAXIFS('Payments Log'!N:N, 'Payments Log'!L:L, "Approved", 'Payments Log'!M:M, "Virtual Credit", 'Payments Log'!B:B, A261)))</f>
        <v>0</v>
      </c>
      <c r="DX261" s="33">
        <f t="shared" si="6"/>
        <v>0</v>
      </c>
      <c r="DY261" s="33">
        <f t="shared" si="7"/>
        <v>0</v>
      </c>
      <c r="DZ261" s="33">
        <f t="shared" si="8"/>
        <v>0</v>
      </c>
      <c r="EA261" s="25" t="str">
        <f>(Sheet1!N261)</f>
        <v>Vikas Autowheels</v>
      </c>
      <c r="EB261" s="25" t="str">
        <f>(Sheet1!O261)</f>
        <v>1944RLX7T1M23YXRXYoMnJ6nD_bKLldQXRpFRA0rDLvg</v>
      </c>
      <c r="EC261" s="26" t="str">
        <f>(Sheet1!P261)</f>
        <v>Sub Dealer</v>
      </c>
      <c r="ED261" s="34" t="s">
        <v>13</v>
      </c>
    </row>
    <row r="262">
      <c r="A262" s="26" t="str">
        <f>(Sheet1!A262)</f>
        <v>14mB4gV5ERRUfHqgfkG9Y3k4vrKZM_vGy769D96a1XRs</v>
      </c>
      <c r="B262" s="26" t="str">
        <f>(Sheet1!B262)</f>
        <v>SHIV GANGA AUTOMOBILES  - DELHI</v>
      </c>
      <c r="C262" s="34" t="s">
        <v>13</v>
      </c>
      <c r="D262" s="34" t="s">
        <v>72</v>
      </c>
      <c r="E262" s="34" t="s">
        <v>3820</v>
      </c>
      <c r="F262" s="34">
        <v>205.0</v>
      </c>
      <c r="G262" s="34" t="s">
        <v>3818</v>
      </c>
      <c r="H262" s="34">
        <v>100.0</v>
      </c>
      <c r="I262" s="33">
        <f>'Old Balance Sheet'!A262 + 'ACPL Calculations - 1.0'!A262 + 'ACPL Calculations - 2.0'!A262</f>
        <v>0</v>
      </c>
      <c r="J262" s="34" t="s">
        <v>3820</v>
      </c>
      <c r="K262" s="34">
        <v>205.0</v>
      </c>
      <c r="L262" s="34" t="s">
        <v>3818</v>
      </c>
      <c r="M262" s="34">
        <v>100.0</v>
      </c>
      <c r="N262" s="33">
        <f>'Old Balance Sheet'!B262 + 'ACPL Calculations - 1.0'!B262 + 'ACPL Calculations - 2.0'!B262</f>
        <v>0</v>
      </c>
      <c r="O262" s="34" t="s">
        <v>3820</v>
      </c>
      <c r="P262" s="34">
        <v>290.0</v>
      </c>
      <c r="Q262" s="34" t="s">
        <v>3818</v>
      </c>
      <c r="R262" s="34">
        <v>100.0</v>
      </c>
      <c r="S262" s="33">
        <f>'Old Balance Sheet'!C262 + 'ACPL Calculations - 1.0'!C262 + 'ACPL Calculations - 2.0'!C262</f>
        <v>0</v>
      </c>
      <c r="T262" s="34" t="s">
        <v>3820</v>
      </c>
      <c r="U262" s="34">
        <v>375.0</v>
      </c>
      <c r="V262" s="34" t="s">
        <v>3818</v>
      </c>
      <c r="W262" s="34">
        <v>100.0</v>
      </c>
      <c r="X262" s="33">
        <f>'Old Balance Sheet'!D262 + 'ACPL Calculations - 1.0'!D262 + 'ACPL Calculations - 2.0'!D262</f>
        <v>0</v>
      </c>
      <c r="Y262" s="34" t="s">
        <v>3820</v>
      </c>
      <c r="Z262" s="34">
        <v>460.0</v>
      </c>
      <c r="AA262" s="32" t="s">
        <v>3818</v>
      </c>
      <c r="AB262" s="31">
        <v>100.0</v>
      </c>
      <c r="AC262" s="33">
        <f>'Old Balance Sheet'!E262 + 'ACPL Calculations - 1.0'!E262 + 'ACPL Calculations - 2.0'!E262</f>
        <v>0</v>
      </c>
      <c r="AD262" s="34" t="s">
        <v>3820</v>
      </c>
      <c r="AE262" s="34">
        <v>838.99</v>
      </c>
      <c r="AF262" s="32" t="s">
        <v>3818</v>
      </c>
      <c r="AG262" s="31">
        <v>100.0</v>
      </c>
      <c r="AH262" s="33">
        <f>'Old Balance Sheet'!F262 + 'ACPL Calculations - 1.0'!F262 + 'ACPL Calculations - 2.0'!F262</f>
        <v>0</v>
      </c>
      <c r="AI262" s="34" t="s">
        <v>3820</v>
      </c>
      <c r="AJ262" s="34">
        <v>375.0</v>
      </c>
      <c r="AK262" s="32" t="s">
        <v>3818</v>
      </c>
      <c r="AL262" s="31">
        <v>100.0</v>
      </c>
      <c r="AM262" s="33">
        <f>'Old Balance Sheet'!G262 + 'ACPL Calculations - 1.0'!G262 + 'ACPL Calculations - 2.0'!G262</f>
        <v>0</v>
      </c>
      <c r="AN262" s="34" t="s">
        <v>3820</v>
      </c>
      <c r="AO262" s="34">
        <v>290.0</v>
      </c>
      <c r="AP262" s="32" t="s">
        <v>3818</v>
      </c>
      <c r="AQ262" s="31">
        <v>100.0</v>
      </c>
      <c r="AR262" s="33">
        <f>'Old Balance Sheet'!H262 + 'ACPL Calculations - 1.0'!H262 + 'ACPL Calculations - 2.0'!H262</f>
        <v>0</v>
      </c>
      <c r="AS262" s="34" t="s">
        <v>3819</v>
      </c>
      <c r="AT262" s="34">
        <v>838.99</v>
      </c>
      <c r="AU262" s="32" t="s">
        <v>3818</v>
      </c>
      <c r="AV262" s="31">
        <v>100.0</v>
      </c>
      <c r="AW262" s="33">
        <f>'Old Balance Sheet'!I262 + 'ACPL Calculations - 1.0'!I262 + 'ACPL Calculations - 2.0'!I262</f>
        <v>0</v>
      </c>
      <c r="AX262" s="34" t="s">
        <v>3820</v>
      </c>
      <c r="AY262" s="34">
        <v>290.0</v>
      </c>
      <c r="AZ262" s="32" t="s">
        <v>3818</v>
      </c>
      <c r="BA262" s="31">
        <v>100.0</v>
      </c>
      <c r="BB262" s="33">
        <f>'Old Balance Sheet'!J262 + 'ACPL Calculations - 1.0'!J262 + 'ACPL Calculations - 2.0'!J262</f>
        <v>0</v>
      </c>
      <c r="BC262" s="34" t="s">
        <v>3820</v>
      </c>
      <c r="BD262" s="34">
        <v>205.0</v>
      </c>
      <c r="BE262" s="32" t="s">
        <v>3818</v>
      </c>
      <c r="BF262" s="31">
        <v>100.0</v>
      </c>
      <c r="BG262" s="33">
        <f>'Old Balance Sheet'!K262 + 'ACPL Calculations - 1.0'!K262 + 'ACPL Calculations - 2.0'!K262</f>
        <v>0</v>
      </c>
      <c r="BH262" s="34" t="s">
        <v>3820</v>
      </c>
      <c r="BI262" s="34">
        <v>205.0</v>
      </c>
      <c r="BJ262" s="32" t="s">
        <v>3818</v>
      </c>
      <c r="BK262" s="31">
        <v>100.0</v>
      </c>
      <c r="BL262" s="33">
        <f>'Old Balance Sheet'!L262 + 'ACPL Calculations - 1.0'!L262 + 'ACPL Calculations - 2.0'!L262</f>
        <v>0</v>
      </c>
      <c r="CL262" s="33">
        <f t="shared" si="1"/>
        <v>0</v>
      </c>
      <c r="CM262" s="33">
        <f>'Old Balance Sheet'!R262 + 'ACPL Calculations - 1.0'!S262 + 'ACPL Calculations - 2.0'!S262</f>
        <v>0</v>
      </c>
      <c r="CN262" s="33">
        <f>'Old Balance Sheet'!S262 + 'ACPL Calculations - 1.0'!T262 + 'ACPL Calculations - 2.0'!T262</f>
        <v>0</v>
      </c>
      <c r="CO262" s="33">
        <f t="shared" si="2"/>
        <v>0</v>
      </c>
      <c r="CP262" s="33">
        <f>'Old Balance Sheet'!T262 + 'ACPL Calculations - 1.0'!V262 + 'ACPL Calculations - 2.0'!V262</f>
        <v>0</v>
      </c>
      <c r="CQ262" s="33">
        <f>'Old Balance Sheet'!U262 + 'ACPL Calculations - 1.0'!W262 + 'ACPL Calculations - 2.0'!W262</f>
        <v>0</v>
      </c>
      <c r="CR262" s="33">
        <f>'Old Balance Sheet'!V262 + 'ACPL Calculations - 1.0'!X262 + 'ACPL Calculations - 2.0'!X262</f>
        <v>0</v>
      </c>
      <c r="CS262" s="33">
        <f t="shared" si="3"/>
        <v>0</v>
      </c>
      <c r="CT262" s="35"/>
      <c r="CU262" s="35"/>
      <c r="CV262" s="35"/>
      <c r="CW262" s="36">
        <f>'Old Balance Sheet'!W262 + 'ACPL Calculations - 1.0'!Z262 + 'ACPL Calculations - 2.0'!Z262</f>
        <v>0</v>
      </c>
      <c r="CX262" s="36">
        <f>'Old Balance Sheet'!X262 + 'ACPL Calculations - 1.0'!AA262 + 'ACPL Calculations - 2.0'!AA262</f>
        <v>0</v>
      </c>
      <c r="CY262" s="37">
        <v>0.0</v>
      </c>
      <c r="CZ262" s="38">
        <f>'Old Balance Sheet'!Y262 + 'ACPL Calculations - 1.0'!AB262 + 'ACPL Calculations - 2.0'!AB262</f>
        <v>0</v>
      </c>
      <c r="DA262" s="38">
        <f>'Old Balance Sheet'!Z262 + 'ACPL Calculations - 1.0'!AC262 + 'ACPL Calculations - 2.0'!AC262</f>
        <v>0</v>
      </c>
      <c r="DB262" s="38">
        <f>'Old Balance Sheet'!AA262 + 'ACPL Calculations - 1.0'!AD262 + 'ACPL Calculations - 2.0'!AD262</f>
        <v>0</v>
      </c>
      <c r="DC262" s="38">
        <f>'Old Balance Sheet'!AB262 + 'ACPL Calculations - 1.0'!AE262 + 'ACPL Calculations - 2.0'!AE262</f>
        <v>0</v>
      </c>
      <c r="DD262" s="38">
        <f t="shared" si="4"/>
        <v>0</v>
      </c>
      <c r="DE262" s="33">
        <f t="shared" si="5"/>
        <v>0</v>
      </c>
      <c r="DF262" s="35">
        <v>0.0</v>
      </c>
      <c r="DG262" s="35">
        <v>0.0</v>
      </c>
      <c r="DH262" s="35">
        <v>0.0</v>
      </c>
      <c r="DI262" s="35">
        <v>0.0</v>
      </c>
      <c r="DJ262" s="35">
        <v>0.0</v>
      </c>
      <c r="DK262" s="35">
        <v>0.0</v>
      </c>
      <c r="DL262" s="35">
        <v>0.0</v>
      </c>
      <c r="DM262" s="35">
        <v>0.0</v>
      </c>
      <c r="DN262" s="31">
        <v>0.0</v>
      </c>
      <c r="DO262" s="31">
        <v>0.0</v>
      </c>
      <c r="DP262" s="31">
        <v>0.0</v>
      </c>
      <c r="DQ262" s="31">
        <v>0.0</v>
      </c>
      <c r="DR262" s="31">
        <v>0.0</v>
      </c>
      <c r="DS262" s="31">
        <v>0.0</v>
      </c>
      <c r="DT262" s="31">
        <f>'Old Balance Sheet'!AC262</f>
        <v>0</v>
      </c>
      <c r="DU262" s="31">
        <f>DT262 + SUMIFS('Payments Log'!D:D, 'Payments Log'!B:B, A262, 'Payments Log'!L:L, "Approved", 'Payments Log'!M:M, "Credit") + 'Old Balance Sheet'!AD262 - 'Old Balance Sheet'!AC262</f>
        <v>6750000</v>
      </c>
      <c r="DV262" s="31">
        <f>SUMIFS('Payments Log'!D:D, 'Payments Log'!B:B, A262, 'Payments Log'!L:L, "Approved", 'Payments Log'!M:M, "Adjustment Credit") - SUMIFS('Payments Log'!D:D, 'Payments Log'!B:B, A262, 'Payments Log'!L:L, "Approved", 'Payments Log'!M:M, "Adjustment Debit") + 'Old Balance Sheet'!AE262</f>
        <v>0</v>
      </c>
      <c r="DW262" s="31">
        <f>IF(MAXIFS('Payments Log'!N:N, 'Payments Log'!L:L, "Approved", 'Payments Log'!M:M, "Credit", 'Payments Log'!B:B, A262) &gt; MAXIFS('Payments Log'!N:N, 'Payments Log'!L:L, "Approved", 'Payments Log'!M:M, "Virtual Credit", 'Payments Log'!B:B, A262), 0, SUMIFS('Payments Log'!D:D, 'Payments Log'!N:N, MAXIFS('Payments Log'!N:N, 'Payments Log'!L:L, "Approved", 'Payments Log'!M:M, "Virtual Credit", 'Payments Log'!B:B, A262)))</f>
        <v>0</v>
      </c>
      <c r="DX262" s="33">
        <f t="shared" si="6"/>
        <v>6750000</v>
      </c>
      <c r="DY262" s="33">
        <f t="shared" si="7"/>
        <v>6750000</v>
      </c>
      <c r="DZ262" s="33">
        <f t="shared" si="8"/>
        <v>6750000</v>
      </c>
      <c r="EA262" s="25" t="str">
        <f>(Sheet1!N262)</f>
        <v>SHIV GANGA AUTOMOBILES  - DELHI</v>
      </c>
      <c r="EB262" s="25" t="str">
        <f>(Sheet1!O262)</f>
        <v>14mB4gV5ERRUfHqgfkG9Y3k4vrKZM_vGy769D96a1XRs</v>
      </c>
      <c r="EC262" s="26" t="str">
        <f>(Sheet1!P262)</f>
        <v>Dealer</v>
      </c>
      <c r="ED262" s="34" t="s">
        <v>13</v>
      </c>
    </row>
    <row r="263">
      <c r="A263" s="26" t="str">
        <f>(Sheet1!A263)</f>
        <v>1mwtInypGX68IAfrIujI69hhRfhbAPm5uMzQxz3Da4FQ</v>
      </c>
      <c r="B263" s="26" t="str">
        <f>(Sheet1!B263)</f>
        <v>Lucky Automobiles(MAA) - Nautan</v>
      </c>
      <c r="C263" s="34" t="s">
        <v>13</v>
      </c>
      <c r="D263" s="34" t="s">
        <v>72</v>
      </c>
      <c r="E263" s="34" t="s">
        <v>3820</v>
      </c>
      <c r="F263" s="34">
        <v>192.0</v>
      </c>
      <c r="G263" s="34" t="s">
        <v>3818</v>
      </c>
      <c r="H263" s="34">
        <v>100.0</v>
      </c>
      <c r="I263" s="33">
        <f>'Old Balance Sheet'!A263 + 'ACPL Calculations - 1.0'!A263 + 'ACPL Calculations - 2.0'!A263</f>
        <v>427</v>
      </c>
      <c r="J263" s="34" t="s">
        <v>3820</v>
      </c>
      <c r="K263" s="34">
        <v>192.0</v>
      </c>
      <c r="L263" s="34" t="s">
        <v>3818</v>
      </c>
      <c r="M263" s="34">
        <v>100.0</v>
      </c>
      <c r="N263" s="33">
        <f>'Old Balance Sheet'!B263 + 'ACPL Calculations - 1.0'!B263 + 'ACPL Calculations - 2.0'!B263</f>
        <v>0</v>
      </c>
      <c r="O263" s="34" t="s">
        <v>3820</v>
      </c>
      <c r="P263" s="34">
        <v>290.0</v>
      </c>
      <c r="Q263" s="34" t="s">
        <v>3818</v>
      </c>
      <c r="R263" s="34">
        <v>100.0</v>
      </c>
      <c r="S263" s="33">
        <f>'Old Balance Sheet'!C263 + 'ACPL Calculations - 1.0'!C263 + 'ACPL Calculations - 2.0'!C263</f>
        <v>0</v>
      </c>
      <c r="T263" s="34" t="s">
        <v>3820</v>
      </c>
      <c r="U263" s="34">
        <v>375.0</v>
      </c>
      <c r="V263" s="34" t="s">
        <v>3818</v>
      </c>
      <c r="W263" s="34">
        <v>100.0</v>
      </c>
      <c r="X263" s="33">
        <f>'Old Balance Sheet'!D263 + 'ACPL Calculations - 1.0'!D263 + 'ACPL Calculations - 2.0'!D263</f>
        <v>0</v>
      </c>
      <c r="Y263" s="34" t="s">
        <v>3820</v>
      </c>
      <c r="Z263" s="34">
        <v>460.0</v>
      </c>
      <c r="AA263" s="32" t="s">
        <v>3818</v>
      </c>
      <c r="AB263" s="31">
        <v>100.0</v>
      </c>
      <c r="AC263" s="33">
        <f>'Old Balance Sheet'!E263 + 'ACPL Calculations - 1.0'!E263 + 'ACPL Calculations - 2.0'!E263</f>
        <v>0</v>
      </c>
      <c r="AD263" s="34" t="s">
        <v>3820</v>
      </c>
      <c r="AE263" s="34">
        <v>838.99</v>
      </c>
      <c r="AF263" s="32" t="s">
        <v>3818</v>
      </c>
      <c r="AG263" s="31">
        <v>100.0</v>
      </c>
      <c r="AH263" s="33">
        <f>'Old Balance Sheet'!F263 + 'ACPL Calculations - 1.0'!F263 + 'ACPL Calculations - 2.0'!F263</f>
        <v>0</v>
      </c>
      <c r="AI263" s="34" t="s">
        <v>3820</v>
      </c>
      <c r="AJ263" s="34">
        <v>375.0</v>
      </c>
      <c r="AK263" s="32" t="s">
        <v>3818</v>
      </c>
      <c r="AL263" s="31">
        <v>100.0</v>
      </c>
      <c r="AM263" s="33">
        <f>'Old Balance Sheet'!G263 + 'ACPL Calculations - 1.0'!G263 + 'ACPL Calculations - 2.0'!G263</f>
        <v>0</v>
      </c>
      <c r="AN263" s="34" t="s">
        <v>3820</v>
      </c>
      <c r="AO263" s="34">
        <v>290.0</v>
      </c>
      <c r="AP263" s="32" t="s">
        <v>3818</v>
      </c>
      <c r="AQ263" s="31">
        <v>100.0</v>
      </c>
      <c r="AR263" s="33">
        <f>'Old Balance Sheet'!H263 + 'ACPL Calculations - 1.0'!H263 + 'ACPL Calculations - 2.0'!H263</f>
        <v>0</v>
      </c>
      <c r="AS263" s="34" t="s">
        <v>3819</v>
      </c>
      <c r="AT263" s="34">
        <v>838.99</v>
      </c>
      <c r="AU263" s="32" t="s">
        <v>3818</v>
      </c>
      <c r="AV263" s="31">
        <v>100.0</v>
      </c>
      <c r="AW263" s="33">
        <f>'Old Balance Sheet'!I263 + 'ACPL Calculations - 1.0'!I263 + 'ACPL Calculations - 2.0'!I263</f>
        <v>0</v>
      </c>
      <c r="AX263" s="34" t="s">
        <v>3820</v>
      </c>
      <c r="AY263" s="34">
        <v>290.0</v>
      </c>
      <c r="AZ263" s="32" t="s">
        <v>3818</v>
      </c>
      <c r="BA263" s="31">
        <v>100.0</v>
      </c>
      <c r="BB263" s="33">
        <f>'Old Balance Sheet'!J263 + 'ACPL Calculations - 1.0'!J263 + 'ACPL Calculations - 2.0'!J263</f>
        <v>0</v>
      </c>
      <c r="BC263" s="34" t="s">
        <v>3820</v>
      </c>
      <c r="BD263" s="34">
        <v>205.0</v>
      </c>
      <c r="BE263" s="32" t="s">
        <v>3818</v>
      </c>
      <c r="BF263" s="31">
        <v>100.0</v>
      </c>
      <c r="BG263" s="33">
        <f>'Old Balance Sheet'!K263 + 'ACPL Calculations - 1.0'!K263 + 'ACPL Calculations - 2.0'!K263</f>
        <v>0</v>
      </c>
      <c r="BH263" s="34" t="s">
        <v>3820</v>
      </c>
      <c r="BI263" s="34">
        <v>205.0</v>
      </c>
      <c r="BJ263" s="32" t="s">
        <v>3818</v>
      </c>
      <c r="BK263" s="31">
        <v>100.0</v>
      </c>
      <c r="BL263" s="33">
        <f>'Old Balance Sheet'!L263 + 'ACPL Calculations - 1.0'!L263 + 'ACPL Calculations - 2.0'!L263</f>
        <v>0</v>
      </c>
      <c r="CL263" s="33">
        <f t="shared" si="1"/>
        <v>427</v>
      </c>
      <c r="CM263" s="33">
        <f>'Old Balance Sheet'!R263 + 'ACPL Calculations - 1.0'!S263 + 'ACPL Calculations - 2.0'!S263</f>
        <v>188734</v>
      </c>
      <c r="CN263" s="33">
        <f>'Old Balance Sheet'!S263 + 'ACPL Calculations - 1.0'!T263 + 'ACPL Calculations - 2.0'!T263</f>
        <v>81984</v>
      </c>
      <c r="CO263" s="33">
        <f t="shared" si="2"/>
        <v>110772.34</v>
      </c>
      <c r="CP263" s="33">
        <f>'Old Balance Sheet'!T263 + 'ACPL Calculations - 1.0'!V263 + 'ACPL Calculations - 2.0'!V263</f>
        <v>0</v>
      </c>
      <c r="CQ263" s="33">
        <f>'Old Balance Sheet'!U263 + 'ACPL Calculations - 1.0'!W263 + 'ACPL Calculations - 2.0'!W263</f>
        <v>0</v>
      </c>
      <c r="CR263" s="33">
        <f>'Old Balance Sheet'!V263 + 'ACPL Calculations - 1.0'!X263 + 'ACPL Calculations - 2.0'!X263</f>
        <v>28788.34</v>
      </c>
      <c r="CS263" s="33">
        <f t="shared" si="3"/>
        <v>28788.34</v>
      </c>
      <c r="CT263" s="35"/>
      <c r="CU263" s="35"/>
      <c r="CV263" s="35"/>
      <c r="CW263" s="36">
        <f>'Old Balance Sheet'!W263 + 'ACPL Calculations - 1.0'!Z263 + 'ACPL Calculations - 2.0'!Z263</f>
        <v>0</v>
      </c>
      <c r="CX263" s="36">
        <f>'Old Balance Sheet'!X263 + 'ACPL Calculations - 1.0'!AA263 + 'ACPL Calculations - 2.0'!AA263</f>
        <v>0</v>
      </c>
      <c r="CY263" s="37">
        <v>0.0</v>
      </c>
      <c r="CZ263" s="38">
        <f>'Old Balance Sheet'!Y263 + 'ACPL Calculations - 1.0'!AB263 + 'ACPL Calculations - 2.0'!AB263</f>
        <v>0</v>
      </c>
      <c r="DA263" s="38">
        <f>'Old Balance Sheet'!Z263 + 'ACPL Calculations - 1.0'!AC263 + 'ACPL Calculations - 2.0'!AC263</f>
        <v>0</v>
      </c>
      <c r="DB263" s="38">
        <f>'Old Balance Sheet'!AA263 + 'ACPL Calculations - 1.0'!AD263 + 'ACPL Calculations - 2.0'!AD263</f>
        <v>0</v>
      </c>
      <c r="DC263" s="38">
        <f>'Old Balance Sheet'!AB263 + 'ACPL Calculations - 1.0'!AE263 + 'ACPL Calculations - 2.0'!AE263</f>
        <v>0</v>
      </c>
      <c r="DD263" s="38">
        <f t="shared" si="4"/>
        <v>0</v>
      </c>
      <c r="DE263" s="33">
        <f t="shared" si="5"/>
        <v>0</v>
      </c>
      <c r="DF263" s="35">
        <v>0.0</v>
      </c>
      <c r="DG263" s="35">
        <v>0.0</v>
      </c>
      <c r="DH263" s="35">
        <v>0.0</v>
      </c>
      <c r="DI263" s="35">
        <v>0.0</v>
      </c>
      <c r="DJ263" s="35">
        <v>0.0</v>
      </c>
      <c r="DK263" s="35">
        <v>0.0</v>
      </c>
      <c r="DL263" s="35">
        <v>0.0</v>
      </c>
      <c r="DM263" s="35">
        <v>0.0</v>
      </c>
      <c r="DN263" s="31">
        <v>0.0</v>
      </c>
      <c r="DO263" s="31">
        <v>0.0</v>
      </c>
      <c r="DP263" s="31">
        <v>0.0</v>
      </c>
      <c r="DQ263" s="31">
        <v>0.0</v>
      </c>
      <c r="DR263" s="31">
        <v>0.0</v>
      </c>
      <c r="DS263" s="31">
        <v>0.0</v>
      </c>
      <c r="DT263" s="31">
        <f>'Old Balance Sheet'!AC263</f>
        <v>0</v>
      </c>
      <c r="DU263" s="31">
        <f>DT263 + SUMIFS('Payments Log'!D:D, 'Payments Log'!B:B, A263, 'Payments Log'!L:L, "Approved", 'Payments Log'!M:M, "Credit") + 'Old Balance Sheet'!AD263 - 'Old Balance Sheet'!AC263</f>
        <v>0</v>
      </c>
      <c r="DV263" s="31">
        <f>SUMIFS('Payments Log'!D:D, 'Payments Log'!B:B, A263, 'Payments Log'!L:L, "Approved", 'Payments Log'!M:M, "Adjustment Credit") - SUMIFS('Payments Log'!D:D, 'Payments Log'!B:B, A263, 'Payments Log'!L:L, "Approved", 'Payments Log'!M:M, "Adjustment Debit") + 'Old Balance Sheet'!AE263</f>
        <v>0</v>
      </c>
      <c r="DW263" s="31">
        <f>IF(MAXIFS('Payments Log'!N:N, 'Payments Log'!L:L, "Approved", 'Payments Log'!M:M, "Credit", 'Payments Log'!B:B, A263) &gt; MAXIFS('Payments Log'!N:N, 'Payments Log'!L:L, "Approved", 'Payments Log'!M:M, "Virtual Credit", 'Payments Log'!B:B, A263), 0, SUMIFS('Payments Log'!D:D, 'Payments Log'!N:N, MAXIFS('Payments Log'!N:N, 'Payments Log'!L:L, "Approved", 'Payments Log'!M:M, "Virtual Credit", 'Payments Log'!B:B, A263)))</f>
        <v>0</v>
      </c>
      <c r="DX263" s="33">
        <f t="shared" si="6"/>
        <v>0</v>
      </c>
      <c r="DY263" s="33">
        <f t="shared" si="7"/>
        <v>0</v>
      </c>
      <c r="DZ263" s="33">
        <f t="shared" si="8"/>
        <v>0</v>
      </c>
      <c r="EA263" s="25" t="str">
        <f>(Sheet1!N263)</f>
        <v>Modern Auto Agency - Bettiah</v>
      </c>
      <c r="EB263" s="25" t="str">
        <f>(Sheet1!O263)</f>
        <v>1_UtGSoyOsljQXvmry7gfXGYwjwEjQbghQQGZebnq45M</v>
      </c>
      <c r="EC263" s="26" t="str">
        <f>(Sheet1!P263)</f>
        <v>Sub Dealer</v>
      </c>
      <c r="ED263" s="34" t="s">
        <v>13</v>
      </c>
    </row>
    <row r="264">
      <c r="A264" s="26" t="str">
        <f>(Sheet1!A264)</f>
        <v>1kYYRjA4wQJoSt6FzyKeD92_dgOOGuQjkf6AWpDP6NFo</v>
      </c>
      <c r="B264" s="26" t="str">
        <f>(Sheet1!B264)</f>
        <v>Jyoti Hero Agency(MAA) - Jagdishpur</v>
      </c>
      <c r="C264" s="34" t="s">
        <v>13</v>
      </c>
      <c r="D264" s="34" t="s">
        <v>72</v>
      </c>
      <c r="E264" s="34" t="s">
        <v>3820</v>
      </c>
      <c r="F264" s="34">
        <v>192.0</v>
      </c>
      <c r="G264" s="34" t="s">
        <v>3818</v>
      </c>
      <c r="H264" s="34">
        <v>100.0</v>
      </c>
      <c r="I264" s="33">
        <f>'Old Balance Sheet'!A264 + 'ACPL Calculations - 1.0'!A264 + 'ACPL Calculations - 2.0'!A264</f>
        <v>440</v>
      </c>
      <c r="J264" s="34" t="s">
        <v>3820</v>
      </c>
      <c r="K264" s="34">
        <v>192.0</v>
      </c>
      <c r="L264" s="34" t="s">
        <v>3818</v>
      </c>
      <c r="M264" s="34">
        <v>100.0</v>
      </c>
      <c r="N264" s="33">
        <f>'Old Balance Sheet'!B264 + 'ACPL Calculations - 1.0'!B264 + 'ACPL Calculations - 2.0'!B264</f>
        <v>0</v>
      </c>
      <c r="O264" s="34" t="s">
        <v>3820</v>
      </c>
      <c r="P264" s="34">
        <v>290.0</v>
      </c>
      <c r="Q264" s="34" t="s">
        <v>3818</v>
      </c>
      <c r="R264" s="34">
        <v>100.0</v>
      </c>
      <c r="S264" s="33">
        <f>'Old Balance Sheet'!C264 + 'ACPL Calculations - 1.0'!C264 + 'ACPL Calculations - 2.0'!C264</f>
        <v>0</v>
      </c>
      <c r="T264" s="34" t="s">
        <v>3820</v>
      </c>
      <c r="U264" s="34">
        <v>375.0</v>
      </c>
      <c r="V264" s="34" t="s">
        <v>3818</v>
      </c>
      <c r="W264" s="34">
        <v>100.0</v>
      </c>
      <c r="X264" s="33">
        <f>'Old Balance Sheet'!D264 + 'ACPL Calculations - 1.0'!D264 + 'ACPL Calculations - 2.0'!D264</f>
        <v>0</v>
      </c>
      <c r="Y264" s="34" t="s">
        <v>3820</v>
      </c>
      <c r="Z264" s="34">
        <v>460.0</v>
      </c>
      <c r="AA264" s="32" t="s">
        <v>3818</v>
      </c>
      <c r="AB264" s="31">
        <v>100.0</v>
      </c>
      <c r="AC264" s="33">
        <f>'Old Balance Sheet'!E264 + 'ACPL Calculations - 1.0'!E264 + 'ACPL Calculations - 2.0'!E264</f>
        <v>0</v>
      </c>
      <c r="AD264" s="34" t="s">
        <v>3820</v>
      </c>
      <c r="AE264" s="34">
        <v>838.99</v>
      </c>
      <c r="AF264" s="32" t="s">
        <v>3818</v>
      </c>
      <c r="AG264" s="31">
        <v>100.0</v>
      </c>
      <c r="AH264" s="33">
        <f>'Old Balance Sheet'!F264 + 'ACPL Calculations - 1.0'!F264 + 'ACPL Calculations - 2.0'!F264</f>
        <v>0</v>
      </c>
      <c r="AI264" s="34" t="s">
        <v>3820</v>
      </c>
      <c r="AJ264" s="34">
        <v>375.0</v>
      </c>
      <c r="AK264" s="32" t="s">
        <v>3818</v>
      </c>
      <c r="AL264" s="31">
        <v>100.0</v>
      </c>
      <c r="AM264" s="33">
        <f>'Old Balance Sheet'!G264 + 'ACPL Calculations - 1.0'!G264 + 'ACPL Calculations - 2.0'!G264</f>
        <v>0</v>
      </c>
      <c r="AN264" s="34" t="s">
        <v>3820</v>
      </c>
      <c r="AO264" s="34">
        <v>290.0</v>
      </c>
      <c r="AP264" s="32" t="s">
        <v>3818</v>
      </c>
      <c r="AQ264" s="31">
        <v>100.0</v>
      </c>
      <c r="AR264" s="33">
        <f>'Old Balance Sheet'!H264 + 'ACPL Calculations - 1.0'!H264 + 'ACPL Calculations - 2.0'!H264</f>
        <v>0</v>
      </c>
      <c r="AS264" s="34" t="s">
        <v>3819</v>
      </c>
      <c r="AT264" s="34">
        <v>838.99</v>
      </c>
      <c r="AU264" s="32" t="s">
        <v>3818</v>
      </c>
      <c r="AV264" s="31">
        <v>100.0</v>
      </c>
      <c r="AW264" s="33">
        <f>'Old Balance Sheet'!I264 + 'ACPL Calculations - 1.0'!I264 + 'ACPL Calculations - 2.0'!I264</f>
        <v>0</v>
      </c>
      <c r="AX264" s="34" t="s">
        <v>3820</v>
      </c>
      <c r="AY264" s="34">
        <v>290.0</v>
      </c>
      <c r="AZ264" s="32" t="s">
        <v>3818</v>
      </c>
      <c r="BA264" s="31">
        <v>100.0</v>
      </c>
      <c r="BB264" s="33">
        <f>'Old Balance Sheet'!J264 + 'ACPL Calculations - 1.0'!J264 + 'ACPL Calculations - 2.0'!J264</f>
        <v>0</v>
      </c>
      <c r="BC264" s="34" t="s">
        <v>3820</v>
      </c>
      <c r="BD264" s="34">
        <v>205.0</v>
      </c>
      <c r="BE264" s="32" t="s">
        <v>3818</v>
      </c>
      <c r="BF264" s="31">
        <v>100.0</v>
      </c>
      <c r="BG264" s="33">
        <f>'Old Balance Sheet'!K264 + 'ACPL Calculations - 1.0'!K264 + 'ACPL Calculations - 2.0'!K264</f>
        <v>0</v>
      </c>
      <c r="BH264" s="34" t="s">
        <v>3820</v>
      </c>
      <c r="BI264" s="34">
        <v>205.0</v>
      </c>
      <c r="BJ264" s="32" t="s">
        <v>3818</v>
      </c>
      <c r="BK264" s="31">
        <v>100.0</v>
      </c>
      <c r="BL264" s="33">
        <f>'Old Balance Sheet'!L264 + 'ACPL Calculations - 1.0'!L264 + 'ACPL Calculations - 2.0'!L264</f>
        <v>0</v>
      </c>
      <c r="CL264" s="33">
        <f t="shared" si="1"/>
        <v>440</v>
      </c>
      <c r="CM264" s="33">
        <f>'Old Balance Sheet'!R264 + 'ACPL Calculations - 1.0'!S264 + 'ACPL Calculations - 2.0'!S264</f>
        <v>194480</v>
      </c>
      <c r="CN264" s="33">
        <f>'Old Balance Sheet'!S264 + 'ACPL Calculations - 1.0'!T264 + 'ACPL Calculations - 2.0'!T264</f>
        <v>84480</v>
      </c>
      <c r="CO264" s="33">
        <f t="shared" si="2"/>
        <v>114144.8</v>
      </c>
      <c r="CP264" s="33">
        <f>'Old Balance Sheet'!T264 + 'ACPL Calculations - 1.0'!V264 + 'ACPL Calculations - 2.0'!V264</f>
        <v>0</v>
      </c>
      <c r="CQ264" s="33">
        <f>'Old Balance Sheet'!U264 + 'ACPL Calculations - 1.0'!W264 + 'ACPL Calculations - 2.0'!W264</f>
        <v>0</v>
      </c>
      <c r="CR264" s="33">
        <f>'Old Balance Sheet'!V264 + 'ACPL Calculations - 1.0'!X264 + 'ACPL Calculations - 2.0'!X264</f>
        <v>29664.8</v>
      </c>
      <c r="CS264" s="33">
        <f t="shared" si="3"/>
        <v>29664.8</v>
      </c>
      <c r="CT264" s="35"/>
      <c r="CU264" s="35"/>
      <c r="CV264" s="35"/>
      <c r="CW264" s="36">
        <f>'Old Balance Sheet'!W264 + 'ACPL Calculations - 1.0'!Z264 + 'ACPL Calculations - 2.0'!Z264</f>
        <v>0</v>
      </c>
      <c r="CX264" s="36">
        <f>'Old Balance Sheet'!X264 + 'ACPL Calculations - 1.0'!AA264 + 'ACPL Calculations - 2.0'!AA264</f>
        <v>0</v>
      </c>
      <c r="CY264" s="37">
        <v>0.0</v>
      </c>
      <c r="CZ264" s="38">
        <f>'Old Balance Sheet'!Y264 + 'ACPL Calculations - 1.0'!AB264 + 'ACPL Calculations - 2.0'!AB264</f>
        <v>0</v>
      </c>
      <c r="DA264" s="38">
        <f>'Old Balance Sheet'!Z264 + 'ACPL Calculations - 1.0'!AC264 + 'ACPL Calculations - 2.0'!AC264</f>
        <v>0</v>
      </c>
      <c r="DB264" s="38">
        <f>'Old Balance Sheet'!AA264 + 'ACPL Calculations - 1.0'!AD264 + 'ACPL Calculations - 2.0'!AD264</f>
        <v>0</v>
      </c>
      <c r="DC264" s="38">
        <f>'Old Balance Sheet'!AB264 + 'ACPL Calculations - 1.0'!AE264 + 'ACPL Calculations - 2.0'!AE264</f>
        <v>0</v>
      </c>
      <c r="DD264" s="38">
        <f t="shared" si="4"/>
        <v>0</v>
      </c>
      <c r="DE264" s="33">
        <f t="shared" si="5"/>
        <v>0</v>
      </c>
      <c r="DF264" s="35">
        <v>0.0</v>
      </c>
      <c r="DG264" s="35">
        <v>0.0</v>
      </c>
      <c r="DH264" s="35">
        <v>0.0</v>
      </c>
      <c r="DI264" s="35">
        <v>0.0</v>
      </c>
      <c r="DJ264" s="35">
        <v>0.0</v>
      </c>
      <c r="DK264" s="35">
        <v>0.0</v>
      </c>
      <c r="DL264" s="35">
        <v>0.0</v>
      </c>
      <c r="DM264" s="35">
        <v>0.0</v>
      </c>
      <c r="DN264" s="31">
        <v>0.0</v>
      </c>
      <c r="DO264" s="31">
        <v>0.0</v>
      </c>
      <c r="DP264" s="31">
        <v>0.0</v>
      </c>
      <c r="DQ264" s="31">
        <v>0.0</v>
      </c>
      <c r="DR264" s="31">
        <v>0.0</v>
      </c>
      <c r="DS264" s="31">
        <v>0.0</v>
      </c>
      <c r="DT264" s="31">
        <f>'Old Balance Sheet'!AC264</f>
        <v>0</v>
      </c>
      <c r="DU264" s="31">
        <f>DT264 + SUMIFS('Payments Log'!D:D, 'Payments Log'!B:B, A264, 'Payments Log'!L:L, "Approved", 'Payments Log'!M:M, "Credit") + 'Old Balance Sheet'!AD264 - 'Old Balance Sheet'!AC264</f>
        <v>0</v>
      </c>
      <c r="DV264" s="31">
        <f>SUMIFS('Payments Log'!D:D, 'Payments Log'!B:B, A264, 'Payments Log'!L:L, "Approved", 'Payments Log'!M:M, "Adjustment Credit") - SUMIFS('Payments Log'!D:D, 'Payments Log'!B:B, A264, 'Payments Log'!L:L, "Approved", 'Payments Log'!M:M, "Adjustment Debit") + 'Old Balance Sheet'!AE264</f>
        <v>0</v>
      </c>
      <c r="DW264" s="31">
        <f>IF(MAXIFS('Payments Log'!N:N, 'Payments Log'!L:L, "Approved", 'Payments Log'!M:M, "Credit", 'Payments Log'!B:B, A264) &gt; MAXIFS('Payments Log'!N:N, 'Payments Log'!L:L, "Approved", 'Payments Log'!M:M, "Virtual Credit", 'Payments Log'!B:B, A264), 0, SUMIFS('Payments Log'!D:D, 'Payments Log'!N:N, MAXIFS('Payments Log'!N:N, 'Payments Log'!L:L, "Approved", 'Payments Log'!M:M, "Virtual Credit", 'Payments Log'!B:B, A264)))</f>
        <v>0</v>
      </c>
      <c r="DX264" s="33">
        <f t="shared" si="6"/>
        <v>0</v>
      </c>
      <c r="DY264" s="33">
        <f t="shared" si="7"/>
        <v>0</v>
      </c>
      <c r="DZ264" s="33">
        <f t="shared" si="8"/>
        <v>0</v>
      </c>
      <c r="EA264" s="25" t="str">
        <f>(Sheet1!N264)</f>
        <v>Modern Auto Agency - Bettiah</v>
      </c>
      <c r="EB264" s="25" t="str">
        <f>(Sheet1!O264)</f>
        <v>1_UtGSoyOsljQXvmry7gfXGYwjwEjQbghQQGZebnq45M</v>
      </c>
      <c r="EC264" s="26" t="str">
        <f>(Sheet1!P264)</f>
        <v>Sub Dealer</v>
      </c>
      <c r="ED264" s="34" t="s">
        <v>13</v>
      </c>
    </row>
    <row r="265">
      <c r="A265" s="26" t="str">
        <f>(Sheet1!A265)</f>
        <v>1LTIwWSogdMZBmad9vycGhuGyAwmeSg8ug5WYA6jHDdw</v>
      </c>
      <c r="B265" s="26" t="str">
        <f>(Sheet1!B265)</f>
        <v>SHRI GURUKRIPA-MORNA(SBH)</v>
      </c>
      <c r="C265" s="34" t="s">
        <v>13</v>
      </c>
      <c r="D265" s="34" t="s">
        <v>72</v>
      </c>
      <c r="E265" s="34" t="s">
        <v>3819</v>
      </c>
      <c r="F265" s="34">
        <v>169.5</v>
      </c>
      <c r="G265" s="34" t="s">
        <v>3818</v>
      </c>
      <c r="H265" s="34">
        <v>100.0</v>
      </c>
      <c r="I265" s="33">
        <f>'Old Balance Sheet'!A265 + 'ACPL Calculations - 1.0'!A265 + 'ACPL Calculations - 2.0'!A265</f>
        <v>323</v>
      </c>
      <c r="J265" s="34" t="s">
        <v>3819</v>
      </c>
      <c r="K265" s="34">
        <v>205.0</v>
      </c>
      <c r="L265" s="34" t="s">
        <v>3818</v>
      </c>
      <c r="M265" s="34">
        <v>100.0</v>
      </c>
      <c r="N265" s="33">
        <f>'Old Balance Sheet'!B265 + 'ACPL Calculations - 1.0'!B265 + 'ACPL Calculations - 2.0'!B265</f>
        <v>0</v>
      </c>
      <c r="O265" s="34" t="s">
        <v>3819</v>
      </c>
      <c r="P265" s="34">
        <v>290.0</v>
      </c>
      <c r="Q265" s="34" t="s">
        <v>3818</v>
      </c>
      <c r="R265" s="34">
        <v>100.0</v>
      </c>
      <c r="S265" s="33">
        <f>'Old Balance Sheet'!C265 + 'ACPL Calculations - 1.0'!C265 + 'ACPL Calculations - 2.0'!C265</f>
        <v>0</v>
      </c>
      <c r="T265" s="34" t="s">
        <v>3819</v>
      </c>
      <c r="U265" s="34">
        <v>375.0</v>
      </c>
      <c r="V265" s="34" t="s">
        <v>3818</v>
      </c>
      <c r="W265" s="34">
        <v>100.0</v>
      </c>
      <c r="X265" s="33">
        <f>'Old Balance Sheet'!D265 + 'ACPL Calculations - 1.0'!D265 + 'ACPL Calculations - 2.0'!D265</f>
        <v>0</v>
      </c>
      <c r="Y265" s="34" t="s">
        <v>3819</v>
      </c>
      <c r="Z265" s="34">
        <v>339.0</v>
      </c>
      <c r="AA265" s="32" t="s">
        <v>3818</v>
      </c>
      <c r="AB265" s="31">
        <v>100.0</v>
      </c>
      <c r="AC265" s="33">
        <f>'Old Balance Sheet'!E265 + 'ACPL Calculations - 1.0'!E265 + 'ACPL Calculations - 2.0'!E265</f>
        <v>0</v>
      </c>
      <c r="AD265" s="34" t="s">
        <v>3819</v>
      </c>
      <c r="AE265" s="34">
        <v>838.99</v>
      </c>
      <c r="AF265" s="32" t="s">
        <v>3818</v>
      </c>
      <c r="AG265" s="31">
        <v>100.0</v>
      </c>
      <c r="AH265" s="33">
        <f>'Old Balance Sheet'!F265 + 'ACPL Calculations - 1.0'!F265 + 'ACPL Calculations - 2.0'!F265</f>
        <v>0</v>
      </c>
      <c r="AI265" s="34" t="s">
        <v>3819</v>
      </c>
      <c r="AJ265" s="34">
        <v>375.0</v>
      </c>
      <c r="AK265" s="32" t="s">
        <v>3818</v>
      </c>
      <c r="AL265" s="31">
        <v>100.0</v>
      </c>
      <c r="AM265" s="33">
        <f>'Old Balance Sheet'!G265 + 'ACPL Calculations - 1.0'!G265 + 'ACPL Calculations - 2.0'!G265</f>
        <v>0</v>
      </c>
      <c r="AN265" s="34" t="s">
        <v>3819</v>
      </c>
      <c r="AO265" s="34">
        <v>290.0</v>
      </c>
      <c r="AP265" s="32" t="s">
        <v>3818</v>
      </c>
      <c r="AQ265" s="31">
        <v>100.0</v>
      </c>
      <c r="AR265" s="33">
        <f>'Old Balance Sheet'!H265 + 'ACPL Calculations - 1.0'!H265 + 'ACPL Calculations - 2.0'!H265</f>
        <v>0</v>
      </c>
      <c r="AS265" s="34" t="s">
        <v>3819</v>
      </c>
      <c r="AT265" s="34">
        <v>838.99</v>
      </c>
      <c r="AU265" s="32" t="s">
        <v>3818</v>
      </c>
      <c r="AV265" s="31">
        <v>100.0</v>
      </c>
      <c r="AW265" s="33">
        <f>'Old Balance Sheet'!I265 + 'ACPL Calculations - 1.0'!I265 + 'ACPL Calculations - 2.0'!I265</f>
        <v>0</v>
      </c>
      <c r="AX265" s="34" t="s">
        <v>3819</v>
      </c>
      <c r="AY265" s="34">
        <v>290.0</v>
      </c>
      <c r="AZ265" s="32" t="s">
        <v>3818</v>
      </c>
      <c r="BA265" s="31">
        <v>100.0</v>
      </c>
      <c r="BB265" s="33">
        <f>'Old Balance Sheet'!J265 + 'ACPL Calculations - 1.0'!J265 + 'ACPL Calculations - 2.0'!J265</f>
        <v>0</v>
      </c>
      <c r="BC265" s="34" t="s">
        <v>3819</v>
      </c>
      <c r="BD265" s="34">
        <v>205.0</v>
      </c>
      <c r="BE265" s="32" t="s">
        <v>3818</v>
      </c>
      <c r="BF265" s="31">
        <v>100.0</v>
      </c>
      <c r="BG265" s="33">
        <f>'Old Balance Sheet'!K265 + 'ACPL Calculations - 1.0'!K265 + 'ACPL Calculations - 2.0'!K265</f>
        <v>0</v>
      </c>
      <c r="BH265" s="34" t="s">
        <v>3819</v>
      </c>
      <c r="BI265" s="34">
        <v>205.0</v>
      </c>
      <c r="BJ265" s="32" t="s">
        <v>3818</v>
      </c>
      <c r="BK265" s="31">
        <v>100.0</v>
      </c>
      <c r="BL265" s="33">
        <f>'Old Balance Sheet'!L265 + 'ACPL Calculations - 1.0'!L265 + 'ACPL Calculations - 2.0'!L265</f>
        <v>0</v>
      </c>
      <c r="CL265" s="33">
        <f t="shared" si="1"/>
        <v>323</v>
      </c>
      <c r="CM265" s="33">
        <f>'Old Balance Sheet'!R265 + 'ACPL Calculations - 1.0'!S265 + 'ACPL Calculations - 2.0'!S265</f>
        <v>64603.24</v>
      </c>
      <c r="CN265" s="33">
        <f>'Old Balance Sheet'!S265 + 'ACPL Calculations - 1.0'!T265 + 'ACPL Calculations - 2.0'!T265</f>
        <v>54748.5</v>
      </c>
      <c r="CO265" s="33">
        <f t="shared" si="2"/>
        <v>64603.24</v>
      </c>
      <c r="CP265" s="33">
        <f>'Old Balance Sheet'!T265 + 'ACPL Calculations - 1.0'!V265 + 'ACPL Calculations - 2.0'!V265</f>
        <v>15.26</v>
      </c>
      <c r="CQ265" s="33">
        <f>'Old Balance Sheet'!U265 + 'ACPL Calculations - 1.0'!W265 + 'ACPL Calculations - 2.0'!W265</f>
        <v>15.26</v>
      </c>
      <c r="CR265" s="33">
        <f>'Old Balance Sheet'!V265 + 'ACPL Calculations - 1.0'!X265 + 'ACPL Calculations - 2.0'!X265</f>
        <v>9824.22</v>
      </c>
      <c r="CS265" s="33">
        <f t="shared" si="3"/>
        <v>9854.74</v>
      </c>
      <c r="CT265" s="35"/>
      <c r="CU265" s="35"/>
      <c r="CV265" s="35"/>
      <c r="CW265" s="36">
        <f>'Old Balance Sheet'!W265 + 'ACPL Calculations - 1.0'!Z265 + 'ACPL Calculations - 2.0'!Z265</f>
        <v>0</v>
      </c>
      <c r="CX265" s="36">
        <f>'Old Balance Sheet'!X265 + 'ACPL Calculations - 1.0'!AA265 + 'ACPL Calculations - 2.0'!AA265</f>
        <v>0</v>
      </c>
      <c r="CY265" s="37">
        <v>0.0</v>
      </c>
      <c r="CZ265" s="38">
        <f>'Old Balance Sheet'!Y265 + 'ACPL Calculations - 1.0'!AB265 + 'ACPL Calculations - 2.0'!AB265</f>
        <v>0</v>
      </c>
      <c r="DA265" s="38">
        <f>'Old Balance Sheet'!Z265 + 'ACPL Calculations - 1.0'!AC265 + 'ACPL Calculations - 2.0'!AC265</f>
        <v>0</v>
      </c>
      <c r="DB265" s="38">
        <f>'Old Balance Sheet'!AA265 + 'ACPL Calculations - 1.0'!AD265 + 'ACPL Calculations - 2.0'!AD265</f>
        <v>0</v>
      </c>
      <c r="DC265" s="38">
        <f>'Old Balance Sheet'!AB265 + 'ACPL Calculations - 1.0'!AE265 + 'ACPL Calculations - 2.0'!AE265</f>
        <v>0</v>
      </c>
      <c r="DD265" s="38">
        <f t="shared" si="4"/>
        <v>0</v>
      </c>
      <c r="DE265" s="33">
        <f t="shared" si="5"/>
        <v>0</v>
      </c>
      <c r="DF265" s="35">
        <v>0.0</v>
      </c>
      <c r="DG265" s="35">
        <v>0.0</v>
      </c>
      <c r="DH265" s="35">
        <v>0.0</v>
      </c>
      <c r="DI265" s="35">
        <v>0.0</v>
      </c>
      <c r="DJ265" s="35">
        <v>0.0</v>
      </c>
      <c r="DK265" s="35">
        <v>0.0</v>
      </c>
      <c r="DL265" s="35">
        <v>0.0</v>
      </c>
      <c r="DM265" s="35">
        <v>0.0</v>
      </c>
      <c r="DN265" s="31">
        <v>0.0</v>
      </c>
      <c r="DO265" s="31">
        <v>0.0</v>
      </c>
      <c r="DP265" s="31">
        <v>0.0</v>
      </c>
      <c r="DQ265" s="31">
        <v>0.0</v>
      </c>
      <c r="DR265" s="31">
        <v>0.0</v>
      </c>
      <c r="DS265" s="31">
        <v>0.0</v>
      </c>
      <c r="DT265" s="31">
        <f>'Old Balance Sheet'!AC265</f>
        <v>0</v>
      </c>
      <c r="DU265" s="31">
        <f>DT265 + SUMIFS('Payments Log'!D:D, 'Payments Log'!B:B, A265, 'Payments Log'!L:L, "Approved", 'Payments Log'!M:M, "Credit") + 'Old Balance Sheet'!AD265 - 'Old Balance Sheet'!AC265</f>
        <v>0</v>
      </c>
      <c r="DV265" s="31">
        <f>SUMIFS('Payments Log'!D:D, 'Payments Log'!B:B, A265, 'Payments Log'!L:L, "Approved", 'Payments Log'!M:M, "Adjustment Credit") - SUMIFS('Payments Log'!D:D, 'Payments Log'!B:B, A265, 'Payments Log'!L:L, "Approved", 'Payments Log'!M:M, "Adjustment Debit") + 'Old Balance Sheet'!AE265</f>
        <v>0</v>
      </c>
      <c r="DW265" s="31">
        <f>IF(MAXIFS('Payments Log'!N:N, 'Payments Log'!L:L, "Approved", 'Payments Log'!M:M, "Credit", 'Payments Log'!B:B, A265) &gt; MAXIFS('Payments Log'!N:N, 'Payments Log'!L:L, "Approved", 'Payments Log'!M:M, "Virtual Credit", 'Payments Log'!B:B, A265), 0, SUMIFS('Payments Log'!D:D, 'Payments Log'!N:N, MAXIFS('Payments Log'!N:N, 'Payments Log'!L:L, "Approved", 'Payments Log'!M:M, "Virtual Credit", 'Payments Log'!B:B, A265)))</f>
        <v>0</v>
      </c>
      <c r="DX265" s="33">
        <f t="shared" si="6"/>
        <v>0</v>
      </c>
      <c r="DY265" s="33">
        <f t="shared" si="7"/>
        <v>0</v>
      </c>
      <c r="DZ265" s="33">
        <f t="shared" si="8"/>
        <v>0</v>
      </c>
      <c r="EA265" s="25" t="str">
        <f>(Sheet1!N265)</f>
        <v>Shri Balaji Hero - Muzaffarnagar</v>
      </c>
      <c r="EB265" s="25" t="str">
        <f>(Sheet1!O265)</f>
        <v>1qJGCYN0EdS2nWGXVYAHwXqSjiLE2C95anQkkbLONbKQ</v>
      </c>
      <c r="EC265" s="26" t="str">
        <f>(Sheet1!P265)</f>
        <v>Sub Dealer</v>
      </c>
      <c r="ED265" s="34" t="s">
        <v>13</v>
      </c>
    </row>
    <row r="266">
      <c r="A266" s="26" t="str">
        <f>(Sheet1!A266)</f>
        <v>1g0qiuDcnbyBi-CYwlfpEUrOj5boKaQ0D16LWou5stMc</v>
      </c>
      <c r="B266" s="26" t="str">
        <f>(Sheet1!B266)</f>
        <v> VINAYAK AUTOMOBILES-TITAWI(SBH)</v>
      </c>
      <c r="C266" s="34" t="s">
        <v>13</v>
      </c>
      <c r="D266" s="34" t="s">
        <v>72</v>
      </c>
      <c r="E266" s="34" t="s">
        <v>3819</v>
      </c>
      <c r="F266" s="34">
        <v>169.5</v>
      </c>
      <c r="G266" s="34" t="s">
        <v>3818</v>
      </c>
      <c r="H266" s="34">
        <v>100.0</v>
      </c>
      <c r="I266" s="33">
        <f>'Old Balance Sheet'!A266 + 'ACPL Calculations - 1.0'!A266 + 'ACPL Calculations - 2.0'!A266</f>
        <v>99</v>
      </c>
      <c r="J266" s="34" t="s">
        <v>3819</v>
      </c>
      <c r="K266" s="34">
        <v>205.0</v>
      </c>
      <c r="L266" s="34" t="s">
        <v>3818</v>
      </c>
      <c r="M266" s="34">
        <v>100.0</v>
      </c>
      <c r="N266" s="33">
        <f>'Old Balance Sheet'!B266 + 'ACPL Calculations - 1.0'!B266 + 'ACPL Calculations - 2.0'!B266</f>
        <v>0</v>
      </c>
      <c r="O266" s="34" t="s">
        <v>3819</v>
      </c>
      <c r="P266" s="34">
        <v>290.0</v>
      </c>
      <c r="Q266" s="34" t="s">
        <v>3818</v>
      </c>
      <c r="R266" s="34">
        <v>100.0</v>
      </c>
      <c r="S266" s="33">
        <f>'Old Balance Sheet'!C266 + 'ACPL Calculations - 1.0'!C266 + 'ACPL Calculations - 2.0'!C266</f>
        <v>0</v>
      </c>
      <c r="T266" s="34" t="s">
        <v>3819</v>
      </c>
      <c r="U266" s="34">
        <v>375.0</v>
      </c>
      <c r="V266" s="34" t="s">
        <v>3818</v>
      </c>
      <c r="W266" s="34">
        <v>100.0</v>
      </c>
      <c r="X266" s="33">
        <f>'Old Balance Sheet'!D266 + 'ACPL Calculations - 1.0'!D266 + 'ACPL Calculations - 2.0'!D266</f>
        <v>0</v>
      </c>
      <c r="Y266" s="34" t="s">
        <v>3819</v>
      </c>
      <c r="Z266" s="34">
        <v>339.0</v>
      </c>
      <c r="AA266" s="32" t="s">
        <v>3818</v>
      </c>
      <c r="AB266" s="31">
        <v>100.0</v>
      </c>
      <c r="AC266" s="33">
        <f>'Old Balance Sheet'!E266 + 'ACPL Calculations - 1.0'!E266 + 'ACPL Calculations - 2.0'!E266</f>
        <v>0</v>
      </c>
      <c r="AD266" s="34" t="s">
        <v>3819</v>
      </c>
      <c r="AE266" s="34">
        <v>838.99</v>
      </c>
      <c r="AF266" s="32" t="s">
        <v>3818</v>
      </c>
      <c r="AG266" s="31">
        <v>100.0</v>
      </c>
      <c r="AH266" s="33">
        <f>'Old Balance Sheet'!F266 + 'ACPL Calculations - 1.0'!F266 + 'ACPL Calculations - 2.0'!F266</f>
        <v>0</v>
      </c>
      <c r="AI266" s="34" t="s">
        <v>3819</v>
      </c>
      <c r="AJ266" s="34">
        <v>375.0</v>
      </c>
      <c r="AK266" s="32" t="s">
        <v>3818</v>
      </c>
      <c r="AL266" s="31">
        <v>100.0</v>
      </c>
      <c r="AM266" s="33">
        <f>'Old Balance Sheet'!G266 + 'ACPL Calculations - 1.0'!G266 + 'ACPL Calculations - 2.0'!G266</f>
        <v>0</v>
      </c>
      <c r="AN266" s="34" t="s">
        <v>3819</v>
      </c>
      <c r="AO266" s="34">
        <v>290.0</v>
      </c>
      <c r="AP266" s="32" t="s">
        <v>3818</v>
      </c>
      <c r="AQ266" s="31">
        <v>100.0</v>
      </c>
      <c r="AR266" s="33">
        <f>'Old Balance Sheet'!H266 + 'ACPL Calculations - 1.0'!H266 + 'ACPL Calculations - 2.0'!H266</f>
        <v>0</v>
      </c>
      <c r="AS266" s="34" t="s">
        <v>3819</v>
      </c>
      <c r="AT266" s="34">
        <v>838.99</v>
      </c>
      <c r="AU266" s="32" t="s">
        <v>3818</v>
      </c>
      <c r="AV266" s="31">
        <v>100.0</v>
      </c>
      <c r="AW266" s="33">
        <f>'Old Balance Sheet'!I266 + 'ACPL Calculations - 1.0'!I266 + 'ACPL Calculations - 2.0'!I266</f>
        <v>0</v>
      </c>
      <c r="AX266" s="34" t="s">
        <v>3819</v>
      </c>
      <c r="AY266" s="34">
        <v>290.0</v>
      </c>
      <c r="AZ266" s="32" t="s">
        <v>3818</v>
      </c>
      <c r="BA266" s="31">
        <v>100.0</v>
      </c>
      <c r="BB266" s="33">
        <f>'Old Balance Sheet'!J266 + 'ACPL Calculations - 1.0'!J266 + 'ACPL Calculations - 2.0'!J266</f>
        <v>0</v>
      </c>
      <c r="BC266" s="34" t="s">
        <v>3819</v>
      </c>
      <c r="BD266" s="34">
        <v>205.0</v>
      </c>
      <c r="BE266" s="32" t="s">
        <v>3818</v>
      </c>
      <c r="BF266" s="31">
        <v>100.0</v>
      </c>
      <c r="BG266" s="33">
        <f>'Old Balance Sheet'!K266 + 'ACPL Calculations - 1.0'!K266 + 'ACPL Calculations - 2.0'!K266</f>
        <v>0</v>
      </c>
      <c r="BH266" s="34" t="s">
        <v>3819</v>
      </c>
      <c r="BI266" s="34">
        <v>205.0</v>
      </c>
      <c r="BJ266" s="32" t="s">
        <v>3818</v>
      </c>
      <c r="BK266" s="31">
        <v>100.0</v>
      </c>
      <c r="BL266" s="33">
        <f>'Old Balance Sheet'!L266 + 'ACPL Calculations - 1.0'!L266 + 'ACPL Calculations - 2.0'!L266</f>
        <v>0</v>
      </c>
      <c r="CL266" s="33">
        <f t="shared" si="1"/>
        <v>99</v>
      </c>
      <c r="CM266" s="33">
        <f>'Old Balance Sheet'!R266 + 'ACPL Calculations - 1.0'!S266 + 'ACPL Calculations - 2.0'!S266</f>
        <v>19800.99</v>
      </c>
      <c r="CN266" s="33">
        <f>'Old Balance Sheet'!S266 + 'ACPL Calculations - 1.0'!T266 + 'ACPL Calculations - 2.0'!T266</f>
        <v>16780.5</v>
      </c>
      <c r="CO266" s="33">
        <f t="shared" si="2"/>
        <v>19800.99</v>
      </c>
      <c r="CP266" s="33">
        <f>'Old Balance Sheet'!T266 + 'ACPL Calculations - 1.0'!V266 + 'ACPL Calculations - 2.0'!V266</f>
        <v>0</v>
      </c>
      <c r="CQ266" s="33">
        <f>'Old Balance Sheet'!U266 + 'ACPL Calculations - 1.0'!W266 + 'ACPL Calculations - 2.0'!W266</f>
        <v>0</v>
      </c>
      <c r="CR266" s="33">
        <f>'Old Balance Sheet'!V266 + 'ACPL Calculations - 1.0'!X266 + 'ACPL Calculations - 2.0'!X266</f>
        <v>3020.49</v>
      </c>
      <c r="CS266" s="33">
        <f t="shared" si="3"/>
        <v>3020.49</v>
      </c>
      <c r="CT266" s="35"/>
      <c r="CU266" s="35"/>
      <c r="CV266" s="35"/>
      <c r="CW266" s="36">
        <f>'Old Balance Sheet'!W266 + 'ACPL Calculations - 1.0'!Z266 + 'ACPL Calculations - 2.0'!Z266</f>
        <v>0</v>
      </c>
      <c r="CX266" s="36">
        <f>'Old Balance Sheet'!X266 + 'ACPL Calculations - 1.0'!AA266 + 'ACPL Calculations - 2.0'!AA266</f>
        <v>0</v>
      </c>
      <c r="CY266" s="37">
        <v>0.0</v>
      </c>
      <c r="CZ266" s="38">
        <f>'Old Balance Sheet'!Y266 + 'ACPL Calculations - 1.0'!AB266 + 'ACPL Calculations - 2.0'!AB266</f>
        <v>0</v>
      </c>
      <c r="DA266" s="38">
        <f>'Old Balance Sheet'!Z266 + 'ACPL Calculations - 1.0'!AC266 + 'ACPL Calculations - 2.0'!AC266</f>
        <v>0</v>
      </c>
      <c r="DB266" s="38">
        <f>'Old Balance Sheet'!AA266 + 'ACPL Calculations - 1.0'!AD266 + 'ACPL Calculations - 2.0'!AD266</f>
        <v>0</v>
      </c>
      <c r="DC266" s="38">
        <f>'Old Balance Sheet'!AB266 + 'ACPL Calculations - 1.0'!AE266 + 'ACPL Calculations - 2.0'!AE266</f>
        <v>0</v>
      </c>
      <c r="DD266" s="38">
        <f t="shared" si="4"/>
        <v>0</v>
      </c>
      <c r="DE266" s="33">
        <f t="shared" si="5"/>
        <v>0</v>
      </c>
      <c r="DF266" s="35">
        <v>0.0</v>
      </c>
      <c r="DG266" s="35">
        <v>0.0</v>
      </c>
      <c r="DH266" s="35">
        <v>0.0</v>
      </c>
      <c r="DI266" s="35">
        <v>0.0</v>
      </c>
      <c r="DJ266" s="35">
        <v>0.0</v>
      </c>
      <c r="DK266" s="35">
        <v>0.0</v>
      </c>
      <c r="DL266" s="35">
        <v>0.0</v>
      </c>
      <c r="DM266" s="35">
        <v>0.0</v>
      </c>
      <c r="DN266" s="31">
        <v>0.0</v>
      </c>
      <c r="DO266" s="31">
        <v>0.0</v>
      </c>
      <c r="DP266" s="31">
        <v>0.0</v>
      </c>
      <c r="DQ266" s="31">
        <v>0.0</v>
      </c>
      <c r="DR266" s="31">
        <v>0.0</v>
      </c>
      <c r="DS266" s="31">
        <v>0.0</v>
      </c>
      <c r="DT266" s="31">
        <f>'Old Balance Sheet'!AC266</f>
        <v>0</v>
      </c>
      <c r="DU266" s="31">
        <f>DT266 + SUMIFS('Payments Log'!D:D, 'Payments Log'!B:B, A266, 'Payments Log'!L:L, "Approved", 'Payments Log'!M:M, "Credit") + 'Old Balance Sheet'!AD266 - 'Old Balance Sheet'!AC266</f>
        <v>0</v>
      </c>
      <c r="DV266" s="31">
        <f>SUMIFS('Payments Log'!D:D, 'Payments Log'!B:B, A266, 'Payments Log'!L:L, "Approved", 'Payments Log'!M:M, "Adjustment Credit") - SUMIFS('Payments Log'!D:D, 'Payments Log'!B:B, A266, 'Payments Log'!L:L, "Approved", 'Payments Log'!M:M, "Adjustment Debit") + 'Old Balance Sheet'!AE266</f>
        <v>0</v>
      </c>
      <c r="DW266" s="31">
        <f>IF(MAXIFS('Payments Log'!N:N, 'Payments Log'!L:L, "Approved", 'Payments Log'!M:M, "Credit", 'Payments Log'!B:B, A266) &gt; MAXIFS('Payments Log'!N:N, 'Payments Log'!L:L, "Approved", 'Payments Log'!M:M, "Virtual Credit", 'Payments Log'!B:B, A266), 0, SUMIFS('Payments Log'!D:D, 'Payments Log'!N:N, MAXIFS('Payments Log'!N:N, 'Payments Log'!L:L, "Approved", 'Payments Log'!M:M, "Virtual Credit", 'Payments Log'!B:B, A266)))</f>
        <v>0</v>
      </c>
      <c r="DX266" s="33">
        <f t="shared" si="6"/>
        <v>0</v>
      </c>
      <c r="DY266" s="33">
        <f t="shared" si="7"/>
        <v>0</v>
      </c>
      <c r="DZ266" s="33">
        <f t="shared" si="8"/>
        <v>0</v>
      </c>
      <c r="EA266" s="25" t="str">
        <f>(Sheet1!N266)</f>
        <v>Shri Balaji Hero - Muzaffarnagar</v>
      </c>
      <c r="EB266" s="25" t="str">
        <f>(Sheet1!O266)</f>
        <v>1qJGCYN0EdS2nWGXVYAHwXqSjiLE2C95anQkkbLONbKQ</v>
      </c>
      <c r="EC266" s="26" t="str">
        <f>(Sheet1!P266)</f>
        <v>Sub Dealer</v>
      </c>
      <c r="ED266" s="34" t="s">
        <v>13</v>
      </c>
    </row>
    <row r="267">
      <c r="A267" s="26" t="str">
        <f>(Sheet1!A267)</f>
        <v>11f9wtVFkWuND5MycjAQF0s33JyN2F1jC8n_ilAvNXUE</v>
      </c>
      <c r="B267" s="26" t="str">
        <f>(Sheet1!B267)</f>
        <v>Om moters (AAA) - Jalali</v>
      </c>
      <c r="C267" s="34" t="s">
        <v>13</v>
      </c>
      <c r="D267" s="34" t="s">
        <v>72</v>
      </c>
      <c r="E267" s="30" t="s">
        <v>3819</v>
      </c>
      <c r="F267" s="34">
        <v>155.0</v>
      </c>
      <c r="G267" s="34" t="s">
        <v>3818</v>
      </c>
      <c r="H267" s="34">
        <v>100.0</v>
      </c>
      <c r="I267" s="33">
        <f>'Old Balance Sheet'!A267 + 'ACPL Calculations - 1.0'!A267 + 'ACPL Calculations - 2.0'!A267</f>
        <v>0</v>
      </c>
      <c r="J267" s="30" t="s">
        <v>3819</v>
      </c>
      <c r="K267" s="34">
        <v>155.0</v>
      </c>
      <c r="L267" s="34" t="s">
        <v>3818</v>
      </c>
      <c r="M267" s="34">
        <v>100.0</v>
      </c>
      <c r="N267" s="33">
        <f>'Old Balance Sheet'!B267 + 'ACPL Calculations - 1.0'!B267 + 'ACPL Calculations - 2.0'!B267</f>
        <v>0</v>
      </c>
      <c r="O267" s="30" t="s">
        <v>3819</v>
      </c>
      <c r="P267" s="34">
        <v>155.0</v>
      </c>
      <c r="Q267" s="34" t="s">
        <v>3818</v>
      </c>
      <c r="R267" s="34">
        <v>100.0</v>
      </c>
      <c r="S267" s="33">
        <f>'Old Balance Sheet'!C267 + 'ACPL Calculations - 1.0'!C267 + 'ACPL Calculations - 2.0'!C267</f>
        <v>0</v>
      </c>
      <c r="T267" s="30" t="s">
        <v>3819</v>
      </c>
      <c r="U267" s="34">
        <v>155.0</v>
      </c>
      <c r="V267" s="34" t="s">
        <v>3818</v>
      </c>
      <c r="W267" s="34">
        <v>100.0</v>
      </c>
      <c r="X267" s="33">
        <f>'Old Balance Sheet'!D267 + 'ACPL Calculations - 1.0'!D267 + 'ACPL Calculations - 2.0'!D267</f>
        <v>0</v>
      </c>
      <c r="Y267" s="30" t="s">
        <v>3819</v>
      </c>
      <c r="Z267" s="34">
        <v>155.0</v>
      </c>
      <c r="AA267" s="32" t="s">
        <v>3818</v>
      </c>
      <c r="AB267" s="31">
        <v>100.0</v>
      </c>
      <c r="AC267" s="33">
        <f>'Old Balance Sheet'!E267 + 'ACPL Calculations - 1.0'!E267 + 'ACPL Calculations - 2.0'!E267</f>
        <v>41</v>
      </c>
      <c r="AD267" s="30" t="s">
        <v>3819</v>
      </c>
      <c r="AE267" s="34">
        <v>838.99</v>
      </c>
      <c r="AF267" s="32" t="s">
        <v>3818</v>
      </c>
      <c r="AG267" s="31">
        <v>100.0</v>
      </c>
      <c r="AH267" s="33">
        <f>'Old Balance Sheet'!F267 + 'ACPL Calculations - 1.0'!F267 + 'ACPL Calculations - 2.0'!F267</f>
        <v>0</v>
      </c>
      <c r="AI267" s="30" t="s">
        <v>3819</v>
      </c>
      <c r="AJ267" s="34">
        <v>155.0</v>
      </c>
      <c r="AK267" s="32" t="s">
        <v>3818</v>
      </c>
      <c r="AL267" s="31">
        <v>100.0</v>
      </c>
      <c r="AM267" s="33">
        <f>'Old Balance Sheet'!G267 + 'ACPL Calculations - 1.0'!G267 + 'ACPL Calculations - 2.0'!G267</f>
        <v>0</v>
      </c>
      <c r="AN267" s="30" t="s">
        <v>3819</v>
      </c>
      <c r="AO267" s="34">
        <v>155.0</v>
      </c>
      <c r="AP267" s="32" t="s">
        <v>3818</v>
      </c>
      <c r="AQ267" s="31">
        <v>100.0</v>
      </c>
      <c r="AR267" s="33">
        <f>'Old Balance Sheet'!H267 + 'ACPL Calculations - 1.0'!H267 + 'ACPL Calculations - 2.0'!H267</f>
        <v>0</v>
      </c>
      <c r="AS267" s="34" t="s">
        <v>3819</v>
      </c>
      <c r="AT267" s="34">
        <v>838.99</v>
      </c>
      <c r="AU267" s="32" t="s">
        <v>3818</v>
      </c>
      <c r="AV267" s="31">
        <v>100.0</v>
      </c>
      <c r="AW267" s="33">
        <f>'Old Balance Sheet'!I267 + 'ACPL Calculations - 1.0'!I267 + 'ACPL Calculations - 2.0'!I267</f>
        <v>0</v>
      </c>
      <c r="AX267" s="30" t="s">
        <v>3819</v>
      </c>
      <c r="AY267" s="34">
        <v>155.0</v>
      </c>
      <c r="AZ267" s="32" t="s">
        <v>3818</v>
      </c>
      <c r="BA267" s="31">
        <v>100.0</v>
      </c>
      <c r="BB267" s="33">
        <f>'Old Balance Sheet'!J267 + 'ACPL Calculations - 1.0'!J267 + 'ACPL Calculations - 2.0'!J267</f>
        <v>0</v>
      </c>
      <c r="BC267" s="30" t="s">
        <v>3819</v>
      </c>
      <c r="BD267" s="34">
        <v>155.0</v>
      </c>
      <c r="BE267" s="32" t="s">
        <v>3818</v>
      </c>
      <c r="BF267" s="31">
        <v>100.0</v>
      </c>
      <c r="BG267" s="33">
        <f>'Old Balance Sheet'!K267 + 'ACPL Calculations - 1.0'!K267 + 'ACPL Calculations - 2.0'!K267</f>
        <v>0</v>
      </c>
      <c r="BH267" s="30" t="s">
        <v>3819</v>
      </c>
      <c r="BI267" s="34">
        <v>155.0</v>
      </c>
      <c r="BJ267" s="32" t="s">
        <v>3818</v>
      </c>
      <c r="BK267" s="31">
        <v>100.0</v>
      </c>
      <c r="BL267" s="33">
        <f>'Old Balance Sheet'!L267 + 'ACPL Calculations - 1.0'!L267 + 'ACPL Calculations - 2.0'!L267</f>
        <v>0</v>
      </c>
      <c r="CL267" s="33">
        <f t="shared" si="1"/>
        <v>41</v>
      </c>
      <c r="CM267" s="33">
        <f>'Old Balance Sheet'!R267 + 'ACPL Calculations - 1.0'!S267 + 'ACPL Calculations - 2.0'!S267</f>
        <v>7498.9</v>
      </c>
      <c r="CN267" s="33">
        <f>'Old Balance Sheet'!S267 + 'ACPL Calculations - 1.0'!T267 + 'ACPL Calculations - 2.0'!T267</f>
        <v>6355</v>
      </c>
      <c r="CO267" s="33">
        <f t="shared" si="2"/>
        <v>7498.9</v>
      </c>
      <c r="CP267" s="33">
        <f>'Old Balance Sheet'!T267 + 'ACPL Calculations - 1.0'!V267 + 'ACPL Calculations - 2.0'!V267</f>
        <v>0</v>
      </c>
      <c r="CQ267" s="33">
        <f>'Old Balance Sheet'!U267 + 'ACPL Calculations - 1.0'!W267 + 'ACPL Calculations - 2.0'!W267</f>
        <v>0</v>
      </c>
      <c r="CR267" s="33">
        <f>'Old Balance Sheet'!V267 + 'ACPL Calculations - 1.0'!X267 + 'ACPL Calculations - 2.0'!X267</f>
        <v>1143.9</v>
      </c>
      <c r="CS267" s="33">
        <f t="shared" si="3"/>
        <v>1143.9</v>
      </c>
      <c r="CT267" s="35"/>
      <c r="CU267" s="35"/>
      <c r="CV267" s="35"/>
      <c r="CW267" s="36">
        <f>'Old Balance Sheet'!W267 + 'ACPL Calculations - 1.0'!Z267 + 'ACPL Calculations - 2.0'!Z267</f>
        <v>0</v>
      </c>
      <c r="CX267" s="36">
        <f>'Old Balance Sheet'!X267 + 'ACPL Calculations - 1.0'!AA267 + 'ACPL Calculations - 2.0'!AA267</f>
        <v>0</v>
      </c>
      <c r="CY267" s="37">
        <v>0.0</v>
      </c>
      <c r="CZ267" s="38">
        <f>'Old Balance Sheet'!Y267 + 'ACPL Calculations - 1.0'!AB267 + 'ACPL Calculations - 2.0'!AB267</f>
        <v>0</v>
      </c>
      <c r="DA267" s="38">
        <f>'Old Balance Sheet'!Z267 + 'ACPL Calculations - 1.0'!AC267 + 'ACPL Calculations - 2.0'!AC267</f>
        <v>0</v>
      </c>
      <c r="DB267" s="38">
        <f>'Old Balance Sheet'!AA267 + 'ACPL Calculations - 1.0'!AD267 + 'ACPL Calculations - 2.0'!AD267</f>
        <v>0</v>
      </c>
      <c r="DC267" s="38">
        <f>'Old Balance Sheet'!AB267 + 'ACPL Calculations - 1.0'!AE267 + 'ACPL Calculations - 2.0'!AE267</f>
        <v>0</v>
      </c>
      <c r="DD267" s="38">
        <f t="shared" si="4"/>
        <v>0</v>
      </c>
      <c r="DE267" s="33">
        <f t="shared" si="5"/>
        <v>0</v>
      </c>
      <c r="DF267" s="35">
        <v>0.0</v>
      </c>
      <c r="DG267" s="35">
        <v>0.0</v>
      </c>
      <c r="DH267" s="35">
        <v>0.0</v>
      </c>
      <c r="DI267" s="35">
        <v>0.0</v>
      </c>
      <c r="DJ267" s="35">
        <v>0.0</v>
      </c>
      <c r="DK267" s="35">
        <v>0.0</v>
      </c>
      <c r="DL267" s="35">
        <v>0.0</v>
      </c>
      <c r="DM267" s="35">
        <v>0.0</v>
      </c>
      <c r="DN267" s="31">
        <v>0.0</v>
      </c>
      <c r="DO267" s="31">
        <v>0.0</v>
      </c>
      <c r="DP267" s="31">
        <v>0.0</v>
      </c>
      <c r="DQ267" s="31">
        <v>0.0</v>
      </c>
      <c r="DR267" s="31">
        <v>0.0</v>
      </c>
      <c r="DS267" s="31">
        <v>0.0</v>
      </c>
      <c r="DT267" s="31">
        <f>'Old Balance Sheet'!AC267</f>
        <v>0</v>
      </c>
      <c r="DU267" s="31">
        <f>DT267 + SUMIFS('Payments Log'!D:D, 'Payments Log'!B:B, A267, 'Payments Log'!L:L, "Approved", 'Payments Log'!M:M, "Credit") + 'Old Balance Sheet'!AD267 - 'Old Balance Sheet'!AC267</f>
        <v>0</v>
      </c>
      <c r="DV267" s="31">
        <f>SUMIFS('Payments Log'!D:D, 'Payments Log'!B:B, A267, 'Payments Log'!L:L, "Approved", 'Payments Log'!M:M, "Adjustment Credit") - SUMIFS('Payments Log'!D:D, 'Payments Log'!B:B, A267, 'Payments Log'!L:L, "Approved", 'Payments Log'!M:M, "Adjustment Debit") + 'Old Balance Sheet'!AE267</f>
        <v>0</v>
      </c>
      <c r="DW267" s="31">
        <f>IF(MAXIFS('Payments Log'!N:N, 'Payments Log'!L:L, "Approved", 'Payments Log'!M:M, "Credit", 'Payments Log'!B:B, A267) &gt; MAXIFS('Payments Log'!N:N, 'Payments Log'!L:L, "Approved", 'Payments Log'!M:M, "Virtual Credit", 'Payments Log'!B:B, A267), 0, SUMIFS('Payments Log'!D:D, 'Payments Log'!N:N, MAXIFS('Payments Log'!N:N, 'Payments Log'!L:L, "Approved", 'Payments Log'!M:M, "Virtual Credit", 'Payments Log'!B:B, A267)))</f>
        <v>0</v>
      </c>
      <c r="DX267" s="33">
        <f t="shared" si="6"/>
        <v>0</v>
      </c>
      <c r="DY267" s="33">
        <f t="shared" si="7"/>
        <v>0</v>
      </c>
      <c r="DZ267" s="33">
        <f t="shared" si="8"/>
        <v>0</v>
      </c>
      <c r="EA267" s="25" t="str">
        <f>(Sheet1!N267)</f>
        <v>AAA</v>
      </c>
      <c r="EB267" s="25" t="str">
        <f>(Sheet1!O267)</f>
        <v>1AjVyIHPgPw3jscNmkTH1qzR2RokK5FZaJLjeNfOiYAA</v>
      </c>
      <c r="EC267" s="26" t="str">
        <f>(Sheet1!P267)</f>
        <v>Sub Dealer</v>
      </c>
      <c r="ED267" s="34" t="s">
        <v>13</v>
      </c>
    </row>
    <row r="268">
      <c r="A268" s="26" t="str">
        <f>(Sheet1!A268)</f>
        <v>1-MGz10ueHtF28FBo7G_OHqG8elKH6byTXmsAdLd1HwQ</v>
      </c>
      <c r="B268" s="26" t="str">
        <f>(Sheet1!B268)</f>
        <v>AAA Counter - Bada gaon</v>
      </c>
      <c r="C268" s="34" t="s">
        <v>13</v>
      </c>
      <c r="D268" s="34" t="s">
        <v>72</v>
      </c>
      <c r="E268" s="30" t="s">
        <v>3819</v>
      </c>
      <c r="F268" s="34">
        <v>155.0</v>
      </c>
      <c r="G268" s="34" t="s">
        <v>3818</v>
      </c>
      <c r="H268" s="34">
        <v>100.0</v>
      </c>
      <c r="I268" s="33">
        <f>'Old Balance Sheet'!A268 + 'ACPL Calculations - 1.0'!A268 + 'ACPL Calculations - 2.0'!A268</f>
        <v>0</v>
      </c>
      <c r="J268" s="30" t="s">
        <v>3819</v>
      </c>
      <c r="K268" s="34">
        <v>155.0</v>
      </c>
      <c r="L268" s="34" t="s">
        <v>3818</v>
      </c>
      <c r="M268" s="34">
        <v>100.0</v>
      </c>
      <c r="N268" s="33">
        <f>'Old Balance Sheet'!B268 + 'ACPL Calculations - 1.0'!B268 + 'ACPL Calculations - 2.0'!B268</f>
        <v>0</v>
      </c>
      <c r="O268" s="30" t="s">
        <v>3819</v>
      </c>
      <c r="P268" s="34">
        <v>155.0</v>
      </c>
      <c r="Q268" s="34" t="s">
        <v>3818</v>
      </c>
      <c r="R268" s="34">
        <v>100.0</v>
      </c>
      <c r="S268" s="33">
        <f>'Old Balance Sheet'!C268 + 'ACPL Calculations - 1.0'!C268 + 'ACPL Calculations - 2.0'!C268</f>
        <v>0</v>
      </c>
      <c r="T268" s="30" t="s">
        <v>3819</v>
      </c>
      <c r="U268" s="34">
        <v>155.0</v>
      </c>
      <c r="V268" s="34" t="s">
        <v>3818</v>
      </c>
      <c r="W268" s="34">
        <v>100.0</v>
      </c>
      <c r="X268" s="33">
        <f>'Old Balance Sheet'!D268 + 'ACPL Calculations - 1.0'!D268 + 'ACPL Calculations - 2.0'!D268</f>
        <v>0</v>
      </c>
      <c r="Y268" s="30" t="s">
        <v>3819</v>
      </c>
      <c r="Z268" s="34">
        <v>155.0</v>
      </c>
      <c r="AA268" s="32" t="s">
        <v>3818</v>
      </c>
      <c r="AB268" s="31">
        <v>100.0</v>
      </c>
      <c r="AC268" s="33">
        <f>'Old Balance Sheet'!E268 + 'ACPL Calculations - 1.0'!E268 + 'ACPL Calculations - 2.0'!E268</f>
        <v>0</v>
      </c>
      <c r="AD268" s="30" t="s">
        <v>3819</v>
      </c>
      <c r="AE268" s="34">
        <v>838.99</v>
      </c>
      <c r="AF268" s="32" t="s">
        <v>3818</v>
      </c>
      <c r="AG268" s="31">
        <v>100.0</v>
      </c>
      <c r="AH268" s="33">
        <f>'Old Balance Sheet'!F268 + 'ACPL Calculations - 1.0'!F268 + 'ACPL Calculations - 2.0'!F268</f>
        <v>0</v>
      </c>
      <c r="AI268" s="30" t="s">
        <v>3819</v>
      </c>
      <c r="AJ268" s="34">
        <v>155.0</v>
      </c>
      <c r="AK268" s="32" t="s">
        <v>3818</v>
      </c>
      <c r="AL268" s="31">
        <v>100.0</v>
      </c>
      <c r="AM268" s="33">
        <f>'Old Balance Sheet'!G268 + 'ACPL Calculations - 1.0'!G268 + 'ACPL Calculations - 2.0'!G268</f>
        <v>0</v>
      </c>
      <c r="AN268" s="30" t="s">
        <v>3819</v>
      </c>
      <c r="AO268" s="34">
        <v>155.0</v>
      </c>
      <c r="AP268" s="32" t="s">
        <v>3818</v>
      </c>
      <c r="AQ268" s="31">
        <v>100.0</v>
      </c>
      <c r="AR268" s="33">
        <f>'Old Balance Sheet'!H268 + 'ACPL Calculations - 1.0'!H268 + 'ACPL Calculations - 2.0'!H268</f>
        <v>0</v>
      </c>
      <c r="AS268" s="34" t="s">
        <v>3819</v>
      </c>
      <c r="AT268" s="34">
        <v>838.99</v>
      </c>
      <c r="AU268" s="32" t="s">
        <v>3818</v>
      </c>
      <c r="AV268" s="31">
        <v>100.0</v>
      </c>
      <c r="AW268" s="33">
        <f>'Old Balance Sheet'!I268 + 'ACPL Calculations - 1.0'!I268 + 'ACPL Calculations - 2.0'!I268</f>
        <v>0</v>
      </c>
      <c r="AX268" s="30" t="s">
        <v>3819</v>
      </c>
      <c r="AY268" s="34">
        <v>155.0</v>
      </c>
      <c r="AZ268" s="32" t="s">
        <v>3818</v>
      </c>
      <c r="BA268" s="31">
        <v>100.0</v>
      </c>
      <c r="BB268" s="33">
        <f>'Old Balance Sheet'!J268 + 'ACPL Calculations - 1.0'!J268 + 'ACPL Calculations - 2.0'!J268</f>
        <v>0</v>
      </c>
      <c r="BC268" s="30" t="s">
        <v>3819</v>
      </c>
      <c r="BD268" s="34">
        <v>155.0</v>
      </c>
      <c r="BE268" s="32" t="s">
        <v>3818</v>
      </c>
      <c r="BF268" s="31">
        <v>100.0</v>
      </c>
      <c r="BG268" s="33">
        <f>'Old Balance Sheet'!K268 + 'ACPL Calculations - 1.0'!K268 + 'ACPL Calculations - 2.0'!K268</f>
        <v>0</v>
      </c>
      <c r="BH268" s="30" t="s">
        <v>3819</v>
      </c>
      <c r="BI268" s="34">
        <v>155.0</v>
      </c>
      <c r="BJ268" s="32" t="s">
        <v>3818</v>
      </c>
      <c r="BK268" s="31">
        <v>100.0</v>
      </c>
      <c r="BL268" s="33">
        <f>'Old Balance Sheet'!L268 + 'ACPL Calculations - 1.0'!L268 + 'ACPL Calculations - 2.0'!L268</f>
        <v>0</v>
      </c>
      <c r="CL268" s="33">
        <f t="shared" si="1"/>
        <v>0</v>
      </c>
      <c r="CM268" s="33">
        <f>'Old Balance Sheet'!R268 + 'ACPL Calculations - 1.0'!S268 + 'ACPL Calculations - 2.0'!S268</f>
        <v>0</v>
      </c>
      <c r="CN268" s="33">
        <f>'Old Balance Sheet'!S268 + 'ACPL Calculations - 1.0'!T268 + 'ACPL Calculations - 2.0'!T268</f>
        <v>0</v>
      </c>
      <c r="CO268" s="33">
        <f t="shared" si="2"/>
        <v>0</v>
      </c>
      <c r="CP268" s="33">
        <f>'Old Balance Sheet'!T268 + 'ACPL Calculations - 1.0'!V268 + 'ACPL Calculations - 2.0'!V268</f>
        <v>0</v>
      </c>
      <c r="CQ268" s="33">
        <f>'Old Balance Sheet'!U268 + 'ACPL Calculations - 1.0'!W268 + 'ACPL Calculations - 2.0'!W268</f>
        <v>0</v>
      </c>
      <c r="CR268" s="33">
        <f>'Old Balance Sheet'!V268 + 'ACPL Calculations - 1.0'!X268 + 'ACPL Calculations - 2.0'!X268</f>
        <v>0</v>
      </c>
      <c r="CS268" s="33">
        <f t="shared" si="3"/>
        <v>0</v>
      </c>
      <c r="CT268" s="35"/>
      <c r="CU268" s="35"/>
      <c r="CV268" s="35"/>
      <c r="CW268" s="36">
        <f>'Old Balance Sheet'!W268 + 'ACPL Calculations - 1.0'!Z268 + 'ACPL Calculations - 2.0'!Z268</f>
        <v>0</v>
      </c>
      <c r="CX268" s="36">
        <f>'Old Balance Sheet'!X268 + 'ACPL Calculations - 1.0'!AA268 + 'ACPL Calculations - 2.0'!AA268</f>
        <v>0</v>
      </c>
      <c r="CY268" s="37">
        <v>0.0</v>
      </c>
      <c r="CZ268" s="38">
        <f>'Old Balance Sheet'!Y268 + 'ACPL Calculations - 1.0'!AB268 + 'ACPL Calculations - 2.0'!AB268</f>
        <v>0</v>
      </c>
      <c r="DA268" s="38">
        <f>'Old Balance Sheet'!Z268 + 'ACPL Calculations - 1.0'!AC268 + 'ACPL Calculations - 2.0'!AC268</f>
        <v>0</v>
      </c>
      <c r="DB268" s="38">
        <f>'Old Balance Sheet'!AA268 + 'ACPL Calculations - 1.0'!AD268 + 'ACPL Calculations - 2.0'!AD268</f>
        <v>0</v>
      </c>
      <c r="DC268" s="38">
        <f>'Old Balance Sheet'!AB268 + 'ACPL Calculations - 1.0'!AE268 + 'ACPL Calculations - 2.0'!AE268</f>
        <v>0</v>
      </c>
      <c r="DD268" s="38">
        <f t="shared" si="4"/>
        <v>0</v>
      </c>
      <c r="DE268" s="33">
        <f t="shared" si="5"/>
        <v>0</v>
      </c>
      <c r="DF268" s="35">
        <v>0.0</v>
      </c>
      <c r="DG268" s="35">
        <v>0.0</v>
      </c>
      <c r="DH268" s="35">
        <v>0.0</v>
      </c>
      <c r="DI268" s="35">
        <v>0.0</v>
      </c>
      <c r="DJ268" s="35">
        <v>0.0</v>
      </c>
      <c r="DK268" s="35">
        <v>0.0</v>
      </c>
      <c r="DL268" s="35">
        <v>0.0</v>
      </c>
      <c r="DM268" s="35">
        <v>0.0</v>
      </c>
      <c r="DN268" s="31">
        <v>0.0</v>
      </c>
      <c r="DO268" s="31">
        <v>0.0</v>
      </c>
      <c r="DP268" s="31">
        <v>0.0</v>
      </c>
      <c r="DQ268" s="31">
        <v>0.0</v>
      </c>
      <c r="DR268" s="31">
        <v>0.0</v>
      </c>
      <c r="DS268" s="31">
        <v>0.0</v>
      </c>
      <c r="DT268" s="31">
        <f>'Old Balance Sheet'!AC268</f>
        <v>0</v>
      </c>
      <c r="DU268" s="31">
        <f>DT268 + SUMIFS('Payments Log'!D:D, 'Payments Log'!B:B, A268, 'Payments Log'!L:L, "Approved", 'Payments Log'!M:M, "Credit") + 'Old Balance Sheet'!AD268 - 'Old Balance Sheet'!AC268</f>
        <v>0</v>
      </c>
      <c r="DV268" s="31">
        <f>SUMIFS('Payments Log'!D:D, 'Payments Log'!B:B, A268, 'Payments Log'!L:L, "Approved", 'Payments Log'!M:M, "Adjustment Credit") - SUMIFS('Payments Log'!D:D, 'Payments Log'!B:B, A268, 'Payments Log'!L:L, "Approved", 'Payments Log'!M:M, "Adjustment Debit") + 'Old Balance Sheet'!AE268</f>
        <v>0</v>
      </c>
      <c r="DW268" s="31">
        <f>IF(MAXIFS('Payments Log'!N:N, 'Payments Log'!L:L, "Approved", 'Payments Log'!M:M, "Credit", 'Payments Log'!B:B, A268) &gt; MAXIFS('Payments Log'!N:N, 'Payments Log'!L:L, "Approved", 'Payments Log'!M:M, "Virtual Credit", 'Payments Log'!B:B, A268), 0, SUMIFS('Payments Log'!D:D, 'Payments Log'!N:N, MAXIFS('Payments Log'!N:N, 'Payments Log'!L:L, "Approved", 'Payments Log'!M:M, "Virtual Credit", 'Payments Log'!B:B, A268)))</f>
        <v>0</v>
      </c>
      <c r="DX268" s="33">
        <f t="shared" si="6"/>
        <v>0</v>
      </c>
      <c r="DY268" s="33">
        <f t="shared" si="7"/>
        <v>0</v>
      </c>
      <c r="DZ268" s="33">
        <f t="shared" si="8"/>
        <v>0</v>
      </c>
      <c r="EA268" s="25" t="str">
        <f>(Sheet1!N268)</f>
        <v>AAA</v>
      </c>
      <c r="EB268" s="25" t="str">
        <f>(Sheet1!O268)</f>
        <v>1AjVyIHPgPw3jscNmkTH1qzR2RokK5FZaJLjeNfOiYAA</v>
      </c>
      <c r="EC268" s="26" t="str">
        <f>(Sheet1!P268)</f>
        <v>Sub Dealer</v>
      </c>
      <c r="ED268" s="34" t="s">
        <v>13</v>
      </c>
    </row>
    <row r="269">
      <c r="A269" s="26" t="str">
        <f>(Sheet1!A269)</f>
        <v>1Ql_6BdBcHGAyITSZt1pNUK3bW54CzeThIBXr7aH7K3Y</v>
      </c>
      <c r="B269" s="26" t="str">
        <f>(Sheet1!B269)</f>
        <v>Gupta Automobiles - Padrauna</v>
      </c>
      <c r="C269" s="34" t="s">
        <v>13</v>
      </c>
      <c r="D269" s="34" t="s">
        <v>72</v>
      </c>
      <c r="E269" s="34" t="s">
        <v>3817</v>
      </c>
      <c r="F269" s="34">
        <v>175.0</v>
      </c>
      <c r="G269" s="34" t="s">
        <v>3818</v>
      </c>
      <c r="H269" s="34">
        <v>100.0</v>
      </c>
      <c r="I269" s="33">
        <f>'Old Balance Sheet'!A269 + 'ACPL Calculations - 1.0'!A269 + 'ACPL Calculations - 2.0'!A269</f>
        <v>2010</v>
      </c>
      <c r="J269" s="34" t="s">
        <v>3820</v>
      </c>
      <c r="K269" s="34">
        <v>205.0</v>
      </c>
      <c r="L269" s="34" t="s">
        <v>3818</v>
      </c>
      <c r="M269" s="34">
        <v>100.0</v>
      </c>
      <c r="N269" s="33">
        <f>'Old Balance Sheet'!B269 + 'ACPL Calculations - 1.0'!B269 + 'ACPL Calculations - 2.0'!B269</f>
        <v>0</v>
      </c>
      <c r="O269" s="34" t="s">
        <v>3820</v>
      </c>
      <c r="P269" s="34">
        <v>290.0</v>
      </c>
      <c r="Q269" s="34" t="s">
        <v>3818</v>
      </c>
      <c r="R269" s="34">
        <v>100.0</v>
      </c>
      <c r="S269" s="33">
        <f>'Old Balance Sheet'!C269 + 'ACPL Calculations - 1.0'!C269 + 'ACPL Calculations - 2.0'!C269</f>
        <v>0</v>
      </c>
      <c r="T269" s="34" t="s">
        <v>3820</v>
      </c>
      <c r="U269" s="34">
        <v>375.0</v>
      </c>
      <c r="V269" s="34" t="s">
        <v>3818</v>
      </c>
      <c r="W269" s="34">
        <v>100.0</v>
      </c>
      <c r="X269" s="33">
        <f>'Old Balance Sheet'!D269 + 'ACPL Calculations - 1.0'!D269 + 'ACPL Calculations - 2.0'!D269</f>
        <v>0</v>
      </c>
      <c r="Y269" s="34" t="s">
        <v>3820</v>
      </c>
      <c r="Z269" s="34">
        <v>460.0</v>
      </c>
      <c r="AA269" s="32" t="s">
        <v>3818</v>
      </c>
      <c r="AB269" s="31">
        <v>100.0</v>
      </c>
      <c r="AC269" s="33">
        <f>'Old Balance Sheet'!E269 + 'ACPL Calculations - 1.0'!E269 + 'ACPL Calculations - 2.0'!E269</f>
        <v>0</v>
      </c>
      <c r="AD269" s="34" t="s">
        <v>3820</v>
      </c>
      <c r="AE269" s="34">
        <v>838.99</v>
      </c>
      <c r="AF269" s="32" t="s">
        <v>3818</v>
      </c>
      <c r="AG269" s="31">
        <v>100.0</v>
      </c>
      <c r="AH269" s="33">
        <f>'Old Balance Sheet'!F269 + 'ACPL Calculations - 1.0'!F269 + 'ACPL Calculations - 2.0'!F269</f>
        <v>0</v>
      </c>
      <c r="AI269" s="34" t="s">
        <v>3820</v>
      </c>
      <c r="AJ269" s="34">
        <v>375.0</v>
      </c>
      <c r="AK269" s="32" t="s">
        <v>3818</v>
      </c>
      <c r="AL269" s="31">
        <v>100.0</v>
      </c>
      <c r="AM269" s="33">
        <f>'Old Balance Sheet'!G269 + 'ACPL Calculations - 1.0'!G269 + 'ACPL Calculations - 2.0'!G269</f>
        <v>0</v>
      </c>
      <c r="AN269" s="34" t="s">
        <v>3820</v>
      </c>
      <c r="AO269" s="34">
        <v>290.0</v>
      </c>
      <c r="AP269" s="32" t="s">
        <v>3818</v>
      </c>
      <c r="AQ269" s="31">
        <v>100.0</v>
      </c>
      <c r="AR269" s="33">
        <f>'Old Balance Sheet'!H269 + 'ACPL Calculations - 1.0'!H269 + 'ACPL Calculations - 2.0'!H269</f>
        <v>0</v>
      </c>
      <c r="AS269" s="34" t="s">
        <v>3819</v>
      </c>
      <c r="AT269" s="34">
        <v>838.99</v>
      </c>
      <c r="AU269" s="32" t="s">
        <v>3818</v>
      </c>
      <c r="AV269" s="31">
        <v>100.0</v>
      </c>
      <c r="AW269" s="33">
        <f>'Old Balance Sheet'!I269 + 'ACPL Calculations - 1.0'!I269 + 'ACPL Calculations - 2.0'!I269</f>
        <v>0</v>
      </c>
      <c r="AX269" s="34" t="s">
        <v>3820</v>
      </c>
      <c r="AY269" s="34">
        <v>290.0</v>
      </c>
      <c r="AZ269" s="32" t="s">
        <v>3818</v>
      </c>
      <c r="BA269" s="31">
        <v>100.0</v>
      </c>
      <c r="BB269" s="33">
        <f>'Old Balance Sheet'!J269 + 'ACPL Calculations - 1.0'!J269 + 'ACPL Calculations - 2.0'!J269</f>
        <v>0</v>
      </c>
      <c r="BC269" s="34" t="s">
        <v>3820</v>
      </c>
      <c r="BD269" s="34">
        <v>205.0</v>
      </c>
      <c r="BE269" s="32" t="s">
        <v>3818</v>
      </c>
      <c r="BF269" s="31">
        <v>100.0</v>
      </c>
      <c r="BG269" s="33">
        <f>'Old Balance Sheet'!K269 + 'ACPL Calculations - 1.0'!K269 + 'ACPL Calculations - 2.0'!K269</f>
        <v>0</v>
      </c>
      <c r="BH269" s="34" t="s">
        <v>3820</v>
      </c>
      <c r="BI269" s="34">
        <v>205.0</v>
      </c>
      <c r="BJ269" s="32" t="s">
        <v>3818</v>
      </c>
      <c r="BK269" s="31">
        <v>100.0</v>
      </c>
      <c r="BL269" s="33">
        <f>'Old Balance Sheet'!L269 + 'ACPL Calculations - 1.0'!L269 + 'ACPL Calculations - 2.0'!L269</f>
        <v>0</v>
      </c>
      <c r="CL269" s="33">
        <f t="shared" si="1"/>
        <v>2010</v>
      </c>
      <c r="CM269" s="33">
        <f>'Old Balance Sheet'!R269 + 'ACPL Calculations - 1.0'!S269 + 'ACPL Calculations - 2.0'!S269</f>
        <v>888420</v>
      </c>
      <c r="CN269" s="33">
        <f>'Old Balance Sheet'!S269 + 'ACPL Calculations - 1.0'!T269 + 'ACPL Calculations - 2.0'!T269</f>
        <v>356455</v>
      </c>
      <c r="CO269" s="33">
        <f t="shared" si="2"/>
        <v>491969.2</v>
      </c>
      <c r="CP269" s="33">
        <f>'Old Balance Sheet'!T269 + 'ACPL Calculations - 1.0'!V269 + 'ACPL Calculations - 2.0'!V269</f>
        <v>0</v>
      </c>
      <c r="CQ269" s="33">
        <f>'Old Balance Sheet'!U269 + 'ACPL Calculations - 1.0'!W269 + 'ACPL Calculations - 2.0'!W269</f>
        <v>0</v>
      </c>
      <c r="CR269" s="33">
        <f>'Old Balance Sheet'!V269 + 'ACPL Calculations - 1.0'!X269 + 'ACPL Calculations - 2.0'!X269</f>
        <v>135514.2</v>
      </c>
      <c r="CS269" s="33">
        <f t="shared" si="3"/>
        <v>135514.2</v>
      </c>
      <c r="CT269" s="35"/>
      <c r="CU269" s="35"/>
      <c r="CV269" s="35"/>
      <c r="CW269" s="36">
        <f>'Old Balance Sheet'!W269 + 'ACPL Calculations - 1.0'!Z269 + 'ACPL Calculations - 2.0'!Z269</f>
        <v>2246622</v>
      </c>
      <c r="CX269" s="36">
        <f>'Old Balance Sheet'!X269 + 'ACPL Calculations - 1.0'!AA269 + 'ACPL Calculations - 2.0'!AA269</f>
        <v>1994252.25</v>
      </c>
      <c r="CY269" s="37">
        <v>0.0</v>
      </c>
      <c r="CZ269" s="38">
        <f>'Old Balance Sheet'!Y269 + 'ACPL Calculations - 1.0'!AB269 + 'ACPL Calculations - 2.0'!AB269</f>
        <v>1557763.8</v>
      </c>
      <c r="DA269" s="38">
        <f>'Old Balance Sheet'!Z269 + 'ACPL Calculations - 1.0'!AC269 + 'ACPL Calculations - 2.0'!AC269</f>
        <v>1227498</v>
      </c>
      <c r="DB269" s="38">
        <f>'Old Balance Sheet'!AA269 + 'ACPL Calculations - 1.0'!AD269 + 'ACPL Calculations - 2.0'!AD269</f>
        <v>77896.05</v>
      </c>
      <c r="DC269" s="38">
        <f>'Old Balance Sheet'!AB269 + 'ACPL Calculations - 1.0'!AE269 + 'ACPL Calculations - 2.0'!AE269</f>
        <v>252369.75</v>
      </c>
      <c r="DD269" s="38">
        <f t="shared" si="4"/>
        <v>252369.75</v>
      </c>
      <c r="DE269" s="33">
        <f t="shared" si="5"/>
        <v>252369.75</v>
      </c>
      <c r="DF269" s="35">
        <v>0.0</v>
      </c>
      <c r="DG269" s="35">
        <v>0.0</v>
      </c>
      <c r="DH269" s="35">
        <v>0.0</v>
      </c>
      <c r="DI269" s="35">
        <v>0.0</v>
      </c>
      <c r="DJ269" s="35">
        <v>0.0</v>
      </c>
      <c r="DK269" s="35">
        <v>0.0</v>
      </c>
      <c r="DL269" s="35">
        <v>0.0</v>
      </c>
      <c r="DM269" s="35">
        <v>0.0</v>
      </c>
      <c r="DN269" s="31">
        <v>0.0</v>
      </c>
      <c r="DO269" s="31">
        <v>0.0</v>
      </c>
      <c r="DP269" s="31">
        <v>0.0</v>
      </c>
      <c r="DQ269" s="31">
        <v>0.0</v>
      </c>
      <c r="DR269" s="31">
        <v>0.0</v>
      </c>
      <c r="DS269" s="31">
        <v>0.0</v>
      </c>
      <c r="DT269" s="31">
        <f>'Old Balance Sheet'!AC269</f>
        <v>0</v>
      </c>
      <c r="DU269" s="31">
        <f>DT269 + SUMIFS('Payments Log'!D:D, 'Payments Log'!B:B, A269, 'Payments Log'!L:L, "Approved", 'Payments Log'!M:M, "Credit") + 'Old Balance Sheet'!AD269 - 'Old Balance Sheet'!AC269</f>
        <v>2220000</v>
      </c>
      <c r="DV269" s="31">
        <f>SUMIFS('Payments Log'!D:D, 'Payments Log'!B:B, A269, 'Payments Log'!L:L, "Approved", 'Payments Log'!M:M, "Adjustment Credit") - SUMIFS('Payments Log'!D:D, 'Payments Log'!B:B, A269, 'Payments Log'!L:L, "Approved", 'Payments Log'!M:M, "Adjustment Debit") + 'Old Balance Sheet'!AE269</f>
        <v>262761.25</v>
      </c>
      <c r="DW269" s="31">
        <f>IF(MAXIFS('Payments Log'!N:N, 'Payments Log'!L:L, "Approved", 'Payments Log'!M:M, "Credit", 'Payments Log'!B:B, A269) &gt; MAXIFS('Payments Log'!N:N, 'Payments Log'!L:L, "Approved", 'Payments Log'!M:M, "Virtual Credit", 'Payments Log'!B:B, A269), 0, SUMIFS('Payments Log'!D:D, 'Payments Log'!N:N, MAXIFS('Payments Log'!N:N, 'Payments Log'!L:L, "Approved", 'Payments Log'!M:M, "Virtual Credit", 'Payments Log'!B:B, A269)))</f>
        <v>0</v>
      </c>
      <c r="DX269" s="33">
        <f t="shared" si="6"/>
        <v>236139.25</v>
      </c>
      <c r="DY269" s="33">
        <f t="shared" si="7"/>
        <v>488509</v>
      </c>
      <c r="DZ269" s="33">
        <f t="shared" si="8"/>
        <v>488509</v>
      </c>
      <c r="EA269" s="25" t="str">
        <f>(Sheet1!N269)</f>
        <v>Gupta Automobiles - Padrauna</v>
      </c>
      <c r="EB269" s="25" t="str">
        <f>(Sheet1!O269)</f>
        <v>1Ql_6BdBcHGAyITSZt1pNUK3bW54CzeThIBXr7aH7K3Y</v>
      </c>
      <c r="EC269" s="26" t="str">
        <f>(Sheet1!P269)</f>
        <v>Dealer</v>
      </c>
      <c r="ED269" s="34" t="s">
        <v>13</v>
      </c>
    </row>
    <row r="270">
      <c r="A270" s="26" t="str">
        <f>(Sheet1!A270)</f>
        <v>1T9TOPNccEkZyvcMjs5_ErkZRFNoV3A33YcZPKCnjNeI</v>
      </c>
      <c r="B270" s="26" t="str">
        <f>(Sheet1!B270)</f>
        <v>VAISHNO MOTORS - JHUGAWA</v>
      </c>
      <c r="C270" s="34" t="s">
        <v>13</v>
      </c>
      <c r="D270" s="34" t="s">
        <v>72</v>
      </c>
      <c r="E270" s="34" t="s">
        <v>3817</v>
      </c>
      <c r="F270" s="34">
        <v>170.0</v>
      </c>
      <c r="G270" s="34" t="s">
        <v>3818</v>
      </c>
      <c r="H270" s="34">
        <v>100.0</v>
      </c>
      <c r="I270" s="33">
        <f>'Old Balance Sheet'!A270 + 'ACPL Calculations - 1.0'!A270 + 'ACPL Calculations - 2.0'!A270</f>
        <v>687</v>
      </c>
      <c r="J270" s="34" t="s">
        <v>3820</v>
      </c>
      <c r="K270" s="34">
        <v>205.0</v>
      </c>
      <c r="L270" s="34" t="s">
        <v>3818</v>
      </c>
      <c r="M270" s="34">
        <v>100.0</v>
      </c>
      <c r="N270" s="33">
        <f>'Old Balance Sheet'!B270 + 'ACPL Calculations - 1.0'!B270 + 'ACPL Calculations - 2.0'!B270</f>
        <v>0</v>
      </c>
      <c r="O270" s="34" t="s">
        <v>3820</v>
      </c>
      <c r="P270" s="34">
        <v>290.0</v>
      </c>
      <c r="Q270" s="34" t="s">
        <v>3818</v>
      </c>
      <c r="R270" s="34">
        <v>100.0</v>
      </c>
      <c r="S270" s="33">
        <f>'Old Balance Sheet'!C270 + 'ACPL Calculations - 1.0'!C270 + 'ACPL Calculations - 2.0'!C270</f>
        <v>0</v>
      </c>
      <c r="T270" s="34" t="s">
        <v>3820</v>
      </c>
      <c r="U270" s="34">
        <v>375.0</v>
      </c>
      <c r="V270" s="34" t="s">
        <v>3818</v>
      </c>
      <c r="W270" s="34">
        <v>100.0</v>
      </c>
      <c r="X270" s="33">
        <f>'Old Balance Sheet'!D270 + 'ACPL Calculations - 1.0'!D270 + 'ACPL Calculations - 2.0'!D270</f>
        <v>0</v>
      </c>
      <c r="Y270" s="34" t="s">
        <v>3820</v>
      </c>
      <c r="Z270" s="34">
        <v>460.0</v>
      </c>
      <c r="AA270" s="32" t="s">
        <v>3818</v>
      </c>
      <c r="AB270" s="31">
        <v>100.0</v>
      </c>
      <c r="AC270" s="33">
        <f>'Old Balance Sheet'!E270 + 'ACPL Calculations - 1.0'!E270 + 'ACPL Calculations - 2.0'!E270</f>
        <v>0</v>
      </c>
      <c r="AD270" s="34" t="s">
        <v>3820</v>
      </c>
      <c r="AE270" s="34">
        <v>838.99</v>
      </c>
      <c r="AF270" s="32" t="s">
        <v>3818</v>
      </c>
      <c r="AG270" s="31">
        <v>100.0</v>
      </c>
      <c r="AH270" s="33">
        <f>'Old Balance Sheet'!F270 + 'ACPL Calculations - 1.0'!F270 + 'ACPL Calculations - 2.0'!F270</f>
        <v>0</v>
      </c>
      <c r="AI270" s="34" t="s">
        <v>3820</v>
      </c>
      <c r="AJ270" s="34">
        <v>375.0</v>
      </c>
      <c r="AK270" s="32" t="s">
        <v>3818</v>
      </c>
      <c r="AL270" s="31">
        <v>100.0</v>
      </c>
      <c r="AM270" s="33">
        <f>'Old Balance Sheet'!G270 + 'ACPL Calculations - 1.0'!G270 + 'ACPL Calculations - 2.0'!G270</f>
        <v>0</v>
      </c>
      <c r="AN270" s="34" t="s">
        <v>3820</v>
      </c>
      <c r="AO270" s="34">
        <v>290.0</v>
      </c>
      <c r="AP270" s="32" t="s">
        <v>3818</v>
      </c>
      <c r="AQ270" s="31">
        <v>100.0</v>
      </c>
      <c r="AR270" s="33">
        <f>'Old Balance Sheet'!H270 + 'ACPL Calculations - 1.0'!H270 + 'ACPL Calculations - 2.0'!H270</f>
        <v>0</v>
      </c>
      <c r="AS270" s="34" t="s">
        <v>3819</v>
      </c>
      <c r="AT270" s="34">
        <v>838.99</v>
      </c>
      <c r="AU270" s="32" t="s">
        <v>3818</v>
      </c>
      <c r="AV270" s="31">
        <v>100.0</v>
      </c>
      <c r="AW270" s="33">
        <f>'Old Balance Sheet'!I270 + 'ACPL Calculations - 1.0'!I270 + 'ACPL Calculations - 2.0'!I270</f>
        <v>0</v>
      </c>
      <c r="AX270" s="34" t="s">
        <v>3820</v>
      </c>
      <c r="AY270" s="34">
        <v>290.0</v>
      </c>
      <c r="AZ270" s="32" t="s">
        <v>3818</v>
      </c>
      <c r="BA270" s="31">
        <v>100.0</v>
      </c>
      <c r="BB270" s="33">
        <f>'Old Balance Sheet'!J270 + 'ACPL Calculations - 1.0'!J270 + 'ACPL Calculations - 2.0'!J270</f>
        <v>0</v>
      </c>
      <c r="BC270" s="34" t="s">
        <v>3820</v>
      </c>
      <c r="BD270" s="34">
        <v>205.0</v>
      </c>
      <c r="BE270" s="32" t="s">
        <v>3818</v>
      </c>
      <c r="BF270" s="31">
        <v>100.0</v>
      </c>
      <c r="BG270" s="33">
        <f>'Old Balance Sheet'!K270 + 'ACPL Calculations - 1.0'!K270 + 'ACPL Calculations - 2.0'!K270</f>
        <v>0</v>
      </c>
      <c r="BH270" s="34" t="s">
        <v>3820</v>
      </c>
      <c r="BI270" s="34">
        <v>205.0</v>
      </c>
      <c r="BJ270" s="32" t="s">
        <v>3818</v>
      </c>
      <c r="BK270" s="31">
        <v>100.0</v>
      </c>
      <c r="BL270" s="33">
        <f>'Old Balance Sheet'!L270 + 'ACPL Calculations - 1.0'!L270 + 'ACPL Calculations - 2.0'!L270</f>
        <v>0</v>
      </c>
      <c r="CL270" s="33">
        <f t="shared" si="1"/>
        <v>687</v>
      </c>
      <c r="CM270" s="33">
        <f>'Old Balance Sheet'!R270 + 'ACPL Calculations - 1.0'!S270 + 'ACPL Calculations - 2.0'!S270</f>
        <v>303654</v>
      </c>
      <c r="CN270" s="33">
        <f>'Old Balance Sheet'!S270 + 'ACPL Calculations - 1.0'!T270 + 'ACPL Calculations - 2.0'!T270</f>
        <v>119958</v>
      </c>
      <c r="CO270" s="33">
        <f t="shared" si="2"/>
        <v>166275.54</v>
      </c>
      <c r="CP270" s="33">
        <f>'Old Balance Sheet'!T270 + 'ACPL Calculations - 1.0'!V270 + 'ACPL Calculations - 2.0'!V270</f>
        <v>0</v>
      </c>
      <c r="CQ270" s="33">
        <f>'Old Balance Sheet'!U270 + 'ACPL Calculations - 1.0'!W270 + 'ACPL Calculations - 2.0'!W270</f>
        <v>0</v>
      </c>
      <c r="CR270" s="33">
        <f>'Old Balance Sheet'!V270 + 'ACPL Calculations - 1.0'!X270 + 'ACPL Calculations - 2.0'!X270</f>
        <v>46317.54</v>
      </c>
      <c r="CS270" s="33">
        <f t="shared" si="3"/>
        <v>46317.54</v>
      </c>
      <c r="CT270" s="35"/>
      <c r="CU270" s="35"/>
      <c r="CV270" s="35"/>
      <c r="CW270" s="36">
        <f>'Old Balance Sheet'!W270 + 'ACPL Calculations - 1.0'!Z270 + 'ACPL Calculations - 2.0'!Z270</f>
        <v>241213.05</v>
      </c>
      <c r="CX270" s="36">
        <f>'Old Balance Sheet'!X270 + 'ACPL Calculations - 1.0'!AA270 + 'ACPL Calculations - 2.0'!AA270</f>
        <v>216236.25</v>
      </c>
      <c r="CY270" s="37">
        <v>0.0</v>
      </c>
      <c r="CZ270" s="38">
        <f>'Old Balance Sheet'!Y270 + 'ACPL Calculations - 1.0'!AB270 + 'ACPL Calculations - 2.0'!AB270</f>
        <v>172975.38</v>
      </c>
      <c r="DA270" s="38">
        <f>'Old Balance Sheet'!Z270 + 'ACPL Calculations - 1.0'!AC270 + 'ACPL Calculations - 2.0'!AC270</f>
        <v>139348.95</v>
      </c>
      <c r="DB270" s="38">
        <f>'Old Balance Sheet'!AA270 + 'ACPL Calculations - 1.0'!AD270 + 'ACPL Calculations - 2.0'!AD270</f>
        <v>8649.63</v>
      </c>
      <c r="DC270" s="38">
        <f>'Old Balance Sheet'!AB270 + 'ACPL Calculations - 1.0'!AE270 + 'ACPL Calculations - 2.0'!AE270</f>
        <v>24976.8</v>
      </c>
      <c r="DD270" s="38">
        <f t="shared" si="4"/>
        <v>24976.8</v>
      </c>
      <c r="DE270" s="33">
        <f t="shared" si="5"/>
        <v>24976.8</v>
      </c>
      <c r="DF270" s="35">
        <v>0.0</v>
      </c>
      <c r="DG270" s="35">
        <v>0.0</v>
      </c>
      <c r="DH270" s="35">
        <v>0.0</v>
      </c>
      <c r="DI270" s="35">
        <v>0.0</v>
      </c>
      <c r="DJ270" s="35">
        <v>0.0</v>
      </c>
      <c r="DK270" s="35">
        <v>0.0</v>
      </c>
      <c r="DL270" s="35">
        <v>0.0</v>
      </c>
      <c r="DM270" s="35">
        <v>0.0</v>
      </c>
      <c r="DN270" s="31">
        <v>0.0</v>
      </c>
      <c r="DO270" s="31">
        <v>0.0</v>
      </c>
      <c r="DP270" s="31">
        <v>0.0</v>
      </c>
      <c r="DQ270" s="31">
        <v>0.0</v>
      </c>
      <c r="DR270" s="31">
        <v>0.0</v>
      </c>
      <c r="DS270" s="31">
        <v>0.0</v>
      </c>
      <c r="DT270" s="31">
        <f>'Old Balance Sheet'!AC270</f>
        <v>0</v>
      </c>
      <c r="DU270" s="31">
        <f>DT270 + SUMIFS('Payments Log'!D:D, 'Payments Log'!B:B, A270, 'Payments Log'!L:L, "Approved", 'Payments Log'!M:M, "Credit") + 'Old Balance Sheet'!AD270 - 'Old Balance Sheet'!AC270</f>
        <v>200000</v>
      </c>
      <c r="DV270" s="31">
        <f>SUMIFS('Payments Log'!D:D, 'Payments Log'!B:B, A270, 'Payments Log'!L:L, "Approved", 'Payments Log'!M:M, "Adjustment Credit") - SUMIFS('Payments Log'!D:D, 'Payments Log'!B:B, A270, 'Payments Log'!L:L, "Approved", 'Payments Log'!M:M, "Adjustment Debit") + 'Old Balance Sheet'!AE270</f>
        <v>60523</v>
      </c>
      <c r="DW270" s="31">
        <f>IF(MAXIFS('Payments Log'!N:N, 'Payments Log'!L:L, "Approved", 'Payments Log'!M:M, "Credit", 'Payments Log'!B:B, A270) &gt; MAXIFS('Payments Log'!N:N, 'Payments Log'!L:L, "Approved", 'Payments Log'!M:M, "Virtual Credit", 'Payments Log'!B:B, A270), 0, SUMIFS('Payments Log'!D:D, 'Payments Log'!N:N, MAXIFS('Payments Log'!N:N, 'Payments Log'!L:L, "Approved", 'Payments Log'!M:M, "Virtual Credit", 'Payments Log'!B:B, A270)))</f>
        <v>0</v>
      </c>
      <c r="DX270" s="33">
        <f t="shared" si="6"/>
        <v>19309.95</v>
      </c>
      <c r="DY270" s="33">
        <f t="shared" si="7"/>
        <v>44286.75</v>
      </c>
      <c r="DZ270" s="33">
        <f t="shared" si="8"/>
        <v>44286.75</v>
      </c>
      <c r="EA270" s="25" t="str">
        <f>(Sheet1!N270)</f>
        <v>VAISHNO MOTORS - JHUGAWA</v>
      </c>
      <c r="EB270" s="25" t="str">
        <f>(Sheet1!O270)</f>
        <v>1T9TOPNccEkZyvcMjs5_ErkZRFNoV3A33YcZPKCnjNeI</v>
      </c>
      <c r="EC270" s="26" t="str">
        <f>(Sheet1!P270)</f>
        <v>Dealer</v>
      </c>
      <c r="ED270" s="34" t="s">
        <v>13</v>
      </c>
    </row>
    <row r="271">
      <c r="A271" s="26" t="str">
        <f>(Sheet1!A271)</f>
        <v>1XA3IU40iudWqjc-iMpo4sIeP_Jq8_MOSk2H-xzRtlHA</v>
      </c>
      <c r="B271" s="26" t="str">
        <f>(Sheet1!B271)</f>
        <v>Gupta automobiles(GA)- Ramkola road</v>
      </c>
      <c r="C271" s="34" t="s">
        <v>13</v>
      </c>
      <c r="D271" s="34" t="s">
        <v>72</v>
      </c>
      <c r="E271" s="34" t="s">
        <v>3817</v>
      </c>
      <c r="F271" s="34">
        <v>175.0</v>
      </c>
      <c r="G271" s="34" t="s">
        <v>3818</v>
      </c>
      <c r="H271" s="34">
        <v>100.0</v>
      </c>
      <c r="I271" s="33">
        <f>'Old Balance Sheet'!A271 + 'ACPL Calculations - 1.0'!A271 + 'ACPL Calculations - 2.0'!A271</f>
        <v>1139</v>
      </c>
      <c r="J271" s="34" t="s">
        <v>3820</v>
      </c>
      <c r="K271" s="34">
        <v>205.0</v>
      </c>
      <c r="L271" s="34" t="s">
        <v>3818</v>
      </c>
      <c r="M271" s="34">
        <v>100.0</v>
      </c>
      <c r="N271" s="33">
        <f>'Old Balance Sheet'!B271 + 'ACPL Calculations - 1.0'!B271 + 'ACPL Calculations - 2.0'!B271</f>
        <v>0</v>
      </c>
      <c r="O271" s="34" t="s">
        <v>3820</v>
      </c>
      <c r="P271" s="34">
        <v>290.0</v>
      </c>
      <c r="Q271" s="34" t="s">
        <v>3818</v>
      </c>
      <c r="R271" s="34">
        <v>100.0</v>
      </c>
      <c r="S271" s="33">
        <f>'Old Balance Sheet'!C271 + 'ACPL Calculations - 1.0'!C271 + 'ACPL Calculations - 2.0'!C271</f>
        <v>0</v>
      </c>
      <c r="T271" s="34" t="s">
        <v>3820</v>
      </c>
      <c r="U271" s="34">
        <v>375.0</v>
      </c>
      <c r="V271" s="34" t="s">
        <v>3818</v>
      </c>
      <c r="W271" s="34">
        <v>100.0</v>
      </c>
      <c r="X271" s="33">
        <f>'Old Balance Sheet'!D271 + 'ACPL Calculations - 1.0'!D271 + 'ACPL Calculations - 2.0'!D271</f>
        <v>0</v>
      </c>
      <c r="Y271" s="34" t="s">
        <v>3820</v>
      </c>
      <c r="Z271" s="34">
        <v>460.0</v>
      </c>
      <c r="AA271" s="32" t="s">
        <v>3818</v>
      </c>
      <c r="AB271" s="31">
        <v>100.0</v>
      </c>
      <c r="AC271" s="33">
        <f>'Old Balance Sheet'!E271 + 'ACPL Calculations - 1.0'!E271 + 'ACPL Calculations - 2.0'!E271</f>
        <v>0</v>
      </c>
      <c r="AD271" s="34" t="s">
        <v>3820</v>
      </c>
      <c r="AE271" s="34">
        <v>838.99</v>
      </c>
      <c r="AF271" s="32" t="s">
        <v>3818</v>
      </c>
      <c r="AG271" s="31">
        <v>100.0</v>
      </c>
      <c r="AH271" s="33">
        <f>'Old Balance Sheet'!F271 + 'ACPL Calculations - 1.0'!F271 + 'ACPL Calculations - 2.0'!F271</f>
        <v>0</v>
      </c>
      <c r="AI271" s="34" t="s">
        <v>3820</v>
      </c>
      <c r="AJ271" s="34">
        <v>375.0</v>
      </c>
      <c r="AK271" s="32" t="s">
        <v>3818</v>
      </c>
      <c r="AL271" s="31">
        <v>100.0</v>
      </c>
      <c r="AM271" s="33">
        <f>'Old Balance Sheet'!G271 + 'ACPL Calculations - 1.0'!G271 + 'ACPL Calculations - 2.0'!G271</f>
        <v>0</v>
      </c>
      <c r="AN271" s="34" t="s">
        <v>3820</v>
      </c>
      <c r="AO271" s="34">
        <v>290.0</v>
      </c>
      <c r="AP271" s="32" t="s">
        <v>3818</v>
      </c>
      <c r="AQ271" s="31">
        <v>100.0</v>
      </c>
      <c r="AR271" s="33">
        <f>'Old Balance Sheet'!H271 + 'ACPL Calculations - 1.0'!H271 + 'ACPL Calculations - 2.0'!H271</f>
        <v>0</v>
      </c>
      <c r="AS271" s="34" t="s">
        <v>3819</v>
      </c>
      <c r="AT271" s="34">
        <v>838.99</v>
      </c>
      <c r="AU271" s="32" t="s">
        <v>3818</v>
      </c>
      <c r="AV271" s="31">
        <v>100.0</v>
      </c>
      <c r="AW271" s="33">
        <f>'Old Balance Sheet'!I271 + 'ACPL Calculations - 1.0'!I271 + 'ACPL Calculations - 2.0'!I271</f>
        <v>0</v>
      </c>
      <c r="AX271" s="34" t="s">
        <v>3820</v>
      </c>
      <c r="AY271" s="34">
        <v>290.0</v>
      </c>
      <c r="AZ271" s="32" t="s">
        <v>3818</v>
      </c>
      <c r="BA271" s="31">
        <v>100.0</v>
      </c>
      <c r="BB271" s="33">
        <f>'Old Balance Sheet'!J271 + 'ACPL Calculations - 1.0'!J271 + 'ACPL Calculations - 2.0'!J271</f>
        <v>0</v>
      </c>
      <c r="BC271" s="34" t="s">
        <v>3820</v>
      </c>
      <c r="BD271" s="34">
        <v>205.0</v>
      </c>
      <c r="BE271" s="32" t="s">
        <v>3818</v>
      </c>
      <c r="BF271" s="31">
        <v>100.0</v>
      </c>
      <c r="BG271" s="33">
        <f>'Old Balance Sheet'!K271 + 'ACPL Calculations - 1.0'!K271 + 'ACPL Calculations - 2.0'!K271</f>
        <v>0</v>
      </c>
      <c r="BH271" s="34" t="s">
        <v>3820</v>
      </c>
      <c r="BI271" s="34">
        <v>205.0</v>
      </c>
      <c r="BJ271" s="32" t="s">
        <v>3818</v>
      </c>
      <c r="BK271" s="31">
        <v>100.0</v>
      </c>
      <c r="BL271" s="33">
        <f>'Old Balance Sheet'!L271 + 'ACPL Calculations - 1.0'!L271 + 'ACPL Calculations - 2.0'!L271</f>
        <v>0</v>
      </c>
      <c r="CL271" s="33">
        <f t="shared" si="1"/>
        <v>1139</v>
      </c>
      <c r="CM271" s="33">
        <f>'Old Balance Sheet'!R271 + 'ACPL Calculations - 1.0'!S271 + 'ACPL Calculations - 2.0'!S271</f>
        <v>503438</v>
      </c>
      <c r="CN271" s="33">
        <f>'Old Balance Sheet'!S271 + 'ACPL Calculations - 1.0'!T271 + 'ACPL Calculations - 2.0'!T271</f>
        <v>201479</v>
      </c>
      <c r="CO271" s="33">
        <f t="shared" si="2"/>
        <v>278270.38</v>
      </c>
      <c r="CP271" s="33">
        <f>'Old Balance Sheet'!T271 + 'ACPL Calculations - 1.0'!V271 + 'ACPL Calculations - 2.0'!V271</f>
        <v>0</v>
      </c>
      <c r="CQ271" s="33">
        <f>'Old Balance Sheet'!U271 + 'ACPL Calculations - 1.0'!W271 + 'ACPL Calculations - 2.0'!W271</f>
        <v>0</v>
      </c>
      <c r="CR271" s="33">
        <f>'Old Balance Sheet'!V271 + 'ACPL Calculations - 1.0'!X271 + 'ACPL Calculations - 2.0'!X271</f>
        <v>76791.38</v>
      </c>
      <c r="CS271" s="33">
        <f t="shared" si="3"/>
        <v>76791.38</v>
      </c>
      <c r="CT271" s="35"/>
      <c r="CU271" s="35"/>
      <c r="CV271" s="35"/>
      <c r="CW271" s="36">
        <f>'Old Balance Sheet'!W271 + 'ACPL Calculations - 1.0'!Z271 + 'ACPL Calculations - 2.0'!Z271</f>
        <v>0</v>
      </c>
      <c r="CX271" s="36">
        <f>'Old Balance Sheet'!X271 + 'ACPL Calculations - 1.0'!AA271 + 'ACPL Calculations - 2.0'!AA271</f>
        <v>0</v>
      </c>
      <c r="CY271" s="37">
        <v>0.0</v>
      </c>
      <c r="CZ271" s="38">
        <f>'Old Balance Sheet'!Y271 + 'ACPL Calculations - 1.0'!AB271 + 'ACPL Calculations - 2.0'!AB271</f>
        <v>0</v>
      </c>
      <c r="DA271" s="38">
        <f>'Old Balance Sheet'!Z271 + 'ACPL Calculations - 1.0'!AC271 + 'ACPL Calculations - 2.0'!AC271</f>
        <v>0</v>
      </c>
      <c r="DB271" s="38">
        <f>'Old Balance Sheet'!AA271 + 'ACPL Calculations - 1.0'!AD271 + 'ACPL Calculations - 2.0'!AD271</f>
        <v>0</v>
      </c>
      <c r="DC271" s="38">
        <f>'Old Balance Sheet'!AB271 + 'ACPL Calculations - 1.0'!AE271 + 'ACPL Calculations - 2.0'!AE271</f>
        <v>0</v>
      </c>
      <c r="DD271" s="38">
        <f t="shared" si="4"/>
        <v>0</v>
      </c>
      <c r="DE271" s="33">
        <f t="shared" si="5"/>
        <v>0</v>
      </c>
      <c r="DF271" s="35">
        <v>0.0</v>
      </c>
      <c r="DG271" s="35">
        <v>0.0</v>
      </c>
      <c r="DH271" s="35">
        <v>0.0</v>
      </c>
      <c r="DI271" s="35">
        <v>0.0</v>
      </c>
      <c r="DJ271" s="35">
        <v>0.0</v>
      </c>
      <c r="DK271" s="35">
        <v>0.0</v>
      </c>
      <c r="DL271" s="35">
        <v>0.0</v>
      </c>
      <c r="DM271" s="35">
        <v>0.0</v>
      </c>
      <c r="DN271" s="31">
        <v>0.0</v>
      </c>
      <c r="DO271" s="31">
        <v>0.0</v>
      </c>
      <c r="DP271" s="31">
        <v>0.0</v>
      </c>
      <c r="DQ271" s="31">
        <v>0.0</v>
      </c>
      <c r="DR271" s="31">
        <v>0.0</v>
      </c>
      <c r="DS271" s="31">
        <v>0.0</v>
      </c>
      <c r="DT271" s="31">
        <f>'Old Balance Sheet'!AC271</f>
        <v>0</v>
      </c>
      <c r="DU271" s="31">
        <f>DT271 + SUMIFS('Payments Log'!D:D, 'Payments Log'!B:B, A271, 'Payments Log'!L:L, "Approved", 'Payments Log'!M:M, "Credit") + 'Old Balance Sheet'!AD271 - 'Old Balance Sheet'!AC271</f>
        <v>0</v>
      </c>
      <c r="DV271" s="31">
        <f>SUMIFS('Payments Log'!D:D, 'Payments Log'!B:B, A271, 'Payments Log'!L:L, "Approved", 'Payments Log'!M:M, "Adjustment Credit") - SUMIFS('Payments Log'!D:D, 'Payments Log'!B:B, A271, 'Payments Log'!L:L, "Approved", 'Payments Log'!M:M, "Adjustment Debit") + 'Old Balance Sheet'!AE271</f>
        <v>0</v>
      </c>
      <c r="DW271" s="31">
        <f>IF(MAXIFS('Payments Log'!N:N, 'Payments Log'!L:L, "Approved", 'Payments Log'!M:M, "Credit", 'Payments Log'!B:B, A271) &gt; MAXIFS('Payments Log'!N:N, 'Payments Log'!L:L, "Approved", 'Payments Log'!M:M, "Virtual Credit", 'Payments Log'!B:B, A271), 0, SUMIFS('Payments Log'!D:D, 'Payments Log'!N:N, MAXIFS('Payments Log'!N:N, 'Payments Log'!L:L, "Approved", 'Payments Log'!M:M, "Virtual Credit", 'Payments Log'!B:B, A271)))</f>
        <v>0</v>
      </c>
      <c r="DX271" s="33">
        <f t="shared" si="6"/>
        <v>0</v>
      </c>
      <c r="DY271" s="33">
        <f t="shared" si="7"/>
        <v>0</v>
      </c>
      <c r="DZ271" s="33">
        <f t="shared" si="8"/>
        <v>0</v>
      </c>
      <c r="EA271" s="25" t="str">
        <f>(Sheet1!N271)</f>
        <v>Gupta Automobiles - Padrauna</v>
      </c>
      <c r="EB271" s="25" t="str">
        <f>(Sheet1!O271)</f>
        <v>1Ql_6BdBcHGAyITSZt1pNUK3bW54CzeThIBXr7aH7K3Y</v>
      </c>
      <c r="EC271" s="26" t="str">
        <f>(Sheet1!P271)</f>
        <v>Sub Dealer</v>
      </c>
      <c r="ED271" s="34" t="s">
        <v>13</v>
      </c>
    </row>
    <row r="272">
      <c r="A272" s="26" t="str">
        <f>(Sheet1!A272)</f>
        <v>1xdBmlu3NG6ftZ2So7cKWCZU08O5EvzyDf43msSPJABE</v>
      </c>
      <c r="B272" s="26" t="str">
        <f>(Sheet1!B272)</f>
        <v>Shri Guru Motors (GA) - PAKADIYAR BAZAR</v>
      </c>
      <c r="C272" s="34" t="s">
        <v>13</v>
      </c>
      <c r="D272" s="34" t="s">
        <v>72</v>
      </c>
      <c r="E272" s="34" t="s">
        <v>3817</v>
      </c>
      <c r="F272" s="34">
        <v>175.0</v>
      </c>
      <c r="G272" s="34" t="s">
        <v>3818</v>
      </c>
      <c r="H272" s="34">
        <v>100.0</v>
      </c>
      <c r="I272" s="33">
        <f>'Old Balance Sheet'!A272 + 'ACPL Calculations - 1.0'!A272 + 'ACPL Calculations - 2.0'!A272</f>
        <v>132</v>
      </c>
      <c r="J272" s="34" t="s">
        <v>3820</v>
      </c>
      <c r="K272" s="34">
        <v>205.0</v>
      </c>
      <c r="L272" s="34" t="s">
        <v>3818</v>
      </c>
      <c r="M272" s="34">
        <v>100.0</v>
      </c>
      <c r="N272" s="33">
        <f>'Old Balance Sheet'!B272 + 'ACPL Calculations - 1.0'!B272 + 'ACPL Calculations - 2.0'!B272</f>
        <v>0</v>
      </c>
      <c r="O272" s="34" t="s">
        <v>3820</v>
      </c>
      <c r="P272" s="34">
        <v>290.0</v>
      </c>
      <c r="Q272" s="34" t="s">
        <v>3818</v>
      </c>
      <c r="R272" s="34">
        <v>100.0</v>
      </c>
      <c r="S272" s="33">
        <f>'Old Balance Sheet'!C272 + 'ACPL Calculations - 1.0'!C272 + 'ACPL Calculations - 2.0'!C272</f>
        <v>0</v>
      </c>
      <c r="T272" s="34" t="s">
        <v>3820</v>
      </c>
      <c r="U272" s="34">
        <v>375.0</v>
      </c>
      <c r="V272" s="34" t="s">
        <v>3818</v>
      </c>
      <c r="W272" s="34">
        <v>100.0</v>
      </c>
      <c r="X272" s="33">
        <f>'Old Balance Sheet'!D272 + 'ACPL Calculations - 1.0'!D272 + 'ACPL Calculations - 2.0'!D272</f>
        <v>0</v>
      </c>
      <c r="Y272" s="34" t="s">
        <v>3820</v>
      </c>
      <c r="Z272" s="34">
        <v>460.0</v>
      </c>
      <c r="AA272" s="32" t="s">
        <v>3818</v>
      </c>
      <c r="AB272" s="31">
        <v>100.0</v>
      </c>
      <c r="AC272" s="33">
        <f>'Old Balance Sheet'!E272 + 'ACPL Calculations - 1.0'!E272 + 'ACPL Calculations - 2.0'!E272</f>
        <v>0</v>
      </c>
      <c r="AD272" s="34" t="s">
        <v>3820</v>
      </c>
      <c r="AE272" s="34">
        <v>838.99</v>
      </c>
      <c r="AF272" s="32" t="s">
        <v>3818</v>
      </c>
      <c r="AG272" s="31">
        <v>100.0</v>
      </c>
      <c r="AH272" s="33">
        <f>'Old Balance Sheet'!F272 + 'ACPL Calculations - 1.0'!F272 + 'ACPL Calculations - 2.0'!F272</f>
        <v>0</v>
      </c>
      <c r="AI272" s="34" t="s">
        <v>3820</v>
      </c>
      <c r="AJ272" s="34">
        <v>375.0</v>
      </c>
      <c r="AK272" s="32" t="s">
        <v>3818</v>
      </c>
      <c r="AL272" s="31">
        <v>100.0</v>
      </c>
      <c r="AM272" s="33">
        <f>'Old Balance Sheet'!G272 + 'ACPL Calculations - 1.0'!G272 + 'ACPL Calculations - 2.0'!G272</f>
        <v>0</v>
      </c>
      <c r="AN272" s="34" t="s">
        <v>3820</v>
      </c>
      <c r="AO272" s="34">
        <v>290.0</v>
      </c>
      <c r="AP272" s="32" t="s">
        <v>3818</v>
      </c>
      <c r="AQ272" s="31">
        <v>100.0</v>
      </c>
      <c r="AR272" s="33">
        <f>'Old Balance Sheet'!H272 + 'ACPL Calculations - 1.0'!H272 + 'ACPL Calculations - 2.0'!H272</f>
        <v>0</v>
      </c>
      <c r="AS272" s="34" t="s">
        <v>3819</v>
      </c>
      <c r="AT272" s="34">
        <v>838.99</v>
      </c>
      <c r="AU272" s="32" t="s">
        <v>3818</v>
      </c>
      <c r="AV272" s="31">
        <v>100.0</v>
      </c>
      <c r="AW272" s="33">
        <f>'Old Balance Sheet'!I272 + 'ACPL Calculations - 1.0'!I272 + 'ACPL Calculations - 2.0'!I272</f>
        <v>0</v>
      </c>
      <c r="AX272" s="34" t="s">
        <v>3820</v>
      </c>
      <c r="AY272" s="34">
        <v>290.0</v>
      </c>
      <c r="AZ272" s="32" t="s">
        <v>3818</v>
      </c>
      <c r="BA272" s="31">
        <v>100.0</v>
      </c>
      <c r="BB272" s="33">
        <f>'Old Balance Sheet'!J272 + 'ACPL Calculations - 1.0'!J272 + 'ACPL Calculations - 2.0'!J272</f>
        <v>0</v>
      </c>
      <c r="BC272" s="34" t="s">
        <v>3820</v>
      </c>
      <c r="BD272" s="34">
        <v>205.0</v>
      </c>
      <c r="BE272" s="32" t="s">
        <v>3818</v>
      </c>
      <c r="BF272" s="31">
        <v>100.0</v>
      </c>
      <c r="BG272" s="33">
        <f>'Old Balance Sheet'!K272 + 'ACPL Calculations - 1.0'!K272 + 'ACPL Calculations - 2.0'!K272</f>
        <v>0</v>
      </c>
      <c r="BH272" s="34" t="s">
        <v>3820</v>
      </c>
      <c r="BI272" s="34">
        <v>205.0</v>
      </c>
      <c r="BJ272" s="32" t="s">
        <v>3818</v>
      </c>
      <c r="BK272" s="31">
        <v>100.0</v>
      </c>
      <c r="BL272" s="33">
        <f>'Old Balance Sheet'!L272 + 'ACPL Calculations - 1.0'!L272 + 'ACPL Calculations - 2.0'!L272</f>
        <v>0</v>
      </c>
      <c r="CL272" s="33">
        <f t="shared" si="1"/>
        <v>132</v>
      </c>
      <c r="CM272" s="33">
        <f>'Old Balance Sheet'!R272 + 'ACPL Calculations - 1.0'!S272 + 'ACPL Calculations - 2.0'!S272</f>
        <v>58344</v>
      </c>
      <c r="CN272" s="33">
        <f>'Old Balance Sheet'!S272 + 'ACPL Calculations - 1.0'!T272 + 'ACPL Calculations - 2.0'!T272</f>
        <v>23413</v>
      </c>
      <c r="CO272" s="33">
        <f t="shared" si="2"/>
        <v>32312.44</v>
      </c>
      <c r="CP272" s="33">
        <f>'Old Balance Sheet'!T272 + 'ACPL Calculations - 1.0'!V272 + 'ACPL Calculations - 2.0'!V272</f>
        <v>0</v>
      </c>
      <c r="CQ272" s="33">
        <f>'Old Balance Sheet'!U272 + 'ACPL Calculations - 1.0'!W272 + 'ACPL Calculations - 2.0'!W272</f>
        <v>0</v>
      </c>
      <c r="CR272" s="33">
        <f>'Old Balance Sheet'!V272 + 'ACPL Calculations - 1.0'!X272 + 'ACPL Calculations - 2.0'!X272</f>
        <v>8899.44</v>
      </c>
      <c r="CS272" s="33">
        <f t="shared" si="3"/>
        <v>8899.44</v>
      </c>
      <c r="CT272" s="35"/>
      <c r="CU272" s="35"/>
      <c r="CV272" s="35"/>
      <c r="CW272" s="36">
        <f>'Old Balance Sheet'!W272 + 'ACPL Calculations - 1.0'!Z272 + 'ACPL Calculations - 2.0'!Z272</f>
        <v>0</v>
      </c>
      <c r="CX272" s="36">
        <f>'Old Balance Sheet'!X272 + 'ACPL Calculations - 1.0'!AA272 + 'ACPL Calculations - 2.0'!AA272</f>
        <v>0</v>
      </c>
      <c r="CY272" s="37">
        <v>0.0</v>
      </c>
      <c r="CZ272" s="38">
        <f>'Old Balance Sheet'!Y272 + 'ACPL Calculations - 1.0'!AB272 + 'ACPL Calculations - 2.0'!AB272</f>
        <v>0</v>
      </c>
      <c r="DA272" s="38">
        <f>'Old Balance Sheet'!Z272 + 'ACPL Calculations - 1.0'!AC272 + 'ACPL Calculations - 2.0'!AC272</f>
        <v>0</v>
      </c>
      <c r="DB272" s="38">
        <f>'Old Balance Sheet'!AA272 + 'ACPL Calculations - 1.0'!AD272 + 'ACPL Calculations - 2.0'!AD272</f>
        <v>0</v>
      </c>
      <c r="DC272" s="38">
        <f>'Old Balance Sheet'!AB272 + 'ACPL Calculations - 1.0'!AE272 + 'ACPL Calculations - 2.0'!AE272</f>
        <v>0</v>
      </c>
      <c r="DD272" s="38">
        <f t="shared" si="4"/>
        <v>0</v>
      </c>
      <c r="DE272" s="33">
        <f t="shared" si="5"/>
        <v>0</v>
      </c>
      <c r="DF272" s="35">
        <v>0.0</v>
      </c>
      <c r="DG272" s="35">
        <v>0.0</v>
      </c>
      <c r="DH272" s="35">
        <v>0.0</v>
      </c>
      <c r="DI272" s="35">
        <v>0.0</v>
      </c>
      <c r="DJ272" s="35">
        <v>0.0</v>
      </c>
      <c r="DK272" s="35">
        <v>0.0</v>
      </c>
      <c r="DL272" s="35">
        <v>0.0</v>
      </c>
      <c r="DM272" s="35">
        <v>0.0</v>
      </c>
      <c r="DN272" s="31">
        <v>0.0</v>
      </c>
      <c r="DO272" s="31">
        <v>0.0</v>
      </c>
      <c r="DP272" s="31">
        <v>0.0</v>
      </c>
      <c r="DQ272" s="31">
        <v>0.0</v>
      </c>
      <c r="DR272" s="31">
        <v>0.0</v>
      </c>
      <c r="DS272" s="31">
        <v>0.0</v>
      </c>
      <c r="DT272" s="31">
        <f>'Old Balance Sheet'!AC272</f>
        <v>0</v>
      </c>
      <c r="DU272" s="31">
        <f>DT272 + SUMIFS('Payments Log'!D:D, 'Payments Log'!B:B, A272, 'Payments Log'!L:L, "Approved", 'Payments Log'!M:M, "Credit") + 'Old Balance Sheet'!AD272 - 'Old Balance Sheet'!AC272</f>
        <v>0</v>
      </c>
      <c r="DV272" s="31">
        <f>SUMIFS('Payments Log'!D:D, 'Payments Log'!B:B, A272, 'Payments Log'!L:L, "Approved", 'Payments Log'!M:M, "Adjustment Credit") - SUMIFS('Payments Log'!D:D, 'Payments Log'!B:B, A272, 'Payments Log'!L:L, "Approved", 'Payments Log'!M:M, "Adjustment Debit") + 'Old Balance Sheet'!AE272</f>
        <v>0</v>
      </c>
      <c r="DW272" s="31">
        <f>IF(MAXIFS('Payments Log'!N:N, 'Payments Log'!L:L, "Approved", 'Payments Log'!M:M, "Credit", 'Payments Log'!B:B, A272) &gt; MAXIFS('Payments Log'!N:N, 'Payments Log'!L:L, "Approved", 'Payments Log'!M:M, "Virtual Credit", 'Payments Log'!B:B, A272), 0, SUMIFS('Payments Log'!D:D, 'Payments Log'!N:N, MAXIFS('Payments Log'!N:N, 'Payments Log'!L:L, "Approved", 'Payments Log'!M:M, "Virtual Credit", 'Payments Log'!B:B, A272)))</f>
        <v>0</v>
      </c>
      <c r="DX272" s="33">
        <f t="shared" si="6"/>
        <v>0</v>
      </c>
      <c r="DY272" s="33">
        <f t="shared" si="7"/>
        <v>0</v>
      </c>
      <c r="DZ272" s="33">
        <f t="shared" si="8"/>
        <v>0</v>
      </c>
      <c r="EA272" s="25" t="str">
        <f>(Sheet1!N272)</f>
        <v>Gupta Automobiles - Padrauna</v>
      </c>
      <c r="EB272" s="25" t="str">
        <f>(Sheet1!O272)</f>
        <v>1Ql_6BdBcHGAyITSZt1pNUK3bW54CzeThIBXr7aH7K3Y</v>
      </c>
      <c r="EC272" s="26" t="str">
        <f>(Sheet1!P272)</f>
        <v>Sub Dealer</v>
      </c>
      <c r="ED272" s="34" t="s">
        <v>13</v>
      </c>
    </row>
    <row r="273">
      <c r="A273" s="26" t="str">
        <f>(Sheet1!A273)</f>
        <v>1_5VG-F35BWYeavx2Egt3_WJsCY1xhX1lyqQW8SX-6Tg</v>
      </c>
      <c r="B273" s="26" t="str">
        <f>(Sheet1!B273)</f>
        <v>SINGLA AGENCIES- BADARPUR</v>
      </c>
      <c r="C273" s="34" t="s">
        <v>13</v>
      </c>
      <c r="D273" s="34" t="s">
        <v>72</v>
      </c>
      <c r="E273" s="34" t="s">
        <v>3820</v>
      </c>
      <c r="F273" s="34">
        <v>170.0</v>
      </c>
      <c r="G273" s="34" t="s">
        <v>3818</v>
      </c>
      <c r="H273" s="34">
        <v>100.0</v>
      </c>
      <c r="I273" s="33">
        <f>'Old Balance Sheet'!A273 + 'ACPL Calculations - 1.0'!A273 + 'ACPL Calculations - 2.0'!A273</f>
        <v>0</v>
      </c>
      <c r="J273" s="34" t="s">
        <v>3820</v>
      </c>
      <c r="K273" s="34">
        <v>205.0</v>
      </c>
      <c r="L273" s="34" t="s">
        <v>3818</v>
      </c>
      <c r="M273" s="34">
        <v>100.0</v>
      </c>
      <c r="N273" s="33">
        <f>'Old Balance Sheet'!B273 + 'ACPL Calculations - 1.0'!B273 + 'ACPL Calculations - 2.0'!B273</f>
        <v>0</v>
      </c>
      <c r="O273" s="34" t="s">
        <v>3820</v>
      </c>
      <c r="P273" s="34">
        <v>290.0</v>
      </c>
      <c r="Q273" s="34" t="s">
        <v>3818</v>
      </c>
      <c r="R273" s="34">
        <v>100.0</v>
      </c>
      <c r="S273" s="33">
        <f>'Old Balance Sheet'!C273 + 'ACPL Calculations - 1.0'!C273 + 'ACPL Calculations - 2.0'!C273</f>
        <v>0</v>
      </c>
      <c r="T273" s="34" t="s">
        <v>3820</v>
      </c>
      <c r="U273" s="34">
        <v>375.0</v>
      </c>
      <c r="V273" s="34" t="s">
        <v>3818</v>
      </c>
      <c r="W273" s="34">
        <v>100.0</v>
      </c>
      <c r="X273" s="33">
        <f>'Old Balance Sheet'!D273 + 'ACPL Calculations - 1.0'!D273 + 'ACPL Calculations - 2.0'!D273</f>
        <v>0</v>
      </c>
      <c r="Y273" s="34" t="s">
        <v>3820</v>
      </c>
      <c r="Z273" s="34">
        <v>170.0</v>
      </c>
      <c r="AA273" s="32" t="s">
        <v>3818</v>
      </c>
      <c r="AB273" s="31">
        <v>100.0</v>
      </c>
      <c r="AC273" s="33">
        <f>'Old Balance Sheet'!E273 + 'ACPL Calculations - 1.0'!E273 + 'ACPL Calculations - 2.0'!E273</f>
        <v>0</v>
      </c>
      <c r="AD273" s="34" t="s">
        <v>3820</v>
      </c>
      <c r="AE273" s="34">
        <v>838.99</v>
      </c>
      <c r="AF273" s="32" t="s">
        <v>3818</v>
      </c>
      <c r="AG273" s="31">
        <v>100.0</v>
      </c>
      <c r="AH273" s="33">
        <f>'Old Balance Sheet'!F273 + 'ACPL Calculations - 1.0'!F273 + 'ACPL Calculations - 2.0'!F273</f>
        <v>0</v>
      </c>
      <c r="AI273" s="34" t="s">
        <v>3820</v>
      </c>
      <c r="AJ273" s="34">
        <v>375.0</v>
      </c>
      <c r="AK273" s="32" t="s">
        <v>3818</v>
      </c>
      <c r="AL273" s="31">
        <v>100.0</v>
      </c>
      <c r="AM273" s="33">
        <f>'Old Balance Sheet'!G273 + 'ACPL Calculations - 1.0'!G273 + 'ACPL Calculations - 2.0'!G273</f>
        <v>0</v>
      </c>
      <c r="AN273" s="34" t="s">
        <v>3820</v>
      </c>
      <c r="AO273" s="34">
        <v>290.0</v>
      </c>
      <c r="AP273" s="32" t="s">
        <v>3818</v>
      </c>
      <c r="AQ273" s="31">
        <v>100.0</v>
      </c>
      <c r="AR273" s="33">
        <f>'Old Balance Sheet'!H273 + 'ACPL Calculations - 1.0'!H273 + 'ACPL Calculations - 2.0'!H273</f>
        <v>0</v>
      </c>
      <c r="AS273" s="34" t="s">
        <v>3819</v>
      </c>
      <c r="AT273" s="34">
        <v>838.99</v>
      </c>
      <c r="AU273" s="32" t="s">
        <v>3818</v>
      </c>
      <c r="AV273" s="31">
        <v>100.0</v>
      </c>
      <c r="AW273" s="33">
        <f>'Old Balance Sheet'!I273 + 'ACPL Calculations - 1.0'!I273 + 'ACPL Calculations - 2.0'!I273</f>
        <v>0</v>
      </c>
      <c r="AX273" s="34" t="s">
        <v>3820</v>
      </c>
      <c r="AY273" s="34">
        <v>290.0</v>
      </c>
      <c r="AZ273" s="32" t="s">
        <v>3818</v>
      </c>
      <c r="BA273" s="31">
        <v>100.0</v>
      </c>
      <c r="BB273" s="33">
        <f>'Old Balance Sheet'!J273 + 'ACPL Calculations - 1.0'!J273 + 'ACPL Calculations - 2.0'!J273</f>
        <v>0</v>
      </c>
      <c r="BC273" s="34" t="s">
        <v>3820</v>
      </c>
      <c r="BD273" s="34">
        <v>205.0</v>
      </c>
      <c r="BE273" s="32" t="s">
        <v>3818</v>
      </c>
      <c r="BF273" s="31">
        <v>100.0</v>
      </c>
      <c r="BG273" s="33">
        <f>'Old Balance Sheet'!K273 + 'ACPL Calculations - 1.0'!K273 + 'ACPL Calculations - 2.0'!K273</f>
        <v>0</v>
      </c>
      <c r="BH273" s="34" t="s">
        <v>3820</v>
      </c>
      <c r="BI273" s="34">
        <v>205.0</v>
      </c>
      <c r="BJ273" s="32" t="s">
        <v>3818</v>
      </c>
      <c r="BK273" s="31">
        <v>100.0</v>
      </c>
      <c r="BL273" s="33">
        <f>'Old Balance Sheet'!L273 + 'ACPL Calculations - 1.0'!L273 + 'ACPL Calculations - 2.0'!L273</f>
        <v>0</v>
      </c>
      <c r="CL273" s="33">
        <f t="shared" si="1"/>
        <v>0</v>
      </c>
      <c r="CM273" s="33">
        <f>'Old Balance Sheet'!R273 + 'ACPL Calculations - 1.0'!S273 + 'ACPL Calculations - 2.0'!S273</f>
        <v>0</v>
      </c>
      <c r="CN273" s="33">
        <f>'Old Balance Sheet'!S273 + 'ACPL Calculations - 1.0'!T273 + 'ACPL Calculations - 2.0'!T273</f>
        <v>0</v>
      </c>
      <c r="CO273" s="33">
        <f t="shared" si="2"/>
        <v>0</v>
      </c>
      <c r="CP273" s="33">
        <f>'Old Balance Sheet'!T273 + 'ACPL Calculations - 1.0'!V273 + 'ACPL Calculations - 2.0'!V273</f>
        <v>0</v>
      </c>
      <c r="CQ273" s="33">
        <f>'Old Balance Sheet'!U273 + 'ACPL Calculations - 1.0'!W273 + 'ACPL Calculations - 2.0'!W273</f>
        <v>0</v>
      </c>
      <c r="CR273" s="33">
        <f>'Old Balance Sheet'!V273 + 'ACPL Calculations - 1.0'!X273 + 'ACPL Calculations - 2.0'!X273</f>
        <v>0</v>
      </c>
      <c r="CS273" s="33">
        <f t="shared" si="3"/>
        <v>0</v>
      </c>
      <c r="CT273" s="35"/>
      <c r="CU273" s="35"/>
      <c r="CV273" s="35"/>
      <c r="CW273" s="36">
        <f>'Old Balance Sheet'!W273 + 'ACPL Calculations - 1.0'!Z273 + 'ACPL Calculations - 2.0'!Z273</f>
        <v>0</v>
      </c>
      <c r="CX273" s="36">
        <f>'Old Balance Sheet'!X273 + 'ACPL Calculations - 1.0'!AA273 + 'ACPL Calculations - 2.0'!AA273</f>
        <v>0</v>
      </c>
      <c r="CY273" s="37">
        <v>0.0</v>
      </c>
      <c r="CZ273" s="38">
        <f>'Old Balance Sheet'!Y273 + 'ACPL Calculations - 1.0'!AB273 + 'ACPL Calculations - 2.0'!AB273</f>
        <v>0</v>
      </c>
      <c r="DA273" s="38">
        <f>'Old Balance Sheet'!Z273 + 'ACPL Calculations - 1.0'!AC273 + 'ACPL Calculations - 2.0'!AC273</f>
        <v>0</v>
      </c>
      <c r="DB273" s="38">
        <f>'Old Balance Sheet'!AA273 + 'ACPL Calculations - 1.0'!AD273 + 'ACPL Calculations - 2.0'!AD273</f>
        <v>0</v>
      </c>
      <c r="DC273" s="38">
        <f>'Old Balance Sheet'!AB273 + 'ACPL Calculations - 1.0'!AE273 + 'ACPL Calculations - 2.0'!AE273</f>
        <v>0</v>
      </c>
      <c r="DD273" s="38">
        <f t="shared" si="4"/>
        <v>0</v>
      </c>
      <c r="DE273" s="33">
        <f t="shared" si="5"/>
        <v>0</v>
      </c>
      <c r="DF273" s="35">
        <v>0.0</v>
      </c>
      <c r="DG273" s="35">
        <v>0.0</v>
      </c>
      <c r="DH273" s="35">
        <v>0.0</v>
      </c>
      <c r="DI273" s="35">
        <v>0.0</v>
      </c>
      <c r="DJ273" s="35">
        <v>0.0</v>
      </c>
      <c r="DK273" s="35">
        <v>0.0</v>
      </c>
      <c r="DL273" s="35">
        <v>0.0</v>
      </c>
      <c r="DM273" s="35">
        <v>0.0</v>
      </c>
      <c r="DN273" s="31">
        <v>0.0</v>
      </c>
      <c r="DO273" s="31">
        <v>0.0</v>
      </c>
      <c r="DP273" s="31">
        <v>0.0</v>
      </c>
      <c r="DQ273" s="31">
        <v>0.0</v>
      </c>
      <c r="DR273" s="31">
        <v>0.0</v>
      </c>
      <c r="DS273" s="31">
        <v>0.0</v>
      </c>
      <c r="DT273" s="31">
        <f>'Old Balance Sheet'!AC273</f>
        <v>0</v>
      </c>
      <c r="DU273" s="31">
        <f>DT273 + SUMIFS('Payments Log'!D:D, 'Payments Log'!B:B, A273, 'Payments Log'!L:L, "Approved", 'Payments Log'!M:M, "Credit") + 'Old Balance Sheet'!AD273 - 'Old Balance Sheet'!AC273</f>
        <v>0</v>
      </c>
      <c r="DV273" s="31">
        <f>SUMIFS('Payments Log'!D:D, 'Payments Log'!B:B, A273, 'Payments Log'!L:L, "Approved", 'Payments Log'!M:M, "Adjustment Credit") - SUMIFS('Payments Log'!D:D, 'Payments Log'!B:B, A273, 'Payments Log'!L:L, "Approved", 'Payments Log'!M:M, "Adjustment Debit") + 'Old Balance Sheet'!AE273</f>
        <v>0</v>
      </c>
      <c r="DW273" s="31">
        <f>IF(MAXIFS('Payments Log'!N:N, 'Payments Log'!L:L, "Approved", 'Payments Log'!M:M, "Credit", 'Payments Log'!B:B, A273) &gt; MAXIFS('Payments Log'!N:N, 'Payments Log'!L:L, "Approved", 'Payments Log'!M:M, "Virtual Credit", 'Payments Log'!B:B, A273), 0, SUMIFS('Payments Log'!D:D, 'Payments Log'!N:N, MAXIFS('Payments Log'!N:N, 'Payments Log'!L:L, "Approved", 'Payments Log'!M:M, "Virtual Credit", 'Payments Log'!B:B, A273)))</f>
        <v>0</v>
      </c>
      <c r="DX273" s="33">
        <f t="shared" si="6"/>
        <v>0</v>
      </c>
      <c r="DY273" s="33">
        <f t="shared" si="7"/>
        <v>0</v>
      </c>
      <c r="DZ273" s="33">
        <f t="shared" si="8"/>
        <v>0</v>
      </c>
      <c r="EA273" s="25" t="str">
        <f>(Sheet1!N273)</f>
        <v>SINGLA AGENCIES- BADARPUR</v>
      </c>
      <c r="EB273" s="25" t="str">
        <f>(Sheet1!O273)</f>
        <v>1_5VG-F35BWYeavx2Egt3_WJsCY1xhX1lyqQW8SX-6Tg</v>
      </c>
      <c r="EC273" s="26" t="str">
        <f>(Sheet1!P273)</f>
        <v>Dealer</v>
      </c>
      <c r="ED273" s="34" t="s">
        <v>13</v>
      </c>
    </row>
    <row r="274">
      <c r="A274" s="26" t="str">
        <f>(Sheet1!A274)</f>
        <v>19pAMM1ODD7HC9W7d0aVqaU20HF154F5SEq_JiEg9FBM</v>
      </c>
      <c r="B274" s="26" t="str">
        <f>(Sheet1!B274)</f>
        <v>J k Motors (GA) - Mansoorganj </v>
      </c>
      <c r="C274" s="34" t="s">
        <v>13</v>
      </c>
      <c r="D274" s="34" t="s">
        <v>72</v>
      </c>
      <c r="E274" s="34" t="s">
        <v>3817</v>
      </c>
      <c r="F274" s="34">
        <v>175.0</v>
      </c>
      <c r="G274" s="34" t="s">
        <v>3818</v>
      </c>
      <c r="H274" s="34">
        <v>100.0</v>
      </c>
      <c r="I274" s="33">
        <f>'Old Balance Sheet'!A274 + 'ACPL Calculations - 1.0'!A274 + 'ACPL Calculations - 2.0'!A274</f>
        <v>129</v>
      </c>
      <c r="J274" s="34" t="s">
        <v>3820</v>
      </c>
      <c r="K274" s="34">
        <v>205.0</v>
      </c>
      <c r="L274" s="34" t="s">
        <v>3818</v>
      </c>
      <c r="M274" s="34">
        <v>100.0</v>
      </c>
      <c r="N274" s="33">
        <f>'Old Balance Sheet'!B274 + 'ACPL Calculations - 1.0'!B274 + 'ACPL Calculations - 2.0'!B274</f>
        <v>0</v>
      </c>
      <c r="O274" s="34" t="s">
        <v>3820</v>
      </c>
      <c r="P274" s="34">
        <v>290.0</v>
      </c>
      <c r="Q274" s="34" t="s">
        <v>3818</v>
      </c>
      <c r="R274" s="34">
        <v>100.0</v>
      </c>
      <c r="S274" s="33">
        <f>'Old Balance Sheet'!C274 + 'ACPL Calculations - 1.0'!C274 + 'ACPL Calculations - 2.0'!C274</f>
        <v>0</v>
      </c>
      <c r="T274" s="34" t="s">
        <v>3820</v>
      </c>
      <c r="U274" s="34">
        <v>375.0</v>
      </c>
      <c r="V274" s="34" t="s">
        <v>3818</v>
      </c>
      <c r="W274" s="34">
        <v>100.0</v>
      </c>
      <c r="X274" s="33">
        <f>'Old Balance Sheet'!D274 + 'ACPL Calculations - 1.0'!D274 + 'ACPL Calculations - 2.0'!D274</f>
        <v>0</v>
      </c>
      <c r="Y274" s="34" t="s">
        <v>3820</v>
      </c>
      <c r="Z274" s="34">
        <v>460.0</v>
      </c>
      <c r="AA274" s="32" t="s">
        <v>3818</v>
      </c>
      <c r="AB274" s="31">
        <v>100.0</v>
      </c>
      <c r="AC274" s="33">
        <f>'Old Balance Sheet'!E274 + 'ACPL Calculations - 1.0'!E274 + 'ACPL Calculations - 2.0'!E274</f>
        <v>0</v>
      </c>
      <c r="AD274" s="34" t="s">
        <v>3820</v>
      </c>
      <c r="AE274" s="34">
        <v>838.99</v>
      </c>
      <c r="AF274" s="32" t="s">
        <v>3818</v>
      </c>
      <c r="AG274" s="31">
        <v>100.0</v>
      </c>
      <c r="AH274" s="33">
        <f>'Old Balance Sheet'!F274 + 'ACPL Calculations - 1.0'!F274 + 'ACPL Calculations - 2.0'!F274</f>
        <v>0</v>
      </c>
      <c r="AI274" s="34" t="s">
        <v>3820</v>
      </c>
      <c r="AJ274" s="34">
        <v>375.0</v>
      </c>
      <c r="AK274" s="32" t="s">
        <v>3818</v>
      </c>
      <c r="AL274" s="31">
        <v>100.0</v>
      </c>
      <c r="AM274" s="33">
        <f>'Old Balance Sheet'!G274 + 'ACPL Calculations - 1.0'!G274 + 'ACPL Calculations - 2.0'!G274</f>
        <v>0</v>
      </c>
      <c r="AN274" s="34" t="s">
        <v>3820</v>
      </c>
      <c r="AO274" s="34">
        <v>290.0</v>
      </c>
      <c r="AP274" s="32" t="s">
        <v>3818</v>
      </c>
      <c r="AQ274" s="31">
        <v>100.0</v>
      </c>
      <c r="AR274" s="33">
        <f>'Old Balance Sheet'!H274 + 'ACPL Calculations - 1.0'!H274 + 'ACPL Calculations - 2.0'!H274</f>
        <v>0</v>
      </c>
      <c r="AS274" s="34" t="s">
        <v>3819</v>
      </c>
      <c r="AT274" s="34">
        <v>838.99</v>
      </c>
      <c r="AU274" s="32" t="s">
        <v>3818</v>
      </c>
      <c r="AV274" s="31">
        <v>100.0</v>
      </c>
      <c r="AW274" s="33">
        <f>'Old Balance Sheet'!I274 + 'ACPL Calculations - 1.0'!I274 + 'ACPL Calculations - 2.0'!I274</f>
        <v>0</v>
      </c>
      <c r="AX274" s="34" t="s">
        <v>3820</v>
      </c>
      <c r="AY274" s="34">
        <v>290.0</v>
      </c>
      <c r="AZ274" s="32" t="s">
        <v>3818</v>
      </c>
      <c r="BA274" s="31">
        <v>100.0</v>
      </c>
      <c r="BB274" s="33">
        <f>'Old Balance Sheet'!J274 + 'ACPL Calculations - 1.0'!J274 + 'ACPL Calculations - 2.0'!J274</f>
        <v>0</v>
      </c>
      <c r="BC274" s="34" t="s">
        <v>3820</v>
      </c>
      <c r="BD274" s="34">
        <v>205.0</v>
      </c>
      <c r="BE274" s="32" t="s">
        <v>3818</v>
      </c>
      <c r="BF274" s="31">
        <v>100.0</v>
      </c>
      <c r="BG274" s="33">
        <f>'Old Balance Sheet'!K274 + 'ACPL Calculations - 1.0'!K274 + 'ACPL Calculations - 2.0'!K274</f>
        <v>0</v>
      </c>
      <c r="BH274" s="34" t="s">
        <v>3820</v>
      </c>
      <c r="BI274" s="34">
        <v>205.0</v>
      </c>
      <c r="BJ274" s="32" t="s">
        <v>3818</v>
      </c>
      <c r="BK274" s="31">
        <v>100.0</v>
      </c>
      <c r="BL274" s="33">
        <f>'Old Balance Sheet'!L274 + 'ACPL Calculations - 1.0'!L274 + 'ACPL Calculations - 2.0'!L274</f>
        <v>0</v>
      </c>
      <c r="CL274" s="33">
        <f t="shared" si="1"/>
        <v>129</v>
      </c>
      <c r="CM274" s="33">
        <f>'Old Balance Sheet'!R274 + 'ACPL Calculations - 1.0'!S274 + 'ACPL Calculations - 2.0'!S274</f>
        <v>57018</v>
      </c>
      <c r="CN274" s="33">
        <f>'Old Balance Sheet'!S274 + 'ACPL Calculations - 1.0'!T274 + 'ACPL Calculations - 2.0'!T274</f>
        <v>23024</v>
      </c>
      <c r="CO274" s="33">
        <f t="shared" si="2"/>
        <v>31721.18</v>
      </c>
      <c r="CP274" s="33">
        <f>'Old Balance Sheet'!T274 + 'ACPL Calculations - 1.0'!V274 + 'ACPL Calculations - 2.0'!V274</f>
        <v>0</v>
      </c>
      <c r="CQ274" s="33">
        <f>'Old Balance Sheet'!U274 + 'ACPL Calculations - 1.0'!W274 + 'ACPL Calculations - 2.0'!W274</f>
        <v>0</v>
      </c>
      <c r="CR274" s="33">
        <f>'Old Balance Sheet'!V274 + 'ACPL Calculations - 1.0'!X274 + 'ACPL Calculations - 2.0'!X274</f>
        <v>8697.18</v>
      </c>
      <c r="CS274" s="33">
        <f t="shared" si="3"/>
        <v>8697.18</v>
      </c>
      <c r="CT274" s="35"/>
      <c r="CU274" s="35"/>
      <c r="CV274" s="35"/>
      <c r="CW274" s="36">
        <f>'Old Balance Sheet'!W274 + 'ACPL Calculations - 1.0'!Z274 + 'ACPL Calculations - 2.0'!Z274</f>
        <v>0</v>
      </c>
      <c r="CX274" s="36">
        <f>'Old Balance Sheet'!X274 + 'ACPL Calculations - 1.0'!AA274 + 'ACPL Calculations - 2.0'!AA274</f>
        <v>0</v>
      </c>
      <c r="CY274" s="37">
        <v>0.0</v>
      </c>
      <c r="CZ274" s="38">
        <f>'Old Balance Sheet'!Y274 + 'ACPL Calculations - 1.0'!AB274 + 'ACPL Calculations - 2.0'!AB274</f>
        <v>0</v>
      </c>
      <c r="DA274" s="38">
        <f>'Old Balance Sheet'!Z274 + 'ACPL Calculations - 1.0'!AC274 + 'ACPL Calculations - 2.0'!AC274</f>
        <v>0</v>
      </c>
      <c r="DB274" s="38">
        <f>'Old Balance Sheet'!AA274 + 'ACPL Calculations - 1.0'!AD274 + 'ACPL Calculations - 2.0'!AD274</f>
        <v>0</v>
      </c>
      <c r="DC274" s="38">
        <f>'Old Balance Sheet'!AB274 + 'ACPL Calculations - 1.0'!AE274 + 'ACPL Calculations - 2.0'!AE274</f>
        <v>0</v>
      </c>
      <c r="DD274" s="38">
        <f t="shared" si="4"/>
        <v>0</v>
      </c>
      <c r="DE274" s="33">
        <f t="shared" si="5"/>
        <v>0</v>
      </c>
      <c r="DF274" s="35">
        <v>0.0</v>
      </c>
      <c r="DG274" s="35">
        <v>0.0</v>
      </c>
      <c r="DH274" s="35">
        <v>0.0</v>
      </c>
      <c r="DI274" s="35">
        <v>0.0</v>
      </c>
      <c r="DJ274" s="35">
        <v>0.0</v>
      </c>
      <c r="DK274" s="35">
        <v>0.0</v>
      </c>
      <c r="DL274" s="35">
        <v>0.0</v>
      </c>
      <c r="DM274" s="35">
        <v>0.0</v>
      </c>
      <c r="DN274" s="31">
        <v>0.0</v>
      </c>
      <c r="DO274" s="31">
        <v>0.0</v>
      </c>
      <c r="DP274" s="31">
        <v>0.0</v>
      </c>
      <c r="DQ274" s="31">
        <v>0.0</v>
      </c>
      <c r="DR274" s="31">
        <v>0.0</v>
      </c>
      <c r="DS274" s="31">
        <v>0.0</v>
      </c>
      <c r="DT274" s="31">
        <f>'Old Balance Sheet'!AC274</f>
        <v>0</v>
      </c>
      <c r="DU274" s="31">
        <f>DT274 + SUMIFS('Payments Log'!D:D, 'Payments Log'!B:B, A274, 'Payments Log'!L:L, "Approved", 'Payments Log'!M:M, "Credit") + 'Old Balance Sheet'!AD274 - 'Old Balance Sheet'!AC274</f>
        <v>0</v>
      </c>
      <c r="DV274" s="31">
        <f>SUMIFS('Payments Log'!D:D, 'Payments Log'!B:B, A274, 'Payments Log'!L:L, "Approved", 'Payments Log'!M:M, "Adjustment Credit") - SUMIFS('Payments Log'!D:D, 'Payments Log'!B:B, A274, 'Payments Log'!L:L, "Approved", 'Payments Log'!M:M, "Adjustment Debit") + 'Old Balance Sheet'!AE274</f>
        <v>0</v>
      </c>
      <c r="DW274" s="31">
        <f>IF(MAXIFS('Payments Log'!N:N, 'Payments Log'!L:L, "Approved", 'Payments Log'!M:M, "Credit", 'Payments Log'!B:B, A274) &gt; MAXIFS('Payments Log'!N:N, 'Payments Log'!L:L, "Approved", 'Payments Log'!M:M, "Virtual Credit", 'Payments Log'!B:B, A274), 0, SUMIFS('Payments Log'!D:D, 'Payments Log'!N:N, MAXIFS('Payments Log'!N:N, 'Payments Log'!L:L, "Approved", 'Payments Log'!M:M, "Virtual Credit", 'Payments Log'!B:B, A274)))</f>
        <v>0</v>
      </c>
      <c r="DX274" s="33">
        <f t="shared" si="6"/>
        <v>0</v>
      </c>
      <c r="DY274" s="33">
        <f t="shared" si="7"/>
        <v>0</v>
      </c>
      <c r="DZ274" s="33">
        <f t="shared" si="8"/>
        <v>0</v>
      </c>
      <c r="EA274" s="25" t="str">
        <f>(Sheet1!N274)</f>
        <v>Gupta Automobiles - Padrauna</v>
      </c>
      <c r="EB274" s="25" t="str">
        <f>(Sheet1!O274)</f>
        <v>1Ql_6BdBcHGAyITSZt1pNUK3bW54CzeThIBXr7aH7K3Y</v>
      </c>
      <c r="EC274" s="26" t="str">
        <f>(Sheet1!P274)</f>
        <v>Sub Dealer</v>
      </c>
      <c r="ED274" s="34" t="s">
        <v>13</v>
      </c>
    </row>
    <row r="275">
      <c r="A275" s="26" t="str">
        <f>(Sheet1!A275)</f>
        <v>1mc_8vM2cvVxFaLxhqehg3pn4kwEVbCwCJJWsBRw5SJA</v>
      </c>
      <c r="B275" s="26" t="str">
        <f>(Sheet1!B275)</f>
        <v>Singla Agencies-Sangam vihar-(SAB)</v>
      </c>
      <c r="C275" s="34" t="s">
        <v>13</v>
      </c>
      <c r="D275" s="34" t="s">
        <v>72</v>
      </c>
      <c r="E275" s="34" t="s">
        <v>3820</v>
      </c>
      <c r="F275" s="34">
        <v>170.0</v>
      </c>
      <c r="G275" s="34" t="s">
        <v>3818</v>
      </c>
      <c r="H275" s="34">
        <v>100.0</v>
      </c>
      <c r="I275" s="33">
        <f>'Old Balance Sheet'!A275 + 'ACPL Calculations - 1.0'!A275 + 'ACPL Calculations - 2.0'!A275</f>
        <v>0</v>
      </c>
      <c r="J275" s="34" t="s">
        <v>3820</v>
      </c>
      <c r="K275" s="34">
        <v>205.0</v>
      </c>
      <c r="L275" s="34" t="s">
        <v>3818</v>
      </c>
      <c r="M275" s="34">
        <v>100.0</v>
      </c>
      <c r="N275" s="33">
        <f>'Old Balance Sheet'!B275 + 'ACPL Calculations - 1.0'!B275 + 'ACPL Calculations - 2.0'!B275</f>
        <v>0</v>
      </c>
      <c r="O275" s="34" t="s">
        <v>3820</v>
      </c>
      <c r="P275" s="34">
        <v>290.0</v>
      </c>
      <c r="Q275" s="34" t="s">
        <v>3818</v>
      </c>
      <c r="R275" s="34">
        <v>100.0</v>
      </c>
      <c r="S275" s="33">
        <f>'Old Balance Sheet'!C275 + 'ACPL Calculations - 1.0'!C275 + 'ACPL Calculations - 2.0'!C275</f>
        <v>0</v>
      </c>
      <c r="T275" s="34" t="s">
        <v>3820</v>
      </c>
      <c r="U275" s="34">
        <v>375.0</v>
      </c>
      <c r="V275" s="34" t="s">
        <v>3818</v>
      </c>
      <c r="W275" s="34">
        <v>100.0</v>
      </c>
      <c r="X275" s="33">
        <f>'Old Balance Sheet'!D275 + 'ACPL Calculations - 1.0'!D275 + 'ACPL Calculations - 2.0'!D275</f>
        <v>0</v>
      </c>
      <c r="Y275" s="34" t="s">
        <v>3820</v>
      </c>
      <c r="Z275" s="34">
        <v>170.0</v>
      </c>
      <c r="AA275" s="32" t="s">
        <v>3818</v>
      </c>
      <c r="AB275" s="31">
        <v>100.0</v>
      </c>
      <c r="AC275" s="33">
        <f>'Old Balance Sheet'!E275 + 'ACPL Calculations - 1.0'!E275 + 'ACPL Calculations - 2.0'!E275</f>
        <v>0</v>
      </c>
      <c r="AD275" s="34" t="s">
        <v>3820</v>
      </c>
      <c r="AE275" s="34">
        <v>838.99</v>
      </c>
      <c r="AF275" s="32" t="s">
        <v>3818</v>
      </c>
      <c r="AG275" s="31">
        <v>100.0</v>
      </c>
      <c r="AH275" s="33">
        <f>'Old Balance Sheet'!F275 + 'ACPL Calculations - 1.0'!F275 + 'ACPL Calculations - 2.0'!F275</f>
        <v>0</v>
      </c>
      <c r="AI275" s="34" t="s">
        <v>3820</v>
      </c>
      <c r="AJ275" s="34">
        <v>375.0</v>
      </c>
      <c r="AK275" s="32" t="s">
        <v>3818</v>
      </c>
      <c r="AL275" s="31">
        <v>100.0</v>
      </c>
      <c r="AM275" s="33">
        <f>'Old Balance Sheet'!G275 + 'ACPL Calculations - 1.0'!G275 + 'ACPL Calculations - 2.0'!G275</f>
        <v>0</v>
      </c>
      <c r="AN275" s="34" t="s">
        <v>3820</v>
      </c>
      <c r="AO275" s="34">
        <v>290.0</v>
      </c>
      <c r="AP275" s="32" t="s">
        <v>3818</v>
      </c>
      <c r="AQ275" s="31">
        <v>100.0</v>
      </c>
      <c r="AR275" s="33">
        <f>'Old Balance Sheet'!H275 + 'ACPL Calculations - 1.0'!H275 + 'ACPL Calculations - 2.0'!H275</f>
        <v>0</v>
      </c>
      <c r="AS275" s="34" t="s">
        <v>3819</v>
      </c>
      <c r="AT275" s="34">
        <v>838.99</v>
      </c>
      <c r="AU275" s="32" t="s">
        <v>3818</v>
      </c>
      <c r="AV275" s="31">
        <v>100.0</v>
      </c>
      <c r="AW275" s="33">
        <f>'Old Balance Sheet'!I275 + 'ACPL Calculations - 1.0'!I275 + 'ACPL Calculations - 2.0'!I275</f>
        <v>0</v>
      </c>
      <c r="AX275" s="34" t="s">
        <v>3820</v>
      </c>
      <c r="AY275" s="34">
        <v>290.0</v>
      </c>
      <c r="AZ275" s="32" t="s">
        <v>3818</v>
      </c>
      <c r="BA275" s="31">
        <v>100.0</v>
      </c>
      <c r="BB275" s="33">
        <f>'Old Balance Sheet'!J275 + 'ACPL Calculations - 1.0'!J275 + 'ACPL Calculations - 2.0'!J275</f>
        <v>0</v>
      </c>
      <c r="BC275" s="34" t="s">
        <v>3820</v>
      </c>
      <c r="BD275" s="34">
        <v>205.0</v>
      </c>
      <c r="BE275" s="32" t="s">
        <v>3818</v>
      </c>
      <c r="BF275" s="31">
        <v>100.0</v>
      </c>
      <c r="BG275" s="33">
        <f>'Old Balance Sheet'!K275 + 'ACPL Calculations - 1.0'!K275 + 'ACPL Calculations - 2.0'!K275</f>
        <v>0</v>
      </c>
      <c r="BH275" s="34" t="s">
        <v>3820</v>
      </c>
      <c r="BI275" s="34">
        <v>205.0</v>
      </c>
      <c r="BJ275" s="32" t="s">
        <v>3818</v>
      </c>
      <c r="BK275" s="31">
        <v>100.0</v>
      </c>
      <c r="BL275" s="33">
        <f>'Old Balance Sheet'!L275 + 'ACPL Calculations - 1.0'!L275 + 'ACPL Calculations - 2.0'!L275</f>
        <v>0</v>
      </c>
      <c r="CL275" s="33">
        <f t="shared" si="1"/>
        <v>0</v>
      </c>
      <c r="CM275" s="33">
        <f>'Old Balance Sheet'!R275 + 'ACPL Calculations - 1.0'!S275 + 'ACPL Calculations - 2.0'!S275</f>
        <v>0</v>
      </c>
      <c r="CN275" s="33">
        <f>'Old Balance Sheet'!S275 + 'ACPL Calculations - 1.0'!T275 + 'ACPL Calculations - 2.0'!T275</f>
        <v>0</v>
      </c>
      <c r="CO275" s="33">
        <f t="shared" si="2"/>
        <v>0</v>
      </c>
      <c r="CP275" s="33">
        <f>'Old Balance Sheet'!T275 + 'ACPL Calculations - 1.0'!V275 + 'ACPL Calculations - 2.0'!V275</f>
        <v>0</v>
      </c>
      <c r="CQ275" s="33">
        <f>'Old Balance Sheet'!U275 + 'ACPL Calculations - 1.0'!W275 + 'ACPL Calculations - 2.0'!W275</f>
        <v>0</v>
      </c>
      <c r="CR275" s="33">
        <f>'Old Balance Sheet'!V275 + 'ACPL Calculations - 1.0'!X275 + 'ACPL Calculations - 2.0'!X275</f>
        <v>0</v>
      </c>
      <c r="CS275" s="33">
        <f t="shared" si="3"/>
        <v>0</v>
      </c>
      <c r="CT275" s="35"/>
      <c r="CU275" s="35"/>
      <c r="CV275" s="35"/>
      <c r="CW275" s="36">
        <f>'Old Balance Sheet'!W275 + 'ACPL Calculations - 1.0'!Z275 + 'ACPL Calculations - 2.0'!Z275</f>
        <v>0</v>
      </c>
      <c r="CX275" s="36">
        <f>'Old Balance Sheet'!X275 + 'ACPL Calculations - 1.0'!AA275 + 'ACPL Calculations - 2.0'!AA275</f>
        <v>0</v>
      </c>
      <c r="CY275" s="37">
        <v>0.0</v>
      </c>
      <c r="CZ275" s="38">
        <f>'Old Balance Sheet'!Y275 + 'ACPL Calculations - 1.0'!AB275 + 'ACPL Calculations - 2.0'!AB275</f>
        <v>0</v>
      </c>
      <c r="DA275" s="38">
        <f>'Old Balance Sheet'!Z275 + 'ACPL Calculations - 1.0'!AC275 + 'ACPL Calculations - 2.0'!AC275</f>
        <v>0</v>
      </c>
      <c r="DB275" s="38">
        <f>'Old Balance Sheet'!AA275 + 'ACPL Calculations - 1.0'!AD275 + 'ACPL Calculations - 2.0'!AD275</f>
        <v>0</v>
      </c>
      <c r="DC275" s="38">
        <f>'Old Balance Sheet'!AB275 + 'ACPL Calculations - 1.0'!AE275 + 'ACPL Calculations - 2.0'!AE275</f>
        <v>0</v>
      </c>
      <c r="DD275" s="38">
        <f t="shared" si="4"/>
        <v>0</v>
      </c>
      <c r="DE275" s="33">
        <f t="shared" si="5"/>
        <v>0</v>
      </c>
      <c r="DF275" s="35">
        <v>0.0</v>
      </c>
      <c r="DG275" s="35">
        <v>0.0</v>
      </c>
      <c r="DH275" s="35">
        <v>0.0</v>
      </c>
      <c r="DI275" s="35">
        <v>0.0</v>
      </c>
      <c r="DJ275" s="35">
        <v>0.0</v>
      </c>
      <c r="DK275" s="35">
        <v>0.0</v>
      </c>
      <c r="DL275" s="35">
        <v>0.0</v>
      </c>
      <c r="DM275" s="35">
        <v>0.0</v>
      </c>
      <c r="DN275" s="31">
        <v>0.0</v>
      </c>
      <c r="DO275" s="31">
        <v>0.0</v>
      </c>
      <c r="DP275" s="31">
        <v>0.0</v>
      </c>
      <c r="DQ275" s="31">
        <v>0.0</v>
      </c>
      <c r="DR275" s="31">
        <v>0.0</v>
      </c>
      <c r="DS275" s="31">
        <v>0.0</v>
      </c>
      <c r="DT275" s="31">
        <f>'Old Balance Sheet'!AC275</f>
        <v>0</v>
      </c>
      <c r="DU275" s="31">
        <f>DT275 + SUMIFS('Payments Log'!D:D, 'Payments Log'!B:B, A275, 'Payments Log'!L:L, "Approved", 'Payments Log'!M:M, "Credit") + 'Old Balance Sheet'!AD275 - 'Old Balance Sheet'!AC275</f>
        <v>0</v>
      </c>
      <c r="DV275" s="31">
        <f>SUMIFS('Payments Log'!D:D, 'Payments Log'!B:B, A275, 'Payments Log'!L:L, "Approved", 'Payments Log'!M:M, "Adjustment Credit") - SUMIFS('Payments Log'!D:D, 'Payments Log'!B:B, A275, 'Payments Log'!L:L, "Approved", 'Payments Log'!M:M, "Adjustment Debit") + 'Old Balance Sheet'!AE275</f>
        <v>0</v>
      </c>
      <c r="DW275" s="31">
        <f>IF(MAXIFS('Payments Log'!N:N, 'Payments Log'!L:L, "Approved", 'Payments Log'!M:M, "Credit", 'Payments Log'!B:B, A275) &gt; MAXIFS('Payments Log'!N:N, 'Payments Log'!L:L, "Approved", 'Payments Log'!M:M, "Virtual Credit", 'Payments Log'!B:B, A275), 0, SUMIFS('Payments Log'!D:D, 'Payments Log'!N:N, MAXIFS('Payments Log'!N:N, 'Payments Log'!L:L, "Approved", 'Payments Log'!M:M, "Virtual Credit", 'Payments Log'!B:B, A275)))</f>
        <v>0</v>
      </c>
      <c r="DX275" s="33">
        <f t="shared" si="6"/>
        <v>0</v>
      </c>
      <c r="DY275" s="33">
        <f t="shared" si="7"/>
        <v>0</v>
      </c>
      <c r="DZ275" s="33">
        <f t="shared" si="8"/>
        <v>0</v>
      </c>
      <c r="EA275" s="25" t="str">
        <f>(Sheet1!N275)</f>
        <v>SINGLA AGENCIES- BADARPUR</v>
      </c>
      <c r="EB275" s="25" t="str">
        <f>(Sheet1!O275)</f>
        <v>1_5VG-F35BWYeavx2Egt3_WJsCY1xhX1lyqQW8SX-6Tg</v>
      </c>
      <c r="EC275" s="26" t="str">
        <f>(Sheet1!P275)</f>
        <v>Sub Dealer</v>
      </c>
      <c r="ED275" s="34" t="s">
        <v>13</v>
      </c>
    </row>
    <row r="276">
      <c r="A276" s="26" t="str">
        <f>(Sheet1!A276)</f>
        <v>1OSf6HUPm5hUkqeVhhPHbTNPPdXQV5R9xQcrIw2sZ88s</v>
      </c>
      <c r="B276" s="26" t="str">
        <f>(Sheet1!B276)</f>
        <v>Krishna Motors-Madanpur Khadar-(SAB)</v>
      </c>
      <c r="C276" s="34" t="s">
        <v>13</v>
      </c>
      <c r="D276" s="34" t="s">
        <v>72</v>
      </c>
      <c r="E276" s="34" t="s">
        <v>3820</v>
      </c>
      <c r="F276" s="34">
        <v>170.0</v>
      </c>
      <c r="G276" s="34" t="s">
        <v>3818</v>
      </c>
      <c r="H276" s="34">
        <v>100.0</v>
      </c>
      <c r="I276" s="33">
        <f>'Old Balance Sheet'!A276 + 'ACPL Calculations - 1.0'!A276 + 'ACPL Calculations - 2.0'!A276</f>
        <v>0</v>
      </c>
      <c r="J276" s="34" t="s">
        <v>3820</v>
      </c>
      <c r="K276" s="34">
        <v>205.0</v>
      </c>
      <c r="L276" s="34" t="s">
        <v>3818</v>
      </c>
      <c r="M276" s="34">
        <v>100.0</v>
      </c>
      <c r="N276" s="33">
        <f>'Old Balance Sheet'!B276 + 'ACPL Calculations - 1.0'!B276 + 'ACPL Calculations - 2.0'!B276</f>
        <v>0</v>
      </c>
      <c r="O276" s="34" t="s">
        <v>3820</v>
      </c>
      <c r="P276" s="34">
        <v>290.0</v>
      </c>
      <c r="Q276" s="34" t="s">
        <v>3818</v>
      </c>
      <c r="R276" s="34">
        <v>100.0</v>
      </c>
      <c r="S276" s="33">
        <f>'Old Balance Sheet'!C276 + 'ACPL Calculations - 1.0'!C276 + 'ACPL Calculations - 2.0'!C276</f>
        <v>0</v>
      </c>
      <c r="T276" s="34" t="s">
        <v>3820</v>
      </c>
      <c r="U276" s="34">
        <v>375.0</v>
      </c>
      <c r="V276" s="34" t="s">
        <v>3818</v>
      </c>
      <c r="W276" s="34">
        <v>100.0</v>
      </c>
      <c r="X276" s="33">
        <f>'Old Balance Sheet'!D276 + 'ACPL Calculations - 1.0'!D276 + 'ACPL Calculations - 2.0'!D276</f>
        <v>0</v>
      </c>
      <c r="Y276" s="34" t="s">
        <v>3820</v>
      </c>
      <c r="Z276" s="34">
        <v>170.0</v>
      </c>
      <c r="AA276" s="32" t="s">
        <v>3818</v>
      </c>
      <c r="AB276" s="31">
        <v>100.0</v>
      </c>
      <c r="AC276" s="33">
        <f>'Old Balance Sheet'!E276 + 'ACPL Calculations - 1.0'!E276 + 'ACPL Calculations - 2.0'!E276</f>
        <v>0</v>
      </c>
      <c r="AD276" s="34" t="s">
        <v>3820</v>
      </c>
      <c r="AE276" s="34">
        <v>838.99</v>
      </c>
      <c r="AF276" s="32" t="s">
        <v>3818</v>
      </c>
      <c r="AG276" s="31">
        <v>100.0</v>
      </c>
      <c r="AH276" s="33">
        <f>'Old Balance Sheet'!F276 + 'ACPL Calculations - 1.0'!F276 + 'ACPL Calculations - 2.0'!F276</f>
        <v>0</v>
      </c>
      <c r="AI276" s="34" t="s">
        <v>3820</v>
      </c>
      <c r="AJ276" s="34">
        <v>375.0</v>
      </c>
      <c r="AK276" s="32" t="s">
        <v>3818</v>
      </c>
      <c r="AL276" s="31">
        <v>100.0</v>
      </c>
      <c r="AM276" s="33">
        <f>'Old Balance Sheet'!G276 + 'ACPL Calculations - 1.0'!G276 + 'ACPL Calculations - 2.0'!G276</f>
        <v>0</v>
      </c>
      <c r="AN276" s="34" t="s">
        <v>3820</v>
      </c>
      <c r="AO276" s="34">
        <v>290.0</v>
      </c>
      <c r="AP276" s="32" t="s">
        <v>3818</v>
      </c>
      <c r="AQ276" s="31">
        <v>100.0</v>
      </c>
      <c r="AR276" s="33">
        <f>'Old Balance Sheet'!H276 + 'ACPL Calculations - 1.0'!H276 + 'ACPL Calculations - 2.0'!H276</f>
        <v>0</v>
      </c>
      <c r="AS276" s="34" t="s">
        <v>3819</v>
      </c>
      <c r="AT276" s="34">
        <v>838.99</v>
      </c>
      <c r="AU276" s="32" t="s">
        <v>3818</v>
      </c>
      <c r="AV276" s="31">
        <v>100.0</v>
      </c>
      <c r="AW276" s="33">
        <f>'Old Balance Sheet'!I276 + 'ACPL Calculations - 1.0'!I276 + 'ACPL Calculations - 2.0'!I276</f>
        <v>0</v>
      </c>
      <c r="AX276" s="34" t="s">
        <v>3820</v>
      </c>
      <c r="AY276" s="34">
        <v>290.0</v>
      </c>
      <c r="AZ276" s="32" t="s">
        <v>3818</v>
      </c>
      <c r="BA276" s="31">
        <v>100.0</v>
      </c>
      <c r="BB276" s="33">
        <f>'Old Balance Sheet'!J276 + 'ACPL Calculations - 1.0'!J276 + 'ACPL Calculations - 2.0'!J276</f>
        <v>0</v>
      </c>
      <c r="BC276" s="34" t="s">
        <v>3820</v>
      </c>
      <c r="BD276" s="34">
        <v>205.0</v>
      </c>
      <c r="BE276" s="32" t="s">
        <v>3818</v>
      </c>
      <c r="BF276" s="31">
        <v>100.0</v>
      </c>
      <c r="BG276" s="33">
        <f>'Old Balance Sheet'!K276 + 'ACPL Calculations - 1.0'!K276 + 'ACPL Calculations - 2.0'!K276</f>
        <v>0</v>
      </c>
      <c r="BH276" s="34" t="s">
        <v>3820</v>
      </c>
      <c r="BI276" s="34">
        <v>205.0</v>
      </c>
      <c r="BJ276" s="32" t="s">
        <v>3818</v>
      </c>
      <c r="BK276" s="31">
        <v>100.0</v>
      </c>
      <c r="BL276" s="33">
        <f>'Old Balance Sheet'!L276 + 'ACPL Calculations - 1.0'!L276 + 'ACPL Calculations - 2.0'!L276</f>
        <v>0</v>
      </c>
      <c r="CL276" s="33">
        <f t="shared" si="1"/>
        <v>0</v>
      </c>
      <c r="CM276" s="33">
        <f>'Old Balance Sheet'!R276 + 'ACPL Calculations - 1.0'!S276 + 'ACPL Calculations - 2.0'!S276</f>
        <v>0</v>
      </c>
      <c r="CN276" s="33">
        <f>'Old Balance Sheet'!S276 + 'ACPL Calculations - 1.0'!T276 + 'ACPL Calculations - 2.0'!T276</f>
        <v>0</v>
      </c>
      <c r="CO276" s="33">
        <f t="shared" si="2"/>
        <v>0</v>
      </c>
      <c r="CP276" s="33">
        <f>'Old Balance Sheet'!T276 + 'ACPL Calculations - 1.0'!V276 + 'ACPL Calculations - 2.0'!V276</f>
        <v>0</v>
      </c>
      <c r="CQ276" s="33">
        <f>'Old Balance Sheet'!U276 + 'ACPL Calculations - 1.0'!W276 + 'ACPL Calculations - 2.0'!W276</f>
        <v>0</v>
      </c>
      <c r="CR276" s="33">
        <f>'Old Balance Sheet'!V276 + 'ACPL Calculations - 1.0'!X276 + 'ACPL Calculations - 2.0'!X276</f>
        <v>0</v>
      </c>
      <c r="CS276" s="33">
        <f t="shared" si="3"/>
        <v>0</v>
      </c>
      <c r="CT276" s="35"/>
      <c r="CU276" s="35"/>
      <c r="CV276" s="35"/>
      <c r="CW276" s="36">
        <f>'Old Balance Sheet'!W276 + 'ACPL Calculations - 1.0'!Z276 + 'ACPL Calculations - 2.0'!Z276</f>
        <v>0</v>
      </c>
      <c r="CX276" s="36">
        <f>'Old Balance Sheet'!X276 + 'ACPL Calculations - 1.0'!AA276 + 'ACPL Calculations - 2.0'!AA276</f>
        <v>0</v>
      </c>
      <c r="CY276" s="37">
        <v>0.0</v>
      </c>
      <c r="CZ276" s="38">
        <f>'Old Balance Sheet'!Y276 + 'ACPL Calculations - 1.0'!AB276 + 'ACPL Calculations - 2.0'!AB276</f>
        <v>0</v>
      </c>
      <c r="DA276" s="38">
        <f>'Old Balance Sheet'!Z276 + 'ACPL Calculations - 1.0'!AC276 + 'ACPL Calculations - 2.0'!AC276</f>
        <v>0</v>
      </c>
      <c r="DB276" s="38">
        <f>'Old Balance Sheet'!AA276 + 'ACPL Calculations - 1.0'!AD276 + 'ACPL Calculations - 2.0'!AD276</f>
        <v>0</v>
      </c>
      <c r="DC276" s="38">
        <f>'Old Balance Sheet'!AB276 + 'ACPL Calculations - 1.0'!AE276 + 'ACPL Calculations - 2.0'!AE276</f>
        <v>0</v>
      </c>
      <c r="DD276" s="38">
        <f t="shared" si="4"/>
        <v>0</v>
      </c>
      <c r="DE276" s="33">
        <f t="shared" si="5"/>
        <v>0</v>
      </c>
      <c r="DF276" s="35">
        <v>0.0</v>
      </c>
      <c r="DG276" s="35">
        <v>0.0</v>
      </c>
      <c r="DH276" s="35">
        <v>0.0</v>
      </c>
      <c r="DI276" s="35">
        <v>0.0</v>
      </c>
      <c r="DJ276" s="35">
        <v>0.0</v>
      </c>
      <c r="DK276" s="35">
        <v>0.0</v>
      </c>
      <c r="DL276" s="35">
        <v>0.0</v>
      </c>
      <c r="DM276" s="35">
        <v>0.0</v>
      </c>
      <c r="DN276" s="31">
        <v>0.0</v>
      </c>
      <c r="DO276" s="31">
        <v>0.0</v>
      </c>
      <c r="DP276" s="31">
        <v>0.0</v>
      </c>
      <c r="DQ276" s="31">
        <v>0.0</v>
      </c>
      <c r="DR276" s="31">
        <v>0.0</v>
      </c>
      <c r="DS276" s="31">
        <v>0.0</v>
      </c>
      <c r="DT276" s="31">
        <f>'Old Balance Sheet'!AC276</f>
        <v>0</v>
      </c>
      <c r="DU276" s="31">
        <f>DT276 + SUMIFS('Payments Log'!D:D, 'Payments Log'!B:B, A276, 'Payments Log'!L:L, "Approved", 'Payments Log'!M:M, "Credit") + 'Old Balance Sheet'!AD276 - 'Old Balance Sheet'!AC276</f>
        <v>0</v>
      </c>
      <c r="DV276" s="31">
        <f>SUMIFS('Payments Log'!D:D, 'Payments Log'!B:B, A276, 'Payments Log'!L:L, "Approved", 'Payments Log'!M:M, "Adjustment Credit") - SUMIFS('Payments Log'!D:D, 'Payments Log'!B:B, A276, 'Payments Log'!L:L, "Approved", 'Payments Log'!M:M, "Adjustment Debit") + 'Old Balance Sheet'!AE276</f>
        <v>0</v>
      </c>
      <c r="DW276" s="31">
        <f>IF(MAXIFS('Payments Log'!N:N, 'Payments Log'!L:L, "Approved", 'Payments Log'!M:M, "Credit", 'Payments Log'!B:B, A276) &gt; MAXIFS('Payments Log'!N:N, 'Payments Log'!L:L, "Approved", 'Payments Log'!M:M, "Virtual Credit", 'Payments Log'!B:B, A276), 0, SUMIFS('Payments Log'!D:D, 'Payments Log'!N:N, MAXIFS('Payments Log'!N:N, 'Payments Log'!L:L, "Approved", 'Payments Log'!M:M, "Virtual Credit", 'Payments Log'!B:B, A276)))</f>
        <v>0</v>
      </c>
      <c r="DX276" s="33">
        <f t="shared" si="6"/>
        <v>0</v>
      </c>
      <c r="DY276" s="33">
        <f t="shared" si="7"/>
        <v>0</v>
      </c>
      <c r="DZ276" s="33">
        <f t="shared" si="8"/>
        <v>0</v>
      </c>
      <c r="EA276" s="25" t="str">
        <f>(Sheet1!N276)</f>
        <v>SINGLA AGENCIES- BADARPUR</v>
      </c>
      <c r="EB276" s="25" t="str">
        <f>(Sheet1!O276)</f>
        <v>1_5VG-F35BWYeavx2Egt3_WJsCY1xhX1lyqQW8SX-6Tg</v>
      </c>
      <c r="EC276" s="26" t="str">
        <f>(Sheet1!P276)</f>
        <v>Sub Dealer</v>
      </c>
      <c r="ED276" s="34" t="s">
        <v>13</v>
      </c>
    </row>
    <row r="277">
      <c r="A277" s="26" t="str">
        <f>(Sheet1!A277)</f>
        <v>1_NK5IeBBhUwOkOG5CiLqBmnSrAsMKt3Ny0Eyc48kmrA</v>
      </c>
      <c r="B277" s="26" t="str">
        <f>(Sheet1!B277)</f>
        <v>Singla Motors-JAITPUR- (SAB)</v>
      </c>
      <c r="C277" s="34" t="s">
        <v>13</v>
      </c>
      <c r="D277" s="34" t="s">
        <v>72</v>
      </c>
      <c r="E277" s="34" t="s">
        <v>3820</v>
      </c>
      <c r="F277" s="34">
        <v>170.0</v>
      </c>
      <c r="G277" s="34" t="s">
        <v>3818</v>
      </c>
      <c r="H277" s="34">
        <v>100.0</v>
      </c>
      <c r="I277" s="33">
        <f>'Old Balance Sheet'!A277 + 'ACPL Calculations - 1.0'!A277 + 'ACPL Calculations - 2.0'!A277</f>
        <v>0</v>
      </c>
      <c r="J277" s="34" t="s">
        <v>3820</v>
      </c>
      <c r="K277" s="34">
        <v>205.0</v>
      </c>
      <c r="L277" s="34" t="s">
        <v>3818</v>
      </c>
      <c r="M277" s="34">
        <v>100.0</v>
      </c>
      <c r="N277" s="33">
        <f>'Old Balance Sheet'!B277 + 'ACPL Calculations - 1.0'!B277 + 'ACPL Calculations - 2.0'!B277</f>
        <v>0</v>
      </c>
      <c r="O277" s="34" t="s">
        <v>3820</v>
      </c>
      <c r="P277" s="34">
        <v>290.0</v>
      </c>
      <c r="Q277" s="34" t="s">
        <v>3818</v>
      </c>
      <c r="R277" s="34">
        <v>100.0</v>
      </c>
      <c r="S277" s="33">
        <f>'Old Balance Sheet'!C277 + 'ACPL Calculations - 1.0'!C277 + 'ACPL Calculations - 2.0'!C277</f>
        <v>0</v>
      </c>
      <c r="T277" s="34" t="s">
        <v>3820</v>
      </c>
      <c r="U277" s="34">
        <v>375.0</v>
      </c>
      <c r="V277" s="34" t="s">
        <v>3818</v>
      </c>
      <c r="W277" s="34">
        <v>100.0</v>
      </c>
      <c r="X277" s="33">
        <f>'Old Balance Sheet'!D277 + 'ACPL Calculations - 1.0'!D277 + 'ACPL Calculations - 2.0'!D277</f>
        <v>0</v>
      </c>
      <c r="Y277" s="34" t="s">
        <v>3820</v>
      </c>
      <c r="Z277" s="34">
        <v>170.0</v>
      </c>
      <c r="AA277" s="32" t="s">
        <v>3818</v>
      </c>
      <c r="AB277" s="31">
        <v>100.0</v>
      </c>
      <c r="AC277" s="33">
        <f>'Old Balance Sheet'!E277 + 'ACPL Calculations - 1.0'!E277 + 'ACPL Calculations - 2.0'!E277</f>
        <v>0</v>
      </c>
      <c r="AD277" s="34" t="s">
        <v>3820</v>
      </c>
      <c r="AE277" s="34">
        <v>838.99</v>
      </c>
      <c r="AF277" s="32" t="s">
        <v>3818</v>
      </c>
      <c r="AG277" s="31">
        <v>100.0</v>
      </c>
      <c r="AH277" s="33">
        <f>'Old Balance Sheet'!F277 + 'ACPL Calculations - 1.0'!F277 + 'ACPL Calculations - 2.0'!F277</f>
        <v>0</v>
      </c>
      <c r="AI277" s="34" t="s">
        <v>3820</v>
      </c>
      <c r="AJ277" s="34">
        <v>375.0</v>
      </c>
      <c r="AK277" s="32" t="s">
        <v>3818</v>
      </c>
      <c r="AL277" s="31">
        <v>100.0</v>
      </c>
      <c r="AM277" s="33">
        <f>'Old Balance Sheet'!G277 + 'ACPL Calculations - 1.0'!G277 + 'ACPL Calculations - 2.0'!G277</f>
        <v>0</v>
      </c>
      <c r="AN277" s="34" t="s">
        <v>3820</v>
      </c>
      <c r="AO277" s="34">
        <v>290.0</v>
      </c>
      <c r="AP277" s="32" t="s">
        <v>3818</v>
      </c>
      <c r="AQ277" s="31">
        <v>100.0</v>
      </c>
      <c r="AR277" s="33">
        <f>'Old Balance Sheet'!H277 + 'ACPL Calculations - 1.0'!H277 + 'ACPL Calculations - 2.0'!H277</f>
        <v>0</v>
      </c>
      <c r="AS277" s="34" t="s">
        <v>3819</v>
      </c>
      <c r="AT277" s="34">
        <v>838.99</v>
      </c>
      <c r="AU277" s="32" t="s">
        <v>3818</v>
      </c>
      <c r="AV277" s="31">
        <v>100.0</v>
      </c>
      <c r="AW277" s="33">
        <f>'Old Balance Sheet'!I277 + 'ACPL Calculations - 1.0'!I277 + 'ACPL Calculations - 2.0'!I277</f>
        <v>0</v>
      </c>
      <c r="AX277" s="34" t="s">
        <v>3820</v>
      </c>
      <c r="AY277" s="34">
        <v>290.0</v>
      </c>
      <c r="AZ277" s="32" t="s">
        <v>3818</v>
      </c>
      <c r="BA277" s="31">
        <v>100.0</v>
      </c>
      <c r="BB277" s="33">
        <f>'Old Balance Sheet'!J277 + 'ACPL Calculations - 1.0'!J277 + 'ACPL Calculations - 2.0'!J277</f>
        <v>0</v>
      </c>
      <c r="BC277" s="34" t="s">
        <v>3820</v>
      </c>
      <c r="BD277" s="34">
        <v>205.0</v>
      </c>
      <c r="BE277" s="32" t="s">
        <v>3818</v>
      </c>
      <c r="BF277" s="31">
        <v>100.0</v>
      </c>
      <c r="BG277" s="33">
        <f>'Old Balance Sheet'!K277 + 'ACPL Calculations - 1.0'!K277 + 'ACPL Calculations - 2.0'!K277</f>
        <v>0</v>
      </c>
      <c r="BH277" s="34" t="s">
        <v>3820</v>
      </c>
      <c r="BI277" s="34">
        <v>205.0</v>
      </c>
      <c r="BJ277" s="32" t="s">
        <v>3818</v>
      </c>
      <c r="BK277" s="31">
        <v>100.0</v>
      </c>
      <c r="BL277" s="33">
        <f>'Old Balance Sheet'!L277 + 'ACPL Calculations - 1.0'!L277 + 'ACPL Calculations - 2.0'!L277</f>
        <v>0</v>
      </c>
      <c r="CL277" s="33">
        <f t="shared" si="1"/>
        <v>0</v>
      </c>
      <c r="CM277" s="33">
        <f>'Old Balance Sheet'!R277 + 'ACPL Calculations - 1.0'!S277 + 'ACPL Calculations - 2.0'!S277</f>
        <v>0</v>
      </c>
      <c r="CN277" s="33">
        <f>'Old Balance Sheet'!S277 + 'ACPL Calculations - 1.0'!T277 + 'ACPL Calculations - 2.0'!T277</f>
        <v>0</v>
      </c>
      <c r="CO277" s="33">
        <f t="shared" si="2"/>
        <v>0</v>
      </c>
      <c r="CP277" s="33">
        <f>'Old Balance Sheet'!T277 + 'ACPL Calculations - 1.0'!V277 + 'ACPL Calculations - 2.0'!V277</f>
        <v>0</v>
      </c>
      <c r="CQ277" s="33">
        <f>'Old Balance Sheet'!U277 + 'ACPL Calculations - 1.0'!W277 + 'ACPL Calculations - 2.0'!W277</f>
        <v>0</v>
      </c>
      <c r="CR277" s="33">
        <f>'Old Balance Sheet'!V277 + 'ACPL Calculations - 1.0'!X277 + 'ACPL Calculations - 2.0'!X277</f>
        <v>0</v>
      </c>
      <c r="CS277" s="33">
        <f t="shared" si="3"/>
        <v>0</v>
      </c>
      <c r="CT277" s="35"/>
      <c r="CU277" s="35"/>
      <c r="CV277" s="35"/>
      <c r="CW277" s="36">
        <f>'Old Balance Sheet'!W277 + 'ACPL Calculations - 1.0'!Z277 + 'ACPL Calculations - 2.0'!Z277</f>
        <v>0</v>
      </c>
      <c r="CX277" s="36">
        <f>'Old Balance Sheet'!X277 + 'ACPL Calculations - 1.0'!AA277 + 'ACPL Calculations - 2.0'!AA277</f>
        <v>0</v>
      </c>
      <c r="CY277" s="37">
        <v>0.0</v>
      </c>
      <c r="CZ277" s="38">
        <f>'Old Balance Sheet'!Y277 + 'ACPL Calculations - 1.0'!AB277 + 'ACPL Calculations - 2.0'!AB277</f>
        <v>0</v>
      </c>
      <c r="DA277" s="38">
        <f>'Old Balance Sheet'!Z277 + 'ACPL Calculations - 1.0'!AC277 + 'ACPL Calculations - 2.0'!AC277</f>
        <v>0</v>
      </c>
      <c r="DB277" s="38">
        <f>'Old Balance Sheet'!AA277 + 'ACPL Calculations - 1.0'!AD277 + 'ACPL Calculations - 2.0'!AD277</f>
        <v>0</v>
      </c>
      <c r="DC277" s="38">
        <f>'Old Balance Sheet'!AB277 + 'ACPL Calculations - 1.0'!AE277 + 'ACPL Calculations - 2.0'!AE277</f>
        <v>0</v>
      </c>
      <c r="DD277" s="38">
        <f t="shared" si="4"/>
        <v>0</v>
      </c>
      <c r="DE277" s="33">
        <f t="shared" si="5"/>
        <v>0</v>
      </c>
      <c r="DF277" s="35">
        <v>0.0</v>
      </c>
      <c r="DG277" s="35">
        <v>0.0</v>
      </c>
      <c r="DH277" s="35">
        <v>0.0</v>
      </c>
      <c r="DI277" s="35">
        <v>0.0</v>
      </c>
      <c r="DJ277" s="35">
        <v>0.0</v>
      </c>
      <c r="DK277" s="35">
        <v>0.0</v>
      </c>
      <c r="DL277" s="35">
        <v>0.0</v>
      </c>
      <c r="DM277" s="35">
        <v>0.0</v>
      </c>
      <c r="DN277" s="31">
        <v>0.0</v>
      </c>
      <c r="DO277" s="31">
        <v>0.0</v>
      </c>
      <c r="DP277" s="31">
        <v>0.0</v>
      </c>
      <c r="DQ277" s="31">
        <v>0.0</v>
      </c>
      <c r="DR277" s="31">
        <v>0.0</v>
      </c>
      <c r="DS277" s="31">
        <v>0.0</v>
      </c>
      <c r="DT277" s="31">
        <f>'Old Balance Sheet'!AC277</f>
        <v>0</v>
      </c>
      <c r="DU277" s="31">
        <f>DT277 + SUMIFS('Payments Log'!D:D, 'Payments Log'!B:B, A277, 'Payments Log'!L:L, "Approved", 'Payments Log'!M:M, "Credit") + 'Old Balance Sheet'!AD277 - 'Old Balance Sheet'!AC277</f>
        <v>0</v>
      </c>
      <c r="DV277" s="31">
        <f>SUMIFS('Payments Log'!D:D, 'Payments Log'!B:B, A277, 'Payments Log'!L:L, "Approved", 'Payments Log'!M:M, "Adjustment Credit") - SUMIFS('Payments Log'!D:D, 'Payments Log'!B:B, A277, 'Payments Log'!L:L, "Approved", 'Payments Log'!M:M, "Adjustment Debit") + 'Old Balance Sheet'!AE277</f>
        <v>0</v>
      </c>
      <c r="DW277" s="31">
        <f>IF(MAXIFS('Payments Log'!N:N, 'Payments Log'!L:L, "Approved", 'Payments Log'!M:M, "Credit", 'Payments Log'!B:B, A277) &gt; MAXIFS('Payments Log'!N:N, 'Payments Log'!L:L, "Approved", 'Payments Log'!M:M, "Virtual Credit", 'Payments Log'!B:B, A277), 0, SUMIFS('Payments Log'!D:D, 'Payments Log'!N:N, MAXIFS('Payments Log'!N:N, 'Payments Log'!L:L, "Approved", 'Payments Log'!M:M, "Virtual Credit", 'Payments Log'!B:B, A277)))</f>
        <v>0</v>
      </c>
      <c r="DX277" s="33">
        <f t="shared" si="6"/>
        <v>0</v>
      </c>
      <c r="DY277" s="33">
        <f t="shared" si="7"/>
        <v>0</v>
      </c>
      <c r="DZ277" s="33">
        <f t="shared" si="8"/>
        <v>0</v>
      </c>
      <c r="EA277" s="25" t="str">
        <f>(Sheet1!N277)</f>
        <v>SINGLA AGENCIES- BADARPUR</v>
      </c>
      <c r="EB277" s="25" t="str">
        <f>(Sheet1!O277)</f>
        <v>1_5VG-F35BWYeavx2Egt3_WJsCY1xhX1lyqQW8SX-6Tg</v>
      </c>
      <c r="EC277" s="26" t="str">
        <f>(Sheet1!P277)</f>
        <v>Sub Dealer</v>
      </c>
      <c r="ED277" s="34" t="s">
        <v>13</v>
      </c>
    </row>
    <row r="278">
      <c r="A278" s="26" t="str">
        <f>(Sheet1!A278)</f>
        <v>1QOJhpGMdUnxjEHflCyBx-7AgAkJDocYTlbeJzELOi9U</v>
      </c>
      <c r="B278" s="26" t="str">
        <f>(Sheet1!B278)</f>
        <v>Singla Auto Need- Pandav nagar- (SAB)</v>
      </c>
      <c r="C278" s="34" t="s">
        <v>13</v>
      </c>
      <c r="D278" s="34" t="s">
        <v>72</v>
      </c>
      <c r="E278" s="34" t="s">
        <v>3820</v>
      </c>
      <c r="F278" s="34">
        <v>170.0</v>
      </c>
      <c r="G278" s="34" t="s">
        <v>3818</v>
      </c>
      <c r="H278" s="34">
        <v>100.0</v>
      </c>
      <c r="I278" s="33">
        <f>'Old Balance Sheet'!A278 + 'ACPL Calculations - 1.0'!A278 + 'ACPL Calculations - 2.0'!A278</f>
        <v>0</v>
      </c>
      <c r="J278" s="34" t="s">
        <v>3820</v>
      </c>
      <c r="K278" s="34">
        <v>205.0</v>
      </c>
      <c r="L278" s="34" t="s">
        <v>3818</v>
      </c>
      <c r="M278" s="34">
        <v>100.0</v>
      </c>
      <c r="N278" s="33">
        <f>'Old Balance Sheet'!B278 + 'ACPL Calculations - 1.0'!B278 + 'ACPL Calculations - 2.0'!B278</f>
        <v>0</v>
      </c>
      <c r="O278" s="34" t="s">
        <v>3820</v>
      </c>
      <c r="P278" s="34">
        <v>290.0</v>
      </c>
      <c r="Q278" s="34" t="s">
        <v>3818</v>
      </c>
      <c r="R278" s="34">
        <v>100.0</v>
      </c>
      <c r="S278" s="33">
        <f>'Old Balance Sheet'!C278 + 'ACPL Calculations - 1.0'!C278 + 'ACPL Calculations - 2.0'!C278</f>
        <v>0</v>
      </c>
      <c r="T278" s="34" t="s">
        <v>3820</v>
      </c>
      <c r="U278" s="34">
        <v>375.0</v>
      </c>
      <c r="V278" s="34" t="s">
        <v>3818</v>
      </c>
      <c r="W278" s="34">
        <v>100.0</v>
      </c>
      <c r="X278" s="33">
        <f>'Old Balance Sheet'!D278 + 'ACPL Calculations - 1.0'!D278 + 'ACPL Calculations - 2.0'!D278</f>
        <v>0</v>
      </c>
      <c r="Y278" s="34" t="s">
        <v>3820</v>
      </c>
      <c r="Z278" s="34">
        <v>170.0</v>
      </c>
      <c r="AA278" s="32" t="s">
        <v>3818</v>
      </c>
      <c r="AB278" s="31">
        <v>100.0</v>
      </c>
      <c r="AC278" s="33">
        <f>'Old Balance Sheet'!E278 + 'ACPL Calculations - 1.0'!E278 + 'ACPL Calculations - 2.0'!E278</f>
        <v>0</v>
      </c>
      <c r="AD278" s="34" t="s">
        <v>3820</v>
      </c>
      <c r="AE278" s="34">
        <v>838.99</v>
      </c>
      <c r="AF278" s="32" t="s">
        <v>3818</v>
      </c>
      <c r="AG278" s="31">
        <v>100.0</v>
      </c>
      <c r="AH278" s="33">
        <f>'Old Balance Sheet'!F278 + 'ACPL Calculations - 1.0'!F278 + 'ACPL Calculations - 2.0'!F278</f>
        <v>0</v>
      </c>
      <c r="AI278" s="34" t="s">
        <v>3820</v>
      </c>
      <c r="AJ278" s="34">
        <v>375.0</v>
      </c>
      <c r="AK278" s="32" t="s">
        <v>3818</v>
      </c>
      <c r="AL278" s="31">
        <v>100.0</v>
      </c>
      <c r="AM278" s="33">
        <f>'Old Balance Sheet'!G278 + 'ACPL Calculations - 1.0'!G278 + 'ACPL Calculations - 2.0'!G278</f>
        <v>0</v>
      </c>
      <c r="AN278" s="34" t="s">
        <v>3820</v>
      </c>
      <c r="AO278" s="34">
        <v>290.0</v>
      </c>
      <c r="AP278" s="32" t="s">
        <v>3818</v>
      </c>
      <c r="AQ278" s="31">
        <v>100.0</v>
      </c>
      <c r="AR278" s="33">
        <f>'Old Balance Sheet'!H278 + 'ACPL Calculations - 1.0'!H278 + 'ACPL Calculations - 2.0'!H278</f>
        <v>0</v>
      </c>
      <c r="AS278" s="34" t="s">
        <v>3819</v>
      </c>
      <c r="AT278" s="34">
        <v>838.99</v>
      </c>
      <c r="AU278" s="32" t="s">
        <v>3818</v>
      </c>
      <c r="AV278" s="31">
        <v>100.0</v>
      </c>
      <c r="AW278" s="33">
        <f>'Old Balance Sheet'!I278 + 'ACPL Calculations - 1.0'!I278 + 'ACPL Calculations - 2.0'!I278</f>
        <v>0</v>
      </c>
      <c r="AX278" s="34" t="s">
        <v>3820</v>
      </c>
      <c r="AY278" s="34">
        <v>290.0</v>
      </c>
      <c r="AZ278" s="32" t="s">
        <v>3818</v>
      </c>
      <c r="BA278" s="31">
        <v>100.0</v>
      </c>
      <c r="BB278" s="33">
        <f>'Old Balance Sheet'!J278 + 'ACPL Calculations - 1.0'!J278 + 'ACPL Calculations - 2.0'!J278</f>
        <v>0</v>
      </c>
      <c r="BC278" s="34" t="s">
        <v>3820</v>
      </c>
      <c r="BD278" s="34">
        <v>205.0</v>
      </c>
      <c r="BE278" s="32" t="s">
        <v>3818</v>
      </c>
      <c r="BF278" s="31">
        <v>100.0</v>
      </c>
      <c r="BG278" s="33">
        <f>'Old Balance Sheet'!K278 + 'ACPL Calculations - 1.0'!K278 + 'ACPL Calculations - 2.0'!K278</f>
        <v>0</v>
      </c>
      <c r="BH278" s="34" t="s">
        <v>3820</v>
      </c>
      <c r="BI278" s="34">
        <v>205.0</v>
      </c>
      <c r="BJ278" s="32" t="s">
        <v>3818</v>
      </c>
      <c r="BK278" s="31">
        <v>100.0</v>
      </c>
      <c r="BL278" s="33">
        <f>'Old Balance Sheet'!L278 + 'ACPL Calculations - 1.0'!L278 + 'ACPL Calculations - 2.0'!L278</f>
        <v>0</v>
      </c>
      <c r="CL278" s="33">
        <f t="shared" si="1"/>
        <v>0</v>
      </c>
      <c r="CM278" s="33">
        <f>'Old Balance Sheet'!R278 + 'ACPL Calculations - 1.0'!S278 + 'ACPL Calculations - 2.0'!S278</f>
        <v>0</v>
      </c>
      <c r="CN278" s="33">
        <f>'Old Balance Sheet'!S278 + 'ACPL Calculations - 1.0'!T278 + 'ACPL Calculations - 2.0'!T278</f>
        <v>0</v>
      </c>
      <c r="CO278" s="33">
        <f t="shared" si="2"/>
        <v>0</v>
      </c>
      <c r="CP278" s="33">
        <f>'Old Balance Sheet'!T278 + 'ACPL Calculations - 1.0'!V278 + 'ACPL Calculations - 2.0'!V278</f>
        <v>0</v>
      </c>
      <c r="CQ278" s="33">
        <f>'Old Balance Sheet'!U278 + 'ACPL Calculations - 1.0'!W278 + 'ACPL Calculations - 2.0'!W278</f>
        <v>0</v>
      </c>
      <c r="CR278" s="33">
        <f>'Old Balance Sheet'!V278 + 'ACPL Calculations - 1.0'!X278 + 'ACPL Calculations - 2.0'!X278</f>
        <v>0</v>
      </c>
      <c r="CS278" s="33">
        <f t="shared" si="3"/>
        <v>0</v>
      </c>
      <c r="CT278" s="35"/>
      <c r="CU278" s="35"/>
      <c r="CV278" s="35"/>
      <c r="CW278" s="36">
        <f>'Old Balance Sheet'!W278 + 'ACPL Calculations - 1.0'!Z278 + 'ACPL Calculations - 2.0'!Z278</f>
        <v>0</v>
      </c>
      <c r="CX278" s="36">
        <f>'Old Balance Sheet'!X278 + 'ACPL Calculations - 1.0'!AA278 + 'ACPL Calculations - 2.0'!AA278</f>
        <v>0</v>
      </c>
      <c r="CY278" s="37">
        <v>0.0</v>
      </c>
      <c r="CZ278" s="38">
        <f>'Old Balance Sheet'!Y278 + 'ACPL Calculations - 1.0'!AB278 + 'ACPL Calculations - 2.0'!AB278</f>
        <v>0</v>
      </c>
      <c r="DA278" s="38">
        <f>'Old Balance Sheet'!Z278 + 'ACPL Calculations - 1.0'!AC278 + 'ACPL Calculations - 2.0'!AC278</f>
        <v>0</v>
      </c>
      <c r="DB278" s="38">
        <f>'Old Balance Sheet'!AA278 + 'ACPL Calculations - 1.0'!AD278 + 'ACPL Calculations - 2.0'!AD278</f>
        <v>0</v>
      </c>
      <c r="DC278" s="38">
        <f>'Old Balance Sheet'!AB278 + 'ACPL Calculations - 1.0'!AE278 + 'ACPL Calculations - 2.0'!AE278</f>
        <v>0</v>
      </c>
      <c r="DD278" s="38">
        <f t="shared" si="4"/>
        <v>0</v>
      </c>
      <c r="DE278" s="33">
        <f t="shared" si="5"/>
        <v>0</v>
      </c>
      <c r="DF278" s="35">
        <v>0.0</v>
      </c>
      <c r="DG278" s="35">
        <v>0.0</v>
      </c>
      <c r="DH278" s="35">
        <v>0.0</v>
      </c>
      <c r="DI278" s="35">
        <v>0.0</v>
      </c>
      <c r="DJ278" s="35">
        <v>0.0</v>
      </c>
      <c r="DK278" s="35">
        <v>0.0</v>
      </c>
      <c r="DL278" s="35">
        <v>0.0</v>
      </c>
      <c r="DM278" s="35">
        <v>0.0</v>
      </c>
      <c r="DN278" s="31">
        <v>0.0</v>
      </c>
      <c r="DO278" s="31">
        <v>0.0</v>
      </c>
      <c r="DP278" s="31">
        <v>0.0</v>
      </c>
      <c r="DQ278" s="31">
        <v>0.0</v>
      </c>
      <c r="DR278" s="31">
        <v>0.0</v>
      </c>
      <c r="DS278" s="31">
        <v>0.0</v>
      </c>
      <c r="DT278" s="31">
        <f>'Old Balance Sheet'!AC278</f>
        <v>0</v>
      </c>
      <c r="DU278" s="31">
        <f>DT278 + SUMIFS('Payments Log'!D:D, 'Payments Log'!B:B, A278, 'Payments Log'!L:L, "Approved", 'Payments Log'!M:M, "Credit") + 'Old Balance Sheet'!AD278 - 'Old Balance Sheet'!AC278</f>
        <v>0</v>
      </c>
      <c r="DV278" s="31">
        <f>SUMIFS('Payments Log'!D:D, 'Payments Log'!B:B, A278, 'Payments Log'!L:L, "Approved", 'Payments Log'!M:M, "Adjustment Credit") - SUMIFS('Payments Log'!D:D, 'Payments Log'!B:B, A278, 'Payments Log'!L:L, "Approved", 'Payments Log'!M:M, "Adjustment Debit") + 'Old Balance Sheet'!AE278</f>
        <v>0</v>
      </c>
      <c r="DW278" s="31">
        <f>IF(MAXIFS('Payments Log'!N:N, 'Payments Log'!L:L, "Approved", 'Payments Log'!M:M, "Credit", 'Payments Log'!B:B, A278) &gt; MAXIFS('Payments Log'!N:N, 'Payments Log'!L:L, "Approved", 'Payments Log'!M:M, "Virtual Credit", 'Payments Log'!B:B, A278), 0, SUMIFS('Payments Log'!D:D, 'Payments Log'!N:N, MAXIFS('Payments Log'!N:N, 'Payments Log'!L:L, "Approved", 'Payments Log'!M:M, "Virtual Credit", 'Payments Log'!B:B, A278)))</f>
        <v>0</v>
      </c>
      <c r="DX278" s="33">
        <f t="shared" si="6"/>
        <v>0</v>
      </c>
      <c r="DY278" s="33">
        <f t="shared" si="7"/>
        <v>0</v>
      </c>
      <c r="DZ278" s="33">
        <f t="shared" si="8"/>
        <v>0</v>
      </c>
      <c r="EA278" s="25" t="str">
        <f>(Sheet1!N278)</f>
        <v>SINGLA AGENCIES- BADARPUR</v>
      </c>
      <c r="EB278" s="25" t="str">
        <f>(Sheet1!O278)</f>
        <v>1_5VG-F35BWYeavx2Egt3_WJsCY1xhX1lyqQW8SX-6Tg</v>
      </c>
      <c r="EC278" s="26" t="str">
        <f>(Sheet1!P278)</f>
        <v>Sub Dealer</v>
      </c>
      <c r="ED278" s="34" t="s">
        <v>13</v>
      </c>
    </row>
    <row r="279">
      <c r="A279" s="26" t="str">
        <f>(Sheet1!A279)</f>
        <v>1Pl3xCS8yRV5PgPEBDpSJ_TjqRSqKz0udLYEAfWnXS6o</v>
      </c>
      <c r="B279" s="26" t="str">
        <f>(Sheet1!B279)</f>
        <v>Yash Automobiles (GA) - Salemgarh</v>
      </c>
      <c r="C279" s="34" t="s">
        <v>13</v>
      </c>
      <c r="D279" s="34" t="s">
        <v>72</v>
      </c>
      <c r="E279" s="34" t="s">
        <v>3817</v>
      </c>
      <c r="F279" s="34">
        <v>175.0</v>
      </c>
      <c r="G279" s="34" t="s">
        <v>3818</v>
      </c>
      <c r="H279" s="34">
        <v>100.0</v>
      </c>
      <c r="I279" s="33">
        <f>'Old Balance Sheet'!A279 + 'ACPL Calculations - 1.0'!A279 + 'ACPL Calculations - 2.0'!A279</f>
        <v>860</v>
      </c>
      <c r="J279" s="34" t="s">
        <v>3820</v>
      </c>
      <c r="K279" s="34">
        <v>205.0</v>
      </c>
      <c r="L279" s="34" t="s">
        <v>3818</v>
      </c>
      <c r="M279" s="34">
        <v>100.0</v>
      </c>
      <c r="N279" s="33">
        <f>'Old Balance Sheet'!B279 + 'ACPL Calculations - 1.0'!B279 + 'ACPL Calculations - 2.0'!B279</f>
        <v>0</v>
      </c>
      <c r="O279" s="34" t="s">
        <v>3820</v>
      </c>
      <c r="P279" s="34">
        <v>290.0</v>
      </c>
      <c r="Q279" s="34" t="s">
        <v>3818</v>
      </c>
      <c r="R279" s="34">
        <v>100.0</v>
      </c>
      <c r="S279" s="33">
        <f>'Old Balance Sheet'!C279 + 'ACPL Calculations - 1.0'!C279 + 'ACPL Calculations - 2.0'!C279</f>
        <v>0</v>
      </c>
      <c r="T279" s="34" t="s">
        <v>3820</v>
      </c>
      <c r="U279" s="34">
        <v>375.0</v>
      </c>
      <c r="V279" s="34" t="s">
        <v>3818</v>
      </c>
      <c r="W279" s="34">
        <v>100.0</v>
      </c>
      <c r="X279" s="33">
        <f>'Old Balance Sheet'!D279 + 'ACPL Calculations - 1.0'!D279 + 'ACPL Calculations - 2.0'!D279</f>
        <v>0</v>
      </c>
      <c r="Y279" s="34" t="s">
        <v>3820</v>
      </c>
      <c r="Z279" s="34">
        <v>460.0</v>
      </c>
      <c r="AA279" s="32" t="s">
        <v>3818</v>
      </c>
      <c r="AB279" s="31">
        <v>100.0</v>
      </c>
      <c r="AC279" s="33">
        <f>'Old Balance Sheet'!E279 + 'ACPL Calculations - 1.0'!E279 + 'ACPL Calculations - 2.0'!E279</f>
        <v>0</v>
      </c>
      <c r="AD279" s="34" t="s">
        <v>3820</v>
      </c>
      <c r="AE279" s="34">
        <v>838.99</v>
      </c>
      <c r="AF279" s="32" t="s">
        <v>3818</v>
      </c>
      <c r="AG279" s="31">
        <v>100.0</v>
      </c>
      <c r="AH279" s="33">
        <f>'Old Balance Sheet'!F279 + 'ACPL Calculations - 1.0'!F279 + 'ACPL Calculations - 2.0'!F279</f>
        <v>0</v>
      </c>
      <c r="AI279" s="34" t="s">
        <v>3820</v>
      </c>
      <c r="AJ279" s="34">
        <v>375.0</v>
      </c>
      <c r="AK279" s="32" t="s">
        <v>3818</v>
      </c>
      <c r="AL279" s="31">
        <v>100.0</v>
      </c>
      <c r="AM279" s="33">
        <f>'Old Balance Sheet'!G279 + 'ACPL Calculations - 1.0'!G279 + 'ACPL Calculations - 2.0'!G279</f>
        <v>0</v>
      </c>
      <c r="AN279" s="34" t="s">
        <v>3820</v>
      </c>
      <c r="AO279" s="34">
        <v>290.0</v>
      </c>
      <c r="AP279" s="32" t="s">
        <v>3818</v>
      </c>
      <c r="AQ279" s="31">
        <v>100.0</v>
      </c>
      <c r="AR279" s="33">
        <f>'Old Balance Sheet'!H279 + 'ACPL Calculations - 1.0'!H279 + 'ACPL Calculations - 2.0'!H279</f>
        <v>0</v>
      </c>
      <c r="AS279" s="34" t="s">
        <v>3819</v>
      </c>
      <c r="AT279" s="34">
        <v>838.99</v>
      </c>
      <c r="AU279" s="32" t="s">
        <v>3818</v>
      </c>
      <c r="AV279" s="31">
        <v>100.0</v>
      </c>
      <c r="AW279" s="33">
        <f>'Old Balance Sheet'!I279 + 'ACPL Calculations - 1.0'!I279 + 'ACPL Calculations - 2.0'!I279</f>
        <v>0</v>
      </c>
      <c r="AX279" s="34" t="s">
        <v>3820</v>
      </c>
      <c r="AY279" s="34">
        <v>290.0</v>
      </c>
      <c r="AZ279" s="32" t="s">
        <v>3818</v>
      </c>
      <c r="BA279" s="31">
        <v>100.0</v>
      </c>
      <c r="BB279" s="33">
        <f>'Old Balance Sheet'!J279 + 'ACPL Calculations - 1.0'!J279 + 'ACPL Calculations - 2.0'!J279</f>
        <v>0</v>
      </c>
      <c r="BC279" s="34" t="s">
        <v>3820</v>
      </c>
      <c r="BD279" s="34">
        <v>205.0</v>
      </c>
      <c r="BE279" s="32" t="s">
        <v>3818</v>
      </c>
      <c r="BF279" s="31">
        <v>100.0</v>
      </c>
      <c r="BG279" s="33">
        <f>'Old Balance Sheet'!K279 + 'ACPL Calculations - 1.0'!K279 + 'ACPL Calculations - 2.0'!K279</f>
        <v>0</v>
      </c>
      <c r="BH279" s="34" t="s">
        <v>3820</v>
      </c>
      <c r="BI279" s="34">
        <v>205.0</v>
      </c>
      <c r="BJ279" s="32" t="s">
        <v>3818</v>
      </c>
      <c r="BK279" s="31">
        <v>100.0</v>
      </c>
      <c r="BL279" s="33">
        <f>'Old Balance Sheet'!L279 + 'ACPL Calculations - 1.0'!L279 + 'ACPL Calculations - 2.0'!L279</f>
        <v>0</v>
      </c>
      <c r="CL279" s="33">
        <f t="shared" si="1"/>
        <v>860</v>
      </c>
      <c r="CM279" s="33">
        <f>'Old Balance Sheet'!R279 + 'ACPL Calculations - 1.0'!S279 + 'ACPL Calculations - 2.0'!S279</f>
        <v>380120</v>
      </c>
      <c r="CN279" s="33">
        <f>'Old Balance Sheet'!S279 + 'ACPL Calculations - 1.0'!T279 + 'ACPL Calculations - 2.0'!T279</f>
        <v>151932</v>
      </c>
      <c r="CO279" s="33">
        <f t="shared" si="2"/>
        <v>209913.2</v>
      </c>
      <c r="CP279" s="33">
        <f>'Old Balance Sheet'!T279 + 'ACPL Calculations - 1.0'!V279 + 'ACPL Calculations - 2.0'!V279</f>
        <v>0</v>
      </c>
      <c r="CQ279" s="33">
        <f>'Old Balance Sheet'!U279 + 'ACPL Calculations - 1.0'!W279 + 'ACPL Calculations - 2.0'!W279</f>
        <v>0</v>
      </c>
      <c r="CR279" s="33">
        <f>'Old Balance Sheet'!V279 + 'ACPL Calculations - 1.0'!X279 + 'ACPL Calculations - 2.0'!X279</f>
        <v>57981.2</v>
      </c>
      <c r="CS279" s="33">
        <f t="shared" si="3"/>
        <v>57981.2</v>
      </c>
      <c r="CT279" s="35"/>
      <c r="CU279" s="35"/>
      <c r="CV279" s="35"/>
      <c r="CW279" s="36">
        <f>'Old Balance Sheet'!W279 + 'ACPL Calculations - 1.0'!Z279 + 'ACPL Calculations - 2.0'!Z279</f>
        <v>0</v>
      </c>
      <c r="CX279" s="36">
        <f>'Old Balance Sheet'!X279 + 'ACPL Calculations - 1.0'!AA279 + 'ACPL Calculations - 2.0'!AA279</f>
        <v>0</v>
      </c>
      <c r="CY279" s="37">
        <v>0.0</v>
      </c>
      <c r="CZ279" s="38">
        <f>'Old Balance Sheet'!Y279 + 'ACPL Calculations - 1.0'!AB279 + 'ACPL Calculations - 2.0'!AB279</f>
        <v>0</v>
      </c>
      <c r="DA279" s="38">
        <f>'Old Balance Sheet'!Z279 + 'ACPL Calculations - 1.0'!AC279 + 'ACPL Calculations - 2.0'!AC279</f>
        <v>0</v>
      </c>
      <c r="DB279" s="38">
        <f>'Old Balance Sheet'!AA279 + 'ACPL Calculations - 1.0'!AD279 + 'ACPL Calculations - 2.0'!AD279</f>
        <v>0</v>
      </c>
      <c r="DC279" s="38">
        <f>'Old Balance Sheet'!AB279 + 'ACPL Calculations - 1.0'!AE279 + 'ACPL Calculations - 2.0'!AE279</f>
        <v>0</v>
      </c>
      <c r="DD279" s="38">
        <f t="shared" si="4"/>
        <v>0</v>
      </c>
      <c r="DE279" s="33">
        <f t="shared" si="5"/>
        <v>0</v>
      </c>
      <c r="DF279" s="35">
        <v>0.0</v>
      </c>
      <c r="DG279" s="35">
        <v>0.0</v>
      </c>
      <c r="DH279" s="35">
        <v>0.0</v>
      </c>
      <c r="DI279" s="35">
        <v>0.0</v>
      </c>
      <c r="DJ279" s="35">
        <v>0.0</v>
      </c>
      <c r="DK279" s="35">
        <v>0.0</v>
      </c>
      <c r="DL279" s="35">
        <v>0.0</v>
      </c>
      <c r="DM279" s="35">
        <v>0.0</v>
      </c>
      <c r="DN279" s="31">
        <v>0.0</v>
      </c>
      <c r="DO279" s="31">
        <v>0.0</v>
      </c>
      <c r="DP279" s="31">
        <v>0.0</v>
      </c>
      <c r="DQ279" s="31">
        <v>0.0</v>
      </c>
      <c r="DR279" s="31">
        <v>0.0</v>
      </c>
      <c r="DS279" s="31">
        <v>0.0</v>
      </c>
      <c r="DT279" s="31">
        <f>'Old Balance Sheet'!AC279</f>
        <v>0</v>
      </c>
      <c r="DU279" s="31">
        <f>DT279 + SUMIFS('Payments Log'!D:D, 'Payments Log'!B:B, A279, 'Payments Log'!L:L, "Approved", 'Payments Log'!M:M, "Credit") + 'Old Balance Sheet'!AD279 - 'Old Balance Sheet'!AC279</f>
        <v>0</v>
      </c>
      <c r="DV279" s="31">
        <f>SUMIFS('Payments Log'!D:D, 'Payments Log'!B:B, A279, 'Payments Log'!L:L, "Approved", 'Payments Log'!M:M, "Adjustment Credit") - SUMIFS('Payments Log'!D:D, 'Payments Log'!B:B, A279, 'Payments Log'!L:L, "Approved", 'Payments Log'!M:M, "Adjustment Debit") + 'Old Balance Sheet'!AE279</f>
        <v>0</v>
      </c>
      <c r="DW279" s="31">
        <f>IF(MAXIFS('Payments Log'!N:N, 'Payments Log'!L:L, "Approved", 'Payments Log'!M:M, "Credit", 'Payments Log'!B:B, A279) &gt; MAXIFS('Payments Log'!N:N, 'Payments Log'!L:L, "Approved", 'Payments Log'!M:M, "Virtual Credit", 'Payments Log'!B:B, A279), 0, SUMIFS('Payments Log'!D:D, 'Payments Log'!N:N, MAXIFS('Payments Log'!N:N, 'Payments Log'!L:L, "Approved", 'Payments Log'!M:M, "Virtual Credit", 'Payments Log'!B:B, A279)))</f>
        <v>0</v>
      </c>
      <c r="DX279" s="33">
        <f t="shared" si="6"/>
        <v>0</v>
      </c>
      <c r="DY279" s="33">
        <f t="shared" si="7"/>
        <v>0</v>
      </c>
      <c r="DZ279" s="33">
        <f t="shared" si="8"/>
        <v>0</v>
      </c>
      <c r="EA279" s="25" t="str">
        <f>(Sheet1!N279)</f>
        <v>Gupta Automobiles - Padrauna</v>
      </c>
      <c r="EB279" s="25" t="str">
        <f>(Sheet1!O279)</f>
        <v>1Ql_6BdBcHGAyITSZt1pNUK3bW54CzeThIBXr7aH7K3Y</v>
      </c>
      <c r="EC279" s="26" t="str">
        <f>(Sheet1!P279)</f>
        <v>Sub Dealer</v>
      </c>
      <c r="ED279" s="34" t="s">
        <v>13</v>
      </c>
    </row>
    <row r="280">
      <c r="A280" s="26" t="str">
        <f>(Sheet1!A280)</f>
        <v>1MwGB4NlbAA1sDO4RNS9Gt7hcxUDE9RrGsbtMfLGnXmc</v>
      </c>
      <c r="B280" s="26" t="str">
        <f>(Sheet1!B280)</f>
        <v>Rishabh Motors (GA) - SEORAHI</v>
      </c>
      <c r="C280" s="34" t="s">
        <v>13</v>
      </c>
      <c r="D280" s="34" t="s">
        <v>72</v>
      </c>
      <c r="E280" s="34" t="s">
        <v>3817</v>
      </c>
      <c r="F280" s="34">
        <v>175.0</v>
      </c>
      <c r="G280" s="34" t="s">
        <v>3818</v>
      </c>
      <c r="H280" s="34">
        <v>100.0</v>
      </c>
      <c r="I280" s="33">
        <f>'Old Balance Sheet'!A280 + 'ACPL Calculations - 1.0'!A280 + 'ACPL Calculations - 2.0'!A280</f>
        <v>810</v>
      </c>
      <c r="J280" s="34" t="s">
        <v>3820</v>
      </c>
      <c r="K280" s="34">
        <v>205.0</v>
      </c>
      <c r="L280" s="34" t="s">
        <v>3818</v>
      </c>
      <c r="M280" s="34">
        <v>100.0</v>
      </c>
      <c r="N280" s="33">
        <f>'Old Balance Sheet'!B280 + 'ACPL Calculations - 1.0'!B280 + 'ACPL Calculations - 2.0'!B280</f>
        <v>0</v>
      </c>
      <c r="O280" s="34" t="s">
        <v>3820</v>
      </c>
      <c r="P280" s="34">
        <v>290.0</v>
      </c>
      <c r="Q280" s="34" t="s">
        <v>3818</v>
      </c>
      <c r="R280" s="34">
        <v>100.0</v>
      </c>
      <c r="S280" s="33">
        <f>'Old Balance Sheet'!C280 + 'ACPL Calculations - 1.0'!C280 + 'ACPL Calculations - 2.0'!C280</f>
        <v>0</v>
      </c>
      <c r="T280" s="34" t="s">
        <v>3820</v>
      </c>
      <c r="U280" s="34">
        <v>375.0</v>
      </c>
      <c r="V280" s="34" t="s">
        <v>3818</v>
      </c>
      <c r="W280" s="34">
        <v>100.0</v>
      </c>
      <c r="X280" s="33">
        <f>'Old Balance Sheet'!D280 + 'ACPL Calculations - 1.0'!D280 + 'ACPL Calculations - 2.0'!D280</f>
        <v>0</v>
      </c>
      <c r="Y280" s="34" t="s">
        <v>3820</v>
      </c>
      <c r="Z280" s="34">
        <v>460.0</v>
      </c>
      <c r="AA280" s="32" t="s">
        <v>3818</v>
      </c>
      <c r="AB280" s="31">
        <v>100.0</v>
      </c>
      <c r="AC280" s="33">
        <f>'Old Balance Sheet'!E280 + 'ACPL Calculations - 1.0'!E280 + 'ACPL Calculations - 2.0'!E280</f>
        <v>0</v>
      </c>
      <c r="AD280" s="34" t="s">
        <v>3820</v>
      </c>
      <c r="AE280" s="34">
        <v>838.99</v>
      </c>
      <c r="AF280" s="32" t="s">
        <v>3818</v>
      </c>
      <c r="AG280" s="31">
        <v>100.0</v>
      </c>
      <c r="AH280" s="33">
        <f>'Old Balance Sheet'!F280 + 'ACPL Calculations - 1.0'!F280 + 'ACPL Calculations - 2.0'!F280</f>
        <v>0</v>
      </c>
      <c r="AI280" s="34" t="s">
        <v>3820</v>
      </c>
      <c r="AJ280" s="34">
        <v>375.0</v>
      </c>
      <c r="AK280" s="32" t="s">
        <v>3818</v>
      </c>
      <c r="AL280" s="31">
        <v>100.0</v>
      </c>
      <c r="AM280" s="33">
        <f>'Old Balance Sheet'!G280 + 'ACPL Calculations - 1.0'!G280 + 'ACPL Calculations - 2.0'!G280</f>
        <v>0</v>
      </c>
      <c r="AN280" s="34" t="s">
        <v>3820</v>
      </c>
      <c r="AO280" s="34">
        <v>290.0</v>
      </c>
      <c r="AP280" s="32" t="s">
        <v>3818</v>
      </c>
      <c r="AQ280" s="31">
        <v>100.0</v>
      </c>
      <c r="AR280" s="33">
        <f>'Old Balance Sheet'!H280 + 'ACPL Calculations - 1.0'!H280 + 'ACPL Calculations - 2.0'!H280</f>
        <v>0</v>
      </c>
      <c r="AS280" s="34" t="s">
        <v>3819</v>
      </c>
      <c r="AT280" s="34">
        <v>838.99</v>
      </c>
      <c r="AU280" s="32" t="s">
        <v>3818</v>
      </c>
      <c r="AV280" s="31">
        <v>100.0</v>
      </c>
      <c r="AW280" s="33">
        <f>'Old Balance Sheet'!I280 + 'ACPL Calculations - 1.0'!I280 + 'ACPL Calculations - 2.0'!I280</f>
        <v>0</v>
      </c>
      <c r="AX280" s="34" t="s">
        <v>3820</v>
      </c>
      <c r="AY280" s="34">
        <v>290.0</v>
      </c>
      <c r="AZ280" s="32" t="s">
        <v>3818</v>
      </c>
      <c r="BA280" s="31">
        <v>100.0</v>
      </c>
      <c r="BB280" s="33">
        <f>'Old Balance Sheet'!J280 + 'ACPL Calculations - 1.0'!J280 + 'ACPL Calculations - 2.0'!J280</f>
        <v>0</v>
      </c>
      <c r="BC280" s="34" t="s">
        <v>3820</v>
      </c>
      <c r="BD280" s="34">
        <v>205.0</v>
      </c>
      <c r="BE280" s="32" t="s">
        <v>3818</v>
      </c>
      <c r="BF280" s="31">
        <v>100.0</v>
      </c>
      <c r="BG280" s="33">
        <f>'Old Balance Sheet'!K280 + 'ACPL Calculations - 1.0'!K280 + 'ACPL Calculations - 2.0'!K280</f>
        <v>0</v>
      </c>
      <c r="BH280" s="34" t="s">
        <v>3820</v>
      </c>
      <c r="BI280" s="34">
        <v>205.0</v>
      </c>
      <c r="BJ280" s="32" t="s">
        <v>3818</v>
      </c>
      <c r="BK280" s="31">
        <v>100.0</v>
      </c>
      <c r="BL280" s="33">
        <f>'Old Balance Sheet'!L280 + 'ACPL Calculations - 1.0'!L280 + 'ACPL Calculations - 2.0'!L280</f>
        <v>0</v>
      </c>
      <c r="CL280" s="33">
        <f t="shared" si="1"/>
        <v>810</v>
      </c>
      <c r="CM280" s="33">
        <f>'Old Balance Sheet'!R280 + 'ACPL Calculations - 1.0'!S280 + 'ACPL Calculations - 2.0'!S280</f>
        <v>358020</v>
      </c>
      <c r="CN280" s="33">
        <f>'Old Balance Sheet'!S280 + 'ACPL Calculations - 1.0'!T280 + 'ACPL Calculations - 2.0'!T280</f>
        <v>140814</v>
      </c>
      <c r="CO280" s="33">
        <f t="shared" si="2"/>
        <v>195424.2</v>
      </c>
      <c r="CP280" s="33">
        <f>'Old Balance Sheet'!T280 + 'ACPL Calculations - 1.0'!V280 + 'ACPL Calculations - 2.0'!V280</f>
        <v>0</v>
      </c>
      <c r="CQ280" s="33">
        <f>'Old Balance Sheet'!U280 + 'ACPL Calculations - 1.0'!W280 + 'ACPL Calculations - 2.0'!W280</f>
        <v>0</v>
      </c>
      <c r="CR280" s="33">
        <f>'Old Balance Sheet'!V280 + 'ACPL Calculations - 1.0'!X280 + 'ACPL Calculations - 2.0'!X280</f>
        <v>54610.2</v>
      </c>
      <c r="CS280" s="33">
        <f t="shared" si="3"/>
        <v>54610.2</v>
      </c>
      <c r="CT280" s="35"/>
      <c r="CU280" s="35"/>
      <c r="CV280" s="35"/>
      <c r="CW280" s="36">
        <f>'Old Balance Sheet'!W280 + 'ACPL Calculations - 1.0'!Z280 + 'ACPL Calculations - 2.0'!Z280</f>
        <v>0</v>
      </c>
      <c r="CX280" s="36">
        <f>'Old Balance Sheet'!X280 + 'ACPL Calculations - 1.0'!AA280 + 'ACPL Calculations - 2.0'!AA280</f>
        <v>0</v>
      </c>
      <c r="CY280" s="37">
        <v>0.0</v>
      </c>
      <c r="CZ280" s="38">
        <f>'Old Balance Sheet'!Y280 + 'ACPL Calculations - 1.0'!AB280 + 'ACPL Calculations - 2.0'!AB280</f>
        <v>0</v>
      </c>
      <c r="DA280" s="38">
        <f>'Old Balance Sheet'!Z280 + 'ACPL Calculations - 1.0'!AC280 + 'ACPL Calculations - 2.0'!AC280</f>
        <v>0</v>
      </c>
      <c r="DB280" s="38">
        <f>'Old Balance Sheet'!AA280 + 'ACPL Calculations - 1.0'!AD280 + 'ACPL Calculations - 2.0'!AD280</f>
        <v>0</v>
      </c>
      <c r="DC280" s="38">
        <f>'Old Balance Sheet'!AB280 + 'ACPL Calculations - 1.0'!AE280 + 'ACPL Calculations - 2.0'!AE280</f>
        <v>0</v>
      </c>
      <c r="DD280" s="38">
        <f t="shared" si="4"/>
        <v>0</v>
      </c>
      <c r="DE280" s="33">
        <f t="shared" si="5"/>
        <v>0</v>
      </c>
      <c r="DF280" s="35">
        <v>0.0</v>
      </c>
      <c r="DG280" s="35">
        <v>0.0</v>
      </c>
      <c r="DH280" s="35">
        <v>0.0</v>
      </c>
      <c r="DI280" s="35">
        <v>0.0</v>
      </c>
      <c r="DJ280" s="35">
        <v>0.0</v>
      </c>
      <c r="DK280" s="35">
        <v>0.0</v>
      </c>
      <c r="DL280" s="35">
        <v>0.0</v>
      </c>
      <c r="DM280" s="35">
        <v>0.0</v>
      </c>
      <c r="DN280" s="31">
        <v>0.0</v>
      </c>
      <c r="DO280" s="31">
        <v>0.0</v>
      </c>
      <c r="DP280" s="31">
        <v>0.0</v>
      </c>
      <c r="DQ280" s="31">
        <v>0.0</v>
      </c>
      <c r="DR280" s="31">
        <v>0.0</v>
      </c>
      <c r="DS280" s="31">
        <v>0.0</v>
      </c>
      <c r="DT280" s="31">
        <f>'Old Balance Sheet'!AC280</f>
        <v>0</v>
      </c>
      <c r="DU280" s="31">
        <f>DT280 + SUMIFS('Payments Log'!D:D, 'Payments Log'!B:B, A280, 'Payments Log'!L:L, "Approved", 'Payments Log'!M:M, "Credit") + 'Old Balance Sheet'!AD280 - 'Old Balance Sheet'!AC280</f>
        <v>0</v>
      </c>
      <c r="DV280" s="31">
        <f>SUMIFS('Payments Log'!D:D, 'Payments Log'!B:B, A280, 'Payments Log'!L:L, "Approved", 'Payments Log'!M:M, "Adjustment Credit") - SUMIFS('Payments Log'!D:D, 'Payments Log'!B:B, A280, 'Payments Log'!L:L, "Approved", 'Payments Log'!M:M, "Adjustment Debit") + 'Old Balance Sheet'!AE280</f>
        <v>0</v>
      </c>
      <c r="DW280" s="31">
        <f>IF(MAXIFS('Payments Log'!N:N, 'Payments Log'!L:L, "Approved", 'Payments Log'!M:M, "Credit", 'Payments Log'!B:B, A280) &gt; MAXIFS('Payments Log'!N:N, 'Payments Log'!L:L, "Approved", 'Payments Log'!M:M, "Virtual Credit", 'Payments Log'!B:B, A280), 0, SUMIFS('Payments Log'!D:D, 'Payments Log'!N:N, MAXIFS('Payments Log'!N:N, 'Payments Log'!L:L, "Approved", 'Payments Log'!M:M, "Virtual Credit", 'Payments Log'!B:B, A280)))</f>
        <v>0</v>
      </c>
      <c r="DX280" s="33">
        <f t="shared" si="6"/>
        <v>0</v>
      </c>
      <c r="DY280" s="33">
        <f t="shared" si="7"/>
        <v>0</v>
      </c>
      <c r="DZ280" s="33">
        <f t="shared" si="8"/>
        <v>0</v>
      </c>
      <c r="EA280" s="25" t="str">
        <f>(Sheet1!N280)</f>
        <v>Gupta Automobiles - Padrauna</v>
      </c>
      <c r="EB280" s="25" t="str">
        <f>(Sheet1!O280)</f>
        <v>1Ql_6BdBcHGAyITSZt1pNUK3bW54CzeThIBXr7aH7K3Y</v>
      </c>
      <c r="EC280" s="26" t="str">
        <f>(Sheet1!P280)</f>
        <v>Sub Dealer</v>
      </c>
      <c r="ED280" s="34" t="s">
        <v>13</v>
      </c>
    </row>
    <row r="281">
      <c r="A281" s="26" t="str">
        <f>(Sheet1!A281)</f>
        <v>1_OiNFW1L4uli0OUd47a3WJ8Vi8oF4ELvOE04d55Bxu8</v>
      </c>
      <c r="B281" s="26" t="str">
        <f>(Sheet1!B281)</f>
        <v>Aditya Automobiles (GA) - Khadda</v>
      </c>
      <c r="C281" s="34" t="s">
        <v>13</v>
      </c>
      <c r="D281" s="34" t="s">
        <v>72</v>
      </c>
      <c r="E281" s="34" t="s">
        <v>3817</v>
      </c>
      <c r="F281" s="34">
        <v>175.0</v>
      </c>
      <c r="G281" s="34" t="s">
        <v>3818</v>
      </c>
      <c r="H281" s="34">
        <v>100.0</v>
      </c>
      <c r="I281" s="33">
        <f>'Old Balance Sheet'!A281 + 'ACPL Calculations - 1.0'!A281 + 'ACPL Calculations - 2.0'!A281</f>
        <v>336</v>
      </c>
      <c r="J281" s="34" t="s">
        <v>3820</v>
      </c>
      <c r="K281" s="34">
        <v>205.0</v>
      </c>
      <c r="L281" s="34" t="s">
        <v>3818</v>
      </c>
      <c r="M281" s="34">
        <v>100.0</v>
      </c>
      <c r="N281" s="33">
        <f>'Old Balance Sheet'!B281 + 'ACPL Calculations - 1.0'!B281 + 'ACPL Calculations - 2.0'!B281</f>
        <v>0</v>
      </c>
      <c r="O281" s="34" t="s">
        <v>3820</v>
      </c>
      <c r="P281" s="34">
        <v>290.0</v>
      </c>
      <c r="Q281" s="34" t="s">
        <v>3818</v>
      </c>
      <c r="R281" s="34">
        <v>100.0</v>
      </c>
      <c r="S281" s="33">
        <f>'Old Balance Sheet'!C281 + 'ACPL Calculations - 1.0'!C281 + 'ACPL Calculations - 2.0'!C281</f>
        <v>0</v>
      </c>
      <c r="T281" s="34" t="s">
        <v>3820</v>
      </c>
      <c r="U281" s="34">
        <v>375.0</v>
      </c>
      <c r="V281" s="34" t="s">
        <v>3818</v>
      </c>
      <c r="W281" s="34">
        <v>100.0</v>
      </c>
      <c r="X281" s="33">
        <f>'Old Balance Sheet'!D281 + 'ACPL Calculations - 1.0'!D281 + 'ACPL Calculations - 2.0'!D281</f>
        <v>0</v>
      </c>
      <c r="Y281" s="34" t="s">
        <v>3820</v>
      </c>
      <c r="Z281" s="34">
        <v>460.0</v>
      </c>
      <c r="AA281" s="32" t="s">
        <v>3818</v>
      </c>
      <c r="AB281" s="31">
        <v>100.0</v>
      </c>
      <c r="AC281" s="33">
        <f>'Old Balance Sheet'!E281 + 'ACPL Calculations - 1.0'!E281 + 'ACPL Calculations - 2.0'!E281</f>
        <v>0</v>
      </c>
      <c r="AD281" s="34" t="s">
        <v>3820</v>
      </c>
      <c r="AE281" s="34">
        <v>838.99</v>
      </c>
      <c r="AF281" s="32" t="s">
        <v>3818</v>
      </c>
      <c r="AG281" s="31">
        <v>100.0</v>
      </c>
      <c r="AH281" s="33">
        <f>'Old Balance Sheet'!F281 + 'ACPL Calculations - 1.0'!F281 + 'ACPL Calculations - 2.0'!F281</f>
        <v>0</v>
      </c>
      <c r="AI281" s="34" t="s">
        <v>3820</v>
      </c>
      <c r="AJ281" s="34">
        <v>375.0</v>
      </c>
      <c r="AK281" s="32" t="s">
        <v>3818</v>
      </c>
      <c r="AL281" s="31">
        <v>100.0</v>
      </c>
      <c r="AM281" s="33">
        <f>'Old Balance Sheet'!G281 + 'ACPL Calculations - 1.0'!G281 + 'ACPL Calculations - 2.0'!G281</f>
        <v>0</v>
      </c>
      <c r="AN281" s="34" t="s">
        <v>3820</v>
      </c>
      <c r="AO281" s="34">
        <v>290.0</v>
      </c>
      <c r="AP281" s="32" t="s">
        <v>3818</v>
      </c>
      <c r="AQ281" s="31">
        <v>100.0</v>
      </c>
      <c r="AR281" s="33">
        <f>'Old Balance Sheet'!H281 + 'ACPL Calculations - 1.0'!H281 + 'ACPL Calculations - 2.0'!H281</f>
        <v>0</v>
      </c>
      <c r="AS281" s="34" t="s">
        <v>3819</v>
      </c>
      <c r="AT281" s="34">
        <v>838.99</v>
      </c>
      <c r="AU281" s="32" t="s">
        <v>3818</v>
      </c>
      <c r="AV281" s="31">
        <v>100.0</v>
      </c>
      <c r="AW281" s="33">
        <f>'Old Balance Sheet'!I281 + 'ACPL Calculations - 1.0'!I281 + 'ACPL Calculations - 2.0'!I281</f>
        <v>0</v>
      </c>
      <c r="AX281" s="34" t="s">
        <v>3820</v>
      </c>
      <c r="AY281" s="34">
        <v>290.0</v>
      </c>
      <c r="AZ281" s="32" t="s">
        <v>3818</v>
      </c>
      <c r="BA281" s="31">
        <v>100.0</v>
      </c>
      <c r="BB281" s="33">
        <f>'Old Balance Sheet'!J281 + 'ACPL Calculations - 1.0'!J281 + 'ACPL Calculations - 2.0'!J281</f>
        <v>0</v>
      </c>
      <c r="BC281" s="34" t="s">
        <v>3820</v>
      </c>
      <c r="BD281" s="34">
        <v>205.0</v>
      </c>
      <c r="BE281" s="32" t="s">
        <v>3818</v>
      </c>
      <c r="BF281" s="31">
        <v>100.0</v>
      </c>
      <c r="BG281" s="33">
        <f>'Old Balance Sheet'!K281 + 'ACPL Calculations - 1.0'!K281 + 'ACPL Calculations - 2.0'!K281</f>
        <v>0</v>
      </c>
      <c r="BH281" s="34" t="s">
        <v>3820</v>
      </c>
      <c r="BI281" s="34">
        <v>205.0</v>
      </c>
      <c r="BJ281" s="32" t="s">
        <v>3818</v>
      </c>
      <c r="BK281" s="31">
        <v>100.0</v>
      </c>
      <c r="BL281" s="33">
        <f>'Old Balance Sheet'!L281 + 'ACPL Calculations - 1.0'!L281 + 'ACPL Calculations - 2.0'!L281</f>
        <v>0</v>
      </c>
      <c r="CL281" s="33">
        <f t="shared" si="1"/>
        <v>336</v>
      </c>
      <c r="CM281" s="33">
        <f>'Old Balance Sheet'!R281 + 'ACPL Calculations - 1.0'!S281 + 'ACPL Calculations - 2.0'!S281</f>
        <v>148512</v>
      </c>
      <c r="CN281" s="33">
        <f>'Old Balance Sheet'!S281 + 'ACPL Calculations - 1.0'!T281 + 'ACPL Calculations - 2.0'!T281</f>
        <v>58134</v>
      </c>
      <c r="CO281" s="33">
        <f t="shared" si="2"/>
        <v>80787.12</v>
      </c>
      <c r="CP281" s="33">
        <f>'Old Balance Sheet'!T281 + 'ACPL Calculations - 1.0'!V281 + 'ACPL Calculations - 2.0'!V281</f>
        <v>0</v>
      </c>
      <c r="CQ281" s="33">
        <f>'Old Balance Sheet'!U281 + 'ACPL Calculations - 1.0'!W281 + 'ACPL Calculations - 2.0'!W281</f>
        <v>0</v>
      </c>
      <c r="CR281" s="33">
        <f>'Old Balance Sheet'!V281 + 'ACPL Calculations - 1.0'!X281 + 'ACPL Calculations - 2.0'!X281</f>
        <v>22653.12</v>
      </c>
      <c r="CS281" s="33">
        <f t="shared" si="3"/>
        <v>22653.12</v>
      </c>
      <c r="CT281" s="35"/>
      <c r="CU281" s="35"/>
      <c r="CV281" s="35"/>
      <c r="CW281" s="36">
        <f>'Old Balance Sheet'!W281 + 'ACPL Calculations - 1.0'!Z281 + 'ACPL Calculations - 2.0'!Z281</f>
        <v>0</v>
      </c>
      <c r="CX281" s="36">
        <f>'Old Balance Sheet'!X281 + 'ACPL Calculations - 1.0'!AA281 + 'ACPL Calculations - 2.0'!AA281</f>
        <v>0</v>
      </c>
      <c r="CY281" s="37">
        <v>0.0</v>
      </c>
      <c r="CZ281" s="38">
        <f>'Old Balance Sheet'!Y281 + 'ACPL Calculations - 1.0'!AB281 + 'ACPL Calculations - 2.0'!AB281</f>
        <v>0</v>
      </c>
      <c r="DA281" s="38">
        <f>'Old Balance Sheet'!Z281 + 'ACPL Calculations - 1.0'!AC281 + 'ACPL Calculations - 2.0'!AC281</f>
        <v>0</v>
      </c>
      <c r="DB281" s="38">
        <f>'Old Balance Sheet'!AA281 + 'ACPL Calculations - 1.0'!AD281 + 'ACPL Calculations - 2.0'!AD281</f>
        <v>0</v>
      </c>
      <c r="DC281" s="38">
        <f>'Old Balance Sheet'!AB281 + 'ACPL Calculations - 1.0'!AE281 + 'ACPL Calculations - 2.0'!AE281</f>
        <v>0</v>
      </c>
      <c r="DD281" s="38">
        <f t="shared" si="4"/>
        <v>0</v>
      </c>
      <c r="DE281" s="33">
        <f t="shared" si="5"/>
        <v>0</v>
      </c>
      <c r="DF281" s="35">
        <v>0.0</v>
      </c>
      <c r="DG281" s="35">
        <v>0.0</v>
      </c>
      <c r="DH281" s="35">
        <v>0.0</v>
      </c>
      <c r="DI281" s="35">
        <v>0.0</v>
      </c>
      <c r="DJ281" s="35">
        <v>0.0</v>
      </c>
      <c r="DK281" s="35">
        <v>0.0</v>
      </c>
      <c r="DL281" s="35">
        <v>0.0</v>
      </c>
      <c r="DM281" s="35">
        <v>0.0</v>
      </c>
      <c r="DN281" s="31">
        <v>0.0</v>
      </c>
      <c r="DO281" s="31">
        <v>0.0</v>
      </c>
      <c r="DP281" s="31">
        <v>0.0</v>
      </c>
      <c r="DQ281" s="31">
        <v>0.0</v>
      </c>
      <c r="DR281" s="31">
        <v>0.0</v>
      </c>
      <c r="DS281" s="31">
        <v>0.0</v>
      </c>
      <c r="DT281" s="31">
        <f>'Old Balance Sheet'!AC281</f>
        <v>0</v>
      </c>
      <c r="DU281" s="31">
        <f>DT281 + SUMIFS('Payments Log'!D:D, 'Payments Log'!B:B, A281, 'Payments Log'!L:L, "Approved", 'Payments Log'!M:M, "Credit") + 'Old Balance Sheet'!AD281 - 'Old Balance Sheet'!AC281</f>
        <v>0</v>
      </c>
      <c r="DV281" s="31">
        <f>SUMIFS('Payments Log'!D:D, 'Payments Log'!B:B, A281, 'Payments Log'!L:L, "Approved", 'Payments Log'!M:M, "Adjustment Credit") - SUMIFS('Payments Log'!D:D, 'Payments Log'!B:B, A281, 'Payments Log'!L:L, "Approved", 'Payments Log'!M:M, "Adjustment Debit") + 'Old Balance Sheet'!AE281</f>
        <v>0</v>
      </c>
      <c r="DW281" s="31">
        <f>IF(MAXIFS('Payments Log'!N:N, 'Payments Log'!L:L, "Approved", 'Payments Log'!M:M, "Credit", 'Payments Log'!B:B, A281) &gt; MAXIFS('Payments Log'!N:N, 'Payments Log'!L:L, "Approved", 'Payments Log'!M:M, "Virtual Credit", 'Payments Log'!B:B, A281), 0, SUMIFS('Payments Log'!D:D, 'Payments Log'!N:N, MAXIFS('Payments Log'!N:N, 'Payments Log'!L:L, "Approved", 'Payments Log'!M:M, "Virtual Credit", 'Payments Log'!B:B, A281)))</f>
        <v>0</v>
      </c>
      <c r="DX281" s="33">
        <f t="shared" si="6"/>
        <v>0</v>
      </c>
      <c r="DY281" s="33">
        <f t="shared" si="7"/>
        <v>0</v>
      </c>
      <c r="DZ281" s="33">
        <f t="shared" si="8"/>
        <v>0</v>
      </c>
      <c r="EA281" s="25" t="str">
        <f>(Sheet1!N281)</f>
        <v>Gupta Automobiles - Padrauna</v>
      </c>
      <c r="EB281" s="25" t="str">
        <f>(Sheet1!O281)</f>
        <v>1Ql_6BdBcHGAyITSZt1pNUK3bW54CzeThIBXr7aH7K3Y</v>
      </c>
      <c r="EC281" s="26" t="str">
        <f>(Sheet1!P281)</f>
        <v>Sub Dealer</v>
      </c>
      <c r="ED281" s="34" t="s">
        <v>13</v>
      </c>
    </row>
    <row r="282">
      <c r="A282" s="26" t="str">
        <f>(Sheet1!A282)</f>
        <v>1exeGOWVXOAcHuO2L4B0HTiLTrOKeCzbSH5QoO_nqQeA</v>
      </c>
      <c r="B282" s="26" t="str">
        <f>(Sheet1!B282)</f>
        <v>Madheshiya Automobile (GA) - Kaptanganj</v>
      </c>
      <c r="C282" s="34" t="s">
        <v>13</v>
      </c>
      <c r="D282" s="34" t="s">
        <v>72</v>
      </c>
      <c r="E282" s="34" t="s">
        <v>3817</v>
      </c>
      <c r="F282" s="34">
        <v>175.0</v>
      </c>
      <c r="G282" s="34" t="s">
        <v>3818</v>
      </c>
      <c r="H282" s="34">
        <v>100.0</v>
      </c>
      <c r="I282" s="33">
        <f>'Old Balance Sheet'!A282 + 'ACPL Calculations - 1.0'!A282 + 'ACPL Calculations - 2.0'!A282</f>
        <v>483</v>
      </c>
      <c r="J282" s="34" t="s">
        <v>3820</v>
      </c>
      <c r="K282" s="34">
        <v>205.0</v>
      </c>
      <c r="L282" s="34" t="s">
        <v>3818</v>
      </c>
      <c r="M282" s="34">
        <v>100.0</v>
      </c>
      <c r="N282" s="33">
        <f>'Old Balance Sheet'!B282 + 'ACPL Calculations - 1.0'!B282 + 'ACPL Calculations - 2.0'!B282</f>
        <v>0</v>
      </c>
      <c r="O282" s="34" t="s">
        <v>3820</v>
      </c>
      <c r="P282" s="34">
        <v>290.0</v>
      </c>
      <c r="Q282" s="34" t="s">
        <v>3818</v>
      </c>
      <c r="R282" s="34">
        <v>100.0</v>
      </c>
      <c r="S282" s="33">
        <f>'Old Balance Sheet'!C282 + 'ACPL Calculations - 1.0'!C282 + 'ACPL Calculations - 2.0'!C282</f>
        <v>0</v>
      </c>
      <c r="T282" s="34" t="s">
        <v>3820</v>
      </c>
      <c r="U282" s="34">
        <v>375.0</v>
      </c>
      <c r="V282" s="34" t="s">
        <v>3818</v>
      </c>
      <c r="W282" s="34">
        <v>100.0</v>
      </c>
      <c r="X282" s="33">
        <f>'Old Balance Sheet'!D282 + 'ACPL Calculations - 1.0'!D282 + 'ACPL Calculations - 2.0'!D282</f>
        <v>0</v>
      </c>
      <c r="Y282" s="34" t="s">
        <v>3820</v>
      </c>
      <c r="Z282" s="34">
        <v>460.0</v>
      </c>
      <c r="AA282" s="32" t="s">
        <v>3818</v>
      </c>
      <c r="AB282" s="31">
        <v>100.0</v>
      </c>
      <c r="AC282" s="33">
        <f>'Old Balance Sheet'!E282 + 'ACPL Calculations - 1.0'!E282 + 'ACPL Calculations - 2.0'!E282</f>
        <v>0</v>
      </c>
      <c r="AD282" s="34" t="s">
        <v>3820</v>
      </c>
      <c r="AE282" s="34">
        <v>838.99</v>
      </c>
      <c r="AF282" s="32" t="s">
        <v>3818</v>
      </c>
      <c r="AG282" s="31">
        <v>100.0</v>
      </c>
      <c r="AH282" s="33">
        <f>'Old Balance Sheet'!F282 + 'ACPL Calculations - 1.0'!F282 + 'ACPL Calculations - 2.0'!F282</f>
        <v>0</v>
      </c>
      <c r="AI282" s="34" t="s">
        <v>3820</v>
      </c>
      <c r="AJ282" s="34">
        <v>375.0</v>
      </c>
      <c r="AK282" s="32" t="s">
        <v>3818</v>
      </c>
      <c r="AL282" s="31">
        <v>100.0</v>
      </c>
      <c r="AM282" s="33">
        <f>'Old Balance Sheet'!G282 + 'ACPL Calculations - 1.0'!G282 + 'ACPL Calculations - 2.0'!G282</f>
        <v>0</v>
      </c>
      <c r="AN282" s="34" t="s">
        <v>3820</v>
      </c>
      <c r="AO282" s="34">
        <v>290.0</v>
      </c>
      <c r="AP282" s="32" t="s">
        <v>3818</v>
      </c>
      <c r="AQ282" s="31">
        <v>100.0</v>
      </c>
      <c r="AR282" s="33">
        <f>'Old Balance Sheet'!H282 + 'ACPL Calculations - 1.0'!H282 + 'ACPL Calculations - 2.0'!H282</f>
        <v>0</v>
      </c>
      <c r="AS282" s="34" t="s">
        <v>3819</v>
      </c>
      <c r="AT282" s="34">
        <v>838.99</v>
      </c>
      <c r="AU282" s="32" t="s">
        <v>3818</v>
      </c>
      <c r="AV282" s="31">
        <v>100.0</v>
      </c>
      <c r="AW282" s="33">
        <f>'Old Balance Sheet'!I282 + 'ACPL Calculations - 1.0'!I282 + 'ACPL Calculations - 2.0'!I282</f>
        <v>0</v>
      </c>
      <c r="AX282" s="34" t="s">
        <v>3820</v>
      </c>
      <c r="AY282" s="34">
        <v>290.0</v>
      </c>
      <c r="AZ282" s="32" t="s">
        <v>3818</v>
      </c>
      <c r="BA282" s="31">
        <v>100.0</v>
      </c>
      <c r="BB282" s="33">
        <f>'Old Balance Sheet'!J282 + 'ACPL Calculations - 1.0'!J282 + 'ACPL Calculations - 2.0'!J282</f>
        <v>0</v>
      </c>
      <c r="BC282" s="34" t="s">
        <v>3820</v>
      </c>
      <c r="BD282" s="34">
        <v>205.0</v>
      </c>
      <c r="BE282" s="32" t="s">
        <v>3818</v>
      </c>
      <c r="BF282" s="31">
        <v>100.0</v>
      </c>
      <c r="BG282" s="33">
        <f>'Old Balance Sheet'!K282 + 'ACPL Calculations - 1.0'!K282 + 'ACPL Calculations - 2.0'!K282</f>
        <v>0</v>
      </c>
      <c r="BH282" s="34" t="s">
        <v>3820</v>
      </c>
      <c r="BI282" s="34">
        <v>205.0</v>
      </c>
      <c r="BJ282" s="32" t="s">
        <v>3818</v>
      </c>
      <c r="BK282" s="31">
        <v>100.0</v>
      </c>
      <c r="BL282" s="33">
        <f>'Old Balance Sheet'!L282 + 'ACPL Calculations - 1.0'!L282 + 'ACPL Calculations - 2.0'!L282</f>
        <v>0</v>
      </c>
      <c r="CL282" s="33">
        <f t="shared" si="1"/>
        <v>483</v>
      </c>
      <c r="CM282" s="33">
        <f>'Old Balance Sheet'!R282 + 'ACPL Calculations - 1.0'!S282 + 'ACPL Calculations - 2.0'!S282</f>
        <v>213486</v>
      </c>
      <c r="CN282" s="33">
        <f>'Old Balance Sheet'!S282 + 'ACPL Calculations - 1.0'!T282 + 'ACPL Calculations - 2.0'!T282</f>
        <v>85451</v>
      </c>
      <c r="CO282" s="33">
        <f t="shared" si="2"/>
        <v>118014.86</v>
      </c>
      <c r="CP282" s="33">
        <f>'Old Balance Sheet'!T282 + 'ACPL Calculations - 1.0'!V282 + 'ACPL Calculations - 2.0'!V282</f>
        <v>0</v>
      </c>
      <c r="CQ282" s="33">
        <f>'Old Balance Sheet'!U282 + 'ACPL Calculations - 1.0'!W282 + 'ACPL Calculations - 2.0'!W282</f>
        <v>0</v>
      </c>
      <c r="CR282" s="33">
        <f>'Old Balance Sheet'!V282 + 'ACPL Calculations - 1.0'!X282 + 'ACPL Calculations - 2.0'!X282</f>
        <v>32563.86</v>
      </c>
      <c r="CS282" s="33">
        <f t="shared" si="3"/>
        <v>32563.86</v>
      </c>
      <c r="CT282" s="35"/>
      <c r="CU282" s="35"/>
      <c r="CV282" s="35"/>
      <c r="CW282" s="36">
        <f>'Old Balance Sheet'!W282 + 'ACPL Calculations - 1.0'!Z282 + 'ACPL Calculations - 2.0'!Z282</f>
        <v>0</v>
      </c>
      <c r="CX282" s="36">
        <f>'Old Balance Sheet'!X282 + 'ACPL Calculations - 1.0'!AA282 + 'ACPL Calculations - 2.0'!AA282</f>
        <v>0</v>
      </c>
      <c r="CY282" s="37">
        <v>0.0</v>
      </c>
      <c r="CZ282" s="38">
        <f>'Old Balance Sheet'!Y282 + 'ACPL Calculations - 1.0'!AB282 + 'ACPL Calculations - 2.0'!AB282</f>
        <v>0</v>
      </c>
      <c r="DA282" s="38">
        <f>'Old Balance Sheet'!Z282 + 'ACPL Calculations - 1.0'!AC282 + 'ACPL Calculations - 2.0'!AC282</f>
        <v>0</v>
      </c>
      <c r="DB282" s="38">
        <f>'Old Balance Sheet'!AA282 + 'ACPL Calculations - 1.0'!AD282 + 'ACPL Calculations - 2.0'!AD282</f>
        <v>0</v>
      </c>
      <c r="DC282" s="38">
        <f>'Old Balance Sheet'!AB282 + 'ACPL Calculations - 1.0'!AE282 + 'ACPL Calculations - 2.0'!AE282</f>
        <v>0</v>
      </c>
      <c r="DD282" s="38">
        <f t="shared" si="4"/>
        <v>0</v>
      </c>
      <c r="DE282" s="33">
        <f t="shared" si="5"/>
        <v>0</v>
      </c>
      <c r="DF282" s="35">
        <v>0.0</v>
      </c>
      <c r="DG282" s="35">
        <v>0.0</v>
      </c>
      <c r="DH282" s="35">
        <v>0.0</v>
      </c>
      <c r="DI282" s="35">
        <v>0.0</v>
      </c>
      <c r="DJ282" s="35">
        <v>0.0</v>
      </c>
      <c r="DK282" s="35">
        <v>0.0</v>
      </c>
      <c r="DL282" s="35">
        <v>0.0</v>
      </c>
      <c r="DM282" s="35">
        <v>0.0</v>
      </c>
      <c r="DN282" s="31">
        <v>0.0</v>
      </c>
      <c r="DO282" s="31">
        <v>0.0</v>
      </c>
      <c r="DP282" s="31">
        <v>0.0</v>
      </c>
      <c r="DQ282" s="31">
        <v>0.0</v>
      </c>
      <c r="DR282" s="31">
        <v>0.0</v>
      </c>
      <c r="DS282" s="31">
        <v>0.0</v>
      </c>
      <c r="DT282" s="31">
        <f>'Old Balance Sheet'!AC282</f>
        <v>0</v>
      </c>
      <c r="DU282" s="31">
        <f>DT282 + SUMIFS('Payments Log'!D:D, 'Payments Log'!B:B, A282, 'Payments Log'!L:L, "Approved", 'Payments Log'!M:M, "Credit") + 'Old Balance Sheet'!AD282 - 'Old Balance Sheet'!AC282</f>
        <v>0</v>
      </c>
      <c r="DV282" s="31">
        <f>SUMIFS('Payments Log'!D:D, 'Payments Log'!B:B, A282, 'Payments Log'!L:L, "Approved", 'Payments Log'!M:M, "Adjustment Credit") - SUMIFS('Payments Log'!D:D, 'Payments Log'!B:B, A282, 'Payments Log'!L:L, "Approved", 'Payments Log'!M:M, "Adjustment Debit") + 'Old Balance Sheet'!AE282</f>
        <v>0</v>
      </c>
      <c r="DW282" s="31">
        <f>IF(MAXIFS('Payments Log'!N:N, 'Payments Log'!L:L, "Approved", 'Payments Log'!M:M, "Credit", 'Payments Log'!B:B, A282) &gt; MAXIFS('Payments Log'!N:N, 'Payments Log'!L:L, "Approved", 'Payments Log'!M:M, "Virtual Credit", 'Payments Log'!B:B, A282), 0, SUMIFS('Payments Log'!D:D, 'Payments Log'!N:N, MAXIFS('Payments Log'!N:N, 'Payments Log'!L:L, "Approved", 'Payments Log'!M:M, "Virtual Credit", 'Payments Log'!B:B, A282)))</f>
        <v>0</v>
      </c>
      <c r="DX282" s="33">
        <f t="shared" si="6"/>
        <v>0</v>
      </c>
      <c r="DY282" s="33">
        <f t="shared" si="7"/>
        <v>0</v>
      </c>
      <c r="DZ282" s="33">
        <f t="shared" si="8"/>
        <v>0</v>
      </c>
      <c r="EA282" s="25" t="str">
        <f>(Sheet1!N282)</f>
        <v>Gupta Automobiles - Padrauna</v>
      </c>
      <c r="EB282" s="25" t="str">
        <f>(Sheet1!O282)</f>
        <v>1Ql_6BdBcHGAyITSZt1pNUK3bW54CzeThIBXr7aH7K3Y</v>
      </c>
      <c r="EC282" s="26" t="str">
        <f>(Sheet1!P282)</f>
        <v>Sub Dealer</v>
      </c>
      <c r="ED282" s="34" t="s">
        <v>13</v>
      </c>
    </row>
    <row r="283">
      <c r="A283" s="26" t="str">
        <f>(Sheet1!A283)</f>
        <v>1j6kSc9K8tCblFNSj_E0V1RN6vamZO2mUImuRcmAEmTA</v>
      </c>
      <c r="B283" s="26" t="str">
        <f>(Sheet1!B283)</f>
        <v>Gautam Automobiles (GA) - Bodarwar</v>
      </c>
      <c r="C283" s="34" t="s">
        <v>13</v>
      </c>
      <c r="D283" s="34" t="s">
        <v>72</v>
      </c>
      <c r="E283" s="34" t="s">
        <v>3817</v>
      </c>
      <c r="F283" s="34">
        <v>175.0</v>
      </c>
      <c r="G283" s="34" t="s">
        <v>3818</v>
      </c>
      <c r="H283" s="34">
        <v>100.0</v>
      </c>
      <c r="I283" s="33">
        <f>'Old Balance Sheet'!A283 + 'ACPL Calculations - 1.0'!A283 + 'ACPL Calculations - 2.0'!A283</f>
        <v>117</v>
      </c>
      <c r="J283" s="34" t="s">
        <v>3820</v>
      </c>
      <c r="K283" s="34">
        <v>205.0</v>
      </c>
      <c r="L283" s="34" t="s">
        <v>3818</v>
      </c>
      <c r="M283" s="34">
        <v>100.0</v>
      </c>
      <c r="N283" s="33">
        <f>'Old Balance Sheet'!B283 + 'ACPL Calculations - 1.0'!B283 + 'ACPL Calculations - 2.0'!B283</f>
        <v>0</v>
      </c>
      <c r="O283" s="34" t="s">
        <v>3820</v>
      </c>
      <c r="P283" s="34">
        <v>290.0</v>
      </c>
      <c r="Q283" s="34" t="s">
        <v>3818</v>
      </c>
      <c r="R283" s="34">
        <v>100.0</v>
      </c>
      <c r="S283" s="33">
        <f>'Old Balance Sheet'!C283 + 'ACPL Calculations - 1.0'!C283 + 'ACPL Calculations - 2.0'!C283</f>
        <v>0</v>
      </c>
      <c r="T283" s="34" t="s">
        <v>3820</v>
      </c>
      <c r="U283" s="34">
        <v>375.0</v>
      </c>
      <c r="V283" s="34" t="s">
        <v>3818</v>
      </c>
      <c r="W283" s="34">
        <v>100.0</v>
      </c>
      <c r="X283" s="33">
        <f>'Old Balance Sheet'!D283 + 'ACPL Calculations - 1.0'!D283 + 'ACPL Calculations - 2.0'!D283</f>
        <v>0</v>
      </c>
      <c r="Y283" s="34" t="s">
        <v>3820</v>
      </c>
      <c r="Z283" s="34">
        <v>460.0</v>
      </c>
      <c r="AA283" s="32" t="s">
        <v>3818</v>
      </c>
      <c r="AB283" s="31">
        <v>100.0</v>
      </c>
      <c r="AC283" s="33">
        <f>'Old Balance Sheet'!E283 + 'ACPL Calculations - 1.0'!E283 + 'ACPL Calculations - 2.0'!E283</f>
        <v>0</v>
      </c>
      <c r="AD283" s="34" t="s">
        <v>3820</v>
      </c>
      <c r="AE283" s="34">
        <v>838.99</v>
      </c>
      <c r="AF283" s="32" t="s">
        <v>3818</v>
      </c>
      <c r="AG283" s="31">
        <v>100.0</v>
      </c>
      <c r="AH283" s="33">
        <f>'Old Balance Sheet'!F283 + 'ACPL Calculations - 1.0'!F283 + 'ACPL Calculations - 2.0'!F283</f>
        <v>0</v>
      </c>
      <c r="AI283" s="34" t="s">
        <v>3820</v>
      </c>
      <c r="AJ283" s="34">
        <v>375.0</v>
      </c>
      <c r="AK283" s="32" t="s">
        <v>3818</v>
      </c>
      <c r="AL283" s="31">
        <v>100.0</v>
      </c>
      <c r="AM283" s="33">
        <f>'Old Balance Sheet'!G283 + 'ACPL Calculations - 1.0'!G283 + 'ACPL Calculations - 2.0'!G283</f>
        <v>0</v>
      </c>
      <c r="AN283" s="34" t="s">
        <v>3820</v>
      </c>
      <c r="AO283" s="34">
        <v>290.0</v>
      </c>
      <c r="AP283" s="32" t="s">
        <v>3818</v>
      </c>
      <c r="AQ283" s="31">
        <v>100.0</v>
      </c>
      <c r="AR283" s="33">
        <f>'Old Balance Sheet'!H283 + 'ACPL Calculations - 1.0'!H283 + 'ACPL Calculations - 2.0'!H283</f>
        <v>0</v>
      </c>
      <c r="AS283" s="34" t="s">
        <v>3819</v>
      </c>
      <c r="AT283" s="34">
        <v>838.99</v>
      </c>
      <c r="AU283" s="32" t="s">
        <v>3818</v>
      </c>
      <c r="AV283" s="31">
        <v>100.0</v>
      </c>
      <c r="AW283" s="33">
        <f>'Old Balance Sheet'!I283 + 'ACPL Calculations - 1.0'!I283 + 'ACPL Calculations - 2.0'!I283</f>
        <v>0</v>
      </c>
      <c r="AX283" s="34" t="s">
        <v>3820</v>
      </c>
      <c r="AY283" s="34">
        <v>290.0</v>
      </c>
      <c r="AZ283" s="32" t="s">
        <v>3818</v>
      </c>
      <c r="BA283" s="31">
        <v>100.0</v>
      </c>
      <c r="BB283" s="33">
        <f>'Old Balance Sheet'!J283 + 'ACPL Calculations - 1.0'!J283 + 'ACPL Calculations - 2.0'!J283</f>
        <v>0</v>
      </c>
      <c r="BC283" s="34" t="s">
        <v>3820</v>
      </c>
      <c r="BD283" s="34">
        <v>205.0</v>
      </c>
      <c r="BE283" s="32" t="s">
        <v>3818</v>
      </c>
      <c r="BF283" s="31">
        <v>100.0</v>
      </c>
      <c r="BG283" s="33">
        <f>'Old Balance Sheet'!K283 + 'ACPL Calculations - 1.0'!K283 + 'ACPL Calculations - 2.0'!K283</f>
        <v>0</v>
      </c>
      <c r="BH283" s="34" t="s">
        <v>3820</v>
      </c>
      <c r="BI283" s="34">
        <v>205.0</v>
      </c>
      <c r="BJ283" s="32" t="s">
        <v>3818</v>
      </c>
      <c r="BK283" s="31">
        <v>100.0</v>
      </c>
      <c r="BL283" s="33">
        <f>'Old Balance Sheet'!L283 + 'ACPL Calculations - 1.0'!L283 + 'ACPL Calculations - 2.0'!L283</f>
        <v>0</v>
      </c>
      <c r="CL283" s="33">
        <f t="shared" si="1"/>
        <v>117</v>
      </c>
      <c r="CM283" s="33">
        <f>'Old Balance Sheet'!R283 + 'ACPL Calculations - 1.0'!S283 + 'ACPL Calculations - 2.0'!S283</f>
        <v>51714</v>
      </c>
      <c r="CN283" s="33">
        <f>'Old Balance Sheet'!S283 + 'ACPL Calculations - 1.0'!T283 + 'ACPL Calculations - 2.0'!T283</f>
        <v>20734</v>
      </c>
      <c r="CO283" s="33">
        <f t="shared" si="2"/>
        <v>28622.14</v>
      </c>
      <c r="CP283" s="33">
        <f>'Old Balance Sheet'!T283 + 'ACPL Calculations - 1.0'!V283 + 'ACPL Calculations - 2.0'!V283</f>
        <v>0</v>
      </c>
      <c r="CQ283" s="33">
        <f>'Old Balance Sheet'!U283 + 'ACPL Calculations - 1.0'!W283 + 'ACPL Calculations - 2.0'!W283</f>
        <v>0</v>
      </c>
      <c r="CR283" s="33">
        <f>'Old Balance Sheet'!V283 + 'ACPL Calculations - 1.0'!X283 + 'ACPL Calculations - 2.0'!X283</f>
        <v>7888.14</v>
      </c>
      <c r="CS283" s="33">
        <f t="shared" si="3"/>
        <v>7888.14</v>
      </c>
      <c r="CT283" s="35"/>
      <c r="CU283" s="35"/>
      <c r="CV283" s="35"/>
      <c r="CW283" s="36">
        <f>'Old Balance Sheet'!W283 + 'ACPL Calculations - 1.0'!Z283 + 'ACPL Calculations - 2.0'!Z283</f>
        <v>0</v>
      </c>
      <c r="CX283" s="36">
        <f>'Old Balance Sheet'!X283 + 'ACPL Calculations - 1.0'!AA283 + 'ACPL Calculations - 2.0'!AA283</f>
        <v>0</v>
      </c>
      <c r="CY283" s="37">
        <v>0.0</v>
      </c>
      <c r="CZ283" s="38">
        <f>'Old Balance Sheet'!Y283 + 'ACPL Calculations - 1.0'!AB283 + 'ACPL Calculations - 2.0'!AB283</f>
        <v>0</v>
      </c>
      <c r="DA283" s="38">
        <f>'Old Balance Sheet'!Z283 + 'ACPL Calculations - 1.0'!AC283 + 'ACPL Calculations - 2.0'!AC283</f>
        <v>0</v>
      </c>
      <c r="DB283" s="38">
        <f>'Old Balance Sheet'!AA283 + 'ACPL Calculations - 1.0'!AD283 + 'ACPL Calculations - 2.0'!AD283</f>
        <v>0</v>
      </c>
      <c r="DC283" s="38">
        <f>'Old Balance Sheet'!AB283 + 'ACPL Calculations - 1.0'!AE283 + 'ACPL Calculations - 2.0'!AE283</f>
        <v>0</v>
      </c>
      <c r="DD283" s="38">
        <f t="shared" si="4"/>
        <v>0</v>
      </c>
      <c r="DE283" s="33">
        <f t="shared" si="5"/>
        <v>0</v>
      </c>
      <c r="DF283" s="35">
        <v>0.0</v>
      </c>
      <c r="DG283" s="35">
        <v>0.0</v>
      </c>
      <c r="DH283" s="35">
        <v>0.0</v>
      </c>
      <c r="DI283" s="35">
        <v>0.0</v>
      </c>
      <c r="DJ283" s="35">
        <v>0.0</v>
      </c>
      <c r="DK283" s="35">
        <v>0.0</v>
      </c>
      <c r="DL283" s="35">
        <v>0.0</v>
      </c>
      <c r="DM283" s="35">
        <v>0.0</v>
      </c>
      <c r="DN283" s="31">
        <v>0.0</v>
      </c>
      <c r="DO283" s="31">
        <v>0.0</v>
      </c>
      <c r="DP283" s="31">
        <v>0.0</v>
      </c>
      <c r="DQ283" s="31">
        <v>0.0</v>
      </c>
      <c r="DR283" s="31">
        <v>0.0</v>
      </c>
      <c r="DS283" s="31">
        <v>0.0</v>
      </c>
      <c r="DT283" s="31">
        <f>'Old Balance Sheet'!AC283</f>
        <v>0</v>
      </c>
      <c r="DU283" s="31">
        <f>DT283 + SUMIFS('Payments Log'!D:D, 'Payments Log'!B:B, A283, 'Payments Log'!L:L, "Approved", 'Payments Log'!M:M, "Credit") + 'Old Balance Sheet'!AD283 - 'Old Balance Sheet'!AC283</f>
        <v>0</v>
      </c>
      <c r="DV283" s="31">
        <f>SUMIFS('Payments Log'!D:D, 'Payments Log'!B:B, A283, 'Payments Log'!L:L, "Approved", 'Payments Log'!M:M, "Adjustment Credit") - SUMIFS('Payments Log'!D:D, 'Payments Log'!B:B, A283, 'Payments Log'!L:L, "Approved", 'Payments Log'!M:M, "Adjustment Debit") + 'Old Balance Sheet'!AE283</f>
        <v>0</v>
      </c>
      <c r="DW283" s="31">
        <f>IF(MAXIFS('Payments Log'!N:N, 'Payments Log'!L:L, "Approved", 'Payments Log'!M:M, "Credit", 'Payments Log'!B:B, A283) &gt; MAXIFS('Payments Log'!N:N, 'Payments Log'!L:L, "Approved", 'Payments Log'!M:M, "Virtual Credit", 'Payments Log'!B:B, A283), 0, SUMIFS('Payments Log'!D:D, 'Payments Log'!N:N, MAXIFS('Payments Log'!N:N, 'Payments Log'!L:L, "Approved", 'Payments Log'!M:M, "Virtual Credit", 'Payments Log'!B:B, A283)))</f>
        <v>0</v>
      </c>
      <c r="DX283" s="33">
        <f t="shared" si="6"/>
        <v>0</v>
      </c>
      <c r="DY283" s="33">
        <f t="shared" si="7"/>
        <v>0</v>
      </c>
      <c r="DZ283" s="33">
        <f t="shared" si="8"/>
        <v>0</v>
      </c>
      <c r="EA283" s="25" t="str">
        <f>(Sheet1!N283)</f>
        <v>Gupta Automobiles - Padrauna</v>
      </c>
      <c r="EB283" s="25" t="str">
        <f>(Sheet1!O283)</f>
        <v>1Ql_6BdBcHGAyITSZt1pNUK3bW54CzeThIBXr7aH7K3Y</v>
      </c>
      <c r="EC283" s="26" t="str">
        <f>(Sheet1!P283)</f>
        <v>Sub Dealer</v>
      </c>
      <c r="ED283" s="34" t="s">
        <v>13</v>
      </c>
    </row>
    <row r="284">
      <c r="A284" s="26" t="str">
        <f>(Sheet1!A284)</f>
        <v>1fv8dWFkW6b7Hzi-3JpJOz2oZJtF8mmvQvdvX2JWmNEQ</v>
      </c>
      <c r="B284" s="26" t="str">
        <f>(Sheet1!B284)</f>
        <v>Ditya Automobiles - Samaur Bazar</v>
      </c>
      <c r="C284" s="34" t="s">
        <v>13</v>
      </c>
      <c r="D284" s="34" t="s">
        <v>72</v>
      </c>
      <c r="E284" s="34" t="s">
        <v>3817</v>
      </c>
      <c r="F284" s="34">
        <v>175.0</v>
      </c>
      <c r="G284" s="34" t="s">
        <v>3818</v>
      </c>
      <c r="H284" s="34">
        <v>100.0</v>
      </c>
      <c r="I284" s="33">
        <f>'Old Balance Sheet'!A284 + 'ACPL Calculations - 1.0'!A284 + 'ACPL Calculations - 2.0'!A284</f>
        <v>283</v>
      </c>
      <c r="J284" s="34" t="s">
        <v>3820</v>
      </c>
      <c r="K284" s="34">
        <v>205.0</v>
      </c>
      <c r="L284" s="34" t="s">
        <v>3818</v>
      </c>
      <c r="M284" s="34">
        <v>100.0</v>
      </c>
      <c r="N284" s="33">
        <f>'Old Balance Sheet'!B284 + 'ACPL Calculations - 1.0'!B284 + 'ACPL Calculations - 2.0'!B284</f>
        <v>0</v>
      </c>
      <c r="O284" s="34" t="s">
        <v>3820</v>
      </c>
      <c r="P284" s="34">
        <v>290.0</v>
      </c>
      <c r="Q284" s="34" t="s">
        <v>3818</v>
      </c>
      <c r="R284" s="34">
        <v>100.0</v>
      </c>
      <c r="S284" s="33">
        <f>'Old Balance Sheet'!C284 + 'ACPL Calculations - 1.0'!C284 + 'ACPL Calculations - 2.0'!C284</f>
        <v>0</v>
      </c>
      <c r="T284" s="34" t="s">
        <v>3820</v>
      </c>
      <c r="U284" s="34">
        <v>375.0</v>
      </c>
      <c r="V284" s="34" t="s">
        <v>3818</v>
      </c>
      <c r="W284" s="34">
        <v>100.0</v>
      </c>
      <c r="X284" s="33">
        <f>'Old Balance Sheet'!D284 + 'ACPL Calculations - 1.0'!D284 + 'ACPL Calculations - 2.0'!D284</f>
        <v>0</v>
      </c>
      <c r="Y284" s="34" t="s">
        <v>3820</v>
      </c>
      <c r="Z284" s="34">
        <v>460.0</v>
      </c>
      <c r="AA284" s="32" t="s">
        <v>3818</v>
      </c>
      <c r="AB284" s="31">
        <v>100.0</v>
      </c>
      <c r="AC284" s="33">
        <f>'Old Balance Sheet'!E284 + 'ACPL Calculations - 1.0'!E284 + 'ACPL Calculations - 2.0'!E284</f>
        <v>0</v>
      </c>
      <c r="AD284" s="34" t="s">
        <v>3820</v>
      </c>
      <c r="AE284" s="34">
        <v>838.99</v>
      </c>
      <c r="AF284" s="32" t="s">
        <v>3818</v>
      </c>
      <c r="AG284" s="31">
        <v>100.0</v>
      </c>
      <c r="AH284" s="33">
        <f>'Old Balance Sheet'!F284 + 'ACPL Calculations - 1.0'!F284 + 'ACPL Calculations - 2.0'!F284</f>
        <v>0</v>
      </c>
      <c r="AI284" s="34" t="s">
        <v>3820</v>
      </c>
      <c r="AJ284" s="34">
        <v>375.0</v>
      </c>
      <c r="AK284" s="32" t="s">
        <v>3818</v>
      </c>
      <c r="AL284" s="31">
        <v>100.0</v>
      </c>
      <c r="AM284" s="33">
        <f>'Old Balance Sheet'!G284 + 'ACPL Calculations - 1.0'!G284 + 'ACPL Calculations - 2.0'!G284</f>
        <v>0</v>
      </c>
      <c r="AN284" s="34" t="s">
        <v>3820</v>
      </c>
      <c r="AO284" s="34">
        <v>290.0</v>
      </c>
      <c r="AP284" s="32" t="s">
        <v>3818</v>
      </c>
      <c r="AQ284" s="31">
        <v>100.0</v>
      </c>
      <c r="AR284" s="33">
        <f>'Old Balance Sheet'!H284 + 'ACPL Calculations - 1.0'!H284 + 'ACPL Calculations - 2.0'!H284</f>
        <v>0</v>
      </c>
      <c r="AS284" s="34" t="s">
        <v>3819</v>
      </c>
      <c r="AT284" s="34">
        <v>838.99</v>
      </c>
      <c r="AU284" s="32" t="s">
        <v>3818</v>
      </c>
      <c r="AV284" s="31">
        <v>100.0</v>
      </c>
      <c r="AW284" s="33">
        <f>'Old Balance Sheet'!I284 + 'ACPL Calculations - 1.0'!I284 + 'ACPL Calculations - 2.0'!I284</f>
        <v>0</v>
      </c>
      <c r="AX284" s="34" t="s">
        <v>3820</v>
      </c>
      <c r="AY284" s="34">
        <v>290.0</v>
      </c>
      <c r="AZ284" s="32" t="s">
        <v>3818</v>
      </c>
      <c r="BA284" s="31">
        <v>100.0</v>
      </c>
      <c r="BB284" s="33">
        <f>'Old Balance Sheet'!J284 + 'ACPL Calculations - 1.0'!J284 + 'ACPL Calculations - 2.0'!J284</f>
        <v>0</v>
      </c>
      <c r="BC284" s="34" t="s">
        <v>3820</v>
      </c>
      <c r="BD284" s="34">
        <v>205.0</v>
      </c>
      <c r="BE284" s="32" t="s">
        <v>3818</v>
      </c>
      <c r="BF284" s="31">
        <v>100.0</v>
      </c>
      <c r="BG284" s="33">
        <f>'Old Balance Sheet'!K284 + 'ACPL Calculations - 1.0'!K284 + 'ACPL Calculations - 2.0'!K284</f>
        <v>0</v>
      </c>
      <c r="BH284" s="34" t="s">
        <v>3820</v>
      </c>
      <c r="BI284" s="34">
        <v>205.0</v>
      </c>
      <c r="BJ284" s="32" t="s">
        <v>3818</v>
      </c>
      <c r="BK284" s="31">
        <v>100.0</v>
      </c>
      <c r="BL284" s="33">
        <f>'Old Balance Sheet'!L284 + 'ACPL Calculations - 1.0'!L284 + 'ACPL Calculations - 2.0'!L284</f>
        <v>0</v>
      </c>
      <c r="CL284" s="33">
        <f t="shared" si="1"/>
        <v>283</v>
      </c>
      <c r="CM284" s="33">
        <f>'Old Balance Sheet'!R284 + 'ACPL Calculations - 1.0'!S284 + 'ACPL Calculations - 2.0'!S284</f>
        <v>125086</v>
      </c>
      <c r="CN284" s="33">
        <f>'Old Balance Sheet'!S284 + 'ACPL Calculations - 1.0'!T284 + 'ACPL Calculations - 2.0'!T284</f>
        <v>50098</v>
      </c>
      <c r="CO284" s="33">
        <f t="shared" si="2"/>
        <v>69177.86</v>
      </c>
      <c r="CP284" s="33">
        <f>'Old Balance Sheet'!T284 + 'ACPL Calculations - 1.0'!V284 + 'ACPL Calculations - 2.0'!V284</f>
        <v>0</v>
      </c>
      <c r="CQ284" s="33">
        <f>'Old Balance Sheet'!U284 + 'ACPL Calculations - 1.0'!W284 + 'ACPL Calculations - 2.0'!W284</f>
        <v>0</v>
      </c>
      <c r="CR284" s="33">
        <f>'Old Balance Sheet'!V284 + 'ACPL Calculations - 1.0'!X284 + 'ACPL Calculations - 2.0'!X284</f>
        <v>19079.86</v>
      </c>
      <c r="CS284" s="33">
        <f t="shared" si="3"/>
        <v>19079.86</v>
      </c>
      <c r="CT284" s="35"/>
      <c r="CU284" s="35"/>
      <c r="CV284" s="35"/>
      <c r="CW284" s="36">
        <f>'Old Balance Sheet'!W284 + 'ACPL Calculations - 1.0'!Z284 + 'ACPL Calculations - 2.0'!Z284</f>
        <v>0</v>
      </c>
      <c r="CX284" s="36">
        <f>'Old Balance Sheet'!X284 + 'ACPL Calculations - 1.0'!AA284 + 'ACPL Calculations - 2.0'!AA284</f>
        <v>0</v>
      </c>
      <c r="CY284" s="37">
        <v>0.0</v>
      </c>
      <c r="CZ284" s="38">
        <f>'Old Balance Sheet'!Y284 + 'ACPL Calculations - 1.0'!AB284 + 'ACPL Calculations - 2.0'!AB284</f>
        <v>0</v>
      </c>
      <c r="DA284" s="38">
        <f>'Old Balance Sheet'!Z284 + 'ACPL Calculations - 1.0'!AC284 + 'ACPL Calculations - 2.0'!AC284</f>
        <v>0</v>
      </c>
      <c r="DB284" s="38">
        <f>'Old Balance Sheet'!AA284 + 'ACPL Calculations - 1.0'!AD284 + 'ACPL Calculations - 2.0'!AD284</f>
        <v>0</v>
      </c>
      <c r="DC284" s="38">
        <f>'Old Balance Sheet'!AB284 + 'ACPL Calculations - 1.0'!AE284 + 'ACPL Calculations - 2.0'!AE284</f>
        <v>0</v>
      </c>
      <c r="DD284" s="38">
        <f t="shared" si="4"/>
        <v>0</v>
      </c>
      <c r="DE284" s="33">
        <f t="shared" si="5"/>
        <v>0</v>
      </c>
      <c r="DF284" s="35">
        <v>0.0</v>
      </c>
      <c r="DG284" s="35">
        <v>0.0</v>
      </c>
      <c r="DH284" s="35">
        <v>0.0</v>
      </c>
      <c r="DI284" s="35">
        <v>0.0</v>
      </c>
      <c r="DJ284" s="35">
        <v>0.0</v>
      </c>
      <c r="DK284" s="35">
        <v>0.0</v>
      </c>
      <c r="DL284" s="35">
        <v>0.0</v>
      </c>
      <c r="DM284" s="35">
        <v>0.0</v>
      </c>
      <c r="DN284" s="31">
        <v>0.0</v>
      </c>
      <c r="DO284" s="31">
        <v>0.0</v>
      </c>
      <c r="DP284" s="31">
        <v>0.0</v>
      </c>
      <c r="DQ284" s="31">
        <v>0.0</v>
      </c>
      <c r="DR284" s="31">
        <v>0.0</v>
      </c>
      <c r="DS284" s="31">
        <v>0.0</v>
      </c>
      <c r="DT284" s="31">
        <f>'Old Balance Sheet'!AC284</f>
        <v>0</v>
      </c>
      <c r="DU284" s="31">
        <f>DT284 + SUMIFS('Payments Log'!D:D, 'Payments Log'!B:B, A284, 'Payments Log'!L:L, "Approved", 'Payments Log'!M:M, "Credit") + 'Old Balance Sheet'!AD284 - 'Old Balance Sheet'!AC284</f>
        <v>0</v>
      </c>
      <c r="DV284" s="31">
        <f>SUMIFS('Payments Log'!D:D, 'Payments Log'!B:B, A284, 'Payments Log'!L:L, "Approved", 'Payments Log'!M:M, "Adjustment Credit") - SUMIFS('Payments Log'!D:D, 'Payments Log'!B:B, A284, 'Payments Log'!L:L, "Approved", 'Payments Log'!M:M, "Adjustment Debit") + 'Old Balance Sheet'!AE284</f>
        <v>0</v>
      </c>
      <c r="DW284" s="31">
        <f>IF(MAXIFS('Payments Log'!N:N, 'Payments Log'!L:L, "Approved", 'Payments Log'!M:M, "Credit", 'Payments Log'!B:B, A284) &gt; MAXIFS('Payments Log'!N:N, 'Payments Log'!L:L, "Approved", 'Payments Log'!M:M, "Virtual Credit", 'Payments Log'!B:B, A284), 0, SUMIFS('Payments Log'!D:D, 'Payments Log'!N:N, MAXIFS('Payments Log'!N:N, 'Payments Log'!L:L, "Approved", 'Payments Log'!M:M, "Virtual Credit", 'Payments Log'!B:B, A284)))</f>
        <v>0</v>
      </c>
      <c r="DX284" s="33">
        <f t="shared" si="6"/>
        <v>0</v>
      </c>
      <c r="DY284" s="33">
        <f t="shared" si="7"/>
        <v>0</v>
      </c>
      <c r="DZ284" s="33">
        <f t="shared" si="8"/>
        <v>0</v>
      </c>
      <c r="EA284" s="25" t="str">
        <f>(Sheet1!N284)</f>
        <v>Gupta Automobiles - Padrauna</v>
      </c>
      <c r="EB284" s="25" t="str">
        <f>(Sheet1!O284)</f>
        <v>1Ql_6BdBcHGAyITSZt1pNUK3bW54CzeThIBXr7aH7K3Y</v>
      </c>
      <c r="EC284" s="26" t="str">
        <f>(Sheet1!P284)</f>
        <v>Sub Dealer</v>
      </c>
      <c r="ED284" s="34" t="s">
        <v>13</v>
      </c>
    </row>
    <row r="285">
      <c r="A285" s="26" t="str">
        <f>(Sheet1!A285)</f>
        <v>1W3-jZjI2u0tVYh2hYKl3zGL5m_jhz5IRzXYj0clftmM</v>
      </c>
      <c r="B285" s="26" t="str">
        <f>(Sheet1!B285)</f>
        <v>Shiv Automobiles (GA) - Sukrauli</v>
      </c>
      <c r="C285" s="34" t="s">
        <v>13</v>
      </c>
      <c r="D285" s="34" t="s">
        <v>72</v>
      </c>
      <c r="E285" s="34" t="s">
        <v>3817</v>
      </c>
      <c r="F285" s="34">
        <v>175.0</v>
      </c>
      <c r="G285" s="34" t="s">
        <v>3818</v>
      </c>
      <c r="H285" s="34">
        <v>100.0</v>
      </c>
      <c r="I285" s="33">
        <f>'Old Balance Sheet'!A285 + 'ACPL Calculations - 1.0'!A285 + 'ACPL Calculations - 2.0'!A285</f>
        <v>71</v>
      </c>
      <c r="J285" s="34" t="s">
        <v>3820</v>
      </c>
      <c r="K285" s="34">
        <v>205.0</v>
      </c>
      <c r="L285" s="34" t="s">
        <v>3818</v>
      </c>
      <c r="M285" s="34">
        <v>100.0</v>
      </c>
      <c r="N285" s="33">
        <f>'Old Balance Sheet'!B285 + 'ACPL Calculations - 1.0'!B285 + 'ACPL Calculations - 2.0'!B285</f>
        <v>0</v>
      </c>
      <c r="O285" s="34" t="s">
        <v>3820</v>
      </c>
      <c r="P285" s="34">
        <v>290.0</v>
      </c>
      <c r="Q285" s="34" t="s">
        <v>3818</v>
      </c>
      <c r="R285" s="34">
        <v>100.0</v>
      </c>
      <c r="S285" s="33">
        <f>'Old Balance Sheet'!C285 + 'ACPL Calculations - 1.0'!C285 + 'ACPL Calculations - 2.0'!C285</f>
        <v>0</v>
      </c>
      <c r="T285" s="34" t="s">
        <v>3820</v>
      </c>
      <c r="U285" s="34">
        <v>375.0</v>
      </c>
      <c r="V285" s="34" t="s">
        <v>3818</v>
      </c>
      <c r="W285" s="34">
        <v>100.0</v>
      </c>
      <c r="X285" s="33">
        <f>'Old Balance Sheet'!D285 + 'ACPL Calculations - 1.0'!D285 + 'ACPL Calculations - 2.0'!D285</f>
        <v>0</v>
      </c>
      <c r="Y285" s="34" t="s">
        <v>3820</v>
      </c>
      <c r="Z285" s="34">
        <v>460.0</v>
      </c>
      <c r="AA285" s="32" t="s">
        <v>3818</v>
      </c>
      <c r="AB285" s="31">
        <v>100.0</v>
      </c>
      <c r="AC285" s="33">
        <f>'Old Balance Sheet'!E285 + 'ACPL Calculations - 1.0'!E285 + 'ACPL Calculations - 2.0'!E285</f>
        <v>0</v>
      </c>
      <c r="AD285" s="34" t="s">
        <v>3820</v>
      </c>
      <c r="AE285" s="34">
        <v>838.99</v>
      </c>
      <c r="AF285" s="32" t="s">
        <v>3818</v>
      </c>
      <c r="AG285" s="31">
        <v>100.0</v>
      </c>
      <c r="AH285" s="33">
        <f>'Old Balance Sheet'!F285 + 'ACPL Calculations - 1.0'!F285 + 'ACPL Calculations - 2.0'!F285</f>
        <v>0</v>
      </c>
      <c r="AI285" s="34" t="s">
        <v>3820</v>
      </c>
      <c r="AJ285" s="34">
        <v>375.0</v>
      </c>
      <c r="AK285" s="32" t="s">
        <v>3818</v>
      </c>
      <c r="AL285" s="31">
        <v>100.0</v>
      </c>
      <c r="AM285" s="33">
        <f>'Old Balance Sheet'!G285 + 'ACPL Calculations - 1.0'!G285 + 'ACPL Calculations - 2.0'!G285</f>
        <v>0</v>
      </c>
      <c r="AN285" s="34" t="s">
        <v>3820</v>
      </c>
      <c r="AO285" s="34">
        <v>290.0</v>
      </c>
      <c r="AP285" s="32" t="s">
        <v>3818</v>
      </c>
      <c r="AQ285" s="31">
        <v>100.0</v>
      </c>
      <c r="AR285" s="33">
        <f>'Old Balance Sheet'!H285 + 'ACPL Calculations - 1.0'!H285 + 'ACPL Calculations - 2.0'!H285</f>
        <v>0</v>
      </c>
      <c r="AS285" s="34" t="s">
        <v>3819</v>
      </c>
      <c r="AT285" s="34">
        <v>838.99</v>
      </c>
      <c r="AU285" s="32" t="s">
        <v>3818</v>
      </c>
      <c r="AV285" s="31">
        <v>100.0</v>
      </c>
      <c r="AW285" s="33">
        <f>'Old Balance Sheet'!I285 + 'ACPL Calculations - 1.0'!I285 + 'ACPL Calculations - 2.0'!I285</f>
        <v>0</v>
      </c>
      <c r="AX285" s="34" t="s">
        <v>3820</v>
      </c>
      <c r="AY285" s="34">
        <v>290.0</v>
      </c>
      <c r="AZ285" s="32" t="s">
        <v>3818</v>
      </c>
      <c r="BA285" s="31">
        <v>100.0</v>
      </c>
      <c r="BB285" s="33">
        <f>'Old Balance Sheet'!J285 + 'ACPL Calculations - 1.0'!J285 + 'ACPL Calculations - 2.0'!J285</f>
        <v>0</v>
      </c>
      <c r="BC285" s="34" t="s">
        <v>3820</v>
      </c>
      <c r="BD285" s="34">
        <v>205.0</v>
      </c>
      <c r="BE285" s="32" t="s">
        <v>3818</v>
      </c>
      <c r="BF285" s="31">
        <v>100.0</v>
      </c>
      <c r="BG285" s="33">
        <f>'Old Balance Sheet'!K285 + 'ACPL Calculations - 1.0'!K285 + 'ACPL Calculations - 2.0'!K285</f>
        <v>0</v>
      </c>
      <c r="BH285" s="34" t="s">
        <v>3820</v>
      </c>
      <c r="BI285" s="34">
        <v>205.0</v>
      </c>
      <c r="BJ285" s="32" t="s">
        <v>3818</v>
      </c>
      <c r="BK285" s="31">
        <v>100.0</v>
      </c>
      <c r="BL285" s="33">
        <f>'Old Balance Sheet'!L285 + 'ACPL Calculations - 1.0'!L285 + 'ACPL Calculations - 2.0'!L285</f>
        <v>0</v>
      </c>
      <c r="CL285" s="33">
        <f t="shared" si="1"/>
        <v>71</v>
      </c>
      <c r="CM285" s="33">
        <f>'Old Balance Sheet'!R285 + 'ACPL Calculations - 1.0'!S285 + 'ACPL Calculations - 2.0'!S285</f>
        <v>31382</v>
      </c>
      <c r="CN285" s="33">
        <f>'Old Balance Sheet'!S285 + 'ACPL Calculations - 1.0'!T285 + 'ACPL Calculations - 2.0'!T285</f>
        <v>12105</v>
      </c>
      <c r="CO285" s="33">
        <f t="shared" si="2"/>
        <v>16891.82</v>
      </c>
      <c r="CP285" s="33">
        <f>'Old Balance Sheet'!T285 + 'ACPL Calculations - 1.0'!V285 + 'ACPL Calculations - 2.0'!V285</f>
        <v>0</v>
      </c>
      <c r="CQ285" s="33">
        <f>'Old Balance Sheet'!U285 + 'ACPL Calculations - 1.0'!W285 + 'ACPL Calculations - 2.0'!W285</f>
        <v>0</v>
      </c>
      <c r="CR285" s="33">
        <f>'Old Balance Sheet'!V285 + 'ACPL Calculations - 1.0'!X285 + 'ACPL Calculations - 2.0'!X285</f>
        <v>4786.82</v>
      </c>
      <c r="CS285" s="33">
        <f t="shared" si="3"/>
        <v>4786.82</v>
      </c>
      <c r="CT285" s="35"/>
      <c r="CU285" s="35"/>
      <c r="CV285" s="35"/>
      <c r="CW285" s="36">
        <f>'Old Balance Sheet'!W285 + 'ACPL Calculations - 1.0'!Z285 + 'ACPL Calculations - 2.0'!Z285</f>
        <v>0</v>
      </c>
      <c r="CX285" s="36">
        <f>'Old Balance Sheet'!X285 + 'ACPL Calculations - 1.0'!AA285 + 'ACPL Calculations - 2.0'!AA285</f>
        <v>0</v>
      </c>
      <c r="CY285" s="37">
        <v>0.0</v>
      </c>
      <c r="CZ285" s="38">
        <f>'Old Balance Sheet'!Y285 + 'ACPL Calculations - 1.0'!AB285 + 'ACPL Calculations - 2.0'!AB285</f>
        <v>0</v>
      </c>
      <c r="DA285" s="38">
        <f>'Old Balance Sheet'!Z285 + 'ACPL Calculations - 1.0'!AC285 + 'ACPL Calculations - 2.0'!AC285</f>
        <v>0</v>
      </c>
      <c r="DB285" s="38">
        <f>'Old Balance Sheet'!AA285 + 'ACPL Calculations - 1.0'!AD285 + 'ACPL Calculations - 2.0'!AD285</f>
        <v>0</v>
      </c>
      <c r="DC285" s="38">
        <f>'Old Balance Sheet'!AB285 + 'ACPL Calculations - 1.0'!AE285 + 'ACPL Calculations - 2.0'!AE285</f>
        <v>0</v>
      </c>
      <c r="DD285" s="38">
        <f t="shared" si="4"/>
        <v>0</v>
      </c>
      <c r="DE285" s="33">
        <f t="shared" si="5"/>
        <v>0</v>
      </c>
      <c r="DF285" s="35">
        <v>0.0</v>
      </c>
      <c r="DG285" s="35">
        <v>0.0</v>
      </c>
      <c r="DH285" s="35">
        <v>0.0</v>
      </c>
      <c r="DI285" s="35">
        <v>0.0</v>
      </c>
      <c r="DJ285" s="35">
        <v>0.0</v>
      </c>
      <c r="DK285" s="35">
        <v>0.0</v>
      </c>
      <c r="DL285" s="35">
        <v>0.0</v>
      </c>
      <c r="DM285" s="35">
        <v>0.0</v>
      </c>
      <c r="DN285" s="31">
        <v>0.0</v>
      </c>
      <c r="DO285" s="31">
        <v>0.0</v>
      </c>
      <c r="DP285" s="31">
        <v>0.0</v>
      </c>
      <c r="DQ285" s="31">
        <v>0.0</v>
      </c>
      <c r="DR285" s="31">
        <v>0.0</v>
      </c>
      <c r="DS285" s="31">
        <v>0.0</v>
      </c>
      <c r="DT285" s="31">
        <f>'Old Balance Sheet'!AC285</f>
        <v>0</v>
      </c>
      <c r="DU285" s="31">
        <f>DT285 + SUMIFS('Payments Log'!D:D, 'Payments Log'!B:B, A285, 'Payments Log'!L:L, "Approved", 'Payments Log'!M:M, "Credit") + 'Old Balance Sheet'!AD285 - 'Old Balance Sheet'!AC285</f>
        <v>0</v>
      </c>
      <c r="DV285" s="31">
        <f>SUMIFS('Payments Log'!D:D, 'Payments Log'!B:B, A285, 'Payments Log'!L:L, "Approved", 'Payments Log'!M:M, "Adjustment Credit") - SUMIFS('Payments Log'!D:D, 'Payments Log'!B:B, A285, 'Payments Log'!L:L, "Approved", 'Payments Log'!M:M, "Adjustment Debit") + 'Old Balance Sheet'!AE285</f>
        <v>0</v>
      </c>
      <c r="DW285" s="31">
        <f>IF(MAXIFS('Payments Log'!N:N, 'Payments Log'!L:L, "Approved", 'Payments Log'!M:M, "Credit", 'Payments Log'!B:B, A285) &gt; MAXIFS('Payments Log'!N:N, 'Payments Log'!L:L, "Approved", 'Payments Log'!M:M, "Virtual Credit", 'Payments Log'!B:B, A285), 0, SUMIFS('Payments Log'!D:D, 'Payments Log'!N:N, MAXIFS('Payments Log'!N:N, 'Payments Log'!L:L, "Approved", 'Payments Log'!M:M, "Virtual Credit", 'Payments Log'!B:B, A285)))</f>
        <v>0</v>
      </c>
      <c r="DX285" s="33">
        <f t="shared" si="6"/>
        <v>0</v>
      </c>
      <c r="DY285" s="33">
        <f t="shared" si="7"/>
        <v>0</v>
      </c>
      <c r="DZ285" s="33">
        <f t="shared" si="8"/>
        <v>0</v>
      </c>
      <c r="EA285" s="25" t="str">
        <f>(Sheet1!N285)</f>
        <v>Gupta Automobiles - Padrauna</v>
      </c>
      <c r="EB285" s="25" t="str">
        <f>(Sheet1!O285)</f>
        <v>1Ql_6BdBcHGAyITSZt1pNUK3bW54CzeThIBXr7aH7K3Y</v>
      </c>
      <c r="EC285" s="26" t="str">
        <f>(Sheet1!P285)</f>
        <v>Sub Dealer</v>
      </c>
      <c r="ED285" s="34" t="s">
        <v>13</v>
      </c>
    </row>
    <row r="286">
      <c r="A286" s="26" t="str">
        <f>(Sheet1!A286)</f>
        <v>1Rt3N-j0r2Em5s4csoiyfu2dZgRIzx0sNXUWimr9m_U4</v>
      </c>
      <c r="B286" s="26" t="str">
        <f>(Sheet1!B286)</f>
        <v>Kanha Motors (GA) - Captainganj</v>
      </c>
      <c r="C286" s="34" t="s">
        <v>13</v>
      </c>
      <c r="D286" s="34" t="s">
        <v>72</v>
      </c>
      <c r="E286" s="34" t="s">
        <v>3817</v>
      </c>
      <c r="F286" s="34">
        <v>175.0</v>
      </c>
      <c r="G286" s="34" t="s">
        <v>3818</v>
      </c>
      <c r="H286" s="34">
        <v>100.0</v>
      </c>
      <c r="I286" s="33">
        <f>'Old Balance Sheet'!A286 + 'ACPL Calculations - 1.0'!A286 + 'ACPL Calculations - 2.0'!A286</f>
        <v>145</v>
      </c>
      <c r="J286" s="34" t="s">
        <v>3820</v>
      </c>
      <c r="K286" s="34">
        <v>205.0</v>
      </c>
      <c r="L286" s="34" t="s">
        <v>3818</v>
      </c>
      <c r="M286" s="34">
        <v>100.0</v>
      </c>
      <c r="N286" s="33">
        <f>'Old Balance Sheet'!B286 + 'ACPL Calculations - 1.0'!B286 + 'ACPL Calculations - 2.0'!B286</f>
        <v>0</v>
      </c>
      <c r="O286" s="34" t="s">
        <v>3820</v>
      </c>
      <c r="P286" s="34">
        <v>290.0</v>
      </c>
      <c r="Q286" s="34" t="s">
        <v>3818</v>
      </c>
      <c r="R286" s="34">
        <v>100.0</v>
      </c>
      <c r="S286" s="33">
        <f>'Old Balance Sheet'!C286 + 'ACPL Calculations - 1.0'!C286 + 'ACPL Calculations - 2.0'!C286</f>
        <v>0</v>
      </c>
      <c r="T286" s="34" t="s">
        <v>3820</v>
      </c>
      <c r="U286" s="34">
        <v>375.0</v>
      </c>
      <c r="V286" s="34" t="s">
        <v>3818</v>
      </c>
      <c r="W286" s="34">
        <v>100.0</v>
      </c>
      <c r="X286" s="33">
        <f>'Old Balance Sheet'!D286 + 'ACPL Calculations - 1.0'!D286 + 'ACPL Calculations - 2.0'!D286</f>
        <v>0</v>
      </c>
      <c r="Y286" s="34" t="s">
        <v>3820</v>
      </c>
      <c r="Z286" s="34">
        <v>460.0</v>
      </c>
      <c r="AA286" s="32" t="s">
        <v>3818</v>
      </c>
      <c r="AB286" s="31">
        <v>100.0</v>
      </c>
      <c r="AC286" s="33">
        <f>'Old Balance Sheet'!E286 + 'ACPL Calculations - 1.0'!E286 + 'ACPL Calculations - 2.0'!E286</f>
        <v>0</v>
      </c>
      <c r="AD286" s="34" t="s">
        <v>3820</v>
      </c>
      <c r="AE286" s="34">
        <v>838.99</v>
      </c>
      <c r="AF286" s="32" t="s">
        <v>3818</v>
      </c>
      <c r="AG286" s="31">
        <v>100.0</v>
      </c>
      <c r="AH286" s="33">
        <f>'Old Balance Sheet'!F286 + 'ACPL Calculations - 1.0'!F286 + 'ACPL Calculations - 2.0'!F286</f>
        <v>0</v>
      </c>
      <c r="AI286" s="34" t="s">
        <v>3820</v>
      </c>
      <c r="AJ286" s="34">
        <v>375.0</v>
      </c>
      <c r="AK286" s="32" t="s">
        <v>3818</v>
      </c>
      <c r="AL286" s="31">
        <v>100.0</v>
      </c>
      <c r="AM286" s="33">
        <f>'Old Balance Sheet'!G286 + 'ACPL Calculations - 1.0'!G286 + 'ACPL Calculations - 2.0'!G286</f>
        <v>0</v>
      </c>
      <c r="AN286" s="34" t="s">
        <v>3820</v>
      </c>
      <c r="AO286" s="34">
        <v>290.0</v>
      </c>
      <c r="AP286" s="32" t="s">
        <v>3818</v>
      </c>
      <c r="AQ286" s="31">
        <v>100.0</v>
      </c>
      <c r="AR286" s="33">
        <f>'Old Balance Sheet'!H286 + 'ACPL Calculations - 1.0'!H286 + 'ACPL Calculations - 2.0'!H286</f>
        <v>0</v>
      </c>
      <c r="AS286" s="34" t="s">
        <v>3819</v>
      </c>
      <c r="AT286" s="34">
        <v>838.99</v>
      </c>
      <c r="AU286" s="32" t="s">
        <v>3818</v>
      </c>
      <c r="AV286" s="31">
        <v>100.0</v>
      </c>
      <c r="AW286" s="33">
        <f>'Old Balance Sheet'!I286 + 'ACPL Calculations - 1.0'!I286 + 'ACPL Calculations - 2.0'!I286</f>
        <v>0</v>
      </c>
      <c r="AX286" s="34" t="s">
        <v>3820</v>
      </c>
      <c r="AY286" s="34">
        <v>290.0</v>
      </c>
      <c r="AZ286" s="32" t="s">
        <v>3818</v>
      </c>
      <c r="BA286" s="31">
        <v>100.0</v>
      </c>
      <c r="BB286" s="33">
        <f>'Old Balance Sheet'!J286 + 'ACPL Calculations - 1.0'!J286 + 'ACPL Calculations - 2.0'!J286</f>
        <v>0</v>
      </c>
      <c r="BC286" s="34" t="s">
        <v>3820</v>
      </c>
      <c r="BD286" s="34">
        <v>205.0</v>
      </c>
      <c r="BE286" s="32" t="s">
        <v>3818</v>
      </c>
      <c r="BF286" s="31">
        <v>100.0</v>
      </c>
      <c r="BG286" s="33">
        <f>'Old Balance Sheet'!K286 + 'ACPL Calculations - 1.0'!K286 + 'ACPL Calculations - 2.0'!K286</f>
        <v>0</v>
      </c>
      <c r="BH286" s="34" t="s">
        <v>3820</v>
      </c>
      <c r="BI286" s="34">
        <v>205.0</v>
      </c>
      <c r="BJ286" s="32" t="s">
        <v>3818</v>
      </c>
      <c r="BK286" s="31">
        <v>100.0</v>
      </c>
      <c r="BL286" s="33">
        <f>'Old Balance Sheet'!L286 + 'ACPL Calculations - 1.0'!L286 + 'ACPL Calculations - 2.0'!L286</f>
        <v>0</v>
      </c>
      <c r="CL286" s="33">
        <f t="shared" si="1"/>
        <v>145</v>
      </c>
      <c r="CM286" s="33">
        <f>'Old Balance Sheet'!R286 + 'ACPL Calculations - 1.0'!S286 + 'ACPL Calculations - 2.0'!S286</f>
        <v>64090</v>
      </c>
      <c r="CN286" s="33">
        <f>'Old Balance Sheet'!S286 + 'ACPL Calculations - 1.0'!T286 + 'ACPL Calculations - 2.0'!T286</f>
        <v>25643</v>
      </c>
      <c r="CO286" s="33">
        <f t="shared" si="2"/>
        <v>35418.9</v>
      </c>
      <c r="CP286" s="33">
        <f>'Old Balance Sheet'!T286 + 'ACPL Calculations - 1.0'!V286 + 'ACPL Calculations - 2.0'!V286</f>
        <v>0</v>
      </c>
      <c r="CQ286" s="33">
        <f>'Old Balance Sheet'!U286 + 'ACPL Calculations - 1.0'!W286 + 'ACPL Calculations - 2.0'!W286</f>
        <v>0</v>
      </c>
      <c r="CR286" s="33">
        <f>'Old Balance Sheet'!V286 + 'ACPL Calculations - 1.0'!X286 + 'ACPL Calculations - 2.0'!X286</f>
        <v>9775.9</v>
      </c>
      <c r="CS286" s="33">
        <f t="shared" si="3"/>
        <v>9775.9</v>
      </c>
      <c r="CT286" s="35"/>
      <c r="CU286" s="35"/>
      <c r="CV286" s="35"/>
      <c r="CW286" s="36">
        <f>'Old Balance Sheet'!W286 + 'ACPL Calculations - 1.0'!Z286 + 'ACPL Calculations - 2.0'!Z286</f>
        <v>0</v>
      </c>
      <c r="CX286" s="36">
        <f>'Old Balance Sheet'!X286 + 'ACPL Calculations - 1.0'!AA286 + 'ACPL Calculations - 2.0'!AA286</f>
        <v>0</v>
      </c>
      <c r="CY286" s="37">
        <v>0.0</v>
      </c>
      <c r="CZ286" s="38">
        <f>'Old Balance Sheet'!Y286 + 'ACPL Calculations - 1.0'!AB286 + 'ACPL Calculations - 2.0'!AB286</f>
        <v>0</v>
      </c>
      <c r="DA286" s="38">
        <f>'Old Balance Sheet'!Z286 + 'ACPL Calculations - 1.0'!AC286 + 'ACPL Calculations - 2.0'!AC286</f>
        <v>0</v>
      </c>
      <c r="DB286" s="38">
        <f>'Old Balance Sheet'!AA286 + 'ACPL Calculations - 1.0'!AD286 + 'ACPL Calculations - 2.0'!AD286</f>
        <v>0</v>
      </c>
      <c r="DC286" s="38">
        <f>'Old Balance Sheet'!AB286 + 'ACPL Calculations - 1.0'!AE286 + 'ACPL Calculations - 2.0'!AE286</f>
        <v>0</v>
      </c>
      <c r="DD286" s="38">
        <f t="shared" si="4"/>
        <v>0</v>
      </c>
      <c r="DE286" s="33">
        <f t="shared" si="5"/>
        <v>0</v>
      </c>
      <c r="DF286" s="35">
        <v>0.0</v>
      </c>
      <c r="DG286" s="35">
        <v>0.0</v>
      </c>
      <c r="DH286" s="35">
        <v>0.0</v>
      </c>
      <c r="DI286" s="35">
        <v>0.0</v>
      </c>
      <c r="DJ286" s="35">
        <v>0.0</v>
      </c>
      <c r="DK286" s="35">
        <v>0.0</v>
      </c>
      <c r="DL286" s="35">
        <v>0.0</v>
      </c>
      <c r="DM286" s="35">
        <v>0.0</v>
      </c>
      <c r="DN286" s="31">
        <v>0.0</v>
      </c>
      <c r="DO286" s="31">
        <v>0.0</v>
      </c>
      <c r="DP286" s="31">
        <v>0.0</v>
      </c>
      <c r="DQ286" s="31">
        <v>0.0</v>
      </c>
      <c r="DR286" s="31">
        <v>0.0</v>
      </c>
      <c r="DS286" s="31">
        <v>0.0</v>
      </c>
      <c r="DT286" s="31">
        <f>'Old Balance Sheet'!AC286</f>
        <v>0</v>
      </c>
      <c r="DU286" s="31">
        <f>DT286 + SUMIFS('Payments Log'!D:D, 'Payments Log'!B:B, A286, 'Payments Log'!L:L, "Approved", 'Payments Log'!M:M, "Credit") + 'Old Balance Sheet'!AD286 - 'Old Balance Sheet'!AC286</f>
        <v>0</v>
      </c>
      <c r="DV286" s="31">
        <f>SUMIFS('Payments Log'!D:D, 'Payments Log'!B:B, A286, 'Payments Log'!L:L, "Approved", 'Payments Log'!M:M, "Adjustment Credit") - SUMIFS('Payments Log'!D:D, 'Payments Log'!B:B, A286, 'Payments Log'!L:L, "Approved", 'Payments Log'!M:M, "Adjustment Debit") + 'Old Balance Sheet'!AE286</f>
        <v>0</v>
      </c>
      <c r="DW286" s="31">
        <f>IF(MAXIFS('Payments Log'!N:N, 'Payments Log'!L:L, "Approved", 'Payments Log'!M:M, "Credit", 'Payments Log'!B:B, A286) &gt; MAXIFS('Payments Log'!N:N, 'Payments Log'!L:L, "Approved", 'Payments Log'!M:M, "Virtual Credit", 'Payments Log'!B:B, A286), 0, SUMIFS('Payments Log'!D:D, 'Payments Log'!N:N, MAXIFS('Payments Log'!N:N, 'Payments Log'!L:L, "Approved", 'Payments Log'!M:M, "Virtual Credit", 'Payments Log'!B:B, A286)))</f>
        <v>0</v>
      </c>
      <c r="DX286" s="33">
        <f t="shared" si="6"/>
        <v>0</v>
      </c>
      <c r="DY286" s="33">
        <f t="shared" si="7"/>
        <v>0</v>
      </c>
      <c r="DZ286" s="33">
        <f t="shared" si="8"/>
        <v>0</v>
      </c>
      <c r="EA286" s="25" t="str">
        <f>(Sheet1!N286)</f>
        <v>Gupta Automobiles - Padrauna</v>
      </c>
      <c r="EB286" s="25" t="str">
        <f>(Sheet1!O286)</f>
        <v>1Ql_6BdBcHGAyITSZt1pNUK3bW54CzeThIBXr7aH7K3Y</v>
      </c>
      <c r="EC286" s="26" t="str">
        <f>(Sheet1!P286)</f>
        <v>Sub Dealer</v>
      </c>
      <c r="ED286" s="34" t="s">
        <v>13</v>
      </c>
    </row>
    <row r="287">
      <c r="A287" s="26" t="str">
        <f>(Sheet1!A287)</f>
        <v>1D0bYz3VnU-VHJIxa-b_ygaVix-3eTTISmRnDDIWBdUM</v>
      </c>
      <c r="B287" s="26" t="str">
        <f>(Sheet1!B287)</f>
        <v>Bhudev Gupta (GA) - DUDAHI</v>
      </c>
      <c r="C287" s="34" t="s">
        <v>13</v>
      </c>
      <c r="D287" s="34" t="s">
        <v>72</v>
      </c>
      <c r="E287" s="34" t="s">
        <v>3817</v>
      </c>
      <c r="F287" s="34">
        <v>175.0</v>
      </c>
      <c r="G287" s="34" t="s">
        <v>3818</v>
      </c>
      <c r="H287" s="34">
        <v>100.0</v>
      </c>
      <c r="I287" s="33">
        <f>'Old Balance Sheet'!A287 + 'ACPL Calculations - 1.0'!A287 + 'ACPL Calculations - 2.0'!A287</f>
        <v>228</v>
      </c>
      <c r="J287" s="34" t="s">
        <v>3820</v>
      </c>
      <c r="K287" s="34">
        <v>205.0</v>
      </c>
      <c r="L287" s="34" t="s">
        <v>3818</v>
      </c>
      <c r="M287" s="34">
        <v>100.0</v>
      </c>
      <c r="N287" s="33">
        <f>'Old Balance Sheet'!B287 + 'ACPL Calculations - 1.0'!B287 + 'ACPL Calculations - 2.0'!B287</f>
        <v>0</v>
      </c>
      <c r="O287" s="34" t="s">
        <v>3820</v>
      </c>
      <c r="P287" s="34">
        <v>290.0</v>
      </c>
      <c r="Q287" s="34" t="s">
        <v>3818</v>
      </c>
      <c r="R287" s="34">
        <v>100.0</v>
      </c>
      <c r="S287" s="33">
        <f>'Old Balance Sheet'!C287 + 'ACPL Calculations - 1.0'!C287 + 'ACPL Calculations - 2.0'!C287</f>
        <v>0</v>
      </c>
      <c r="T287" s="34" t="s">
        <v>3820</v>
      </c>
      <c r="U287" s="34">
        <v>375.0</v>
      </c>
      <c r="V287" s="34" t="s">
        <v>3818</v>
      </c>
      <c r="W287" s="34">
        <v>100.0</v>
      </c>
      <c r="X287" s="33">
        <f>'Old Balance Sheet'!D287 + 'ACPL Calculations - 1.0'!D287 + 'ACPL Calculations - 2.0'!D287</f>
        <v>0</v>
      </c>
      <c r="Y287" s="34" t="s">
        <v>3820</v>
      </c>
      <c r="Z287" s="34">
        <v>460.0</v>
      </c>
      <c r="AA287" s="32" t="s">
        <v>3818</v>
      </c>
      <c r="AB287" s="31">
        <v>100.0</v>
      </c>
      <c r="AC287" s="33">
        <f>'Old Balance Sheet'!E287 + 'ACPL Calculations - 1.0'!E287 + 'ACPL Calculations - 2.0'!E287</f>
        <v>0</v>
      </c>
      <c r="AD287" s="34" t="s">
        <v>3820</v>
      </c>
      <c r="AE287" s="34">
        <v>838.99</v>
      </c>
      <c r="AF287" s="32" t="s">
        <v>3818</v>
      </c>
      <c r="AG287" s="31">
        <v>100.0</v>
      </c>
      <c r="AH287" s="33">
        <f>'Old Balance Sheet'!F287 + 'ACPL Calculations - 1.0'!F287 + 'ACPL Calculations - 2.0'!F287</f>
        <v>0</v>
      </c>
      <c r="AI287" s="34" t="s">
        <v>3820</v>
      </c>
      <c r="AJ287" s="34">
        <v>375.0</v>
      </c>
      <c r="AK287" s="32" t="s">
        <v>3818</v>
      </c>
      <c r="AL287" s="31">
        <v>100.0</v>
      </c>
      <c r="AM287" s="33">
        <f>'Old Balance Sheet'!G287 + 'ACPL Calculations - 1.0'!G287 + 'ACPL Calculations - 2.0'!G287</f>
        <v>0</v>
      </c>
      <c r="AN287" s="34" t="s">
        <v>3820</v>
      </c>
      <c r="AO287" s="34">
        <v>290.0</v>
      </c>
      <c r="AP287" s="32" t="s">
        <v>3818</v>
      </c>
      <c r="AQ287" s="31">
        <v>100.0</v>
      </c>
      <c r="AR287" s="33">
        <f>'Old Balance Sheet'!H287 + 'ACPL Calculations - 1.0'!H287 + 'ACPL Calculations - 2.0'!H287</f>
        <v>0</v>
      </c>
      <c r="AS287" s="34" t="s">
        <v>3819</v>
      </c>
      <c r="AT287" s="34">
        <v>838.99</v>
      </c>
      <c r="AU287" s="32" t="s">
        <v>3818</v>
      </c>
      <c r="AV287" s="31">
        <v>100.0</v>
      </c>
      <c r="AW287" s="33">
        <f>'Old Balance Sheet'!I287 + 'ACPL Calculations - 1.0'!I287 + 'ACPL Calculations - 2.0'!I287</f>
        <v>0</v>
      </c>
      <c r="AX287" s="34" t="s">
        <v>3820</v>
      </c>
      <c r="AY287" s="34">
        <v>290.0</v>
      </c>
      <c r="AZ287" s="32" t="s">
        <v>3818</v>
      </c>
      <c r="BA287" s="31">
        <v>100.0</v>
      </c>
      <c r="BB287" s="33">
        <f>'Old Balance Sheet'!J287 + 'ACPL Calculations - 1.0'!J287 + 'ACPL Calculations - 2.0'!J287</f>
        <v>0</v>
      </c>
      <c r="BC287" s="34" t="s">
        <v>3820</v>
      </c>
      <c r="BD287" s="34">
        <v>205.0</v>
      </c>
      <c r="BE287" s="32" t="s">
        <v>3818</v>
      </c>
      <c r="BF287" s="31">
        <v>100.0</v>
      </c>
      <c r="BG287" s="33">
        <f>'Old Balance Sheet'!K287 + 'ACPL Calculations - 1.0'!K287 + 'ACPL Calculations - 2.0'!K287</f>
        <v>0</v>
      </c>
      <c r="BH287" s="34" t="s">
        <v>3820</v>
      </c>
      <c r="BI287" s="34">
        <v>205.0</v>
      </c>
      <c r="BJ287" s="32" t="s">
        <v>3818</v>
      </c>
      <c r="BK287" s="31">
        <v>100.0</v>
      </c>
      <c r="BL287" s="33">
        <f>'Old Balance Sheet'!L287 + 'ACPL Calculations - 1.0'!L287 + 'ACPL Calculations - 2.0'!L287</f>
        <v>0</v>
      </c>
      <c r="CL287" s="33">
        <f t="shared" si="1"/>
        <v>228</v>
      </c>
      <c r="CM287" s="33">
        <f>'Old Balance Sheet'!R287 + 'ACPL Calculations - 1.0'!S287 + 'ACPL Calculations - 2.0'!S287</f>
        <v>100776</v>
      </c>
      <c r="CN287" s="33">
        <f>'Old Balance Sheet'!S287 + 'ACPL Calculations - 1.0'!T287 + 'ACPL Calculations - 2.0'!T287</f>
        <v>40263</v>
      </c>
      <c r="CO287" s="33">
        <f t="shared" si="2"/>
        <v>55634.76</v>
      </c>
      <c r="CP287" s="33">
        <f>'Old Balance Sheet'!T287 + 'ACPL Calculations - 1.0'!V287 + 'ACPL Calculations - 2.0'!V287</f>
        <v>0</v>
      </c>
      <c r="CQ287" s="33">
        <f>'Old Balance Sheet'!U287 + 'ACPL Calculations - 1.0'!W287 + 'ACPL Calculations - 2.0'!W287</f>
        <v>0</v>
      </c>
      <c r="CR287" s="33">
        <f>'Old Balance Sheet'!V287 + 'ACPL Calculations - 1.0'!X287 + 'ACPL Calculations - 2.0'!X287</f>
        <v>15371.76</v>
      </c>
      <c r="CS287" s="33">
        <f t="shared" si="3"/>
        <v>15371.76</v>
      </c>
      <c r="CT287" s="35"/>
      <c r="CU287" s="35"/>
      <c r="CV287" s="35"/>
      <c r="CW287" s="36">
        <f>'Old Balance Sheet'!W287 + 'ACPL Calculations - 1.0'!Z287 + 'ACPL Calculations - 2.0'!Z287</f>
        <v>0</v>
      </c>
      <c r="CX287" s="36">
        <f>'Old Balance Sheet'!X287 + 'ACPL Calculations - 1.0'!AA287 + 'ACPL Calculations - 2.0'!AA287</f>
        <v>0</v>
      </c>
      <c r="CY287" s="37">
        <v>0.0</v>
      </c>
      <c r="CZ287" s="38">
        <f>'Old Balance Sheet'!Y287 + 'ACPL Calculations - 1.0'!AB287 + 'ACPL Calculations - 2.0'!AB287</f>
        <v>0</v>
      </c>
      <c r="DA287" s="38">
        <f>'Old Balance Sheet'!Z287 + 'ACPL Calculations - 1.0'!AC287 + 'ACPL Calculations - 2.0'!AC287</f>
        <v>0</v>
      </c>
      <c r="DB287" s="38">
        <f>'Old Balance Sheet'!AA287 + 'ACPL Calculations - 1.0'!AD287 + 'ACPL Calculations - 2.0'!AD287</f>
        <v>0</v>
      </c>
      <c r="DC287" s="38">
        <f>'Old Balance Sheet'!AB287 + 'ACPL Calculations - 1.0'!AE287 + 'ACPL Calculations - 2.0'!AE287</f>
        <v>0</v>
      </c>
      <c r="DD287" s="38">
        <f t="shared" si="4"/>
        <v>0</v>
      </c>
      <c r="DE287" s="33">
        <f t="shared" si="5"/>
        <v>0</v>
      </c>
      <c r="DF287" s="35">
        <v>0.0</v>
      </c>
      <c r="DG287" s="35">
        <v>0.0</v>
      </c>
      <c r="DH287" s="35">
        <v>0.0</v>
      </c>
      <c r="DI287" s="35">
        <v>0.0</v>
      </c>
      <c r="DJ287" s="35">
        <v>0.0</v>
      </c>
      <c r="DK287" s="35">
        <v>0.0</v>
      </c>
      <c r="DL287" s="35">
        <v>0.0</v>
      </c>
      <c r="DM287" s="35">
        <v>0.0</v>
      </c>
      <c r="DN287" s="31">
        <v>0.0</v>
      </c>
      <c r="DO287" s="31">
        <v>0.0</v>
      </c>
      <c r="DP287" s="31">
        <v>0.0</v>
      </c>
      <c r="DQ287" s="31">
        <v>0.0</v>
      </c>
      <c r="DR287" s="31">
        <v>0.0</v>
      </c>
      <c r="DS287" s="31">
        <v>0.0</v>
      </c>
      <c r="DT287" s="31">
        <f>'Old Balance Sheet'!AC287</f>
        <v>0</v>
      </c>
      <c r="DU287" s="31">
        <f>DT287 + SUMIFS('Payments Log'!D:D, 'Payments Log'!B:B, A287, 'Payments Log'!L:L, "Approved", 'Payments Log'!M:M, "Credit") + 'Old Balance Sheet'!AD287 - 'Old Balance Sheet'!AC287</f>
        <v>0</v>
      </c>
      <c r="DV287" s="31">
        <f>SUMIFS('Payments Log'!D:D, 'Payments Log'!B:B, A287, 'Payments Log'!L:L, "Approved", 'Payments Log'!M:M, "Adjustment Credit") - SUMIFS('Payments Log'!D:D, 'Payments Log'!B:B, A287, 'Payments Log'!L:L, "Approved", 'Payments Log'!M:M, "Adjustment Debit") + 'Old Balance Sheet'!AE287</f>
        <v>0</v>
      </c>
      <c r="DW287" s="31">
        <f>IF(MAXIFS('Payments Log'!N:N, 'Payments Log'!L:L, "Approved", 'Payments Log'!M:M, "Credit", 'Payments Log'!B:B, A287) &gt; MAXIFS('Payments Log'!N:N, 'Payments Log'!L:L, "Approved", 'Payments Log'!M:M, "Virtual Credit", 'Payments Log'!B:B, A287), 0, SUMIFS('Payments Log'!D:D, 'Payments Log'!N:N, MAXIFS('Payments Log'!N:N, 'Payments Log'!L:L, "Approved", 'Payments Log'!M:M, "Virtual Credit", 'Payments Log'!B:B, A287)))</f>
        <v>0</v>
      </c>
      <c r="DX287" s="33">
        <f t="shared" si="6"/>
        <v>0</v>
      </c>
      <c r="DY287" s="33">
        <f t="shared" si="7"/>
        <v>0</v>
      </c>
      <c r="DZ287" s="33">
        <f t="shared" si="8"/>
        <v>0</v>
      </c>
      <c r="EA287" s="25" t="str">
        <f>(Sheet1!N287)</f>
        <v>Gupta Automobiles - Padrauna</v>
      </c>
      <c r="EB287" s="25" t="str">
        <f>(Sheet1!O287)</f>
        <v>1Ql_6BdBcHGAyITSZt1pNUK3bW54CzeThIBXr7aH7K3Y</v>
      </c>
      <c r="EC287" s="26" t="str">
        <f>(Sheet1!P287)</f>
        <v>Sub Dealer</v>
      </c>
      <c r="ED287" s="34" t="s">
        <v>13</v>
      </c>
    </row>
    <row r="288">
      <c r="A288" s="26" t="str">
        <f>(Sheet1!A288)</f>
        <v>1iS0OzsOEgzLoPMX6_hFFZoxQvPZH07oslA_7etrLuZw</v>
      </c>
      <c r="B288" s="26" t="str">
        <f>(Sheet1!B288)</f>
        <v>SHREE KHADKA G AUTO- AHMEDABAD</v>
      </c>
      <c r="C288" s="34" t="s">
        <v>13</v>
      </c>
      <c r="D288" s="34" t="s">
        <v>72</v>
      </c>
      <c r="E288" s="34" t="s">
        <v>3817</v>
      </c>
      <c r="F288" s="34">
        <v>205.0</v>
      </c>
      <c r="G288" s="34" t="s">
        <v>3818</v>
      </c>
      <c r="H288" s="34">
        <v>100.0</v>
      </c>
      <c r="I288" s="33">
        <f>'Old Balance Sheet'!A288 + 'ACPL Calculations - 1.0'!A288 + 'ACPL Calculations - 2.0'!A288</f>
        <v>0</v>
      </c>
      <c r="J288" s="34" t="s">
        <v>3817</v>
      </c>
      <c r="K288" s="34">
        <v>205.0</v>
      </c>
      <c r="L288" s="34" t="s">
        <v>3818</v>
      </c>
      <c r="M288" s="34">
        <v>100.0</v>
      </c>
      <c r="N288" s="33">
        <f>'Old Balance Sheet'!B288 + 'ACPL Calculations - 1.0'!B288 + 'ACPL Calculations - 2.0'!B288</f>
        <v>0</v>
      </c>
      <c r="O288" s="34" t="s">
        <v>3817</v>
      </c>
      <c r="P288" s="34">
        <v>225.0</v>
      </c>
      <c r="Q288" s="34" t="s">
        <v>3818</v>
      </c>
      <c r="R288" s="34">
        <v>100.0</v>
      </c>
      <c r="S288" s="33">
        <f>'Old Balance Sheet'!C288 + 'ACPL Calculations - 1.0'!C288 + 'ACPL Calculations - 2.0'!C288</f>
        <v>4</v>
      </c>
      <c r="T288" s="34" t="s">
        <v>3817</v>
      </c>
      <c r="U288" s="34">
        <v>375.0</v>
      </c>
      <c r="V288" s="34" t="s">
        <v>3818</v>
      </c>
      <c r="W288" s="34">
        <v>100.0</v>
      </c>
      <c r="X288" s="33">
        <f>'Old Balance Sheet'!D288 + 'ACPL Calculations - 1.0'!D288 + 'ACPL Calculations - 2.0'!D288</f>
        <v>0</v>
      </c>
      <c r="Y288" s="34" t="s">
        <v>3817</v>
      </c>
      <c r="Z288" s="34">
        <v>460.0</v>
      </c>
      <c r="AA288" s="32" t="s">
        <v>3818</v>
      </c>
      <c r="AB288" s="31">
        <v>100.0</v>
      </c>
      <c r="AC288" s="33">
        <f>'Old Balance Sheet'!E288 + 'ACPL Calculations - 1.0'!E288 + 'ACPL Calculations - 2.0'!E288</f>
        <v>0</v>
      </c>
      <c r="AD288" s="34" t="s">
        <v>3817</v>
      </c>
      <c r="AE288" s="34">
        <v>838.99</v>
      </c>
      <c r="AF288" s="32" t="s">
        <v>3818</v>
      </c>
      <c r="AG288" s="31">
        <v>100.0</v>
      </c>
      <c r="AH288" s="33">
        <f>'Old Balance Sheet'!F288 + 'ACPL Calculations - 1.0'!F288 + 'ACPL Calculations - 2.0'!F288</f>
        <v>0</v>
      </c>
      <c r="AI288" s="34" t="s">
        <v>3817</v>
      </c>
      <c r="AJ288" s="34">
        <v>375.0</v>
      </c>
      <c r="AK288" s="32" t="s">
        <v>3818</v>
      </c>
      <c r="AL288" s="31">
        <v>100.0</v>
      </c>
      <c r="AM288" s="33">
        <f>'Old Balance Sheet'!G288 + 'ACPL Calculations - 1.0'!G288 + 'ACPL Calculations - 2.0'!G288</f>
        <v>0</v>
      </c>
      <c r="AN288" s="34" t="s">
        <v>3817</v>
      </c>
      <c r="AO288" s="34">
        <v>290.0</v>
      </c>
      <c r="AP288" s="32" t="s">
        <v>3818</v>
      </c>
      <c r="AQ288" s="31">
        <v>100.0</v>
      </c>
      <c r="AR288" s="33">
        <f>'Old Balance Sheet'!H288 + 'ACPL Calculations - 1.0'!H288 + 'ACPL Calculations - 2.0'!H288</f>
        <v>0</v>
      </c>
      <c r="AS288" s="34" t="s">
        <v>3819</v>
      </c>
      <c r="AT288" s="34">
        <v>838.99</v>
      </c>
      <c r="AU288" s="32" t="s">
        <v>3818</v>
      </c>
      <c r="AV288" s="31">
        <v>100.0</v>
      </c>
      <c r="AW288" s="33">
        <f>'Old Balance Sheet'!I288 + 'ACPL Calculations - 1.0'!I288 + 'ACPL Calculations - 2.0'!I288</f>
        <v>0</v>
      </c>
      <c r="AX288" s="34" t="s">
        <v>3817</v>
      </c>
      <c r="AY288" s="34">
        <v>290.0</v>
      </c>
      <c r="AZ288" s="32" t="s">
        <v>3818</v>
      </c>
      <c r="BA288" s="31">
        <v>100.0</v>
      </c>
      <c r="BB288" s="33">
        <f>'Old Balance Sheet'!J288 + 'ACPL Calculations - 1.0'!J288 + 'ACPL Calculations - 2.0'!J288</f>
        <v>0</v>
      </c>
      <c r="BC288" s="34" t="s">
        <v>3817</v>
      </c>
      <c r="BD288" s="34">
        <v>205.0</v>
      </c>
      <c r="BE288" s="32" t="s">
        <v>3818</v>
      </c>
      <c r="BF288" s="31">
        <v>100.0</v>
      </c>
      <c r="BG288" s="33">
        <f>'Old Balance Sheet'!K288 + 'ACPL Calculations - 1.0'!K288 + 'ACPL Calculations - 2.0'!K288</f>
        <v>0</v>
      </c>
      <c r="BH288" s="34" t="s">
        <v>3817</v>
      </c>
      <c r="BI288" s="34">
        <v>205.0</v>
      </c>
      <c r="BJ288" s="32" t="s">
        <v>3818</v>
      </c>
      <c r="BK288" s="31">
        <v>100.0</v>
      </c>
      <c r="BL288" s="33">
        <f>'Old Balance Sheet'!L288 + 'ACPL Calculations - 1.0'!L288 + 'ACPL Calculations - 2.0'!L288</f>
        <v>0</v>
      </c>
      <c r="CL288" s="33">
        <f t="shared" si="1"/>
        <v>4</v>
      </c>
      <c r="CM288" s="33">
        <f>'Old Balance Sheet'!R288 + 'ACPL Calculations - 1.0'!S288 + 'ACPL Calculations - 2.0'!S288</f>
        <v>1768</v>
      </c>
      <c r="CN288" s="33">
        <f>'Old Balance Sheet'!S288 + 'ACPL Calculations - 1.0'!T288 + 'ACPL Calculations - 2.0'!T288</f>
        <v>820</v>
      </c>
      <c r="CO288" s="33">
        <f t="shared" si="2"/>
        <v>1089.68</v>
      </c>
      <c r="CP288" s="33">
        <f>'Old Balance Sheet'!T288 + 'ACPL Calculations - 1.0'!V288 + 'ACPL Calculations - 2.0'!V288</f>
        <v>0</v>
      </c>
      <c r="CQ288" s="33">
        <f>'Old Balance Sheet'!U288 + 'ACPL Calculations - 1.0'!W288 + 'ACPL Calculations - 2.0'!W288</f>
        <v>0</v>
      </c>
      <c r="CR288" s="33">
        <f>'Old Balance Sheet'!V288 + 'ACPL Calculations - 1.0'!X288 + 'ACPL Calculations - 2.0'!X288</f>
        <v>269.68</v>
      </c>
      <c r="CS288" s="33">
        <f t="shared" si="3"/>
        <v>269.68</v>
      </c>
      <c r="CT288" s="35"/>
      <c r="CU288" s="35"/>
      <c r="CV288" s="35"/>
      <c r="CW288" s="36">
        <f>'Old Balance Sheet'!W288 + 'ACPL Calculations - 1.0'!Z288 + 'ACPL Calculations - 2.0'!Z288</f>
        <v>1123.6</v>
      </c>
      <c r="CX288" s="36">
        <f>'Old Balance Sheet'!X288 + 'ACPL Calculations - 1.0'!AA288 + 'ACPL Calculations - 2.0'!AA288</f>
        <v>1123.6</v>
      </c>
      <c r="CY288" s="37">
        <v>0.0</v>
      </c>
      <c r="CZ288" s="38">
        <f>'Old Balance Sheet'!Y288 + 'ACPL Calculations - 1.0'!AB288 + 'ACPL Calculations - 2.0'!AB288</f>
        <v>678.32</v>
      </c>
      <c r="DA288" s="38">
        <f>'Old Balance Sheet'!Z288 + 'ACPL Calculations - 1.0'!AC288 + 'ACPL Calculations - 2.0'!AC288</f>
        <v>644.4</v>
      </c>
      <c r="DB288" s="38">
        <f>'Old Balance Sheet'!AA288 + 'ACPL Calculations - 1.0'!AD288 + 'ACPL Calculations - 2.0'!AD288</f>
        <v>33.92</v>
      </c>
      <c r="DC288" s="38">
        <f>'Old Balance Sheet'!AB288 + 'ACPL Calculations - 1.0'!AE288 + 'ACPL Calculations - 2.0'!AE288</f>
        <v>0</v>
      </c>
      <c r="DD288" s="38">
        <f t="shared" si="4"/>
        <v>0</v>
      </c>
      <c r="DE288" s="33">
        <f t="shared" si="5"/>
        <v>0</v>
      </c>
      <c r="DF288" s="35">
        <v>0.0</v>
      </c>
      <c r="DG288" s="35">
        <v>0.0</v>
      </c>
      <c r="DH288" s="35">
        <v>0.0</v>
      </c>
      <c r="DI288" s="35">
        <v>0.0</v>
      </c>
      <c r="DJ288" s="35">
        <v>0.0</v>
      </c>
      <c r="DK288" s="35">
        <v>0.0</v>
      </c>
      <c r="DL288" s="35">
        <v>0.0</v>
      </c>
      <c r="DM288" s="35">
        <v>0.0</v>
      </c>
      <c r="DN288" s="31">
        <v>0.0</v>
      </c>
      <c r="DO288" s="31">
        <v>0.0</v>
      </c>
      <c r="DP288" s="31">
        <v>0.0</v>
      </c>
      <c r="DQ288" s="31">
        <v>0.0</v>
      </c>
      <c r="DR288" s="31">
        <v>0.0</v>
      </c>
      <c r="DS288" s="31">
        <v>0.0</v>
      </c>
      <c r="DT288" s="31">
        <f>'Old Balance Sheet'!AC288</f>
        <v>0</v>
      </c>
      <c r="DU288" s="31">
        <f>DT288 + SUMIFS('Payments Log'!D:D, 'Payments Log'!B:B, A288, 'Payments Log'!L:L, "Approved", 'Payments Log'!M:M, "Credit") + 'Old Balance Sheet'!AD288 - 'Old Balance Sheet'!AC288</f>
        <v>0</v>
      </c>
      <c r="DV288" s="31">
        <f>SUMIFS('Payments Log'!D:D, 'Payments Log'!B:B, A288, 'Payments Log'!L:L, "Approved", 'Payments Log'!M:M, "Adjustment Credit") - SUMIFS('Payments Log'!D:D, 'Payments Log'!B:B, A288, 'Payments Log'!L:L, "Approved", 'Payments Log'!M:M, "Adjustment Debit") + 'Old Balance Sheet'!AE288</f>
        <v>0</v>
      </c>
      <c r="DW288" s="31">
        <f>IF(MAXIFS('Payments Log'!N:N, 'Payments Log'!L:L, "Approved", 'Payments Log'!M:M, "Credit", 'Payments Log'!B:B, A288) &gt; MAXIFS('Payments Log'!N:N, 'Payments Log'!L:L, "Approved", 'Payments Log'!M:M, "Virtual Credit", 'Payments Log'!B:B, A288), 0, SUMIFS('Payments Log'!D:D, 'Payments Log'!N:N, MAXIFS('Payments Log'!N:N, 'Payments Log'!L:L, "Approved", 'Payments Log'!M:M, "Virtual Credit", 'Payments Log'!B:B, A288)))</f>
        <v>0</v>
      </c>
      <c r="DX288" s="33">
        <f t="shared" si="6"/>
        <v>-1123.6</v>
      </c>
      <c r="DY288" s="33">
        <f t="shared" si="7"/>
        <v>-1123.6</v>
      </c>
      <c r="DZ288" s="33">
        <f t="shared" si="8"/>
        <v>-1123.6</v>
      </c>
      <c r="EA288" s="25" t="str">
        <f>(Sheet1!N288)</f>
        <v>SHREE KHADKA G AUTO- AHMEDABAD</v>
      </c>
      <c r="EB288" s="25" t="str">
        <f>(Sheet1!O288)</f>
        <v>1iS0OzsOEgzLoPMX6_hFFZoxQvPZH07oslA_7etrLuZw</v>
      </c>
      <c r="EC288" s="26" t="str">
        <f>(Sheet1!P288)</f>
        <v>Dealer</v>
      </c>
      <c r="ED288" s="34" t="s">
        <v>13</v>
      </c>
    </row>
    <row r="289">
      <c r="A289" s="26" t="str">
        <f>(Sheet1!A289)</f>
        <v>1FBjXAE1-KKWRluxAeSNXWWc03DBWHZmw6NQIaZREyIU</v>
      </c>
      <c r="B289" s="26" t="str">
        <f>(Sheet1!B289)</f>
        <v>Singh Motor (GA) - Ahirauli Bazar</v>
      </c>
      <c r="C289" s="34" t="s">
        <v>13</v>
      </c>
      <c r="D289" s="34" t="s">
        <v>72</v>
      </c>
      <c r="E289" s="34" t="s">
        <v>3817</v>
      </c>
      <c r="F289" s="34">
        <v>175.0</v>
      </c>
      <c r="G289" s="34" t="s">
        <v>3818</v>
      </c>
      <c r="H289" s="34">
        <v>100.0</v>
      </c>
      <c r="I289" s="33">
        <f>'Old Balance Sheet'!A289 + 'ACPL Calculations - 1.0'!A289 + 'ACPL Calculations - 2.0'!A289</f>
        <v>214</v>
      </c>
      <c r="J289" s="34" t="s">
        <v>3820</v>
      </c>
      <c r="K289" s="34">
        <v>205.0</v>
      </c>
      <c r="L289" s="34" t="s">
        <v>3818</v>
      </c>
      <c r="M289" s="34">
        <v>100.0</v>
      </c>
      <c r="N289" s="33">
        <f>'Old Balance Sheet'!B289 + 'ACPL Calculations - 1.0'!B289 + 'ACPL Calculations - 2.0'!B289</f>
        <v>0</v>
      </c>
      <c r="O289" s="34" t="s">
        <v>3820</v>
      </c>
      <c r="P289" s="34">
        <v>290.0</v>
      </c>
      <c r="Q289" s="34" t="s">
        <v>3818</v>
      </c>
      <c r="R289" s="34">
        <v>100.0</v>
      </c>
      <c r="S289" s="33">
        <f>'Old Balance Sheet'!C289 + 'ACPL Calculations - 1.0'!C289 + 'ACPL Calculations - 2.0'!C289</f>
        <v>0</v>
      </c>
      <c r="T289" s="34" t="s">
        <v>3820</v>
      </c>
      <c r="U289" s="34">
        <v>375.0</v>
      </c>
      <c r="V289" s="34" t="s">
        <v>3818</v>
      </c>
      <c r="W289" s="34">
        <v>100.0</v>
      </c>
      <c r="X289" s="33">
        <f>'Old Balance Sheet'!D289 + 'ACPL Calculations - 1.0'!D289 + 'ACPL Calculations - 2.0'!D289</f>
        <v>0</v>
      </c>
      <c r="Y289" s="34" t="s">
        <v>3820</v>
      </c>
      <c r="Z289" s="34">
        <v>460.0</v>
      </c>
      <c r="AA289" s="32" t="s">
        <v>3818</v>
      </c>
      <c r="AB289" s="31">
        <v>100.0</v>
      </c>
      <c r="AC289" s="33">
        <f>'Old Balance Sheet'!E289 + 'ACPL Calculations - 1.0'!E289 + 'ACPL Calculations - 2.0'!E289</f>
        <v>0</v>
      </c>
      <c r="AD289" s="34" t="s">
        <v>3820</v>
      </c>
      <c r="AE289" s="34">
        <v>838.99</v>
      </c>
      <c r="AF289" s="32" t="s">
        <v>3818</v>
      </c>
      <c r="AG289" s="31">
        <v>100.0</v>
      </c>
      <c r="AH289" s="33">
        <f>'Old Balance Sheet'!F289 + 'ACPL Calculations - 1.0'!F289 + 'ACPL Calculations - 2.0'!F289</f>
        <v>0</v>
      </c>
      <c r="AI289" s="34" t="s">
        <v>3820</v>
      </c>
      <c r="AJ289" s="34">
        <v>375.0</v>
      </c>
      <c r="AK289" s="32" t="s">
        <v>3818</v>
      </c>
      <c r="AL289" s="31">
        <v>100.0</v>
      </c>
      <c r="AM289" s="33">
        <f>'Old Balance Sheet'!G289 + 'ACPL Calculations - 1.0'!G289 + 'ACPL Calculations - 2.0'!G289</f>
        <v>0</v>
      </c>
      <c r="AN289" s="34" t="s">
        <v>3820</v>
      </c>
      <c r="AO289" s="34">
        <v>290.0</v>
      </c>
      <c r="AP289" s="32" t="s">
        <v>3818</v>
      </c>
      <c r="AQ289" s="31">
        <v>100.0</v>
      </c>
      <c r="AR289" s="33">
        <f>'Old Balance Sheet'!H289 + 'ACPL Calculations - 1.0'!H289 + 'ACPL Calculations - 2.0'!H289</f>
        <v>0</v>
      </c>
      <c r="AS289" s="34" t="s">
        <v>3819</v>
      </c>
      <c r="AT289" s="34">
        <v>838.99</v>
      </c>
      <c r="AU289" s="32" t="s">
        <v>3818</v>
      </c>
      <c r="AV289" s="31">
        <v>100.0</v>
      </c>
      <c r="AW289" s="33">
        <f>'Old Balance Sheet'!I289 + 'ACPL Calculations - 1.0'!I289 + 'ACPL Calculations - 2.0'!I289</f>
        <v>0</v>
      </c>
      <c r="AX289" s="34" t="s">
        <v>3820</v>
      </c>
      <c r="AY289" s="34">
        <v>290.0</v>
      </c>
      <c r="AZ289" s="32" t="s">
        <v>3818</v>
      </c>
      <c r="BA289" s="31">
        <v>100.0</v>
      </c>
      <c r="BB289" s="33">
        <f>'Old Balance Sheet'!J289 + 'ACPL Calculations - 1.0'!J289 + 'ACPL Calculations - 2.0'!J289</f>
        <v>0</v>
      </c>
      <c r="BC289" s="34" t="s">
        <v>3820</v>
      </c>
      <c r="BD289" s="34">
        <v>205.0</v>
      </c>
      <c r="BE289" s="32" t="s">
        <v>3818</v>
      </c>
      <c r="BF289" s="31">
        <v>100.0</v>
      </c>
      <c r="BG289" s="33">
        <f>'Old Balance Sheet'!K289 + 'ACPL Calculations - 1.0'!K289 + 'ACPL Calculations - 2.0'!K289</f>
        <v>0</v>
      </c>
      <c r="BH289" s="34" t="s">
        <v>3820</v>
      </c>
      <c r="BI289" s="34">
        <v>205.0</v>
      </c>
      <c r="BJ289" s="32" t="s">
        <v>3818</v>
      </c>
      <c r="BK289" s="31">
        <v>100.0</v>
      </c>
      <c r="BL289" s="33">
        <f>'Old Balance Sheet'!L289 + 'ACPL Calculations - 1.0'!L289 + 'ACPL Calculations - 2.0'!L289</f>
        <v>0</v>
      </c>
      <c r="CL289" s="33">
        <f t="shared" si="1"/>
        <v>214</v>
      </c>
      <c r="CM289" s="33">
        <f>'Old Balance Sheet'!R289 + 'ACPL Calculations - 1.0'!S289 + 'ACPL Calculations - 2.0'!S289</f>
        <v>94588</v>
      </c>
      <c r="CN289" s="33">
        <f>'Old Balance Sheet'!S289 + 'ACPL Calculations - 1.0'!T289 + 'ACPL Calculations - 2.0'!T289</f>
        <v>38041</v>
      </c>
      <c r="CO289" s="33">
        <f t="shared" si="2"/>
        <v>52468.88</v>
      </c>
      <c r="CP289" s="33">
        <f>'Old Balance Sheet'!T289 + 'ACPL Calculations - 1.0'!V289 + 'ACPL Calculations - 2.0'!V289</f>
        <v>0</v>
      </c>
      <c r="CQ289" s="33">
        <f>'Old Balance Sheet'!U289 + 'ACPL Calculations - 1.0'!W289 + 'ACPL Calculations - 2.0'!W289</f>
        <v>0</v>
      </c>
      <c r="CR289" s="33">
        <f>'Old Balance Sheet'!V289 + 'ACPL Calculations - 1.0'!X289 + 'ACPL Calculations - 2.0'!X289</f>
        <v>14427.88</v>
      </c>
      <c r="CS289" s="33">
        <f t="shared" si="3"/>
        <v>14427.88</v>
      </c>
      <c r="CT289" s="35"/>
      <c r="CU289" s="35"/>
      <c r="CV289" s="35"/>
      <c r="CW289" s="36">
        <f>'Old Balance Sheet'!W289 + 'ACPL Calculations - 1.0'!Z289 + 'ACPL Calculations - 2.0'!Z289</f>
        <v>0</v>
      </c>
      <c r="CX289" s="36">
        <f>'Old Balance Sheet'!X289 + 'ACPL Calculations - 1.0'!AA289 + 'ACPL Calculations - 2.0'!AA289</f>
        <v>0</v>
      </c>
      <c r="CY289" s="37">
        <v>0.0</v>
      </c>
      <c r="CZ289" s="38">
        <f>'Old Balance Sheet'!Y289 + 'ACPL Calculations - 1.0'!AB289 + 'ACPL Calculations - 2.0'!AB289</f>
        <v>0</v>
      </c>
      <c r="DA289" s="38">
        <f>'Old Balance Sheet'!Z289 + 'ACPL Calculations - 1.0'!AC289 + 'ACPL Calculations - 2.0'!AC289</f>
        <v>0</v>
      </c>
      <c r="DB289" s="38">
        <f>'Old Balance Sheet'!AA289 + 'ACPL Calculations - 1.0'!AD289 + 'ACPL Calculations - 2.0'!AD289</f>
        <v>0</v>
      </c>
      <c r="DC289" s="38">
        <f>'Old Balance Sheet'!AB289 + 'ACPL Calculations - 1.0'!AE289 + 'ACPL Calculations - 2.0'!AE289</f>
        <v>0</v>
      </c>
      <c r="DD289" s="38">
        <f t="shared" si="4"/>
        <v>0</v>
      </c>
      <c r="DE289" s="33">
        <f t="shared" si="5"/>
        <v>0</v>
      </c>
      <c r="DF289" s="35">
        <v>0.0</v>
      </c>
      <c r="DG289" s="35">
        <v>0.0</v>
      </c>
      <c r="DH289" s="35">
        <v>0.0</v>
      </c>
      <c r="DI289" s="35">
        <v>0.0</v>
      </c>
      <c r="DJ289" s="35">
        <v>0.0</v>
      </c>
      <c r="DK289" s="35">
        <v>0.0</v>
      </c>
      <c r="DL289" s="35">
        <v>0.0</v>
      </c>
      <c r="DM289" s="35">
        <v>0.0</v>
      </c>
      <c r="DN289" s="31">
        <v>0.0</v>
      </c>
      <c r="DO289" s="31">
        <v>0.0</v>
      </c>
      <c r="DP289" s="31">
        <v>0.0</v>
      </c>
      <c r="DQ289" s="31">
        <v>0.0</v>
      </c>
      <c r="DR289" s="31">
        <v>0.0</v>
      </c>
      <c r="DS289" s="31">
        <v>0.0</v>
      </c>
      <c r="DT289" s="31">
        <f>'Old Balance Sheet'!AC289</f>
        <v>0</v>
      </c>
      <c r="DU289" s="31">
        <f>DT289 + SUMIFS('Payments Log'!D:D, 'Payments Log'!B:B, A289, 'Payments Log'!L:L, "Approved", 'Payments Log'!M:M, "Credit") + 'Old Balance Sheet'!AD289 - 'Old Balance Sheet'!AC289</f>
        <v>0</v>
      </c>
      <c r="DV289" s="31">
        <f>SUMIFS('Payments Log'!D:D, 'Payments Log'!B:B, A289, 'Payments Log'!L:L, "Approved", 'Payments Log'!M:M, "Adjustment Credit") - SUMIFS('Payments Log'!D:D, 'Payments Log'!B:B, A289, 'Payments Log'!L:L, "Approved", 'Payments Log'!M:M, "Adjustment Debit") + 'Old Balance Sheet'!AE289</f>
        <v>0</v>
      </c>
      <c r="DW289" s="31">
        <f>IF(MAXIFS('Payments Log'!N:N, 'Payments Log'!L:L, "Approved", 'Payments Log'!M:M, "Credit", 'Payments Log'!B:B, A289) &gt; MAXIFS('Payments Log'!N:N, 'Payments Log'!L:L, "Approved", 'Payments Log'!M:M, "Virtual Credit", 'Payments Log'!B:B, A289), 0, SUMIFS('Payments Log'!D:D, 'Payments Log'!N:N, MAXIFS('Payments Log'!N:N, 'Payments Log'!L:L, "Approved", 'Payments Log'!M:M, "Virtual Credit", 'Payments Log'!B:B, A289)))</f>
        <v>0</v>
      </c>
      <c r="DX289" s="33">
        <f t="shared" si="6"/>
        <v>0</v>
      </c>
      <c r="DY289" s="33">
        <f t="shared" si="7"/>
        <v>0</v>
      </c>
      <c r="DZ289" s="33">
        <f t="shared" si="8"/>
        <v>0</v>
      </c>
      <c r="EA289" s="25" t="str">
        <f>(Sheet1!N289)</f>
        <v>Gupta Automobiles - Padrauna</v>
      </c>
      <c r="EB289" s="25" t="str">
        <f>(Sheet1!O289)</f>
        <v>1Ql_6BdBcHGAyITSZt1pNUK3bW54CzeThIBXr7aH7K3Y</v>
      </c>
      <c r="EC289" s="26" t="str">
        <f>(Sheet1!P289)</f>
        <v>Sub Dealer</v>
      </c>
      <c r="ED289" s="34" t="s">
        <v>13</v>
      </c>
    </row>
    <row r="290">
      <c r="A290" s="26" t="str">
        <f>(Sheet1!A290)</f>
        <v>1uBiAsC5-HA2hRNcQGD_6Mpaq6LmZNpNtQhdpeLcD4Yg</v>
      </c>
      <c r="B290" s="26" t="str">
        <f>(Sheet1!B290)</f>
        <v>Laxmi Automobiles (GA) - Badhu Chauraha</v>
      </c>
      <c r="C290" s="34" t="s">
        <v>13</v>
      </c>
      <c r="D290" s="34" t="s">
        <v>72</v>
      </c>
      <c r="E290" s="34" t="s">
        <v>3817</v>
      </c>
      <c r="F290" s="34">
        <v>175.0</v>
      </c>
      <c r="G290" s="34" t="s">
        <v>3818</v>
      </c>
      <c r="H290" s="34">
        <v>100.0</v>
      </c>
      <c r="I290" s="33">
        <f>'Old Balance Sheet'!A290 + 'ACPL Calculations - 1.0'!A290 + 'ACPL Calculations - 2.0'!A290</f>
        <v>302</v>
      </c>
      <c r="J290" s="34" t="s">
        <v>3820</v>
      </c>
      <c r="K290" s="34">
        <v>205.0</v>
      </c>
      <c r="L290" s="34" t="s">
        <v>3818</v>
      </c>
      <c r="M290" s="34">
        <v>100.0</v>
      </c>
      <c r="N290" s="33">
        <f>'Old Balance Sheet'!B290 + 'ACPL Calculations - 1.0'!B290 + 'ACPL Calculations - 2.0'!B290</f>
        <v>0</v>
      </c>
      <c r="O290" s="34" t="s">
        <v>3820</v>
      </c>
      <c r="P290" s="34">
        <v>290.0</v>
      </c>
      <c r="Q290" s="34" t="s">
        <v>3818</v>
      </c>
      <c r="R290" s="34">
        <v>100.0</v>
      </c>
      <c r="S290" s="33">
        <f>'Old Balance Sheet'!C290 + 'ACPL Calculations - 1.0'!C290 + 'ACPL Calculations - 2.0'!C290</f>
        <v>0</v>
      </c>
      <c r="T290" s="34" t="s">
        <v>3820</v>
      </c>
      <c r="U290" s="34">
        <v>375.0</v>
      </c>
      <c r="V290" s="34" t="s">
        <v>3818</v>
      </c>
      <c r="W290" s="34">
        <v>100.0</v>
      </c>
      <c r="X290" s="33">
        <f>'Old Balance Sheet'!D290 + 'ACPL Calculations - 1.0'!D290 + 'ACPL Calculations - 2.0'!D290</f>
        <v>0</v>
      </c>
      <c r="Y290" s="34" t="s">
        <v>3820</v>
      </c>
      <c r="Z290" s="34">
        <v>460.0</v>
      </c>
      <c r="AA290" s="32" t="s">
        <v>3818</v>
      </c>
      <c r="AB290" s="31">
        <v>100.0</v>
      </c>
      <c r="AC290" s="33">
        <f>'Old Balance Sheet'!E290 + 'ACPL Calculations - 1.0'!E290 + 'ACPL Calculations - 2.0'!E290</f>
        <v>0</v>
      </c>
      <c r="AD290" s="34" t="s">
        <v>3820</v>
      </c>
      <c r="AE290" s="34">
        <v>838.99</v>
      </c>
      <c r="AF290" s="32" t="s">
        <v>3818</v>
      </c>
      <c r="AG290" s="31">
        <v>100.0</v>
      </c>
      <c r="AH290" s="33">
        <f>'Old Balance Sheet'!F290 + 'ACPL Calculations - 1.0'!F290 + 'ACPL Calculations - 2.0'!F290</f>
        <v>0</v>
      </c>
      <c r="AI290" s="34" t="s">
        <v>3820</v>
      </c>
      <c r="AJ290" s="34">
        <v>375.0</v>
      </c>
      <c r="AK290" s="32" t="s">
        <v>3818</v>
      </c>
      <c r="AL290" s="31">
        <v>100.0</v>
      </c>
      <c r="AM290" s="33">
        <f>'Old Balance Sheet'!G290 + 'ACPL Calculations - 1.0'!G290 + 'ACPL Calculations - 2.0'!G290</f>
        <v>0</v>
      </c>
      <c r="AN290" s="34" t="s">
        <v>3820</v>
      </c>
      <c r="AO290" s="34">
        <v>290.0</v>
      </c>
      <c r="AP290" s="32" t="s">
        <v>3818</v>
      </c>
      <c r="AQ290" s="31">
        <v>100.0</v>
      </c>
      <c r="AR290" s="33">
        <f>'Old Balance Sheet'!H290 + 'ACPL Calculations - 1.0'!H290 + 'ACPL Calculations - 2.0'!H290</f>
        <v>0</v>
      </c>
      <c r="AS290" s="34" t="s">
        <v>3819</v>
      </c>
      <c r="AT290" s="34">
        <v>838.99</v>
      </c>
      <c r="AU290" s="32" t="s">
        <v>3818</v>
      </c>
      <c r="AV290" s="31">
        <v>100.0</v>
      </c>
      <c r="AW290" s="33">
        <f>'Old Balance Sheet'!I290 + 'ACPL Calculations - 1.0'!I290 + 'ACPL Calculations - 2.0'!I290</f>
        <v>0</v>
      </c>
      <c r="AX290" s="34" t="s">
        <v>3820</v>
      </c>
      <c r="AY290" s="34">
        <v>290.0</v>
      </c>
      <c r="AZ290" s="32" t="s">
        <v>3818</v>
      </c>
      <c r="BA290" s="31">
        <v>100.0</v>
      </c>
      <c r="BB290" s="33">
        <f>'Old Balance Sheet'!J290 + 'ACPL Calculations - 1.0'!J290 + 'ACPL Calculations - 2.0'!J290</f>
        <v>0</v>
      </c>
      <c r="BC290" s="34" t="s">
        <v>3820</v>
      </c>
      <c r="BD290" s="34">
        <v>205.0</v>
      </c>
      <c r="BE290" s="32" t="s">
        <v>3818</v>
      </c>
      <c r="BF290" s="31">
        <v>100.0</v>
      </c>
      <c r="BG290" s="33">
        <f>'Old Balance Sheet'!K290 + 'ACPL Calculations - 1.0'!K290 + 'ACPL Calculations - 2.0'!K290</f>
        <v>0</v>
      </c>
      <c r="BH290" s="34" t="s">
        <v>3820</v>
      </c>
      <c r="BI290" s="34">
        <v>205.0</v>
      </c>
      <c r="BJ290" s="32" t="s">
        <v>3818</v>
      </c>
      <c r="BK290" s="31">
        <v>100.0</v>
      </c>
      <c r="BL290" s="33">
        <f>'Old Balance Sheet'!L290 + 'ACPL Calculations - 1.0'!L290 + 'ACPL Calculations - 2.0'!L290</f>
        <v>0</v>
      </c>
      <c r="CL290" s="33">
        <f t="shared" si="1"/>
        <v>302</v>
      </c>
      <c r="CM290" s="33">
        <f>'Old Balance Sheet'!R290 + 'ACPL Calculations - 1.0'!S290 + 'ACPL Calculations - 2.0'!S290</f>
        <v>133484</v>
      </c>
      <c r="CN290" s="33">
        <f>'Old Balance Sheet'!S290 + 'ACPL Calculations - 1.0'!T290 + 'ACPL Calculations - 2.0'!T290</f>
        <v>53318</v>
      </c>
      <c r="CO290" s="33">
        <f t="shared" si="2"/>
        <v>73678.84</v>
      </c>
      <c r="CP290" s="33">
        <f>'Old Balance Sheet'!T290 + 'ACPL Calculations - 1.0'!V290 + 'ACPL Calculations - 2.0'!V290</f>
        <v>0</v>
      </c>
      <c r="CQ290" s="33">
        <f>'Old Balance Sheet'!U290 + 'ACPL Calculations - 1.0'!W290 + 'ACPL Calculations - 2.0'!W290</f>
        <v>0</v>
      </c>
      <c r="CR290" s="33">
        <f>'Old Balance Sheet'!V290 + 'ACPL Calculations - 1.0'!X290 + 'ACPL Calculations - 2.0'!X290</f>
        <v>20360.84</v>
      </c>
      <c r="CS290" s="33">
        <f t="shared" si="3"/>
        <v>20360.84</v>
      </c>
      <c r="CT290" s="35"/>
      <c r="CU290" s="35"/>
      <c r="CV290" s="35"/>
      <c r="CW290" s="36">
        <f>'Old Balance Sheet'!W290 + 'ACPL Calculations - 1.0'!Z290 + 'ACPL Calculations - 2.0'!Z290</f>
        <v>0</v>
      </c>
      <c r="CX290" s="36">
        <f>'Old Balance Sheet'!X290 + 'ACPL Calculations - 1.0'!AA290 + 'ACPL Calculations - 2.0'!AA290</f>
        <v>0</v>
      </c>
      <c r="CY290" s="37">
        <v>0.0</v>
      </c>
      <c r="CZ290" s="38">
        <f>'Old Balance Sheet'!Y290 + 'ACPL Calculations - 1.0'!AB290 + 'ACPL Calculations - 2.0'!AB290</f>
        <v>0</v>
      </c>
      <c r="DA290" s="38">
        <f>'Old Balance Sheet'!Z290 + 'ACPL Calculations - 1.0'!AC290 + 'ACPL Calculations - 2.0'!AC290</f>
        <v>0</v>
      </c>
      <c r="DB290" s="38">
        <f>'Old Balance Sheet'!AA290 + 'ACPL Calculations - 1.0'!AD290 + 'ACPL Calculations - 2.0'!AD290</f>
        <v>0</v>
      </c>
      <c r="DC290" s="38">
        <f>'Old Balance Sheet'!AB290 + 'ACPL Calculations - 1.0'!AE290 + 'ACPL Calculations - 2.0'!AE290</f>
        <v>0</v>
      </c>
      <c r="DD290" s="38">
        <f t="shared" si="4"/>
        <v>0</v>
      </c>
      <c r="DE290" s="33">
        <f t="shared" si="5"/>
        <v>0</v>
      </c>
      <c r="DF290" s="35">
        <v>0.0</v>
      </c>
      <c r="DG290" s="35">
        <v>0.0</v>
      </c>
      <c r="DH290" s="35">
        <v>0.0</v>
      </c>
      <c r="DI290" s="35">
        <v>0.0</v>
      </c>
      <c r="DJ290" s="35">
        <v>0.0</v>
      </c>
      <c r="DK290" s="35">
        <v>0.0</v>
      </c>
      <c r="DL290" s="35">
        <v>0.0</v>
      </c>
      <c r="DM290" s="35">
        <v>0.0</v>
      </c>
      <c r="DN290" s="31">
        <v>0.0</v>
      </c>
      <c r="DO290" s="31">
        <v>0.0</v>
      </c>
      <c r="DP290" s="31">
        <v>0.0</v>
      </c>
      <c r="DQ290" s="31">
        <v>0.0</v>
      </c>
      <c r="DR290" s="31">
        <v>0.0</v>
      </c>
      <c r="DS290" s="31">
        <v>0.0</v>
      </c>
      <c r="DT290" s="31">
        <f>'Old Balance Sheet'!AC290</f>
        <v>0</v>
      </c>
      <c r="DU290" s="31">
        <f>DT290 + SUMIFS('Payments Log'!D:D, 'Payments Log'!B:B, A290, 'Payments Log'!L:L, "Approved", 'Payments Log'!M:M, "Credit") + 'Old Balance Sheet'!AD290 - 'Old Balance Sheet'!AC290</f>
        <v>0</v>
      </c>
      <c r="DV290" s="31">
        <f>SUMIFS('Payments Log'!D:D, 'Payments Log'!B:B, A290, 'Payments Log'!L:L, "Approved", 'Payments Log'!M:M, "Adjustment Credit") - SUMIFS('Payments Log'!D:D, 'Payments Log'!B:B, A290, 'Payments Log'!L:L, "Approved", 'Payments Log'!M:M, "Adjustment Debit") + 'Old Balance Sheet'!AE290</f>
        <v>0</v>
      </c>
      <c r="DW290" s="31">
        <f>IF(MAXIFS('Payments Log'!N:N, 'Payments Log'!L:L, "Approved", 'Payments Log'!M:M, "Credit", 'Payments Log'!B:B, A290) &gt; MAXIFS('Payments Log'!N:N, 'Payments Log'!L:L, "Approved", 'Payments Log'!M:M, "Virtual Credit", 'Payments Log'!B:B, A290), 0, SUMIFS('Payments Log'!D:D, 'Payments Log'!N:N, MAXIFS('Payments Log'!N:N, 'Payments Log'!L:L, "Approved", 'Payments Log'!M:M, "Virtual Credit", 'Payments Log'!B:B, A290)))</f>
        <v>0</v>
      </c>
      <c r="DX290" s="33">
        <f t="shared" si="6"/>
        <v>0</v>
      </c>
      <c r="DY290" s="33">
        <f t="shared" si="7"/>
        <v>0</v>
      </c>
      <c r="DZ290" s="33">
        <f t="shared" si="8"/>
        <v>0</v>
      </c>
      <c r="EA290" s="25" t="str">
        <f>(Sheet1!N290)</f>
        <v>Gupta Automobiles - Padrauna</v>
      </c>
      <c r="EB290" s="25" t="str">
        <f>(Sheet1!O290)</f>
        <v>1Ql_6BdBcHGAyITSZt1pNUK3bW54CzeThIBXr7aH7K3Y</v>
      </c>
      <c r="EC290" s="26" t="str">
        <f>(Sheet1!P290)</f>
        <v>Sub Dealer</v>
      </c>
      <c r="ED290" s="34" t="s">
        <v>13</v>
      </c>
    </row>
    <row r="291">
      <c r="A291" s="26" t="str">
        <f>(Sheet1!A291)</f>
        <v>1bhPjaQq-g1jDtXoW8RLurTGLJE_d2uN5NupwulpULrs</v>
      </c>
      <c r="B291" s="26" t="str">
        <f>(Sheet1!B291)</f>
        <v>Sunil Motors (GA) - Inderpur</v>
      </c>
      <c r="C291" s="34" t="s">
        <v>13</v>
      </c>
      <c r="D291" s="34" t="s">
        <v>72</v>
      </c>
      <c r="E291" s="34" t="s">
        <v>3817</v>
      </c>
      <c r="F291" s="34">
        <v>175.0</v>
      </c>
      <c r="G291" s="34" t="s">
        <v>3818</v>
      </c>
      <c r="H291" s="34">
        <v>100.0</v>
      </c>
      <c r="I291" s="33">
        <f>'Old Balance Sheet'!A291 + 'ACPL Calculations - 1.0'!A291 + 'ACPL Calculations - 2.0'!A291</f>
        <v>172</v>
      </c>
      <c r="J291" s="34" t="s">
        <v>3820</v>
      </c>
      <c r="K291" s="34">
        <v>205.0</v>
      </c>
      <c r="L291" s="34" t="s">
        <v>3818</v>
      </c>
      <c r="M291" s="34">
        <v>100.0</v>
      </c>
      <c r="N291" s="33">
        <f>'Old Balance Sheet'!B291 + 'ACPL Calculations - 1.0'!B291 + 'ACPL Calculations - 2.0'!B291</f>
        <v>0</v>
      </c>
      <c r="O291" s="34" t="s">
        <v>3820</v>
      </c>
      <c r="P291" s="34">
        <v>290.0</v>
      </c>
      <c r="Q291" s="34" t="s">
        <v>3818</v>
      </c>
      <c r="R291" s="34">
        <v>100.0</v>
      </c>
      <c r="S291" s="33">
        <f>'Old Balance Sheet'!C291 + 'ACPL Calculations - 1.0'!C291 + 'ACPL Calculations - 2.0'!C291</f>
        <v>0</v>
      </c>
      <c r="T291" s="34" t="s">
        <v>3820</v>
      </c>
      <c r="U291" s="34">
        <v>375.0</v>
      </c>
      <c r="V291" s="34" t="s">
        <v>3818</v>
      </c>
      <c r="W291" s="34">
        <v>100.0</v>
      </c>
      <c r="X291" s="33">
        <f>'Old Balance Sheet'!D291 + 'ACPL Calculations - 1.0'!D291 + 'ACPL Calculations - 2.0'!D291</f>
        <v>0</v>
      </c>
      <c r="Y291" s="34" t="s">
        <v>3820</v>
      </c>
      <c r="Z291" s="34">
        <v>460.0</v>
      </c>
      <c r="AA291" s="32" t="s">
        <v>3818</v>
      </c>
      <c r="AB291" s="31">
        <v>100.0</v>
      </c>
      <c r="AC291" s="33">
        <f>'Old Balance Sheet'!E291 + 'ACPL Calculations - 1.0'!E291 + 'ACPL Calculations - 2.0'!E291</f>
        <v>0</v>
      </c>
      <c r="AD291" s="34" t="s">
        <v>3820</v>
      </c>
      <c r="AE291" s="34">
        <v>838.99</v>
      </c>
      <c r="AF291" s="32" t="s">
        <v>3818</v>
      </c>
      <c r="AG291" s="31">
        <v>100.0</v>
      </c>
      <c r="AH291" s="33">
        <f>'Old Balance Sheet'!F291 + 'ACPL Calculations - 1.0'!F291 + 'ACPL Calculations - 2.0'!F291</f>
        <v>0</v>
      </c>
      <c r="AI291" s="34" t="s">
        <v>3820</v>
      </c>
      <c r="AJ291" s="34">
        <v>375.0</v>
      </c>
      <c r="AK291" s="32" t="s">
        <v>3818</v>
      </c>
      <c r="AL291" s="31">
        <v>100.0</v>
      </c>
      <c r="AM291" s="33">
        <f>'Old Balance Sheet'!G291 + 'ACPL Calculations - 1.0'!G291 + 'ACPL Calculations - 2.0'!G291</f>
        <v>0</v>
      </c>
      <c r="AN291" s="34" t="s">
        <v>3820</v>
      </c>
      <c r="AO291" s="34">
        <v>290.0</v>
      </c>
      <c r="AP291" s="32" t="s">
        <v>3818</v>
      </c>
      <c r="AQ291" s="31">
        <v>100.0</v>
      </c>
      <c r="AR291" s="33">
        <f>'Old Balance Sheet'!H291 + 'ACPL Calculations - 1.0'!H291 + 'ACPL Calculations - 2.0'!H291</f>
        <v>0</v>
      </c>
      <c r="AS291" s="34" t="s">
        <v>3819</v>
      </c>
      <c r="AT291" s="34">
        <v>838.99</v>
      </c>
      <c r="AU291" s="32" t="s">
        <v>3818</v>
      </c>
      <c r="AV291" s="31">
        <v>100.0</v>
      </c>
      <c r="AW291" s="33">
        <f>'Old Balance Sheet'!I291 + 'ACPL Calculations - 1.0'!I291 + 'ACPL Calculations - 2.0'!I291</f>
        <v>0</v>
      </c>
      <c r="AX291" s="34" t="s">
        <v>3820</v>
      </c>
      <c r="AY291" s="34">
        <v>290.0</v>
      </c>
      <c r="AZ291" s="32" t="s">
        <v>3818</v>
      </c>
      <c r="BA291" s="31">
        <v>100.0</v>
      </c>
      <c r="BB291" s="33">
        <f>'Old Balance Sheet'!J291 + 'ACPL Calculations - 1.0'!J291 + 'ACPL Calculations - 2.0'!J291</f>
        <v>0</v>
      </c>
      <c r="BC291" s="34" t="s">
        <v>3820</v>
      </c>
      <c r="BD291" s="34">
        <v>205.0</v>
      </c>
      <c r="BE291" s="32" t="s">
        <v>3818</v>
      </c>
      <c r="BF291" s="31">
        <v>100.0</v>
      </c>
      <c r="BG291" s="33">
        <f>'Old Balance Sheet'!K291 + 'ACPL Calculations - 1.0'!K291 + 'ACPL Calculations - 2.0'!K291</f>
        <v>0</v>
      </c>
      <c r="BH291" s="34" t="s">
        <v>3820</v>
      </c>
      <c r="BI291" s="34">
        <v>205.0</v>
      </c>
      <c r="BJ291" s="32" t="s">
        <v>3818</v>
      </c>
      <c r="BK291" s="31">
        <v>100.0</v>
      </c>
      <c r="BL291" s="33">
        <f>'Old Balance Sheet'!L291 + 'ACPL Calculations - 1.0'!L291 + 'ACPL Calculations - 2.0'!L291</f>
        <v>0</v>
      </c>
      <c r="CL291" s="33">
        <f t="shared" si="1"/>
        <v>172</v>
      </c>
      <c r="CM291" s="33">
        <f>'Old Balance Sheet'!R291 + 'ACPL Calculations - 1.0'!S291 + 'ACPL Calculations - 2.0'!S291</f>
        <v>76024</v>
      </c>
      <c r="CN291" s="33">
        <f>'Old Balance Sheet'!S291 + 'ACPL Calculations - 1.0'!T291 + 'ACPL Calculations - 2.0'!T291</f>
        <v>30290</v>
      </c>
      <c r="CO291" s="33">
        <f t="shared" si="2"/>
        <v>41886.24</v>
      </c>
      <c r="CP291" s="33">
        <f>'Old Balance Sheet'!T291 + 'ACPL Calculations - 1.0'!V291 + 'ACPL Calculations - 2.0'!V291</f>
        <v>0</v>
      </c>
      <c r="CQ291" s="33">
        <f>'Old Balance Sheet'!U291 + 'ACPL Calculations - 1.0'!W291 + 'ACPL Calculations - 2.0'!W291</f>
        <v>0</v>
      </c>
      <c r="CR291" s="33">
        <f>'Old Balance Sheet'!V291 + 'ACPL Calculations - 1.0'!X291 + 'ACPL Calculations - 2.0'!X291</f>
        <v>11596.24</v>
      </c>
      <c r="CS291" s="33">
        <f t="shared" si="3"/>
        <v>11596.24</v>
      </c>
      <c r="CT291" s="35"/>
      <c r="CU291" s="35"/>
      <c r="CV291" s="35"/>
      <c r="CW291" s="36">
        <f>'Old Balance Sheet'!W291 + 'ACPL Calculations - 1.0'!Z291 + 'ACPL Calculations - 2.0'!Z291</f>
        <v>0</v>
      </c>
      <c r="CX291" s="36">
        <f>'Old Balance Sheet'!X291 + 'ACPL Calculations - 1.0'!AA291 + 'ACPL Calculations - 2.0'!AA291</f>
        <v>0</v>
      </c>
      <c r="CY291" s="37">
        <v>0.0</v>
      </c>
      <c r="CZ291" s="38">
        <f>'Old Balance Sheet'!Y291 + 'ACPL Calculations - 1.0'!AB291 + 'ACPL Calculations - 2.0'!AB291</f>
        <v>0</v>
      </c>
      <c r="DA291" s="38">
        <f>'Old Balance Sheet'!Z291 + 'ACPL Calculations - 1.0'!AC291 + 'ACPL Calculations - 2.0'!AC291</f>
        <v>0</v>
      </c>
      <c r="DB291" s="38">
        <f>'Old Balance Sheet'!AA291 + 'ACPL Calculations - 1.0'!AD291 + 'ACPL Calculations - 2.0'!AD291</f>
        <v>0</v>
      </c>
      <c r="DC291" s="38">
        <f>'Old Balance Sheet'!AB291 + 'ACPL Calculations - 1.0'!AE291 + 'ACPL Calculations - 2.0'!AE291</f>
        <v>0</v>
      </c>
      <c r="DD291" s="38">
        <f t="shared" si="4"/>
        <v>0</v>
      </c>
      <c r="DE291" s="33">
        <f t="shared" si="5"/>
        <v>0</v>
      </c>
      <c r="DF291" s="35">
        <v>0.0</v>
      </c>
      <c r="DG291" s="35">
        <v>0.0</v>
      </c>
      <c r="DH291" s="35">
        <v>0.0</v>
      </c>
      <c r="DI291" s="35">
        <v>0.0</v>
      </c>
      <c r="DJ291" s="35">
        <v>0.0</v>
      </c>
      <c r="DK291" s="35">
        <v>0.0</v>
      </c>
      <c r="DL291" s="35">
        <v>0.0</v>
      </c>
      <c r="DM291" s="35">
        <v>0.0</v>
      </c>
      <c r="DN291" s="31">
        <v>0.0</v>
      </c>
      <c r="DO291" s="31">
        <v>0.0</v>
      </c>
      <c r="DP291" s="31">
        <v>0.0</v>
      </c>
      <c r="DQ291" s="31">
        <v>0.0</v>
      </c>
      <c r="DR291" s="31">
        <v>0.0</v>
      </c>
      <c r="DS291" s="31">
        <v>0.0</v>
      </c>
      <c r="DT291" s="31">
        <f>'Old Balance Sheet'!AC291</f>
        <v>0</v>
      </c>
      <c r="DU291" s="31">
        <f>DT291 + SUMIFS('Payments Log'!D:D, 'Payments Log'!B:B, A291, 'Payments Log'!L:L, "Approved", 'Payments Log'!M:M, "Credit") + 'Old Balance Sheet'!AD291 - 'Old Balance Sheet'!AC291</f>
        <v>0</v>
      </c>
      <c r="DV291" s="31">
        <f>SUMIFS('Payments Log'!D:D, 'Payments Log'!B:B, A291, 'Payments Log'!L:L, "Approved", 'Payments Log'!M:M, "Adjustment Credit") - SUMIFS('Payments Log'!D:D, 'Payments Log'!B:B, A291, 'Payments Log'!L:L, "Approved", 'Payments Log'!M:M, "Adjustment Debit") + 'Old Balance Sheet'!AE291</f>
        <v>0</v>
      </c>
      <c r="DW291" s="31">
        <f>IF(MAXIFS('Payments Log'!N:N, 'Payments Log'!L:L, "Approved", 'Payments Log'!M:M, "Credit", 'Payments Log'!B:B, A291) &gt; MAXIFS('Payments Log'!N:N, 'Payments Log'!L:L, "Approved", 'Payments Log'!M:M, "Virtual Credit", 'Payments Log'!B:B, A291), 0, SUMIFS('Payments Log'!D:D, 'Payments Log'!N:N, MAXIFS('Payments Log'!N:N, 'Payments Log'!L:L, "Approved", 'Payments Log'!M:M, "Virtual Credit", 'Payments Log'!B:B, A291)))</f>
        <v>0</v>
      </c>
      <c r="DX291" s="33">
        <f t="shared" si="6"/>
        <v>0</v>
      </c>
      <c r="DY291" s="33">
        <f t="shared" si="7"/>
        <v>0</v>
      </c>
      <c r="DZ291" s="33">
        <f t="shared" si="8"/>
        <v>0</v>
      </c>
      <c r="EA291" s="25" t="str">
        <f>(Sheet1!N291)</f>
        <v>Gupta Automobiles - Padrauna</v>
      </c>
      <c r="EB291" s="25" t="str">
        <f>(Sheet1!O291)</f>
        <v>1Ql_6BdBcHGAyITSZt1pNUK3bW54CzeThIBXr7aH7K3Y</v>
      </c>
      <c r="EC291" s="26" t="str">
        <f>(Sheet1!P291)</f>
        <v>Sub Dealer</v>
      </c>
      <c r="ED291" s="34" t="s">
        <v>13</v>
      </c>
    </row>
    <row r="292">
      <c r="A292" s="26" t="str">
        <f>(Sheet1!A292)</f>
        <v>1xFID_8JlzSrxrXeYVgdRqij29QdUPwj9WI5dysI9CDw</v>
      </c>
      <c r="B292" s="26" t="str">
        <f>(Sheet1!B292)</f>
        <v>Samar Automobiles- Dudahi</v>
      </c>
      <c r="C292" s="34" t="s">
        <v>13</v>
      </c>
      <c r="D292" s="34" t="s">
        <v>72</v>
      </c>
      <c r="E292" s="34" t="s">
        <v>3817</v>
      </c>
      <c r="F292" s="34">
        <v>175.0</v>
      </c>
      <c r="G292" s="34" t="s">
        <v>3818</v>
      </c>
      <c r="H292" s="34">
        <v>100.0</v>
      </c>
      <c r="I292" s="33">
        <f>'Old Balance Sheet'!A292 + 'ACPL Calculations - 1.0'!A292 + 'ACPL Calculations - 2.0'!A292</f>
        <v>63</v>
      </c>
      <c r="J292" s="34" t="s">
        <v>3820</v>
      </c>
      <c r="K292" s="34">
        <v>205.0</v>
      </c>
      <c r="L292" s="34" t="s">
        <v>3818</v>
      </c>
      <c r="M292" s="34">
        <v>100.0</v>
      </c>
      <c r="N292" s="33">
        <f>'Old Balance Sheet'!B292 + 'ACPL Calculations - 1.0'!B292 + 'ACPL Calculations - 2.0'!B292</f>
        <v>0</v>
      </c>
      <c r="O292" s="34" t="s">
        <v>3820</v>
      </c>
      <c r="P292" s="34">
        <v>290.0</v>
      </c>
      <c r="Q292" s="34" t="s">
        <v>3818</v>
      </c>
      <c r="R292" s="34">
        <v>100.0</v>
      </c>
      <c r="S292" s="33">
        <f>'Old Balance Sheet'!C292 + 'ACPL Calculations - 1.0'!C292 + 'ACPL Calculations - 2.0'!C292</f>
        <v>0</v>
      </c>
      <c r="T292" s="34" t="s">
        <v>3820</v>
      </c>
      <c r="U292" s="34">
        <v>375.0</v>
      </c>
      <c r="V292" s="34" t="s">
        <v>3818</v>
      </c>
      <c r="W292" s="34">
        <v>100.0</v>
      </c>
      <c r="X292" s="33">
        <f>'Old Balance Sheet'!D292 + 'ACPL Calculations - 1.0'!D292 + 'ACPL Calculations - 2.0'!D292</f>
        <v>0</v>
      </c>
      <c r="Y292" s="34" t="s">
        <v>3820</v>
      </c>
      <c r="Z292" s="34">
        <v>460.0</v>
      </c>
      <c r="AA292" s="32" t="s">
        <v>3818</v>
      </c>
      <c r="AB292" s="31">
        <v>100.0</v>
      </c>
      <c r="AC292" s="33">
        <f>'Old Balance Sheet'!E292 + 'ACPL Calculations - 1.0'!E292 + 'ACPL Calculations - 2.0'!E292</f>
        <v>0</v>
      </c>
      <c r="AD292" s="34" t="s">
        <v>3820</v>
      </c>
      <c r="AE292" s="34">
        <v>838.99</v>
      </c>
      <c r="AF292" s="32" t="s">
        <v>3818</v>
      </c>
      <c r="AG292" s="31">
        <v>100.0</v>
      </c>
      <c r="AH292" s="33">
        <f>'Old Balance Sheet'!F292 + 'ACPL Calculations - 1.0'!F292 + 'ACPL Calculations - 2.0'!F292</f>
        <v>0</v>
      </c>
      <c r="AI292" s="34" t="s">
        <v>3820</v>
      </c>
      <c r="AJ292" s="34">
        <v>375.0</v>
      </c>
      <c r="AK292" s="32" t="s">
        <v>3818</v>
      </c>
      <c r="AL292" s="31">
        <v>100.0</v>
      </c>
      <c r="AM292" s="33">
        <f>'Old Balance Sheet'!G292 + 'ACPL Calculations - 1.0'!G292 + 'ACPL Calculations - 2.0'!G292</f>
        <v>0</v>
      </c>
      <c r="AN292" s="34" t="s">
        <v>3820</v>
      </c>
      <c r="AO292" s="34">
        <v>290.0</v>
      </c>
      <c r="AP292" s="32" t="s">
        <v>3818</v>
      </c>
      <c r="AQ292" s="31">
        <v>100.0</v>
      </c>
      <c r="AR292" s="33">
        <f>'Old Balance Sheet'!H292 + 'ACPL Calculations - 1.0'!H292 + 'ACPL Calculations - 2.0'!H292</f>
        <v>0</v>
      </c>
      <c r="AS292" s="34" t="s">
        <v>3819</v>
      </c>
      <c r="AT292" s="34">
        <v>838.99</v>
      </c>
      <c r="AU292" s="32" t="s">
        <v>3818</v>
      </c>
      <c r="AV292" s="31">
        <v>100.0</v>
      </c>
      <c r="AW292" s="33">
        <f>'Old Balance Sheet'!I292 + 'ACPL Calculations - 1.0'!I292 + 'ACPL Calculations - 2.0'!I292</f>
        <v>0</v>
      </c>
      <c r="AX292" s="34" t="s">
        <v>3820</v>
      </c>
      <c r="AY292" s="34">
        <v>290.0</v>
      </c>
      <c r="AZ292" s="32" t="s">
        <v>3818</v>
      </c>
      <c r="BA292" s="31">
        <v>100.0</v>
      </c>
      <c r="BB292" s="33">
        <f>'Old Balance Sheet'!J292 + 'ACPL Calculations - 1.0'!J292 + 'ACPL Calculations - 2.0'!J292</f>
        <v>0</v>
      </c>
      <c r="BC292" s="34" t="s">
        <v>3820</v>
      </c>
      <c r="BD292" s="34">
        <v>205.0</v>
      </c>
      <c r="BE292" s="32" t="s">
        <v>3818</v>
      </c>
      <c r="BF292" s="31">
        <v>100.0</v>
      </c>
      <c r="BG292" s="33">
        <f>'Old Balance Sheet'!K292 + 'ACPL Calculations - 1.0'!K292 + 'ACPL Calculations - 2.0'!K292</f>
        <v>0</v>
      </c>
      <c r="BH292" s="34" t="s">
        <v>3820</v>
      </c>
      <c r="BI292" s="34">
        <v>205.0</v>
      </c>
      <c r="BJ292" s="32" t="s">
        <v>3818</v>
      </c>
      <c r="BK292" s="31">
        <v>100.0</v>
      </c>
      <c r="BL292" s="33">
        <f>'Old Balance Sheet'!L292 + 'ACPL Calculations - 1.0'!L292 + 'ACPL Calculations - 2.0'!L292</f>
        <v>0</v>
      </c>
      <c r="CL292" s="33">
        <f t="shared" si="1"/>
        <v>63</v>
      </c>
      <c r="CM292" s="33">
        <f>'Old Balance Sheet'!R292 + 'ACPL Calculations - 1.0'!S292 + 'ACPL Calculations - 2.0'!S292</f>
        <v>27846</v>
      </c>
      <c r="CN292" s="33">
        <f>'Old Balance Sheet'!S292 + 'ACPL Calculations - 1.0'!T292 + 'ACPL Calculations - 2.0'!T292</f>
        <v>11810</v>
      </c>
      <c r="CO292" s="33">
        <f t="shared" si="2"/>
        <v>16057.46</v>
      </c>
      <c r="CP292" s="33">
        <f>'Old Balance Sheet'!T292 + 'ACPL Calculations - 1.0'!V292 + 'ACPL Calculations - 2.0'!V292</f>
        <v>0</v>
      </c>
      <c r="CQ292" s="33">
        <f>'Old Balance Sheet'!U292 + 'ACPL Calculations - 1.0'!W292 + 'ACPL Calculations - 2.0'!W292</f>
        <v>0</v>
      </c>
      <c r="CR292" s="33">
        <f>'Old Balance Sheet'!V292 + 'ACPL Calculations - 1.0'!X292 + 'ACPL Calculations - 2.0'!X292</f>
        <v>4247.46</v>
      </c>
      <c r="CS292" s="33">
        <f t="shared" si="3"/>
        <v>4247.46</v>
      </c>
      <c r="CT292" s="35"/>
      <c r="CU292" s="35"/>
      <c r="CV292" s="35"/>
      <c r="CW292" s="36">
        <f>'Old Balance Sheet'!W292 + 'ACPL Calculations - 1.0'!Z292 + 'ACPL Calculations - 2.0'!Z292</f>
        <v>0</v>
      </c>
      <c r="CX292" s="36">
        <f>'Old Balance Sheet'!X292 + 'ACPL Calculations - 1.0'!AA292 + 'ACPL Calculations - 2.0'!AA292</f>
        <v>0</v>
      </c>
      <c r="CY292" s="37">
        <v>0.0</v>
      </c>
      <c r="CZ292" s="38">
        <f>'Old Balance Sheet'!Y292 + 'ACPL Calculations - 1.0'!AB292 + 'ACPL Calculations - 2.0'!AB292</f>
        <v>0</v>
      </c>
      <c r="DA292" s="38">
        <f>'Old Balance Sheet'!Z292 + 'ACPL Calculations - 1.0'!AC292 + 'ACPL Calculations - 2.0'!AC292</f>
        <v>0</v>
      </c>
      <c r="DB292" s="38">
        <f>'Old Balance Sheet'!AA292 + 'ACPL Calculations - 1.0'!AD292 + 'ACPL Calculations - 2.0'!AD292</f>
        <v>0</v>
      </c>
      <c r="DC292" s="38">
        <f>'Old Balance Sheet'!AB292 + 'ACPL Calculations - 1.0'!AE292 + 'ACPL Calculations - 2.0'!AE292</f>
        <v>0</v>
      </c>
      <c r="DD292" s="38">
        <f t="shared" si="4"/>
        <v>0</v>
      </c>
      <c r="DE292" s="33">
        <f t="shared" si="5"/>
        <v>0</v>
      </c>
      <c r="DF292" s="35">
        <v>0.0</v>
      </c>
      <c r="DG292" s="35">
        <v>0.0</v>
      </c>
      <c r="DH292" s="35">
        <v>0.0</v>
      </c>
      <c r="DI292" s="35">
        <v>0.0</v>
      </c>
      <c r="DJ292" s="35">
        <v>0.0</v>
      </c>
      <c r="DK292" s="35">
        <v>0.0</v>
      </c>
      <c r="DL292" s="35">
        <v>0.0</v>
      </c>
      <c r="DM292" s="35">
        <v>0.0</v>
      </c>
      <c r="DN292" s="31">
        <v>0.0</v>
      </c>
      <c r="DO292" s="31">
        <v>0.0</v>
      </c>
      <c r="DP292" s="31">
        <v>0.0</v>
      </c>
      <c r="DQ292" s="31">
        <v>0.0</v>
      </c>
      <c r="DR292" s="31">
        <v>0.0</v>
      </c>
      <c r="DS292" s="31">
        <v>0.0</v>
      </c>
      <c r="DT292" s="31">
        <f>'Old Balance Sheet'!AC292</f>
        <v>0</v>
      </c>
      <c r="DU292" s="31">
        <f>DT292 + SUMIFS('Payments Log'!D:D, 'Payments Log'!B:B, A292, 'Payments Log'!L:L, "Approved", 'Payments Log'!M:M, "Credit") + 'Old Balance Sheet'!AD292 - 'Old Balance Sheet'!AC292</f>
        <v>0</v>
      </c>
      <c r="DV292" s="31">
        <f>SUMIFS('Payments Log'!D:D, 'Payments Log'!B:B, A292, 'Payments Log'!L:L, "Approved", 'Payments Log'!M:M, "Adjustment Credit") - SUMIFS('Payments Log'!D:D, 'Payments Log'!B:B, A292, 'Payments Log'!L:L, "Approved", 'Payments Log'!M:M, "Adjustment Debit") + 'Old Balance Sheet'!AE292</f>
        <v>0</v>
      </c>
      <c r="DW292" s="31">
        <f>IF(MAXIFS('Payments Log'!N:N, 'Payments Log'!L:L, "Approved", 'Payments Log'!M:M, "Credit", 'Payments Log'!B:B, A292) &gt; MAXIFS('Payments Log'!N:N, 'Payments Log'!L:L, "Approved", 'Payments Log'!M:M, "Virtual Credit", 'Payments Log'!B:B, A292), 0, SUMIFS('Payments Log'!D:D, 'Payments Log'!N:N, MAXIFS('Payments Log'!N:N, 'Payments Log'!L:L, "Approved", 'Payments Log'!M:M, "Virtual Credit", 'Payments Log'!B:B, A292)))</f>
        <v>0</v>
      </c>
      <c r="DX292" s="33">
        <f t="shared" si="6"/>
        <v>0</v>
      </c>
      <c r="DY292" s="33">
        <f t="shared" si="7"/>
        <v>0</v>
      </c>
      <c r="DZ292" s="33">
        <f t="shared" si="8"/>
        <v>0</v>
      </c>
      <c r="EA292" s="25" t="str">
        <f>(Sheet1!N292)</f>
        <v>Gupta Automobiles - Padrauna</v>
      </c>
      <c r="EB292" s="25" t="str">
        <f>(Sheet1!O292)</f>
        <v>1Ql_6BdBcHGAyITSZt1pNUK3bW54CzeThIBXr7aH7K3Y</v>
      </c>
      <c r="EC292" s="26" t="str">
        <f>(Sheet1!P292)</f>
        <v>Sub Dealer</v>
      </c>
      <c r="ED292" s="34" t="s">
        <v>13</v>
      </c>
    </row>
    <row r="293">
      <c r="A293" s="26" t="str">
        <f>(Sheet1!A293)</f>
        <v>1X_m6RcHqFfcQ7cuPRVFGEfC7_tgNzz3k2sBzk-y5Lho</v>
      </c>
      <c r="B293" s="26" t="str">
        <f>(Sheet1!B293)</f>
        <v>Krishna Automobile - Mathauli bazar</v>
      </c>
      <c r="C293" s="34" t="s">
        <v>13</v>
      </c>
      <c r="D293" s="34" t="s">
        <v>72</v>
      </c>
      <c r="E293" s="34" t="s">
        <v>3817</v>
      </c>
      <c r="F293" s="34">
        <v>175.0</v>
      </c>
      <c r="G293" s="34" t="s">
        <v>3818</v>
      </c>
      <c r="H293" s="34">
        <v>100.0</v>
      </c>
      <c r="I293" s="33">
        <f>'Old Balance Sheet'!A293 + 'ACPL Calculations - 1.0'!A293 + 'ACPL Calculations - 2.0'!A293</f>
        <v>267</v>
      </c>
      <c r="J293" s="34" t="s">
        <v>3820</v>
      </c>
      <c r="K293" s="34">
        <v>205.0</v>
      </c>
      <c r="L293" s="34" t="s">
        <v>3818</v>
      </c>
      <c r="M293" s="34">
        <v>100.0</v>
      </c>
      <c r="N293" s="33">
        <f>'Old Balance Sheet'!B293 + 'ACPL Calculations - 1.0'!B293 + 'ACPL Calculations - 2.0'!B293</f>
        <v>0</v>
      </c>
      <c r="O293" s="34" t="s">
        <v>3820</v>
      </c>
      <c r="P293" s="34">
        <v>290.0</v>
      </c>
      <c r="Q293" s="34" t="s">
        <v>3818</v>
      </c>
      <c r="R293" s="34">
        <v>100.0</v>
      </c>
      <c r="S293" s="33">
        <f>'Old Balance Sheet'!C293 + 'ACPL Calculations - 1.0'!C293 + 'ACPL Calculations - 2.0'!C293</f>
        <v>0</v>
      </c>
      <c r="T293" s="34" t="s">
        <v>3820</v>
      </c>
      <c r="U293" s="34">
        <v>375.0</v>
      </c>
      <c r="V293" s="34" t="s">
        <v>3818</v>
      </c>
      <c r="W293" s="34">
        <v>100.0</v>
      </c>
      <c r="X293" s="33">
        <f>'Old Balance Sheet'!D293 + 'ACPL Calculations - 1.0'!D293 + 'ACPL Calculations - 2.0'!D293</f>
        <v>0</v>
      </c>
      <c r="Y293" s="34" t="s">
        <v>3820</v>
      </c>
      <c r="Z293" s="34">
        <v>460.0</v>
      </c>
      <c r="AA293" s="32" t="s">
        <v>3818</v>
      </c>
      <c r="AB293" s="31">
        <v>100.0</v>
      </c>
      <c r="AC293" s="33">
        <f>'Old Balance Sheet'!E293 + 'ACPL Calculations - 1.0'!E293 + 'ACPL Calculations - 2.0'!E293</f>
        <v>0</v>
      </c>
      <c r="AD293" s="34" t="s">
        <v>3820</v>
      </c>
      <c r="AE293" s="34">
        <v>838.99</v>
      </c>
      <c r="AF293" s="32" t="s">
        <v>3818</v>
      </c>
      <c r="AG293" s="31">
        <v>100.0</v>
      </c>
      <c r="AH293" s="33">
        <f>'Old Balance Sheet'!F293 + 'ACPL Calculations - 1.0'!F293 + 'ACPL Calculations - 2.0'!F293</f>
        <v>0</v>
      </c>
      <c r="AI293" s="34" t="s">
        <v>3820</v>
      </c>
      <c r="AJ293" s="34">
        <v>375.0</v>
      </c>
      <c r="AK293" s="32" t="s">
        <v>3818</v>
      </c>
      <c r="AL293" s="31">
        <v>100.0</v>
      </c>
      <c r="AM293" s="33">
        <f>'Old Balance Sheet'!G293 + 'ACPL Calculations - 1.0'!G293 + 'ACPL Calculations - 2.0'!G293</f>
        <v>0</v>
      </c>
      <c r="AN293" s="34" t="s">
        <v>3820</v>
      </c>
      <c r="AO293" s="34">
        <v>290.0</v>
      </c>
      <c r="AP293" s="32" t="s">
        <v>3818</v>
      </c>
      <c r="AQ293" s="31">
        <v>100.0</v>
      </c>
      <c r="AR293" s="33">
        <f>'Old Balance Sheet'!H293 + 'ACPL Calculations - 1.0'!H293 + 'ACPL Calculations - 2.0'!H293</f>
        <v>0</v>
      </c>
      <c r="AS293" s="34" t="s">
        <v>3819</v>
      </c>
      <c r="AT293" s="34">
        <v>838.99</v>
      </c>
      <c r="AU293" s="32" t="s">
        <v>3818</v>
      </c>
      <c r="AV293" s="31">
        <v>100.0</v>
      </c>
      <c r="AW293" s="33">
        <f>'Old Balance Sheet'!I293 + 'ACPL Calculations - 1.0'!I293 + 'ACPL Calculations - 2.0'!I293</f>
        <v>0</v>
      </c>
      <c r="AX293" s="34" t="s">
        <v>3820</v>
      </c>
      <c r="AY293" s="34">
        <v>290.0</v>
      </c>
      <c r="AZ293" s="32" t="s">
        <v>3818</v>
      </c>
      <c r="BA293" s="31">
        <v>100.0</v>
      </c>
      <c r="BB293" s="33">
        <f>'Old Balance Sheet'!J293 + 'ACPL Calculations - 1.0'!J293 + 'ACPL Calculations - 2.0'!J293</f>
        <v>0</v>
      </c>
      <c r="BC293" s="34" t="s">
        <v>3820</v>
      </c>
      <c r="BD293" s="34">
        <v>205.0</v>
      </c>
      <c r="BE293" s="32" t="s">
        <v>3818</v>
      </c>
      <c r="BF293" s="31">
        <v>100.0</v>
      </c>
      <c r="BG293" s="33">
        <f>'Old Balance Sheet'!K293 + 'ACPL Calculations - 1.0'!K293 + 'ACPL Calculations - 2.0'!K293</f>
        <v>0</v>
      </c>
      <c r="BH293" s="34" t="s">
        <v>3820</v>
      </c>
      <c r="BI293" s="34">
        <v>205.0</v>
      </c>
      <c r="BJ293" s="32" t="s">
        <v>3818</v>
      </c>
      <c r="BK293" s="31">
        <v>100.0</v>
      </c>
      <c r="BL293" s="33">
        <f>'Old Balance Sheet'!L293 + 'ACPL Calculations - 1.0'!L293 + 'ACPL Calculations - 2.0'!L293</f>
        <v>0</v>
      </c>
      <c r="CL293" s="33">
        <f t="shared" si="1"/>
        <v>267</v>
      </c>
      <c r="CM293" s="33">
        <f>'Old Balance Sheet'!R293 + 'ACPL Calculations - 1.0'!S293 + 'ACPL Calculations - 2.0'!S293</f>
        <v>118014</v>
      </c>
      <c r="CN293" s="33">
        <f>'Old Balance Sheet'!S293 + 'ACPL Calculations - 1.0'!T293 + 'ACPL Calculations - 2.0'!T293</f>
        <v>46106</v>
      </c>
      <c r="CO293" s="33">
        <f t="shared" si="2"/>
        <v>64107.14</v>
      </c>
      <c r="CP293" s="33">
        <f>'Old Balance Sheet'!T293 + 'ACPL Calculations - 1.0'!V293 + 'ACPL Calculations - 2.0'!V293</f>
        <v>0</v>
      </c>
      <c r="CQ293" s="33">
        <f>'Old Balance Sheet'!U293 + 'ACPL Calculations - 1.0'!W293 + 'ACPL Calculations - 2.0'!W293</f>
        <v>0</v>
      </c>
      <c r="CR293" s="33">
        <f>'Old Balance Sheet'!V293 + 'ACPL Calculations - 1.0'!X293 + 'ACPL Calculations - 2.0'!X293</f>
        <v>18001.14</v>
      </c>
      <c r="CS293" s="33">
        <f t="shared" si="3"/>
        <v>18001.14</v>
      </c>
      <c r="CT293" s="35"/>
      <c r="CU293" s="35"/>
      <c r="CV293" s="35"/>
      <c r="CW293" s="36">
        <f>'Old Balance Sheet'!W293 + 'ACPL Calculations - 1.0'!Z293 + 'ACPL Calculations - 2.0'!Z293</f>
        <v>0</v>
      </c>
      <c r="CX293" s="36">
        <f>'Old Balance Sheet'!X293 + 'ACPL Calculations - 1.0'!AA293 + 'ACPL Calculations - 2.0'!AA293</f>
        <v>0</v>
      </c>
      <c r="CY293" s="37">
        <v>0.0</v>
      </c>
      <c r="CZ293" s="38">
        <f>'Old Balance Sheet'!Y293 + 'ACPL Calculations - 1.0'!AB293 + 'ACPL Calculations - 2.0'!AB293</f>
        <v>0</v>
      </c>
      <c r="DA293" s="38">
        <f>'Old Balance Sheet'!Z293 + 'ACPL Calculations - 1.0'!AC293 + 'ACPL Calculations - 2.0'!AC293</f>
        <v>0</v>
      </c>
      <c r="DB293" s="38">
        <f>'Old Balance Sheet'!AA293 + 'ACPL Calculations - 1.0'!AD293 + 'ACPL Calculations - 2.0'!AD293</f>
        <v>0</v>
      </c>
      <c r="DC293" s="38">
        <f>'Old Balance Sheet'!AB293 + 'ACPL Calculations - 1.0'!AE293 + 'ACPL Calculations - 2.0'!AE293</f>
        <v>0</v>
      </c>
      <c r="DD293" s="38">
        <f t="shared" si="4"/>
        <v>0</v>
      </c>
      <c r="DE293" s="33">
        <f t="shared" si="5"/>
        <v>0</v>
      </c>
      <c r="DF293" s="35">
        <v>0.0</v>
      </c>
      <c r="DG293" s="35">
        <v>0.0</v>
      </c>
      <c r="DH293" s="35">
        <v>0.0</v>
      </c>
      <c r="DI293" s="35">
        <v>0.0</v>
      </c>
      <c r="DJ293" s="35">
        <v>0.0</v>
      </c>
      <c r="DK293" s="35">
        <v>0.0</v>
      </c>
      <c r="DL293" s="35">
        <v>0.0</v>
      </c>
      <c r="DM293" s="35">
        <v>0.0</v>
      </c>
      <c r="DN293" s="31">
        <v>0.0</v>
      </c>
      <c r="DO293" s="31">
        <v>0.0</v>
      </c>
      <c r="DP293" s="31">
        <v>0.0</v>
      </c>
      <c r="DQ293" s="31">
        <v>0.0</v>
      </c>
      <c r="DR293" s="31">
        <v>0.0</v>
      </c>
      <c r="DS293" s="31">
        <v>0.0</v>
      </c>
      <c r="DT293" s="31">
        <f>'Old Balance Sheet'!AC293</f>
        <v>0</v>
      </c>
      <c r="DU293" s="31">
        <f>DT293 + SUMIFS('Payments Log'!D:D, 'Payments Log'!B:B, A293, 'Payments Log'!L:L, "Approved", 'Payments Log'!M:M, "Credit") + 'Old Balance Sheet'!AD293 - 'Old Balance Sheet'!AC293</f>
        <v>0</v>
      </c>
      <c r="DV293" s="31">
        <f>SUMIFS('Payments Log'!D:D, 'Payments Log'!B:B, A293, 'Payments Log'!L:L, "Approved", 'Payments Log'!M:M, "Adjustment Credit") - SUMIFS('Payments Log'!D:D, 'Payments Log'!B:B, A293, 'Payments Log'!L:L, "Approved", 'Payments Log'!M:M, "Adjustment Debit") + 'Old Balance Sheet'!AE293</f>
        <v>0</v>
      </c>
      <c r="DW293" s="31">
        <f>IF(MAXIFS('Payments Log'!N:N, 'Payments Log'!L:L, "Approved", 'Payments Log'!M:M, "Credit", 'Payments Log'!B:B, A293) &gt; MAXIFS('Payments Log'!N:N, 'Payments Log'!L:L, "Approved", 'Payments Log'!M:M, "Virtual Credit", 'Payments Log'!B:B, A293), 0, SUMIFS('Payments Log'!D:D, 'Payments Log'!N:N, MAXIFS('Payments Log'!N:N, 'Payments Log'!L:L, "Approved", 'Payments Log'!M:M, "Virtual Credit", 'Payments Log'!B:B, A293)))</f>
        <v>0</v>
      </c>
      <c r="DX293" s="33">
        <f t="shared" si="6"/>
        <v>0</v>
      </c>
      <c r="DY293" s="33">
        <f t="shared" si="7"/>
        <v>0</v>
      </c>
      <c r="DZ293" s="33">
        <f t="shared" si="8"/>
        <v>0</v>
      </c>
      <c r="EA293" s="25" t="str">
        <f>(Sheet1!N293)</f>
        <v>Gupta Automobiles - Padrauna</v>
      </c>
      <c r="EB293" s="25" t="str">
        <f>(Sheet1!O293)</f>
        <v>1Ql_6BdBcHGAyITSZt1pNUK3bW54CzeThIBXr7aH7K3Y</v>
      </c>
      <c r="EC293" s="26" t="str">
        <f>(Sheet1!P293)</f>
        <v>Sub Dealer</v>
      </c>
      <c r="ED293" s="34" t="s">
        <v>13</v>
      </c>
    </row>
    <row r="294">
      <c r="A294" s="26" t="str">
        <f>(Sheet1!A294)</f>
        <v>1x38XOM-VqTgqoXTPjpnyXIiMMrMalrJof7768QJp3LU</v>
      </c>
      <c r="B294" s="26" t="str">
        <f>(Sheet1!B294)</f>
        <v>KATKAM HONDA-KAMMAM</v>
      </c>
      <c r="C294" s="34" t="s">
        <v>13</v>
      </c>
      <c r="D294" s="34" t="s">
        <v>72</v>
      </c>
      <c r="E294" s="34" t="s">
        <v>3817</v>
      </c>
      <c r="F294" s="34">
        <v>245.0</v>
      </c>
      <c r="G294" s="34" t="s">
        <v>3818</v>
      </c>
      <c r="H294" s="34">
        <v>100.0</v>
      </c>
      <c r="I294" s="33">
        <f>'Old Balance Sheet'!A294 + 'ACPL Calculations - 1.0'!A294 + 'ACPL Calculations - 2.0'!A294</f>
        <v>0</v>
      </c>
      <c r="J294" s="34" t="s">
        <v>3817</v>
      </c>
      <c r="K294" s="34">
        <v>205.0</v>
      </c>
      <c r="L294" s="34" t="s">
        <v>3818</v>
      </c>
      <c r="M294" s="34">
        <v>100.0</v>
      </c>
      <c r="N294" s="33">
        <f>'Old Balance Sheet'!B294 + 'ACPL Calculations - 1.0'!B294 + 'ACPL Calculations - 2.0'!B294</f>
        <v>0</v>
      </c>
      <c r="O294" s="34" t="s">
        <v>3817</v>
      </c>
      <c r="P294" s="34">
        <v>290.0</v>
      </c>
      <c r="Q294" s="34" t="s">
        <v>3818</v>
      </c>
      <c r="R294" s="34">
        <v>100.0</v>
      </c>
      <c r="S294" s="33">
        <f>'Old Balance Sheet'!C294 + 'ACPL Calculations - 1.0'!C294 + 'ACPL Calculations - 2.0'!C294</f>
        <v>0</v>
      </c>
      <c r="T294" s="34" t="s">
        <v>3817</v>
      </c>
      <c r="U294" s="34">
        <v>375.0</v>
      </c>
      <c r="V294" s="34" t="s">
        <v>3818</v>
      </c>
      <c r="W294" s="34">
        <v>100.0</v>
      </c>
      <c r="X294" s="33">
        <f>'Old Balance Sheet'!D294 + 'ACPL Calculations - 1.0'!D294 + 'ACPL Calculations - 2.0'!D294</f>
        <v>0</v>
      </c>
      <c r="Y294" s="34" t="s">
        <v>3817</v>
      </c>
      <c r="Z294" s="34">
        <v>460.0</v>
      </c>
      <c r="AA294" s="32" t="s">
        <v>3818</v>
      </c>
      <c r="AB294" s="31">
        <v>100.0</v>
      </c>
      <c r="AC294" s="33">
        <f>'Old Balance Sheet'!E294 + 'ACPL Calculations - 1.0'!E294 + 'ACPL Calculations - 2.0'!E294</f>
        <v>0</v>
      </c>
      <c r="AD294" s="34" t="s">
        <v>3817</v>
      </c>
      <c r="AE294" s="34">
        <v>838.99</v>
      </c>
      <c r="AF294" s="32" t="s">
        <v>3818</v>
      </c>
      <c r="AG294" s="31">
        <v>100.0</v>
      </c>
      <c r="AH294" s="33">
        <f>'Old Balance Sheet'!F294 + 'ACPL Calculations - 1.0'!F294 + 'ACPL Calculations - 2.0'!F294</f>
        <v>0</v>
      </c>
      <c r="AI294" s="34" t="s">
        <v>3817</v>
      </c>
      <c r="AJ294" s="34">
        <v>375.0</v>
      </c>
      <c r="AK294" s="32" t="s">
        <v>3818</v>
      </c>
      <c r="AL294" s="31">
        <v>100.0</v>
      </c>
      <c r="AM294" s="33">
        <f>'Old Balance Sheet'!G294 + 'ACPL Calculations - 1.0'!G294 + 'ACPL Calculations - 2.0'!G294</f>
        <v>0</v>
      </c>
      <c r="AN294" s="34" t="s">
        <v>3817</v>
      </c>
      <c r="AO294" s="34">
        <v>290.0</v>
      </c>
      <c r="AP294" s="32" t="s">
        <v>3818</v>
      </c>
      <c r="AQ294" s="31">
        <v>100.0</v>
      </c>
      <c r="AR294" s="33">
        <f>'Old Balance Sheet'!H294 + 'ACPL Calculations - 1.0'!H294 + 'ACPL Calculations - 2.0'!H294</f>
        <v>0</v>
      </c>
      <c r="AS294" s="34" t="s">
        <v>3819</v>
      </c>
      <c r="AT294" s="34">
        <v>838.99</v>
      </c>
      <c r="AU294" s="32" t="s">
        <v>3818</v>
      </c>
      <c r="AV294" s="31">
        <v>100.0</v>
      </c>
      <c r="AW294" s="33">
        <f>'Old Balance Sheet'!I294 + 'ACPL Calculations - 1.0'!I294 + 'ACPL Calculations - 2.0'!I294</f>
        <v>0</v>
      </c>
      <c r="AX294" s="34" t="s">
        <v>3817</v>
      </c>
      <c r="AY294" s="34">
        <v>290.0</v>
      </c>
      <c r="AZ294" s="32" t="s">
        <v>3818</v>
      </c>
      <c r="BA294" s="31">
        <v>100.0</v>
      </c>
      <c r="BB294" s="33">
        <f>'Old Balance Sheet'!J294 + 'ACPL Calculations - 1.0'!J294 + 'ACPL Calculations - 2.0'!J294</f>
        <v>0</v>
      </c>
      <c r="BC294" s="34" t="s">
        <v>3817</v>
      </c>
      <c r="BD294" s="34">
        <v>205.0</v>
      </c>
      <c r="BE294" s="32" t="s">
        <v>3818</v>
      </c>
      <c r="BF294" s="31">
        <v>100.0</v>
      </c>
      <c r="BG294" s="33">
        <f>'Old Balance Sheet'!K294 + 'ACPL Calculations - 1.0'!K294 + 'ACPL Calculations - 2.0'!K294</f>
        <v>0</v>
      </c>
      <c r="BH294" s="34" t="s">
        <v>3817</v>
      </c>
      <c r="BI294" s="34">
        <v>205.0</v>
      </c>
      <c r="BJ294" s="32" t="s">
        <v>3818</v>
      </c>
      <c r="BK294" s="31">
        <v>100.0</v>
      </c>
      <c r="BL294" s="33">
        <f>'Old Balance Sheet'!L294 + 'ACPL Calculations - 1.0'!L294 + 'ACPL Calculations - 2.0'!L294</f>
        <v>0</v>
      </c>
      <c r="CL294" s="33">
        <f t="shared" si="1"/>
        <v>0</v>
      </c>
      <c r="CM294" s="33">
        <f>'Old Balance Sheet'!R294 + 'ACPL Calculations - 1.0'!S294 + 'ACPL Calculations - 2.0'!S294</f>
        <v>0</v>
      </c>
      <c r="CN294" s="33">
        <f>'Old Balance Sheet'!S294 + 'ACPL Calculations - 1.0'!T294 + 'ACPL Calculations - 2.0'!T294</f>
        <v>0</v>
      </c>
      <c r="CO294" s="33">
        <f t="shared" si="2"/>
        <v>0</v>
      </c>
      <c r="CP294" s="33">
        <f>'Old Balance Sheet'!T294 + 'ACPL Calculations - 1.0'!V294 + 'ACPL Calculations - 2.0'!V294</f>
        <v>0</v>
      </c>
      <c r="CQ294" s="33">
        <f>'Old Balance Sheet'!U294 + 'ACPL Calculations - 1.0'!W294 + 'ACPL Calculations - 2.0'!W294</f>
        <v>0</v>
      </c>
      <c r="CR294" s="33">
        <f>'Old Balance Sheet'!V294 + 'ACPL Calculations - 1.0'!X294 + 'ACPL Calculations - 2.0'!X294</f>
        <v>0</v>
      </c>
      <c r="CS294" s="33">
        <f t="shared" si="3"/>
        <v>0</v>
      </c>
      <c r="CT294" s="35"/>
      <c r="CU294" s="35"/>
      <c r="CV294" s="35"/>
      <c r="CW294" s="36">
        <f>'Old Balance Sheet'!W294 + 'ACPL Calculations - 1.0'!Z294 + 'ACPL Calculations - 2.0'!Z294</f>
        <v>0</v>
      </c>
      <c r="CX294" s="36">
        <f>'Old Balance Sheet'!X294 + 'ACPL Calculations - 1.0'!AA294 + 'ACPL Calculations - 2.0'!AA294</f>
        <v>0</v>
      </c>
      <c r="CY294" s="37">
        <v>0.0</v>
      </c>
      <c r="CZ294" s="38">
        <f>'Old Balance Sheet'!Y294 + 'ACPL Calculations - 1.0'!AB294 + 'ACPL Calculations - 2.0'!AB294</f>
        <v>0</v>
      </c>
      <c r="DA294" s="38">
        <f>'Old Balance Sheet'!Z294 + 'ACPL Calculations - 1.0'!AC294 + 'ACPL Calculations - 2.0'!AC294</f>
        <v>0</v>
      </c>
      <c r="DB294" s="38">
        <f>'Old Balance Sheet'!AA294 + 'ACPL Calculations - 1.0'!AD294 + 'ACPL Calculations - 2.0'!AD294</f>
        <v>0</v>
      </c>
      <c r="DC294" s="38">
        <f>'Old Balance Sheet'!AB294 + 'ACPL Calculations - 1.0'!AE294 + 'ACPL Calculations - 2.0'!AE294</f>
        <v>0</v>
      </c>
      <c r="DD294" s="38">
        <f t="shared" si="4"/>
        <v>0</v>
      </c>
      <c r="DE294" s="33">
        <f t="shared" si="5"/>
        <v>0</v>
      </c>
      <c r="DF294" s="35">
        <v>0.0</v>
      </c>
      <c r="DG294" s="35">
        <v>0.0</v>
      </c>
      <c r="DH294" s="35">
        <v>0.0</v>
      </c>
      <c r="DI294" s="35">
        <v>0.0</v>
      </c>
      <c r="DJ294" s="35">
        <v>0.0</v>
      </c>
      <c r="DK294" s="35">
        <v>0.0</v>
      </c>
      <c r="DL294" s="35">
        <v>0.0</v>
      </c>
      <c r="DM294" s="35">
        <v>0.0</v>
      </c>
      <c r="DN294" s="31">
        <v>0.0</v>
      </c>
      <c r="DO294" s="31">
        <v>0.0</v>
      </c>
      <c r="DP294" s="31">
        <v>0.0</v>
      </c>
      <c r="DQ294" s="31">
        <v>0.0</v>
      </c>
      <c r="DR294" s="31">
        <v>0.0</v>
      </c>
      <c r="DS294" s="31">
        <v>0.0</v>
      </c>
      <c r="DT294" s="31">
        <f>'Old Balance Sheet'!AC294</f>
        <v>0</v>
      </c>
      <c r="DU294" s="31">
        <f>DT294 + SUMIFS('Payments Log'!D:D, 'Payments Log'!B:B, A294, 'Payments Log'!L:L, "Approved", 'Payments Log'!M:M, "Credit") + 'Old Balance Sheet'!AD294 - 'Old Balance Sheet'!AC294</f>
        <v>0</v>
      </c>
      <c r="DV294" s="31">
        <f>SUMIFS('Payments Log'!D:D, 'Payments Log'!B:B, A294, 'Payments Log'!L:L, "Approved", 'Payments Log'!M:M, "Adjustment Credit") - SUMIFS('Payments Log'!D:D, 'Payments Log'!B:B, A294, 'Payments Log'!L:L, "Approved", 'Payments Log'!M:M, "Adjustment Debit") + 'Old Balance Sheet'!AE294</f>
        <v>0</v>
      </c>
      <c r="DW294" s="31">
        <f>IF(MAXIFS('Payments Log'!N:N, 'Payments Log'!L:L, "Approved", 'Payments Log'!M:M, "Credit", 'Payments Log'!B:B, A294) &gt; MAXIFS('Payments Log'!N:N, 'Payments Log'!L:L, "Approved", 'Payments Log'!M:M, "Virtual Credit", 'Payments Log'!B:B, A294), 0, SUMIFS('Payments Log'!D:D, 'Payments Log'!N:N, MAXIFS('Payments Log'!N:N, 'Payments Log'!L:L, "Approved", 'Payments Log'!M:M, "Virtual Credit", 'Payments Log'!B:B, A294)))</f>
        <v>0</v>
      </c>
      <c r="DX294" s="33">
        <f t="shared" si="6"/>
        <v>0</v>
      </c>
      <c r="DY294" s="33">
        <f t="shared" si="7"/>
        <v>0</v>
      </c>
      <c r="DZ294" s="33">
        <f t="shared" si="8"/>
        <v>0</v>
      </c>
      <c r="EA294" s="25" t="str">
        <f>(Sheet1!N294)</f>
        <v>KATKAM HONDA-KAMMAM</v>
      </c>
      <c r="EB294" s="25" t="str">
        <f>(Sheet1!O294)</f>
        <v>1x38XOM-VqTgqoXTPjpnyXIiMMrMalrJof7768QJp3LU</v>
      </c>
      <c r="EC294" s="26" t="str">
        <f>(Sheet1!P294)</f>
        <v>Dealer</v>
      </c>
      <c r="ED294" s="34" t="s">
        <v>13</v>
      </c>
    </row>
    <row r="295">
      <c r="A295" s="26" t="str">
        <f>(Sheet1!A295)</f>
        <v>1JCRksT80QgKH0ah33tn7at3md6-Y1gqZnHoR-f94zj4</v>
      </c>
      <c r="B295" s="26" t="str">
        <f>(Sheet1!B295)</f>
        <v>SHREE VASHU AUTOMOBILES-CHARTHAWAL(SBH)</v>
      </c>
      <c r="C295" s="34" t="s">
        <v>13</v>
      </c>
      <c r="D295" s="34" t="s">
        <v>72</v>
      </c>
      <c r="E295" s="34" t="s">
        <v>3819</v>
      </c>
      <c r="F295" s="34">
        <v>169.5</v>
      </c>
      <c r="G295" s="34" t="s">
        <v>3818</v>
      </c>
      <c r="H295" s="34">
        <v>100.0</v>
      </c>
      <c r="I295" s="33">
        <f>'Old Balance Sheet'!A295 + 'ACPL Calculations - 1.0'!A295 + 'ACPL Calculations - 2.0'!A295</f>
        <v>132</v>
      </c>
      <c r="J295" s="34" t="s">
        <v>3819</v>
      </c>
      <c r="K295" s="34">
        <v>205.0</v>
      </c>
      <c r="L295" s="34" t="s">
        <v>3818</v>
      </c>
      <c r="M295" s="34">
        <v>100.0</v>
      </c>
      <c r="N295" s="33">
        <f>'Old Balance Sheet'!B295 + 'ACPL Calculations - 1.0'!B295 + 'ACPL Calculations - 2.0'!B295</f>
        <v>0</v>
      </c>
      <c r="O295" s="34" t="s">
        <v>3819</v>
      </c>
      <c r="P295" s="34">
        <v>290.0</v>
      </c>
      <c r="Q295" s="34" t="s">
        <v>3818</v>
      </c>
      <c r="R295" s="34">
        <v>100.0</v>
      </c>
      <c r="S295" s="33">
        <f>'Old Balance Sheet'!C295 + 'ACPL Calculations - 1.0'!C295 + 'ACPL Calculations - 2.0'!C295</f>
        <v>0</v>
      </c>
      <c r="T295" s="34" t="s">
        <v>3819</v>
      </c>
      <c r="U295" s="34">
        <v>375.0</v>
      </c>
      <c r="V295" s="34" t="s">
        <v>3818</v>
      </c>
      <c r="W295" s="34">
        <v>100.0</v>
      </c>
      <c r="X295" s="33">
        <f>'Old Balance Sheet'!D295 + 'ACPL Calculations - 1.0'!D295 + 'ACPL Calculations - 2.0'!D295</f>
        <v>0</v>
      </c>
      <c r="Y295" s="34" t="s">
        <v>3819</v>
      </c>
      <c r="Z295" s="34">
        <v>339.0</v>
      </c>
      <c r="AA295" s="32" t="s">
        <v>3818</v>
      </c>
      <c r="AB295" s="31">
        <v>100.0</v>
      </c>
      <c r="AC295" s="33">
        <f>'Old Balance Sheet'!E295 + 'ACPL Calculations - 1.0'!E295 + 'ACPL Calculations - 2.0'!E295</f>
        <v>156</v>
      </c>
      <c r="AD295" s="34" t="s">
        <v>3819</v>
      </c>
      <c r="AE295" s="34">
        <v>838.99</v>
      </c>
      <c r="AF295" s="32" t="s">
        <v>3818</v>
      </c>
      <c r="AG295" s="31">
        <v>100.0</v>
      </c>
      <c r="AH295" s="33">
        <f>'Old Balance Sheet'!F295 + 'ACPL Calculations - 1.0'!F295 + 'ACPL Calculations - 2.0'!F295</f>
        <v>0</v>
      </c>
      <c r="AI295" s="34" t="s">
        <v>3819</v>
      </c>
      <c r="AJ295" s="34">
        <v>375.0</v>
      </c>
      <c r="AK295" s="32" t="s">
        <v>3818</v>
      </c>
      <c r="AL295" s="31">
        <v>100.0</v>
      </c>
      <c r="AM295" s="33">
        <f>'Old Balance Sheet'!G295 + 'ACPL Calculations - 1.0'!G295 + 'ACPL Calculations - 2.0'!G295</f>
        <v>0</v>
      </c>
      <c r="AN295" s="34" t="s">
        <v>3819</v>
      </c>
      <c r="AO295" s="34">
        <v>290.0</v>
      </c>
      <c r="AP295" s="32" t="s">
        <v>3818</v>
      </c>
      <c r="AQ295" s="31">
        <v>100.0</v>
      </c>
      <c r="AR295" s="33">
        <f>'Old Balance Sheet'!H295 + 'ACPL Calculations - 1.0'!H295 + 'ACPL Calculations - 2.0'!H295</f>
        <v>0</v>
      </c>
      <c r="AS295" s="34" t="s">
        <v>3819</v>
      </c>
      <c r="AT295" s="34">
        <v>838.99</v>
      </c>
      <c r="AU295" s="32" t="s">
        <v>3818</v>
      </c>
      <c r="AV295" s="31">
        <v>100.0</v>
      </c>
      <c r="AW295" s="33">
        <f>'Old Balance Sheet'!I295 + 'ACPL Calculations - 1.0'!I295 + 'ACPL Calculations - 2.0'!I295</f>
        <v>0</v>
      </c>
      <c r="AX295" s="34" t="s">
        <v>3819</v>
      </c>
      <c r="AY295" s="34">
        <v>290.0</v>
      </c>
      <c r="AZ295" s="32" t="s">
        <v>3818</v>
      </c>
      <c r="BA295" s="31">
        <v>100.0</v>
      </c>
      <c r="BB295" s="33">
        <f>'Old Balance Sheet'!J295 + 'ACPL Calculations - 1.0'!J295 + 'ACPL Calculations - 2.0'!J295</f>
        <v>0</v>
      </c>
      <c r="BC295" s="34" t="s">
        <v>3819</v>
      </c>
      <c r="BD295" s="34">
        <v>205.0</v>
      </c>
      <c r="BE295" s="32" t="s">
        <v>3818</v>
      </c>
      <c r="BF295" s="31">
        <v>100.0</v>
      </c>
      <c r="BG295" s="33">
        <f>'Old Balance Sheet'!K295 + 'ACPL Calculations - 1.0'!K295 + 'ACPL Calculations - 2.0'!K295</f>
        <v>0</v>
      </c>
      <c r="BH295" s="34" t="s">
        <v>3819</v>
      </c>
      <c r="BI295" s="34">
        <v>205.0</v>
      </c>
      <c r="BJ295" s="32" t="s">
        <v>3818</v>
      </c>
      <c r="BK295" s="31">
        <v>100.0</v>
      </c>
      <c r="BL295" s="33">
        <f>'Old Balance Sheet'!L295 + 'ACPL Calculations - 1.0'!L295 + 'ACPL Calculations - 2.0'!L295</f>
        <v>0</v>
      </c>
      <c r="CL295" s="33">
        <f t="shared" si="1"/>
        <v>288</v>
      </c>
      <c r="CM295" s="33">
        <f>'Old Balance Sheet'!R295 + 'ACPL Calculations - 1.0'!S295 + 'ACPL Calculations - 2.0'!S295</f>
        <v>88804.45</v>
      </c>
      <c r="CN295" s="33">
        <f>'Old Balance Sheet'!S295 + 'ACPL Calculations - 1.0'!T295 + 'ACPL Calculations - 2.0'!T295</f>
        <v>75258</v>
      </c>
      <c r="CO295" s="33">
        <f t="shared" si="2"/>
        <v>88804.45</v>
      </c>
      <c r="CP295" s="33">
        <f>'Old Balance Sheet'!T295 + 'ACPL Calculations - 1.0'!V295 + 'ACPL Calculations - 2.0'!V295</f>
        <v>15.26</v>
      </c>
      <c r="CQ295" s="33">
        <f>'Old Balance Sheet'!U295 + 'ACPL Calculations - 1.0'!W295 + 'ACPL Calculations - 2.0'!W295</f>
        <v>15.26</v>
      </c>
      <c r="CR295" s="33">
        <f>'Old Balance Sheet'!V295 + 'ACPL Calculations - 1.0'!X295 + 'ACPL Calculations - 2.0'!X295</f>
        <v>13515.93</v>
      </c>
      <c r="CS295" s="33">
        <f t="shared" si="3"/>
        <v>13546.45</v>
      </c>
      <c r="CT295" s="35"/>
      <c r="CU295" s="35"/>
      <c r="CV295" s="35"/>
      <c r="CW295" s="36">
        <f>'Old Balance Sheet'!W295 + 'ACPL Calculations - 1.0'!Z295 + 'ACPL Calculations - 2.0'!Z295</f>
        <v>0</v>
      </c>
      <c r="CX295" s="36">
        <f>'Old Balance Sheet'!X295 + 'ACPL Calculations - 1.0'!AA295 + 'ACPL Calculations - 2.0'!AA295</f>
        <v>0</v>
      </c>
      <c r="CY295" s="37">
        <v>0.0</v>
      </c>
      <c r="CZ295" s="38">
        <f>'Old Balance Sheet'!Y295 + 'ACPL Calculations - 1.0'!AB295 + 'ACPL Calculations - 2.0'!AB295</f>
        <v>0</v>
      </c>
      <c r="DA295" s="38">
        <f>'Old Balance Sheet'!Z295 + 'ACPL Calculations - 1.0'!AC295 + 'ACPL Calculations - 2.0'!AC295</f>
        <v>0</v>
      </c>
      <c r="DB295" s="38">
        <f>'Old Balance Sheet'!AA295 + 'ACPL Calculations - 1.0'!AD295 + 'ACPL Calculations - 2.0'!AD295</f>
        <v>0</v>
      </c>
      <c r="DC295" s="38">
        <f>'Old Balance Sheet'!AB295 + 'ACPL Calculations - 1.0'!AE295 + 'ACPL Calculations - 2.0'!AE295</f>
        <v>0</v>
      </c>
      <c r="DD295" s="38">
        <f t="shared" si="4"/>
        <v>0</v>
      </c>
      <c r="DE295" s="33">
        <f t="shared" si="5"/>
        <v>0</v>
      </c>
      <c r="DF295" s="35">
        <v>0.0</v>
      </c>
      <c r="DG295" s="35">
        <v>0.0</v>
      </c>
      <c r="DH295" s="35">
        <v>0.0</v>
      </c>
      <c r="DI295" s="35">
        <v>0.0</v>
      </c>
      <c r="DJ295" s="35">
        <v>0.0</v>
      </c>
      <c r="DK295" s="35">
        <v>0.0</v>
      </c>
      <c r="DL295" s="35">
        <v>0.0</v>
      </c>
      <c r="DM295" s="35">
        <v>0.0</v>
      </c>
      <c r="DN295" s="31">
        <v>0.0</v>
      </c>
      <c r="DO295" s="31">
        <v>0.0</v>
      </c>
      <c r="DP295" s="31">
        <v>0.0</v>
      </c>
      <c r="DQ295" s="31">
        <v>0.0</v>
      </c>
      <c r="DR295" s="31">
        <v>0.0</v>
      </c>
      <c r="DS295" s="31">
        <v>0.0</v>
      </c>
      <c r="DT295" s="31">
        <f>'Old Balance Sheet'!AC295</f>
        <v>0</v>
      </c>
      <c r="DU295" s="31">
        <f>DT295 + SUMIFS('Payments Log'!D:D, 'Payments Log'!B:B, A295, 'Payments Log'!L:L, "Approved", 'Payments Log'!M:M, "Credit") + 'Old Balance Sheet'!AD295 - 'Old Balance Sheet'!AC295</f>
        <v>0</v>
      </c>
      <c r="DV295" s="31">
        <f>SUMIFS('Payments Log'!D:D, 'Payments Log'!B:B, A295, 'Payments Log'!L:L, "Approved", 'Payments Log'!M:M, "Adjustment Credit") - SUMIFS('Payments Log'!D:D, 'Payments Log'!B:B, A295, 'Payments Log'!L:L, "Approved", 'Payments Log'!M:M, "Adjustment Debit") + 'Old Balance Sheet'!AE295</f>
        <v>0</v>
      </c>
      <c r="DW295" s="31">
        <f>IF(MAXIFS('Payments Log'!N:N, 'Payments Log'!L:L, "Approved", 'Payments Log'!M:M, "Credit", 'Payments Log'!B:B, A295) &gt; MAXIFS('Payments Log'!N:N, 'Payments Log'!L:L, "Approved", 'Payments Log'!M:M, "Virtual Credit", 'Payments Log'!B:B, A295), 0, SUMIFS('Payments Log'!D:D, 'Payments Log'!N:N, MAXIFS('Payments Log'!N:N, 'Payments Log'!L:L, "Approved", 'Payments Log'!M:M, "Virtual Credit", 'Payments Log'!B:B, A295)))</f>
        <v>0</v>
      </c>
      <c r="DX295" s="33">
        <f t="shared" si="6"/>
        <v>0</v>
      </c>
      <c r="DY295" s="33">
        <f t="shared" si="7"/>
        <v>0</v>
      </c>
      <c r="DZ295" s="33">
        <f t="shared" si="8"/>
        <v>0</v>
      </c>
      <c r="EA295" s="25" t="str">
        <f>(Sheet1!N295)</f>
        <v>Shri Balaji Hero - Muzaffarnagar</v>
      </c>
      <c r="EB295" s="25" t="str">
        <f>(Sheet1!O295)</f>
        <v>1qJGCYN0EdS2nWGXVYAHwXqSjiLE2C95anQkkbLONbKQ</v>
      </c>
      <c r="EC295" s="26" t="str">
        <f>(Sheet1!P295)</f>
        <v>Sub Dealer</v>
      </c>
      <c r="ED295" s="34" t="s">
        <v>13</v>
      </c>
    </row>
    <row r="296">
      <c r="A296" s="25" t="str">
        <f>(Sheet1!A296)</f>
        <v>1050xuIkuCwbciPjL7NYnIQd49nor1NbjSoUBzXpeVrU</v>
      </c>
      <c r="B296" s="25" t="str">
        <f>(Sheet1!B296)</f>
        <v>ARC HERO- MAHIPALPUR</v>
      </c>
      <c r="C296" s="30" t="s">
        <v>13</v>
      </c>
      <c r="D296" s="30" t="s">
        <v>72</v>
      </c>
      <c r="E296" s="34" t="s">
        <v>3820</v>
      </c>
      <c r="F296" s="31">
        <v>205.0</v>
      </c>
      <c r="G296" s="32" t="s">
        <v>3818</v>
      </c>
      <c r="H296" s="31">
        <v>100.0</v>
      </c>
      <c r="I296" s="33">
        <f>'Old Balance Sheet'!A296 + 'ACPL Calculations - 1.0'!A296 + 'ACPL Calculations - 2.0'!A296</f>
        <v>0</v>
      </c>
      <c r="J296" s="34" t="s">
        <v>3820</v>
      </c>
      <c r="K296" s="31">
        <v>205.0</v>
      </c>
      <c r="L296" s="32" t="s">
        <v>3818</v>
      </c>
      <c r="M296" s="31">
        <v>100.0</v>
      </c>
      <c r="N296" s="33">
        <f>'Old Balance Sheet'!B296 + 'ACPL Calculations - 1.0'!B296 + 'ACPL Calculations - 2.0'!B296</f>
        <v>0</v>
      </c>
      <c r="O296" s="34" t="s">
        <v>3820</v>
      </c>
      <c r="P296" s="31">
        <v>290.0</v>
      </c>
      <c r="Q296" s="32" t="s">
        <v>3818</v>
      </c>
      <c r="R296" s="31">
        <v>100.0</v>
      </c>
      <c r="S296" s="33">
        <f>'Old Balance Sheet'!C296 + 'ACPL Calculations - 1.0'!C296 + 'ACPL Calculations - 2.0'!C296</f>
        <v>0</v>
      </c>
      <c r="T296" s="34" t="s">
        <v>3820</v>
      </c>
      <c r="U296" s="31">
        <v>375.0</v>
      </c>
      <c r="V296" s="32" t="s">
        <v>3818</v>
      </c>
      <c r="W296" s="31">
        <v>100.0</v>
      </c>
      <c r="X296" s="33">
        <f>'Old Balance Sheet'!D296 + 'ACPL Calculations - 1.0'!D296 + 'ACPL Calculations - 2.0'!D296</f>
        <v>0</v>
      </c>
      <c r="Y296" s="34" t="s">
        <v>3820</v>
      </c>
      <c r="Z296" s="31">
        <v>460.0</v>
      </c>
      <c r="AA296" s="32" t="s">
        <v>3818</v>
      </c>
      <c r="AB296" s="31">
        <v>100.0</v>
      </c>
      <c r="AC296" s="33">
        <f>'Old Balance Sheet'!E296 + 'ACPL Calculations - 1.0'!E296 + 'ACPL Calculations - 2.0'!E296</f>
        <v>0</v>
      </c>
      <c r="AD296" s="34" t="s">
        <v>3820</v>
      </c>
      <c r="AE296" s="34">
        <v>838.99</v>
      </c>
      <c r="AF296" s="32" t="s">
        <v>3818</v>
      </c>
      <c r="AG296" s="31">
        <v>100.0</v>
      </c>
      <c r="AH296" s="33">
        <f>'Old Balance Sheet'!F296 + 'ACPL Calculations - 1.0'!F296 + 'ACPL Calculations - 2.0'!F296</f>
        <v>0</v>
      </c>
      <c r="AI296" s="34" t="s">
        <v>3820</v>
      </c>
      <c r="AJ296" s="31">
        <v>375.0</v>
      </c>
      <c r="AK296" s="32" t="s">
        <v>3818</v>
      </c>
      <c r="AL296" s="31">
        <v>100.0</v>
      </c>
      <c r="AM296" s="33">
        <f>'Old Balance Sheet'!G296 + 'ACPL Calculations - 1.0'!G296 + 'ACPL Calculations - 2.0'!G296</f>
        <v>0</v>
      </c>
      <c r="AN296" s="34" t="s">
        <v>3820</v>
      </c>
      <c r="AO296" s="31">
        <v>290.0</v>
      </c>
      <c r="AP296" s="32" t="s">
        <v>3818</v>
      </c>
      <c r="AQ296" s="31">
        <v>100.0</v>
      </c>
      <c r="AR296" s="33">
        <f>'Old Balance Sheet'!H296 + 'ACPL Calculations - 1.0'!H296 + 'ACPL Calculations - 2.0'!H296</f>
        <v>0</v>
      </c>
      <c r="AS296" s="30" t="s">
        <v>3819</v>
      </c>
      <c r="AT296" s="31">
        <v>838.99</v>
      </c>
      <c r="AU296" s="32" t="s">
        <v>3818</v>
      </c>
      <c r="AV296" s="31">
        <v>100.0</v>
      </c>
      <c r="AW296" s="33">
        <f>'Old Balance Sheet'!I296 + 'ACPL Calculations - 1.0'!I296 + 'ACPL Calculations - 2.0'!I296</f>
        <v>0</v>
      </c>
      <c r="AX296" s="34" t="s">
        <v>3820</v>
      </c>
      <c r="AY296" s="31">
        <v>290.0</v>
      </c>
      <c r="AZ296" s="32" t="s">
        <v>3818</v>
      </c>
      <c r="BA296" s="31">
        <v>100.0</v>
      </c>
      <c r="BB296" s="33">
        <f>'Old Balance Sheet'!J296 + 'ACPL Calculations - 1.0'!J296 + 'ACPL Calculations - 2.0'!J296</f>
        <v>0</v>
      </c>
      <c r="BC296" s="34" t="s">
        <v>3820</v>
      </c>
      <c r="BD296" s="31">
        <v>205.0</v>
      </c>
      <c r="BE296" s="32" t="s">
        <v>3818</v>
      </c>
      <c r="BF296" s="31">
        <v>100.0</v>
      </c>
      <c r="BG296" s="33">
        <f>'Old Balance Sheet'!K296 + 'ACPL Calculations - 1.0'!K296 + 'ACPL Calculations - 2.0'!K296</f>
        <v>0</v>
      </c>
      <c r="BH296" s="34" t="s">
        <v>3820</v>
      </c>
      <c r="BI296" s="31">
        <v>205.0</v>
      </c>
      <c r="BJ296" s="32" t="s">
        <v>3818</v>
      </c>
      <c r="BK296" s="31">
        <v>100.0</v>
      </c>
      <c r="BL296" s="33">
        <f>'Old Balance Sheet'!L296 + 'ACPL Calculations - 1.0'!L296 + 'ACPL Calculations - 2.0'!L296</f>
        <v>0</v>
      </c>
      <c r="BM296" s="33"/>
      <c r="BN296" s="33"/>
      <c r="BO296" s="33"/>
      <c r="BP296" s="33"/>
      <c r="BQ296" s="33"/>
      <c r="BR296" s="33"/>
      <c r="BS296" s="33"/>
      <c r="BT296" s="33"/>
      <c r="BU296" s="33"/>
      <c r="BV296" s="33"/>
      <c r="BW296" s="33"/>
      <c r="BX296" s="33"/>
      <c r="BY296" s="33"/>
      <c r="BZ296" s="33"/>
      <c r="CA296" s="33"/>
      <c r="CB296" s="33"/>
      <c r="CC296" s="33"/>
      <c r="CD296" s="33"/>
      <c r="CE296" s="33"/>
      <c r="CF296" s="33"/>
      <c r="CG296" s="33"/>
      <c r="CH296" s="33"/>
      <c r="CI296" s="33"/>
      <c r="CJ296" s="33"/>
      <c r="CK296" s="33"/>
      <c r="CL296" s="33">
        <f t="shared" si="1"/>
        <v>0</v>
      </c>
      <c r="CM296" s="33">
        <f>'Old Balance Sheet'!R296 + 'ACPL Calculations - 1.0'!S296 + 'ACPL Calculations - 2.0'!S296</f>
        <v>0</v>
      </c>
      <c r="CN296" s="33">
        <f>'Old Balance Sheet'!S296 + 'ACPL Calculations - 1.0'!T296 + 'ACPL Calculations - 2.0'!T296</f>
        <v>0</v>
      </c>
      <c r="CO296" s="33">
        <f t="shared" si="2"/>
        <v>0</v>
      </c>
      <c r="CP296" s="33">
        <f>'Old Balance Sheet'!T296 + 'ACPL Calculations - 1.0'!V296 + 'ACPL Calculations - 2.0'!V296</f>
        <v>0</v>
      </c>
      <c r="CQ296" s="33">
        <f>'Old Balance Sheet'!U296 + 'ACPL Calculations - 1.0'!W296 + 'ACPL Calculations - 2.0'!W296</f>
        <v>0</v>
      </c>
      <c r="CR296" s="33">
        <f>'Old Balance Sheet'!V296 + 'ACPL Calculations - 1.0'!X296 + 'ACPL Calculations - 2.0'!X296</f>
        <v>0</v>
      </c>
      <c r="CS296" s="33">
        <f t="shared" si="3"/>
        <v>0</v>
      </c>
      <c r="CT296" s="35"/>
      <c r="CU296" s="35"/>
      <c r="CV296" s="35"/>
      <c r="CW296" s="36">
        <f>'Old Balance Sheet'!W296 + 'ACPL Calculations - 1.0'!Z296 + 'ACPL Calculations - 2.0'!Z296</f>
        <v>0</v>
      </c>
      <c r="CX296" s="36">
        <f>'Old Balance Sheet'!X296 + 'ACPL Calculations - 1.0'!AA296 + 'ACPL Calculations - 2.0'!AA296</f>
        <v>0</v>
      </c>
      <c r="CY296" s="37">
        <v>0.0</v>
      </c>
      <c r="CZ296" s="38">
        <f>'Old Balance Sheet'!Y296 + 'ACPL Calculations - 1.0'!AB296 + 'ACPL Calculations - 2.0'!AB296</f>
        <v>0</v>
      </c>
      <c r="DA296" s="38">
        <f>'Old Balance Sheet'!Z296 + 'ACPL Calculations - 1.0'!AC296 + 'ACPL Calculations - 2.0'!AC296</f>
        <v>0</v>
      </c>
      <c r="DB296" s="38">
        <f>'Old Balance Sheet'!AA296 + 'ACPL Calculations - 1.0'!AD296 + 'ACPL Calculations - 2.0'!AD296</f>
        <v>0</v>
      </c>
      <c r="DC296" s="38">
        <f>'Old Balance Sheet'!AB296 + 'ACPL Calculations - 1.0'!AE296 + 'ACPL Calculations - 2.0'!AE296</f>
        <v>0</v>
      </c>
      <c r="DD296" s="38">
        <f t="shared" si="4"/>
        <v>0</v>
      </c>
      <c r="DE296" s="33">
        <f t="shared" si="5"/>
        <v>0</v>
      </c>
      <c r="DF296" s="35">
        <v>0.0</v>
      </c>
      <c r="DG296" s="35">
        <v>0.0</v>
      </c>
      <c r="DH296" s="35">
        <v>0.0</v>
      </c>
      <c r="DI296" s="35">
        <v>0.0</v>
      </c>
      <c r="DJ296" s="35">
        <v>0.0</v>
      </c>
      <c r="DK296" s="35">
        <v>0.0</v>
      </c>
      <c r="DL296" s="35">
        <v>0.0</v>
      </c>
      <c r="DM296" s="35">
        <v>0.0</v>
      </c>
      <c r="DN296" s="31">
        <v>0.0</v>
      </c>
      <c r="DO296" s="31">
        <v>0.0</v>
      </c>
      <c r="DP296" s="31">
        <v>0.0</v>
      </c>
      <c r="DQ296" s="31">
        <v>0.0</v>
      </c>
      <c r="DR296" s="31">
        <v>0.0</v>
      </c>
      <c r="DS296" s="31">
        <v>0.0</v>
      </c>
      <c r="DT296" s="31">
        <f>'Old Balance Sheet'!AC296</f>
        <v>0</v>
      </c>
      <c r="DU296" s="31">
        <f>DT296 + SUMIFS('Payments Log'!D:D, 'Payments Log'!B:B, A296, 'Payments Log'!L:L, "Approved", 'Payments Log'!M:M, "Credit") + 'Old Balance Sheet'!AD296 - 'Old Balance Sheet'!AC296</f>
        <v>3569900</v>
      </c>
      <c r="DV296" s="31">
        <f>SUMIFS('Payments Log'!D:D, 'Payments Log'!B:B, A296, 'Payments Log'!L:L, "Approved", 'Payments Log'!M:M, "Adjustment Credit") - SUMIFS('Payments Log'!D:D, 'Payments Log'!B:B, A296, 'Payments Log'!L:L, "Approved", 'Payments Log'!M:M, "Adjustment Debit") + 'Old Balance Sheet'!AE296</f>
        <v>-4000</v>
      </c>
      <c r="DW296" s="31">
        <f>IF(MAXIFS('Payments Log'!N:N, 'Payments Log'!L:L, "Approved", 'Payments Log'!M:M, "Credit", 'Payments Log'!B:B, A296) &gt; MAXIFS('Payments Log'!N:N, 'Payments Log'!L:L, "Approved", 'Payments Log'!M:M, "Virtual Credit", 'Payments Log'!B:B, A296), 0, SUMIFS('Payments Log'!D:D, 'Payments Log'!N:N, MAXIFS('Payments Log'!N:N, 'Payments Log'!L:L, "Approved", 'Payments Log'!M:M, "Virtual Credit", 'Payments Log'!B:B, A296)))</f>
        <v>0</v>
      </c>
      <c r="DX296" s="33">
        <f t="shared" si="6"/>
        <v>3565900</v>
      </c>
      <c r="DY296" s="33">
        <f t="shared" si="7"/>
        <v>3565900</v>
      </c>
      <c r="DZ296" s="33">
        <f t="shared" si="8"/>
        <v>3565900</v>
      </c>
      <c r="EA296" s="25" t="str">
        <f>(Sheet1!N296)</f>
        <v>ARC HERO- MAHIPALPUR</v>
      </c>
      <c r="EB296" s="25" t="str">
        <f>(Sheet1!O296)</f>
        <v>1050xuIkuCwbciPjL7NYnIQd49nor1NbjSoUBzXpeVrU</v>
      </c>
      <c r="EC296" s="26" t="str">
        <f>(Sheet1!P296)</f>
        <v>Dealer</v>
      </c>
      <c r="ED296" s="34" t="s">
        <v>13</v>
      </c>
    </row>
    <row r="297">
      <c r="A297" s="25" t="str">
        <f>(Sheet1!A297)</f>
        <v>1m8ka1AbXWO0NCwbciwxi-1DtNMMJX9mIx0hIP9BLnJE</v>
      </c>
      <c r="B297" s="25" t="str">
        <f>(Sheet1!B297)</f>
        <v>ARC HERO-JAMIA</v>
      </c>
      <c r="C297" s="30" t="s">
        <v>13</v>
      </c>
      <c r="D297" s="30" t="s">
        <v>72</v>
      </c>
      <c r="E297" s="34" t="s">
        <v>3820</v>
      </c>
      <c r="F297" s="31">
        <v>205.0</v>
      </c>
      <c r="G297" s="32" t="s">
        <v>3818</v>
      </c>
      <c r="H297" s="31">
        <v>100.0</v>
      </c>
      <c r="I297" s="33">
        <f>'Old Balance Sheet'!A297 + 'ACPL Calculations - 1.0'!A297 + 'ACPL Calculations - 2.0'!A297</f>
        <v>0</v>
      </c>
      <c r="J297" s="34" t="s">
        <v>3820</v>
      </c>
      <c r="K297" s="31">
        <v>205.0</v>
      </c>
      <c r="L297" s="32" t="s">
        <v>3818</v>
      </c>
      <c r="M297" s="31">
        <v>100.0</v>
      </c>
      <c r="N297" s="33">
        <f>'Old Balance Sheet'!B297 + 'ACPL Calculations - 1.0'!B297 + 'ACPL Calculations - 2.0'!B297</f>
        <v>0</v>
      </c>
      <c r="O297" s="34" t="s">
        <v>3820</v>
      </c>
      <c r="P297" s="31">
        <v>290.0</v>
      </c>
      <c r="Q297" s="32" t="s">
        <v>3818</v>
      </c>
      <c r="R297" s="31">
        <v>100.0</v>
      </c>
      <c r="S297" s="33">
        <f>'Old Balance Sheet'!C297 + 'ACPL Calculations - 1.0'!C297 + 'ACPL Calculations - 2.0'!C297</f>
        <v>0</v>
      </c>
      <c r="T297" s="34" t="s">
        <v>3820</v>
      </c>
      <c r="U297" s="31">
        <v>375.0</v>
      </c>
      <c r="V297" s="32" t="s">
        <v>3818</v>
      </c>
      <c r="W297" s="31">
        <v>100.0</v>
      </c>
      <c r="X297" s="33">
        <f>'Old Balance Sheet'!D297 + 'ACPL Calculations - 1.0'!D297 + 'ACPL Calculations - 2.0'!D297</f>
        <v>0</v>
      </c>
      <c r="Y297" s="34" t="s">
        <v>3820</v>
      </c>
      <c r="Z297" s="31">
        <v>460.0</v>
      </c>
      <c r="AA297" s="32" t="s">
        <v>3818</v>
      </c>
      <c r="AB297" s="31">
        <v>100.0</v>
      </c>
      <c r="AC297" s="33">
        <f>'Old Balance Sheet'!E297 + 'ACPL Calculations - 1.0'!E297 + 'ACPL Calculations - 2.0'!E297</f>
        <v>0</v>
      </c>
      <c r="AD297" s="34" t="s">
        <v>3820</v>
      </c>
      <c r="AE297" s="34">
        <v>838.99</v>
      </c>
      <c r="AF297" s="32" t="s">
        <v>3818</v>
      </c>
      <c r="AG297" s="31">
        <v>100.0</v>
      </c>
      <c r="AH297" s="33">
        <f>'Old Balance Sheet'!F297 + 'ACPL Calculations - 1.0'!F297 + 'ACPL Calculations - 2.0'!F297</f>
        <v>0</v>
      </c>
      <c r="AI297" s="34" t="s">
        <v>3820</v>
      </c>
      <c r="AJ297" s="31">
        <v>375.0</v>
      </c>
      <c r="AK297" s="32" t="s">
        <v>3818</v>
      </c>
      <c r="AL297" s="31">
        <v>100.0</v>
      </c>
      <c r="AM297" s="33">
        <f>'Old Balance Sheet'!G297 + 'ACPL Calculations - 1.0'!G297 + 'ACPL Calculations - 2.0'!G297</f>
        <v>0</v>
      </c>
      <c r="AN297" s="34" t="s">
        <v>3820</v>
      </c>
      <c r="AO297" s="31">
        <v>290.0</v>
      </c>
      <c r="AP297" s="32" t="s">
        <v>3818</v>
      </c>
      <c r="AQ297" s="31">
        <v>100.0</v>
      </c>
      <c r="AR297" s="33">
        <f>'Old Balance Sheet'!H297 + 'ACPL Calculations - 1.0'!H297 + 'ACPL Calculations - 2.0'!H297</f>
        <v>0</v>
      </c>
      <c r="AS297" s="30" t="s">
        <v>3819</v>
      </c>
      <c r="AT297" s="31">
        <v>838.99</v>
      </c>
      <c r="AU297" s="32" t="s">
        <v>3818</v>
      </c>
      <c r="AV297" s="31">
        <v>100.0</v>
      </c>
      <c r="AW297" s="33">
        <f>'Old Balance Sheet'!I297 + 'ACPL Calculations - 1.0'!I297 + 'ACPL Calculations - 2.0'!I297</f>
        <v>0</v>
      </c>
      <c r="AX297" s="34" t="s">
        <v>3820</v>
      </c>
      <c r="AY297" s="31">
        <v>290.0</v>
      </c>
      <c r="AZ297" s="32" t="s">
        <v>3818</v>
      </c>
      <c r="BA297" s="31">
        <v>100.0</v>
      </c>
      <c r="BB297" s="33">
        <f>'Old Balance Sheet'!J297 + 'ACPL Calculations - 1.0'!J297 + 'ACPL Calculations - 2.0'!J297</f>
        <v>0</v>
      </c>
      <c r="BC297" s="34" t="s">
        <v>3820</v>
      </c>
      <c r="BD297" s="31">
        <v>205.0</v>
      </c>
      <c r="BE297" s="32" t="s">
        <v>3818</v>
      </c>
      <c r="BF297" s="31">
        <v>100.0</v>
      </c>
      <c r="BG297" s="33">
        <f>'Old Balance Sheet'!K297 + 'ACPL Calculations - 1.0'!K297 + 'ACPL Calculations - 2.0'!K297</f>
        <v>0</v>
      </c>
      <c r="BH297" s="34" t="s">
        <v>3820</v>
      </c>
      <c r="BI297" s="31">
        <v>205.0</v>
      </c>
      <c r="BJ297" s="32" t="s">
        <v>3818</v>
      </c>
      <c r="BK297" s="31">
        <v>100.0</v>
      </c>
      <c r="BL297" s="33">
        <f>'Old Balance Sheet'!L297 + 'ACPL Calculations - 1.0'!L297 + 'ACPL Calculations - 2.0'!L297</f>
        <v>0</v>
      </c>
      <c r="BM297" s="33"/>
      <c r="BN297" s="33"/>
      <c r="BO297" s="33"/>
      <c r="BP297" s="33"/>
      <c r="BQ297" s="33"/>
      <c r="BR297" s="33"/>
      <c r="BS297" s="33"/>
      <c r="BT297" s="33"/>
      <c r="BU297" s="33"/>
      <c r="BV297" s="33"/>
      <c r="BW297" s="33"/>
      <c r="BX297" s="33"/>
      <c r="BY297" s="33"/>
      <c r="BZ297" s="33"/>
      <c r="CA297" s="33"/>
      <c r="CB297" s="33"/>
      <c r="CC297" s="33"/>
      <c r="CD297" s="33"/>
      <c r="CE297" s="33"/>
      <c r="CF297" s="33"/>
      <c r="CG297" s="33"/>
      <c r="CH297" s="33"/>
      <c r="CI297" s="33"/>
      <c r="CJ297" s="33"/>
      <c r="CK297" s="33"/>
      <c r="CL297" s="33">
        <f t="shared" si="1"/>
        <v>0</v>
      </c>
      <c r="CM297" s="33">
        <f>'Old Balance Sheet'!R297 + 'ACPL Calculations - 1.0'!S297 + 'ACPL Calculations - 2.0'!S297</f>
        <v>0</v>
      </c>
      <c r="CN297" s="33">
        <f>'Old Balance Sheet'!S297 + 'ACPL Calculations - 1.0'!T297 + 'ACPL Calculations - 2.0'!T297</f>
        <v>0</v>
      </c>
      <c r="CO297" s="33">
        <f t="shared" si="2"/>
        <v>0</v>
      </c>
      <c r="CP297" s="33">
        <f>'Old Balance Sheet'!T297 + 'ACPL Calculations - 1.0'!V297 + 'ACPL Calculations - 2.0'!V297</f>
        <v>0</v>
      </c>
      <c r="CQ297" s="33">
        <f>'Old Balance Sheet'!U297 + 'ACPL Calculations - 1.0'!W297 + 'ACPL Calculations - 2.0'!W297</f>
        <v>0</v>
      </c>
      <c r="CR297" s="33">
        <f>'Old Balance Sheet'!V297 + 'ACPL Calculations - 1.0'!X297 + 'ACPL Calculations - 2.0'!X297</f>
        <v>0</v>
      </c>
      <c r="CS297" s="33">
        <f t="shared" si="3"/>
        <v>0</v>
      </c>
      <c r="CT297" s="35"/>
      <c r="CU297" s="35"/>
      <c r="CV297" s="35"/>
      <c r="CW297" s="36">
        <f>'Old Balance Sheet'!W297 + 'ACPL Calculations - 1.0'!Z297 + 'ACPL Calculations - 2.0'!Z297</f>
        <v>0</v>
      </c>
      <c r="CX297" s="36">
        <f>'Old Balance Sheet'!X297 + 'ACPL Calculations - 1.0'!AA297 + 'ACPL Calculations - 2.0'!AA297</f>
        <v>0</v>
      </c>
      <c r="CY297" s="37">
        <v>0.0</v>
      </c>
      <c r="CZ297" s="38">
        <f>'Old Balance Sheet'!Y297 + 'ACPL Calculations - 1.0'!AB297 + 'ACPL Calculations - 2.0'!AB297</f>
        <v>0</v>
      </c>
      <c r="DA297" s="38">
        <f>'Old Balance Sheet'!Z297 + 'ACPL Calculations - 1.0'!AC297 + 'ACPL Calculations - 2.0'!AC297</f>
        <v>0</v>
      </c>
      <c r="DB297" s="38">
        <f>'Old Balance Sheet'!AA297 + 'ACPL Calculations - 1.0'!AD297 + 'ACPL Calculations - 2.0'!AD297</f>
        <v>0</v>
      </c>
      <c r="DC297" s="38">
        <f>'Old Balance Sheet'!AB297 + 'ACPL Calculations - 1.0'!AE297 + 'ACPL Calculations - 2.0'!AE297</f>
        <v>0</v>
      </c>
      <c r="DD297" s="38">
        <f t="shared" si="4"/>
        <v>0</v>
      </c>
      <c r="DE297" s="33">
        <f t="shared" si="5"/>
        <v>0</v>
      </c>
      <c r="DF297" s="35">
        <v>0.0</v>
      </c>
      <c r="DG297" s="35">
        <v>0.0</v>
      </c>
      <c r="DH297" s="35">
        <v>0.0</v>
      </c>
      <c r="DI297" s="35">
        <v>0.0</v>
      </c>
      <c r="DJ297" s="35">
        <v>0.0</v>
      </c>
      <c r="DK297" s="35">
        <v>0.0</v>
      </c>
      <c r="DL297" s="35">
        <v>0.0</v>
      </c>
      <c r="DM297" s="35">
        <v>0.0</v>
      </c>
      <c r="DN297" s="31">
        <v>0.0</v>
      </c>
      <c r="DO297" s="31">
        <v>0.0</v>
      </c>
      <c r="DP297" s="31">
        <v>0.0</v>
      </c>
      <c r="DQ297" s="31">
        <v>0.0</v>
      </c>
      <c r="DR297" s="31">
        <v>0.0</v>
      </c>
      <c r="DS297" s="31">
        <v>0.0</v>
      </c>
      <c r="DT297" s="31">
        <f>'Old Balance Sheet'!AC297</f>
        <v>0</v>
      </c>
      <c r="DU297" s="31">
        <f>DT297 + SUMIFS('Payments Log'!D:D, 'Payments Log'!B:B, A297, 'Payments Log'!L:L, "Approved", 'Payments Log'!M:M, "Credit") + 'Old Balance Sheet'!AD297 - 'Old Balance Sheet'!AC297</f>
        <v>0</v>
      </c>
      <c r="DV297" s="31">
        <f>SUMIFS('Payments Log'!D:D, 'Payments Log'!B:B, A297, 'Payments Log'!L:L, "Approved", 'Payments Log'!M:M, "Adjustment Credit") - SUMIFS('Payments Log'!D:D, 'Payments Log'!B:B, A297, 'Payments Log'!L:L, "Approved", 'Payments Log'!M:M, "Adjustment Debit") + 'Old Balance Sheet'!AE297</f>
        <v>0</v>
      </c>
      <c r="DW297" s="31">
        <f>IF(MAXIFS('Payments Log'!N:N, 'Payments Log'!L:L, "Approved", 'Payments Log'!M:M, "Credit", 'Payments Log'!B:B, A297) &gt; MAXIFS('Payments Log'!N:N, 'Payments Log'!L:L, "Approved", 'Payments Log'!M:M, "Virtual Credit", 'Payments Log'!B:B, A297), 0, SUMIFS('Payments Log'!D:D, 'Payments Log'!N:N, MAXIFS('Payments Log'!N:N, 'Payments Log'!L:L, "Approved", 'Payments Log'!M:M, "Virtual Credit", 'Payments Log'!B:B, A297)))</f>
        <v>0</v>
      </c>
      <c r="DX297" s="33">
        <f t="shared" si="6"/>
        <v>0</v>
      </c>
      <c r="DY297" s="33">
        <f t="shared" si="7"/>
        <v>0</v>
      </c>
      <c r="DZ297" s="33">
        <f t="shared" si="8"/>
        <v>0</v>
      </c>
      <c r="EA297" s="25" t="str">
        <f>(Sheet1!N297)</f>
        <v>ARC HERO- MAHIPALPUR</v>
      </c>
      <c r="EB297" s="25" t="str">
        <f>(Sheet1!O297)</f>
        <v>1050xuIkuCwbciPjL7NYnIQd49nor1NbjSoUBzXpeVrU</v>
      </c>
      <c r="EC297" s="26" t="str">
        <f>(Sheet1!P297)</f>
        <v>Sub Dealer</v>
      </c>
      <c r="ED297" s="34" t="s">
        <v>13</v>
      </c>
    </row>
    <row r="298">
      <c r="A298" s="25" t="str">
        <f>(Sheet1!A298)</f>
        <v>1Y1uTCqiydc9ymgUi-hDKL8MeygYhztvO_MOLfvO2Xgs</v>
      </c>
      <c r="B298" s="25" t="str">
        <f>(Sheet1!B298)</f>
        <v>ARC-ASHRAM</v>
      </c>
      <c r="C298" s="30" t="s">
        <v>13</v>
      </c>
      <c r="D298" s="30" t="s">
        <v>72</v>
      </c>
      <c r="E298" s="34" t="s">
        <v>3820</v>
      </c>
      <c r="F298" s="31">
        <v>205.0</v>
      </c>
      <c r="G298" s="32" t="s">
        <v>3818</v>
      </c>
      <c r="H298" s="31">
        <v>100.0</v>
      </c>
      <c r="I298" s="33">
        <f>'Old Balance Sheet'!A298 + 'ACPL Calculations - 1.0'!A298 + 'ACPL Calculations - 2.0'!A298</f>
        <v>0</v>
      </c>
      <c r="J298" s="34" t="s">
        <v>3820</v>
      </c>
      <c r="K298" s="31">
        <v>205.0</v>
      </c>
      <c r="L298" s="32" t="s">
        <v>3818</v>
      </c>
      <c r="M298" s="31">
        <v>100.0</v>
      </c>
      <c r="N298" s="33">
        <f>'Old Balance Sheet'!B298 + 'ACPL Calculations - 1.0'!B298 + 'ACPL Calculations - 2.0'!B298</f>
        <v>0</v>
      </c>
      <c r="O298" s="34" t="s">
        <v>3820</v>
      </c>
      <c r="P298" s="31">
        <v>290.0</v>
      </c>
      <c r="Q298" s="32" t="s">
        <v>3818</v>
      </c>
      <c r="R298" s="31">
        <v>100.0</v>
      </c>
      <c r="S298" s="33">
        <f>'Old Balance Sheet'!C298 + 'ACPL Calculations - 1.0'!C298 + 'ACPL Calculations - 2.0'!C298</f>
        <v>0</v>
      </c>
      <c r="T298" s="34" t="s">
        <v>3820</v>
      </c>
      <c r="U298" s="31">
        <v>375.0</v>
      </c>
      <c r="V298" s="32" t="s">
        <v>3818</v>
      </c>
      <c r="W298" s="31">
        <v>100.0</v>
      </c>
      <c r="X298" s="33">
        <f>'Old Balance Sheet'!D298 + 'ACPL Calculations - 1.0'!D298 + 'ACPL Calculations - 2.0'!D298</f>
        <v>0</v>
      </c>
      <c r="Y298" s="34" t="s">
        <v>3820</v>
      </c>
      <c r="Z298" s="31">
        <v>460.0</v>
      </c>
      <c r="AA298" s="32" t="s">
        <v>3818</v>
      </c>
      <c r="AB298" s="31">
        <v>100.0</v>
      </c>
      <c r="AC298" s="33">
        <f>'Old Balance Sheet'!E298 + 'ACPL Calculations - 1.0'!E298 + 'ACPL Calculations - 2.0'!E298</f>
        <v>0</v>
      </c>
      <c r="AD298" s="34" t="s">
        <v>3820</v>
      </c>
      <c r="AE298" s="34">
        <v>838.99</v>
      </c>
      <c r="AF298" s="32" t="s">
        <v>3818</v>
      </c>
      <c r="AG298" s="31">
        <v>100.0</v>
      </c>
      <c r="AH298" s="33">
        <f>'Old Balance Sheet'!F298 + 'ACPL Calculations - 1.0'!F298 + 'ACPL Calculations - 2.0'!F298</f>
        <v>0</v>
      </c>
      <c r="AI298" s="34" t="s">
        <v>3820</v>
      </c>
      <c r="AJ298" s="31">
        <v>375.0</v>
      </c>
      <c r="AK298" s="32" t="s">
        <v>3818</v>
      </c>
      <c r="AL298" s="31">
        <v>100.0</v>
      </c>
      <c r="AM298" s="33">
        <f>'Old Balance Sheet'!G298 + 'ACPL Calculations - 1.0'!G298 + 'ACPL Calculations - 2.0'!G298</f>
        <v>0</v>
      </c>
      <c r="AN298" s="34" t="s">
        <v>3820</v>
      </c>
      <c r="AO298" s="31">
        <v>290.0</v>
      </c>
      <c r="AP298" s="32" t="s">
        <v>3818</v>
      </c>
      <c r="AQ298" s="31">
        <v>100.0</v>
      </c>
      <c r="AR298" s="33">
        <f>'Old Balance Sheet'!H298 + 'ACPL Calculations - 1.0'!H298 + 'ACPL Calculations - 2.0'!H298</f>
        <v>0</v>
      </c>
      <c r="AS298" s="30" t="s">
        <v>3819</v>
      </c>
      <c r="AT298" s="31">
        <v>838.99</v>
      </c>
      <c r="AU298" s="32" t="s">
        <v>3818</v>
      </c>
      <c r="AV298" s="31">
        <v>100.0</v>
      </c>
      <c r="AW298" s="33">
        <f>'Old Balance Sheet'!I298 + 'ACPL Calculations - 1.0'!I298 + 'ACPL Calculations - 2.0'!I298</f>
        <v>0</v>
      </c>
      <c r="AX298" s="34" t="s">
        <v>3820</v>
      </c>
      <c r="AY298" s="31">
        <v>290.0</v>
      </c>
      <c r="AZ298" s="32" t="s">
        <v>3818</v>
      </c>
      <c r="BA298" s="31">
        <v>100.0</v>
      </c>
      <c r="BB298" s="33">
        <f>'Old Balance Sheet'!J298 + 'ACPL Calculations - 1.0'!J298 + 'ACPL Calculations - 2.0'!J298</f>
        <v>0</v>
      </c>
      <c r="BC298" s="34" t="s">
        <v>3820</v>
      </c>
      <c r="BD298" s="31">
        <v>205.0</v>
      </c>
      <c r="BE298" s="32" t="s">
        <v>3818</v>
      </c>
      <c r="BF298" s="31">
        <v>100.0</v>
      </c>
      <c r="BG298" s="33">
        <f>'Old Balance Sheet'!K298 + 'ACPL Calculations - 1.0'!K298 + 'ACPL Calculations - 2.0'!K298</f>
        <v>0</v>
      </c>
      <c r="BH298" s="34" t="s">
        <v>3820</v>
      </c>
      <c r="BI298" s="31">
        <v>205.0</v>
      </c>
      <c r="BJ298" s="32" t="s">
        <v>3818</v>
      </c>
      <c r="BK298" s="31">
        <v>100.0</v>
      </c>
      <c r="BL298" s="33">
        <f>'Old Balance Sheet'!L298 + 'ACPL Calculations - 1.0'!L298 + 'ACPL Calculations - 2.0'!L298</f>
        <v>0</v>
      </c>
      <c r="BM298" s="33"/>
      <c r="BN298" s="33"/>
      <c r="BO298" s="33"/>
      <c r="BP298" s="33"/>
      <c r="BQ298" s="33"/>
      <c r="BR298" s="33"/>
      <c r="BS298" s="33"/>
      <c r="BT298" s="33"/>
      <c r="BU298" s="33"/>
      <c r="BV298" s="33"/>
      <c r="BW298" s="33"/>
      <c r="BX298" s="33"/>
      <c r="BY298" s="33"/>
      <c r="BZ298" s="33"/>
      <c r="CA298" s="33"/>
      <c r="CB298" s="33"/>
      <c r="CC298" s="33"/>
      <c r="CD298" s="33"/>
      <c r="CE298" s="33"/>
      <c r="CF298" s="33"/>
      <c r="CG298" s="33"/>
      <c r="CH298" s="33"/>
      <c r="CI298" s="33"/>
      <c r="CJ298" s="33"/>
      <c r="CK298" s="33"/>
      <c r="CL298" s="33">
        <f t="shared" si="1"/>
        <v>0</v>
      </c>
      <c r="CM298" s="33">
        <f>'Old Balance Sheet'!R298 + 'ACPL Calculations - 1.0'!S298 + 'ACPL Calculations - 2.0'!S298</f>
        <v>0</v>
      </c>
      <c r="CN298" s="33">
        <f>'Old Balance Sheet'!S298 + 'ACPL Calculations - 1.0'!T298 + 'ACPL Calculations - 2.0'!T298</f>
        <v>0</v>
      </c>
      <c r="CO298" s="33">
        <f t="shared" si="2"/>
        <v>0</v>
      </c>
      <c r="CP298" s="33">
        <f>'Old Balance Sheet'!T298 + 'ACPL Calculations - 1.0'!V298 + 'ACPL Calculations - 2.0'!V298</f>
        <v>0</v>
      </c>
      <c r="CQ298" s="33">
        <f>'Old Balance Sheet'!U298 + 'ACPL Calculations - 1.0'!W298 + 'ACPL Calculations - 2.0'!W298</f>
        <v>0</v>
      </c>
      <c r="CR298" s="33">
        <f>'Old Balance Sheet'!V298 + 'ACPL Calculations - 1.0'!X298 + 'ACPL Calculations - 2.0'!X298</f>
        <v>0</v>
      </c>
      <c r="CS298" s="33">
        <f t="shared" si="3"/>
        <v>0</v>
      </c>
      <c r="CT298" s="35"/>
      <c r="CU298" s="35"/>
      <c r="CV298" s="35"/>
      <c r="CW298" s="36">
        <f>'Old Balance Sheet'!W298 + 'ACPL Calculations - 1.0'!Z298 + 'ACPL Calculations - 2.0'!Z298</f>
        <v>0</v>
      </c>
      <c r="CX298" s="36">
        <f>'Old Balance Sheet'!X298 + 'ACPL Calculations - 1.0'!AA298 + 'ACPL Calculations - 2.0'!AA298</f>
        <v>0</v>
      </c>
      <c r="CY298" s="37">
        <v>0.0</v>
      </c>
      <c r="CZ298" s="38">
        <f>'Old Balance Sheet'!Y298 + 'ACPL Calculations - 1.0'!AB298 + 'ACPL Calculations - 2.0'!AB298</f>
        <v>0</v>
      </c>
      <c r="DA298" s="38">
        <f>'Old Balance Sheet'!Z298 + 'ACPL Calculations - 1.0'!AC298 + 'ACPL Calculations - 2.0'!AC298</f>
        <v>0</v>
      </c>
      <c r="DB298" s="38">
        <f>'Old Balance Sheet'!AA298 + 'ACPL Calculations - 1.0'!AD298 + 'ACPL Calculations - 2.0'!AD298</f>
        <v>0</v>
      </c>
      <c r="DC298" s="38">
        <f>'Old Balance Sheet'!AB298 + 'ACPL Calculations - 1.0'!AE298 + 'ACPL Calculations - 2.0'!AE298</f>
        <v>0</v>
      </c>
      <c r="DD298" s="38">
        <f t="shared" si="4"/>
        <v>0</v>
      </c>
      <c r="DE298" s="33">
        <f t="shared" si="5"/>
        <v>0</v>
      </c>
      <c r="DF298" s="35">
        <v>0.0</v>
      </c>
      <c r="DG298" s="35">
        <v>0.0</v>
      </c>
      <c r="DH298" s="35">
        <v>0.0</v>
      </c>
      <c r="DI298" s="35">
        <v>0.0</v>
      </c>
      <c r="DJ298" s="35">
        <v>0.0</v>
      </c>
      <c r="DK298" s="35">
        <v>0.0</v>
      </c>
      <c r="DL298" s="35">
        <v>0.0</v>
      </c>
      <c r="DM298" s="35">
        <v>0.0</v>
      </c>
      <c r="DN298" s="31">
        <v>0.0</v>
      </c>
      <c r="DO298" s="31">
        <v>0.0</v>
      </c>
      <c r="DP298" s="31">
        <v>0.0</v>
      </c>
      <c r="DQ298" s="31">
        <v>0.0</v>
      </c>
      <c r="DR298" s="31">
        <v>0.0</v>
      </c>
      <c r="DS298" s="31">
        <v>0.0</v>
      </c>
      <c r="DT298" s="31">
        <f>'Old Balance Sheet'!AC298</f>
        <v>0</v>
      </c>
      <c r="DU298" s="31">
        <f>DT298 + SUMIFS('Payments Log'!D:D, 'Payments Log'!B:B, A298, 'Payments Log'!L:L, "Approved", 'Payments Log'!M:M, "Credit") + 'Old Balance Sheet'!AD298 - 'Old Balance Sheet'!AC298</f>
        <v>0</v>
      </c>
      <c r="DV298" s="31">
        <f>SUMIFS('Payments Log'!D:D, 'Payments Log'!B:B, A298, 'Payments Log'!L:L, "Approved", 'Payments Log'!M:M, "Adjustment Credit") - SUMIFS('Payments Log'!D:D, 'Payments Log'!B:B, A298, 'Payments Log'!L:L, "Approved", 'Payments Log'!M:M, "Adjustment Debit") + 'Old Balance Sheet'!AE298</f>
        <v>0</v>
      </c>
      <c r="DW298" s="31">
        <f>IF(MAXIFS('Payments Log'!N:N, 'Payments Log'!L:L, "Approved", 'Payments Log'!M:M, "Credit", 'Payments Log'!B:B, A298) &gt; MAXIFS('Payments Log'!N:N, 'Payments Log'!L:L, "Approved", 'Payments Log'!M:M, "Virtual Credit", 'Payments Log'!B:B, A298), 0, SUMIFS('Payments Log'!D:D, 'Payments Log'!N:N, MAXIFS('Payments Log'!N:N, 'Payments Log'!L:L, "Approved", 'Payments Log'!M:M, "Virtual Credit", 'Payments Log'!B:B, A298)))</f>
        <v>0</v>
      </c>
      <c r="DX298" s="33">
        <f t="shared" si="6"/>
        <v>0</v>
      </c>
      <c r="DY298" s="33">
        <f t="shared" si="7"/>
        <v>0</v>
      </c>
      <c r="DZ298" s="33">
        <f t="shared" si="8"/>
        <v>0</v>
      </c>
      <c r="EA298" s="25" t="str">
        <f>(Sheet1!N298)</f>
        <v>ARC HERO- MAHIPALPUR</v>
      </c>
      <c r="EB298" s="25" t="str">
        <f>(Sheet1!O298)</f>
        <v>1050xuIkuCwbciPjL7NYnIQd49nor1NbjSoUBzXpeVrU</v>
      </c>
      <c r="EC298" s="26" t="str">
        <f>(Sheet1!P298)</f>
        <v>Sub Dealer</v>
      </c>
      <c r="ED298" s="34" t="s">
        <v>13</v>
      </c>
    </row>
    <row r="299">
      <c r="A299" s="25" t="str">
        <f>(Sheet1!A299)</f>
        <v>1g1XusipIkc3ou5jV0CF6g9OQKAO43--ZjNw2cfWuCJ4</v>
      </c>
      <c r="B299" s="25" t="str">
        <f>(Sheet1!B299)</f>
        <v>Mahesh Motor 4 - Dinajpur</v>
      </c>
      <c r="C299" s="30" t="s">
        <v>13</v>
      </c>
      <c r="D299" s="30" t="s">
        <v>72</v>
      </c>
      <c r="E299" s="30" t="s">
        <v>3817</v>
      </c>
      <c r="F299" s="31">
        <v>205.0</v>
      </c>
      <c r="G299" s="32" t="s">
        <v>3818</v>
      </c>
      <c r="H299" s="31">
        <v>100.0</v>
      </c>
      <c r="I299" s="33">
        <f>'Old Balance Sheet'!A299 + 'ACPL Calculations - 1.0'!A299 + 'ACPL Calculations - 2.0'!A299</f>
        <v>1</v>
      </c>
      <c r="J299" s="30" t="s">
        <v>3817</v>
      </c>
      <c r="K299" s="31">
        <v>100.0</v>
      </c>
      <c r="L299" s="32" t="s">
        <v>3818</v>
      </c>
      <c r="M299" s="31">
        <v>100.0</v>
      </c>
      <c r="N299" s="33">
        <f>'Old Balance Sheet'!B299 + 'ACPL Calculations - 1.0'!B299 + 'ACPL Calculations - 2.0'!B299</f>
        <v>0</v>
      </c>
      <c r="O299" s="30" t="s">
        <v>3817</v>
      </c>
      <c r="P299" s="31">
        <v>245.0</v>
      </c>
      <c r="Q299" s="32" t="s">
        <v>3818</v>
      </c>
      <c r="R299" s="31">
        <v>100.0</v>
      </c>
      <c r="S299" s="33">
        <f>'Old Balance Sheet'!C299 + 'ACPL Calculations - 1.0'!C299 + 'ACPL Calculations - 2.0'!C299</f>
        <v>0</v>
      </c>
      <c r="T299" s="30" t="s">
        <v>3817</v>
      </c>
      <c r="U299" s="31">
        <v>375.0</v>
      </c>
      <c r="V299" s="32" t="s">
        <v>3818</v>
      </c>
      <c r="W299" s="31">
        <v>100.0</v>
      </c>
      <c r="X299" s="33">
        <f>'Old Balance Sheet'!D299 + 'ACPL Calculations - 1.0'!D299 + 'ACPL Calculations - 2.0'!D299</f>
        <v>0</v>
      </c>
      <c r="Y299" s="30" t="s">
        <v>3817</v>
      </c>
      <c r="Z299" s="31">
        <v>460.0</v>
      </c>
      <c r="AA299" s="32" t="s">
        <v>3818</v>
      </c>
      <c r="AB299" s="31">
        <v>100.0</v>
      </c>
      <c r="AC299" s="33">
        <f>'Old Balance Sheet'!E299 + 'ACPL Calculations - 1.0'!E299 + 'ACPL Calculations - 2.0'!E299</f>
        <v>0</v>
      </c>
      <c r="AD299" s="30" t="s">
        <v>3817</v>
      </c>
      <c r="AE299" s="34">
        <v>838.99</v>
      </c>
      <c r="AF299" s="32" t="s">
        <v>3818</v>
      </c>
      <c r="AG299" s="31">
        <v>100.0</v>
      </c>
      <c r="AH299" s="33">
        <f>'Old Balance Sheet'!F299 + 'ACPL Calculations - 1.0'!F299 + 'ACPL Calculations - 2.0'!F299</f>
        <v>0</v>
      </c>
      <c r="AI299" s="30" t="s">
        <v>3817</v>
      </c>
      <c r="AJ299" s="31">
        <v>375.0</v>
      </c>
      <c r="AK299" s="32" t="s">
        <v>3818</v>
      </c>
      <c r="AL299" s="31">
        <v>100.0</v>
      </c>
      <c r="AM299" s="33">
        <f>'Old Balance Sheet'!G299 + 'ACPL Calculations - 1.0'!G299 + 'ACPL Calculations - 2.0'!G299</f>
        <v>0</v>
      </c>
      <c r="AN299" s="30" t="s">
        <v>3817</v>
      </c>
      <c r="AO299" s="31">
        <v>290.0</v>
      </c>
      <c r="AP299" s="32" t="s">
        <v>3818</v>
      </c>
      <c r="AQ299" s="31">
        <v>100.0</v>
      </c>
      <c r="AR299" s="33">
        <f>'Old Balance Sheet'!H299 + 'ACPL Calculations - 1.0'!H299 + 'ACPL Calculations - 2.0'!H299</f>
        <v>0</v>
      </c>
      <c r="AS299" s="30" t="s">
        <v>3819</v>
      </c>
      <c r="AT299" s="31">
        <v>838.99</v>
      </c>
      <c r="AU299" s="32" t="s">
        <v>3818</v>
      </c>
      <c r="AV299" s="31">
        <v>100.0</v>
      </c>
      <c r="AW299" s="33">
        <f>'Old Balance Sheet'!I299 + 'ACPL Calculations - 1.0'!I299 + 'ACPL Calculations - 2.0'!I299</f>
        <v>0</v>
      </c>
      <c r="AX299" s="30" t="s">
        <v>3817</v>
      </c>
      <c r="AY299" s="31">
        <v>290.0</v>
      </c>
      <c r="AZ299" s="32" t="s">
        <v>3818</v>
      </c>
      <c r="BA299" s="31">
        <v>100.0</v>
      </c>
      <c r="BB299" s="33">
        <f>'Old Balance Sheet'!J299 + 'ACPL Calculations - 1.0'!J299 + 'ACPL Calculations - 2.0'!J299</f>
        <v>0</v>
      </c>
      <c r="BC299" s="30" t="s">
        <v>3817</v>
      </c>
      <c r="BD299" s="31">
        <v>205.0</v>
      </c>
      <c r="BE299" s="32" t="s">
        <v>3818</v>
      </c>
      <c r="BF299" s="31">
        <v>100.0</v>
      </c>
      <c r="BG299" s="33">
        <f>'Old Balance Sheet'!K299 + 'ACPL Calculations - 1.0'!K299 + 'ACPL Calculations - 2.0'!K299</f>
        <v>0</v>
      </c>
      <c r="BH299" s="30" t="s">
        <v>3817</v>
      </c>
      <c r="BI299" s="31">
        <v>205.0</v>
      </c>
      <c r="BJ299" s="32" t="s">
        <v>3818</v>
      </c>
      <c r="BK299" s="31">
        <v>100.0</v>
      </c>
      <c r="BL299" s="33">
        <f>'Old Balance Sheet'!L299 + 'ACPL Calculations - 1.0'!L299 + 'ACPL Calculations - 2.0'!L299</f>
        <v>0</v>
      </c>
      <c r="BM299" s="33"/>
      <c r="BN299" s="33"/>
      <c r="BO299" s="33"/>
      <c r="BP299" s="33"/>
      <c r="BQ299" s="33"/>
      <c r="BR299" s="33"/>
      <c r="BS299" s="33"/>
      <c r="BT299" s="33"/>
      <c r="BU299" s="33"/>
      <c r="BV299" s="33"/>
      <c r="BW299" s="33"/>
      <c r="BX299" s="33"/>
      <c r="BY299" s="33"/>
      <c r="BZ299" s="33"/>
      <c r="CA299" s="33"/>
      <c r="CB299" s="33"/>
      <c r="CC299" s="33"/>
      <c r="CD299" s="33"/>
      <c r="CE299" s="33"/>
      <c r="CF299" s="33"/>
      <c r="CG299" s="33"/>
      <c r="CH299" s="33"/>
      <c r="CI299" s="33"/>
      <c r="CJ299" s="33"/>
      <c r="CK299" s="33"/>
      <c r="CL299" s="33">
        <f t="shared" si="1"/>
        <v>1</v>
      </c>
      <c r="CM299" s="33">
        <f>'Old Balance Sheet'!R299 + 'ACPL Calculations - 1.0'!S299 + 'ACPL Calculations - 2.0'!S299</f>
        <v>390</v>
      </c>
      <c r="CN299" s="33">
        <f>'Old Balance Sheet'!S299 + 'ACPL Calculations - 1.0'!T299 + 'ACPL Calculations - 2.0'!T299</f>
        <v>205</v>
      </c>
      <c r="CO299" s="33">
        <f t="shared" si="2"/>
        <v>264.49</v>
      </c>
      <c r="CP299" s="33">
        <f>'Old Balance Sheet'!T299 + 'ACPL Calculations - 1.0'!V299 + 'ACPL Calculations - 2.0'!V299</f>
        <v>0</v>
      </c>
      <c r="CQ299" s="33">
        <f>'Old Balance Sheet'!U299 + 'ACPL Calculations - 1.0'!W299 + 'ACPL Calculations - 2.0'!W299</f>
        <v>0</v>
      </c>
      <c r="CR299" s="33">
        <f>'Old Balance Sheet'!V299 + 'ACPL Calculations - 1.0'!X299 + 'ACPL Calculations - 2.0'!X299</f>
        <v>59.49</v>
      </c>
      <c r="CS299" s="33">
        <f t="shared" si="3"/>
        <v>59.49</v>
      </c>
      <c r="CT299" s="35"/>
      <c r="CU299" s="35"/>
      <c r="CV299" s="35"/>
      <c r="CW299" s="36">
        <f>'Old Balance Sheet'!W299 + 'ACPL Calculations - 1.0'!Z299 + 'ACPL Calculations - 2.0'!Z299</f>
        <v>0</v>
      </c>
      <c r="CX299" s="36">
        <f>'Old Balance Sheet'!X299 + 'ACPL Calculations - 1.0'!AA299 + 'ACPL Calculations - 2.0'!AA299</f>
        <v>0</v>
      </c>
      <c r="CY299" s="37">
        <v>0.0</v>
      </c>
      <c r="CZ299" s="38">
        <f>'Old Balance Sheet'!Y299 + 'ACPL Calculations - 1.0'!AB299 + 'ACPL Calculations - 2.0'!AB299</f>
        <v>0</v>
      </c>
      <c r="DA299" s="38">
        <f>'Old Balance Sheet'!Z299 + 'ACPL Calculations - 1.0'!AC299 + 'ACPL Calculations - 2.0'!AC299</f>
        <v>0</v>
      </c>
      <c r="DB299" s="38">
        <f>'Old Balance Sheet'!AA299 + 'ACPL Calculations - 1.0'!AD299 + 'ACPL Calculations - 2.0'!AD299</f>
        <v>0</v>
      </c>
      <c r="DC299" s="38">
        <f>'Old Balance Sheet'!AB299 + 'ACPL Calculations - 1.0'!AE299 + 'ACPL Calculations - 2.0'!AE299</f>
        <v>0</v>
      </c>
      <c r="DD299" s="38">
        <f t="shared" si="4"/>
        <v>0</v>
      </c>
      <c r="DE299" s="33">
        <f t="shared" si="5"/>
        <v>0</v>
      </c>
      <c r="DF299" s="35">
        <v>0.0</v>
      </c>
      <c r="DG299" s="35">
        <v>0.0</v>
      </c>
      <c r="DH299" s="35">
        <v>0.0</v>
      </c>
      <c r="DI299" s="35">
        <v>0.0</v>
      </c>
      <c r="DJ299" s="35">
        <v>0.0</v>
      </c>
      <c r="DK299" s="35">
        <v>0.0</v>
      </c>
      <c r="DL299" s="35">
        <v>0.0</v>
      </c>
      <c r="DM299" s="35">
        <v>0.0</v>
      </c>
      <c r="DN299" s="31">
        <v>0.0</v>
      </c>
      <c r="DO299" s="31">
        <v>0.0</v>
      </c>
      <c r="DP299" s="31">
        <v>0.0</v>
      </c>
      <c r="DQ299" s="31">
        <v>0.0</v>
      </c>
      <c r="DR299" s="31">
        <v>0.0</v>
      </c>
      <c r="DS299" s="31">
        <v>0.0</v>
      </c>
      <c r="DT299" s="31">
        <f>'Old Balance Sheet'!AC299</f>
        <v>0</v>
      </c>
      <c r="DU299" s="31">
        <f>DT299 + SUMIFS('Payments Log'!D:D, 'Payments Log'!B:B, A299, 'Payments Log'!L:L, "Approved", 'Payments Log'!M:M, "Credit") + 'Old Balance Sheet'!AD299 - 'Old Balance Sheet'!AC299</f>
        <v>0</v>
      </c>
      <c r="DV299" s="31">
        <f>SUMIFS('Payments Log'!D:D, 'Payments Log'!B:B, A299, 'Payments Log'!L:L, "Approved", 'Payments Log'!M:M, "Adjustment Credit") - SUMIFS('Payments Log'!D:D, 'Payments Log'!B:B, A299, 'Payments Log'!L:L, "Approved", 'Payments Log'!M:M, "Adjustment Debit") + 'Old Balance Sheet'!AE299</f>
        <v>0</v>
      </c>
      <c r="DW299" s="31">
        <f>IF(MAXIFS('Payments Log'!N:N, 'Payments Log'!L:L, "Approved", 'Payments Log'!M:M, "Credit", 'Payments Log'!B:B, A299) &gt; MAXIFS('Payments Log'!N:N, 'Payments Log'!L:L, "Approved", 'Payments Log'!M:M, "Virtual Credit", 'Payments Log'!B:B, A299), 0, SUMIFS('Payments Log'!D:D, 'Payments Log'!N:N, MAXIFS('Payments Log'!N:N, 'Payments Log'!L:L, "Approved", 'Payments Log'!M:M, "Virtual Credit", 'Payments Log'!B:B, A299)))</f>
        <v>0</v>
      </c>
      <c r="DX299" s="33">
        <f t="shared" si="6"/>
        <v>0</v>
      </c>
      <c r="DY299" s="33">
        <f t="shared" si="7"/>
        <v>0</v>
      </c>
      <c r="DZ299" s="33">
        <f t="shared" si="8"/>
        <v>0</v>
      </c>
      <c r="EA299" s="25" t="str">
        <f>(Sheet1!N299)</f>
        <v>MAHESH MOTORS - DINAJPUR</v>
      </c>
      <c r="EB299" s="25" t="str">
        <f>(Sheet1!O299)</f>
        <v>1DVpSm5a7kKqZxFgDUdJBRIcgAuTZosRKDnkmPEIdEG4</v>
      </c>
      <c r="EC299" s="26" t="str">
        <f>(Sheet1!P299)</f>
        <v>Sub Dealer</v>
      </c>
      <c r="ED299" s="34" t="s">
        <v>13</v>
      </c>
    </row>
    <row r="300">
      <c r="A300" s="25" t="str">
        <f>(Sheet1!A300)</f>
        <v>1t4c7ZP0L47Ls9dLmRsXxx1BWFwfzKxl5pOAYpj31jXc</v>
      </c>
      <c r="B300" s="25" t="str">
        <f>(Sheet1!B300)</f>
        <v>Dev Automobile (VAW) - Gonda</v>
      </c>
      <c r="C300" s="30" t="s">
        <v>13</v>
      </c>
      <c r="D300" s="30" t="s">
        <v>72</v>
      </c>
      <c r="E300" s="30" t="s">
        <v>3820</v>
      </c>
      <c r="F300" s="31">
        <v>170.0</v>
      </c>
      <c r="G300" s="32" t="s">
        <v>3818</v>
      </c>
      <c r="H300" s="31">
        <v>100.0</v>
      </c>
      <c r="I300" s="33">
        <f>'Old Balance Sheet'!A300 + 'ACPL Calculations - 1.0'!A300 + 'ACPL Calculations - 2.0'!A300</f>
        <v>5</v>
      </c>
      <c r="J300" s="30" t="s">
        <v>3820</v>
      </c>
      <c r="K300" s="31">
        <v>170.0</v>
      </c>
      <c r="L300" s="32" t="s">
        <v>3818</v>
      </c>
      <c r="M300" s="31">
        <v>100.0</v>
      </c>
      <c r="N300" s="33">
        <f>'Old Balance Sheet'!B300 + 'ACPL Calculations - 1.0'!B300 + 'ACPL Calculations - 2.0'!B300</f>
        <v>0</v>
      </c>
      <c r="O300" s="30" t="s">
        <v>3820</v>
      </c>
      <c r="P300" s="31">
        <v>170.0</v>
      </c>
      <c r="Q300" s="32" t="s">
        <v>3818</v>
      </c>
      <c r="R300" s="31">
        <v>100.0</v>
      </c>
      <c r="S300" s="33">
        <f>'Old Balance Sheet'!C300 + 'ACPL Calculations - 1.0'!C300 + 'ACPL Calculations - 2.0'!C300</f>
        <v>0</v>
      </c>
      <c r="T300" s="30" t="s">
        <v>3820</v>
      </c>
      <c r="U300" s="31">
        <v>170.0</v>
      </c>
      <c r="V300" s="32" t="s">
        <v>3818</v>
      </c>
      <c r="W300" s="31">
        <v>100.0</v>
      </c>
      <c r="X300" s="33">
        <f>'Old Balance Sheet'!D300 + 'ACPL Calculations - 1.0'!D300 + 'ACPL Calculations - 2.0'!D300</f>
        <v>0</v>
      </c>
      <c r="Y300" s="30" t="s">
        <v>3820</v>
      </c>
      <c r="Z300" s="31">
        <v>170.0</v>
      </c>
      <c r="AA300" s="32" t="s">
        <v>3818</v>
      </c>
      <c r="AB300" s="31">
        <v>100.0</v>
      </c>
      <c r="AC300" s="33">
        <f>'Old Balance Sheet'!E300 + 'ACPL Calculations - 1.0'!E300 + 'ACPL Calculations - 2.0'!E300</f>
        <v>155</v>
      </c>
      <c r="AD300" s="30" t="s">
        <v>3820</v>
      </c>
      <c r="AE300" s="34">
        <v>838.99</v>
      </c>
      <c r="AF300" s="32" t="s">
        <v>3818</v>
      </c>
      <c r="AG300" s="31">
        <v>100.0</v>
      </c>
      <c r="AH300" s="33">
        <f>'Old Balance Sheet'!F300 + 'ACPL Calculations - 1.0'!F300 + 'ACPL Calculations - 2.0'!F300</f>
        <v>0</v>
      </c>
      <c r="AI300" s="30" t="s">
        <v>3820</v>
      </c>
      <c r="AJ300" s="31">
        <v>170.0</v>
      </c>
      <c r="AK300" s="32" t="s">
        <v>3818</v>
      </c>
      <c r="AL300" s="31">
        <v>100.0</v>
      </c>
      <c r="AM300" s="33">
        <f>'Old Balance Sheet'!G300 + 'ACPL Calculations - 1.0'!G300 + 'ACPL Calculations - 2.0'!G300</f>
        <v>0</v>
      </c>
      <c r="AN300" s="30" t="s">
        <v>3820</v>
      </c>
      <c r="AO300" s="31">
        <v>170.0</v>
      </c>
      <c r="AP300" s="32" t="s">
        <v>3818</v>
      </c>
      <c r="AQ300" s="31">
        <v>100.0</v>
      </c>
      <c r="AR300" s="33">
        <f>'Old Balance Sheet'!H300 + 'ACPL Calculations - 1.0'!H300 + 'ACPL Calculations - 2.0'!H300</f>
        <v>0</v>
      </c>
      <c r="AS300" s="30" t="s">
        <v>3819</v>
      </c>
      <c r="AT300" s="31">
        <v>838.99</v>
      </c>
      <c r="AU300" s="32" t="s">
        <v>3818</v>
      </c>
      <c r="AV300" s="31">
        <v>100.0</v>
      </c>
      <c r="AW300" s="33">
        <f>'Old Balance Sheet'!I300 + 'ACPL Calculations - 1.0'!I300 + 'ACPL Calculations - 2.0'!I300</f>
        <v>0</v>
      </c>
      <c r="AX300" s="30" t="s">
        <v>3820</v>
      </c>
      <c r="AY300" s="31">
        <v>290.0</v>
      </c>
      <c r="AZ300" s="32" t="s">
        <v>3818</v>
      </c>
      <c r="BA300" s="31">
        <v>100.0</v>
      </c>
      <c r="BB300" s="33">
        <f>'Old Balance Sheet'!J300 + 'ACPL Calculations - 1.0'!J300 + 'ACPL Calculations - 2.0'!J300</f>
        <v>0</v>
      </c>
      <c r="BC300" s="30" t="s">
        <v>3820</v>
      </c>
      <c r="BD300" s="31">
        <v>205.0</v>
      </c>
      <c r="BE300" s="32" t="s">
        <v>3818</v>
      </c>
      <c r="BF300" s="31">
        <v>100.0</v>
      </c>
      <c r="BG300" s="33">
        <f>'Old Balance Sheet'!K300 + 'ACPL Calculations - 1.0'!K300 + 'ACPL Calculations - 2.0'!K300</f>
        <v>0</v>
      </c>
      <c r="BH300" s="30" t="s">
        <v>3820</v>
      </c>
      <c r="BI300" s="31">
        <v>205.0</v>
      </c>
      <c r="BJ300" s="32" t="s">
        <v>3818</v>
      </c>
      <c r="BK300" s="31">
        <v>100.0</v>
      </c>
      <c r="BL300" s="33">
        <f>'Old Balance Sheet'!L300 + 'ACPL Calculations - 1.0'!L300 + 'ACPL Calculations - 2.0'!L300</f>
        <v>0</v>
      </c>
      <c r="BM300" s="33"/>
      <c r="BN300" s="33"/>
      <c r="BO300" s="33"/>
      <c r="BP300" s="33"/>
      <c r="BQ300" s="33"/>
      <c r="BR300" s="33"/>
      <c r="BS300" s="33"/>
      <c r="BT300" s="33"/>
      <c r="BU300" s="33"/>
      <c r="BV300" s="33"/>
      <c r="BW300" s="33"/>
      <c r="BX300" s="33"/>
      <c r="BY300" s="33"/>
      <c r="BZ300" s="33"/>
      <c r="CA300" s="33"/>
      <c r="CB300" s="33"/>
      <c r="CC300" s="33"/>
      <c r="CD300" s="33"/>
      <c r="CE300" s="33"/>
      <c r="CF300" s="33"/>
      <c r="CG300" s="33"/>
      <c r="CH300" s="33"/>
      <c r="CI300" s="33"/>
      <c r="CJ300" s="33"/>
      <c r="CK300" s="33"/>
      <c r="CL300" s="33">
        <f t="shared" si="1"/>
        <v>160</v>
      </c>
      <c r="CM300" s="33">
        <f>'Old Balance Sheet'!R300 + 'ACPL Calculations - 1.0'!S300 + 'ACPL Calculations - 2.0'!S300</f>
        <v>289200</v>
      </c>
      <c r="CN300" s="33">
        <f>'Old Balance Sheet'!S300 + 'ACPL Calculations - 1.0'!T300 + 'ACPL Calculations - 2.0'!T300</f>
        <v>27200</v>
      </c>
      <c r="CO300" s="33">
        <f t="shared" si="2"/>
        <v>71314.75</v>
      </c>
      <c r="CP300" s="33">
        <f>'Old Balance Sheet'!T300 + 'ACPL Calculations - 1.0'!V300 + 'ACPL Calculations - 2.0'!V300</f>
        <v>0</v>
      </c>
      <c r="CQ300" s="33">
        <f>'Old Balance Sheet'!U300 + 'ACPL Calculations - 1.0'!W300 + 'ACPL Calculations - 2.0'!W300</f>
        <v>0</v>
      </c>
      <c r="CR300" s="33">
        <f>'Old Balance Sheet'!V300 + 'ACPL Calculations - 1.0'!X300 + 'ACPL Calculations - 2.0'!X300</f>
        <v>44114.75</v>
      </c>
      <c r="CS300" s="33">
        <f t="shared" si="3"/>
        <v>44114.75</v>
      </c>
      <c r="CT300" s="35"/>
      <c r="CU300" s="35"/>
      <c r="CV300" s="35"/>
      <c r="CW300" s="36">
        <f>'Old Balance Sheet'!W300 + 'ACPL Calculations - 1.0'!Z300 + 'ACPL Calculations - 2.0'!Z300</f>
        <v>0</v>
      </c>
      <c r="CX300" s="36">
        <f>'Old Balance Sheet'!X300 + 'ACPL Calculations - 1.0'!AA300 + 'ACPL Calculations - 2.0'!AA300</f>
        <v>0</v>
      </c>
      <c r="CY300" s="37">
        <v>0.0</v>
      </c>
      <c r="CZ300" s="38">
        <f>'Old Balance Sheet'!Y300 + 'ACPL Calculations - 1.0'!AB300 + 'ACPL Calculations - 2.0'!AB300</f>
        <v>0</v>
      </c>
      <c r="DA300" s="38">
        <f>'Old Balance Sheet'!Z300 + 'ACPL Calculations - 1.0'!AC300 + 'ACPL Calculations - 2.0'!AC300</f>
        <v>0</v>
      </c>
      <c r="DB300" s="38">
        <f>'Old Balance Sheet'!AA300 + 'ACPL Calculations - 1.0'!AD300 + 'ACPL Calculations - 2.0'!AD300</f>
        <v>0</v>
      </c>
      <c r="DC300" s="38">
        <f>'Old Balance Sheet'!AB300 + 'ACPL Calculations - 1.0'!AE300 + 'ACPL Calculations - 2.0'!AE300</f>
        <v>0</v>
      </c>
      <c r="DD300" s="38">
        <f t="shared" si="4"/>
        <v>0</v>
      </c>
      <c r="DE300" s="33">
        <f t="shared" si="5"/>
        <v>0</v>
      </c>
      <c r="DF300" s="35">
        <v>0.0</v>
      </c>
      <c r="DG300" s="35">
        <v>0.0</v>
      </c>
      <c r="DH300" s="35">
        <v>0.0</v>
      </c>
      <c r="DI300" s="35">
        <v>0.0</v>
      </c>
      <c r="DJ300" s="35">
        <v>0.0</v>
      </c>
      <c r="DK300" s="35">
        <v>0.0</v>
      </c>
      <c r="DL300" s="35">
        <v>0.0</v>
      </c>
      <c r="DM300" s="35">
        <v>0.0</v>
      </c>
      <c r="DN300" s="31">
        <v>0.0</v>
      </c>
      <c r="DO300" s="31">
        <v>0.0</v>
      </c>
      <c r="DP300" s="31">
        <v>0.0</v>
      </c>
      <c r="DQ300" s="31">
        <v>0.0</v>
      </c>
      <c r="DR300" s="31">
        <v>0.0</v>
      </c>
      <c r="DS300" s="31">
        <v>0.0</v>
      </c>
      <c r="DT300" s="31">
        <f>'Old Balance Sheet'!AC300</f>
        <v>0</v>
      </c>
      <c r="DU300" s="31">
        <f>DT300 + SUMIFS('Payments Log'!D:D, 'Payments Log'!B:B, A300, 'Payments Log'!L:L, "Approved", 'Payments Log'!M:M, "Credit") + 'Old Balance Sheet'!AD300 - 'Old Balance Sheet'!AC300</f>
        <v>0</v>
      </c>
      <c r="DV300" s="31">
        <f>SUMIFS('Payments Log'!D:D, 'Payments Log'!B:B, A300, 'Payments Log'!L:L, "Approved", 'Payments Log'!M:M, "Adjustment Credit") - SUMIFS('Payments Log'!D:D, 'Payments Log'!B:B, A300, 'Payments Log'!L:L, "Approved", 'Payments Log'!M:M, "Adjustment Debit") + 'Old Balance Sheet'!AE300</f>
        <v>0</v>
      </c>
      <c r="DW300" s="31">
        <f>IF(MAXIFS('Payments Log'!N:N, 'Payments Log'!L:L, "Approved", 'Payments Log'!M:M, "Credit", 'Payments Log'!B:B, A300) &gt; MAXIFS('Payments Log'!N:N, 'Payments Log'!L:L, "Approved", 'Payments Log'!M:M, "Virtual Credit", 'Payments Log'!B:B, A300), 0, SUMIFS('Payments Log'!D:D, 'Payments Log'!N:N, MAXIFS('Payments Log'!N:N, 'Payments Log'!L:L, "Approved", 'Payments Log'!M:M, "Virtual Credit", 'Payments Log'!B:B, A300)))</f>
        <v>0</v>
      </c>
      <c r="DX300" s="33">
        <f t="shared" si="6"/>
        <v>0</v>
      </c>
      <c r="DY300" s="33">
        <f t="shared" si="7"/>
        <v>0</v>
      </c>
      <c r="DZ300" s="33">
        <f t="shared" si="8"/>
        <v>0</v>
      </c>
      <c r="EA300" s="25" t="str">
        <f>(Sheet1!N300)</f>
        <v>Vikas Autowheels</v>
      </c>
      <c r="EB300" s="25" t="str">
        <f>(Sheet1!O300)</f>
        <v>1944RLX7T1M23YXRXYoMnJ6nD_bKLldQXRpFRA0rDLvg</v>
      </c>
      <c r="EC300" s="26" t="str">
        <f>(Sheet1!P300)</f>
        <v>Sub Dealer</v>
      </c>
      <c r="ED300" s="34" t="s">
        <v>13</v>
      </c>
    </row>
    <row r="301">
      <c r="A301" s="26" t="str">
        <f>(Sheet1!A301)</f>
        <v>1AN8rkD7i89vzJPwM9ksH3k-2XvTRN_Wg3aS0QeJ0a2I</v>
      </c>
      <c r="B301" s="26" t="str">
        <f>(Sheet1!B301)</f>
        <v>PASHUPATI HERO - ADCHINI</v>
      </c>
      <c r="C301" s="34" t="s">
        <v>13</v>
      </c>
      <c r="D301" s="34" t="s">
        <v>72</v>
      </c>
      <c r="E301" s="34" t="s">
        <v>3817</v>
      </c>
      <c r="F301" s="34">
        <v>205.0</v>
      </c>
      <c r="G301" s="34" t="s">
        <v>3818</v>
      </c>
      <c r="H301" s="34">
        <v>100.0</v>
      </c>
      <c r="I301" s="33">
        <f>'Old Balance Sheet'!A301 + 'ACPL Calculations - 1.0'!A301 + 'ACPL Calculations - 2.0'!A301</f>
        <v>0</v>
      </c>
      <c r="J301" s="34" t="s">
        <v>3817</v>
      </c>
      <c r="K301" s="34">
        <v>205.0</v>
      </c>
      <c r="L301" s="34" t="s">
        <v>3818</v>
      </c>
      <c r="M301" s="34">
        <v>100.0</v>
      </c>
      <c r="N301" s="33">
        <f>'Old Balance Sheet'!B301 + 'ACPL Calculations - 1.0'!B301 + 'ACPL Calculations - 2.0'!B301</f>
        <v>0</v>
      </c>
      <c r="O301" s="34" t="s">
        <v>3817</v>
      </c>
      <c r="P301" s="34">
        <v>290.0</v>
      </c>
      <c r="Q301" s="34" t="s">
        <v>3818</v>
      </c>
      <c r="R301" s="34">
        <v>100.0</v>
      </c>
      <c r="S301" s="33">
        <f>'Old Balance Sheet'!C301 + 'ACPL Calculations - 1.0'!C301 + 'ACPL Calculations - 2.0'!C301</f>
        <v>0</v>
      </c>
      <c r="T301" s="34" t="s">
        <v>3817</v>
      </c>
      <c r="U301" s="34">
        <v>375.0</v>
      </c>
      <c r="V301" s="34" t="s">
        <v>3818</v>
      </c>
      <c r="W301" s="34">
        <v>100.0</v>
      </c>
      <c r="X301" s="33">
        <f>'Old Balance Sheet'!D301 + 'ACPL Calculations - 1.0'!D301 + 'ACPL Calculations - 2.0'!D301</f>
        <v>0</v>
      </c>
      <c r="Y301" s="34" t="s">
        <v>3817</v>
      </c>
      <c r="Z301" s="34">
        <v>460.0</v>
      </c>
      <c r="AA301" s="32" t="s">
        <v>3818</v>
      </c>
      <c r="AB301" s="31">
        <v>100.0</v>
      </c>
      <c r="AC301" s="33">
        <f>'Old Balance Sheet'!E301 + 'ACPL Calculations - 1.0'!E301 + 'ACPL Calculations - 2.0'!E301</f>
        <v>0</v>
      </c>
      <c r="AD301" s="34" t="s">
        <v>3817</v>
      </c>
      <c r="AE301" s="34">
        <v>838.99</v>
      </c>
      <c r="AF301" s="32" t="s">
        <v>3818</v>
      </c>
      <c r="AG301" s="31">
        <v>100.0</v>
      </c>
      <c r="AH301" s="33">
        <f>'Old Balance Sheet'!F301 + 'ACPL Calculations - 1.0'!F301 + 'ACPL Calculations - 2.0'!F301</f>
        <v>0</v>
      </c>
      <c r="AI301" s="34" t="s">
        <v>3817</v>
      </c>
      <c r="AJ301" s="34">
        <v>375.0</v>
      </c>
      <c r="AK301" s="32" t="s">
        <v>3818</v>
      </c>
      <c r="AL301" s="31">
        <v>100.0</v>
      </c>
      <c r="AM301" s="33">
        <f>'Old Balance Sheet'!G301 + 'ACPL Calculations - 1.0'!G301 + 'ACPL Calculations - 2.0'!G301</f>
        <v>0</v>
      </c>
      <c r="AN301" s="34" t="s">
        <v>3817</v>
      </c>
      <c r="AO301" s="34">
        <v>290.0</v>
      </c>
      <c r="AP301" s="32" t="s">
        <v>3818</v>
      </c>
      <c r="AQ301" s="31">
        <v>100.0</v>
      </c>
      <c r="AR301" s="33">
        <f>'Old Balance Sheet'!H301 + 'ACPL Calculations - 1.0'!H301 + 'ACPL Calculations - 2.0'!H301</f>
        <v>0</v>
      </c>
      <c r="AS301" s="34" t="s">
        <v>3819</v>
      </c>
      <c r="AT301" s="34">
        <v>838.99</v>
      </c>
      <c r="AU301" s="32" t="s">
        <v>3818</v>
      </c>
      <c r="AV301" s="31">
        <v>100.0</v>
      </c>
      <c r="AW301" s="33">
        <f>'Old Balance Sheet'!I301 + 'ACPL Calculations - 1.0'!I301 + 'ACPL Calculations - 2.0'!I301</f>
        <v>0</v>
      </c>
      <c r="AX301" s="34" t="s">
        <v>3817</v>
      </c>
      <c r="AY301" s="34">
        <v>290.0</v>
      </c>
      <c r="AZ301" s="32" t="s">
        <v>3818</v>
      </c>
      <c r="BA301" s="31">
        <v>100.0</v>
      </c>
      <c r="BB301" s="33">
        <f>'Old Balance Sheet'!J301 + 'ACPL Calculations - 1.0'!J301 + 'ACPL Calculations - 2.0'!J301</f>
        <v>0</v>
      </c>
      <c r="BC301" s="34" t="s">
        <v>3817</v>
      </c>
      <c r="BD301" s="34">
        <v>205.0</v>
      </c>
      <c r="BE301" s="32" t="s">
        <v>3818</v>
      </c>
      <c r="BF301" s="31">
        <v>100.0</v>
      </c>
      <c r="BG301" s="33">
        <f>'Old Balance Sheet'!K301 + 'ACPL Calculations - 1.0'!K301 + 'ACPL Calculations - 2.0'!K301</f>
        <v>0</v>
      </c>
      <c r="BH301" s="34" t="s">
        <v>3817</v>
      </c>
      <c r="BI301" s="34">
        <v>205.0</v>
      </c>
      <c r="BJ301" s="32" t="s">
        <v>3818</v>
      </c>
      <c r="BK301" s="31">
        <v>100.0</v>
      </c>
      <c r="BL301" s="33">
        <f>'Old Balance Sheet'!L301 + 'ACPL Calculations - 1.0'!L301 + 'ACPL Calculations - 2.0'!L301</f>
        <v>0</v>
      </c>
      <c r="CL301" s="33">
        <f t="shared" si="1"/>
        <v>0</v>
      </c>
      <c r="CM301" s="33">
        <f>'Old Balance Sheet'!R301 + 'ACPL Calculations - 1.0'!S301 + 'ACPL Calculations - 2.0'!S301</f>
        <v>0</v>
      </c>
      <c r="CN301" s="33">
        <f>'Old Balance Sheet'!S301 + 'ACPL Calculations - 1.0'!T301 + 'ACPL Calculations - 2.0'!T301</f>
        <v>0</v>
      </c>
      <c r="CO301" s="33">
        <f t="shared" si="2"/>
        <v>0</v>
      </c>
      <c r="CP301" s="33">
        <f>'Old Balance Sheet'!T301 + 'ACPL Calculations - 1.0'!V301 + 'ACPL Calculations - 2.0'!V301</f>
        <v>0</v>
      </c>
      <c r="CQ301" s="33">
        <f>'Old Balance Sheet'!U301 + 'ACPL Calculations - 1.0'!W301 + 'ACPL Calculations - 2.0'!W301</f>
        <v>0</v>
      </c>
      <c r="CR301" s="33">
        <f>'Old Balance Sheet'!V301 + 'ACPL Calculations - 1.0'!X301 + 'ACPL Calculations - 2.0'!X301</f>
        <v>0</v>
      </c>
      <c r="CS301" s="33">
        <f t="shared" si="3"/>
        <v>0</v>
      </c>
      <c r="CT301" s="35"/>
      <c r="CU301" s="35"/>
      <c r="CV301" s="35"/>
      <c r="CW301" s="36">
        <f>'Old Balance Sheet'!W301 + 'ACPL Calculations - 1.0'!Z301 + 'ACPL Calculations - 2.0'!Z301</f>
        <v>0</v>
      </c>
      <c r="CX301" s="36">
        <f>'Old Balance Sheet'!X301 + 'ACPL Calculations - 1.0'!AA301 + 'ACPL Calculations - 2.0'!AA301</f>
        <v>0</v>
      </c>
      <c r="CY301" s="37">
        <v>0.0</v>
      </c>
      <c r="CZ301" s="38">
        <f>'Old Balance Sheet'!Y301 + 'ACPL Calculations - 1.0'!AB301 + 'ACPL Calculations - 2.0'!AB301</f>
        <v>0</v>
      </c>
      <c r="DA301" s="38">
        <f>'Old Balance Sheet'!Z301 + 'ACPL Calculations - 1.0'!AC301 + 'ACPL Calculations - 2.0'!AC301</f>
        <v>0</v>
      </c>
      <c r="DB301" s="38">
        <f>'Old Balance Sheet'!AA301 + 'ACPL Calculations - 1.0'!AD301 + 'ACPL Calculations - 2.0'!AD301</f>
        <v>0</v>
      </c>
      <c r="DC301" s="38">
        <f>'Old Balance Sheet'!AB301 + 'ACPL Calculations - 1.0'!AE301 + 'ACPL Calculations - 2.0'!AE301</f>
        <v>0</v>
      </c>
      <c r="DD301" s="38">
        <f t="shared" si="4"/>
        <v>0</v>
      </c>
      <c r="DE301" s="33">
        <f t="shared" si="5"/>
        <v>0</v>
      </c>
      <c r="DF301" s="35">
        <v>0.0</v>
      </c>
      <c r="DG301" s="35">
        <v>0.0</v>
      </c>
      <c r="DH301" s="35">
        <v>0.0</v>
      </c>
      <c r="DI301" s="35">
        <v>0.0</v>
      </c>
      <c r="DJ301" s="35">
        <v>0.0</v>
      </c>
      <c r="DK301" s="35">
        <v>0.0</v>
      </c>
      <c r="DL301" s="35">
        <v>0.0</v>
      </c>
      <c r="DM301" s="35">
        <v>0.0</v>
      </c>
      <c r="DN301" s="31">
        <v>0.0</v>
      </c>
      <c r="DO301" s="31">
        <v>0.0</v>
      </c>
      <c r="DP301" s="31">
        <v>0.0</v>
      </c>
      <c r="DQ301" s="31">
        <v>0.0</v>
      </c>
      <c r="DR301" s="31">
        <v>0.0</v>
      </c>
      <c r="DS301" s="31">
        <v>0.0</v>
      </c>
      <c r="DT301" s="31">
        <f>'Old Balance Sheet'!AC301</f>
        <v>0</v>
      </c>
      <c r="DU301" s="31">
        <f>DT301 + SUMIFS('Payments Log'!D:D, 'Payments Log'!B:B, A301, 'Payments Log'!L:L, "Approved", 'Payments Log'!M:M, "Credit") + 'Old Balance Sheet'!AD301 - 'Old Balance Sheet'!AC301</f>
        <v>90000</v>
      </c>
      <c r="DV301" s="31">
        <f>SUMIFS('Payments Log'!D:D, 'Payments Log'!B:B, A301, 'Payments Log'!L:L, "Approved", 'Payments Log'!M:M, "Adjustment Credit") - SUMIFS('Payments Log'!D:D, 'Payments Log'!B:B, A301, 'Payments Log'!L:L, "Approved", 'Payments Log'!M:M, "Adjustment Debit") + 'Old Balance Sheet'!AE301</f>
        <v>0</v>
      </c>
      <c r="DW301" s="31">
        <f>IF(MAXIFS('Payments Log'!N:N, 'Payments Log'!L:L, "Approved", 'Payments Log'!M:M, "Credit", 'Payments Log'!B:B, A301) &gt; MAXIFS('Payments Log'!N:N, 'Payments Log'!L:L, "Approved", 'Payments Log'!M:M, "Virtual Credit", 'Payments Log'!B:B, A301), 0, SUMIFS('Payments Log'!D:D, 'Payments Log'!N:N, MAXIFS('Payments Log'!N:N, 'Payments Log'!L:L, "Approved", 'Payments Log'!M:M, "Virtual Credit", 'Payments Log'!B:B, A301)))</f>
        <v>0</v>
      </c>
      <c r="DX301" s="33">
        <f t="shared" si="6"/>
        <v>90000</v>
      </c>
      <c r="DY301" s="33">
        <f t="shared" si="7"/>
        <v>90000</v>
      </c>
      <c r="DZ301" s="33">
        <f t="shared" si="8"/>
        <v>90000</v>
      </c>
      <c r="EA301" s="25" t="str">
        <f>(Sheet1!N301)</f>
        <v>PASHUPATI HERO - ADCHINI</v>
      </c>
      <c r="EB301" s="25" t="str">
        <f>(Sheet1!O301)</f>
        <v>1AN8rkD7i89vzJPwM9ksH3k-2XvTRN_Wg3aS0QeJ0a2I</v>
      </c>
      <c r="EC301" s="26" t="str">
        <f>(Sheet1!P301)</f>
        <v>Dealer</v>
      </c>
      <c r="ED301" s="34" t="s">
        <v>13</v>
      </c>
    </row>
    <row r="302">
      <c r="A302" s="26" t="str">
        <f>(Sheet1!A302)</f>
        <v>1wvUK5nYC39vfuy54L8M4AdPHlr4l9KiUbThaTK6U6x8</v>
      </c>
      <c r="B302" s="26" t="str">
        <f>(Sheet1!B302)</f>
        <v>PASHUPATI HERO- DEOLI</v>
      </c>
      <c r="C302" s="34" t="s">
        <v>13</v>
      </c>
      <c r="D302" s="34" t="s">
        <v>72</v>
      </c>
      <c r="E302" s="34" t="s">
        <v>3817</v>
      </c>
      <c r="F302" s="34">
        <v>205.0</v>
      </c>
      <c r="G302" s="34" t="s">
        <v>3818</v>
      </c>
      <c r="H302" s="34">
        <v>100.0</v>
      </c>
      <c r="I302" s="33">
        <f>'Old Balance Sheet'!A302 + 'ACPL Calculations - 1.0'!A302 + 'ACPL Calculations - 2.0'!A302</f>
        <v>0</v>
      </c>
      <c r="J302" s="34" t="s">
        <v>3817</v>
      </c>
      <c r="K302" s="34">
        <v>205.0</v>
      </c>
      <c r="L302" s="34" t="s">
        <v>3818</v>
      </c>
      <c r="M302" s="34">
        <v>100.0</v>
      </c>
      <c r="N302" s="33">
        <f>'Old Balance Sheet'!B302 + 'ACPL Calculations - 1.0'!B302 + 'ACPL Calculations - 2.0'!B302</f>
        <v>0</v>
      </c>
      <c r="O302" s="34" t="s">
        <v>3817</v>
      </c>
      <c r="P302" s="34">
        <v>290.0</v>
      </c>
      <c r="Q302" s="34" t="s">
        <v>3818</v>
      </c>
      <c r="R302" s="34">
        <v>100.0</v>
      </c>
      <c r="S302" s="33">
        <f>'Old Balance Sheet'!C302 + 'ACPL Calculations - 1.0'!C302 + 'ACPL Calculations - 2.0'!C302</f>
        <v>0</v>
      </c>
      <c r="T302" s="34" t="s">
        <v>3817</v>
      </c>
      <c r="U302" s="34">
        <v>375.0</v>
      </c>
      <c r="V302" s="34" t="s">
        <v>3818</v>
      </c>
      <c r="W302" s="34">
        <v>100.0</v>
      </c>
      <c r="X302" s="33">
        <f>'Old Balance Sheet'!D302 + 'ACPL Calculations - 1.0'!D302 + 'ACPL Calculations - 2.0'!D302</f>
        <v>0</v>
      </c>
      <c r="Y302" s="34" t="s">
        <v>3817</v>
      </c>
      <c r="Z302" s="34">
        <v>460.0</v>
      </c>
      <c r="AA302" s="32" t="s">
        <v>3818</v>
      </c>
      <c r="AB302" s="31">
        <v>100.0</v>
      </c>
      <c r="AC302" s="33">
        <f>'Old Balance Sheet'!E302 + 'ACPL Calculations - 1.0'!E302 + 'ACPL Calculations - 2.0'!E302</f>
        <v>0</v>
      </c>
      <c r="AD302" s="34" t="s">
        <v>3817</v>
      </c>
      <c r="AE302" s="34">
        <v>838.99</v>
      </c>
      <c r="AF302" s="32" t="s">
        <v>3818</v>
      </c>
      <c r="AG302" s="31">
        <v>100.0</v>
      </c>
      <c r="AH302" s="33">
        <f>'Old Balance Sheet'!F302 + 'ACPL Calculations - 1.0'!F302 + 'ACPL Calculations - 2.0'!F302</f>
        <v>0</v>
      </c>
      <c r="AI302" s="34" t="s">
        <v>3817</v>
      </c>
      <c r="AJ302" s="34">
        <v>375.0</v>
      </c>
      <c r="AK302" s="32" t="s">
        <v>3818</v>
      </c>
      <c r="AL302" s="31">
        <v>100.0</v>
      </c>
      <c r="AM302" s="33">
        <f>'Old Balance Sheet'!G302 + 'ACPL Calculations - 1.0'!G302 + 'ACPL Calculations - 2.0'!G302</f>
        <v>0</v>
      </c>
      <c r="AN302" s="34" t="s">
        <v>3817</v>
      </c>
      <c r="AO302" s="34">
        <v>290.0</v>
      </c>
      <c r="AP302" s="32" t="s">
        <v>3818</v>
      </c>
      <c r="AQ302" s="31">
        <v>100.0</v>
      </c>
      <c r="AR302" s="33">
        <f>'Old Balance Sheet'!H302 + 'ACPL Calculations - 1.0'!H302 + 'ACPL Calculations - 2.0'!H302</f>
        <v>0</v>
      </c>
      <c r="AS302" s="34" t="s">
        <v>3819</v>
      </c>
      <c r="AT302" s="34">
        <v>838.99</v>
      </c>
      <c r="AU302" s="32" t="s">
        <v>3818</v>
      </c>
      <c r="AV302" s="31">
        <v>100.0</v>
      </c>
      <c r="AW302" s="33">
        <f>'Old Balance Sheet'!I302 + 'ACPL Calculations - 1.0'!I302 + 'ACPL Calculations - 2.0'!I302</f>
        <v>0</v>
      </c>
      <c r="AX302" s="34" t="s">
        <v>3817</v>
      </c>
      <c r="AY302" s="34">
        <v>290.0</v>
      </c>
      <c r="AZ302" s="32" t="s">
        <v>3818</v>
      </c>
      <c r="BA302" s="31">
        <v>100.0</v>
      </c>
      <c r="BB302" s="33">
        <f>'Old Balance Sheet'!J302 + 'ACPL Calculations - 1.0'!J302 + 'ACPL Calculations - 2.0'!J302</f>
        <v>0</v>
      </c>
      <c r="BC302" s="34" t="s">
        <v>3817</v>
      </c>
      <c r="BD302" s="34">
        <v>205.0</v>
      </c>
      <c r="BE302" s="32" t="s">
        <v>3818</v>
      </c>
      <c r="BF302" s="31">
        <v>100.0</v>
      </c>
      <c r="BG302" s="33">
        <f>'Old Balance Sheet'!K302 + 'ACPL Calculations - 1.0'!K302 + 'ACPL Calculations - 2.0'!K302</f>
        <v>0</v>
      </c>
      <c r="BH302" s="34" t="s">
        <v>3817</v>
      </c>
      <c r="BI302" s="34">
        <v>205.0</v>
      </c>
      <c r="BJ302" s="32" t="s">
        <v>3818</v>
      </c>
      <c r="BK302" s="31">
        <v>100.0</v>
      </c>
      <c r="BL302" s="33">
        <f>'Old Balance Sheet'!L302 + 'ACPL Calculations - 1.0'!L302 + 'ACPL Calculations - 2.0'!L302</f>
        <v>0</v>
      </c>
      <c r="CL302" s="33">
        <f t="shared" si="1"/>
        <v>0</v>
      </c>
      <c r="CM302" s="33">
        <f>'Old Balance Sheet'!R302 + 'ACPL Calculations - 1.0'!S302 + 'ACPL Calculations - 2.0'!S302</f>
        <v>0</v>
      </c>
      <c r="CN302" s="33">
        <f>'Old Balance Sheet'!S302 + 'ACPL Calculations - 1.0'!T302 + 'ACPL Calculations - 2.0'!T302</f>
        <v>0</v>
      </c>
      <c r="CO302" s="33">
        <f t="shared" si="2"/>
        <v>0</v>
      </c>
      <c r="CP302" s="33">
        <f>'Old Balance Sheet'!T302 + 'ACPL Calculations - 1.0'!V302 + 'ACPL Calculations - 2.0'!V302</f>
        <v>0</v>
      </c>
      <c r="CQ302" s="33">
        <f>'Old Balance Sheet'!U302 + 'ACPL Calculations - 1.0'!W302 + 'ACPL Calculations - 2.0'!W302</f>
        <v>0</v>
      </c>
      <c r="CR302" s="33">
        <f>'Old Balance Sheet'!V302 + 'ACPL Calculations - 1.0'!X302 + 'ACPL Calculations - 2.0'!X302</f>
        <v>0</v>
      </c>
      <c r="CS302" s="33">
        <f t="shared" si="3"/>
        <v>0</v>
      </c>
      <c r="CT302" s="35"/>
      <c r="CU302" s="35"/>
      <c r="CV302" s="35"/>
      <c r="CW302" s="36">
        <f>'Old Balance Sheet'!W302 + 'ACPL Calculations - 1.0'!Z302 + 'ACPL Calculations - 2.0'!Z302</f>
        <v>0</v>
      </c>
      <c r="CX302" s="36">
        <f>'Old Balance Sheet'!X302 + 'ACPL Calculations - 1.0'!AA302 + 'ACPL Calculations - 2.0'!AA302</f>
        <v>0</v>
      </c>
      <c r="CY302" s="37">
        <v>0.0</v>
      </c>
      <c r="CZ302" s="38">
        <f>'Old Balance Sheet'!Y302 + 'ACPL Calculations - 1.0'!AB302 + 'ACPL Calculations - 2.0'!AB302</f>
        <v>0</v>
      </c>
      <c r="DA302" s="38">
        <f>'Old Balance Sheet'!Z302 + 'ACPL Calculations - 1.0'!AC302 + 'ACPL Calculations - 2.0'!AC302</f>
        <v>0</v>
      </c>
      <c r="DB302" s="38">
        <f>'Old Balance Sheet'!AA302 + 'ACPL Calculations - 1.0'!AD302 + 'ACPL Calculations - 2.0'!AD302</f>
        <v>0</v>
      </c>
      <c r="DC302" s="38">
        <f>'Old Balance Sheet'!AB302 + 'ACPL Calculations - 1.0'!AE302 + 'ACPL Calculations - 2.0'!AE302</f>
        <v>0</v>
      </c>
      <c r="DD302" s="38">
        <f t="shared" si="4"/>
        <v>0</v>
      </c>
      <c r="DE302" s="33">
        <f t="shared" si="5"/>
        <v>0</v>
      </c>
      <c r="DF302" s="35">
        <v>0.0</v>
      </c>
      <c r="DG302" s="35">
        <v>0.0</v>
      </c>
      <c r="DH302" s="35">
        <v>0.0</v>
      </c>
      <c r="DI302" s="35">
        <v>0.0</v>
      </c>
      <c r="DJ302" s="35">
        <v>0.0</v>
      </c>
      <c r="DK302" s="35">
        <v>0.0</v>
      </c>
      <c r="DL302" s="35">
        <v>0.0</v>
      </c>
      <c r="DM302" s="35">
        <v>0.0</v>
      </c>
      <c r="DN302" s="31">
        <v>0.0</v>
      </c>
      <c r="DO302" s="31">
        <v>0.0</v>
      </c>
      <c r="DP302" s="31">
        <v>0.0</v>
      </c>
      <c r="DQ302" s="31">
        <v>0.0</v>
      </c>
      <c r="DR302" s="31">
        <v>0.0</v>
      </c>
      <c r="DS302" s="31">
        <v>0.0</v>
      </c>
      <c r="DT302" s="31">
        <f>'Old Balance Sheet'!AC302</f>
        <v>0</v>
      </c>
      <c r="DU302" s="31">
        <f>DT302 + SUMIFS('Payments Log'!D:D, 'Payments Log'!B:B, A302, 'Payments Log'!L:L, "Approved", 'Payments Log'!M:M, "Credit") + 'Old Balance Sheet'!AD302 - 'Old Balance Sheet'!AC302</f>
        <v>0</v>
      </c>
      <c r="DV302" s="31">
        <f>SUMIFS('Payments Log'!D:D, 'Payments Log'!B:B, A302, 'Payments Log'!L:L, "Approved", 'Payments Log'!M:M, "Adjustment Credit") - SUMIFS('Payments Log'!D:D, 'Payments Log'!B:B, A302, 'Payments Log'!L:L, "Approved", 'Payments Log'!M:M, "Adjustment Debit") + 'Old Balance Sheet'!AE302</f>
        <v>0</v>
      </c>
      <c r="DW302" s="31">
        <f>IF(MAXIFS('Payments Log'!N:N, 'Payments Log'!L:L, "Approved", 'Payments Log'!M:M, "Credit", 'Payments Log'!B:B, A302) &gt; MAXIFS('Payments Log'!N:N, 'Payments Log'!L:L, "Approved", 'Payments Log'!M:M, "Virtual Credit", 'Payments Log'!B:B, A302), 0, SUMIFS('Payments Log'!D:D, 'Payments Log'!N:N, MAXIFS('Payments Log'!N:N, 'Payments Log'!L:L, "Approved", 'Payments Log'!M:M, "Virtual Credit", 'Payments Log'!B:B, A302)))</f>
        <v>0</v>
      </c>
      <c r="DX302" s="33">
        <f t="shared" si="6"/>
        <v>0</v>
      </c>
      <c r="DY302" s="33">
        <f t="shared" si="7"/>
        <v>0</v>
      </c>
      <c r="DZ302" s="33">
        <f t="shared" si="8"/>
        <v>0</v>
      </c>
      <c r="EA302" s="25" t="str">
        <f>(Sheet1!N302)</f>
        <v>PASHUPATI HERO - ADCHINI</v>
      </c>
      <c r="EB302" s="25" t="str">
        <f>(Sheet1!O302)</f>
        <v>1AN8rkD7i89vzJPwM9ksH3k-2XvTRN_Wg3aS0QeJ0a2I</v>
      </c>
      <c r="EC302" s="26" t="str">
        <f>(Sheet1!P302)</f>
        <v>Sub Dealer</v>
      </c>
      <c r="ED302" s="34" t="s">
        <v>13</v>
      </c>
    </row>
    <row r="303">
      <c r="A303" s="25" t="str">
        <f>(Sheet1!A303)</f>
        <v>1L4bmBANLoZzaH3L_g0lUkCl9uqLxMUm5AXoNn34pTXE</v>
      </c>
      <c r="B303" s="25" t="str">
        <f>(Sheet1!B303)</f>
        <v>ETGO MOTORS - NOIDA</v>
      </c>
      <c r="C303" s="30" t="s">
        <v>13</v>
      </c>
      <c r="D303" s="30" t="s">
        <v>72</v>
      </c>
      <c r="E303" s="30" t="s">
        <v>3817</v>
      </c>
      <c r="F303" s="31">
        <v>205.0</v>
      </c>
      <c r="G303" s="32" t="s">
        <v>3818</v>
      </c>
      <c r="H303" s="31">
        <v>100.0</v>
      </c>
      <c r="I303" s="33">
        <f>'Old Balance Sheet'!A303 + 'ACPL Calculations - 1.0'!A303 + 'ACPL Calculations - 2.0'!A303</f>
        <v>2</v>
      </c>
      <c r="J303" s="30" t="s">
        <v>3817</v>
      </c>
      <c r="K303" s="31">
        <v>205.0</v>
      </c>
      <c r="L303" s="32" t="s">
        <v>3818</v>
      </c>
      <c r="M303" s="31">
        <v>100.0</v>
      </c>
      <c r="N303" s="33">
        <f>'Old Balance Sheet'!B303 + 'ACPL Calculations - 1.0'!B303 + 'ACPL Calculations - 2.0'!B303</f>
        <v>3</v>
      </c>
      <c r="O303" s="30" t="s">
        <v>3817</v>
      </c>
      <c r="P303" s="31">
        <v>290.0</v>
      </c>
      <c r="Q303" s="32" t="s">
        <v>3818</v>
      </c>
      <c r="R303" s="31">
        <v>100.0</v>
      </c>
      <c r="S303" s="33">
        <f>'Old Balance Sheet'!C303 + 'ACPL Calculations - 1.0'!C303 + 'ACPL Calculations - 2.0'!C303</f>
        <v>2</v>
      </c>
      <c r="T303" s="30" t="s">
        <v>3817</v>
      </c>
      <c r="U303" s="31">
        <v>375.0</v>
      </c>
      <c r="V303" s="32" t="s">
        <v>3818</v>
      </c>
      <c r="W303" s="31">
        <v>100.0</v>
      </c>
      <c r="X303" s="33">
        <f>'Old Balance Sheet'!D303 + 'ACPL Calculations - 1.0'!D303 + 'ACPL Calculations - 2.0'!D303</f>
        <v>0</v>
      </c>
      <c r="Y303" s="30" t="s">
        <v>3817</v>
      </c>
      <c r="Z303" s="31">
        <v>460.0</v>
      </c>
      <c r="AA303" s="32" t="s">
        <v>3818</v>
      </c>
      <c r="AB303" s="31">
        <v>100.0</v>
      </c>
      <c r="AC303" s="33">
        <f>'Old Balance Sheet'!E303 + 'ACPL Calculations - 1.0'!E303 + 'ACPL Calculations - 2.0'!E303</f>
        <v>0</v>
      </c>
      <c r="AD303" s="30" t="s">
        <v>3817</v>
      </c>
      <c r="AE303" s="34">
        <v>838.99</v>
      </c>
      <c r="AF303" s="32" t="s">
        <v>3818</v>
      </c>
      <c r="AG303" s="31">
        <v>100.0</v>
      </c>
      <c r="AH303" s="33">
        <f>'Old Balance Sheet'!F303 + 'ACPL Calculations - 1.0'!F303 + 'ACPL Calculations - 2.0'!F303</f>
        <v>0</v>
      </c>
      <c r="AI303" s="30" t="s">
        <v>3817</v>
      </c>
      <c r="AJ303" s="31">
        <v>375.0</v>
      </c>
      <c r="AK303" s="32" t="s">
        <v>3818</v>
      </c>
      <c r="AL303" s="31">
        <v>100.0</v>
      </c>
      <c r="AM303" s="33">
        <f>'Old Balance Sheet'!G303 + 'ACPL Calculations - 1.0'!G303 + 'ACPL Calculations - 2.0'!G303</f>
        <v>0</v>
      </c>
      <c r="AN303" s="30" t="s">
        <v>3817</v>
      </c>
      <c r="AO303" s="31">
        <v>290.0</v>
      </c>
      <c r="AP303" s="32" t="s">
        <v>3818</v>
      </c>
      <c r="AQ303" s="31">
        <v>100.0</v>
      </c>
      <c r="AR303" s="33">
        <f>'Old Balance Sheet'!H303 + 'ACPL Calculations - 1.0'!H303 + 'ACPL Calculations - 2.0'!H303</f>
        <v>0</v>
      </c>
      <c r="AS303" s="30" t="s">
        <v>3819</v>
      </c>
      <c r="AT303" s="31">
        <v>838.99</v>
      </c>
      <c r="AU303" s="32" t="s">
        <v>3818</v>
      </c>
      <c r="AV303" s="31">
        <v>100.0</v>
      </c>
      <c r="AW303" s="33">
        <f>'Old Balance Sheet'!I303 + 'ACPL Calculations - 1.0'!I303 + 'ACPL Calculations - 2.0'!I303</f>
        <v>0</v>
      </c>
      <c r="AX303" s="30" t="s">
        <v>3817</v>
      </c>
      <c r="AY303" s="31">
        <v>290.0</v>
      </c>
      <c r="AZ303" s="32" t="s">
        <v>3818</v>
      </c>
      <c r="BA303" s="31">
        <v>100.0</v>
      </c>
      <c r="BB303" s="33">
        <f>'Old Balance Sheet'!J303 + 'ACPL Calculations - 1.0'!J303 + 'ACPL Calculations - 2.0'!J303</f>
        <v>0</v>
      </c>
      <c r="BC303" s="30" t="s">
        <v>3817</v>
      </c>
      <c r="BD303" s="31">
        <v>205.0</v>
      </c>
      <c r="BE303" s="32" t="s">
        <v>3818</v>
      </c>
      <c r="BF303" s="31">
        <v>100.0</v>
      </c>
      <c r="BG303" s="33">
        <f>'Old Balance Sheet'!K303 + 'ACPL Calculations - 1.0'!K303 + 'ACPL Calculations - 2.0'!K303</f>
        <v>0</v>
      </c>
      <c r="BH303" s="30" t="s">
        <v>3817</v>
      </c>
      <c r="BI303" s="31">
        <v>205.0</v>
      </c>
      <c r="BJ303" s="32" t="s">
        <v>3818</v>
      </c>
      <c r="BK303" s="31">
        <v>100.0</v>
      </c>
      <c r="BL303" s="33">
        <f>'Old Balance Sheet'!L303 + 'ACPL Calculations - 1.0'!L303 + 'ACPL Calculations - 2.0'!L303</f>
        <v>0</v>
      </c>
      <c r="BM303" s="33"/>
      <c r="BN303" s="33"/>
      <c r="BO303" s="33"/>
      <c r="BP303" s="33"/>
      <c r="BQ303" s="33"/>
      <c r="BR303" s="33"/>
      <c r="BS303" s="33"/>
      <c r="BT303" s="33"/>
      <c r="BU303" s="33"/>
      <c r="BV303" s="33"/>
      <c r="BW303" s="33"/>
      <c r="BX303" s="33"/>
      <c r="BY303" s="33"/>
      <c r="BZ303" s="33"/>
      <c r="CA303" s="33"/>
      <c r="CB303" s="33"/>
      <c r="CC303" s="33"/>
      <c r="CD303" s="33"/>
      <c r="CE303" s="33"/>
      <c r="CF303" s="33"/>
      <c r="CG303" s="33"/>
      <c r="CH303" s="33"/>
      <c r="CI303" s="33"/>
      <c r="CJ303" s="33"/>
      <c r="CK303" s="33"/>
      <c r="CL303" s="33">
        <f t="shared" si="1"/>
        <v>7</v>
      </c>
      <c r="CM303" s="33">
        <f>'Old Balance Sheet'!R303 + 'ACPL Calculations - 1.0'!S303 + 'ACPL Calculations - 2.0'!S303</f>
        <v>3782</v>
      </c>
      <c r="CN303" s="33">
        <f>'Old Balance Sheet'!S303 + 'ACPL Calculations - 1.0'!T303 + 'ACPL Calculations - 2.0'!T303</f>
        <v>1605</v>
      </c>
      <c r="CO303" s="33">
        <f t="shared" si="2"/>
        <v>2181.92</v>
      </c>
      <c r="CP303" s="33">
        <f>'Old Balance Sheet'!T303 + 'ACPL Calculations - 1.0'!V303 + 'ACPL Calculations - 2.0'!V303</f>
        <v>0</v>
      </c>
      <c r="CQ303" s="33">
        <f>'Old Balance Sheet'!U303 + 'ACPL Calculations - 1.0'!W303 + 'ACPL Calculations - 2.0'!W303</f>
        <v>0</v>
      </c>
      <c r="CR303" s="33">
        <f>'Old Balance Sheet'!V303 + 'ACPL Calculations - 1.0'!X303 + 'ACPL Calculations - 2.0'!X303</f>
        <v>576.92</v>
      </c>
      <c r="CS303" s="33">
        <f t="shared" si="3"/>
        <v>576.92</v>
      </c>
      <c r="CT303" s="35"/>
      <c r="CU303" s="35"/>
      <c r="CV303" s="35"/>
      <c r="CW303" s="36">
        <f>'Old Balance Sheet'!W303 + 'ACPL Calculations - 1.0'!Z303 + 'ACPL Calculations - 2.0'!Z303</f>
        <v>2261.92</v>
      </c>
      <c r="CX303" s="36">
        <f>'Old Balance Sheet'!X303 + 'ACPL Calculations - 1.0'!AA303 + 'ACPL Calculations - 2.0'!AA303</f>
        <v>2261.92</v>
      </c>
      <c r="CY303" s="37">
        <v>0.0</v>
      </c>
      <c r="CZ303" s="38">
        <f>'Old Balance Sheet'!Y303 + 'ACPL Calculations - 1.0'!AB303 + 'ACPL Calculations - 2.0'!AB303</f>
        <v>1600.08</v>
      </c>
      <c r="DA303" s="38">
        <f>'Old Balance Sheet'!Z303 + 'ACPL Calculations - 1.0'!AC303 + 'ACPL Calculations - 2.0'!AC303</f>
        <v>1520.08</v>
      </c>
      <c r="DB303" s="38">
        <f>'Old Balance Sheet'!AA303 + 'ACPL Calculations - 1.0'!AD303 + 'ACPL Calculations - 2.0'!AD303</f>
        <v>80</v>
      </c>
      <c r="DC303" s="38">
        <f>'Old Balance Sheet'!AB303 + 'ACPL Calculations - 1.0'!AE303 + 'ACPL Calculations - 2.0'!AE303</f>
        <v>0</v>
      </c>
      <c r="DD303" s="38">
        <f t="shared" si="4"/>
        <v>0</v>
      </c>
      <c r="DE303" s="33">
        <f t="shared" si="5"/>
        <v>0</v>
      </c>
      <c r="DF303" s="35">
        <v>0.0</v>
      </c>
      <c r="DG303" s="35">
        <v>0.0</v>
      </c>
      <c r="DH303" s="35">
        <v>0.0</v>
      </c>
      <c r="DI303" s="35">
        <v>0.0</v>
      </c>
      <c r="DJ303" s="35">
        <v>0.0</v>
      </c>
      <c r="DK303" s="35">
        <v>0.0</v>
      </c>
      <c r="DL303" s="35">
        <v>0.0</v>
      </c>
      <c r="DM303" s="35">
        <v>0.0</v>
      </c>
      <c r="DN303" s="31">
        <v>0.0</v>
      </c>
      <c r="DO303" s="31">
        <v>0.0</v>
      </c>
      <c r="DP303" s="31">
        <v>0.0</v>
      </c>
      <c r="DQ303" s="31">
        <v>0.0</v>
      </c>
      <c r="DR303" s="31">
        <v>0.0</v>
      </c>
      <c r="DS303" s="31">
        <v>0.0</v>
      </c>
      <c r="DT303" s="31">
        <f>'Old Balance Sheet'!AC303</f>
        <v>0</v>
      </c>
      <c r="DU303" s="31">
        <f>DT303 + SUMIFS('Payments Log'!D:D, 'Payments Log'!B:B, A303, 'Payments Log'!L:L, "Approved", 'Payments Log'!M:M, "Credit") + 'Old Balance Sheet'!AD303 - 'Old Balance Sheet'!AC303</f>
        <v>3000</v>
      </c>
      <c r="DV303" s="31">
        <f>SUMIFS('Payments Log'!D:D, 'Payments Log'!B:B, A303, 'Payments Log'!L:L, "Approved", 'Payments Log'!M:M, "Adjustment Credit") - SUMIFS('Payments Log'!D:D, 'Payments Log'!B:B, A303, 'Payments Log'!L:L, "Approved", 'Payments Log'!M:M, "Adjustment Debit") + 'Old Balance Sheet'!AE303</f>
        <v>0</v>
      </c>
      <c r="DW303" s="31">
        <f>IF(MAXIFS('Payments Log'!N:N, 'Payments Log'!L:L, "Approved", 'Payments Log'!M:M, "Credit", 'Payments Log'!B:B, A303) &gt; MAXIFS('Payments Log'!N:N, 'Payments Log'!L:L, "Approved", 'Payments Log'!M:M, "Virtual Credit", 'Payments Log'!B:B, A303), 0, SUMIFS('Payments Log'!D:D, 'Payments Log'!N:N, MAXIFS('Payments Log'!N:N, 'Payments Log'!L:L, "Approved", 'Payments Log'!M:M, "Virtual Credit", 'Payments Log'!B:B, A303)))</f>
        <v>0</v>
      </c>
      <c r="DX303" s="33">
        <f t="shared" si="6"/>
        <v>738.08</v>
      </c>
      <c r="DY303" s="33">
        <f t="shared" si="7"/>
        <v>738.08</v>
      </c>
      <c r="DZ303" s="33">
        <f t="shared" si="8"/>
        <v>738.08</v>
      </c>
      <c r="EA303" s="25" t="str">
        <f>(Sheet1!N303)</f>
        <v>ETGO MOTORS - NOIDA</v>
      </c>
      <c r="EB303" s="25" t="str">
        <f>(Sheet1!O303)</f>
        <v>1L4bmBANLoZzaH3L_g0lUkCl9uqLxMUm5AXoNn34pTXE</v>
      </c>
      <c r="EC303" s="26" t="str">
        <f>(Sheet1!P303)</f>
        <v>Dealer</v>
      </c>
      <c r="ED303" s="34" t="s">
        <v>13</v>
      </c>
    </row>
    <row r="304">
      <c r="A304" s="25" t="str">
        <f>(Sheet1!A304)</f>
        <v>1bezs_AiyqeyfyAOe26bbRn8gMLTreFaNwbIZJkQdpqE</v>
      </c>
      <c r="B304" s="25" t="str">
        <f>(Sheet1!B304)</f>
        <v>ANANT AUTOMOBILES(KHB) - BULANDSHAHAR</v>
      </c>
      <c r="C304" s="30" t="s">
        <v>13</v>
      </c>
      <c r="D304" s="30" t="s">
        <v>72</v>
      </c>
      <c r="E304" s="30" t="s">
        <v>3819</v>
      </c>
      <c r="F304" s="31">
        <v>155.0</v>
      </c>
      <c r="G304" s="32" t="s">
        <v>3818</v>
      </c>
      <c r="H304" s="31">
        <v>100.0</v>
      </c>
      <c r="I304" s="33">
        <f>'Old Balance Sheet'!A304 + 'ACPL Calculations - 1.0'!A304 + 'ACPL Calculations - 2.0'!A304</f>
        <v>0</v>
      </c>
      <c r="J304" s="30" t="s">
        <v>3819</v>
      </c>
      <c r="K304" s="31">
        <v>155.0</v>
      </c>
      <c r="L304" s="32" t="s">
        <v>3818</v>
      </c>
      <c r="M304" s="31">
        <v>100.0</v>
      </c>
      <c r="N304" s="33">
        <f>'Old Balance Sheet'!B304 + 'ACPL Calculations - 1.0'!B304 + 'ACPL Calculations - 2.0'!B304</f>
        <v>0</v>
      </c>
      <c r="O304" s="30" t="s">
        <v>3819</v>
      </c>
      <c r="P304" s="31">
        <v>155.0</v>
      </c>
      <c r="Q304" s="32" t="s">
        <v>3818</v>
      </c>
      <c r="R304" s="31">
        <v>100.0</v>
      </c>
      <c r="S304" s="33">
        <f>'Old Balance Sheet'!C304 + 'ACPL Calculations - 1.0'!C304 + 'ACPL Calculations - 2.0'!C304</f>
        <v>0</v>
      </c>
      <c r="T304" s="30" t="s">
        <v>3819</v>
      </c>
      <c r="U304" s="31">
        <v>155.0</v>
      </c>
      <c r="V304" s="32" t="s">
        <v>3818</v>
      </c>
      <c r="W304" s="31">
        <v>100.0</v>
      </c>
      <c r="X304" s="33">
        <f>'Old Balance Sheet'!D304 + 'ACPL Calculations - 1.0'!D304 + 'ACPL Calculations - 2.0'!D304</f>
        <v>0</v>
      </c>
      <c r="Y304" s="30" t="s">
        <v>3819</v>
      </c>
      <c r="Z304" s="41">
        <v>155.0</v>
      </c>
      <c r="AA304" s="32" t="s">
        <v>3818</v>
      </c>
      <c r="AB304" s="31">
        <v>100.0</v>
      </c>
      <c r="AC304" s="33">
        <f>'Old Balance Sheet'!E304 + 'ACPL Calculations - 1.0'!E304 + 'ACPL Calculations - 2.0'!E304</f>
        <v>93</v>
      </c>
      <c r="AD304" s="30" t="s">
        <v>3819</v>
      </c>
      <c r="AE304" s="34">
        <v>838.99</v>
      </c>
      <c r="AF304" s="32" t="s">
        <v>3818</v>
      </c>
      <c r="AG304" s="31">
        <v>100.0</v>
      </c>
      <c r="AH304" s="33">
        <f>'Old Balance Sheet'!F304 + 'ACPL Calculations - 1.0'!F304 + 'ACPL Calculations - 2.0'!F304</f>
        <v>0</v>
      </c>
      <c r="AI304" s="30" t="s">
        <v>3819</v>
      </c>
      <c r="AJ304" s="31">
        <v>155.0</v>
      </c>
      <c r="AK304" s="32" t="s">
        <v>3818</v>
      </c>
      <c r="AL304" s="31">
        <v>100.0</v>
      </c>
      <c r="AM304" s="33">
        <f>'Old Balance Sheet'!G304 + 'ACPL Calculations - 1.0'!G304 + 'ACPL Calculations - 2.0'!G304</f>
        <v>0</v>
      </c>
      <c r="AN304" s="30" t="s">
        <v>3819</v>
      </c>
      <c r="AO304" s="31">
        <v>155.0</v>
      </c>
      <c r="AP304" s="32" t="s">
        <v>3818</v>
      </c>
      <c r="AQ304" s="31">
        <v>100.0</v>
      </c>
      <c r="AR304" s="33">
        <f>'Old Balance Sheet'!H304 + 'ACPL Calculations - 1.0'!H304 + 'ACPL Calculations - 2.0'!H304</f>
        <v>0</v>
      </c>
      <c r="AS304" s="30" t="s">
        <v>3819</v>
      </c>
      <c r="AT304" s="31">
        <v>838.99</v>
      </c>
      <c r="AU304" s="32" t="s">
        <v>3818</v>
      </c>
      <c r="AV304" s="31">
        <v>100.0</v>
      </c>
      <c r="AW304" s="33">
        <f>'Old Balance Sheet'!I304 + 'ACPL Calculations - 1.0'!I304 + 'ACPL Calculations - 2.0'!I304</f>
        <v>0</v>
      </c>
      <c r="AX304" s="30" t="s">
        <v>3819</v>
      </c>
      <c r="AY304" s="31">
        <v>155.0</v>
      </c>
      <c r="AZ304" s="32" t="s">
        <v>3818</v>
      </c>
      <c r="BA304" s="31">
        <v>100.0</v>
      </c>
      <c r="BB304" s="33">
        <f>'Old Balance Sheet'!J304 + 'ACPL Calculations - 1.0'!J304 + 'ACPL Calculations - 2.0'!J304</f>
        <v>0</v>
      </c>
      <c r="BC304" s="30" t="s">
        <v>3819</v>
      </c>
      <c r="BD304" s="31">
        <v>155.0</v>
      </c>
      <c r="BE304" s="32" t="s">
        <v>3818</v>
      </c>
      <c r="BF304" s="31">
        <v>100.0</v>
      </c>
      <c r="BG304" s="33">
        <f>'Old Balance Sheet'!K304 + 'ACPL Calculations - 1.0'!K304 + 'ACPL Calculations - 2.0'!K304</f>
        <v>0</v>
      </c>
      <c r="BH304" s="30" t="s">
        <v>3819</v>
      </c>
      <c r="BI304" s="31">
        <v>155.0</v>
      </c>
      <c r="BJ304" s="32" t="s">
        <v>3818</v>
      </c>
      <c r="BK304" s="31">
        <v>100.0</v>
      </c>
      <c r="BL304" s="33">
        <f>'Old Balance Sheet'!L304 + 'ACPL Calculations - 1.0'!L304 + 'ACPL Calculations - 2.0'!L304</f>
        <v>0</v>
      </c>
      <c r="BM304" s="33"/>
      <c r="BN304" s="33"/>
      <c r="BO304" s="33"/>
      <c r="BP304" s="33"/>
      <c r="BQ304" s="33"/>
      <c r="BR304" s="33"/>
      <c r="BS304" s="33"/>
      <c r="BT304" s="33"/>
      <c r="BU304" s="33"/>
      <c r="BV304" s="33"/>
      <c r="BW304" s="33"/>
      <c r="BX304" s="33"/>
      <c r="BY304" s="33"/>
      <c r="BZ304" s="33"/>
      <c r="CA304" s="33"/>
      <c r="CB304" s="33"/>
      <c r="CC304" s="33"/>
      <c r="CD304" s="33"/>
      <c r="CE304" s="33"/>
      <c r="CF304" s="33"/>
      <c r="CG304" s="33"/>
      <c r="CH304" s="33"/>
      <c r="CI304" s="33"/>
      <c r="CJ304" s="33"/>
      <c r="CK304" s="33"/>
      <c r="CL304" s="33">
        <f t="shared" si="1"/>
        <v>93</v>
      </c>
      <c r="CM304" s="33">
        <f>'Old Balance Sheet'!R304 + 'ACPL Calculations - 1.0'!S304 + 'ACPL Calculations - 2.0'!S304</f>
        <v>17009.7</v>
      </c>
      <c r="CN304" s="33">
        <f>'Old Balance Sheet'!S304 + 'ACPL Calculations - 1.0'!T304 + 'ACPL Calculations - 2.0'!T304</f>
        <v>14415</v>
      </c>
      <c r="CO304" s="33">
        <f t="shared" si="2"/>
        <v>17009.7</v>
      </c>
      <c r="CP304" s="33">
        <f>'Old Balance Sheet'!T304 + 'ACPL Calculations - 1.0'!V304 + 'ACPL Calculations - 2.0'!V304</f>
        <v>27.9</v>
      </c>
      <c r="CQ304" s="33">
        <f>'Old Balance Sheet'!U304 + 'ACPL Calculations - 1.0'!W304 + 'ACPL Calculations - 2.0'!W304</f>
        <v>27.9</v>
      </c>
      <c r="CR304" s="33">
        <f>'Old Balance Sheet'!V304 + 'ACPL Calculations - 1.0'!X304 + 'ACPL Calculations - 2.0'!X304</f>
        <v>2538.9</v>
      </c>
      <c r="CS304" s="33">
        <f t="shared" si="3"/>
        <v>2594.7</v>
      </c>
      <c r="CT304" s="35"/>
      <c r="CU304" s="35"/>
      <c r="CV304" s="35"/>
      <c r="CW304" s="36">
        <f>'Old Balance Sheet'!W304 + 'ACPL Calculations - 1.0'!Z304 + 'ACPL Calculations - 2.0'!Z304</f>
        <v>0</v>
      </c>
      <c r="CX304" s="36">
        <f>'Old Balance Sheet'!X304 + 'ACPL Calculations - 1.0'!AA304 + 'ACPL Calculations - 2.0'!AA304</f>
        <v>0</v>
      </c>
      <c r="CY304" s="37">
        <v>0.0</v>
      </c>
      <c r="CZ304" s="38">
        <f>'Old Balance Sheet'!Y304 + 'ACPL Calculations - 1.0'!AB304 + 'ACPL Calculations - 2.0'!AB304</f>
        <v>0</v>
      </c>
      <c r="DA304" s="38">
        <f>'Old Balance Sheet'!Z304 + 'ACPL Calculations - 1.0'!AC304 + 'ACPL Calculations - 2.0'!AC304</f>
        <v>0</v>
      </c>
      <c r="DB304" s="38">
        <f>'Old Balance Sheet'!AA304 + 'ACPL Calculations - 1.0'!AD304 + 'ACPL Calculations - 2.0'!AD304</f>
        <v>0</v>
      </c>
      <c r="DC304" s="38">
        <f>'Old Balance Sheet'!AB304 + 'ACPL Calculations - 1.0'!AE304 + 'ACPL Calculations - 2.0'!AE304</f>
        <v>0</v>
      </c>
      <c r="DD304" s="38">
        <f t="shared" si="4"/>
        <v>0</v>
      </c>
      <c r="DE304" s="33">
        <f t="shared" si="5"/>
        <v>0</v>
      </c>
      <c r="DF304" s="35">
        <v>0.0</v>
      </c>
      <c r="DG304" s="35">
        <v>0.0</v>
      </c>
      <c r="DH304" s="35">
        <v>0.0</v>
      </c>
      <c r="DI304" s="35">
        <v>0.0</v>
      </c>
      <c r="DJ304" s="35">
        <v>0.0</v>
      </c>
      <c r="DK304" s="35">
        <v>0.0</v>
      </c>
      <c r="DL304" s="35">
        <v>0.0</v>
      </c>
      <c r="DM304" s="35">
        <v>0.0</v>
      </c>
      <c r="DN304" s="31">
        <v>0.0</v>
      </c>
      <c r="DO304" s="31">
        <v>0.0</v>
      </c>
      <c r="DP304" s="31">
        <v>0.0</v>
      </c>
      <c r="DQ304" s="31">
        <v>0.0</v>
      </c>
      <c r="DR304" s="31">
        <v>0.0</v>
      </c>
      <c r="DS304" s="31">
        <v>0.0</v>
      </c>
      <c r="DT304" s="31">
        <f>'Old Balance Sheet'!AC304</f>
        <v>0</v>
      </c>
      <c r="DU304" s="31">
        <f>DT304 + SUMIFS('Payments Log'!D:D, 'Payments Log'!B:B, A304, 'Payments Log'!L:L, "Approved", 'Payments Log'!M:M, "Credit") + 'Old Balance Sheet'!AD304 - 'Old Balance Sheet'!AC304</f>
        <v>0</v>
      </c>
      <c r="DV304" s="31">
        <f>SUMIFS('Payments Log'!D:D, 'Payments Log'!B:B, A304, 'Payments Log'!L:L, "Approved", 'Payments Log'!M:M, "Adjustment Credit") - SUMIFS('Payments Log'!D:D, 'Payments Log'!B:B, A304, 'Payments Log'!L:L, "Approved", 'Payments Log'!M:M, "Adjustment Debit") + 'Old Balance Sheet'!AE304</f>
        <v>0</v>
      </c>
      <c r="DW304" s="31">
        <f>IF(MAXIFS('Payments Log'!N:N, 'Payments Log'!L:L, "Approved", 'Payments Log'!M:M, "Credit", 'Payments Log'!B:B, A304) &gt; MAXIFS('Payments Log'!N:N, 'Payments Log'!L:L, "Approved", 'Payments Log'!M:M, "Virtual Credit", 'Payments Log'!B:B, A304), 0, SUMIFS('Payments Log'!D:D, 'Payments Log'!N:N, MAXIFS('Payments Log'!N:N, 'Payments Log'!L:L, "Approved", 'Payments Log'!M:M, "Virtual Credit", 'Payments Log'!B:B, A304)))</f>
        <v>0</v>
      </c>
      <c r="DX304" s="33">
        <f t="shared" si="6"/>
        <v>0</v>
      </c>
      <c r="DY304" s="33">
        <f t="shared" si="7"/>
        <v>0</v>
      </c>
      <c r="DZ304" s="33">
        <f t="shared" si="8"/>
        <v>0</v>
      </c>
      <c r="EA304" s="25" t="str">
        <f>(Sheet1!N304)</f>
        <v>Krishna Hero - Bulandshahr</v>
      </c>
      <c r="EB304" s="25" t="str">
        <f>(Sheet1!O304)</f>
        <v>1mX_ZCiMgVCd3AONQ2zBbbc9wQ6Mlj2RvmkSWdpWht-8</v>
      </c>
      <c r="EC304" s="26" t="str">
        <f>(Sheet1!P304)</f>
        <v>Sub Dealer</v>
      </c>
      <c r="ED304" s="34" t="s">
        <v>13</v>
      </c>
    </row>
    <row r="305">
      <c r="A305" s="26" t="str">
        <f>(Sheet1!A305)</f>
        <v>1rxceCPc4ChTPFerx6ZXVu45MWGLeEOukTie7Dj7H2lI</v>
      </c>
      <c r="B305" s="26" t="str">
        <f>(Sheet1!B305)</f>
        <v>JAI DURGA AUTOMOBILES - LAL KUAN</v>
      </c>
      <c r="C305" s="30" t="s">
        <v>13</v>
      </c>
      <c r="D305" s="34" t="s">
        <v>72</v>
      </c>
      <c r="E305" s="34" t="s">
        <v>3820</v>
      </c>
      <c r="F305" s="34">
        <v>215.0</v>
      </c>
      <c r="G305" s="34" t="s">
        <v>3818</v>
      </c>
      <c r="H305" s="34">
        <v>100.0</v>
      </c>
      <c r="I305" s="33">
        <f>'Old Balance Sheet'!A305 + 'ACPL Calculations - 1.0'!A305 + 'ACPL Calculations - 2.0'!A305</f>
        <v>52</v>
      </c>
      <c r="J305" s="34" t="s">
        <v>3820</v>
      </c>
      <c r="K305" s="34">
        <v>205.0</v>
      </c>
      <c r="L305" s="34" t="s">
        <v>3818</v>
      </c>
      <c r="M305" s="34">
        <v>100.0</v>
      </c>
      <c r="N305" s="33">
        <f>'Old Balance Sheet'!B305 + 'ACPL Calculations - 1.0'!B305 + 'ACPL Calculations - 2.0'!B305</f>
        <v>0</v>
      </c>
      <c r="O305" s="34" t="s">
        <v>3820</v>
      </c>
      <c r="P305" s="34">
        <v>290.0</v>
      </c>
      <c r="Q305" s="34" t="s">
        <v>3818</v>
      </c>
      <c r="R305" s="34">
        <v>100.0</v>
      </c>
      <c r="S305" s="33">
        <f>'Old Balance Sheet'!C305 + 'ACPL Calculations - 1.0'!C305 + 'ACPL Calculations - 2.0'!C305</f>
        <v>0</v>
      </c>
      <c r="T305" s="34" t="s">
        <v>3820</v>
      </c>
      <c r="U305" s="34">
        <v>375.0</v>
      </c>
      <c r="V305" s="34" t="s">
        <v>3818</v>
      </c>
      <c r="W305" s="34">
        <v>100.0</v>
      </c>
      <c r="X305" s="33">
        <f>'Old Balance Sheet'!D305 + 'ACPL Calculations - 1.0'!D305 + 'ACPL Calculations - 2.0'!D305</f>
        <v>0</v>
      </c>
      <c r="Y305" s="34" t="s">
        <v>3820</v>
      </c>
      <c r="Z305" s="34">
        <v>460.0</v>
      </c>
      <c r="AA305" s="32" t="s">
        <v>3818</v>
      </c>
      <c r="AB305" s="31">
        <v>100.0</v>
      </c>
      <c r="AC305" s="33">
        <f>'Old Balance Sheet'!E305 + 'ACPL Calculations - 1.0'!E305 + 'ACPL Calculations - 2.0'!E305</f>
        <v>0</v>
      </c>
      <c r="AD305" s="34" t="s">
        <v>3820</v>
      </c>
      <c r="AE305" s="34">
        <v>838.99</v>
      </c>
      <c r="AF305" s="32" t="s">
        <v>3818</v>
      </c>
      <c r="AG305" s="31">
        <v>100.0</v>
      </c>
      <c r="AH305" s="33">
        <f>'Old Balance Sheet'!F305 + 'ACPL Calculations - 1.0'!F305 + 'ACPL Calculations - 2.0'!F305</f>
        <v>0</v>
      </c>
      <c r="AI305" s="34" t="s">
        <v>3820</v>
      </c>
      <c r="AJ305" s="34">
        <v>375.0</v>
      </c>
      <c r="AK305" s="32" t="s">
        <v>3818</v>
      </c>
      <c r="AL305" s="31">
        <v>100.0</v>
      </c>
      <c r="AM305" s="33">
        <f>'Old Balance Sheet'!G305 + 'ACPL Calculations - 1.0'!G305 + 'ACPL Calculations - 2.0'!G305</f>
        <v>0</v>
      </c>
      <c r="AN305" s="34" t="s">
        <v>3820</v>
      </c>
      <c r="AO305" s="34">
        <v>290.0</v>
      </c>
      <c r="AP305" s="32" t="s">
        <v>3818</v>
      </c>
      <c r="AQ305" s="31">
        <v>100.0</v>
      </c>
      <c r="AR305" s="33">
        <f>'Old Balance Sheet'!H305 + 'ACPL Calculations - 1.0'!H305 + 'ACPL Calculations - 2.0'!H305</f>
        <v>0</v>
      </c>
      <c r="AS305" s="34" t="s">
        <v>3819</v>
      </c>
      <c r="AT305" s="34">
        <v>838.99</v>
      </c>
      <c r="AU305" s="32" t="s">
        <v>3818</v>
      </c>
      <c r="AV305" s="31">
        <v>100.0</v>
      </c>
      <c r="AW305" s="33">
        <f>'Old Balance Sheet'!I305 + 'ACPL Calculations - 1.0'!I305 + 'ACPL Calculations - 2.0'!I305</f>
        <v>0</v>
      </c>
      <c r="AX305" s="34" t="s">
        <v>3820</v>
      </c>
      <c r="AY305" s="34">
        <v>290.0</v>
      </c>
      <c r="AZ305" s="32" t="s">
        <v>3818</v>
      </c>
      <c r="BA305" s="31">
        <v>100.0</v>
      </c>
      <c r="BB305" s="33">
        <f>'Old Balance Sheet'!J305 + 'ACPL Calculations - 1.0'!J305 + 'ACPL Calculations - 2.0'!J305</f>
        <v>0</v>
      </c>
      <c r="BC305" s="34" t="s">
        <v>3820</v>
      </c>
      <c r="BD305" s="34">
        <v>205.0</v>
      </c>
      <c r="BE305" s="32" t="s">
        <v>3818</v>
      </c>
      <c r="BF305" s="31">
        <v>100.0</v>
      </c>
      <c r="BG305" s="33">
        <f>'Old Balance Sheet'!K305 + 'ACPL Calculations - 1.0'!K305 + 'ACPL Calculations - 2.0'!K305</f>
        <v>0</v>
      </c>
      <c r="BH305" s="34" t="s">
        <v>3820</v>
      </c>
      <c r="BI305" s="34">
        <v>205.0</v>
      </c>
      <c r="BJ305" s="32" t="s">
        <v>3818</v>
      </c>
      <c r="BK305" s="31">
        <v>100.0</v>
      </c>
      <c r="BL305" s="33">
        <f>'Old Balance Sheet'!L305 + 'ACPL Calculations - 1.0'!L305 + 'ACPL Calculations - 2.0'!L305</f>
        <v>0</v>
      </c>
      <c r="CL305" s="33">
        <f t="shared" si="1"/>
        <v>52</v>
      </c>
      <c r="CM305" s="33">
        <f>'Old Balance Sheet'!R305 + 'ACPL Calculations - 1.0'!S305 + 'ACPL Calculations - 2.0'!S305</f>
        <v>22984</v>
      </c>
      <c r="CN305" s="33">
        <f>'Old Balance Sheet'!S305 + 'ACPL Calculations - 1.0'!T305 + 'ACPL Calculations - 2.0'!T305</f>
        <v>11180</v>
      </c>
      <c r="CO305" s="33">
        <f t="shared" si="2"/>
        <v>14685.84</v>
      </c>
      <c r="CP305" s="33">
        <f>'Old Balance Sheet'!T305 + 'ACPL Calculations - 1.0'!V305 + 'ACPL Calculations - 2.0'!V305</f>
        <v>0</v>
      </c>
      <c r="CQ305" s="33">
        <f>'Old Balance Sheet'!U305 + 'ACPL Calculations - 1.0'!W305 + 'ACPL Calculations - 2.0'!W305</f>
        <v>0</v>
      </c>
      <c r="CR305" s="33">
        <f>'Old Balance Sheet'!V305 + 'ACPL Calculations - 1.0'!X305 + 'ACPL Calculations - 2.0'!X305</f>
        <v>3505.84</v>
      </c>
      <c r="CS305" s="33">
        <f t="shared" si="3"/>
        <v>3505.84</v>
      </c>
      <c r="CT305" s="35"/>
      <c r="CU305" s="35"/>
      <c r="CV305" s="35"/>
      <c r="CW305" s="36">
        <f>'Old Balance Sheet'!W305 + 'ACPL Calculations - 1.0'!Z305 + 'ACPL Calculations - 2.0'!Z305</f>
        <v>24310</v>
      </c>
      <c r="CX305" s="36">
        <f>'Old Balance Sheet'!X305 + 'ACPL Calculations - 1.0'!AA305 + 'ACPL Calculations - 2.0'!AA305</f>
        <v>15972</v>
      </c>
      <c r="CY305" s="37">
        <v>0.0</v>
      </c>
      <c r="CZ305" s="38">
        <f>'Old Balance Sheet'!Y305 + 'ACPL Calculations - 1.0'!AB305 + 'ACPL Calculations - 2.0'!AB305</f>
        <v>15319.68</v>
      </c>
      <c r="DA305" s="38">
        <f>'Old Balance Sheet'!Z305 + 'ACPL Calculations - 1.0'!AC305 + 'ACPL Calculations - 2.0'!AC305</f>
        <v>0</v>
      </c>
      <c r="DB305" s="38">
        <f>'Old Balance Sheet'!AA305 + 'ACPL Calculations - 1.0'!AD305 + 'ACPL Calculations - 2.0'!AD305</f>
        <v>766.08</v>
      </c>
      <c r="DC305" s="38">
        <f>'Old Balance Sheet'!AB305 + 'ACPL Calculations - 1.0'!AE305 + 'ACPL Calculations - 2.0'!AE305</f>
        <v>14553.6</v>
      </c>
      <c r="DD305" s="38">
        <f t="shared" si="4"/>
        <v>14553.6</v>
      </c>
      <c r="DE305" s="33">
        <f t="shared" si="5"/>
        <v>14553.6</v>
      </c>
      <c r="DF305" s="35">
        <v>0.0</v>
      </c>
      <c r="DG305" s="35">
        <v>0.0</v>
      </c>
      <c r="DH305" s="35">
        <v>0.0</v>
      </c>
      <c r="DI305" s="35">
        <v>0.0</v>
      </c>
      <c r="DJ305" s="35">
        <v>0.0</v>
      </c>
      <c r="DK305" s="35">
        <v>0.0</v>
      </c>
      <c r="DL305" s="35">
        <v>0.0</v>
      </c>
      <c r="DM305" s="35">
        <v>0.0</v>
      </c>
      <c r="DN305" s="31">
        <v>0.0</v>
      </c>
      <c r="DO305" s="31">
        <v>0.0</v>
      </c>
      <c r="DP305" s="31">
        <v>0.0</v>
      </c>
      <c r="DQ305" s="31">
        <v>0.0</v>
      </c>
      <c r="DR305" s="31">
        <v>0.0</v>
      </c>
      <c r="DS305" s="31">
        <v>0.0</v>
      </c>
      <c r="DT305" s="31">
        <f>'Old Balance Sheet'!AC305</f>
        <v>0</v>
      </c>
      <c r="DU305" s="31">
        <f>DT305 + SUMIFS('Payments Log'!D:D, 'Payments Log'!B:B, A305, 'Payments Log'!L:L, "Approved", 'Payments Log'!M:M, "Credit") + 'Old Balance Sheet'!AD305 - 'Old Balance Sheet'!AC305</f>
        <v>24500</v>
      </c>
      <c r="DV305" s="31">
        <f>SUMIFS('Payments Log'!D:D, 'Payments Log'!B:B, A305, 'Payments Log'!L:L, "Approved", 'Payments Log'!M:M, "Adjustment Credit") - SUMIFS('Payments Log'!D:D, 'Payments Log'!B:B, A305, 'Payments Log'!L:L, "Approved", 'Payments Log'!M:M, "Adjustment Debit") + 'Old Balance Sheet'!AE305</f>
        <v>0</v>
      </c>
      <c r="DW305" s="31">
        <f>IF(MAXIFS('Payments Log'!N:N, 'Payments Log'!L:L, "Approved", 'Payments Log'!M:M, "Credit", 'Payments Log'!B:B, A305) &gt; MAXIFS('Payments Log'!N:N, 'Payments Log'!L:L, "Approved", 'Payments Log'!M:M, "Virtual Credit", 'Payments Log'!B:B, A305), 0, SUMIFS('Payments Log'!D:D, 'Payments Log'!N:N, MAXIFS('Payments Log'!N:N, 'Payments Log'!L:L, "Approved", 'Payments Log'!M:M, "Virtual Credit", 'Payments Log'!B:B, A305)))</f>
        <v>0</v>
      </c>
      <c r="DX305" s="33">
        <f t="shared" si="6"/>
        <v>190</v>
      </c>
      <c r="DY305" s="33">
        <f t="shared" si="7"/>
        <v>8528</v>
      </c>
      <c r="DZ305" s="33">
        <f t="shared" si="8"/>
        <v>8528</v>
      </c>
      <c r="EA305" s="25" t="str">
        <f>(Sheet1!N305)</f>
        <v>JAI DURGA AUTOMOBILES - LAL KUAN</v>
      </c>
      <c r="EB305" s="25" t="str">
        <f>(Sheet1!O305)</f>
        <v>1rxceCPc4ChTPFerx6ZXVu45MWGLeEOukTie7Dj7H2lI</v>
      </c>
      <c r="EC305" s="26" t="str">
        <f>(Sheet1!P305)</f>
        <v>Dealer</v>
      </c>
      <c r="ED305" s="34" t="s">
        <v>13</v>
      </c>
    </row>
    <row r="306">
      <c r="A306" s="25" t="str">
        <f>(Sheet1!A306)</f>
        <v>1LVNRMyRyFnfxu6UwLDnFcaHRPwib_izj4XjkxL7ErVk</v>
      </c>
      <c r="B306" s="25" t="str">
        <f>(Sheet1!B306)</f>
        <v>RAINBOW AUTOMOBILES - VAISHALI BIHAR</v>
      </c>
      <c r="C306" s="30" t="s">
        <v>13</v>
      </c>
      <c r="D306" s="25" t="s">
        <v>72</v>
      </c>
      <c r="E306" s="30" t="s">
        <v>3820</v>
      </c>
      <c r="F306" s="33">
        <v>205.0</v>
      </c>
      <c r="G306" s="25" t="s">
        <v>3818</v>
      </c>
      <c r="H306" s="33">
        <v>100.0</v>
      </c>
      <c r="I306" s="33">
        <f>'Old Balance Sheet'!A306 + 'ACPL Calculations - 1.0'!A306 + 'ACPL Calculations - 2.0'!A306</f>
        <v>0</v>
      </c>
      <c r="J306" s="30" t="s">
        <v>3820</v>
      </c>
      <c r="K306" s="33">
        <v>205.0</v>
      </c>
      <c r="L306" s="25" t="s">
        <v>3818</v>
      </c>
      <c r="M306" s="33">
        <v>100.0</v>
      </c>
      <c r="N306" s="33">
        <f>'Old Balance Sheet'!B306 + 'ACPL Calculations - 1.0'!B306 + 'ACPL Calculations - 2.0'!B306</f>
        <v>0</v>
      </c>
      <c r="O306" s="30" t="s">
        <v>3820</v>
      </c>
      <c r="P306" s="31">
        <v>290.0</v>
      </c>
      <c r="Q306" s="25" t="s">
        <v>3818</v>
      </c>
      <c r="R306" s="33">
        <v>100.0</v>
      </c>
      <c r="S306" s="33">
        <f>'Old Balance Sheet'!C306 + 'ACPL Calculations - 1.0'!C306 + 'ACPL Calculations - 2.0'!C306</f>
        <v>0</v>
      </c>
      <c r="T306" s="30" t="s">
        <v>3820</v>
      </c>
      <c r="U306" s="33">
        <v>375.0</v>
      </c>
      <c r="V306" s="25" t="s">
        <v>3818</v>
      </c>
      <c r="W306" s="33">
        <v>100.0</v>
      </c>
      <c r="X306" s="33">
        <f>'Old Balance Sheet'!D306 + 'ACPL Calculations - 1.0'!D306 + 'ACPL Calculations - 2.0'!D306</f>
        <v>0</v>
      </c>
      <c r="Y306" s="30" t="s">
        <v>3820</v>
      </c>
      <c r="Z306" s="33">
        <v>460.0</v>
      </c>
      <c r="AA306" s="42" t="s">
        <v>3818</v>
      </c>
      <c r="AB306" s="43">
        <v>100.0</v>
      </c>
      <c r="AC306" s="33">
        <f>'Old Balance Sheet'!E306 + 'ACPL Calculations - 1.0'!E306 + 'ACPL Calculations - 2.0'!E306</f>
        <v>0</v>
      </c>
      <c r="AD306" s="30" t="s">
        <v>3820</v>
      </c>
      <c r="AE306" s="33">
        <v>838.99</v>
      </c>
      <c r="AF306" s="42" t="s">
        <v>3818</v>
      </c>
      <c r="AG306" s="43">
        <v>100.0</v>
      </c>
      <c r="AH306" s="33">
        <f>'Old Balance Sheet'!F306 + 'ACPL Calculations - 1.0'!F306 + 'ACPL Calculations - 2.0'!F306</f>
        <v>0</v>
      </c>
      <c r="AI306" s="30" t="s">
        <v>3820</v>
      </c>
      <c r="AJ306" s="33">
        <v>375.0</v>
      </c>
      <c r="AK306" s="42" t="s">
        <v>3818</v>
      </c>
      <c r="AL306" s="43">
        <v>100.0</v>
      </c>
      <c r="AM306" s="33">
        <f>'Old Balance Sheet'!G306 + 'ACPL Calculations - 1.0'!G306 + 'ACPL Calculations - 2.0'!G306</f>
        <v>0</v>
      </c>
      <c r="AN306" s="30" t="s">
        <v>3820</v>
      </c>
      <c r="AO306" s="33">
        <v>290.0</v>
      </c>
      <c r="AP306" s="42" t="s">
        <v>3818</v>
      </c>
      <c r="AQ306" s="43">
        <v>100.0</v>
      </c>
      <c r="AR306" s="33">
        <f>'Old Balance Sheet'!H306 + 'ACPL Calculations - 1.0'!H306 + 'ACPL Calculations - 2.0'!H306</f>
        <v>0</v>
      </c>
      <c r="AS306" s="30" t="s">
        <v>3819</v>
      </c>
      <c r="AT306" s="33">
        <v>838.99</v>
      </c>
      <c r="AU306" s="42" t="s">
        <v>3818</v>
      </c>
      <c r="AV306" s="43">
        <v>100.0</v>
      </c>
      <c r="AW306" s="33">
        <f>'Old Balance Sheet'!I306 + 'ACPL Calculations - 1.0'!I306 + 'ACPL Calculations - 2.0'!I306</f>
        <v>0</v>
      </c>
      <c r="AX306" s="30" t="s">
        <v>3820</v>
      </c>
      <c r="AY306" s="31">
        <v>290.0</v>
      </c>
      <c r="AZ306" s="42" t="s">
        <v>3818</v>
      </c>
      <c r="BA306" s="43">
        <v>100.0</v>
      </c>
      <c r="BB306" s="33">
        <f>'Old Balance Sheet'!J306 + 'ACPL Calculations - 1.0'!J306 + 'ACPL Calculations - 2.0'!J306</f>
        <v>0</v>
      </c>
      <c r="BC306" s="30" t="s">
        <v>3820</v>
      </c>
      <c r="BD306" s="31">
        <v>205.0</v>
      </c>
      <c r="BE306" s="42" t="s">
        <v>3818</v>
      </c>
      <c r="BF306" s="43">
        <v>100.0</v>
      </c>
      <c r="BG306" s="33">
        <f>'Old Balance Sheet'!K306 + 'ACPL Calculations - 1.0'!K306 + 'ACPL Calculations - 2.0'!K306</f>
        <v>0</v>
      </c>
      <c r="BH306" s="30" t="s">
        <v>3820</v>
      </c>
      <c r="BI306" s="31">
        <v>205.0</v>
      </c>
      <c r="BJ306" s="42" t="s">
        <v>3818</v>
      </c>
      <c r="BK306" s="43">
        <v>100.0</v>
      </c>
      <c r="BL306" s="33">
        <f>'Old Balance Sheet'!L306 + 'ACPL Calculations - 1.0'!L306 + 'ACPL Calculations - 2.0'!L306</f>
        <v>0</v>
      </c>
      <c r="BM306" s="25"/>
      <c r="BN306" s="25"/>
      <c r="BO306" s="25"/>
      <c r="BP306" s="25"/>
      <c r="BQ306" s="25"/>
      <c r="BR306" s="25"/>
      <c r="BS306" s="25"/>
      <c r="BT306" s="25"/>
      <c r="BU306" s="25"/>
      <c r="BV306" s="25"/>
      <c r="BW306" s="25"/>
      <c r="BX306" s="25"/>
      <c r="BY306" s="25"/>
      <c r="BZ306" s="25"/>
      <c r="CA306" s="25"/>
      <c r="CB306" s="25"/>
      <c r="CC306" s="25"/>
      <c r="CD306" s="25"/>
      <c r="CE306" s="25"/>
      <c r="CF306" s="25"/>
      <c r="CG306" s="25"/>
      <c r="CH306" s="25"/>
      <c r="CI306" s="25"/>
      <c r="CJ306" s="25"/>
      <c r="CK306" s="25"/>
      <c r="CL306" s="33">
        <f t="shared" si="1"/>
        <v>0</v>
      </c>
      <c r="CM306" s="33">
        <f>'Old Balance Sheet'!R306 + 'ACPL Calculations - 1.0'!S306 + 'ACPL Calculations - 2.0'!S306</f>
        <v>0</v>
      </c>
      <c r="CN306" s="33">
        <f>'Old Balance Sheet'!S306 + 'ACPL Calculations - 1.0'!T306 + 'ACPL Calculations - 2.0'!T306</f>
        <v>0</v>
      </c>
      <c r="CO306" s="33">
        <f t="shared" si="2"/>
        <v>0</v>
      </c>
      <c r="CP306" s="33">
        <f>'Old Balance Sheet'!T306 + 'ACPL Calculations - 1.0'!V306 + 'ACPL Calculations - 2.0'!V306</f>
        <v>0</v>
      </c>
      <c r="CQ306" s="33">
        <f>'Old Balance Sheet'!U306 + 'ACPL Calculations - 1.0'!W306 + 'ACPL Calculations - 2.0'!W306</f>
        <v>0</v>
      </c>
      <c r="CR306" s="33">
        <f>'Old Balance Sheet'!V306 + 'ACPL Calculations - 1.0'!X306 + 'ACPL Calculations - 2.0'!X306</f>
        <v>0</v>
      </c>
      <c r="CS306" s="33">
        <f t="shared" si="3"/>
        <v>0</v>
      </c>
      <c r="CT306" s="35"/>
      <c r="CU306" s="35"/>
      <c r="CV306" s="35"/>
      <c r="CW306" s="36">
        <f>'Old Balance Sheet'!W306 + 'ACPL Calculations - 1.0'!Z306 + 'ACPL Calculations - 2.0'!Z306</f>
        <v>0</v>
      </c>
      <c r="CX306" s="36">
        <f>'Old Balance Sheet'!X306 + 'ACPL Calculations - 1.0'!AA306 + 'ACPL Calculations - 2.0'!AA306</f>
        <v>0</v>
      </c>
      <c r="CY306" s="37">
        <v>0.0</v>
      </c>
      <c r="CZ306" s="38">
        <f>'Old Balance Sheet'!Y306 + 'ACPL Calculations - 1.0'!AB306 + 'ACPL Calculations - 2.0'!AB306</f>
        <v>0</v>
      </c>
      <c r="DA306" s="38">
        <f>'Old Balance Sheet'!Z306 + 'ACPL Calculations - 1.0'!AC306 + 'ACPL Calculations - 2.0'!AC306</f>
        <v>0</v>
      </c>
      <c r="DB306" s="38">
        <f>'Old Balance Sheet'!AA306 + 'ACPL Calculations - 1.0'!AD306 + 'ACPL Calculations - 2.0'!AD306</f>
        <v>0</v>
      </c>
      <c r="DC306" s="38">
        <f>'Old Balance Sheet'!AB306 + 'ACPL Calculations - 1.0'!AE306 + 'ACPL Calculations - 2.0'!AE306</f>
        <v>0</v>
      </c>
      <c r="DD306" s="38">
        <f t="shared" si="4"/>
        <v>0</v>
      </c>
      <c r="DE306" s="33">
        <f t="shared" si="5"/>
        <v>0</v>
      </c>
      <c r="DF306" s="35">
        <v>0.0</v>
      </c>
      <c r="DG306" s="35">
        <v>0.0</v>
      </c>
      <c r="DH306" s="35">
        <v>0.0</v>
      </c>
      <c r="DI306" s="35">
        <v>0.0</v>
      </c>
      <c r="DJ306" s="35">
        <v>0.0</v>
      </c>
      <c r="DK306" s="35">
        <v>0.0</v>
      </c>
      <c r="DL306" s="35">
        <v>0.0</v>
      </c>
      <c r="DM306" s="35">
        <v>0.0</v>
      </c>
      <c r="DN306" s="31">
        <v>0.0</v>
      </c>
      <c r="DO306" s="31">
        <v>0.0</v>
      </c>
      <c r="DP306" s="31">
        <v>0.0</v>
      </c>
      <c r="DQ306" s="31">
        <v>0.0</v>
      </c>
      <c r="DR306" s="31">
        <v>0.0</v>
      </c>
      <c r="DS306" s="31">
        <v>0.0</v>
      </c>
      <c r="DT306" s="31">
        <f>'Old Balance Sheet'!AC306</f>
        <v>0</v>
      </c>
      <c r="DU306" s="31">
        <f>DT306 + SUMIFS('Payments Log'!D:D, 'Payments Log'!B:B, A306, 'Payments Log'!L:L, "Approved", 'Payments Log'!M:M, "Credit") + 'Old Balance Sheet'!AD306 - 'Old Balance Sheet'!AC306</f>
        <v>0</v>
      </c>
      <c r="DV306" s="31">
        <f>SUMIFS('Payments Log'!D:D, 'Payments Log'!B:B, A306, 'Payments Log'!L:L, "Approved", 'Payments Log'!M:M, "Adjustment Credit") - SUMIFS('Payments Log'!D:D, 'Payments Log'!B:B, A306, 'Payments Log'!L:L, "Approved", 'Payments Log'!M:M, "Adjustment Debit") + 'Old Balance Sheet'!AE306</f>
        <v>0</v>
      </c>
      <c r="DW306" s="31">
        <f>IF(MAXIFS('Payments Log'!N:N, 'Payments Log'!L:L, "Approved", 'Payments Log'!M:M, "Credit", 'Payments Log'!B:B, A306) &gt; MAXIFS('Payments Log'!N:N, 'Payments Log'!L:L, "Approved", 'Payments Log'!M:M, "Virtual Credit", 'Payments Log'!B:B, A306), 0, SUMIFS('Payments Log'!D:D, 'Payments Log'!N:N, MAXIFS('Payments Log'!N:N, 'Payments Log'!L:L, "Approved", 'Payments Log'!M:M, "Virtual Credit", 'Payments Log'!B:B, A306)))</f>
        <v>0</v>
      </c>
      <c r="DX306" s="33">
        <f t="shared" si="6"/>
        <v>0</v>
      </c>
      <c r="DY306" s="33">
        <f t="shared" si="7"/>
        <v>0</v>
      </c>
      <c r="DZ306" s="33">
        <f t="shared" si="8"/>
        <v>0</v>
      </c>
      <c r="EA306" s="25" t="str">
        <f>(Sheet1!N306)</f>
        <v>RAINBOW AUTOMOBILES - VAISHALI BIHAR</v>
      </c>
      <c r="EB306" s="25" t="str">
        <f>(Sheet1!O306)</f>
        <v>1LVNRMyRyFnfxu6UwLDnFcaHRPwib_izj4XjkxL7ErVk</v>
      </c>
      <c r="EC306" s="26" t="str">
        <f>(Sheet1!P306)</f>
        <v>Dealer</v>
      </c>
      <c r="ED306" s="34" t="s">
        <v>13</v>
      </c>
    </row>
    <row r="307">
      <c r="A307" s="25" t="str">
        <f>(Sheet1!A307)</f>
        <v>1QcwlmexfHIgCbHqzkOQkbRw_BUu-91jWceUcx2050FE</v>
      </c>
      <c r="B307" s="25" t="str">
        <f>(Sheet1!B307)</f>
        <v>Sunil Ji Honda - Firozabad</v>
      </c>
      <c r="C307" s="30" t="s">
        <v>13</v>
      </c>
      <c r="D307" s="25" t="s">
        <v>72</v>
      </c>
      <c r="E307" s="30" t="s">
        <v>3820</v>
      </c>
      <c r="F307" s="31">
        <v>175.0</v>
      </c>
      <c r="G307" s="25" t="s">
        <v>3818</v>
      </c>
      <c r="H307" s="33">
        <v>100.0</v>
      </c>
      <c r="I307" s="33">
        <f>'Old Balance Sheet'!A307 + 'ACPL Calculations - 1.0'!A307 + 'ACPL Calculations - 2.0'!A307</f>
        <v>6</v>
      </c>
      <c r="J307" s="30" t="s">
        <v>3820</v>
      </c>
      <c r="K307" s="33">
        <v>205.0</v>
      </c>
      <c r="L307" s="25" t="s">
        <v>3818</v>
      </c>
      <c r="M307" s="33">
        <v>100.0</v>
      </c>
      <c r="N307" s="33">
        <f>'Old Balance Sheet'!B307 + 'ACPL Calculations - 1.0'!B307 + 'ACPL Calculations - 2.0'!B307</f>
        <v>0</v>
      </c>
      <c r="O307" s="30" t="s">
        <v>3820</v>
      </c>
      <c r="P307" s="31">
        <v>290.0</v>
      </c>
      <c r="Q307" s="25" t="s">
        <v>3818</v>
      </c>
      <c r="R307" s="33">
        <v>100.0</v>
      </c>
      <c r="S307" s="33">
        <f>'Old Balance Sheet'!C307 + 'ACPL Calculations - 1.0'!C307 + 'ACPL Calculations - 2.0'!C307</f>
        <v>0</v>
      </c>
      <c r="T307" s="30" t="s">
        <v>3820</v>
      </c>
      <c r="U307" s="33">
        <v>375.0</v>
      </c>
      <c r="V307" s="25" t="s">
        <v>3818</v>
      </c>
      <c r="W307" s="33">
        <v>100.0</v>
      </c>
      <c r="X307" s="33">
        <f>'Old Balance Sheet'!D307 + 'ACPL Calculations - 1.0'!D307 + 'ACPL Calculations - 2.0'!D307</f>
        <v>0</v>
      </c>
      <c r="Y307" s="30" t="s">
        <v>3820</v>
      </c>
      <c r="Z307" s="33">
        <v>460.0</v>
      </c>
      <c r="AA307" s="42" t="s">
        <v>3818</v>
      </c>
      <c r="AB307" s="43">
        <v>100.0</v>
      </c>
      <c r="AC307" s="33">
        <f>'Old Balance Sheet'!E307 + 'ACPL Calculations - 1.0'!E307 + 'ACPL Calculations - 2.0'!E307</f>
        <v>0</v>
      </c>
      <c r="AD307" s="30" t="s">
        <v>3820</v>
      </c>
      <c r="AE307" s="33">
        <v>838.99</v>
      </c>
      <c r="AF307" s="42" t="s">
        <v>3818</v>
      </c>
      <c r="AG307" s="43">
        <v>100.0</v>
      </c>
      <c r="AH307" s="33">
        <f>'Old Balance Sheet'!F307 + 'ACPL Calculations - 1.0'!F307 + 'ACPL Calculations - 2.0'!F307</f>
        <v>0</v>
      </c>
      <c r="AI307" s="30" t="s">
        <v>3820</v>
      </c>
      <c r="AJ307" s="33">
        <v>375.0</v>
      </c>
      <c r="AK307" s="42" t="s">
        <v>3818</v>
      </c>
      <c r="AL307" s="43">
        <v>100.0</v>
      </c>
      <c r="AM307" s="33">
        <f>'Old Balance Sheet'!G307 + 'ACPL Calculations - 1.0'!G307 + 'ACPL Calculations - 2.0'!G307</f>
        <v>0</v>
      </c>
      <c r="AN307" s="30" t="s">
        <v>3820</v>
      </c>
      <c r="AO307" s="33">
        <v>290.0</v>
      </c>
      <c r="AP307" s="42" t="s">
        <v>3818</v>
      </c>
      <c r="AQ307" s="43">
        <v>100.0</v>
      </c>
      <c r="AR307" s="33">
        <f>'Old Balance Sheet'!H307 + 'ACPL Calculations - 1.0'!H307 + 'ACPL Calculations - 2.0'!H307</f>
        <v>0</v>
      </c>
      <c r="AS307" s="30" t="s">
        <v>3819</v>
      </c>
      <c r="AT307" s="33">
        <v>838.99</v>
      </c>
      <c r="AU307" s="42" t="s">
        <v>3818</v>
      </c>
      <c r="AV307" s="43">
        <v>100.0</v>
      </c>
      <c r="AW307" s="33">
        <f>'Old Balance Sheet'!I307 + 'ACPL Calculations - 1.0'!I307 + 'ACPL Calculations - 2.0'!I307</f>
        <v>0</v>
      </c>
      <c r="AX307" s="30" t="s">
        <v>3820</v>
      </c>
      <c r="AY307" s="31">
        <v>290.0</v>
      </c>
      <c r="AZ307" s="42" t="s">
        <v>3818</v>
      </c>
      <c r="BA307" s="43">
        <v>100.0</v>
      </c>
      <c r="BB307" s="33">
        <f>'Old Balance Sheet'!J307 + 'ACPL Calculations - 1.0'!J307 + 'ACPL Calculations - 2.0'!J307</f>
        <v>0</v>
      </c>
      <c r="BC307" s="30" t="s">
        <v>3820</v>
      </c>
      <c r="BD307" s="31">
        <v>205.0</v>
      </c>
      <c r="BE307" s="42" t="s">
        <v>3818</v>
      </c>
      <c r="BF307" s="43">
        <v>100.0</v>
      </c>
      <c r="BG307" s="33">
        <f>'Old Balance Sheet'!K307 + 'ACPL Calculations - 1.0'!K307 + 'ACPL Calculations - 2.0'!K307</f>
        <v>0</v>
      </c>
      <c r="BH307" s="30" t="s">
        <v>3820</v>
      </c>
      <c r="BI307" s="31">
        <v>205.0</v>
      </c>
      <c r="BJ307" s="42" t="s">
        <v>3818</v>
      </c>
      <c r="BK307" s="43">
        <v>100.0</v>
      </c>
      <c r="BL307" s="33">
        <f>'Old Balance Sheet'!L307 + 'ACPL Calculations - 1.0'!L307 + 'ACPL Calculations - 2.0'!L307</f>
        <v>0</v>
      </c>
      <c r="BM307" s="25"/>
      <c r="BN307" s="25"/>
      <c r="BO307" s="25"/>
      <c r="BP307" s="25"/>
      <c r="BQ307" s="25"/>
      <c r="BR307" s="25"/>
      <c r="BS307" s="25"/>
      <c r="BT307" s="25"/>
      <c r="BU307" s="25"/>
      <c r="BV307" s="25"/>
      <c r="BW307" s="25"/>
      <c r="BX307" s="25"/>
      <c r="BY307" s="25"/>
      <c r="BZ307" s="25"/>
      <c r="CA307" s="25"/>
      <c r="CB307" s="25"/>
      <c r="CC307" s="25"/>
      <c r="CD307" s="25"/>
      <c r="CE307" s="25"/>
      <c r="CF307" s="25"/>
      <c r="CG307" s="25"/>
      <c r="CH307" s="25"/>
      <c r="CI307" s="25"/>
      <c r="CJ307" s="25"/>
      <c r="CK307" s="25"/>
      <c r="CL307" s="33">
        <f t="shared" si="1"/>
        <v>6</v>
      </c>
      <c r="CM307" s="33">
        <f>'Old Balance Sheet'!R307 + 'ACPL Calculations - 1.0'!S307 + 'ACPL Calculations - 2.0'!S307</f>
        <v>2652</v>
      </c>
      <c r="CN307" s="33">
        <f>'Old Balance Sheet'!S307 + 'ACPL Calculations - 1.0'!T307 + 'ACPL Calculations - 2.0'!T307</f>
        <v>1050</v>
      </c>
      <c r="CO307" s="33">
        <f t="shared" si="2"/>
        <v>1454.52</v>
      </c>
      <c r="CP307" s="33">
        <f>'Old Balance Sheet'!T307 + 'ACPL Calculations - 1.0'!V307 + 'ACPL Calculations - 2.0'!V307</f>
        <v>0</v>
      </c>
      <c r="CQ307" s="33">
        <f>'Old Balance Sheet'!U307 + 'ACPL Calculations - 1.0'!W307 + 'ACPL Calculations - 2.0'!W307</f>
        <v>0</v>
      </c>
      <c r="CR307" s="33">
        <f>'Old Balance Sheet'!V307 + 'ACPL Calculations - 1.0'!X307 + 'ACPL Calculations - 2.0'!X307</f>
        <v>404.52</v>
      </c>
      <c r="CS307" s="33">
        <f t="shared" si="3"/>
        <v>404.52</v>
      </c>
      <c r="CT307" s="35"/>
      <c r="CU307" s="35"/>
      <c r="CV307" s="35"/>
      <c r="CW307" s="36">
        <f>'Old Balance Sheet'!W307 + 'ACPL Calculations - 1.0'!Z307 + 'ACPL Calculations - 2.0'!Z307</f>
        <v>2652</v>
      </c>
      <c r="CX307" s="36">
        <f>'Old Balance Sheet'!X307 + 'ACPL Calculations - 1.0'!AA307 + 'ACPL Calculations - 2.0'!AA307</f>
        <v>1514.4</v>
      </c>
      <c r="CY307" s="37">
        <v>0.0</v>
      </c>
      <c r="CZ307" s="38">
        <f>'Old Balance Sheet'!Y307 + 'ACPL Calculations - 1.0'!AB307 + 'ACPL Calculations - 2.0'!AB307</f>
        <v>1197.48</v>
      </c>
      <c r="DA307" s="38">
        <f>'Old Balance Sheet'!Z307 + 'ACPL Calculations - 1.0'!AC307 + 'ACPL Calculations - 2.0'!AC307</f>
        <v>0</v>
      </c>
      <c r="DB307" s="38">
        <f>'Old Balance Sheet'!AA307 + 'ACPL Calculations - 1.0'!AD307 + 'ACPL Calculations - 2.0'!AD307</f>
        <v>59.88</v>
      </c>
      <c r="DC307" s="38">
        <f>'Old Balance Sheet'!AB307 + 'ACPL Calculations - 1.0'!AE307 + 'ACPL Calculations - 2.0'!AE307</f>
        <v>1137.6</v>
      </c>
      <c r="DD307" s="38">
        <f t="shared" si="4"/>
        <v>1137.6</v>
      </c>
      <c r="DE307" s="33">
        <f t="shared" si="5"/>
        <v>1137.6</v>
      </c>
      <c r="DF307" s="35">
        <v>0.0</v>
      </c>
      <c r="DG307" s="35">
        <v>0.0</v>
      </c>
      <c r="DH307" s="35">
        <v>0.0</v>
      </c>
      <c r="DI307" s="35">
        <v>0.0</v>
      </c>
      <c r="DJ307" s="35">
        <v>0.0</v>
      </c>
      <c r="DK307" s="35">
        <v>0.0</v>
      </c>
      <c r="DL307" s="35">
        <v>0.0</v>
      </c>
      <c r="DM307" s="35">
        <v>0.0</v>
      </c>
      <c r="DN307" s="31">
        <v>0.0</v>
      </c>
      <c r="DO307" s="31">
        <v>0.0</v>
      </c>
      <c r="DP307" s="31">
        <v>0.0</v>
      </c>
      <c r="DQ307" s="31">
        <v>0.0</v>
      </c>
      <c r="DR307" s="31">
        <v>0.0</v>
      </c>
      <c r="DS307" s="31">
        <v>0.0</v>
      </c>
      <c r="DT307" s="31">
        <f>'Old Balance Sheet'!AC307</f>
        <v>0</v>
      </c>
      <c r="DU307" s="31">
        <f>DT307 + SUMIFS('Payments Log'!D:D, 'Payments Log'!B:B, A307, 'Payments Log'!L:L, "Approved", 'Payments Log'!M:M, "Credit") + 'Old Balance Sheet'!AD307 - 'Old Balance Sheet'!AC307</f>
        <v>5000</v>
      </c>
      <c r="DV307" s="31">
        <f>SUMIFS('Payments Log'!D:D, 'Payments Log'!B:B, A307, 'Payments Log'!L:L, "Approved", 'Payments Log'!M:M, "Adjustment Credit") - SUMIFS('Payments Log'!D:D, 'Payments Log'!B:B, A307, 'Payments Log'!L:L, "Approved", 'Payments Log'!M:M, "Adjustment Debit") + 'Old Balance Sheet'!AE307</f>
        <v>0</v>
      </c>
      <c r="DW307" s="31">
        <f>IF(MAXIFS('Payments Log'!N:N, 'Payments Log'!L:L, "Approved", 'Payments Log'!M:M, "Credit", 'Payments Log'!B:B, A307) &gt; MAXIFS('Payments Log'!N:N, 'Payments Log'!L:L, "Approved", 'Payments Log'!M:M, "Virtual Credit", 'Payments Log'!B:B, A307), 0, SUMIFS('Payments Log'!D:D, 'Payments Log'!N:N, MAXIFS('Payments Log'!N:N, 'Payments Log'!L:L, "Approved", 'Payments Log'!M:M, "Virtual Credit", 'Payments Log'!B:B, A307)))</f>
        <v>0</v>
      </c>
      <c r="DX307" s="33">
        <f t="shared" si="6"/>
        <v>2348</v>
      </c>
      <c r="DY307" s="33">
        <f t="shared" si="7"/>
        <v>3485.6</v>
      </c>
      <c r="DZ307" s="33">
        <f t="shared" si="8"/>
        <v>3485.6</v>
      </c>
      <c r="EA307" s="25" t="str">
        <f>(Sheet1!N307)</f>
        <v>Sunil Ji Honda - Firozabad</v>
      </c>
      <c r="EB307" s="25" t="str">
        <f>(Sheet1!O307)</f>
        <v>1QcwlmexfHIgCbHqzkOQkbRw_BUu-91jWceUcx2050FE</v>
      </c>
      <c r="EC307" s="26" t="str">
        <f>(Sheet1!P307)</f>
        <v>Dealer</v>
      </c>
      <c r="ED307" s="34" t="s">
        <v>13</v>
      </c>
    </row>
    <row r="308">
      <c r="A308" s="26" t="str">
        <f>(Sheet1!A308)</f>
        <v>1LnJ5zdvl1b_4zru0KcAtzT52jepIWcNiSYQkH8Ytlsg</v>
      </c>
      <c r="B308" s="26" t="str">
        <f>(Sheet1!B308)</f>
        <v>JAI DURGA AUTOMOBILES - KICHHA</v>
      </c>
      <c r="C308" s="30" t="s">
        <v>3821</v>
      </c>
      <c r="D308" s="34" t="s">
        <v>72</v>
      </c>
      <c r="E308" s="34" t="s">
        <v>3820</v>
      </c>
      <c r="F308" s="34">
        <v>215.0</v>
      </c>
      <c r="G308" s="34" t="s">
        <v>3818</v>
      </c>
      <c r="H308" s="34">
        <v>100.0</v>
      </c>
      <c r="I308" s="33">
        <f>'Old Balance Sheet'!A308 + 'ACPL Calculations - 1.0'!A308 + 'ACPL Calculations - 2.0'!A308</f>
        <v>44</v>
      </c>
      <c r="J308" s="34" t="s">
        <v>3820</v>
      </c>
      <c r="K308" s="34">
        <v>205.0</v>
      </c>
      <c r="L308" s="34" t="s">
        <v>3818</v>
      </c>
      <c r="M308" s="34">
        <v>100.0</v>
      </c>
      <c r="N308" s="33">
        <f>'Old Balance Sheet'!B308 + 'ACPL Calculations - 1.0'!B308 + 'ACPL Calculations - 2.0'!B308</f>
        <v>0</v>
      </c>
      <c r="O308" s="34" t="s">
        <v>3820</v>
      </c>
      <c r="P308" s="34">
        <v>290.0</v>
      </c>
      <c r="Q308" s="34" t="s">
        <v>3818</v>
      </c>
      <c r="R308" s="34">
        <v>100.0</v>
      </c>
      <c r="S308" s="33">
        <f>'Old Balance Sheet'!C308 + 'ACPL Calculations - 1.0'!C308 + 'ACPL Calculations - 2.0'!C308</f>
        <v>0</v>
      </c>
      <c r="T308" s="34" t="s">
        <v>3820</v>
      </c>
      <c r="U308" s="34">
        <v>375.0</v>
      </c>
      <c r="V308" s="34" t="s">
        <v>3818</v>
      </c>
      <c r="W308" s="34">
        <v>100.0</v>
      </c>
      <c r="X308" s="33">
        <f>'Old Balance Sheet'!D308 + 'ACPL Calculations - 1.0'!D308 + 'ACPL Calculations - 2.0'!D308</f>
        <v>0</v>
      </c>
      <c r="Y308" s="34" t="s">
        <v>3820</v>
      </c>
      <c r="Z308" s="34">
        <v>460.0</v>
      </c>
      <c r="AA308" s="32" t="s">
        <v>3818</v>
      </c>
      <c r="AB308" s="31">
        <v>100.0</v>
      </c>
      <c r="AC308" s="33">
        <f>'Old Balance Sheet'!E308 + 'ACPL Calculations - 1.0'!E308 + 'ACPL Calculations - 2.0'!E308</f>
        <v>0</v>
      </c>
      <c r="AD308" s="34" t="s">
        <v>3820</v>
      </c>
      <c r="AE308" s="34">
        <v>838.99</v>
      </c>
      <c r="AF308" s="32" t="s">
        <v>3818</v>
      </c>
      <c r="AG308" s="31">
        <v>100.0</v>
      </c>
      <c r="AH308" s="33">
        <f>'Old Balance Sheet'!F308 + 'ACPL Calculations - 1.0'!F308 + 'ACPL Calculations - 2.0'!F308</f>
        <v>0</v>
      </c>
      <c r="AI308" s="34" t="s">
        <v>3820</v>
      </c>
      <c r="AJ308" s="34">
        <v>375.0</v>
      </c>
      <c r="AK308" s="32" t="s">
        <v>3818</v>
      </c>
      <c r="AL308" s="31">
        <v>100.0</v>
      </c>
      <c r="AM308" s="33">
        <f>'Old Balance Sheet'!G308 + 'ACPL Calculations - 1.0'!G308 + 'ACPL Calculations - 2.0'!G308</f>
        <v>0</v>
      </c>
      <c r="AN308" s="34" t="s">
        <v>3820</v>
      </c>
      <c r="AO308" s="34">
        <v>290.0</v>
      </c>
      <c r="AP308" s="32" t="s">
        <v>3818</v>
      </c>
      <c r="AQ308" s="31">
        <v>100.0</v>
      </c>
      <c r="AR308" s="33">
        <f>'Old Balance Sheet'!H308 + 'ACPL Calculations - 1.0'!H308 + 'ACPL Calculations - 2.0'!H308</f>
        <v>0</v>
      </c>
      <c r="AS308" s="34" t="s">
        <v>3819</v>
      </c>
      <c r="AT308" s="34">
        <v>838.99</v>
      </c>
      <c r="AU308" s="32" t="s">
        <v>3818</v>
      </c>
      <c r="AV308" s="31">
        <v>100.0</v>
      </c>
      <c r="AW308" s="33">
        <f>'Old Balance Sheet'!I308 + 'ACPL Calculations - 1.0'!I308 + 'ACPL Calculations - 2.0'!I308</f>
        <v>0</v>
      </c>
      <c r="AX308" s="34" t="s">
        <v>3820</v>
      </c>
      <c r="AY308" s="34">
        <v>290.0</v>
      </c>
      <c r="AZ308" s="32" t="s">
        <v>3818</v>
      </c>
      <c r="BA308" s="31">
        <v>100.0</v>
      </c>
      <c r="BB308" s="33">
        <f>'Old Balance Sheet'!J308 + 'ACPL Calculations - 1.0'!J308 + 'ACPL Calculations - 2.0'!J308</f>
        <v>0</v>
      </c>
      <c r="BC308" s="34" t="s">
        <v>3820</v>
      </c>
      <c r="BD308" s="34">
        <v>205.0</v>
      </c>
      <c r="BE308" s="32" t="s">
        <v>3818</v>
      </c>
      <c r="BF308" s="31">
        <v>100.0</v>
      </c>
      <c r="BG308" s="33">
        <f>'Old Balance Sheet'!K308 + 'ACPL Calculations - 1.0'!K308 + 'ACPL Calculations - 2.0'!K308</f>
        <v>0</v>
      </c>
      <c r="BH308" s="34" t="s">
        <v>3820</v>
      </c>
      <c r="BI308" s="34">
        <v>205.0</v>
      </c>
      <c r="BJ308" s="32" t="s">
        <v>3818</v>
      </c>
      <c r="BK308" s="31">
        <v>100.0</v>
      </c>
      <c r="BL308" s="33">
        <f>'Old Balance Sheet'!L308 + 'ACPL Calculations - 1.0'!L308 + 'ACPL Calculations - 2.0'!L308</f>
        <v>0</v>
      </c>
      <c r="CL308" s="33">
        <f t="shared" si="1"/>
        <v>44</v>
      </c>
      <c r="CM308" s="33">
        <f>'Old Balance Sheet'!R308 + 'ACPL Calculations - 1.0'!S308 + 'ACPL Calculations - 2.0'!S308</f>
        <v>19448</v>
      </c>
      <c r="CN308" s="33">
        <f>'Old Balance Sheet'!S308 + 'ACPL Calculations - 1.0'!T308 + 'ACPL Calculations - 2.0'!T308</f>
        <v>9460</v>
      </c>
      <c r="CO308" s="33">
        <f t="shared" si="2"/>
        <v>12426.48</v>
      </c>
      <c r="CP308" s="33">
        <f>'Old Balance Sheet'!T308 + 'ACPL Calculations - 1.0'!V308 + 'ACPL Calculations - 2.0'!V308</f>
        <v>0</v>
      </c>
      <c r="CQ308" s="33">
        <f>'Old Balance Sheet'!U308 + 'ACPL Calculations - 1.0'!W308 + 'ACPL Calculations - 2.0'!W308</f>
        <v>0</v>
      </c>
      <c r="CR308" s="33">
        <f>'Old Balance Sheet'!V308 + 'ACPL Calculations - 1.0'!X308 + 'ACPL Calculations - 2.0'!X308</f>
        <v>2966.48</v>
      </c>
      <c r="CS308" s="33">
        <f t="shared" si="3"/>
        <v>2966.48</v>
      </c>
      <c r="CT308" s="35"/>
      <c r="CU308" s="35"/>
      <c r="CV308" s="35"/>
      <c r="CW308" s="36">
        <f>'Old Balance Sheet'!W308 + 'ACPL Calculations - 1.0'!Z308 + 'ACPL Calculations - 2.0'!Z308</f>
        <v>16796</v>
      </c>
      <c r="CX308" s="36">
        <f>'Old Balance Sheet'!X308 + 'ACPL Calculations - 1.0'!AA308 + 'ACPL Calculations - 2.0'!AA308</f>
        <v>11035.2</v>
      </c>
      <c r="CY308" s="37">
        <v>0.0</v>
      </c>
      <c r="CZ308" s="38">
        <f>'Old Balance Sheet'!Y308 + 'ACPL Calculations - 1.0'!AB308 + 'ACPL Calculations - 2.0'!AB308</f>
        <v>0</v>
      </c>
      <c r="DA308" s="38">
        <f>'Old Balance Sheet'!Z308 + 'ACPL Calculations - 1.0'!AC308 + 'ACPL Calculations - 2.0'!AC308</f>
        <v>0</v>
      </c>
      <c r="DB308" s="38">
        <f>'Old Balance Sheet'!AA308 + 'ACPL Calculations - 1.0'!AD308 + 'ACPL Calculations - 2.0'!AD308</f>
        <v>0</v>
      </c>
      <c r="DC308" s="38">
        <f>'Old Balance Sheet'!AB308 + 'ACPL Calculations - 1.0'!AE308 + 'ACPL Calculations - 2.0'!AE308</f>
        <v>0</v>
      </c>
      <c r="DD308" s="38">
        <f t="shared" si="4"/>
        <v>0</v>
      </c>
      <c r="DE308" s="33">
        <f t="shared" si="5"/>
        <v>0</v>
      </c>
      <c r="DF308" s="35">
        <v>0.0</v>
      </c>
      <c r="DG308" s="35">
        <v>0.0</v>
      </c>
      <c r="DH308" s="35">
        <v>0.0</v>
      </c>
      <c r="DI308" s="35">
        <v>0.0</v>
      </c>
      <c r="DJ308" s="35">
        <v>0.0</v>
      </c>
      <c r="DK308" s="35">
        <v>0.0</v>
      </c>
      <c r="DL308" s="35">
        <v>0.0</v>
      </c>
      <c r="DM308" s="35">
        <v>0.0</v>
      </c>
      <c r="DN308" s="31">
        <v>0.0</v>
      </c>
      <c r="DO308" s="31">
        <v>0.0</v>
      </c>
      <c r="DP308" s="31">
        <v>0.0</v>
      </c>
      <c r="DQ308" s="31">
        <v>0.0</v>
      </c>
      <c r="DR308" s="31">
        <v>0.0</v>
      </c>
      <c r="DS308" s="31">
        <v>0.0</v>
      </c>
      <c r="DT308" s="31">
        <f>'Old Balance Sheet'!AC308</f>
        <v>0</v>
      </c>
      <c r="DU308" s="31">
        <f>DT308 + SUMIFS('Payments Log'!D:D, 'Payments Log'!B:B, A308, 'Payments Log'!L:L, "Approved", 'Payments Log'!M:M, "Credit") + 'Old Balance Sheet'!AD308 - 'Old Balance Sheet'!AC308</f>
        <v>24500</v>
      </c>
      <c r="DV308" s="31">
        <f>SUMIFS('Payments Log'!D:D, 'Payments Log'!B:B, A308, 'Payments Log'!L:L, "Approved", 'Payments Log'!M:M, "Adjustment Credit") - SUMIFS('Payments Log'!D:D, 'Payments Log'!B:B, A308, 'Payments Log'!L:L, "Approved", 'Payments Log'!M:M, "Adjustment Debit") + 'Old Balance Sheet'!AE308</f>
        <v>0</v>
      </c>
      <c r="DW308" s="31">
        <f>IF(MAXIFS('Payments Log'!N:N, 'Payments Log'!L:L, "Approved", 'Payments Log'!M:M, "Credit", 'Payments Log'!B:B, A308) &gt; MAXIFS('Payments Log'!N:N, 'Payments Log'!L:L, "Approved", 'Payments Log'!M:M, "Virtual Credit", 'Payments Log'!B:B, A308), 0, SUMIFS('Payments Log'!D:D, 'Payments Log'!N:N, MAXIFS('Payments Log'!N:N, 'Payments Log'!L:L, "Approved", 'Payments Log'!M:M, "Virtual Credit", 'Payments Log'!B:B, A308)))</f>
        <v>0</v>
      </c>
      <c r="DX308" s="33">
        <f t="shared" si="6"/>
        <v>7704</v>
      </c>
      <c r="DY308" s="33">
        <f t="shared" si="7"/>
        <v>13464.8</v>
      </c>
      <c r="DZ308" s="33">
        <f t="shared" si="8"/>
        <v>13464.8</v>
      </c>
      <c r="EA308" s="25" t="str">
        <f>(Sheet1!N308)</f>
        <v>JAI DURGA AUTOMOBILES - LAL KUAN</v>
      </c>
      <c r="EB308" s="25" t="str">
        <f>(Sheet1!O308)</f>
        <v>1rxceCPc4ChTPFerx6ZXVu45MWGLeEOukTie7Dj7H2lI</v>
      </c>
      <c r="EC308" s="26" t="str">
        <f>(Sheet1!P308)</f>
        <v>Sub Dealer</v>
      </c>
      <c r="ED308" s="34" t="s">
        <v>13</v>
      </c>
    </row>
    <row r="309">
      <c r="A309" s="26" t="str">
        <f>(Sheet1!A309)</f>
        <v>1c4UpmPaXbD24g9f1d-SG1J5R0Bs6d07micvtytMfukg</v>
      </c>
      <c r="B309" s="26" t="str">
        <f>(Sheet1!B309)</f>
        <v>GOPAL AUTOMOBIE- NAJIBABAD</v>
      </c>
      <c r="C309" s="30" t="s">
        <v>13</v>
      </c>
      <c r="D309" s="34" t="s">
        <v>72</v>
      </c>
      <c r="E309" s="34" t="s">
        <v>3820</v>
      </c>
      <c r="F309" s="34">
        <v>195.0</v>
      </c>
      <c r="G309" s="34" t="s">
        <v>3818</v>
      </c>
      <c r="H309" s="34">
        <v>100.0</v>
      </c>
      <c r="I309" s="33">
        <f>'Old Balance Sheet'!A309 + 'ACPL Calculations - 1.0'!A309 + 'ACPL Calculations - 2.0'!A309</f>
        <v>0</v>
      </c>
      <c r="J309" s="34" t="s">
        <v>3820</v>
      </c>
      <c r="K309" s="34">
        <v>205.0</v>
      </c>
      <c r="L309" s="34" t="s">
        <v>3818</v>
      </c>
      <c r="M309" s="34">
        <v>100.0</v>
      </c>
      <c r="N309" s="33">
        <f>'Old Balance Sheet'!B309 + 'ACPL Calculations - 1.0'!B309 + 'ACPL Calculations - 2.0'!B309</f>
        <v>0</v>
      </c>
      <c r="O309" s="34" t="s">
        <v>3820</v>
      </c>
      <c r="P309" s="34">
        <v>290.0</v>
      </c>
      <c r="Q309" s="34" t="s">
        <v>3818</v>
      </c>
      <c r="R309" s="34">
        <v>100.0</v>
      </c>
      <c r="S309" s="33">
        <f>'Old Balance Sheet'!C309 + 'ACPL Calculations - 1.0'!C309 + 'ACPL Calculations - 2.0'!C309</f>
        <v>0</v>
      </c>
      <c r="T309" s="34" t="s">
        <v>3820</v>
      </c>
      <c r="U309" s="34">
        <v>375.0</v>
      </c>
      <c r="V309" s="34" t="s">
        <v>3818</v>
      </c>
      <c r="W309" s="34">
        <v>100.0</v>
      </c>
      <c r="X309" s="33">
        <f>'Old Balance Sheet'!D309 + 'ACPL Calculations - 1.0'!D309 + 'ACPL Calculations - 2.0'!D309</f>
        <v>0</v>
      </c>
      <c r="Y309" s="34" t="s">
        <v>3820</v>
      </c>
      <c r="Z309" s="34">
        <v>460.0</v>
      </c>
      <c r="AA309" s="32" t="s">
        <v>3818</v>
      </c>
      <c r="AB309" s="31">
        <v>100.0</v>
      </c>
      <c r="AC309" s="33">
        <f>'Old Balance Sheet'!E309 + 'ACPL Calculations - 1.0'!E309 + 'ACPL Calculations - 2.0'!E309</f>
        <v>0</v>
      </c>
      <c r="AD309" s="34" t="s">
        <v>3820</v>
      </c>
      <c r="AE309" s="34">
        <v>838.99</v>
      </c>
      <c r="AF309" s="32" t="s">
        <v>3818</v>
      </c>
      <c r="AG309" s="31">
        <v>100.0</v>
      </c>
      <c r="AH309" s="33">
        <f>'Old Balance Sheet'!F309 + 'ACPL Calculations - 1.0'!F309 + 'ACPL Calculations - 2.0'!F309</f>
        <v>0</v>
      </c>
      <c r="AI309" s="34" t="s">
        <v>3820</v>
      </c>
      <c r="AJ309" s="34">
        <v>375.0</v>
      </c>
      <c r="AK309" s="32" t="s">
        <v>3818</v>
      </c>
      <c r="AL309" s="31">
        <v>100.0</v>
      </c>
      <c r="AM309" s="33">
        <f>'Old Balance Sheet'!G309 + 'ACPL Calculations - 1.0'!G309 + 'ACPL Calculations - 2.0'!G309</f>
        <v>0</v>
      </c>
      <c r="AN309" s="34" t="s">
        <v>3820</v>
      </c>
      <c r="AO309" s="34">
        <v>290.0</v>
      </c>
      <c r="AP309" s="32" t="s">
        <v>3818</v>
      </c>
      <c r="AQ309" s="31">
        <v>100.0</v>
      </c>
      <c r="AR309" s="33">
        <f>'Old Balance Sheet'!H309 + 'ACPL Calculations - 1.0'!H309 + 'ACPL Calculations - 2.0'!H309</f>
        <v>0</v>
      </c>
      <c r="AS309" s="34" t="s">
        <v>3819</v>
      </c>
      <c r="AT309" s="34">
        <v>838.99</v>
      </c>
      <c r="AU309" s="32" t="s">
        <v>3818</v>
      </c>
      <c r="AV309" s="31">
        <v>100.0</v>
      </c>
      <c r="AW309" s="33">
        <f>'Old Balance Sheet'!I309 + 'ACPL Calculations - 1.0'!I309 + 'ACPL Calculations - 2.0'!I309</f>
        <v>0</v>
      </c>
      <c r="AX309" s="34" t="s">
        <v>3820</v>
      </c>
      <c r="AY309" s="34">
        <v>290.0</v>
      </c>
      <c r="AZ309" s="32" t="s">
        <v>3818</v>
      </c>
      <c r="BA309" s="31">
        <v>100.0</v>
      </c>
      <c r="BB309" s="33">
        <f>'Old Balance Sheet'!J309 + 'ACPL Calculations - 1.0'!J309 + 'ACPL Calculations - 2.0'!J309</f>
        <v>0</v>
      </c>
      <c r="BC309" s="34" t="s">
        <v>3820</v>
      </c>
      <c r="BD309" s="34">
        <v>205.0</v>
      </c>
      <c r="BE309" s="32" t="s">
        <v>3818</v>
      </c>
      <c r="BF309" s="31">
        <v>100.0</v>
      </c>
      <c r="BG309" s="33">
        <f>'Old Balance Sheet'!K309 + 'ACPL Calculations - 1.0'!K309 + 'ACPL Calculations - 2.0'!K309</f>
        <v>0</v>
      </c>
      <c r="BH309" s="34" t="s">
        <v>3820</v>
      </c>
      <c r="BI309" s="34">
        <v>205.0</v>
      </c>
      <c r="BJ309" s="32" t="s">
        <v>3818</v>
      </c>
      <c r="BK309" s="31">
        <v>100.0</v>
      </c>
      <c r="BL309" s="33">
        <f>'Old Balance Sheet'!L309 + 'ACPL Calculations - 1.0'!L309 + 'ACPL Calculations - 2.0'!L309</f>
        <v>0</v>
      </c>
      <c r="CL309" s="33">
        <f t="shared" si="1"/>
        <v>0</v>
      </c>
      <c r="CM309" s="33">
        <f>'Old Balance Sheet'!R309 + 'ACPL Calculations - 1.0'!S309 + 'ACPL Calculations - 2.0'!S309</f>
        <v>0</v>
      </c>
      <c r="CN309" s="33">
        <f>'Old Balance Sheet'!S309 + 'ACPL Calculations - 1.0'!T309 + 'ACPL Calculations - 2.0'!T309</f>
        <v>0</v>
      </c>
      <c r="CO309" s="33">
        <f t="shared" si="2"/>
        <v>0</v>
      </c>
      <c r="CP309" s="33">
        <f>'Old Balance Sheet'!T309 + 'ACPL Calculations - 1.0'!V309 + 'ACPL Calculations - 2.0'!V309</f>
        <v>0</v>
      </c>
      <c r="CQ309" s="33">
        <f>'Old Balance Sheet'!U309 + 'ACPL Calculations - 1.0'!W309 + 'ACPL Calculations - 2.0'!W309</f>
        <v>0</v>
      </c>
      <c r="CR309" s="33">
        <f>'Old Balance Sheet'!V309 + 'ACPL Calculations - 1.0'!X309 + 'ACPL Calculations - 2.0'!X309</f>
        <v>0</v>
      </c>
      <c r="CS309" s="33">
        <f t="shared" si="3"/>
        <v>0</v>
      </c>
      <c r="CT309" s="35"/>
      <c r="CU309" s="35"/>
      <c r="CV309" s="35"/>
      <c r="CW309" s="36">
        <f>'Old Balance Sheet'!W309 + 'ACPL Calculations - 1.0'!Z309 + 'ACPL Calculations - 2.0'!Z309</f>
        <v>0</v>
      </c>
      <c r="CX309" s="36">
        <f>'Old Balance Sheet'!X309 + 'ACPL Calculations - 1.0'!AA309 + 'ACPL Calculations - 2.0'!AA309</f>
        <v>0</v>
      </c>
      <c r="CY309" s="37">
        <v>0.0</v>
      </c>
      <c r="CZ309" s="38">
        <f>'Old Balance Sheet'!Y309 + 'ACPL Calculations - 1.0'!AB309 + 'ACPL Calculations - 2.0'!AB309</f>
        <v>0</v>
      </c>
      <c r="DA309" s="38">
        <f>'Old Balance Sheet'!Z309 + 'ACPL Calculations - 1.0'!AC309 + 'ACPL Calculations - 2.0'!AC309</f>
        <v>0</v>
      </c>
      <c r="DB309" s="38">
        <f>'Old Balance Sheet'!AA309 + 'ACPL Calculations - 1.0'!AD309 + 'ACPL Calculations - 2.0'!AD309</f>
        <v>0</v>
      </c>
      <c r="DC309" s="38">
        <f>'Old Balance Sheet'!AB309 + 'ACPL Calculations - 1.0'!AE309 + 'ACPL Calculations - 2.0'!AE309</f>
        <v>0</v>
      </c>
      <c r="DD309" s="38">
        <f t="shared" si="4"/>
        <v>0</v>
      </c>
      <c r="DE309" s="33">
        <f t="shared" si="5"/>
        <v>0</v>
      </c>
      <c r="DF309" s="35">
        <v>0.0</v>
      </c>
      <c r="DG309" s="35">
        <v>0.0</v>
      </c>
      <c r="DH309" s="35">
        <v>0.0</v>
      </c>
      <c r="DI309" s="35">
        <v>0.0</v>
      </c>
      <c r="DJ309" s="35">
        <v>0.0</v>
      </c>
      <c r="DK309" s="35">
        <v>0.0</v>
      </c>
      <c r="DL309" s="35">
        <v>0.0</v>
      </c>
      <c r="DM309" s="35">
        <v>0.0</v>
      </c>
      <c r="DN309" s="31">
        <v>0.0</v>
      </c>
      <c r="DO309" s="31">
        <v>0.0</v>
      </c>
      <c r="DP309" s="31">
        <v>0.0</v>
      </c>
      <c r="DQ309" s="31">
        <v>0.0</v>
      </c>
      <c r="DR309" s="31">
        <v>0.0</v>
      </c>
      <c r="DS309" s="31">
        <v>0.0</v>
      </c>
      <c r="DT309" s="31">
        <f>'Old Balance Sheet'!AC309</f>
        <v>0</v>
      </c>
      <c r="DU309" s="31">
        <f>DT309 + SUMIFS('Payments Log'!D:D, 'Payments Log'!B:B, A309, 'Payments Log'!L:L, "Approved", 'Payments Log'!M:M, "Credit") + 'Old Balance Sheet'!AD309 - 'Old Balance Sheet'!AC309</f>
        <v>0</v>
      </c>
      <c r="DV309" s="31">
        <f>SUMIFS('Payments Log'!D:D, 'Payments Log'!B:B, A309, 'Payments Log'!L:L, "Approved", 'Payments Log'!M:M, "Adjustment Credit") - SUMIFS('Payments Log'!D:D, 'Payments Log'!B:B, A309, 'Payments Log'!L:L, "Approved", 'Payments Log'!M:M, "Adjustment Debit") + 'Old Balance Sheet'!AE309</f>
        <v>0</v>
      </c>
      <c r="DW309" s="31">
        <f>IF(MAXIFS('Payments Log'!N:N, 'Payments Log'!L:L, "Approved", 'Payments Log'!M:M, "Credit", 'Payments Log'!B:B, A309) &gt; MAXIFS('Payments Log'!N:N, 'Payments Log'!L:L, "Approved", 'Payments Log'!M:M, "Virtual Credit", 'Payments Log'!B:B, A309), 0, SUMIFS('Payments Log'!D:D, 'Payments Log'!N:N, MAXIFS('Payments Log'!N:N, 'Payments Log'!L:L, "Approved", 'Payments Log'!M:M, "Virtual Credit", 'Payments Log'!B:B, A309)))</f>
        <v>0</v>
      </c>
      <c r="DX309" s="33">
        <f t="shared" si="6"/>
        <v>0</v>
      </c>
      <c r="DY309" s="33">
        <f t="shared" si="7"/>
        <v>0</v>
      </c>
      <c r="DZ309" s="33">
        <f t="shared" si="8"/>
        <v>0</v>
      </c>
      <c r="EA309" s="25" t="str">
        <f>(Sheet1!N309)</f>
        <v>GOPAL AUTOMOBIE- NAJIBABAD</v>
      </c>
      <c r="EB309" s="25" t="str">
        <f>(Sheet1!O309)</f>
        <v>1c4UpmPaXbD24g9f1d-SG1J5R0Bs6d07micvtytMfukg</v>
      </c>
      <c r="EC309" s="26" t="str">
        <f>(Sheet1!P309)</f>
        <v>Dealer</v>
      </c>
      <c r="ED309" s="34" t="s">
        <v>13</v>
      </c>
    </row>
    <row r="310">
      <c r="A310" s="25" t="str">
        <f>(Sheet1!A310)</f>
        <v>1nZkPZljbrv92nXg4QV5T4xeYzH3TvoYL_aCP-Dxrz3U</v>
      </c>
      <c r="B310" s="25" t="str">
        <f>(Sheet1!B310)</f>
        <v>EKAM TVS- PANCHKULA</v>
      </c>
      <c r="C310" s="30" t="s">
        <v>13</v>
      </c>
      <c r="D310" s="30" t="s">
        <v>72</v>
      </c>
      <c r="E310" s="30" t="s">
        <v>3817</v>
      </c>
      <c r="F310" s="31">
        <v>205.0</v>
      </c>
      <c r="G310" s="32" t="s">
        <v>3818</v>
      </c>
      <c r="H310" s="31">
        <v>100.0</v>
      </c>
      <c r="I310" s="33">
        <f>'Old Balance Sheet'!A310 + 'ACPL Calculations - 1.0'!A310 + 'ACPL Calculations - 2.0'!A310</f>
        <v>0</v>
      </c>
      <c r="J310" s="30" t="s">
        <v>3817</v>
      </c>
      <c r="K310" s="31">
        <v>205.0</v>
      </c>
      <c r="L310" s="32" t="s">
        <v>3818</v>
      </c>
      <c r="M310" s="31">
        <v>100.0</v>
      </c>
      <c r="N310" s="33">
        <f>'Old Balance Sheet'!B310 + 'ACPL Calculations - 1.0'!B310 + 'ACPL Calculations - 2.0'!B310</f>
        <v>0</v>
      </c>
      <c r="O310" s="30" t="s">
        <v>3817</v>
      </c>
      <c r="P310" s="31">
        <v>290.0</v>
      </c>
      <c r="Q310" s="32" t="s">
        <v>3818</v>
      </c>
      <c r="R310" s="31">
        <v>100.0</v>
      </c>
      <c r="S310" s="33">
        <f>'Old Balance Sheet'!C310 + 'ACPL Calculations - 1.0'!C310 + 'ACPL Calculations - 2.0'!C310</f>
        <v>0</v>
      </c>
      <c r="T310" s="30" t="s">
        <v>3817</v>
      </c>
      <c r="U310" s="31">
        <v>375.0</v>
      </c>
      <c r="V310" s="32" t="s">
        <v>3818</v>
      </c>
      <c r="W310" s="31">
        <v>100.0</v>
      </c>
      <c r="X310" s="33">
        <f>'Old Balance Sheet'!D310 + 'ACPL Calculations - 1.0'!D310 + 'ACPL Calculations - 2.0'!D310</f>
        <v>0</v>
      </c>
      <c r="Y310" s="30" t="s">
        <v>3817</v>
      </c>
      <c r="Z310" s="31">
        <v>460.0</v>
      </c>
      <c r="AA310" s="32" t="s">
        <v>3818</v>
      </c>
      <c r="AB310" s="31">
        <v>100.0</v>
      </c>
      <c r="AC310" s="33">
        <f>'Old Balance Sheet'!E310 + 'ACPL Calculations - 1.0'!E310 + 'ACPL Calculations - 2.0'!E310</f>
        <v>0</v>
      </c>
      <c r="AD310" s="30" t="s">
        <v>3817</v>
      </c>
      <c r="AE310" s="34">
        <v>838.99</v>
      </c>
      <c r="AF310" s="32" t="s">
        <v>3818</v>
      </c>
      <c r="AG310" s="31">
        <v>100.0</v>
      </c>
      <c r="AH310" s="33">
        <f>'Old Balance Sheet'!F310 + 'ACPL Calculations - 1.0'!F310 + 'ACPL Calculations - 2.0'!F310</f>
        <v>0</v>
      </c>
      <c r="AI310" s="30" t="s">
        <v>3817</v>
      </c>
      <c r="AJ310" s="31">
        <v>375.0</v>
      </c>
      <c r="AK310" s="32" t="s">
        <v>3818</v>
      </c>
      <c r="AL310" s="31">
        <v>100.0</v>
      </c>
      <c r="AM310" s="33">
        <f>'Old Balance Sheet'!G310 + 'ACPL Calculations - 1.0'!G310 + 'ACPL Calculations - 2.0'!G310</f>
        <v>0</v>
      </c>
      <c r="AN310" s="30" t="s">
        <v>3817</v>
      </c>
      <c r="AO310" s="31">
        <v>290.0</v>
      </c>
      <c r="AP310" s="32" t="s">
        <v>3818</v>
      </c>
      <c r="AQ310" s="31">
        <v>100.0</v>
      </c>
      <c r="AR310" s="33">
        <f>'Old Balance Sheet'!H310 + 'ACPL Calculations - 1.0'!H310 + 'ACPL Calculations - 2.0'!H310</f>
        <v>0</v>
      </c>
      <c r="AS310" s="30" t="s">
        <v>3819</v>
      </c>
      <c r="AT310" s="31">
        <v>838.99</v>
      </c>
      <c r="AU310" s="32" t="s">
        <v>3818</v>
      </c>
      <c r="AV310" s="31">
        <v>100.0</v>
      </c>
      <c r="AW310" s="33">
        <f>'Old Balance Sheet'!I310 + 'ACPL Calculations - 1.0'!I310 + 'ACPL Calculations - 2.0'!I310</f>
        <v>0</v>
      </c>
      <c r="AX310" s="30" t="s">
        <v>3817</v>
      </c>
      <c r="AY310" s="31">
        <v>290.0</v>
      </c>
      <c r="AZ310" s="32" t="s">
        <v>3818</v>
      </c>
      <c r="BA310" s="31">
        <v>100.0</v>
      </c>
      <c r="BB310" s="33">
        <f>'Old Balance Sheet'!J310 + 'ACPL Calculations - 1.0'!J310 + 'ACPL Calculations - 2.0'!J310</f>
        <v>0</v>
      </c>
      <c r="BC310" s="30" t="s">
        <v>3817</v>
      </c>
      <c r="BD310" s="31">
        <v>205.0</v>
      </c>
      <c r="BE310" s="32" t="s">
        <v>3818</v>
      </c>
      <c r="BF310" s="31">
        <v>100.0</v>
      </c>
      <c r="BG310" s="33">
        <f>'Old Balance Sheet'!K310 + 'ACPL Calculations - 1.0'!K310 + 'ACPL Calculations - 2.0'!K310</f>
        <v>0</v>
      </c>
      <c r="BH310" s="30" t="s">
        <v>3817</v>
      </c>
      <c r="BI310" s="31">
        <v>205.0</v>
      </c>
      <c r="BJ310" s="32" t="s">
        <v>3818</v>
      </c>
      <c r="BK310" s="31">
        <v>100.0</v>
      </c>
      <c r="BL310" s="33">
        <f>'Old Balance Sheet'!L310 + 'ACPL Calculations - 1.0'!L310 + 'ACPL Calculations - 2.0'!L310</f>
        <v>0</v>
      </c>
      <c r="BM310" s="33"/>
      <c r="BN310" s="33"/>
      <c r="BO310" s="33"/>
      <c r="BP310" s="33"/>
      <c r="BQ310" s="33"/>
      <c r="BR310" s="33"/>
      <c r="BS310" s="33"/>
      <c r="BT310" s="33"/>
      <c r="BU310" s="33"/>
      <c r="BV310" s="33"/>
      <c r="BW310" s="33"/>
      <c r="BX310" s="33"/>
      <c r="BY310" s="33"/>
      <c r="BZ310" s="33"/>
      <c r="CA310" s="33"/>
      <c r="CB310" s="33"/>
      <c r="CC310" s="33"/>
      <c r="CD310" s="33"/>
      <c r="CE310" s="33"/>
      <c r="CF310" s="33"/>
      <c r="CG310" s="33"/>
      <c r="CH310" s="33"/>
      <c r="CI310" s="33"/>
      <c r="CJ310" s="33"/>
      <c r="CK310" s="33"/>
      <c r="CL310" s="33">
        <f t="shared" si="1"/>
        <v>0</v>
      </c>
      <c r="CM310" s="33">
        <f>'Old Balance Sheet'!R310 + 'ACPL Calculations - 1.0'!S310 + 'ACPL Calculations - 2.0'!S310</f>
        <v>0</v>
      </c>
      <c r="CN310" s="33">
        <f>'Old Balance Sheet'!S310 + 'ACPL Calculations - 1.0'!T310 + 'ACPL Calculations - 2.0'!T310</f>
        <v>0</v>
      </c>
      <c r="CO310" s="33">
        <f t="shared" si="2"/>
        <v>0</v>
      </c>
      <c r="CP310" s="33">
        <f>'Old Balance Sheet'!T310 + 'ACPL Calculations - 1.0'!V310 + 'ACPL Calculations - 2.0'!V310</f>
        <v>0</v>
      </c>
      <c r="CQ310" s="33">
        <f>'Old Balance Sheet'!U310 + 'ACPL Calculations - 1.0'!W310 + 'ACPL Calculations - 2.0'!W310</f>
        <v>0</v>
      </c>
      <c r="CR310" s="33">
        <f>'Old Balance Sheet'!V310 + 'ACPL Calculations - 1.0'!X310 + 'ACPL Calculations - 2.0'!X310</f>
        <v>0</v>
      </c>
      <c r="CS310" s="33">
        <f t="shared" si="3"/>
        <v>0</v>
      </c>
      <c r="CT310" s="35"/>
      <c r="CU310" s="35"/>
      <c r="CV310" s="35"/>
      <c r="CW310" s="36">
        <f>'Old Balance Sheet'!W310 + 'ACPL Calculations - 1.0'!Z310 + 'ACPL Calculations - 2.0'!Z310</f>
        <v>0</v>
      </c>
      <c r="CX310" s="36">
        <f>'Old Balance Sheet'!X310 + 'ACPL Calculations - 1.0'!AA310 + 'ACPL Calculations - 2.0'!AA310</f>
        <v>0</v>
      </c>
      <c r="CY310" s="37">
        <v>0.0</v>
      </c>
      <c r="CZ310" s="38">
        <f>'Old Balance Sheet'!Y310 + 'ACPL Calculations - 1.0'!AB310 + 'ACPL Calculations - 2.0'!AB310</f>
        <v>0</v>
      </c>
      <c r="DA310" s="38">
        <f>'Old Balance Sheet'!Z310 + 'ACPL Calculations - 1.0'!AC310 + 'ACPL Calculations - 2.0'!AC310</f>
        <v>0</v>
      </c>
      <c r="DB310" s="38">
        <f>'Old Balance Sheet'!AA310 + 'ACPL Calculations - 1.0'!AD310 + 'ACPL Calculations - 2.0'!AD310</f>
        <v>0</v>
      </c>
      <c r="DC310" s="38">
        <f>'Old Balance Sheet'!AB310 + 'ACPL Calculations - 1.0'!AE310 + 'ACPL Calculations - 2.0'!AE310</f>
        <v>0</v>
      </c>
      <c r="DD310" s="38">
        <f t="shared" si="4"/>
        <v>0</v>
      </c>
      <c r="DE310" s="33">
        <f t="shared" si="5"/>
        <v>0</v>
      </c>
      <c r="DF310" s="35">
        <v>0.0</v>
      </c>
      <c r="DG310" s="35">
        <v>0.0</v>
      </c>
      <c r="DH310" s="35">
        <v>0.0</v>
      </c>
      <c r="DI310" s="35">
        <v>0.0</v>
      </c>
      <c r="DJ310" s="35">
        <v>0.0</v>
      </c>
      <c r="DK310" s="35">
        <v>0.0</v>
      </c>
      <c r="DL310" s="35">
        <v>0.0</v>
      </c>
      <c r="DM310" s="35">
        <v>0.0</v>
      </c>
      <c r="DN310" s="31">
        <v>0.0</v>
      </c>
      <c r="DO310" s="31">
        <v>0.0</v>
      </c>
      <c r="DP310" s="31">
        <v>0.0</v>
      </c>
      <c r="DQ310" s="31">
        <v>0.0</v>
      </c>
      <c r="DR310" s="31">
        <v>0.0</v>
      </c>
      <c r="DS310" s="31">
        <v>0.0</v>
      </c>
      <c r="DT310" s="31">
        <f>'Old Balance Sheet'!AC310</f>
        <v>0</v>
      </c>
      <c r="DU310" s="31">
        <f>DT310 + SUMIFS('Payments Log'!D:D, 'Payments Log'!B:B, A310, 'Payments Log'!L:L, "Approved", 'Payments Log'!M:M, "Credit") + 'Old Balance Sheet'!AD310 - 'Old Balance Sheet'!AC310</f>
        <v>0</v>
      </c>
      <c r="DV310" s="31">
        <f>SUMIFS('Payments Log'!D:D, 'Payments Log'!B:B, A310, 'Payments Log'!L:L, "Approved", 'Payments Log'!M:M, "Adjustment Credit") - SUMIFS('Payments Log'!D:D, 'Payments Log'!B:B, A310, 'Payments Log'!L:L, "Approved", 'Payments Log'!M:M, "Adjustment Debit") + 'Old Balance Sheet'!AE310</f>
        <v>0</v>
      </c>
      <c r="DW310" s="31">
        <f>IF(MAXIFS('Payments Log'!N:N, 'Payments Log'!L:L, "Approved", 'Payments Log'!M:M, "Credit", 'Payments Log'!B:B, A310) &gt; MAXIFS('Payments Log'!N:N, 'Payments Log'!L:L, "Approved", 'Payments Log'!M:M, "Virtual Credit", 'Payments Log'!B:B, A310), 0, SUMIFS('Payments Log'!D:D, 'Payments Log'!N:N, MAXIFS('Payments Log'!N:N, 'Payments Log'!L:L, "Approved", 'Payments Log'!M:M, "Virtual Credit", 'Payments Log'!B:B, A310)))</f>
        <v>0</v>
      </c>
      <c r="DX310" s="33">
        <f t="shared" si="6"/>
        <v>0</v>
      </c>
      <c r="DY310" s="33">
        <f t="shared" si="7"/>
        <v>0</v>
      </c>
      <c r="DZ310" s="33">
        <f t="shared" si="8"/>
        <v>0</v>
      </c>
      <c r="EA310" s="25" t="str">
        <f>(Sheet1!N310)</f>
        <v>EKAM TVS- PANCHKULA</v>
      </c>
      <c r="EB310" s="25" t="str">
        <f>(Sheet1!O310)</f>
        <v>1nZkPZljbrv92nXg4QV5T4xeYzH3TvoYL_aCP-Dxrz3U</v>
      </c>
      <c r="EC310" s="26" t="str">
        <f>(Sheet1!P310)</f>
        <v>Dealer</v>
      </c>
      <c r="ED310" s="34" t="s">
        <v>13</v>
      </c>
    </row>
    <row r="311">
      <c r="A311" s="26" t="str">
        <f>(Sheet1!A311)</f>
        <v>10WPh_WCplOI3MhoycaJcKr3lYMretoJR3ta-W3F9m_c</v>
      </c>
      <c r="B311" s="26" t="str">
        <f>(Sheet1!B311)</f>
        <v>SANSAAR HONDA- HARIDWAR</v>
      </c>
      <c r="C311" s="30" t="s">
        <v>13</v>
      </c>
      <c r="D311" s="34" t="s">
        <v>72</v>
      </c>
      <c r="E311" s="34" t="s">
        <v>3820</v>
      </c>
      <c r="F311" s="34">
        <v>195.0</v>
      </c>
      <c r="G311" s="34" t="s">
        <v>3818</v>
      </c>
      <c r="H311" s="34">
        <v>100.0</v>
      </c>
      <c r="I311" s="33">
        <f>'Old Balance Sheet'!A311 + 'ACPL Calculations - 1.0'!A311 + 'ACPL Calculations - 2.0'!A311</f>
        <v>0</v>
      </c>
      <c r="J311" s="34" t="s">
        <v>3820</v>
      </c>
      <c r="K311" s="34">
        <v>205.0</v>
      </c>
      <c r="L311" s="34" t="s">
        <v>3818</v>
      </c>
      <c r="M311" s="34">
        <v>100.0</v>
      </c>
      <c r="N311" s="33">
        <f>'Old Balance Sheet'!B311 + 'ACPL Calculations - 1.0'!B311 + 'ACPL Calculations - 2.0'!B311</f>
        <v>0</v>
      </c>
      <c r="O311" s="34" t="s">
        <v>3820</v>
      </c>
      <c r="P311" s="34">
        <v>290.0</v>
      </c>
      <c r="Q311" s="34" t="s">
        <v>3818</v>
      </c>
      <c r="R311" s="34">
        <v>100.0</v>
      </c>
      <c r="S311" s="33">
        <f>'Old Balance Sheet'!C311 + 'ACPL Calculations - 1.0'!C311 + 'ACPL Calculations - 2.0'!C311</f>
        <v>0</v>
      </c>
      <c r="T311" s="34" t="s">
        <v>3820</v>
      </c>
      <c r="U311" s="34">
        <v>375.0</v>
      </c>
      <c r="V311" s="34" t="s">
        <v>3818</v>
      </c>
      <c r="W311" s="34">
        <v>100.0</v>
      </c>
      <c r="X311" s="33">
        <f>'Old Balance Sheet'!D311 + 'ACPL Calculations - 1.0'!D311 + 'ACPL Calculations - 2.0'!D311</f>
        <v>0</v>
      </c>
      <c r="Y311" s="34" t="s">
        <v>3820</v>
      </c>
      <c r="Z311" s="34">
        <v>460.0</v>
      </c>
      <c r="AA311" s="32" t="s">
        <v>3818</v>
      </c>
      <c r="AB311" s="31">
        <v>100.0</v>
      </c>
      <c r="AC311" s="33">
        <f>'Old Balance Sheet'!E311 + 'ACPL Calculations - 1.0'!E311 + 'ACPL Calculations - 2.0'!E311</f>
        <v>0</v>
      </c>
      <c r="AD311" s="34" t="s">
        <v>3820</v>
      </c>
      <c r="AE311" s="34">
        <v>838.99</v>
      </c>
      <c r="AF311" s="32" t="s">
        <v>3818</v>
      </c>
      <c r="AG311" s="31">
        <v>100.0</v>
      </c>
      <c r="AH311" s="33">
        <f>'Old Balance Sheet'!F311 + 'ACPL Calculations - 1.0'!F311 + 'ACPL Calculations - 2.0'!F311</f>
        <v>0</v>
      </c>
      <c r="AI311" s="34" t="s">
        <v>3820</v>
      </c>
      <c r="AJ311" s="34">
        <v>375.0</v>
      </c>
      <c r="AK311" s="32" t="s">
        <v>3818</v>
      </c>
      <c r="AL311" s="31">
        <v>100.0</v>
      </c>
      <c r="AM311" s="33">
        <f>'Old Balance Sheet'!G311 + 'ACPL Calculations - 1.0'!G311 + 'ACPL Calculations - 2.0'!G311</f>
        <v>0</v>
      </c>
      <c r="AN311" s="34" t="s">
        <v>3820</v>
      </c>
      <c r="AO311" s="34">
        <v>290.0</v>
      </c>
      <c r="AP311" s="32" t="s">
        <v>3818</v>
      </c>
      <c r="AQ311" s="31">
        <v>100.0</v>
      </c>
      <c r="AR311" s="33">
        <f>'Old Balance Sheet'!H311 + 'ACPL Calculations - 1.0'!H311 + 'ACPL Calculations - 2.0'!H311</f>
        <v>0</v>
      </c>
      <c r="AS311" s="34" t="s">
        <v>3819</v>
      </c>
      <c r="AT311" s="34">
        <v>838.99</v>
      </c>
      <c r="AU311" s="32" t="s">
        <v>3818</v>
      </c>
      <c r="AV311" s="31">
        <v>100.0</v>
      </c>
      <c r="AW311" s="33">
        <f>'Old Balance Sheet'!I311 + 'ACPL Calculations - 1.0'!I311 + 'ACPL Calculations - 2.0'!I311</f>
        <v>0</v>
      </c>
      <c r="AX311" s="34" t="s">
        <v>3820</v>
      </c>
      <c r="AY311" s="34">
        <v>290.0</v>
      </c>
      <c r="AZ311" s="32" t="s">
        <v>3818</v>
      </c>
      <c r="BA311" s="31">
        <v>100.0</v>
      </c>
      <c r="BB311" s="33">
        <f>'Old Balance Sheet'!J311 + 'ACPL Calculations - 1.0'!J311 + 'ACPL Calculations - 2.0'!J311</f>
        <v>0</v>
      </c>
      <c r="BC311" s="34" t="s">
        <v>3820</v>
      </c>
      <c r="BD311" s="34">
        <v>205.0</v>
      </c>
      <c r="BE311" s="32" t="s">
        <v>3818</v>
      </c>
      <c r="BF311" s="31">
        <v>100.0</v>
      </c>
      <c r="BG311" s="33">
        <f>'Old Balance Sheet'!K311 + 'ACPL Calculations - 1.0'!K311 + 'ACPL Calculations - 2.0'!K311</f>
        <v>0</v>
      </c>
      <c r="BH311" s="34" t="s">
        <v>3820</v>
      </c>
      <c r="BI311" s="34">
        <v>205.0</v>
      </c>
      <c r="BJ311" s="32" t="s">
        <v>3818</v>
      </c>
      <c r="BK311" s="31">
        <v>100.0</v>
      </c>
      <c r="BL311" s="33">
        <f>'Old Balance Sheet'!L311 + 'ACPL Calculations - 1.0'!L311 + 'ACPL Calculations - 2.0'!L311</f>
        <v>0</v>
      </c>
      <c r="CL311" s="33">
        <f t="shared" si="1"/>
        <v>0</v>
      </c>
      <c r="CM311" s="33">
        <f>'Old Balance Sheet'!R311 + 'ACPL Calculations - 1.0'!S311 + 'ACPL Calculations - 2.0'!S311</f>
        <v>0</v>
      </c>
      <c r="CN311" s="33">
        <f>'Old Balance Sheet'!S311 + 'ACPL Calculations - 1.0'!T311 + 'ACPL Calculations - 2.0'!T311</f>
        <v>0</v>
      </c>
      <c r="CO311" s="33">
        <f t="shared" si="2"/>
        <v>0</v>
      </c>
      <c r="CP311" s="33">
        <f>'Old Balance Sheet'!T311 + 'ACPL Calculations - 1.0'!V311 + 'ACPL Calculations - 2.0'!V311</f>
        <v>0</v>
      </c>
      <c r="CQ311" s="33">
        <f>'Old Balance Sheet'!U311 + 'ACPL Calculations - 1.0'!W311 + 'ACPL Calculations - 2.0'!W311</f>
        <v>0</v>
      </c>
      <c r="CR311" s="33">
        <f>'Old Balance Sheet'!V311 + 'ACPL Calculations - 1.0'!X311 + 'ACPL Calculations - 2.0'!X311</f>
        <v>0</v>
      </c>
      <c r="CS311" s="33">
        <f t="shared" si="3"/>
        <v>0</v>
      </c>
      <c r="CT311" s="35"/>
      <c r="CU311" s="35"/>
      <c r="CV311" s="35"/>
      <c r="CW311" s="36">
        <f>'Old Balance Sheet'!W311 + 'ACPL Calculations - 1.0'!Z311 + 'ACPL Calculations - 2.0'!Z311</f>
        <v>0</v>
      </c>
      <c r="CX311" s="36">
        <f>'Old Balance Sheet'!X311 + 'ACPL Calculations - 1.0'!AA311 + 'ACPL Calculations - 2.0'!AA311</f>
        <v>0</v>
      </c>
      <c r="CY311" s="37">
        <v>0.0</v>
      </c>
      <c r="CZ311" s="38">
        <f>'Old Balance Sheet'!Y311 + 'ACPL Calculations - 1.0'!AB311 + 'ACPL Calculations - 2.0'!AB311</f>
        <v>0</v>
      </c>
      <c r="DA311" s="38">
        <f>'Old Balance Sheet'!Z311 + 'ACPL Calculations - 1.0'!AC311 + 'ACPL Calculations - 2.0'!AC311</f>
        <v>0</v>
      </c>
      <c r="DB311" s="38">
        <f>'Old Balance Sheet'!AA311 + 'ACPL Calculations - 1.0'!AD311 + 'ACPL Calculations - 2.0'!AD311</f>
        <v>0</v>
      </c>
      <c r="DC311" s="38">
        <f>'Old Balance Sheet'!AB311 + 'ACPL Calculations - 1.0'!AE311 + 'ACPL Calculations - 2.0'!AE311</f>
        <v>0</v>
      </c>
      <c r="DD311" s="38">
        <f t="shared" si="4"/>
        <v>0</v>
      </c>
      <c r="DE311" s="33">
        <f t="shared" si="5"/>
        <v>0</v>
      </c>
      <c r="DF311" s="35">
        <v>0.0</v>
      </c>
      <c r="DG311" s="35">
        <v>0.0</v>
      </c>
      <c r="DH311" s="35">
        <v>0.0</v>
      </c>
      <c r="DI311" s="35">
        <v>0.0</v>
      </c>
      <c r="DJ311" s="35">
        <v>0.0</v>
      </c>
      <c r="DK311" s="35">
        <v>0.0</v>
      </c>
      <c r="DL311" s="35">
        <v>0.0</v>
      </c>
      <c r="DM311" s="35">
        <v>0.0</v>
      </c>
      <c r="DN311" s="31">
        <v>0.0</v>
      </c>
      <c r="DO311" s="31">
        <v>0.0</v>
      </c>
      <c r="DP311" s="31">
        <v>0.0</v>
      </c>
      <c r="DQ311" s="31">
        <v>0.0</v>
      </c>
      <c r="DR311" s="31">
        <v>0.0</v>
      </c>
      <c r="DS311" s="31">
        <v>0.0</v>
      </c>
      <c r="DT311" s="31">
        <f>'Old Balance Sheet'!AC311</f>
        <v>0</v>
      </c>
      <c r="DU311" s="31">
        <f>DT311 + SUMIFS('Payments Log'!D:D, 'Payments Log'!B:B, A311, 'Payments Log'!L:L, "Approved", 'Payments Log'!M:M, "Credit") + 'Old Balance Sheet'!AD311 - 'Old Balance Sheet'!AC311</f>
        <v>5000</v>
      </c>
      <c r="DV311" s="31">
        <f>SUMIFS('Payments Log'!D:D, 'Payments Log'!B:B, A311, 'Payments Log'!L:L, "Approved", 'Payments Log'!M:M, "Adjustment Credit") - SUMIFS('Payments Log'!D:D, 'Payments Log'!B:B, A311, 'Payments Log'!L:L, "Approved", 'Payments Log'!M:M, "Adjustment Debit") + 'Old Balance Sheet'!AE311</f>
        <v>0</v>
      </c>
      <c r="DW311" s="31">
        <f>IF(MAXIFS('Payments Log'!N:N, 'Payments Log'!L:L, "Approved", 'Payments Log'!M:M, "Credit", 'Payments Log'!B:B, A311) &gt; MAXIFS('Payments Log'!N:N, 'Payments Log'!L:L, "Approved", 'Payments Log'!M:M, "Virtual Credit", 'Payments Log'!B:B, A311), 0, SUMIFS('Payments Log'!D:D, 'Payments Log'!N:N, MAXIFS('Payments Log'!N:N, 'Payments Log'!L:L, "Approved", 'Payments Log'!M:M, "Virtual Credit", 'Payments Log'!B:B, A311)))</f>
        <v>0</v>
      </c>
      <c r="DX311" s="33">
        <f t="shared" si="6"/>
        <v>5000</v>
      </c>
      <c r="DY311" s="33">
        <f t="shared" si="7"/>
        <v>5000</v>
      </c>
      <c r="DZ311" s="33">
        <f t="shared" si="8"/>
        <v>5000</v>
      </c>
      <c r="EA311" s="25" t="str">
        <f>(Sheet1!N311)</f>
        <v>SANSAAR HONDA- HARIDWAR</v>
      </c>
      <c r="EB311" s="25" t="str">
        <f>(Sheet1!O311)</f>
        <v>10WPh_WCplOI3MhoycaJcKr3lYMretoJR3ta-W3F9m_c</v>
      </c>
      <c r="EC311" s="26" t="str">
        <f>(Sheet1!P311)</f>
        <v>Dealer</v>
      </c>
      <c r="ED311" s="34" t="s">
        <v>13</v>
      </c>
    </row>
    <row r="312">
      <c r="A312" s="25" t="str">
        <f>(Sheet1!A312)</f>
        <v>1Ymh97cWP9AVJD4TFdCUxIgPTHzjxbv5sRAkjPizS2d8</v>
      </c>
      <c r="B312" s="25" t="str">
        <f>(Sheet1!B312)</f>
        <v>TWIN CITY -KHANNA</v>
      </c>
      <c r="C312" s="30" t="s">
        <v>13</v>
      </c>
      <c r="D312" s="30" t="s">
        <v>72</v>
      </c>
      <c r="E312" s="30" t="s">
        <v>3817</v>
      </c>
      <c r="F312" s="31">
        <v>170.0</v>
      </c>
      <c r="G312" s="32" t="s">
        <v>3818</v>
      </c>
      <c r="H312" s="31">
        <v>100.0</v>
      </c>
      <c r="I312" s="33">
        <f>'Old Balance Sheet'!A312 + 'ACPL Calculations - 1.0'!A312 + 'ACPL Calculations - 2.0'!A312</f>
        <v>99</v>
      </c>
      <c r="J312" s="30" t="s">
        <v>3817</v>
      </c>
      <c r="K312" s="31">
        <v>205.0</v>
      </c>
      <c r="L312" s="32" t="s">
        <v>3818</v>
      </c>
      <c r="M312" s="31">
        <v>100.0</v>
      </c>
      <c r="N312" s="33">
        <f>'Old Balance Sheet'!B312 + 'ACPL Calculations - 1.0'!B312 + 'ACPL Calculations - 2.0'!B312</f>
        <v>0</v>
      </c>
      <c r="O312" s="30" t="s">
        <v>3817</v>
      </c>
      <c r="P312" s="31">
        <v>185.0</v>
      </c>
      <c r="Q312" s="32" t="s">
        <v>3818</v>
      </c>
      <c r="R312" s="31">
        <v>100.0</v>
      </c>
      <c r="S312" s="33">
        <f>'Old Balance Sheet'!C312 + 'ACPL Calculations - 1.0'!C312 + 'ACPL Calculations - 2.0'!C312</f>
        <v>0</v>
      </c>
      <c r="T312" s="30" t="s">
        <v>3817</v>
      </c>
      <c r="U312" s="31">
        <v>375.0</v>
      </c>
      <c r="V312" s="32" t="s">
        <v>3818</v>
      </c>
      <c r="W312" s="31">
        <v>100.0</v>
      </c>
      <c r="X312" s="33">
        <f>'Old Balance Sheet'!D312 + 'ACPL Calculations - 1.0'!D312 + 'ACPL Calculations - 2.0'!D312</f>
        <v>0</v>
      </c>
      <c r="Y312" s="30" t="s">
        <v>3817</v>
      </c>
      <c r="Z312" s="31">
        <v>460.0</v>
      </c>
      <c r="AA312" s="32" t="s">
        <v>3818</v>
      </c>
      <c r="AB312" s="31">
        <v>100.0</v>
      </c>
      <c r="AC312" s="33">
        <f>'Old Balance Sheet'!E312 + 'ACPL Calculations - 1.0'!E312 + 'ACPL Calculations - 2.0'!E312</f>
        <v>0</v>
      </c>
      <c r="AD312" s="30" t="s">
        <v>3817</v>
      </c>
      <c r="AE312" s="34">
        <v>838.99</v>
      </c>
      <c r="AF312" s="32" t="s">
        <v>3818</v>
      </c>
      <c r="AG312" s="31">
        <v>100.0</v>
      </c>
      <c r="AH312" s="33">
        <f>'Old Balance Sheet'!F312 + 'ACPL Calculations - 1.0'!F312 + 'ACPL Calculations - 2.0'!F312</f>
        <v>0</v>
      </c>
      <c r="AI312" s="30" t="s">
        <v>3817</v>
      </c>
      <c r="AJ312" s="31">
        <v>375.0</v>
      </c>
      <c r="AK312" s="32" t="s">
        <v>3818</v>
      </c>
      <c r="AL312" s="31">
        <v>100.0</v>
      </c>
      <c r="AM312" s="33">
        <f>'Old Balance Sheet'!G312 + 'ACPL Calculations - 1.0'!G312 + 'ACPL Calculations - 2.0'!G312</f>
        <v>0</v>
      </c>
      <c r="AN312" s="30" t="s">
        <v>3817</v>
      </c>
      <c r="AO312" s="31">
        <v>290.0</v>
      </c>
      <c r="AP312" s="32" t="s">
        <v>3818</v>
      </c>
      <c r="AQ312" s="31">
        <v>100.0</v>
      </c>
      <c r="AR312" s="33">
        <f>'Old Balance Sheet'!H312 + 'ACPL Calculations - 1.0'!H312 + 'ACPL Calculations - 2.0'!H312</f>
        <v>0</v>
      </c>
      <c r="AS312" s="30" t="s">
        <v>3819</v>
      </c>
      <c r="AT312" s="31">
        <v>838.99</v>
      </c>
      <c r="AU312" s="32" t="s">
        <v>3818</v>
      </c>
      <c r="AV312" s="31">
        <v>100.0</v>
      </c>
      <c r="AW312" s="33">
        <f>'Old Balance Sheet'!I312 + 'ACPL Calculations - 1.0'!I312 + 'ACPL Calculations - 2.0'!I312</f>
        <v>0</v>
      </c>
      <c r="AX312" s="30" t="s">
        <v>3817</v>
      </c>
      <c r="AY312" s="31">
        <v>290.0</v>
      </c>
      <c r="AZ312" s="32" t="s">
        <v>3818</v>
      </c>
      <c r="BA312" s="31">
        <v>100.0</v>
      </c>
      <c r="BB312" s="33">
        <f>'Old Balance Sheet'!J312 + 'ACPL Calculations - 1.0'!J312 + 'ACPL Calculations - 2.0'!J312</f>
        <v>0</v>
      </c>
      <c r="BC312" s="30" t="s">
        <v>3817</v>
      </c>
      <c r="BD312" s="31">
        <v>205.0</v>
      </c>
      <c r="BE312" s="32" t="s">
        <v>3818</v>
      </c>
      <c r="BF312" s="31">
        <v>100.0</v>
      </c>
      <c r="BG312" s="33">
        <f>'Old Balance Sheet'!K312 + 'ACPL Calculations - 1.0'!K312 + 'ACPL Calculations - 2.0'!K312</f>
        <v>0</v>
      </c>
      <c r="BH312" s="30" t="s">
        <v>3817</v>
      </c>
      <c r="BI312" s="31">
        <v>205.0</v>
      </c>
      <c r="BJ312" s="32" t="s">
        <v>3818</v>
      </c>
      <c r="BK312" s="31">
        <v>100.0</v>
      </c>
      <c r="BL312" s="33">
        <f>'Old Balance Sheet'!L312 + 'ACPL Calculations - 1.0'!L312 + 'ACPL Calculations - 2.0'!L312</f>
        <v>0</v>
      </c>
      <c r="BM312" s="33"/>
      <c r="BN312" s="33"/>
      <c r="BO312" s="33"/>
      <c r="BP312" s="33"/>
      <c r="BQ312" s="33"/>
      <c r="BR312" s="33"/>
      <c r="BS312" s="33"/>
      <c r="BT312" s="33"/>
      <c r="BU312" s="33"/>
      <c r="BV312" s="33"/>
      <c r="BW312" s="33"/>
      <c r="BX312" s="33"/>
      <c r="BY312" s="33"/>
      <c r="BZ312" s="33"/>
      <c r="CA312" s="33"/>
      <c r="CB312" s="33"/>
      <c r="CC312" s="33"/>
      <c r="CD312" s="33"/>
      <c r="CE312" s="33"/>
      <c r="CF312" s="33"/>
      <c r="CG312" s="33"/>
      <c r="CH312" s="33"/>
      <c r="CI312" s="33"/>
      <c r="CJ312" s="33"/>
      <c r="CK312" s="33"/>
      <c r="CL312" s="33">
        <f t="shared" si="1"/>
        <v>99</v>
      </c>
      <c r="CM312" s="33">
        <f>'Old Balance Sheet'!R312 + 'ACPL Calculations - 1.0'!S312 + 'ACPL Calculations - 2.0'!S312</f>
        <v>38610</v>
      </c>
      <c r="CN312" s="33">
        <f>'Old Balance Sheet'!S312 + 'ACPL Calculations - 1.0'!T312 + 'ACPL Calculations - 2.0'!T312</f>
        <v>16830</v>
      </c>
      <c r="CO312" s="33">
        <f t="shared" si="2"/>
        <v>22719.51</v>
      </c>
      <c r="CP312" s="33">
        <f>'Old Balance Sheet'!T312 + 'ACPL Calculations - 1.0'!V312 + 'ACPL Calculations - 2.0'!V312</f>
        <v>0</v>
      </c>
      <c r="CQ312" s="33">
        <f>'Old Balance Sheet'!U312 + 'ACPL Calculations - 1.0'!W312 + 'ACPL Calculations - 2.0'!W312</f>
        <v>0</v>
      </c>
      <c r="CR312" s="33">
        <f>'Old Balance Sheet'!V312 + 'ACPL Calculations - 1.0'!X312 + 'ACPL Calculations - 2.0'!X312</f>
        <v>5889.51</v>
      </c>
      <c r="CS312" s="33">
        <f t="shared" si="3"/>
        <v>5889.51</v>
      </c>
      <c r="CT312" s="35"/>
      <c r="CU312" s="35"/>
      <c r="CV312" s="35"/>
      <c r="CW312" s="36">
        <f>'Old Balance Sheet'!W312 + 'ACPL Calculations - 1.0'!Z312 + 'ACPL Calculations - 2.0'!Z312</f>
        <v>23514.48</v>
      </c>
      <c r="CX312" s="36">
        <f>'Old Balance Sheet'!X312 + 'ACPL Calculations - 1.0'!AA312 + 'ACPL Calculations - 2.0'!AA312</f>
        <v>23514.48</v>
      </c>
      <c r="CY312" s="37">
        <v>0.0</v>
      </c>
      <c r="CZ312" s="38">
        <f>'Old Balance Sheet'!Y312 + 'ACPL Calculations - 1.0'!AB312 + 'ACPL Calculations - 2.0'!AB312</f>
        <v>15890.49</v>
      </c>
      <c r="DA312" s="38">
        <f>'Old Balance Sheet'!Z312 + 'ACPL Calculations - 1.0'!AC312 + 'ACPL Calculations - 2.0'!AC312</f>
        <v>15095.52</v>
      </c>
      <c r="DB312" s="38">
        <f>'Old Balance Sheet'!AA312 + 'ACPL Calculations - 1.0'!AD312 + 'ACPL Calculations - 2.0'!AD312</f>
        <v>794.97</v>
      </c>
      <c r="DC312" s="38">
        <f>'Old Balance Sheet'!AB312 + 'ACPL Calculations - 1.0'!AE312 + 'ACPL Calculations - 2.0'!AE312</f>
        <v>0</v>
      </c>
      <c r="DD312" s="38">
        <f t="shared" si="4"/>
        <v>0</v>
      </c>
      <c r="DE312" s="33">
        <f t="shared" si="5"/>
        <v>0</v>
      </c>
      <c r="DF312" s="35">
        <v>0.0</v>
      </c>
      <c r="DG312" s="35">
        <v>0.0</v>
      </c>
      <c r="DH312" s="35">
        <v>0.0</v>
      </c>
      <c r="DI312" s="35">
        <v>0.0</v>
      </c>
      <c r="DJ312" s="35">
        <v>0.0</v>
      </c>
      <c r="DK312" s="35">
        <v>0.0</v>
      </c>
      <c r="DL312" s="35">
        <v>0.0</v>
      </c>
      <c r="DM312" s="35">
        <v>0.0</v>
      </c>
      <c r="DN312" s="31">
        <v>0.0</v>
      </c>
      <c r="DO312" s="31">
        <v>0.0</v>
      </c>
      <c r="DP312" s="31">
        <v>0.0</v>
      </c>
      <c r="DQ312" s="31">
        <v>0.0</v>
      </c>
      <c r="DR312" s="31">
        <v>0.0</v>
      </c>
      <c r="DS312" s="31">
        <v>0.0</v>
      </c>
      <c r="DT312" s="31">
        <f>'Old Balance Sheet'!AC312</f>
        <v>0</v>
      </c>
      <c r="DU312" s="31">
        <f>DT312 + SUMIFS('Payments Log'!D:D, 'Payments Log'!B:B, A312, 'Payments Log'!L:L, "Approved", 'Payments Log'!M:M, "Credit") + 'Old Balance Sheet'!AD312 - 'Old Balance Sheet'!AC312</f>
        <v>29000</v>
      </c>
      <c r="DV312" s="31">
        <f>SUMIFS('Payments Log'!D:D, 'Payments Log'!B:B, A312, 'Payments Log'!L:L, "Approved", 'Payments Log'!M:M, "Adjustment Credit") - SUMIFS('Payments Log'!D:D, 'Payments Log'!B:B, A312, 'Payments Log'!L:L, "Approved", 'Payments Log'!M:M, "Adjustment Debit") + 'Old Balance Sheet'!AE312</f>
        <v>0</v>
      </c>
      <c r="DW312" s="31">
        <f>IF(MAXIFS('Payments Log'!N:N, 'Payments Log'!L:L, "Approved", 'Payments Log'!M:M, "Credit", 'Payments Log'!B:B, A312) &gt; MAXIFS('Payments Log'!N:N, 'Payments Log'!L:L, "Approved", 'Payments Log'!M:M, "Virtual Credit", 'Payments Log'!B:B, A312), 0, SUMIFS('Payments Log'!D:D, 'Payments Log'!N:N, MAXIFS('Payments Log'!N:N, 'Payments Log'!L:L, "Approved", 'Payments Log'!M:M, "Virtual Credit", 'Payments Log'!B:B, A312)))</f>
        <v>0</v>
      </c>
      <c r="DX312" s="33">
        <f t="shared" si="6"/>
        <v>5485.52</v>
      </c>
      <c r="DY312" s="33">
        <f t="shared" si="7"/>
        <v>5485.52</v>
      </c>
      <c r="DZ312" s="33">
        <f t="shared" si="8"/>
        <v>5485.52</v>
      </c>
      <c r="EA312" s="25" t="str">
        <f>(Sheet1!N312)</f>
        <v>TWIN CITY -KHANNA</v>
      </c>
      <c r="EB312" s="25" t="str">
        <f>(Sheet1!O312)</f>
        <v>1Ymh97cWP9AVJD4TFdCUxIgPTHzjxbv5sRAkjPizS2d8</v>
      </c>
      <c r="EC312" s="26" t="str">
        <f>(Sheet1!P312)</f>
        <v>Dealer</v>
      </c>
      <c r="ED312" s="34" t="s">
        <v>13</v>
      </c>
    </row>
    <row r="313">
      <c r="A313" s="26" t="str">
        <f>(Sheet1!A313)</f>
        <v>1EeVOkHOYV7m-TXPjCFcVuyRfOfG243WHv6SdA9sNNrA</v>
      </c>
      <c r="B313" s="26" t="str">
        <f>(Sheet1!B313)</f>
        <v>PREM AUTO - HARIDWAR</v>
      </c>
      <c r="C313" s="30" t="s">
        <v>13</v>
      </c>
      <c r="D313" s="34" t="s">
        <v>72</v>
      </c>
      <c r="E313" s="34" t="s">
        <v>3820</v>
      </c>
      <c r="F313" s="34">
        <v>175.0</v>
      </c>
      <c r="G313" s="34" t="s">
        <v>3818</v>
      </c>
      <c r="H313" s="34">
        <v>100.0</v>
      </c>
      <c r="I313" s="33">
        <f>'Old Balance Sheet'!A313 + 'ACPL Calculations - 1.0'!A313 + 'ACPL Calculations - 2.0'!A313</f>
        <v>0</v>
      </c>
      <c r="J313" s="34" t="s">
        <v>3820</v>
      </c>
      <c r="K313" s="34">
        <v>205.0</v>
      </c>
      <c r="L313" s="34" t="s">
        <v>3818</v>
      </c>
      <c r="M313" s="34">
        <v>100.0</v>
      </c>
      <c r="N313" s="33">
        <f>'Old Balance Sheet'!B313 + 'ACPL Calculations - 1.0'!B313 + 'ACPL Calculations - 2.0'!B313</f>
        <v>0</v>
      </c>
      <c r="O313" s="34" t="s">
        <v>3820</v>
      </c>
      <c r="P313" s="34">
        <v>290.0</v>
      </c>
      <c r="Q313" s="34" t="s">
        <v>3818</v>
      </c>
      <c r="R313" s="34">
        <v>100.0</v>
      </c>
      <c r="S313" s="33">
        <f>'Old Balance Sheet'!C313 + 'ACPL Calculations - 1.0'!C313 + 'ACPL Calculations - 2.0'!C313</f>
        <v>0</v>
      </c>
      <c r="T313" s="34" t="s">
        <v>3820</v>
      </c>
      <c r="U313" s="34">
        <v>375.0</v>
      </c>
      <c r="V313" s="34" t="s">
        <v>3818</v>
      </c>
      <c r="W313" s="34">
        <v>100.0</v>
      </c>
      <c r="X313" s="33">
        <f>'Old Balance Sheet'!D313 + 'ACPL Calculations - 1.0'!D313 + 'ACPL Calculations - 2.0'!D313</f>
        <v>0</v>
      </c>
      <c r="Y313" s="34" t="s">
        <v>3820</v>
      </c>
      <c r="Z313" s="34">
        <v>460.0</v>
      </c>
      <c r="AA313" s="32" t="s">
        <v>3818</v>
      </c>
      <c r="AB313" s="31">
        <v>100.0</v>
      </c>
      <c r="AC313" s="33">
        <f>'Old Balance Sheet'!E313 + 'ACPL Calculations - 1.0'!E313 + 'ACPL Calculations - 2.0'!E313</f>
        <v>0</v>
      </c>
      <c r="AD313" s="34" t="s">
        <v>3820</v>
      </c>
      <c r="AE313" s="34">
        <v>838.99</v>
      </c>
      <c r="AF313" s="32" t="s">
        <v>3818</v>
      </c>
      <c r="AG313" s="31">
        <v>100.0</v>
      </c>
      <c r="AH313" s="33">
        <f>'Old Balance Sheet'!F313 + 'ACPL Calculations - 1.0'!F313 + 'ACPL Calculations - 2.0'!F313</f>
        <v>0</v>
      </c>
      <c r="AI313" s="34" t="s">
        <v>3820</v>
      </c>
      <c r="AJ313" s="34">
        <v>375.0</v>
      </c>
      <c r="AK313" s="32" t="s">
        <v>3818</v>
      </c>
      <c r="AL313" s="31">
        <v>100.0</v>
      </c>
      <c r="AM313" s="33">
        <f>'Old Balance Sheet'!G313 + 'ACPL Calculations - 1.0'!G313 + 'ACPL Calculations - 2.0'!G313</f>
        <v>0</v>
      </c>
      <c r="AN313" s="34" t="s">
        <v>3820</v>
      </c>
      <c r="AO313" s="34">
        <v>290.0</v>
      </c>
      <c r="AP313" s="32" t="s">
        <v>3818</v>
      </c>
      <c r="AQ313" s="31">
        <v>100.0</v>
      </c>
      <c r="AR313" s="33">
        <f>'Old Balance Sheet'!H313 + 'ACPL Calculations - 1.0'!H313 + 'ACPL Calculations - 2.0'!H313</f>
        <v>0</v>
      </c>
      <c r="AS313" s="34" t="s">
        <v>3819</v>
      </c>
      <c r="AT313" s="34">
        <v>838.99</v>
      </c>
      <c r="AU313" s="32" t="s">
        <v>3818</v>
      </c>
      <c r="AV313" s="31">
        <v>100.0</v>
      </c>
      <c r="AW313" s="33">
        <f>'Old Balance Sheet'!I313 + 'ACPL Calculations - 1.0'!I313 + 'ACPL Calculations - 2.0'!I313</f>
        <v>0</v>
      </c>
      <c r="AX313" s="34" t="s">
        <v>3820</v>
      </c>
      <c r="AY313" s="34">
        <v>290.0</v>
      </c>
      <c r="AZ313" s="32" t="s">
        <v>3818</v>
      </c>
      <c r="BA313" s="31">
        <v>100.0</v>
      </c>
      <c r="BB313" s="33">
        <f>'Old Balance Sheet'!J313 + 'ACPL Calculations - 1.0'!J313 + 'ACPL Calculations - 2.0'!J313</f>
        <v>0</v>
      </c>
      <c r="BC313" s="34" t="s">
        <v>3820</v>
      </c>
      <c r="BD313" s="34">
        <v>205.0</v>
      </c>
      <c r="BE313" s="32" t="s">
        <v>3818</v>
      </c>
      <c r="BF313" s="31">
        <v>100.0</v>
      </c>
      <c r="BG313" s="33">
        <f>'Old Balance Sheet'!K313 + 'ACPL Calculations - 1.0'!K313 + 'ACPL Calculations - 2.0'!K313</f>
        <v>0</v>
      </c>
      <c r="BH313" s="34" t="s">
        <v>3820</v>
      </c>
      <c r="BI313" s="34">
        <v>205.0</v>
      </c>
      <c r="BJ313" s="32" t="s">
        <v>3818</v>
      </c>
      <c r="BK313" s="31">
        <v>100.0</v>
      </c>
      <c r="BL313" s="33">
        <f>'Old Balance Sheet'!L313 + 'ACPL Calculations - 1.0'!L313 + 'ACPL Calculations - 2.0'!L313</f>
        <v>0</v>
      </c>
      <c r="CL313" s="33">
        <f t="shared" si="1"/>
        <v>0</v>
      </c>
      <c r="CM313" s="33">
        <f>'Old Balance Sheet'!R313 + 'ACPL Calculations - 1.0'!S313 + 'ACPL Calculations - 2.0'!S313</f>
        <v>0</v>
      </c>
      <c r="CN313" s="33">
        <f>'Old Balance Sheet'!S313 + 'ACPL Calculations - 1.0'!T313 + 'ACPL Calculations - 2.0'!T313</f>
        <v>0</v>
      </c>
      <c r="CO313" s="33">
        <f t="shared" si="2"/>
        <v>0</v>
      </c>
      <c r="CP313" s="33">
        <f>'Old Balance Sheet'!T313 + 'ACPL Calculations - 1.0'!V313 + 'ACPL Calculations - 2.0'!V313</f>
        <v>0</v>
      </c>
      <c r="CQ313" s="33">
        <f>'Old Balance Sheet'!U313 + 'ACPL Calculations - 1.0'!W313 + 'ACPL Calculations - 2.0'!W313</f>
        <v>0</v>
      </c>
      <c r="CR313" s="33">
        <f>'Old Balance Sheet'!V313 + 'ACPL Calculations - 1.0'!X313 + 'ACPL Calculations - 2.0'!X313</f>
        <v>0</v>
      </c>
      <c r="CS313" s="33">
        <f t="shared" si="3"/>
        <v>0</v>
      </c>
      <c r="CT313" s="35"/>
      <c r="CU313" s="35"/>
      <c r="CV313" s="35"/>
      <c r="CW313" s="36">
        <f>'Old Balance Sheet'!W313 + 'ACPL Calculations - 1.0'!Z313 + 'ACPL Calculations - 2.0'!Z313</f>
        <v>0</v>
      </c>
      <c r="CX313" s="36">
        <f>'Old Balance Sheet'!X313 + 'ACPL Calculations - 1.0'!AA313 + 'ACPL Calculations - 2.0'!AA313</f>
        <v>0</v>
      </c>
      <c r="CY313" s="37">
        <v>0.0</v>
      </c>
      <c r="CZ313" s="38">
        <f>'Old Balance Sheet'!Y313 + 'ACPL Calculations - 1.0'!AB313 + 'ACPL Calculations - 2.0'!AB313</f>
        <v>0</v>
      </c>
      <c r="DA313" s="38">
        <f>'Old Balance Sheet'!Z313 + 'ACPL Calculations - 1.0'!AC313 + 'ACPL Calculations - 2.0'!AC313</f>
        <v>0</v>
      </c>
      <c r="DB313" s="38">
        <f>'Old Balance Sheet'!AA313 + 'ACPL Calculations - 1.0'!AD313 + 'ACPL Calculations - 2.0'!AD313</f>
        <v>0</v>
      </c>
      <c r="DC313" s="38">
        <f>'Old Balance Sheet'!AB313 + 'ACPL Calculations - 1.0'!AE313 + 'ACPL Calculations - 2.0'!AE313</f>
        <v>0</v>
      </c>
      <c r="DD313" s="38">
        <f t="shared" si="4"/>
        <v>0</v>
      </c>
      <c r="DE313" s="33">
        <f t="shared" si="5"/>
        <v>0</v>
      </c>
      <c r="DF313" s="35">
        <v>0.0</v>
      </c>
      <c r="DG313" s="35">
        <v>0.0</v>
      </c>
      <c r="DH313" s="35">
        <v>0.0</v>
      </c>
      <c r="DI313" s="35">
        <v>0.0</v>
      </c>
      <c r="DJ313" s="35">
        <v>0.0</v>
      </c>
      <c r="DK313" s="35">
        <v>0.0</v>
      </c>
      <c r="DL313" s="35">
        <v>0.0</v>
      </c>
      <c r="DM313" s="35">
        <v>0.0</v>
      </c>
      <c r="DN313" s="31">
        <v>0.0</v>
      </c>
      <c r="DO313" s="31">
        <v>0.0</v>
      </c>
      <c r="DP313" s="31">
        <v>0.0</v>
      </c>
      <c r="DQ313" s="31">
        <v>0.0</v>
      </c>
      <c r="DR313" s="31">
        <v>0.0</v>
      </c>
      <c r="DS313" s="31">
        <v>0.0</v>
      </c>
      <c r="DT313" s="31">
        <f>'Old Balance Sheet'!AC313</f>
        <v>0</v>
      </c>
      <c r="DU313" s="31">
        <f>DT313 + SUMIFS('Payments Log'!D:D, 'Payments Log'!B:B, A313, 'Payments Log'!L:L, "Approved", 'Payments Log'!M:M, "Credit") + 'Old Balance Sheet'!AD313 - 'Old Balance Sheet'!AC313</f>
        <v>0</v>
      </c>
      <c r="DV313" s="31">
        <f>SUMIFS('Payments Log'!D:D, 'Payments Log'!B:B, A313, 'Payments Log'!L:L, "Approved", 'Payments Log'!M:M, "Adjustment Credit") - SUMIFS('Payments Log'!D:D, 'Payments Log'!B:B, A313, 'Payments Log'!L:L, "Approved", 'Payments Log'!M:M, "Adjustment Debit") + 'Old Balance Sheet'!AE313</f>
        <v>0</v>
      </c>
      <c r="DW313" s="31">
        <f>IF(MAXIFS('Payments Log'!N:N, 'Payments Log'!L:L, "Approved", 'Payments Log'!M:M, "Credit", 'Payments Log'!B:B, A313) &gt; MAXIFS('Payments Log'!N:N, 'Payments Log'!L:L, "Approved", 'Payments Log'!M:M, "Virtual Credit", 'Payments Log'!B:B, A313), 0, SUMIFS('Payments Log'!D:D, 'Payments Log'!N:N, MAXIFS('Payments Log'!N:N, 'Payments Log'!L:L, "Approved", 'Payments Log'!M:M, "Virtual Credit", 'Payments Log'!B:B, A313)))</f>
        <v>0</v>
      </c>
      <c r="DX313" s="33">
        <f t="shared" si="6"/>
        <v>0</v>
      </c>
      <c r="DY313" s="33">
        <f t="shared" si="7"/>
        <v>0</v>
      </c>
      <c r="DZ313" s="33">
        <f t="shared" si="8"/>
        <v>0</v>
      </c>
      <c r="EA313" s="25" t="str">
        <f>(Sheet1!N313)</f>
        <v>PREM AUTO - HARIDWAR</v>
      </c>
      <c r="EB313" s="25" t="str">
        <f>(Sheet1!O313)</f>
        <v>1EeVOkHOYV7m-TXPjCFcVuyRfOfG243WHv6SdA9sNNrA</v>
      </c>
      <c r="EC313" s="26" t="str">
        <f>(Sheet1!P313)</f>
        <v>Dealer</v>
      </c>
      <c r="ED313" s="34" t="s">
        <v>13</v>
      </c>
    </row>
    <row r="314">
      <c r="A314" s="25" t="str">
        <f>(Sheet1!A314)</f>
        <v>1HFkcA0tba7UnCoWEw5R4dohMFqwhpltBBsuWOiWeruA</v>
      </c>
      <c r="B314" s="25" t="str">
        <f>(Sheet1!B314)</f>
        <v>LAKHVINDRA KASHIPUR</v>
      </c>
      <c r="C314" s="30" t="s">
        <v>13</v>
      </c>
      <c r="D314" s="30" t="s">
        <v>72</v>
      </c>
      <c r="E314" s="30" t="s">
        <v>3817</v>
      </c>
      <c r="F314" s="31">
        <v>175.0</v>
      </c>
      <c r="G314" s="32" t="s">
        <v>3818</v>
      </c>
      <c r="H314" s="31">
        <v>100.0</v>
      </c>
      <c r="I314" s="33">
        <f>'Old Balance Sheet'!A314 + 'ACPL Calculations - 1.0'!A314 + 'ACPL Calculations - 2.0'!A314</f>
        <v>0</v>
      </c>
      <c r="J314" s="30" t="s">
        <v>3817</v>
      </c>
      <c r="K314" s="31">
        <v>205.0</v>
      </c>
      <c r="L314" s="32" t="s">
        <v>3818</v>
      </c>
      <c r="M314" s="31">
        <v>100.0</v>
      </c>
      <c r="N314" s="33">
        <f>'Old Balance Sheet'!B314 + 'ACPL Calculations - 1.0'!B314 + 'ACPL Calculations - 2.0'!B314</f>
        <v>0</v>
      </c>
      <c r="O314" s="30" t="s">
        <v>3817</v>
      </c>
      <c r="P314" s="31">
        <v>290.0</v>
      </c>
      <c r="Q314" s="32" t="s">
        <v>3818</v>
      </c>
      <c r="R314" s="31">
        <v>100.0</v>
      </c>
      <c r="S314" s="33">
        <f>'Old Balance Sheet'!C314 + 'ACPL Calculations - 1.0'!C314 + 'ACPL Calculations - 2.0'!C314</f>
        <v>0</v>
      </c>
      <c r="T314" s="30" t="s">
        <v>3817</v>
      </c>
      <c r="U314" s="31">
        <v>375.0</v>
      </c>
      <c r="V314" s="32" t="s">
        <v>3818</v>
      </c>
      <c r="W314" s="31">
        <v>100.0</v>
      </c>
      <c r="X314" s="33">
        <f>'Old Balance Sheet'!D314 + 'ACPL Calculations - 1.0'!D314 + 'ACPL Calculations - 2.0'!D314</f>
        <v>0</v>
      </c>
      <c r="Y314" s="30" t="s">
        <v>3817</v>
      </c>
      <c r="Z314" s="31">
        <v>460.0</v>
      </c>
      <c r="AA314" s="32" t="s">
        <v>3818</v>
      </c>
      <c r="AB314" s="31">
        <v>100.0</v>
      </c>
      <c r="AC314" s="33">
        <f>'Old Balance Sheet'!E314 + 'ACPL Calculations - 1.0'!E314 + 'ACPL Calculations - 2.0'!E314</f>
        <v>0</v>
      </c>
      <c r="AD314" s="30" t="s">
        <v>3817</v>
      </c>
      <c r="AE314" s="34">
        <v>838.99</v>
      </c>
      <c r="AF314" s="32" t="s">
        <v>3818</v>
      </c>
      <c r="AG314" s="31">
        <v>100.0</v>
      </c>
      <c r="AH314" s="33">
        <f>'Old Balance Sheet'!F314 + 'ACPL Calculations - 1.0'!F314 + 'ACPL Calculations - 2.0'!F314</f>
        <v>0</v>
      </c>
      <c r="AI314" s="30" t="s">
        <v>3817</v>
      </c>
      <c r="AJ314" s="31">
        <v>375.0</v>
      </c>
      <c r="AK314" s="32" t="s">
        <v>3818</v>
      </c>
      <c r="AL314" s="31">
        <v>100.0</v>
      </c>
      <c r="AM314" s="33">
        <f>'Old Balance Sheet'!G314 + 'ACPL Calculations - 1.0'!G314 + 'ACPL Calculations - 2.0'!G314</f>
        <v>0</v>
      </c>
      <c r="AN314" s="30" t="s">
        <v>3817</v>
      </c>
      <c r="AO314" s="31">
        <v>290.0</v>
      </c>
      <c r="AP314" s="32" t="s">
        <v>3818</v>
      </c>
      <c r="AQ314" s="31">
        <v>100.0</v>
      </c>
      <c r="AR314" s="33">
        <f>'Old Balance Sheet'!H314 + 'ACPL Calculations - 1.0'!H314 + 'ACPL Calculations - 2.0'!H314</f>
        <v>0</v>
      </c>
      <c r="AS314" s="30" t="s">
        <v>3819</v>
      </c>
      <c r="AT314" s="31">
        <v>838.99</v>
      </c>
      <c r="AU314" s="32" t="s">
        <v>3818</v>
      </c>
      <c r="AV314" s="31">
        <v>100.0</v>
      </c>
      <c r="AW314" s="33">
        <f>'Old Balance Sheet'!I314 + 'ACPL Calculations - 1.0'!I314 + 'ACPL Calculations - 2.0'!I314</f>
        <v>0</v>
      </c>
      <c r="AX314" s="30" t="s">
        <v>3817</v>
      </c>
      <c r="AY314" s="31">
        <v>290.0</v>
      </c>
      <c r="AZ314" s="32" t="s">
        <v>3818</v>
      </c>
      <c r="BA314" s="31">
        <v>100.0</v>
      </c>
      <c r="BB314" s="33">
        <f>'Old Balance Sheet'!J314 + 'ACPL Calculations - 1.0'!J314 + 'ACPL Calculations - 2.0'!J314</f>
        <v>0</v>
      </c>
      <c r="BC314" s="30" t="s">
        <v>3817</v>
      </c>
      <c r="BD314" s="31">
        <v>205.0</v>
      </c>
      <c r="BE314" s="32" t="s">
        <v>3818</v>
      </c>
      <c r="BF314" s="31">
        <v>100.0</v>
      </c>
      <c r="BG314" s="33">
        <f>'Old Balance Sheet'!K314 + 'ACPL Calculations - 1.0'!K314 + 'ACPL Calculations - 2.0'!K314</f>
        <v>0</v>
      </c>
      <c r="BH314" s="30" t="s">
        <v>3817</v>
      </c>
      <c r="BI314" s="31">
        <v>205.0</v>
      </c>
      <c r="BJ314" s="32" t="s">
        <v>3818</v>
      </c>
      <c r="BK314" s="31">
        <v>100.0</v>
      </c>
      <c r="BL314" s="33">
        <f>'Old Balance Sheet'!L314 + 'ACPL Calculations - 1.0'!L314 + 'ACPL Calculations - 2.0'!L314</f>
        <v>0</v>
      </c>
      <c r="BM314" s="33"/>
      <c r="BN314" s="33"/>
      <c r="BO314" s="33"/>
      <c r="BP314" s="33"/>
      <c r="BQ314" s="33"/>
      <c r="BR314" s="33"/>
      <c r="BS314" s="33"/>
      <c r="BT314" s="33"/>
      <c r="BU314" s="33"/>
      <c r="BV314" s="33"/>
      <c r="BW314" s="33"/>
      <c r="BX314" s="33"/>
      <c r="BY314" s="33"/>
      <c r="BZ314" s="33"/>
      <c r="CA314" s="33"/>
      <c r="CB314" s="33"/>
      <c r="CC314" s="33"/>
      <c r="CD314" s="33"/>
      <c r="CE314" s="33"/>
      <c r="CF314" s="33"/>
      <c r="CG314" s="33"/>
      <c r="CH314" s="33"/>
      <c r="CI314" s="33"/>
      <c r="CJ314" s="33"/>
      <c r="CK314" s="33"/>
      <c r="CL314" s="33">
        <f t="shared" si="1"/>
        <v>0</v>
      </c>
      <c r="CM314" s="33">
        <f>'Old Balance Sheet'!R314 + 'ACPL Calculations - 1.0'!S314 + 'ACPL Calculations - 2.0'!S314</f>
        <v>0</v>
      </c>
      <c r="CN314" s="33">
        <f>'Old Balance Sheet'!S314 + 'ACPL Calculations - 1.0'!T314 + 'ACPL Calculations - 2.0'!T314</f>
        <v>0</v>
      </c>
      <c r="CO314" s="33">
        <f t="shared" si="2"/>
        <v>0</v>
      </c>
      <c r="CP314" s="33">
        <f>'Old Balance Sheet'!T314 + 'ACPL Calculations - 1.0'!V314 + 'ACPL Calculations - 2.0'!V314</f>
        <v>0</v>
      </c>
      <c r="CQ314" s="33">
        <f>'Old Balance Sheet'!U314 + 'ACPL Calculations - 1.0'!W314 + 'ACPL Calculations - 2.0'!W314</f>
        <v>0</v>
      </c>
      <c r="CR314" s="33">
        <f>'Old Balance Sheet'!V314 + 'ACPL Calculations - 1.0'!X314 + 'ACPL Calculations - 2.0'!X314</f>
        <v>0</v>
      </c>
      <c r="CS314" s="33">
        <f t="shared" si="3"/>
        <v>0</v>
      </c>
      <c r="CT314" s="35"/>
      <c r="CU314" s="35"/>
      <c r="CV314" s="35"/>
      <c r="CW314" s="36">
        <f>'Old Balance Sheet'!W314 + 'ACPL Calculations - 1.0'!Z314 + 'ACPL Calculations - 2.0'!Z314</f>
        <v>0</v>
      </c>
      <c r="CX314" s="36">
        <f>'Old Balance Sheet'!X314 + 'ACPL Calculations - 1.0'!AA314 + 'ACPL Calculations - 2.0'!AA314</f>
        <v>0</v>
      </c>
      <c r="CY314" s="37">
        <v>0.0</v>
      </c>
      <c r="CZ314" s="38">
        <f>'Old Balance Sheet'!Y314 + 'ACPL Calculations - 1.0'!AB314 + 'ACPL Calculations - 2.0'!AB314</f>
        <v>0</v>
      </c>
      <c r="DA314" s="38">
        <f>'Old Balance Sheet'!Z314 + 'ACPL Calculations - 1.0'!AC314 + 'ACPL Calculations - 2.0'!AC314</f>
        <v>0</v>
      </c>
      <c r="DB314" s="38">
        <f>'Old Balance Sheet'!AA314 + 'ACPL Calculations - 1.0'!AD314 + 'ACPL Calculations - 2.0'!AD314</f>
        <v>0</v>
      </c>
      <c r="DC314" s="38">
        <f>'Old Balance Sheet'!AB314 + 'ACPL Calculations - 1.0'!AE314 + 'ACPL Calculations - 2.0'!AE314</f>
        <v>0</v>
      </c>
      <c r="DD314" s="38">
        <f t="shared" si="4"/>
        <v>0</v>
      </c>
      <c r="DE314" s="33">
        <f t="shared" si="5"/>
        <v>0</v>
      </c>
      <c r="DF314" s="35">
        <v>0.0</v>
      </c>
      <c r="DG314" s="35">
        <v>0.0</v>
      </c>
      <c r="DH314" s="35">
        <v>0.0</v>
      </c>
      <c r="DI314" s="35">
        <v>0.0</v>
      </c>
      <c r="DJ314" s="35">
        <v>0.0</v>
      </c>
      <c r="DK314" s="35">
        <v>0.0</v>
      </c>
      <c r="DL314" s="35">
        <v>0.0</v>
      </c>
      <c r="DM314" s="35">
        <v>0.0</v>
      </c>
      <c r="DN314" s="31">
        <v>0.0</v>
      </c>
      <c r="DO314" s="31">
        <v>0.0</v>
      </c>
      <c r="DP314" s="31">
        <v>0.0</v>
      </c>
      <c r="DQ314" s="31">
        <v>0.0</v>
      </c>
      <c r="DR314" s="31">
        <v>0.0</v>
      </c>
      <c r="DS314" s="31">
        <v>0.0</v>
      </c>
      <c r="DT314" s="31">
        <f>'Old Balance Sheet'!AC314</f>
        <v>0</v>
      </c>
      <c r="DU314" s="31">
        <f>DT314 + SUMIFS('Payments Log'!D:D, 'Payments Log'!B:B, A314, 'Payments Log'!L:L, "Approved", 'Payments Log'!M:M, "Credit") + 'Old Balance Sheet'!AD314 - 'Old Balance Sheet'!AC314</f>
        <v>0</v>
      </c>
      <c r="DV314" s="31">
        <f>SUMIFS('Payments Log'!D:D, 'Payments Log'!B:B, A314, 'Payments Log'!L:L, "Approved", 'Payments Log'!M:M, "Adjustment Credit") - SUMIFS('Payments Log'!D:D, 'Payments Log'!B:B, A314, 'Payments Log'!L:L, "Approved", 'Payments Log'!M:M, "Adjustment Debit") + 'Old Balance Sheet'!AE314</f>
        <v>0</v>
      </c>
      <c r="DW314" s="31">
        <f>IF(MAXIFS('Payments Log'!N:N, 'Payments Log'!L:L, "Approved", 'Payments Log'!M:M, "Credit", 'Payments Log'!B:B, A314) &gt; MAXIFS('Payments Log'!N:N, 'Payments Log'!L:L, "Approved", 'Payments Log'!M:M, "Virtual Credit", 'Payments Log'!B:B, A314), 0, SUMIFS('Payments Log'!D:D, 'Payments Log'!N:N, MAXIFS('Payments Log'!N:N, 'Payments Log'!L:L, "Approved", 'Payments Log'!M:M, "Virtual Credit", 'Payments Log'!B:B, A314)))</f>
        <v>0</v>
      </c>
      <c r="DX314" s="33">
        <f t="shared" si="6"/>
        <v>0</v>
      </c>
      <c r="DY314" s="33">
        <f t="shared" si="7"/>
        <v>0</v>
      </c>
      <c r="DZ314" s="33">
        <f t="shared" si="8"/>
        <v>0</v>
      </c>
      <c r="EA314" s="25" t="str">
        <f>(Sheet1!N314)</f>
        <v>LAKHVINDRA KASHIPUR</v>
      </c>
      <c r="EB314" s="25" t="str">
        <f>(Sheet1!O314)</f>
        <v>1HFkcA0tba7UnCoWEw5R4dohMFqwhpltBBsuWOiWeruA</v>
      </c>
      <c r="EC314" s="26" t="str">
        <f>(Sheet1!P314)</f>
        <v>Dealer</v>
      </c>
      <c r="ED314" s="34" t="s">
        <v>13</v>
      </c>
    </row>
    <row r="315">
      <c r="A315" s="25" t="str">
        <f>(Sheet1!A315)</f>
        <v>1F9NONXieHjy77H-04YnZVq6s_JxwTeglgZrjTuG8YVo</v>
      </c>
      <c r="B315" s="25" t="str">
        <f>(Sheet1!B315)</f>
        <v>INDER HONDA-KASHIPUR</v>
      </c>
      <c r="C315" s="30" t="s">
        <v>13</v>
      </c>
      <c r="D315" s="30" t="s">
        <v>72</v>
      </c>
      <c r="E315" s="30" t="s">
        <v>3817</v>
      </c>
      <c r="F315" s="31">
        <v>195.0</v>
      </c>
      <c r="G315" s="32" t="s">
        <v>3818</v>
      </c>
      <c r="H315" s="31">
        <v>100.0</v>
      </c>
      <c r="I315" s="33">
        <f>'Old Balance Sheet'!A315 + 'ACPL Calculations - 1.0'!A315 + 'ACPL Calculations - 2.0'!A315</f>
        <v>6</v>
      </c>
      <c r="J315" s="30" t="s">
        <v>3817</v>
      </c>
      <c r="K315" s="31">
        <v>205.0</v>
      </c>
      <c r="L315" s="32" t="s">
        <v>3818</v>
      </c>
      <c r="M315" s="31">
        <v>100.0</v>
      </c>
      <c r="N315" s="33">
        <f>'Old Balance Sheet'!B315 + 'ACPL Calculations - 1.0'!B315 + 'ACPL Calculations - 2.0'!B315</f>
        <v>0</v>
      </c>
      <c r="O315" s="30" t="s">
        <v>3817</v>
      </c>
      <c r="P315" s="31">
        <v>290.0</v>
      </c>
      <c r="Q315" s="32" t="s">
        <v>3818</v>
      </c>
      <c r="R315" s="31">
        <v>100.0</v>
      </c>
      <c r="S315" s="33">
        <f>'Old Balance Sheet'!C315 + 'ACPL Calculations - 1.0'!C315 + 'ACPL Calculations - 2.0'!C315</f>
        <v>0</v>
      </c>
      <c r="T315" s="30" t="s">
        <v>3817</v>
      </c>
      <c r="U315" s="31">
        <v>375.0</v>
      </c>
      <c r="V315" s="32" t="s">
        <v>3818</v>
      </c>
      <c r="W315" s="31">
        <v>100.0</v>
      </c>
      <c r="X315" s="33">
        <f>'Old Balance Sheet'!D315 + 'ACPL Calculations - 1.0'!D315 + 'ACPL Calculations - 2.0'!D315</f>
        <v>0</v>
      </c>
      <c r="Y315" s="30" t="s">
        <v>3817</v>
      </c>
      <c r="Z315" s="31">
        <v>460.0</v>
      </c>
      <c r="AA315" s="32" t="s">
        <v>3818</v>
      </c>
      <c r="AB315" s="31">
        <v>100.0</v>
      </c>
      <c r="AC315" s="33">
        <f>'Old Balance Sheet'!E315 + 'ACPL Calculations - 1.0'!E315 + 'ACPL Calculations - 2.0'!E315</f>
        <v>0</v>
      </c>
      <c r="AD315" s="30" t="s">
        <v>3817</v>
      </c>
      <c r="AE315" s="34">
        <v>838.99</v>
      </c>
      <c r="AF315" s="32" t="s">
        <v>3818</v>
      </c>
      <c r="AG315" s="31">
        <v>100.0</v>
      </c>
      <c r="AH315" s="33">
        <f>'Old Balance Sheet'!F315 + 'ACPL Calculations - 1.0'!F315 + 'ACPL Calculations - 2.0'!F315</f>
        <v>0</v>
      </c>
      <c r="AI315" s="30" t="s">
        <v>3817</v>
      </c>
      <c r="AJ315" s="31">
        <v>375.0</v>
      </c>
      <c r="AK315" s="32" t="s">
        <v>3818</v>
      </c>
      <c r="AL315" s="31">
        <v>100.0</v>
      </c>
      <c r="AM315" s="33">
        <f>'Old Balance Sheet'!G315 + 'ACPL Calculations - 1.0'!G315 + 'ACPL Calculations - 2.0'!G315</f>
        <v>0</v>
      </c>
      <c r="AN315" s="30" t="s">
        <v>3817</v>
      </c>
      <c r="AO315" s="31">
        <v>290.0</v>
      </c>
      <c r="AP315" s="32" t="s">
        <v>3818</v>
      </c>
      <c r="AQ315" s="31">
        <v>100.0</v>
      </c>
      <c r="AR315" s="33">
        <f>'Old Balance Sheet'!H315 + 'ACPL Calculations - 1.0'!H315 + 'ACPL Calculations - 2.0'!H315</f>
        <v>0</v>
      </c>
      <c r="AS315" s="30" t="s">
        <v>3819</v>
      </c>
      <c r="AT315" s="31">
        <v>838.99</v>
      </c>
      <c r="AU315" s="32" t="s">
        <v>3818</v>
      </c>
      <c r="AV315" s="31">
        <v>100.0</v>
      </c>
      <c r="AW315" s="33">
        <f>'Old Balance Sheet'!I315 + 'ACPL Calculations - 1.0'!I315 + 'ACPL Calculations - 2.0'!I315</f>
        <v>0</v>
      </c>
      <c r="AX315" s="30" t="s">
        <v>3817</v>
      </c>
      <c r="AY315" s="31">
        <v>290.0</v>
      </c>
      <c r="AZ315" s="32" t="s">
        <v>3818</v>
      </c>
      <c r="BA315" s="31">
        <v>100.0</v>
      </c>
      <c r="BB315" s="33">
        <f>'Old Balance Sheet'!J315 + 'ACPL Calculations - 1.0'!J315 + 'ACPL Calculations - 2.0'!J315</f>
        <v>0</v>
      </c>
      <c r="BC315" s="30" t="s">
        <v>3817</v>
      </c>
      <c r="BD315" s="31">
        <v>205.0</v>
      </c>
      <c r="BE315" s="32" t="s">
        <v>3818</v>
      </c>
      <c r="BF315" s="31">
        <v>100.0</v>
      </c>
      <c r="BG315" s="33">
        <f>'Old Balance Sheet'!K315 + 'ACPL Calculations - 1.0'!K315 + 'ACPL Calculations - 2.0'!K315</f>
        <v>0</v>
      </c>
      <c r="BH315" s="30" t="s">
        <v>3817</v>
      </c>
      <c r="BI315" s="31">
        <v>205.0</v>
      </c>
      <c r="BJ315" s="32" t="s">
        <v>3818</v>
      </c>
      <c r="BK315" s="31">
        <v>100.0</v>
      </c>
      <c r="BL315" s="33">
        <f>'Old Balance Sheet'!L315 + 'ACPL Calculations - 1.0'!L315 + 'ACPL Calculations - 2.0'!L315</f>
        <v>0</v>
      </c>
      <c r="BM315" s="33"/>
      <c r="BN315" s="33"/>
      <c r="BO315" s="33"/>
      <c r="BP315" s="33"/>
      <c r="BQ315" s="33"/>
      <c r="BR315" s="33"/>
      <c r="BS315" s="33"/>
      <c r="BT315" s="33"/>
      <c r="BU315" s="33"/>
      <c r="BV315" s="33"/>
      <c r="BW315" s="33"/>
      <c r="BX315" s="33"/>
      <c r="BY315" s="33"/>
      <c r="BZ315" s="33"/>
      <c r="CA315" s="33"/>
      <c r="CB315" s="33"/>
      <c r="CC315" s="33"/>
      <c r="CD315" s="33"/>
      <c r="CE315" s="33"/>
      <c r="CF315" s="33"/>
      <c r="CG315" s="33"/>
      <c r="CH315" s="33"/>
      <c r="CI315" s="33"/>
      <c r="CJ315" s="33"/>
      <c r="CK315" s="33"/>
      <c r="CL315" s="33">
        <f t="shared" si="1"/>
        <v>6</v>
      </c>
      <c r="CM315" s="33">
        <f>'Old Balance Sheet'!R315 + 'ACPL Calculations - 1.0'!S315 + 'ACPL Calculations - 2.0'!S315</f>
        <v>2652</v>
      </c>
      <c r="CN315" s="33">
        <f>'Old Balance Sheet'!S315 + 'ACPL Calculations - 1.0'!T315 + 'ACPL Calculations - 2.0'!T315</f>
        <v>1170</v>
      </c>
      <c r="CO315" s="33">
        <f t="shared" si="2"/>
        <v>1574.52</v>
      </c>
      <c r="CP315" s="33">
        <f>'Old Balance Sheet'!T315 + 'ACPL Calculations - 1.0'!V315 + 'ACPL Calculations - 2.0'!V315</f>
        <v>0</v>
      </c>
      <c r="CQ315" s="33">
        <f>'Old Balance Sheet'!U315 + 'ACPL Calculations - 1.0'!W315 + 'ACPL Calculations - 2.0'!W315</f>
        <v>0</v>
      </c>
      <c r="CR315" s="33">
        <f>'Old Balance Sheet'!V315 + 'ACPL Calculations - 1.0'!X315 + 'ACPL Calculations - 2.0'!X315</f>
        <v>404.52</v>
      </c>
      <c r="CS315" s="33">
        <f t="shared" si="3"/>
        <v>404.52</v>
      </c>
      <c r="CT315" s="35"/>
      <c r="CU315" s="35"/>
      <c r="CV315" s="35"/>
      <c r="CW315" s="36">
        <f>'Old Balance Sheet'!W315 + 'ACPL Calculations - 1.0'!Z315 + 'ACPL Calculations - 2.0'!Z315</f>
        <v>1628.4</v>
      </c>
      <c r="CX315" s="36">
        <f>'Old Balance Sheet'!X315 + 'ACPL Calculations - 1.0'!AA315 + 'ACPL Calculations - 2.0'!AA315</f>
        <v>1628.4</v>
      </c>
      <c r="CY315" s="37">
        <v>0.0</v>
      </c>
      <c r="CZ315" s="38">
        <f>'Old Balance Sheet'!Y315 + 'ACPL Calculations - 1.0'!AB315 + 'ACPL Calculations - 2.0'!AB315</f>
        <v>1077.48</v>
      </c>
      <c r="DA315" s="38">
        <f>'Old Balance Sheet'!Z315 + 'ACPL Calculations - 1.0'!AC315 + 'ACPL Calculations - 2.0'!AC315</f>
        <v>1023.6</v>
      </c>
      <c r="DB315" s="38">
        <f>'Old Balance Sheet'!AA315 + 'ACPL Calculations - 1.0'!AD315 + 'ACPL Calculations - 2.0'!AD315</f>
        <v>53.88</v>
      </c>
      <c r="DC315" s="38">
        <f>'Old Balance Sheet'!AB315 + 'ACPL Calculations - 1.0'!AE315 + 'ACPL Calculations - 2.0'!AE315</f>
        <v>0</v>
      </c>
      <c r="DD315" s="38">
        <f t="shared" si="4"/>
        <v>0</v>
      </c>
      <c r="DE315" s="33">
        <f t="shared" si="5"/>
        <v>0</v>
      </c>
      <c r="DF315" s="35">
        <v>0.0</v>
      </c>
      <c r="DG315" s="35">
        <v>0.0</v>
      </c>
      <c r="DH315" s="35">
        <v>0.0</v>
      </c>
      <c r="DI315" s="35">
        <v>0.0</v>
      </c>
      <c r="DJ315" s="35">
        <v>0.0</v>
      </c>
      <c r="DK315" s="35">
        <v>0.0</v>
      </c>
      <c r="DL315" s="35">
        <v>0.0</v>
      </c>
      <c r="DM315" s="35">
        <v>0.0</v>
      </c>
      <c r="DN315" s="31">
        <v>0.0</v>
      </c>
      <c r="DO315" s="31">
        <v>0.0</v>
      </c>
      <c r="DP315" s="31">
        <v>0.0</v>
      </c>
      <c r="DQ315" s="31">
        <v>0.0</v>
      </c>
      <c r="DR315" s="31">
        <v>0.0</v>
      </c>
      <c r="DS315" s="31">
        <v>0.0</v>
      </c>
      <c r="DT315" s="31">
        <f>'Old Balance Sheet'!AC315</f>
        <v>0</v>
      </c>
      <c r="DU315" s="31">
        <f>DT315 + SUMIFS('Payments Log'!D:D, 'Payments Log'!B:B, A315, 'Payments Log'!L:L, "Approved", 'Payments Log'!M:M, "Credit") + 'Old Balance Sheet'!AD315 - 'Old Balance Sheet'!AC315</f>
        <v>5000</v>
      </c>
      <c r="DV315" s="31">
        <f>SUMIFS('Payments Log'!D:D, 'Payments Log'!B:B, A315, 'Payments Log'!L:L, "Approved", 'Payments Log'!M:M, "Adjustment Credit") - SUMIFS('Payments Log'!D:D, 'Payments Log'!B:B, A315, 'Payments Log'!L:L, "Approved", 'Payments Log'!M:M, "Adjustment Debit") + 'Old Balance Sheet'!AE315</f>
        <v>0</v>
      </c>
      <c r="DW315" s="31">
        <f>IF(MAXIFS('Payments Log'!N:N, 'Payments Log'!L:L, "Approved", 'Payments Log'!M:M, "Credit", 'Payments Log'!B:B, A315) &gt; MAXIFS('Payments Log'!N:N, 'Payments Log'!L:L, "Approved", 'Payments Log'!M:M, "Virtual Credit", 'Payments Log'!B:B, A315), 0, SUMIFS('Payments Log'!D:D, 'Payments Log'!N:N, MAXIFS('Payments Log'!N:N, 'Payments Log'!L:L, "Approved", 'Payments Log'!M:M, "Virtual Credit", 'Payments Log'!B:B, A315)))</f>
        <v>0</v>
      </c>
      <c r="DX315" s="33">
        <f t="shared" si="6"/>
        <v>3371.6</v>
      </c>
      <c r="DY315" s="33">
        <f t="shared" si="7"/>
        <v>3371.6</v>
      </c>
      <c r="DZ315" s="33">
        <f t="shared" si="8"/>
        <v>3371.6</v>
      </c>
      <c r="EA315" s="25" t="str">
        <f>(Sheet1!N315)</f>
        <v>INDER HONDA-KASHIPUR</v>
      </c>
      <c r="EB315" s="25" t="str">
        <f>(Sheet1!O315)</f>
        <v>1F9NONXieHjy77H-04YnZVq6s_JxwTeglgZrjTuG8YVo</v>
      </c>
      <c r="EC315" s="26" t="str">
        <f>(Sheet1!P315)</f>
        <v>Dealer</v>
      </c>
      <c r="ED315" s="34" t="s">
        <v>13</v>
      </c>
    </row>
    <row r="316">
      <c r="A316" s="25" t="str">
        <f>(Sheet1!A316)</f>
        <v>1-ndxJp3oX17jCcSgSWUUGvqzyoVAJHZBrfGcG-qChjg</v>
      </c>
      <c r="B316" s="25" t="str">
        <f>(Sheet1!B316)</f>
        <v>KHADKA G AUTOMOBILE- AHMEDABAD</v>
      </c>
      <c r="C316" s="30" t="s">
        <v>13</v>
      </c>
      <c r="D316" s="30" t="s">
        <v>72</v>
      </c>
      <c r="E316" s="30" t="s">
        <v>3817</v>
      </c>
      <c r="F316" s="31">
        <v>205.0</v>
      </c>
      <c r="G316" s="32" t="s">
        <v>3818</v>
      </c>
      <c r="H316" s="31">
        <v>100.0</v>
      </c>
      <c r="I316" s="33">
        <f>'Old Balance Sheet'!A316 + 'ACPL Calculations - 1.0'!A316 + 'ACPL Calculations - 2.0'!A316</f>
        <v>0</v>
      </c>
      <c r="J316" s="30" t="s">
        <v>3817</v>
      </c>
      <c r="K316" s="31">
        <v>205.0</v>
      </c>
      <c r="L316" s="32" t="s">
        <v>3818</v>
      </c>
      <c r="M316" s="31">
        <v>100.0</v>
      </c>
      <c r="N316" s="33">
        <f>'Old Balance Sheet'!B316 + 'ACPL Calculations - 1.0'!B316 + 'ACPL Calculations - 2.0'!B316</f>
        <v>0</v>
      </c>
      <c r="O316" s="30" t="s">
        <v>3817</v>
      </c>
      <c r="P316" s="31">
        <v>235.0</v>
      </c>
      <c r="Q316" s="32" t="s">
        <v>3818</v>
      </c>
      <c r="R316" s="31">
        <v>100.0</v>
      </c>
      <c r="S316" s="33">
        <f>'Old Balance Sheet'!C316 + 'ACPL Calculations - 1.0'!C316 + 'ACPL Calculations - 2.0'!C316</f>
        <v>0</v>
      </c>
      <c r="T316" s="30" t="s">
        <v>3817</v>
      </c>
      <c r="U316" s="31">
        <v>375.0</v>
      </c>
      <c r="V316" s="32" t="s">
        <v>3818</v>
      </c>
      <c r="W316" s="31">
        <v>100.0</v>
      </c>
      <c r="X316" s="33">
        <f>'Old Balance Sheet'!D316 + 'ACPL Calculations - 1.0'!D316 + 'ACPL Calculations - 2.0'!D316</f>
        <v>0</v>
      </c>
      <c r="Y316" s="30" t="s">
        <v>3817</v>
      </c>
      <c r="Z316" s="31">
        <v>460.0</v>
      </c>
      <c r="AA316" s="32" t="s">
        <v>3818</v>
      </c>
      <c r="AB316" s="31">
        <v>100.0</v>
      </c>
      <c r="AC316" s="33">
        <f>'Old Balance Sheet'!E316 + 'ACPL Calculations - 1.0'!E316 + 'ACPL Calculations - 2.0'!E316</f>
        <v>0</v>
      </c>
      <c r="AD316" s="30" t="s">
        <v>3817</v>
      </c>
      <c r="AE316" s="34">
        <v>838.99</v>
      </c>
      <c r="AF316" s="32" t="s">
        <v>3818</v>
      </c>
      <c r="AG316" s="31">
        <v>100.0</v>
      </c>
      <c r="AH316" s="33">
        <f>'Old Balance Sheet'!F316 + 'ACPL Calculations - 1.0'!F316 + 'ACPL Calculations - 2.0'!F316</f>
        <v>0</v>
      </c>
      <c r="AI316" s="30" t="s">
        <v>3817</v>
      </c>
      <c r="AJ316" s="31">
        <v>375.0</v>
      </c>
      <c r="AK316" s="32" t="s">
        <v>3818</v>
      </c>
      <c r="AL316" s="31">
        <v>100.0</v>
      </c>
      <c r="AM316" s="33">
        <f>'Old Balance Sheet'!G316 + 'ACPL Calculations - 1.0'!G316 + 'ACPL Calculations - 2.0'!G316</f>
        <v>0</v>
      </c>
      <c r="AN316" s="30" t="s">
        <v>3817</v>
      </c>
      <c r="AO316" s="31">
        <v>290.0</v>
      </c>
      <c r="AP316" s="32" t="s">
        <v>3818</v>
      </c>
      <c r="AQ316" s="31">
        <v>100.0</v>
      </c>
      <c r="AR316" s="33">
        <f>'Old Balance Sheet'!H316 + 'ACPL Calculations - 1.0'!H316 + 'ACPL Calculations - 2.0'!H316</f>
        <v>0</v>
      </c>
      <c r="AS316" s="30" t="s">
        <v>3819</v>
      </c>
      <c r="AT316" s="31">
        <v>838.99</v>
      </c>
      <c r="AU316" s="32" t="s">
        <v>3818</v>
      </c>
      <c r="AV316" s="31">
        <v>100.0</v>
      </c>
      <c r="AW316" s="33">
        <f>'Old Balance Sheet'!I316 + 'ACPL Calculations - 1.0'!I316 + 'ACPL Calculations - 2.0'!I316</f>
        <v>0</v>
      </c>
      <c r="AX316" s="30" t="s">
        <v>3817</v>
      </c>
      <c r="AY316" s="31">
        <v>290.0</v>
      </c>
      <c r="AZ316" s="32" t="s">
        <v>3818</v>
      </c>
      <c r="BA316" s="31">
        <v>100.0</v>
      </c>
      <c r="BB316" s="33">
        <f>'Old Balance Sheet'!J316 + 'ACPL Calculations - 1.0'!J316 + 'ACPL Calculations - 2.0'!J316</f>
        <v>0</v>
      </c>
      <c r="BC316" s="30" t="s">
        <v>3817</v>
      </c>
      <c r="BD316" s="31">
        <v>205.0</v>
      </c>
      <c r="BE316" s="32" t="s">
        <v>3818</v>
      </c>
      <c r="BF316" s="31">
        <v>100.0</v>
      </c>
      <c r="BG316" s="33">
        <f>'Old Balance Sheet'!K316 + 'ACPL Calculations - 1.0'!K316 + 'ACPL Calculations - 2.0'!K316</f>
        <v>0</v>
      </c>
      <c r="BH316" s="30" t="s">
        <v>3817</v>
      </c>
      <c r="BI316" s="31">
        <v>205.0</v>
      </c>
      <c r="BJ316" s="32" t="s">
        <v>3818</v>
      </c>
      <c r="BK316" s="31">
        <v>100.0</v>
      </c>
      <c r="BL316" s="33">
        <f>'Old Balance Sheet'!L316 + 'ACPL Calculations - 1.0'!L316 + 'ACPL Calculations - 2.0'!L316</f>
        <v>0</v>
      </c>
      <c r="BM316" s="33"/>
      <c r="BN316" s="33"/>
      <c r="BO316" s="33"/>
      <c r="BP316" s="33"/>
      <c r="BQ316" s="33"/>
      <c r="BR316" s="33"/>
      <c r="BS316" s="33"/>
      <c r="BT316" s="33"/>
      <c r="BU316" s="33"/>
      <c r="BV316" s="33"/>
      <c r="BW316" s="33"/>
      <c r="BX316" s="33"/>
      <c r="BY316" s="33"/>
      <c r="BZ316" s="33"/>
      <c r="CA316" s="33"/>
      <c r="CB316" s="33"/>
      <c r="CC316" s="33"/>
      <c r="CD316" s="33"/>
      <c r="CE316" s="33"/>
      <c r="CF316" s="33"/>
      <c r="CG316" s="33"/>
      <c r="CH316" s="33"/>
      <c r="CI316" s="33"/>
      <c r="CJ316" s="33"/>
      <c r="CK316" s="33"/>
      <c r="CL316" s="33">
        <f t="shared" si="1"/>
        <v>0</v>
      </c>
      <c r="CM316" s="33">
        <f>'Old Balance Sheet'!R316 + 'ACPL Calculations - 1.0'!S316 + 'ACPL Calculations - 2.0'!S316</f>
        <v>0</v>
      </c>
      <c r="CN316" s="33">
        <f>'Old Balance Sheet'!S316 + 'ACPL Calculations - 1.0'!T316 + 'ACPL Calculations - 2.0'!T316</f>
        <v>0</v>
      </c>
      <c r="CO316" s="33">
        <f t="shared" si="2"/>
        <v>0</v>
      </c>
      <c r="CP316" s="33">
        <f>'Old Balance Sheet'!T316 + 'ACPL Calculations - 1.0'!V316 + 'ACPL Calculations - 2.0'!V316</f>
        <v>0</v>
      </c>
      <c r="CQ316" s="33">
        <f>'Old Balance Sheet'!U316 + 'ACPL Calculations - 1.0'!W316 + 'ACPL Calculations - 2.0'!W316</f>
        <v>0</v>
      </c>
      <c r="CR316" s="33">
        <f>'Old Balance Sheet'!V316 + 'ACPL Calculations - 1.0'!X316 + 'ACPL Calculations - 2.0'!X316</f>
        <v>0</v>
      </c>
      <c r="CS316" s="33">
        <f t="shared" si="3"/>
        <v>0</v>
      </c>
      <c r="CT316" s="35"/>
      <c r="CU316" s="35"/>
      <c r="CV316" s="35"/>
      <c r="CW316" s="36">
        <f>'Old Balance Sheet'!W316 + 'ACPL Calculations - 1.0'!Z316 + 'ACPL Calculations - 2.0'!Z316</f>
        <v>0</v>
      </c>
      <c r="CX316" s="36">
        <f>'Old Balance Sheet'!X316 + 'ACPL Calculations - 1.0'!AA316 + 'ACPL Calculations - 2.0'!AA316</f>
        <v>0</v>
      </c>
      <c r="CY316" s="37">
        <v>0.0</v>
      </c>
      <c r="CZ316" s="38">
        <f>'Old Balance Sheet'!Y316 + 'ACPL Calculations - 1.0'!AB316 + 'ACPL Calculations - 2.0'!AB316</f>
        <v>0</v>
      </c>
      <c r="DA316" s="38">
        <f>'Old Balance Sheet'!Z316 + 'ACPL Calculations - 1.0'!AC316 + 'ACPL Calculations - 2.0'!AC316</f>
        <v>0</v>
      </c>
      <c r="DB316" s="38">
        <f>'Old Balance Sheet'!AA316 + 'ACPL Calculations - 1.0'!AD316 + 'ACPL Calculations - 2.0'!AD316</f>
        <v>0</v>
      </c>
      <c r="DC316" s="38">
        <f>'Old Balance Sheet'!AB316 + 'ACPL Calculations - 1.0'!AE316 + 'ACPL Calculations - 2.0'!AE316</f>
        <v>0</v>
      </c>
      <c r="DD316" s="38">
        <f t="shared" si="4"/>
        <v>0</v>
      </c>
      <c r="DE316" s="33">
        <f t="shared" si="5"/>
        <v>0</v>
      </c>
      <c r="DF316" s="35">
        <v>0.0</v>
      </c>
      <c r="DG316" s="35">
        <v>0.0</v>
      </c>
      <c r="DH316" s="35">
        <v>0.0</v>
      </c>
      <c r="DI316" s="35">
        <v>0.0</v>
      </c>
      <c r="DJ316" s="35">
        <v>0.0</v>
      </c>
      <c r="DK316" s="35">
        <v>0.0</v>
      </c>
      <c r="DL316" s="35">
        <v>0.0</v>
      </c>
      <c r="DM316" s="35">
        <v>0.0</v>
      </c>
      <c r="DN316" s="31">
        <v>0.0</v>
      </c>
      <c r="DO316" s="31">
        <v>0.0</v>
      </c>
      <c r="DP316" s="31">
        <v>0.0</v>
      </c>
      <c r="DQ316" s="31">
        <v>0.0</v>
      </c>
      <c r="DR316" s="31">
        <v>0.0</v>
      </c>
      <c r="DS316" s="31">
        <v>0.0</v>
      </c>
      <c r="DT316" s="31">
        <f>'Old Balance Sheet'!AC316</f>
        <v>0</v>
      </c>
      <c r="DU316" s="31">
        <f>DT316 + SUMIFS('Payments Log'!D:D, 'Payments Log'!B:B, A316, 'Payments Log'!L:L, "Approved", 'Payments Log'!M:M, "Credit") + 'Old Balance Sheet'!AD316 - 'Old Balance Sheet'!AC316</f>
        <v>0</v>
      </c>
      <c r="DV316" s="31">
        <f>SUMIFS('Payments Log'!D:D, 'Payments Log'!B:B, A316, 'Payments Log'!L:L, "Approved", 'Payments Log'!M:M, "Adjustment Credit") - SUMIFS('Payments Log'!D:D, 'Payments Log'!B:B, A316, 'Payments Log'!L:L, "Approved", 'Payments Log'!M:M, "Adjustment Debit") + 'Old Balance Sheet'!AE316</f>
        <v>0</v>
      </c>
      <c r="DW316" s="31">
        <f>IF(MAXIFS('Payments Log'!N:N, 'Payments Log'!L:L, "Approved", 'Payments Log'!M:M, "Credit", 'Payments Log'!B:B, A316) &gt; MAXIFS('Payments Log'!N:N, 'Payments Log'!L:L, "Approved", 'Payments Log'!M:M, "Virtual Credit", 'Payments Log'!B:B, A316), 0, SUMIFS('Payments Log'!D:D, 'Payments Log'!N:N, MAXIFS('Payments Log'!N:N, 'Payments Log'!L:L, "Approved", 'Payments Log'!M:M, "Virtual Credit", 'Payments Log'!B:B, A316)))</f>
        <v>0</v>
      </c>
      <c r="DX316" s="33">
        <f t="shared" si="6"/>
        <v>0</v>
      </c>
      <c r="DY316" s="33">
        <f t="shared" si="7"/>
        <v>0</v>
      </c>
      <c r="DZ316" s="33">
        <f t="shared" si="8"/>
        <v>0</v>
      </c>
      <c r="EA316" s="25" t="str">
        <f>(Sheet1!N316)</f>
        <v>KHADKA G AUTOMOBILE- AHMEDABAD</v>
      </c>
      <c r="EB316" s="25" t="str">
        <f>(Sheet1!O316)</f>
        <v>1-ndxJp3oX17jCcSgSWUUGvqzyoVAJHZBrfGcG-qChjg</v>
      </c>
      <c r="EC316" s="26" t="str">
        <f>(Sheet1!P316)</f>
        <v>Dealer</v>
      </c>
      <c r="ED316" s="34" t="s">
        <v>13</v>
      </c>
    </row>
    <row r="317">
      <c r="A317" s="25" t="str">
        <f>(Sheet1!A317)</f>
        <v>1HzstXOBJIBMFHwYm7RpvmCIhHH60rtXQ81VHl3OF7OM</v>
      </c>
      <c r="B317" s="25" t="str">
        <f>(Sheet1!B317)</f>
        <v>SHIVANI MOTORS- ALLAHABAD</v>
      </c>
      <c r="C317" s="30" t="s">
        <v>13</v>
      </c>
      <c r="D317" s="25" t="s">
        <v>72</v>
      </c>
      <c r="E317" s="30" t="s">
        <v>3820</v>
      </c>
      <c r="F317" s="31">
        <v>175.0</v>
      </c>
      <c r="G317" s="25" t="s">
        <v>3818</v>
      </c>
      <c r="H317" s="33">
        <v>100.0</v>
      </c>
      <c r="I317" s="33">
        <f>'Old Balance Sheet'!A317 + 'ACPL Calculations - 1.0'!A317 + 'ACPL Calculations - 2.0'!A317</f>
        <v>655</v>
      </c>
      <c r="J317" s="30" t="s">
        <v>3820</v>
      </c>
      <c r="K317" s="33">
        <v>205.0</v>
      </c>
      <c r="L317" s="25" t="s">
        <v>3818</v>
      </c>
      <c r="M317" s="33">
        <v>100.0</v>
      </c>
      <c r="N317" s="33">
        <f>'Old Balance Sheet'!B317 + 'ACPL Calculations - 1.0'!B317 + 'ACPL Calculations - 2.0'!B317</f>
        <v>0</v>
      </c>
      <c r="O317" s="30" t="s">
        <v>3820</v>
      </c>
      <c r="P317" s="31">
        <v>185.0</v>
      </c>
      <c r="Q317" s="25" t="s">
        <v>3818</v>
      </c>
      <c r="R317" s="33">
        <v>100.0</v>
      </c>
      <c r="S317" s="33">
        <f>'Old Balance Sheet'!C317 + 'ACPL Calculations - 1.0'!C317 + 'ACPL Calculations - 2.0'!C317</f>
        <v>0</v>
      </c>
      <c r="T317" s="30" t="s">
        <v>3820</v>
      </c>
      <c r="U317" s="33">
        <v>375.0</v>
      </c>
      <c r="V317" s="25" t="s">
        <v>3818</v>
      </c>
      <c r="W317" s="33">
        <v>100.0</v>
      </c>
      <c r="X317" s="33">
        <f>'Old Balance Sheet'!D317 + 'ACPL Calculations - 1.0'!D317 + 'ACPL Calculations - 2.0'!D317</f>
        <v>0</v>
      </c>
      <c r="Y317" s="30" t="s">
        <v>3820</v>
      </c>
      <c r="Z317" s="33">
        <v>460.0</v>
      </c>
      <c r="AA317" s="42" t="s">
        <v>3818</v>
      </c>
      <c r="AB317" s="43">
        <v>100.0</v>
      </c>
      <c r="AC317" s="33">
        <f>'Old Balance Sheet'!E317 + 'ACPL Calculations - 1.0'!E317 + 'ACPL Calculations - 2.0'!E317</f>
        <v>0</v>
      </c>
      <c r="AD317" s="30" t="s">
        <v>3820</v>
      </c>
      <c r="AE317" s="33">
        <v>838.99</v>
      </c>
      <c r="AF317" s="42" t="s">
        <v>3818</v>
      </c>
      <c r="AG317" s="43">
        <v>100.0</v>
      </c>
      <c r="AH317" s="33">
        <f>'Old Balance Sheet'!F317 + 'ACPL Calculations - 1.0'!F317 + 'ACPL Calculations - 2.0'!F317</f>
        <v>0</v>
      </c>
      <c r="AI317" s="30" t="s">
        <v>3820</v>
      </c>
      <c r="AJ317" s="33">
        <v>375.0</v>
      </c>
      <c r="AK317" s="42" t="s">
        <v>3818</v>
      </c>
      <c r="AL317" s="43">
        <v>100.0</v>
      </c>
      <c r="AM317" s="33">
        <f>'Old Balance Sheet'!G317 + 'ACPL Calculations - 1.0'!G317 + 'ACPL Calculations - 2.0'!G317</f>
        <v>0</v>
      </c>
      <c r="AN317" s="30" t="s">
        <v>3820</v>
      </c>
      <c r="AO317" s="33">
        <v>290.0</v>
      </c>
      <c r="AP317" s="42" t="s">
        <v>3818</v>
      </c>
      <c r="AQ317" s="43">
        <v>100.0</v>
      </c>
      <c r="AR317" s="33">
        <f>'Old Balance Sheet'!H317 + 'ACPL Calculations - 1.0'!H317 + 'ACPL Calculations - 2.0'!H317</f>
        <v>0</v>
      </c>
      <c r="AS317" s="30" t="s">
        <v>3819</v>
      </c>
      <c r="AT317" s="33">
        <v>838.99</v>
      </c>
      <c r="AU317" s="42" t="s">
        <v>3818</v>
      </c>
      <c r="AV317" s="43">
        <v>100.0</v>
      </c>
      <c r="AW317" s="33">
        <f>'Old Balance Sheet'!I317 + 'ACPL Calculations - 1.0'!I317 + 'ACPL Calculations - 2.0'!I317</f>
        <v>0</v>
      </c>
      <c r="AX317" s="30" t="s">
        <v>3820</v>
      </c>
      <c r="AY317" s="31">
        <v>290.0</v>
      </c>
      <c r="AZ317" s="42" t="s">
        <v>3818</v>
      </c>
      <c r="BA317" s="43">
        <v>100.0</v>
      </c>
      <c r="BB317" s="33">
        <f>'Old Balance Sheet'!J317 + 'ACPL Calculations - 1.0'!J317 + 'ACPL Calculations - 2.0'!J317</f>
        <v>0</v>
      </c>
      <c r="BC317" s="30" t="s">
        <v>3820</v>
      </c>
      <c r="BD317" s="31">
        <v>205.0</v>
      </c>
      <c r="BE317" s="42" t="s">
        <v>3818</v>
      </c>
      <c r="BF317" s="43">
        <v>100.0</v>
      </c>
      <c r="BG317" s="33">
        <f>'Old Balance Sheet'!K317 + 'ACPL Calculations - 1.0'!K317 + 'ACPL Calculations - 2.0'!K317</f>
        <v>0</v>
      </c>
      <c r="BH317" s="30" t="s">
        <v>3820</v>
      </c>
      <c r="BI317" s="31">
        <v>205.0</v>
      </c>
      <c r="BJ317" s="42" t="s">
        <v>3818</v>
      </c>
      <c r="BK317" s="43">
        <v>100.0</v>
      </c>
      <c r="BL317" s="33">
        <f>'Old Balance Sheet'!L317 + 'ACPL Calculations - 1.0'!L317 + 'ACPL Calculations - 2.0'!L317</f>
        <v>0</v>
      </c>
      <c r="BM317" s="25"/>
      <c r="BN317" s="25"/>
      <c r="BO317" s="25"/>
      <c r="BP317" s="25"/>
      <c r="BQ317" s="25"/>
      <c r="BR317" s="25"/>
      <c r="BS317" s="25"/>
      <c r="BT317" s="25"/>
      <c r="BU317" s="25"/>
      <c r="BV317" s="25"/>
      <c r="BW317" s="25"/>
      <c r="BX317" s="25"/>
      <c r="BY317" s="25"/>
      <c r="BZ317" s="25"/>
      <c r="CA317" s="25"/>
      <c r="CB317" s="25"/>
      <c r="CC317" s="25"/>
      <c r="CD317" s="25"/>
      <c r="CE317" s="25"/>
      <c r="CF317" s="25"/>
      <c r="CG317" s="25"/>
      <c r="CH317" s="25"/>
      <c r="CI317" s="25"/>
      <c r="CJ317" s="25"/>
      <c r="CK317" s="25"/>
      <c r="CL317" s="33">
        <f t="shared" si="1"/>
        <v>655</v>
      </c>
      <c r="CM317" s="33">
        <f>'Old Balance Sheet'!R317 + 'ACPL Calculations - 1.0'!S317 + 'ACPL Calculations - 2.0'!S317</f>
        <v>289510</v>
      </c>
      <c r="CN317" s="33">
        <f>'Old Balance Sheet'!S317 + 'ACPL Calculations - 1.0'!T317 + 'ACPL Calculations - 2.0'!T317</f>
        <v>114625</v>
      </c>
      <c r="CO317" s="33">
        <f t="shared" si="2"/>
        <v>158785.1</v>
      </c>
      <c r="CP317" s="33">
        <f>'Old Balance Sheet'!T317 + 'ACPL Calculations - 1.0'!V317 + 'ACPL Calculations - 2.0'!V317</f>
        <v>0</v>
      </c>
      <c r="CQ317" s="33">
        <f>'Old Balance Sheet'!U317 + 'ACPL Calculations - 1.0'!W317 + 'ACPL Calculations - 2.0'!W317</f>
        <v>0</v>
      </c>
      <c r="CR317" s="33">
        <f>'Old Balance Sheet'!V317 + 'ACPL Calculations - 1.0'!X317 + 'ACPL Calculations - 2.0'!X317</f>
        <v>44160.1</v>
      </c>
      <c r="CS317" s="33">
        <f t="shared" si="3"/>
        <v>44160.1</v>
      </c>
      <c r="CT317" s="35"/>
      <c r="CU317" s="35"/>
      <c r="CV317" s="35"/>
      <c r="CW317" s="36">
        <f>'Old Balance Sheet'!W317 + 'ACPL Calculations - 1.0'!Z317 + 'ACPL Calculations - 2.0'!Z317</f>
        <v>289510</v>
      </c>
      <c r="CX317" s="36">
        <f>'Old Balance Sheet'!X317 + 'ACPL Calculations - 1.0'!AA317 + 'ACPL Calculations - 2.0'!AA317</f>
        <v>165322</v>
      </c>
      <c r="CY317" s="37">
        <v>0.0</v>
      </c>
      <c r="CZ317" s="38">
        <f>'Old Balance Sheet'!Y317 + 'ACPL Calculations - 1.0'!AB317 + 'ACPL Calculations - 2.0'!AB317</f>
        <v>274222.92</v>
      </c>
      <c r="DA317" s="38">
        <f>'Old Balance Sheet'!Z317 + 'ACPL Calculations - 1.0'!AC317 + 'ACPL Calculations - 2.0'!AC317</f>
        <v>136322.4</v>
      </c>
      <c r="DB317" s="38">
        <f>'Old Balance Sheet'!AA317 + 'ACPL Calculations - 1.0'!AD317 + 'ACPL Calculations - 2.0'!AD317</f>
        <v>13712.52</v>
      </c>
      <c r="DC317" s="38">
        <f>'Old Balance Sheet'!AB317 + 'ACPL Calculations - 1.0'!AE317 + 'ACPL Calculations - 2.0'!AE317</f>
        <v>124188</v>
      </c>
      <c r="DD317" s="38">
        <f t="shared" si="4"/>
        <v>124188</v>
      </c>
      <c r="DE317" s="33">
        <f t="shared" si="5"/>
        <v>124188</v>
      </c>
      <c r="DF317" s="35">
        <v>0.0</v>
      </c>
      <c r="DG317" s="35">
        <v>0.0</v>
      </c>
      <c r="DH317" s="35">
        <v>0.0</v>
      </c>
      <c r="DI317" s="35">
        <v>0.0</v>
      </c>
      <c r="DJ317" s="35">
        <v>0.0</v>
      </c>
      <c r="DK317" s="35">
        <v>0.0</v>
      </c>
      <c r="DL317" s="35">
        <v>0.0</v>
      </c>
      <c r="DM317" s="35">
        <v>0.0</v>
      </c>
      <c r="DN317" s="31">
        <v>0.0</v>
      </c>
      <c r="DO317" s="31">
        <v>0.0</v>
      </c>
      <c r="DP317" s="31">
        <v>0.0</v>
      </c>
      <c r="DQ317" s="31">
        <v>0.0</v>
      </c>
      <c r="DR317" s="31">
        <v>0.0</v>
      </c>
      <c r="DS317" s="31">
        <v>0.0</v>
      </c>
      <c r="DT317" s="31">
        <f>'Old Balance Sheet'!AC317</f>
        <v>0</v>
      </c>
      <c r="DU317" s="31">
        <f>DT317 + SUMIFS('Payments Log'!D:D, 'Payments Log'!B:B, A317, 'Payments Log'!L:L, "Approved", 'Payments Log'!M:M, "Credit") + 'Old Balance Sheet'!AD317 - 'Old Balance Sheet'!AC317</f>
        <v>320000</v>
      </c>
      <c r="DV317" s="31">
        <f>SUMIFS('Payments Log'!D:D, 'Payments Log'!B:B, A317, 'Payments Log'!L:L, "Approved", 'Payments Log'!M:M, "Adjustment Credit") - SUMIFS('Payments Log'!D:D, 'Payments Log'!B:B, A317, 'Payments Log'!L:L, "Approved", 'Payments Log'!M:M, "Adjustment Debit") + 'Old Balance Sheet'!AE317</f>
        <v>0</v>
      </c>
      <c r="DW317" s="31">
        <f>IF(MAXIFS('Payments Log'!N:N, 'Payments Log'!L:L, "Approved", 'Payments Log'!M:M, "Credit", 'Payments Log'!B:B, A317) &gt; MAXIFS('Payments Log'!N:N, 'Payments Log'!L:L, "Approved", 'Payments Log'!M:M, "Virtual Credit", 'Payments Log'!B:B, A317), 0, SUMIFS('Payments Log'!D:D, 'Payments Log'!N:N, MAXIFS('Payments Log'!N:N, 'Payments Log'!L:L, "Approved", 'Payments Log'!M:M, "Virtual Credit", 'Payments Log'!B:B, A317)))</f>
        <v>0</v>
      </c>
      <c r="DX317" s="33">
        <f t="shared" si="6"/>
        <v>30490</v>
      </c>
      <c r="DY317" s="33">
        <f t="shared" si="7"/>
        <v>154678</v>
      </c>
      <c r="DZ317" s="33">
        <f t="shared" si="8"/>
        <v>154678</v>
      </c>
      <c r="EA317" s="25" t="str">
        <f>(Sheet1!N317)</f>
        <v>SHIVANI MOTORS- ALLAHABAD</v>
      </c>
      <c r="EB317" s="25" t="str">
        <f>(Sheet1!O317)</f>
        <v>1HzstXOBJIBMFHwYm7RpvmCIhHH60rtXQ81VHl3OF7OM</v>
      </c>
      <c r="EC317" s="26" t="str">
        <f>(Sheet1!P317)</f>
        <v>Dealer</v>
      </c>
      <c r="ED317" s="34" t="s">
        <v>13</v>
      </c>
    </row>
    <row r="318">
      <c r="A318" s="25" t="str">
        <f>(Sheet1!A318)</f>
        <v>1YAU91TFMaYFp0IiAMJOnSMw_yeIgNk_GdChvblrhYL8</v>
      </c>
      <c r="B318" s="25" t="str">
        <f>(Sheet1!B318)</f>
        <v>A.R.C.C- HERO(SMA)</v>
      </c>
      <c r="C318" s="30" t="s">
        <v>3821</v>
      </c>
      <c r="D318" s="30" t="s">
        <v>72</v>
      </c>
      <c r="E318" s="30" t="s">
        <v>3817</v>
      </c>
      <c r="F318" s="31">
        <v>175.0</v>
      </c>
      <c r="G318" s="32" t="s">
        <v>3818</v>
      </c>
      <c r="H318" s="31">
        <v>100.0</v>
      </c>
      <c r="I318" s="33">
        <f>'Old Balance Sheet'!A318 + 'ACPL Calculations - 1.0'!A318 + 'ACPL Calculations - 2.0'!A318</f>
        <v>719</v>
      </c>
      <c r="J318" s="30" t="s">
        <v>3817</v>
      </c>
      <c r="K318" s="31">
        <v>205.0</v>
      </c>
      <c r="L318" s="32" t="s">
        <v>3818</v>
      </c>
      <c r="M318" s="31">
        <v>100.0</v>
      </c>
      <c r="N318" s="33">
        <f>'Old Balance Sheet'!B318 + 'ACPL Calculations - 1.0'!B318 + 'ACPL Calculations - 2.0'!B318</f>
        <v>0</v>
      </c>
      <c r="O318" s="30" t="s">
        <v>3817</v>
      </c>
      <c r="P318" s="31">
        <v>185.0</v>
      </c>
      <c r="Q318" s="32" t="s">
        <v>3818</v>
      </c>
      <c r="R318" s="31">
        <v>100.0</v>
      </c>
      <c r="S318" s="33">
        <f>'Old Balance Sheet'!C318 + 'ACPL Calculations - 1.0'!C318 + 'ACPL Calculations - 2.0'!C318</f>
        <v>0</v>
      </c>
      <c r="T318" s="30" t="s">
        <v>3817</v>
      </c>
      <c r="U318" s="31">
        <v>375.0</v>
      </c>
      <c r="V318" s="32" t="s">
        <v>3818</v>
      </c>
      <c r="W318" s="31">
        <v>100.0</v>
      </c>
      <c r="X318" s="33">
        <f>'Old Balance Sheet'!D318 + 'ACPL Calculations - 1.0'!D318 + 'ACPL Calculations - 2.0'!D318</f>
        <v>0</v>
      </c>
      <c r="Y318" s="30" t="s">
        <v>3817</v>
      </c>
      <c r="Z318" s="31">
        <v>460.0</v>
      </c>
      <c r="AA318" s="32" t="s">
        <v>3818</v>
      </c>
      <c r="AB318" s="31">
        <v>100.0</v>
      </c>
      <c r="AC318" s="33">
        <f>'Old Balance Sheet'!E318 + 'ACPL Calculations - 1.0'!E318 + 'ACPL Calculations - 2.0'!E318</f>
        <v>0</v>
      </c>
      <c r="AD318" s="30" t="s">
        <v>3817</v>
      </c>
      <c r="AE318" s="34">
        <v>838.99</v>
      </c>
      <c r="AF318" s="32" t="s">
        <v>3818</v>
      </c>
      <c r="AG318" s="31">
        <v>100.0</v>
      </c>
      <c r="AH318" s="33">
        <f>'Old Balance Sheet'!F318 + 'ACPL Calculations - 1.0'!F318 + 'ACPL Calculations - 2.0'!F318</f>
        <v>0</v>
      </c>
      <c r="AI318" s="30" t="s">
        <v>3817</v>
      </c>
      <c r="AJ318" s="31">
        <v>375.0</v>
      </c>
      <c r="AK318" s="32" t="s">
        <v>3818</v>
      </c>
      <c r="AL318" s="31">
        <v>100.0</v>
      </c>
      <c r="AM318" s="33">
        <f>'Old Balance Sheet'!G318 + 'ACPL Calculations - 1.0'!G318 + 'ACPL Calculations - 2.0'!G318</f>
        <v>0</v>
      </c>
      <c r="AN318" s="30" t="s">
        <v>3817</v>
      </c>
      <c r="AO318" s="31">
        <v>290.0</v>
      </c>
      <c r="AP318" s="32" t="s">
        <v>3818</v>
      </c>
      <c r="AQ318" s="31">
        <v>100.0</v>
      </c>
      <c r="AR318" s="33">
        <f>'Old Balance Sheet'!H318 + 'ACPL Calculations - 1.0'!H318 + 'ACPL Calculations - 2.0'!H318</f>
        <v>0</v>
      </c>
      <c r="AS318" s="30" t="s">
        <v>3819</v>
      </c>
      <c r="AT318" s="31">
        <v>838.99</v>
      </c>
      <c r="AU318" s="32" t="s">
        <v>3818</v>
      </c>
      <c r="AV318" s="31">
        <v>100.0</v>
      </c>
      <c r="AW318" s="33">
        <f>'Old Balance Sheet'!I318 + 'ACPL Calculations - 1.0'!I318 + 'ACPL Calculations - 2.0'!I318</f>
        <v>0</v>
      </c>
      <c r="AX318" s="30" t="s">
        <v>3817</v>
      </c>
      <c r="AY318" s="31">
        <v>290.0</v>
      </c>
      <c r="AZ318" s="32" t="s">
        <v>3818</v>
      </c>
      <c r="BA318" s="31">
        <v>100.0</v>
      </c>
      <c r="BB318" s="33">
        <f>'Old Balance Sheet'!J318 + 'ACPL Calculations - 1.0'!J318 + 'ACPL Calculations - 2.0'!J318</f>
        <v>0</v>
      </c>
      <c r="BC318" s="30" t="s">
        <v>3817</v>
      </c>
      <c r="BD318" s="31">
        <v>205.0</v>
      </c>
      <c r="BE318" s="32" t="s">
        <v>3818</v>
      </c>
      <c r="BF318" s="31">
        <v>100.0</v>
      </c>
      <c r="BG318" s="33">
        <f>'Old Balance Sheet'!K318 + 'ACPL Calculations - 1.0'!K318 + 'ACPL Calculations - 2.0'!K318</f>
        <v>0</v>
      </c>
      <c r="BH318" s="30" t="s">
        <v>3817</v>
      </c>
      <c r="BI318" s="31">
        <v>205.0</v>
      </c>
      <c r="BJ318" s="32" t="s">
        <v>3818</v>
      </c>
      <c r="BK318" s="31">
        <v>100.0</v>
      </c>
      <c r="BL318" s="33">
        <f>'Old Balance Sheet'!L318 + 'ACPL Calculations - 1.0'!L318 + 'ACPL Calculations - 2.0'!L318</f>
        <v>0</v>
      </c>
      <c r="BM318" s="33"/>
      <c r="BN318" s="33"/>
      <c r="BO318" s="33"/>
      <c r="BP318" s="33"/>
      <c r="BQ318" s="33"/>
      <c r="BR318" s="33"/>
      <c r="BS318" s="33"/>
      <c r="BT318" s="33"/>
      <c r="BU318" s="33"/>
      <c r="BV318" s="33"/>
      <c r="BW318" s="33"/>
      <c r="BX318" s="33"/>
      <c r="BY318" s="33"/>
      <c r="BZ318" s="33"/>
      <c r="CA318" s="33"/>
      <c r="CB318" s="33"/>
      <c r="CC318" s="33"/>
      <c r="CD318" s="33"/>
      <c r="CE318" s="33"/>
      <c r="CF318" s="33"/>
      <c r="CG318" s="33"/>
      <c r="CH318" s="33"/>
      <c r="CI318" s="33"/>
      <c r="CJ318" s="33"/>
      <c r="CK318" s="33"/>
      <c r="CL318" s="33">
        <f t="shared" si="1"/>
        <v>719</v>
      </c>
      <c r="CM318" s="33">
        <f>'Old Balance Sheet'!R318 + 'ACPL Calculations - 1.0'!S318 + 'ACPL Calculations - 2.0'!S318</f>
        <v>317798</v>
      </c>
      <c r="CN318" s="33">
        <f>'Old Balance Sheet'!S318 + 'ACPL Calculations - 1.0'!T318 + 'ACPL Calculations - 2.0'!T318</f>
        <v>125825</v>
      </c>
      <c r="CO318" s="33">
        <f t="shared" si="2"/>
        <v>174299.98</v>
      </c>
      <c r="CP318" s="33">
        <f>'Old Balance Sheet'!T318 + 'ACPL Calculations - 1.0'!V318 + 'ACPL Calculations - 2.0'!V318</f>
        <v>33.71</v>
      </c>
      <c r="CQ318" s="33">
        <f>'Old Balance Sheet'!U318 + 'ACPL Calculations - 1.0'!W318 + 'ACPL Calculations - 2.0'!W318</f>
        <v>33.71</v>
      </c>
      <c r="CR318" s="33">
        <f>'Old Balance Sheet'!V318 + 'ACPL Calculations - 1.0'!X318 + 'ACPL Calculations - 2.0'!X318</f>
        <v>48407.56</v>
      </c>
      <c r="CS318" s="33">
        <f t="shared" si="3"/>
        <v>48474.98</v>
      </c>
      <c r="CT318" s="35"/>
      <c r="CU318" s="35"/>
      <c r="CV318" s="35"/>
      <c r="CW318" s="36">
        <f>'Old Balance Sheet'!W318 + 'ACPL Calculations - 1.0'!Z318 + 'ACPL Calculations - 2.0'!Z318</f>
        <v>181475.6</v>
      </c>
      <c r="CX318" s="36">
        <f>'Old Balance Sheet'!X318 + 'ACPL Calculations - 1.0'!AA318 + 'ACPL Calculations - 2.0'!AA318</f>
        <v>181475.6</v>
      </c>
      <c r="CY318" s="37">
        <v>0.0</v>
      </c>
      <c r="CZ318" s="38">
        <f>'Old Balance Sheet'!Y318 + 'ACPL Calculations - 1.0'!AB318 + 'ACPL Calculations - 2.0'!AB318</f>
        <v>0</v>
      </c>
      <c r="DA318" s="38">
        <f>'Old Balance Sheet'!Z318 + 'ACPL Calculations - 1.0'!AC318 + 'ACPL Calculations - 2.0'!AC318</f>
        <v>0</v>
      </c>
      <c r="DB318" s="38">
        <f>'Old Balance Sheet'!AA318 + 'ACPL Calculations - 1.0'!AD318 + 'ACPL Calculations - 2.0'!AD318</f>
        <v>0</v>
      </c>
      <c r="DC318" s="38">
        <f>'Old Balance Sheet'!AB318 + 'ACPL Calculations - 1.0'!AE318 + 'ACPL Calculations - 2.0'!AE318</f>
        <v>0</v>
      </c>
      <c r="DD318" s="38">
        <f t="shared" si="4"/>
        <v>0</v>
      </c>
      <c r="DE318" s="33">
        <f t="shared" si="5"/>
        <v>0</v>
      </c>
      <c r="DF318" s="35">
        <v>0.0</v>
      </c>
      <c r="DG318" s="35">
        <v>0.0</v>
      </c>
      <c r="DH318" s="35">
        <v>0.0</v>
      </c>
      <c r="DI318" s="35">
        <v>0.0</v>
      </c>
      <c r="DJ318" s="35">
        <v>0.0</v>
      </c>
      <c r="DK318" s="35">
        <v>0.0</v>
      </c>
      <c r="DL318" s="35">
        <v>0.0</v>
      </c>
      <c r="DM318" s="35">
        <v>0.0</v>
      </c>
      <c r="DN318" s="31">
        <v>0.0</v>
      </c>
      <c r="DO318" s="31">
        <v>0.0</v>
      </c>
      <c r="DP318" s="31">
        <v>0.0</v>
      </c>
      <c r="DQ318" s="31">
        <v>0.0</v>
      </c>
      <c r="DR318" s="31">
        <v>0.0</v>
      </c>
      <c r="DS318" s="31">
        <v>0.0</v>
      </c>
      <c r="DT318" s="31">
        <f>'Old Balance Sheet'!AC318</f>
        <v>0</v>
      </c>
      <c r="DU318" s="31">
        <f>DT318 + SUMIFS('Payments Log'!D:D, 'Payments Log'!B:B, A318, 'Payments Log'!L:L, "Approved", 'Payments Log'!M:M, "Credit") + 'Old Balance Sheet'!AD318 - 'Old Balance Sheet'!AC318</f>
        <v>187000</v>
      </c>
      <c r="DV318" s="31">
        <f>SUMIFS('Payments Log'!D:D, 'Payments Log'!B:B, A318, 'Payments Log'!L:L, "Approved", 'Payments Log'!M:M, "Adjustment Credit") - SUMIFS('Payments Log'!D:D, 'Payments Log'!B:B, A318, 'Payments Log'!L:L, "Approved", 'Payments Log'!M:M, "Adjustment Debit") + 'Old Balance Sheet'!AE318</f>
        <v>0</v>
      </c>
      <c r="DW318" s="31">
        <f>IF(MAXIFS('Payments Log'!N:N, 'Payments Log'!L:L, "Approved", 'Payments Log'!M:M, "Credit", 'Payments Log'!B:B, A318) &gt; MAXIFS('Payments Log'!N:N, 'Payments Log'!L:L, "Approved", 'Payments Log'!M:M, "Virtual Credit", 'Payments Log'!B:B, A318), 0, SUMIFS('Payments Log'!D:D, 'Payments Log'!N:N, MAXIFS('Payments Log'!N:N, 'Payments Log'!L:L, "Approved", 'Payments Log'!M:M, "Virtual Credit", 'Payments Log'!B:B, A318)))</f>
        <v>0</v>
      </c>
      <c r="DX318" s="33">
        <f t="shared" si="6"/>
        <v>5524.4</v>
      </c>
      <c r="DY318" s="33">
        <f t="shared" si="7"/>
        <v>5524.4</v>
      </c>
      <c r="DZ318" s="33">
        <f t="shared" si="8"/>
        <v>5524.4</v>
      </c>
      <c r="EA318" s="25" t="str">
        <f>(Sheet1!N318)</f>
        <v>SHIVANI MOTORS- ALLAHABAD</v>
      </c>
      <c r="EB318" s="25" t="str">
        <f>(Sheet1!O318)</f>
        <v>1HzstXOBJIBMFHwYm7RpvmCIhHH60rtXQ81VHl3OF7OM</v>
      </c>
      <c r="EC318" s="26" t="str">
        <f>(Sheet1!P318)</f>
        <v>Sub Dealer</v>
      </c>
      <c r="ED318" s="34" t="s">
        <v>3821</v>
      </c>
    </row>
    <row r="319">
      <c r="A319" s="25" t="str">
        <f>(Sheet1!A319)</f>
        <v>1Sp6RBtw1AwI4BO_kbbFsvxWE7hmnjkkWSF-2QuN4NUM</v>
      </c>
      <c r="B319" s="25" t="str">
        <f>(Sheet1!B319)</f>
        <v>AMBER MOTORS--HERO-(SMA)</v>
      </c>
      <c r="C319" s="30" t="s">
        <v>3821</v>
      </c>
      <c r="D319" s="30" t="s">
        <v>72</v>
      </c>
      <c r="E319" s="30" t="s">
        <v>3817</v>
      </c>
      <c r="F319" s="31">
        <v>175.0</v>
      </c>
      <c r="G319" s="32" t="s">
        <v>3818</v>
      </c>
      <c r="H319" s="31">
        <v>100.0</v>
      </c>
      <c r="I319" s="33">
        <f>'Old Balance Sheet'!A319 + 'ACPL Calculations - 1.0'!A319 + 'ACPL Calculations - 2.0'!A319</f>
        <v>0</v>
      </c>
      <c r="J319" s="30" t="s">
        <v>3817</v>
      </c>
      <c r="K319" s="31">
        <v>205.0</v>
      </c>
      <c r="L319" s="32" t="s">
        <v>3818</v>
      </c>
      <c r="M319" s="31">
        <v>100.0</v>
      </c>
      <c r="N319" s="33">
        <f>'Old Balance Sheet'!B319 + 'ACPL Calculations - 1.0'!B319 + 'ACPL Calculations - 2.0'!B319</f>
        <v>0</v>
      </c>
      <c r="O319" s="30" t="s">
        <v>3817</v>
      </c>
      <c r="P319" s="31">
        <v>185.0</v>
      </c>
      <c r="Q319" s="32" t="s">
        <v>3818</v>
      </c>
      <c r="R319" s="31">
        <v>100.0</v>
      </c>
      <c r="S319" s="33">
        <f>'Old Balance Sheet'!C319 + 'ACPL Calculations - 1.0'!C319 + 'ACPL Calculations - 2.0'!C319</f>
        <v>0</v>
      </c>
      <c r="T319" s="30" t="s">
        <v>3817</v>
      </c>
      <c r="U319" s="31">
        <v>375.0</v>
      </c>
      <c r="V319" s="32" t="s">
        <v>3818</v>
      </c>
      <c r="W319" s="31">
        <v>100.0</v>
      </c>
      <c r="X319" s="33">
        <f>'Old Balance Sheet'!D319 + 'ACPL Calculations - 1.0'!D319 + 'ACPL Calculations - 2.0'!D319</f>
        <v>0</v>
      </c>
      <c r="Y319" s="30" t="s">
        <v>3817</v>
      </c>
      <c r="Z319" s="31">
        <v>460.0</v>
      </c>
      <c r="AA319" s="32" t="s">
        <v>3818</v>
      </c>
      <c r="AB319" s="31">
        <v>100.0</v>
      </c>
      <c r="AC319" s="33">
        <f>'Old Balance Sheet'!E319 + 'ACPL Calculations - 1.0'!E319 + 'ACPL Calculations - 2.0'!E319</f>
        <v>0</v>
      </c>
      <c r="AD319" s="30" t="s">
        <v>3817</v>
      </c>
      <c r="AE319" s="34">
        <v>838.99</v>
      </c>
      <c r="AF319" s="32" t="s">
        <v>3818</v>
      </c>
      <c r="AG319" s="31">
        <v>100.0</v>
      </c>
      <c r="AH319" s="33">
        <f>'Old Balance Sheet'!F319 + 'ACPL Calculations - 1.0'!F319 + 'ACPL Calculations - 2.0'!F319</f>
        <v>0</v>
      </c>
      <c r="AI319" s="30" t="s">
        <v>3817</v>
      </c>
      <c r="AJ319" s="31">
        <v>375.0</v>
      </c>
      <c r="AK319" s="32" t="s">
        <v>3818</v>
      </c>
      <c r="AL319" s="31">
        <v>100.0</v>
      </c>
      <c r="AM319" s="33">
        <f>'Old Balance Sheet'!G319 + 'ACPL Calculations - 1.0'!G319 + 'ACPL Calculations - 2.0'!G319</f>
        <v>0</v>
      </c>
      <c r="AN319" s="30" t="s">
        <v>3817</v>
      </c>
      <c r="AO319" s="31">
        <v>290.0</v>
      </c>
      <c r="AP319" s="32" t="s">
        <v>3818</v>
      </c>
      <c r="AQ319" s="31">
        <v>100.0</v>
      </c>
      <c r="AR319" s="33">
        <f>'Old Balance Sheet'!H319 + 'ACPL Calculations - 1.0'!H319 + 'ACPL Calculations - 2.0'!H319</f>
        <v>0</v>
      </c>
      <c r="AS319" s="30" t="s">
        <v>3819</v>
      </c>
      <c r="AT319" s="31">
        <v>838.99</v>
      </c>
      <c r="AU319" s="32" t="s">
        <v>3818</v>
      </c>
      <c r="AV319" s="31">
        <v>100.0</v>
      </c>
      <c r="AW319" s="33">
        <f>'Old Balance Sheet'!I319 + 'ACPL Calculations - 1.0'!I319 + 'ACPL Calculations - 2.0'!I319</f>
        <v>0</v>
      </c>
      <c r="AX319" s="30" t="s">
        <v>3817</v>
      </c>
      <c r="AY319" s="31">
        <v>290.0</v>
      </c>
      <c r="AZ319" s="32" t="s">
        <v>3818</v>
      </c>
      <c r="BA319" s="31">
        <v>100.0</v>
      </c>
      <c r="BB319" s="33">
        <f>'Old Balance Sheet'!J319 + 'ACPL Calculations - 1.0'!J319 + 'ACPL Calculations - 2.0'!J319</f>
        <v>0</v>
      </c>
      <c r="BC319" s="30" t="s">
        <v>3817</v>
      </c>
      <c r="BD319" s="31">
        <v>205.0</v>
      </c>
      <c r="BE319" s="32" t="s">
        <v>3818</v>
      </c>
      <c r="BF319" s="31">
        <v>100.0</v>
      </c>
      <c r="BG319" s="33">
        <f>'Old Balance Sheet'!K319 + 'ACPL Calculations - 1.0'!K319 + 'ACPL Calculations - 2.0'!K319</f>
        <v>0</v>
      </c>
      <c r="BH319" s="30" t="s">
        <v>3817</v>
      </c>
      <c r="BI319" s="31">
        <v>205.0</v>
      </c>
      <c r="BJ319" s="32" t="s">
        <v>3818</v>
      </c>
      <c r="BK319" s="31">
        <v>100.0</v>
      </c>
      <c r="BL319" s="33">
        <f>'Old Balance Sheet'!L319 + 'ACPL Calculations - 1.0'!L319 + 'ACPL Calculations - 2.0'!L319</f>
        <v>0</v>
      </c>
      <c r="BM319" s="33"/>
      <c r="BN319" s="33"/>
      <c r="BO319" s="33"/>
      <c r="BP319" s="33"/>
      <c r="BQ319" s="33"/>
      <c r="BR319" s="33"/>
      <c r="BS319" s="33"/>
      <c r="BT319" s="33"/>
      <c r="BU319" s="33"/>
      <c r="BV319" s="33"/>
      <c r="BW319" s="33"/>
      <c r="BX319" s="33"/>
      <c r="BY319" s="33"/>
      <c r="BZ319" s="33"/>
      <c r="CA319" s="33"/>
      <c r="CB319" s="33"/>
      <c r="CC319" s="33"/>
      <c r="CD319" s="33"/>
      <c r="CE319" s="33"/>
      <c r="CF319" s="33"/>
      <c r="CG319" s="33"/>
      <c r="CH319" s="33"/>
      <c r="CI319" s="33"/>
      <c r="CJ319" s="33"/>
      <c r="CK319" s="33"/>
      <c r="CL319" s="33">
        <f t="shared" si="1"/>
        <v>0</v>
      </c>
      <c r="CM319" s="33">
        <f>'Old Balance Sheet'!R319 + 'ACPL Calculations - 1.0'!S319 + 'ACPL Calculations - 2.0'!S319</f>
        <v>0</v>
      </c>
      <c r="CN319" s="33">
        <f>'Old Balance Sheet'!S319 + 'ACPL Calculations - 1.0'!T319 + 'ACPL Calculations - 2.0'!T319</f>
        <v>0</v>
      </c>
      <c r="CO319" s="33">
        <f t="shared" si="2"/>
        <v>0</v>
      </c>
      <c r="CP319" s="33">
        <f>'Old Balance Sheet'!T319 + 'ACPL Calculations - 1.0'!V319 + 'ACPL Calculations - 2.0'!V319</f>
        <v>0</v>
      </c>
      <c r="CQ319" s="33">
        <f>'Old Balance Sheet'!U319 + 'ACPL Calculations - 1.0'!W319 + 'ACPL Calculations - 2.0'!W319</f>
        <v>0</v>
      </c>
      <c r="CR319" s="33">
        <f>'Old Balance Sheet'!V319 + 'ACPL Calculations - 1.0'!X319 + 'ACPL Calculations - 2.0'!X319</f>
        <v>0</v>
      </c>
      <c r="CS319" s="33">
        <f t="shared" si="3"/>
        <v>0</v>
      </c>
      <c r="CT319" s="35"/>
      <c r="CU319" s="35"/>
      <c r="CV319" s="35"/>
      <c r="CW319" s="36">
        <f>'Old Balance Sheet'!W319 + 'ACPL Calculations - 1.0'!Z319 + 'ACPL Calculations - 2.0'!Z319</f>
        <v>0</v>
      </c>
      <c r="CX319" s="36">
        <f>'Old Balance Sheet'!X319 + 'ACPL Calculations - 1.0'!AA319 + 'ACPL Calculations - 2.0'!AA319</f>
        <v>0</v>
      </c>
      <c r="CY319" s="37">
        <v>0.0</v>
      </c>
      <c r="CZ319" s="38">
        <f>'Old Balance Sheet'!Y319 + 'ACPL Calculations - 1.0'!AB319 + 'ACPL Calculations - 2.0'!AB319</f>
        <v>0</v>
      </c>
      <c r="DA319" s="38">
        <f>'Old Balance Sheet'!Z319 + 'ACPL Calculations - 1.0'!AC319 + 'ACPL Calculations - 2.0'!AC319</f>
        <v>0</v>
      </c>
      <c r="DB319" s="38">
        <f>'Old Balance Sheet'!AA319 + 'ACPL Calculations - 1.0'!AD319 + 'ACPL Calculations - 2.0'!AD319</f>
        <v>0</v>
      </c>
      <c r="DC319" s="38">
        <f>'Old Balance Sheet'!AB319 + 'ACPL Calculations - 1.0'!AE319 + 'ACPL Calculations - 2.0'!AE319</f>
        <v>0</v>
      </c>
      <c r="DD319" s="38">
        <f t="shared" si="4"/>
        <v>0</v>
      </c>
      <c r="DE319" s="33">
        <f t="shared" si="5"/>
        <v>0</v>
      </c>
      <c r="DF319" s="35">
        <v>0.0</v>
      </c>
      <c r="DG319" s="35">
        <v>0.0</v>
      </c>
      <c r="DH319" s="35">
        <v>0.0</v>
      </c>
      <c r="DI319" s="35">
        <v>0.0</v>
      </c>
      <c r="DJ319" s="35">
        <v>0.0</v>
      </c>
      <c r="DK319" s="35">
        <v>0.0</v>
      </c>
      <c r="DL319" s="35">
        <v>0.0</v>
      </c>
      <c r="DM319" s="35">
        <v>0.0</v>
      </c>
      <c r="DN319" s="31">
        <v>0.0</v>
      </c>
      <c r="DO319" s="31">
        <v>0.0</v>
      </c>
      <c r="DP319" s="31">
        <v>0.0</v>
      </c>
      <c r="DQ319" s="31">
        <v>0.0</v>
      </c>
      <c r="DR319" s="31">
        <v>0.0</v>
      </c>
      <c r="DS319" s="31">
        <v>0.0</v>
      </c>
      <c r="DT319" s="31">
        <f>'Old Balance Sheet'!AC319</f>
        <v>0</v>
      </c>
      <c r="DU319" s="31">
        <f>DT319 + SUMIFS('Payments Log'!D:D, 'Payments Log'!B:B, A319, 'Payments Log'!L:L, "Approved", 'Payments Log'!M:M, "Credit") + 'Old Balance Sheet'!AD319 - 'Old Balance Sheet'!AC319</f>
        <v>0</v>
      </c>
      <c r="DV319" s="31">
        <f>SUMIFS('Payments Log'!D:D, 'Payments Log'!B:B, A319, 'Payments Log'!L:L, "Approved", 'Payments Log'!M:M, "Adjustment Credit") - SUMIFS('Payments Log'!D:D, 'Payments Log'!B:B, A319, 'Payments Log'!L:L, "Approved", 'Payments Log'!M:M, "Adjustment Debit") + 'Old Balance Sheet'!AE319</f>
        <v>0</v>
      </c>
      <c r="DW319" s="31">
        <f>IF(MAXIFS('Payments Log'!N:N, 'Payments Log'!L:L, "Approved", 'Payments Log'!M:M, "Credit", 'Payments Log'!B:B, A319) &gt; MAXIFS('Payments Log'!N:N, 'Payments Log'!L:L, "Approved", 'Payments Log'!M:M, "Virtual Credit", 'Payments Log'!B:B, A319), 0, SUMIFS('Payments Log'!D:D, 'Payments Log'!N:N, MAXIFS('Payments Log'!N:N, 'Payments Log'!L:L, "Approved", 'Payments Log'!M:M, "Virtual Credit", 'Payments Log'!B:B, A319)))</f>
        <v>0</v>
      </c>
      <c r="DX319" s="33">
        <f t="shared" si="6"/>
        <v>0</v>
      </c>
      <c r="DY319" s="33">
        <f t="shared" si="7"/>
        <v>0</v>
      </c>
      <c r="DZ319" s="33">
        <f t="shared" si="8"/>
        <v>0</v>
      </c>
      <c r="EA319" s="25" t="str">
        <f>(Sheet1!N319)</f>
        <v>SHIVANI MOTORS- ALLAHABAD</v>
      </c>
      <c r="EB319" s="25" t="str">
        <f>(Sheet1!O319)</f>
        <v>1HzstXOBJIBMFHwYm7RpvmCIhHH60rtXQ81VHl3OF7OM</v>
      </c>
      <c r="EC319" s="26" t="str">
        <f>(Sheet1!P319)</f>
        <v>Sub Dealer</v>
      </c>
      <c r="ED319" s="34" t="s">
        <v>3821</v>
      </c>
    </row>
    <row r="320">
      <c r="A320" s="25" t="str">
        <f>(Sheet1!A320)</f>
        <v>12q3xzc4QnJvovb5WwDYonjwLc2kiwxvpEYShhfp6tf4</v>
      </c>
      <c r="B320" s="25" t="str">
        <f>(Sheet1!B320)</f>
        <v>Metro Motors- Narela(MMR)</v>
      </c>
      <c r="C320" s="30" t="s">
        <v>13</v>
      </c>
      <c r="D320" s="30" t="s">
        <v>72</v>
      </c>
      <c r="E320" s="30" t="s">
        <v>3820</v>
      </c>
      <c r="F320" s="31">
        <v>205.0</v>
      </c>
      <c r="G320" s="32" t="s">
        <v>3818</v>
      </c>
      <c r="H320" s="31">
        <v>100.0</v>
      </c>
      <c r="I320" s="33">
        <f>'Old Balance Sheet'!A320 + 'ACPL Calculations - 1.0'!A320 + 'ACPL Calculations - 2.0'!A320</f>
        <v>0</v>
      </c>
      <c r="J320" s="30" t="s">
        <v>3820</v>
      </c>
      <c r="K320" s="31">
        <v>205.0</v>
      </c>
      <c r="L320" s="32" t="s">
        <v>3818</v>
      </c>
      <c r="M320" s="31">
        <v>100.0</v>
      </c>
      <c r="N320" s="33">
        <f>'Old Balance Sheet'!B320 + 'ACPL Calculations - 1.0'!B320 + 'ACPL Calculations - 2.0'!B320</f>
        <v>0</v>
      </c>
      <c r="O320" s="30" t="s">
        <v>3820</v>
      </c>
      <c r="P320" s="31">
        <v>290.0</v>
      </c>
      <c r="Q320" s="32" t="s">
        <v>3818</v>
      </c>
      <c r="R320" s="31">
        <v>100.0</v>
      </c>
      <c r="S320" s="33">
        <f>'Old Balance Sheet'!C320 + 'ACPL Calculations - 1.0'!C320 + 'ACPL Calculations - 2.0'!C320</f>
        <v>0</v>
      </c>
      <c r="T320" s="30" t="s">
        <v>3820</v>
      </c>
      <c r="U320" s="31">
        <v>375.0</v>
      </c>
      <c r="V320" s="32" t="s">
        <v>3818</v>
      </c>
      <c r="W320" s="31">
        <v>100.0</v>
      </c>
      <c r="X320" s="33">
        <f>'Old Balance Sheet'!D320 + 'ACPL Calculations - 1.0'!D320 + 'ACPL Calculations - 2.0'!D320</f>
        <v>0</v>
      </c>
      <c r="Y320" s="30" t="s">
        <v>3820</v>
      </c>
      <c r="Z320" s="31">
        <v>400.0</v>
      </c>
      <c r="AA320" s="32" t="s">
        <v>3818</v>
      </c>
      <c r="AB320" s="31">
        <v>100.0</v>
      </c>
      <c r="AC320" s="33">
        <f>'Old Balance Sheet'!E320 + 'ACPL Calculations - 1.0'!E320 + 'ACPL Calculations - 2.0'!E320</f>
        <v>0</v>
      </c>
      <c r="AD320" s="30" t="s">
        <v>3820</v>
      </c>
      <c r="AE320" s="34">
        <v>838.99</v>
      </c>
      <c r="AF320" s="32" t="s">
        <v>3818</v>
      </c>
      <c r="AG320" s="31">
        <v>100.0</v>
      </c>
      <c r="AH320" s="33">
        <f>'Old Balance Sheet'!F320 + 'ACPL Calculations - 1.0'!F320 + 'ACPL Calculations - 2.0'!F320</f>
        <v>0</v>
      </c>
      <c r="AI320" s="30" t="s">
        <v>3820</v>
      </c>
      <c r="AJ320" s="31">
        <v>375.0</v>
      </c>
      <c r="AK320" s="32" t="s">
        <v>3818</v>
      </c>
      <c r="AL320" s="31">
        <v>100.0</v>
      </c>
      <c r="AM320" s="33">
        <f>'Old Balance Sheet'!G320 + 'ACPL Calculations - 1.0'!G320 + 'ACPL Calculations - 2.0'!G320</f>
        <v>0</v>
      </c>
      <c r="AN320" s="30" t="s">
        <v>3820</v>
      </c>
      <c r="AO320" s="31">
        <v>290.0</v>
      </c>
      <c r="AP320" s="32" t="s">
        <v>3818</v>
      </c>
      <c r="AQ320" s="31">
        <v>100.0</v>
      </c>
      <c r="AR320" s="33">
        <f>'Old Balance Sheet'!H320 + 'ACPL Calculations - 1.0'!H320 + 'ACPL Calculations - 2.0'!H320</f>
        <v>0</v>
      </c>
      <c r="AS320" s="30" t="s">
        <v>3819</v>
      </c>
      <c r="AT320" s="31">
        <v>838.99</v>
      </c>
      <c r="AU320" s="32" t="s">
        <v>3818</v>
      </c>
      <c r="AV320" s="31">
        <v>100.0</v>
      </c>
      <c r="AW320" s="33">
        <f>'Old Balance Sheet'!I320 + 'ACPL Calculations - 1.0'!I320 + 'ACPL Calculations - 2.0'!I320</f>
        <v>0</v>
      </c>
      <c r="AX320" s="30" t="s">
        <v>3820</v>
      </c>
      <c r="AY320" s="31">
        <v>290.0</v>
      </c>
      <c r="AZ320" s="32" t="s">
        <v>3818</v>
      </c>
      <c r="BA320" s="31">
        <v>100.0</v>
      </c>
      <c r="BB320" s="33">
        <f>'Old Balance Sheet'!J320 + 'ACPL Calculations - 1.0'!J320 + 'ACPL Calculations - 2.0'!J320</f>
        <v>0</v>
      </c>
      <c r="BC320" s="30" t="s">
        <v>3820</v>
      </c>
      <c r="BD320" s="31">
        <v>205.0</v>
      </c>
      <c r="BE320" s="32" t="s">
        <v>3818</v>
      </c>
      <c r="BF320" s="31">
        <v>100.0</v>
      </c>
      <c r="BG320" s="33">
        <f>'Old Balance Sheet'!K320 + 'ACPL Calculations - 1.0'!K320 + 'ACPL Calculations - 2.0'!K320</f>
        <v>0</v>
      </c>
      <c r="BH320" s="30" t="s">
        <v>3820</v>
      </c>
      <c r="BI320" s="31">
        <v>205.0</v>
      </c>
      <c r="BJ320" s="32" t="s">
        <v>3818</v>
      </c>
      <c r="BK320" s="31">
        <v>100.0</v>
      </c>
      <c r="BL320" s="33">
        <f>'Old Balance Sheet'!L320 + 'ACPL Calculations - 1.0'!L320 + 'ACPL Calculations - 2.0'!L320</f>
        <v>0</v>
      </c>
      <c r="BM320" s="33"/>
      <c r="BN320" s="33"/>
      <c r="BO320" s="33"/>
      <c r="BP320" s="33"/>
      <c r="BQ320" s="33"/>
      <c r="BR320" s="33"/>
      <c r="BS320" s="33"/>
      <c r="BT320" s="33"/>
      <c r="BU320" s="33"/>
      <c r="BV320" s="33"/>
      <c r="BW320" s="33"/>
      <c r="BX320" s="33"/>
      <c r="BY320" s="33"/>
      <c r="BZ320" s="33"/>
      <c r="CA320" s="33"/>
      <c r="CB320" s="33"/>
      <c r="CC320" s="33"/>
      <c r="CD320" s="33"/>
      <c r="CE320" s="33"/>
      <c r="CF320" s="33"/>
      <c r="CG320" s="33"/>
      <c r="CH320" s="33"/>
      <c r="CI320" s="33"/>
      <c r="CJ320" s="33"/>
      <c r="CK320" s="33"/>
      <c r="CL320" s="33">
        <f t="shared" si="1"/>
        <v>0</v>
      </c>
      <c r="CM320" s="33">
        <f>'Old Balance Sheet'!R320 + 'ACPL Calculations - 1.0'!S320 + 'ACPL Calculations - 2.0'!S320</f>
        <v>0</v>
      </c>
      <c r="CN320" s="33">
        <f>'Old Balance Sheet'!S320 + 'ACPL Calculations - 1.0'!T320 + 'ACPL Calculations - 2.0'!T320</f>
        <v>0</v>
      </c>
      <c r="CO320" s="33">
        <f t="shared" si="2"/>
        <v>0</v>
      </c>
      <c r="CP320" s="33">
        <f>'Old Balance Sheet'!T320 + 'ACPL Calculations - 1.0'!V320 + 'ACPL Calculations - 2.0'!V320</f>
        <v>0</v>
      </c>
      <c r="CQ320" s="33">
        <f>'Old Balance Sheet'!U320 + 'ACPL Calculations - 1.0'!W320 + 'ACPL Calculations - 2.0'!W320</f>
        <v>0</v>
      </c>
      <c r="CR320" s="33">
        <f>'Old Balance Sheet'!V320 + 'ACPL Calculations - 1.0'!X320 + 'ACPL Calculations - 2.0'!X320</f>
        <v>0</v>
      </c>
      <c r="CS320" s="33">
        <f t="shared" si="3"/>
        <v>0</v>
      </c>
      <c r="CT320" s="35"/>
      <c r="CU320" s="35"/>
      <c r="CV320" s="35"/>
      <c r="CW320" s="36">
        <f>'Old Balance Sheet'!W320 + 'ACPL Calculations - 1.0'!Z320 + 'ACPL Calculations - 2.0'!Z320</f>
        <v>0</v>
      </c>
      <c r="CX320" s="36">
        <f>'Old Balance Sheet'!X320 + 'ACPL Calculations - 1.0'!AA320 + 'ACPL Calculations - 2.0'!AA320</f>
        <v>0</v>
      </c>
      <c r="CY320" s="37">
        <v>0.0</v>
      </c>
      <c r="CZ320" s="38">
        <f>'Old Balance Sheet'!Y320 + 'ACPL Calculations - 1.0'!AB320 + 'ACPL Calculations - 2.0'!AB320</f>
        <v>0</v>
      </c>
      <c r="DA320" s="38">
        <f>'Old Balance Sheet'!Z320 + 'ACPL Calculations - 1.0'!AC320 + 'ACPL Calculations - 2.0'!AC320</f>
        <v>0</v>
      </c>
      <c r="DB320" s="38">
        <f>'Old Balance Sheet'!AA320 + 'ACPL Calculations - 1.0'!AD320 + 'ACPL Calculations - 2.0'!AD320</f>
        <v>0</v>
      </c>
      <c r="DC320" s="38">
        <f>'Old Balance Sheet'!AB320 + 'ACPL Calculations - 1.0'!AE320 + 'ACPL Calculations - 2.0'!AE320</f>
        <v>0</v>
      </c>
      <c r="DD320" s="38">
        <f t="shared" si="4"/>
        <v>0</v>
      </c>
      <c r="DE320" s="33">
        <f t="shared" si="5"/>
        <v>0</v>
      </c>
      <c r="DF320" s="35">
        <v>0.0</v>
      </c>
      <c r="DG320" s="35">
        <v>0.0</v>
      </c>
      <c r="DH320" s="35">
        <v>0.0</v>
      </c>
      <c r="DI320" s="35">
        <v>0.0</v>
      </c>
      <c r="DJ320" s="35">
        <v>0.0</v>
      </c>
      <c r="DK320" s="35">
        <v>0.0</v>
      </c>
      <c r="DL320" s="35">
        <v>0.0</v>
      </c>
      <c r="DM320" s="35">
        <v>0.0</v>
      </c>
      <c r="DN320" s="31">
        <v>0.0</v>
      </c>
      <c r="DO320" s="31">
        <v>0.0</v>
      </c>
      <c r="DP320" s="31">
        <v>0.0</v>
      </c>
      <c r="DQ320" s="31">
        <v>0.0</v>
      </c>
      <c r="DR320" s="31">
        <v>0.0</v>
      </c>
      <c r="DS320" s="31">
        <v>0.0</v>
      </c>
      <c r="DT320" s="31">
        <f>'Old Balance Sheet'!AC320</f>
        <v>0</v>
      </c>
      <c r="DU320" s="31">
        <f>DT320 + SUMIFS('Payments Log'!D:D, 'Payments Log'!B:B, A320, 'Payments Log'!L:L, "Approved", 'Payments Log'!M:M, "Credit") + 'Old Balance Sheet'!AD320 - 'Old Balance Sheet'!AC320</f>
        <v>1000000</v>
      </c>
      <c r="DV320" s="31">
        <f>SUMIFS('Payments Log'!D:D, 'Payments Log'!B:B, A320, 'Payments Log'!L:L, "Approved", 'Payments Log'!M:M, "Adjustment Credit") - SUMIFS('Payments Log'!D:D, 'Payments Log'!B:B, A320, 'Payments Log'!L:L, "Approved", 'Payments Log'!M:M, "Adjustment Debit") + 'Old Balance Sheet'!AE320</f>
        <v>0</v>
      </c>
      <c r="DW320" s="31">
        <f>IF(MAXIFS('Payments Log'!N:N, 'Payments Log'!L:L, "Approved", 'Payments Log'!M:M, "Credit", 'Payments Log'!B:B, A320) &gt; MAXIFS('Payments Log'!N:N, 'Payments Log'!L:L, "Approved", 'Payments Log'!M:M, "Virtual Credit", 'Payments Log'!B:B, A320), 0, SUMIFS('Payments Log'!D:D, 'Payments Log'!N:N, MAXIFS('Payments Log'!N:N, 'Payments Log'!L:L, "Approved", 'Payments Log'!M:M, "Virtual Credit", 'Payments Log'!B:B, A320)))</f>
        <v>0</v>
      </c>
      <c r="DX320" s="33">
        <f t="shared" si="6"/>
        <v>1000000</v>
      </c>
      <c r="DY320" s="33">
        <f t="shared" si="7"/>
        <v>1000000</v>
      </c>
      <c r="DZ320" s="33">
        <f t="shared" si="8"/>
        <v>1000000</v>
      </c>
      <c r="EA320" s="25" t="str">
        <f>(Sheet1!N320)</f>
        <v>Metro Motors- Narela(MMR)</v>
      </c>
      <c r="EB320" s="25" t="str">
        <f>(Sheet1!O320)</f>
        <v>12q3xzc4QnJvovb5WwDYonjwLc2kiwxvpEYShhfp6tf4</v>
      </c>
      <c r="EC320" s="26" t="str">
        <f>(Sheet1!P320)</f>
        <v>Dealer</v>
      </c>
      <c r="ED320" s="34" t="s">
        <v>13</v>
      </c>
    </row>
    <row r="321">
      <c r="A321" s="26" t="str">
        <f>(Sheet1!A321)</f>
        <v>12Iga9HLmHF1C_B28Sz49zBPBKFPy_vA2jBForRuUnjc</v>
      </c>
      <c r="B321" s="26" t="str">
        <f>(Sheet1!B321)</f>
        <v>JANTA MOTORS (VM) - KUSHINAGAR</v>
      </c>
      <c r="C321" s="34" t="s">
        <v>13</v>
      </c>
      <c r="D321" s="34" t="s">
        <v>72</v>
      </c>
      <c r="E321" s="34" t="s">
        <v>3817</v>
      </c>
      <c r="F321" s="34">
        <v>170.0</v>
      </c>
      <c r="G321" s="34" t="s">
        <v>3818</v>
      </c>
      <c r="H321" s="34">
        <v>100.0</v>
      </c>
      <c r="I321" s="33">
        <f>'Old Balance Sheet'!A321 + 'ACPL Calculations - 1.0'!A321 + 'ACPL Calculations - 2.0'!A321</f>
        <v>3</v>
      </c>
      <c r="J321" s="34" t="s">
        <v>3820</v>
      </c>
      <c r="K321" s="34">
        <v>205.0</v>
      </c>
      <c r="L321" s="34" t="s">
        <v>3818</v>
      </c>
      <c r="M321" s="34">
        <v>100.0</v>
      </c>
      <c r="N321" s="33">
        <f>'Old Balance Sheet'!B321 + 'ACPL Calculations - 1.0'!B321 + 'ACPL Calculations - 2.0'!B321</f>
        <v>0</v>
      </c>
      <c r="O321" s="34" t="s">
        <v>3820</v>
      </c>
      <c r="P321" s="34">
        <v>290.0</v>
      </c>
      <c r="Q321" s="34" t="s">
        <v>3818</v>
      </c>
      <c r="R321" s="34">
        <v>100.0</v>
      </c>
      <c r="S321" s="33">
        <f>'Old Balance Sheet'!C321 + 'ACPL Calculations - 1.0'!C321 + 'ACPL Calculations - 2.0'!C321</f>
        <v>0</v>
      </c>
      <c r="T321" s="34" t="s">
        <v>3820</v>
      </c>
      <c r="U321" s="34">
        <v>375.0</v>
      </c>
      <c r="V321" s="34" t="s">
        <v>3818</v>
      </c>
      <c r="W321" s="34">
        <v>100.0</v>
      </c>
      <c r="X321" s="33">
        <f>'Old Balance Sheet'!D321 + 'ACPL Calculations - 1.0'!D321 + 'ACPL Calculations - 2.0'!D321</f>
        <v>0</v>
      </c>
      <c r="Y321" s="34" t="s">
        <v>3820</v>
      </c>
      <c r="Z321" s="34">
        <v>460.0</v>
      </c>
      <c r="AA321" s="32" t="s">
        <v>3818</v>
      </c>
      <c r="AB321" s="31">
        <v>100.0</v>
      </c>
      <c r="AC321" s="33">
        <f>'Old Balance Sheet'!E321 + 'ACPL Calculations - 1.0'!E321 + 'ACPL Calculations - 2.0'!E321</f>
        <v>0</v>
      </c>
      <c r="AD321" s="34" t="s">
        <v>3820</v>
      </c>
      <c r="AE321" s="34">
        <v>838.99</v>
      </c>
      <c r="AF321" s="32" t="s">
        <v>3818</v>
      </c>
      <c r="AG321" s="31">
        <v>100.0</v>
      </c>
      <c r="AH321" s="33">
        <f>'Old Balance Sheet'!F321 + 'ACPL Calculations - 1.0'!F321 + 'ACPL Calculations - 2.0'!F321</f>
        <v>0</v>
      </c>
      <c r="AI321" s="34" t="s">
        <v>3820</v>
      </c>
      <c r="AJ321" s="34">
        <v>375.0</v>
      </c>
      <c r="AK321" s="32" t="s">
        <v>3818</v>
      </c>
      <c r="AL321" s="31">
        <v>100.0</v>
      </c>
      <c r="AM321" s="33">
        <f>'Old Balance Sheet'!G321 + 'ACPL Calculations - 1.0'!G321 + 'ACPL Calculations - 2.0'!G321</f>
        <v>0</v>
      </c>
      <c r="AN321" s="34" t="s">
        <v>3820</v>
      </c>
      <c r="AO321" s="34">
        <v>290.0</v>
      </c>
      <c r="AP321" s="32" t="s">
        <v>3818</v>
      </c>
      <c r="AQ321" s="31">
        <v>100.0</v>
      </c>
      <c r="AR321" s="33">
        <f>'Old Balance Sheet'!H321 + 'ACPL Calculations - 1.0'!H321 + 'ACPL Calculations - 2.0'!H321</f>
        <v>0</v>
      </c>
      <c r="AS321" s="34" t="s">
        <v>3819</v>
      </c>
      <c r="AT321" s="34">
        <v>838.99</v>
      </c>
      <c r="AU321" s="32" t="s">
        <v>3818</v>
      </c>
      <c r="AV321" s="31">
        <v>100.0</v>
      </c>
      <c r="AW321" s="33">
        <f>'Old Balance Sheet'!I321 + 'ACPL Calculations - 1.0'!I321 + 'ACPL Calculations - 2.0'!I321</f>
        <v>0</v>
      </c>
      <c r="AX321" s="34" t="s">
        <v>3820</v>
      </c>
      <c r="AY321" s="34">
        <v>290.0</v>
      </c>
      <c r="AZ321" s="32" t="s">
        <v>3818</v>
      </c>
      <c r="BA321" s="31">
        <v>100.0</v>
      </c>
      <c r="BB321" s="33">
        <f>'Old Balance Sheet'!J321 + 'ACPL Calculations - 1.0'!J321 + 'ACPL Calculations - 2.0'!J321</f>
        <v>0</v>
      </c>
      <c r="BC321" s="34" t="s">
        <v>3820</v>
      </c>
      <c r="BD321" s="34">
        <v>205.0</v>
      </c>
      <c r="BE321" s="32" t="s">
        <v>3818</v>
      </c>
      <c r="BF321" s="31">
        <v>100.0</v>
      </c>
      <c r="BG321" s="33">
        <f>'Old Balance Sheet'!K321 + 'ACPL Calculations - 1.0'!K321 + 'ACPL Calculations - 2.0'!K321</f>
        <v>0</v>
      </c>
      <c r="BH321" s="34" t="s">
        <v>3820</v>
      </c>
      <c r="BI321" s="34">
        <v>205.0</v>
      </c>
      <c r="BJ321" s="32" t="s">
        <v>3818</v>
      </c>
      <c r="BK321" s="31">
        <v>100.0</v>
      </c>
      <c r="BL321" s="33">
        <f>'Old Balance Sheet'!L321 + 'ACPL Calculations - 1.0'!L321 + 'ACPL Calculations - 2.0'!L321</f>
        <v>0</v>
      </c>
      <c r="CL321" s="33">
        <f t="shared" si="1"/>
        <v>3</v>
      </c>
      <c r="CM321" s="33">
        <f>'Old Balance Sheet'!R321 + 'ACPL Calculations - 1.0'!S321 + 'ACPL Calculations - 2.0'!S321</f>
        <v>1326</v>
      </c>
      <c r="CN321" s="33">
        <f>'Old Balance Sheet'!S321 + 'ACPL Calculations - 1.0'!T321 + 'ACPL Calculations - 2.0'!T321</f>
        <v>510</v>
      </c>
      <c r="CO321" s="33">
        <f t="shared" si="2"/>
        <v>712.26</v>
      </c>
      <c r="CP321" s="33">
        <f>'Old Balance Sheet'!T321 + 'ACPL Calculations - 1.0'!V321 + 'ACPL Calculations - 2.0'!V321</f>
        <v>0</v>
      </c>
      <c r="CQ321" s="33">
        <f>'Old Balance Sheet'!U321 + 'ACPL Calculations - 1.0'!W321 + 'ACPL Calculations - 2.0'!W321</f>
        <v>0</v>
      </c>
      <c r="CR321" s="33">
        <f>'Old Balance Sheet'!V321 + 'ACPL Calculations - 1.0'!X321 + 'ACPL Calculations - 2.0'!X321</f>
        <v>202.26</v>
      </c>
      <c r="CS321" s="33">
        <f t="shared" si="3"/>
        <v>202.26</v>
      </c>
      <c r="CT321" s="35"/>
      <c r="CU321" s="35"/>
      <c r="CV321" s="35"/>
      <c r="CW321" s="36">
        <f>'Old Balance Sheet'!W321 + 'ACPL Calculations - 1.0'!Z321 + 'ACPL Calculations - 2.0'!Z321</f>
        <v>0</v>
      </c>
      <c r="CX321" s="36">
        <f>'Old Balance Sheet'!X321 + 'ACPL Calculations - 1.0'!AA321 + 'ACPL Calculations - 2.0'!AA321</f>
        <v>0</v>
      </c>
      <c r="CY321" s="37">
        <v>0.0</v>
      </c>
      <c r="CZ321" s="38">
        <f>'Old Balance Sheet'!Y321 + 'ACPL Calculations - 1.0'!AB321 + 'ACPL Calculations - 2.0'!AB321</f>
        <v>0</v>
      </c>
      <c r="DA321" s="38">
        <f>'Old Balance Sheet'!Z321 + 'ACPL Calculations - 1.0'!AC321 + 'ACPL Calculations - 2.0'!AC321</f>
        <v>0</v>
      </c>
      <c r="DB321" s="38">
        <f>'Old Balance Sheet'!AA321 + 'ACPL Calculations - 1.0'!AD321 + 'ACPL Calculations - 2.0'!AD321</f>
        <v>0</v>
      </c>
      <c r="DC321" s="38">
        <f>'Old Balance Sheet'!AB321 + 'ACPL Calculations - 1.0'!AE321 + 'ACPL Calculations - 2.0'!AE321</f>
        <v>0</v>
      </c>
      <c r="DD321" s="38">
        <f t="shared" si="4"/>
        <v>0</v>
      </c>
      <c r="DE321" s="33">
        <f t="shared" si="5"/>
        <v>0</v>
      </c>
      <c r="DF321" s="35">
        <v>0.0</v>
      </c>
      <c r="DG321" s="35">
        <v>0.0</v>
      </c>
      <c r="DH321" s="35">
        <v>0.0</v>
      </c>
      <c r="DI321" s="35">
        <v>0.0</v>
      </c>
      <c r="DJ321" s="35">
        <v>0.0</v>
      </c>
      <c r="DK321" s="35">
        <v>0.0</v>
      </c>
      <c r="DL321" s="35">
        <v>0.0</v>
      </c>
      <c r="DM321" s="35">
        <v>0.0</v>
      </c>
      <c r="DN321" s="31">
        <v>0.0</v>
      </c>
      <c r="DO321" s="31">
        <v>0.0</v>
      </c>
      <c r="DP321" s="31">
        <v>0.0</v>
      </c>
      <c r="DQ321" s="31">
        <v>0.0</v>
      </c>
      <c r="DR321" s="31">
        <v>0.0</v>
      </c>
      <c r="DS321" s="31">
        <v>0.0</v>
      </c>
      <c r="DT321" s="31">
        <f>'Old Balance Sheet'!AC321</f>
        <v>0</v>
      </c>
      <c r="DU321" s="31">
        <f>DT321 + SUMIFS('Payments Log'!D:D, 'Payments Log'!B:B, A321, 'Payments Log'!L:L, "Approved", 'Payments Log'!M:M, "Credit") + 'Old Balance Sheet'!AD321 - 'Old Balance Sheet'!AC321</f>
        <v>0</v>
      </c>
      <c r="DV321" s="31">
        <f>SUMIFS('Payments Log'!D:D, 'Payments Log'!B:B, A321, 'Payments Log'!L:L, "Approved", 'Payments Log'!M:M, "Adjustment Credit") - SUMIFS('Payments Log'!D:D, 'Payments Log'!B:B, A321, 'Payments Log'!L:L, "Approved", 'Payments Log'!M:M, "Adjustment Debit") + 'Old Balance Sheet'!AE321</f>
        <v>0</v>
      </c>
      <c r="DW321" s="31">
        <f>IF(MAXIFS('Payments Log'!N:N, 'Payments Log'!L:L, "Approved", 'Payments Log'!M:M, "Credit", 'Payments Log'!B:B, A321) &gt; MAXIFS('Payments Log'!N:N, 'Payments Log'!L:L, "Approved", 'Payments Log'!M:M, "Virtual Credit", 'Payments Log'!B:B, A321), 0, SUMIFS('Payments Log'!D:D, 'Payments Log'!N:N, MAXIFS('Payments Log'!N:N, 'Payments Log'!L:L, "Approved", 'Payments Log'!M:M, "Virtual Credit", 'Payments Log'!B:B, A321)))</f>
        <v>0</v>
      </c>
      <c r="DX321" s="33">
        <f t="shared" si="6"/>
        <v>0</v>
      </c>
      <c r="DY321" s="33">
        <f t="shared" si="7"/>
        <v>0</v>
      </c>
      <c r="DZ321" s="33">
        <f t="shared" si="8"/>
        <v>0</v>
      </c>
      <c r="EA321" s="25" t="str">
        <f>(Sheet1!N321)</f>
        <v>VAISHNO MOTORS - JHUGAWA</v>
      </c>
      <c r="EB321" s="25" t="str">
        <f>(Sheet1!O321)</f>
        <v>1T9TOPNccEkZyvcMjs5_ErkZRFNoV3A33YcZPKCnjNeI</v>
      </c>
      <c r="EC321" s="26" t="str">
        <f>(Sheet1!P321)</f>
        <v>Sub Dealer</v>
      </c>
      <c r="ED321" s="34" t="s">
        <v>13</v>
      </c>
    </row>
    <row r="322">
      <c r="A322" s="26" t="str">
        <f>(Sheet1!A322)</f>
        <v>1HsbszineZ8va458kuZefN1vGO1MrkT5vTk2Vpv1-Znw</v>
      </c>
      <c r="B322" s="26" t="str">
        <f>(Sheet1!B322)</f>
        <v>S S MOTORS(VM) - KUSHINAGAR</v>
      </c>
      <c r="C322" s="34" t="s">
        <v>13</v>
      </c>
      <c r="D322" s="34" t="s">
        <v>72</v>
      </c>
      <c r="E322" s="34" t="s">
        <v>3817</v>
      </c>
      <c r="F322" s="34">
        <v>170.0</v>
      </c>
      <c r="G322" s="34" t="s">
        <v>3818</v>
      </c>
      <c r="H322" s="34">
        <v>100.0</v>
      </c>
      <c r="I322" s="33">
        <f>'Old Balance Sheet'!A322 + 'ACPL Calculations - 1.0'!A322 + 'ACPL Calculations - 2.0'!A322</f>
        <v>1</v>
      </c>
      <c r="J322" s="34" t="s">
        <v>3820</v>
      </c>
      <c r="K322" s="34">
        <v>205.0</v>
      </c>
      <c r="L322" s="34" t="s">
        <v>3818</v>
      </c>
      <c r="M322" s="34">
        <v>100.0</v>
      </c>
      <c r="N322" s="33">
        <f>'Old Balance Sheet'!B322 + 'ACPL Calculations - 1.0'!B322 + 'ACPL Calculations - 2.0'!B322</f>
        <v>0</v>
      </c>
      <c r="O322" s="34" t="s">
        <v>3820</v>
      </c>
      <c r="P322" s="34">
        <v>290.0</v>
      </c>
      <c r="Q322" s="34" t="s">
        <v>3818</v>
      </c>
      <c r="R322" s="34">
        <v>100.0</v>
      </c>
      <c r="S322" s="33">
        <f>'Old Balance Sheet'!C322 + 'ACPL Calculations - 1.0'!C322 + 'ACPL Calculations - 2.0'!C322</f>
        <v>0</v>
      </c>
      <c r="T322" s="34" t="s">
        <v>3820</v>
      </c>
      <c r="U322" s="34">
        <v>375.0</v>
      </c>
      <c r="V322" s="34" t="s">
        <v>3818</v>
      </c>
      <c r="W322" s="34">
        <v>100.0</v>
      </c>
      <c r="X322" s="33">
        <f>'Old Balance Sheet'!D322 + 'ACPL Calculations - 1.0'!D322 + 'ACPL Calculations - 2.0'!D322</f>
        <v>0</v>
      </c>
      <c r="Y322" s="34" t="s">
        <v>3820</v>
      </c>
      <c r="Z322" s="34">
        <v>460.0</v>
      </c>
      <c r="AA322" s="32" t="s">
        <v>3818</v>
      </c>
      <c r="AB322" s="31">
        <v>100.0</v>
      </c>
      <c r="AC322" s="33">
        <f>'Old Balance Sheet'!E322 + 'ACPL Calculations - 1.0'!E322 + 'ACPL Calculations - 2.0'!E322</f>
        <v>0</v>
      </c>
      <c r="AD322" s="34" t="s">
        <v>3820</v>
      </c>
      <c r="AE322" s="34">
        <v>838.99</v>
      </c>
      <c r="AF322" s="32" t="s">
        <v>3818</v>
      </c>
      <c r="AG322" s="31">
        <v>100.0</v>
      </c>
      <c r="AH322" s="33">
        <f>'Old Balance Sheet'!F322 + 'ACPL Calculations - 1.0'!F322 + 'ACPL Calculations - 2.0'!F322</f>
        <v>0</v>
      </c>
      <c r="AI322" s="34" t="s">
        <v>3820</v>
      </c>
      <c r="AJ322" s="34">
        <v>375.0</v>
      </c>
      <c r="AK322" s="32" t="s">
        <v>3818</v>
      </c>
      <c r="AL322" s="31">
        <v>100.0</v>
      </c>
      <c r="AM322" s="33">
        <f>'Old Balance Sheet'!G322 + 'ACPL Calculations - 1.0'!G322 + 'ACPL Calculations - 2.0'!G322</f>
        <v>0</v>
      </c>
      <c r="AN322" s="34" t="s">
        <v>3820</v>
      </c>
      <c r="AO322" s="34">
        <v>290.0</v>
      </c>
      <c r="AP322" s="32" t="s">
        <v>3818</v>
      </c>
      <c r="AQ322" s="31">
        <v>100.0</v>
      </c>
      <c r="AR322" s="33">
        <f>'Old Balance Sheet'!H322 + 'ACPL Calculations - 1.0'!H322 + 'ACPL Calculations - 2.0'!H322</f>
        <v>0</v>
      </c>
      <c r="AS322" s="34" t="s">
        <v>3819</v>
      </c>
      <c r="AT322" s="34">
        <v>838.99</v>
      </c>
      <c r="AU322" s="32" t="s">
        <v>3818</v>
      </c>
      <c r="AV322" s="31">
        <v>100.0</v>
      </c>
      <c r="AW322" s="33">
        <f>'Old Balance Sheet'!I322 + 'ACPL Calculations - 1.0'!I322 + 'ACPL Calculations - 2.0'!I322</f>
        <v>0</v>
      </c>
      <c r="AX322" s="34" t="s">
        <v>3820</v>
      </c>
      <c r="AY322" s="34">
        <v>290.0</v>
      </c>
      <c r="AZ322" s="32" t="s">
        <v>3818</v>
      </c>
      <c r="BA322" s="31">
        <v>100.0</v>
      </c>
      <c r="BB322" s="33">
        <f>'Old Balance Sheet'!J322 + 'ACPL Calculations - 1.0'!J322 + 'ACPL Calculations - 2.0'!J322</f>
        <v>0</v>
      </c>
      <c r="BC322" s="34" t="s">
        <v>3820</v>
      </c>
      <c r="BD322" s="34">
        <v>205.0</v>
      </c>
      <c r="BE322" s="32" t="s">
        <v>3818</v>
      </c>
      <c r="BF322" s="31">
        <v>100.0</v>
      </c>
      <c r="BG322" s="33">
        <f>'Old Balance Sheet'!K322 + 'ACPL Calculations - 1.0'!K322 + 'ACPL Calculations - 2.0'!K322</f>
        <v>0</v>
      </c>
      <c r="BH322" s="34" t="s">
        <v>3820</v>
      </c>
      <c r="BI322" s="34">
        <v>205.0</v>
      </c>
      <c r="BJ322" s="32" t="s">
        <v>3818</v>
      </c>
      <c r="BK322" s="31">
        <v>100.0</v>
      </c>
      <c r="BL322" s="33">
        <f>'Old Balance Sheet'!L322 + 'ACPL Calculations - 1.0'!L322 + 'ACPL Calculations - 2.0'!L322</f>
        <v>0</v>
      </c>
      <c r="CL322" s="33">
        <f t="shared" si="1"/>
        <v>1</v>
      </c>
      <c r="CM322" s="33">
        <f>'Old Balance Sheet'!R322 + 'ACPL Calculations - 1.0'!S322 + 'ACPL Calculations - 2.0'!S322</f>
        <v>442</v>
      </c>
      <c r="CN322" s="33">
        <f>'Old Balance Sheet'!S322 + 'ACPL Calculations - 1.0'!T322 + 'ACPL Calculations - 2.0'!T322</f>
        <v>170</v>
      </c>
      <c r="CO322" s="33">
        <f t="shared" si="2"/>
        <v>237.42</v>
      </c>
      <c r="CP322" s="33">
        <f>'Old Balance Sheet'!T322 + 'ACPL Calculations - 1.0'!V322 + 'ACPL Calculations - 2.0'!V322</f>
        <v>0</v>
      </c>
      <c r="CQ322" s="33">
        <f>'Old Balance Sheet'!U322 + 'ACPL Calculations - 1.0'!W322 + 'ACPL Calculations - 2.0'!W322</f>
        <v>0</v>
      </c>
      <c r="CR322" s="33">
        <f>'Old Balance Sheet'!V322 + 'ACPL Calculations - 1.0'!X322 + 'ACPL Calculations - 2.0'!X322</f>
        <v>67.42</v>
      </c>
      <c r="CS322" s="33">
        <f t="shared" si="3"/>
        <v>67.42</v>
      </c>
      <c r="CT322" s="35"/>
      <c r="CU322" s="35"/>
      <c r="CV322" s="35"/>
      <c r="CW322" s="36">
        <f>'Old Balance Sheet'!W322 + 'ACPL Calculations - 1.0'!Z322 + 'ACPL Calculations - 2.0'!Z322</f>
        <v>0</v>
      </c>
      <c r="CX322" s="36">
        <f>'Old Balance Sheet'!X322 + 'ACPL Calculations - 1.0'!AA322 + 'ACPL Calculations - 2.0'!AA322</f>
        <v>0</v>
      </c>
      <c r="CY322" s="37">
        <v>0.0</v>
      </c>
      <c r="CZ322" s="38">
        <f>'Old Balance Sheet'!Y322 + 'ACPL Calculations - 1.0'!AB322 + 'ACPL Calculations - 2.0'!AB322</f>
        <v>0</v>
      </c>
      <c r="DA322" s="38">
        <f>'Old Balance Sheet'!Z322 + 'ACPL Calculations - 1.0'!AC322 + 'ACPL Calculations - 2.0'!AC322</f>
        <v>0</v>
      </c>
      <c r="DB322" s="38">
        <f>'Old Balance Sheet'!AA322 + 'ACPL Calculations - 1.0'!AD322 + 'ACPL Calculations - 2.0'!AD322</f>
        <v>0</v>
      </c>
      <c r="DC322" s="38">
        <f>'Old Balance Sheet'!AB322 + 'ACPL Calculations - 1.0'!AE322 + 'ACPL Calculations - 2.0'!AE322</f>
        <v>0</v>
      </c>
      <c r="DD322" s="38">
        <f t="shared" si="4"/>
        <v>0</v>
      </c>
      <c r="DE322" s="33">
        <f t="shared" si="5"/>
        <v>0</v>
      </c>
      <c r="DF322" s="35">
        <v>0.0</v>
      </c>
      <c r="DG322" s="35">
        <v>0.0</v>
      </c>
      <c r="DH322" s="35">
        <v>0.0</v>
      </c>
      <c r="DI322" s="35">
        <v>0.0</v>
      </c>
      <c r="DJ322" s="35">
        <v>0.0</v>
      </c>
      <c r="DK322" s="35">
        <v>0.0</v>
      </c>
      <c r="DL322" s="35">
        <v>0.0</v>
      </c>
      <c r="DM322" s="35">
        <v>0.0</v>
      </c>
      <c r="DN322" s="31">
        <v>0.0</v>
      </c>
      <c r="DO322" s="31">
        <v>0.0</v>
      </c>
      <c r="DP322" s="31">
        <v>0.0</v>
      </c>
      <c r="DQ322" s="31">
        <v>0.0</v>
      </c>
      <c r="DR322" s="31">
        <v>0.0</v>
      </c>
      <c r="DS322" s="31">
        <v>0.0</v>
      </c>
      <c r="DT322" s="31">
        <f>'Old Balance Sheet'!AC322</f>
        <v>0</v>
      </c>
      <c r="DU322" s="31">
        <f>DT322 + SUMIFS('Payments Log'!D:D, 'Payments Log'!B:B, A322, 'Payments Log'!L:L, "Approved", 'Payments Log'!M:M, "Credit") + 'Old Balance Sheet'!AD322 - 'Old Balance Sheet'!AC322</f>
        <v>0</v>
      </c>
      <c r="DV322" s="31">
        <f>SUMIFS('Payments Log'!D:D, 'Payments Log'!B:B, A322, 'Payments Log'!L:L, "Approved", 'Payments Log'!M:M, "Adjustment Credit") - SUMIFS('Payments Log'!D:D, 'Payments Log'!B:B, A322, 'Payments Log'!L:L, "Approved", 'Payments Log'!M:M, "Adjustment Debit") + 'Old Balance Sheet'!AE322</f>
        <v>0</v>
      </c>
      <c r="DW322" s="31">
        <f>IF(MAXIFS('Payments Log'!N:N, 'Payments Log'!L:L, "Approved", 'Payments Log'!M:M, "Credit", 'Payments Log'!B:B, A322) &gt; MAXIFS('Payments Log'!N:N, 'Payments Log'!L:L, "Approved", 'Payments Log'!M:M, "Virtual Credit", 'Payments Log'!B:B, A322), 0, SUMIFS('Payments Log'!D:D, 'Payments Log'!N:N, MAXIFS('Payments Log'!N:N, 'Payments Log'!L:L, "Approved", 'Payments Log'!M:M, "Virtual Credit", 'Payments Log'!B:B, A322)))</f>
        <v>0</v>
      </c>
      <c r="DX322" s="33">
        <f t="shared" si="6"/>
        <v>0</v>
      </c>
      <c r="DY322" s="33">
        <f t="shared" si="7"/>
        <v>0</v>
      </c>
      <c r="DZ322" s="33">
        <f t="shared" si="8"/>
        <v>0</v>
      </c>
      <c r="EA322" s="25" t="str">
        <f>(Sheet1!N322)</f>
        <v>VAISHNO MOTORS - JHUGAWA</v>
      </c>
      <c r="EB322" s="25" t="str">
        <f>(Sheet1!O322)</f>
        <v>1T9TOPNccEkZyvcMjs5_ErkZRFNoV3A33YcZPKCnjNeI</v>
      </c>
      <c r="EC322" s="26" t="str">
        <f>(Sheet1!P322)</f>
        <v>Sub Dealer</v>
      </c>
      <c r="ED322" s="34" t="s">
        <v>13</v>
      </c>
    </row>
    <row r="323">
      <c r="A323" s="26" t="str">
        <f>(Sheet1!A323)</f>
        <v>1V_fMo1qdnu3csZ89JNIghSxO3e0-gG5YDEzRqHF_0Wk</v>
      </c>
      <c r="B323" s="26" t="str">
        <f>(Sheet1!B323)</f>
        <v>C.K.R MOTORS (VM) - KUSHINAGAR</v>
      </c>
      <c r="C323" s="34" t="s">
        <v>13</v>
      </c>
      <c r="D323" s="34" t="s">
        <v>72</v>
      </c>
      <c r="E323" s="34" t="s">
        <v>3817</v>
      </c>
      <c r="F323" s="34">
        <v>170.0</v>
      </c>
      <c r="G323" s="34" t="s">
        <v>3818</v>
      </c>
      <c r="H323" s="34">
        <v>100.0</v>
      </c>
      <c r="I323" s="33">
        <f>'Old Balance Sheet'!A323 + 'ACPL Calculations - 1.0'!A323 + 'ACPL Calculations - 2.0'!A323</f>
        <v>75</v>
      </c>
      <c r="J323" s="34" t="s">
        <v>3820</v>
      </c>
      <c r="K323" s="34">
        <v>205.0</v>
      </c>
      <c r="L323" s="34" t="s">
        <v>3818</v>
      </c>
      <c r="M323" s="34">
        <v>100.0</v>
      </c>
      <c r="N323" s="33">
        <f>'Old Balance Sheet'!B323 + 'ACPL Calculations - 1.0'!B323 + 'ACPL Calculations - 2.0'!B323</f>
        <v>0</v>
      </c>
      <c r="O323" s="34" t="s">
        <v>3820</v>
      </c>
      <c r="P323" s="34">
        <v>290.0</v>
      </c>
      <c r="Q323" s="34" t="s">
        <v>3818</v>
      </c>
      <c r="R323" s="34">
        <v>100.0</v>
      </c>
      <c r="S323" s="33">
        <f>'Old Balance Sheet'!C323 + 'ACPL Calculations - 1.0'!C323 + 'ACPL Calculations - 2.0'!C323</f>
        <v>0</v>
      </c>
      <c r="T323" s="34" t="s">
        <v>3820</v>
      </c>
      <c r="U323" s="34">
        <v>375.0</v>
      </c>
      <c r="V323" s="34" t="s">
        <v>3818</v>
      </c>
      <c r="W323" s="34">
        <v>100.0</v>
      </c>
      <c r="X323" s="33">
        <f>'Old Balance Sheet'!D323 + 'ACPL Calculations - 1.0'!D323 + 'ACPL Calculations - 2.0'!D323</f>
        <v>0</v>
      </c>
      <c r="Y323" s="34" t="s">
        <v>3820</v>
      </c>
      <c r="Z323" s="34">
        <v>460.0</v>
      </c>
      <c r="AA323" s="32" t="s">
        <v>3818</v>
      </c>
      <c r="AB323" s="31">
        <v>100.0</v>
      </c>
      <c r="AC323" s="33">
        <f>'Old Balance Sheet'!E323 + 'ACPL Calculations - 1.0'!E323 + 'ACPL Calculations - 2.0'!E323</f>
        <v>0</v>
      </c>
      <c r="AD323" s="34" t="s">
        <v>3820</v>
      </c>
      <c r="AE323" s="34">
        <v>838.99</v>
      </c>
      <c r="AF323" s="32" t="s">
        <v>3818</v>
      </c>
      <c r="AG323" s="31">
        <v>100.0</v>
      </c>
      <c r="AH323" s="33">
        <f>'Old Balance Sheet'!F323 + 'ACPL Calculations - 1.0'!F323 + 'ACPL Calculations - 2.0'!F323</f>
        <v>0</v>
      </c>
      <c r="AI323" s="34" t="s">
        <v>3820</v>
      </c>
      <c r="AJ323" s="34">
        <v>375.0</v>
      </c>
      <c r="AK323" s="32" t="s">
        <v>3818</v>
      </c>
      <c r="AL323" s="31">
        <v>100.0</v>
      </c>
      <c r="AM323" s="33">
        <f>'Old Balance Sheet'!G323 + 'ACPL Calculations - 1.0'!G323 + 'ACPL Calculations - 2.0'!G323</f>
        <v>0</v>
      </c>
      <c r="AN323" s="34" t="s">
        <v>3820</v>
      </c>
      <c r="AO323" s="34">
        <v>290.0</v>
      </c>
      <c r="AP323" s="32" t="s">
        <v>3818</v>
      </c>
      <c r="AQ323" s="31">
        <v>100.0</v>
      </c>
      <c r="AR323" s="33">
        <f>'Old Balance Sheet'!H323 + 'ACPL Calculations - 1.0'!H323 + 'ACPL Calculations - 2.0'!H323</f>
        <v>0</v>
      </c>
      <c r="AS323" s="34" t="s">
        <v>3819</v>
      </c>
      <c r="AT323" s="34">
        <v>838.99</v>
      </c>
      <c r="AU323" s="32" t="s">
        <v>3818</v>
      </c>
      <c r="AV323" s="31">
        <v>100.0</v>
      </c>
      <c r="AW323" s="33">
        <f>'Old Balance Sheet'!I323 + 'ACPL Calculations - 1.0'!I323 + 'ACPL Calculations - 2.0'!I323</f>
        <v>0</v>
      </c>
      <c r="AX323" s="34" t="s">
        <v>3820</v>
      </c>
      <c r="AY323" s="34">
        <v>290.0</v>
      </c>
      <c r="AZ323" s="32" t="s">
        <v>3818</v>
      </c>
      <c r="BA323" s="31">
        <v>100.0</v>
      </c>
      <c r="BB323" s="33">
        <f>'Old Balance Sheet'!J323 + 'ACPL Calculations - 1.0'!J323 + 'ACPL Calculations - 2.0'!J323</f>
        <v>0</v>
      </c>
      <c r="BC323" s="34" t="s">
        <v>3820</v>
      </c>
      <c r="BD323" s="34">
        <v>205.0</v>
      </c>
      <c r="BE323" s="32" t="s">
        <v>3818</v>
      </c>
      <c r="BF323" s="31">
        <v>100.0</v>
      </c>
      <c r="BG323" s="33">
        <f>'Old Balance Sheet'!K323 + 'ACPL Calculations - 1.0'!K323 + 'ACPL Calculations - 2.0'!K323</f>
        <v>0</v>
      </c>
      <c r="BH323" s="34" t="s">
        <v>3820</v>
      </c>
      <c r="BI323" s="34">
        <v>205.0</v>
      </c>
      <c r="BJ323" s="32" t="s">
        <v>3818</v>
      </c>
      <c r="BK323" s="31">
        <v>100.0</v>
      </c>
      <c r="BL323" s="33">
        <f>'Old Balance Sheet'!L323 + 'ACPL Calculations - 1.0'!L323 + 'ACPL Calculations - 2.0'!L323</f>
        <v>0</v>
      </c>
      <c r="CL323" s="33">
        <f t="shared" si="1"/>
        <v>75</v>
      </c>
      <c r="CM323" s="33">
        <f>'Old Balance Sheet'!R323 + 'ACPL Calculations - 1.0'!S323 + 'ACPL Calculations - 2.0'!S323</f>
        <v>33150</v>
      </c>
      <c r="CN323" s="33">
        <f>'Old Balance Sheet'!S323 + 'ACPL Calculations - 1.0'!T323 + 'ACPL Calculations - 2.0'!T323</f>
        <v>12750</v>
      </c>
      <c r="CO323" s="33">
        <f t="shared" si="2"/>
        <v>17806.5</v>
      </c>
      <c r="CP323" s="33">
        <f>'Old Balance Sheet'!T323 + 'ACPL Calculations - 1.0'!V323 + 'ACPL Calculations - 2.0'!V323</f>
        <v>0</v>
      </c>
      <c r="CQ323" s="33">
        <f>'Old Balance Sheet'!U323 + 'ACPL Calculations - 1.0'!W323 + 'ACPL Calculations - 2.0'!W323</f>
        <v>0</v>
      </c>
      <c r="CR323" s="33">
        <f>'Old Balance Sheet'!V323 + 'ACPL Calculations - 1.0'!X323 + 'ACPL Calculations - 2.0'!X323</f>
        <v>5056.5</v>
      </c>
      <c r="CS323" s="33">
        <f t="shared" si="3"/>
        <v>5056.5</v>
      </c>
      <c r="CT323" s="35"/>
      <c r="CU323" s="35"/>
      <c r="CV323" s="35"/>
      <c r="CW323" s="36">
        <f>'Old Balance Sheet'!W323 + 'ACPL Calculations - 1.0'!Z323 + 'ACPL Calculations - 2.0'!Z323</f>
        <v>0</v>
      </c>
      <c r="CX323" s="36">
        <f>'Old Balance Sheet'!X323 + 'ACPL Calculations - 1.0'!AA323 + 'ACPL Calculations - 2.0'!AA323</f>
        <v>0</v>
      </c>
      <c r="CY323" s="37">
        <v>0.0</v>
      </c>
      <c r="CZ323" s="38">
        <f>'Old Balance Sheet'!Y323 + 'ACPL Calculations - 1.0'!AB323 + 'ACPL Calculations - 2.0'!AB323</f>
        <v>0</v>
      </c>
      <c r="DA323" s="38">
        <f>'Old Balance Sheet'!Z323 + 'ACPL Calculations - 1.0'!AC323 + 'ACPL Calculations - 2.0'!AC323</f>
        <v>0</v>
      </c>
      <c r="DB323" s="38">
        <f>'Old Balance Sheet'!AA323 + 'ACPL Calculations - 1.0'!AD323 + 'ACPL Calculations - 2.0'!AD323</f>
        <v>0</v>
      </c>
      <c r="DC323" s="38">
        <f>'Old Balance Sheet'!AB323 + 'ACPL Calculations - 1.0'!AE323 + 'ACPL Calculations - 2.0'!AE323</f>
        <v>0</v>
      </c>
      <c r="DD323" s="38">
        <f t="shared" si="4"/>
        <v>0</v>
      </c>
      <c r="DE323" s="33">
        <f t="shared" si="5"/>
        <v>0</v>
      </c>
      <c r="DF323" s="35">
        <v>0.0</v>
      </c>
      <c r="DG323" s="35">
        <v>0.0</v>
      </c>
      <c r="DH323" s="35">
        <v>0.0</v>
      </c>
      <c r="DI323" s="35">
        <v>0.0</v>
      </c>
      <c r="DJ323" s="35">
        <v>0.0</v>
      </c>
      <c r="DK323" s="35">
        <v>0.0</v>
      </c>
      <c r="DL323" s="35">
        <v>0.0</v>
      </c>
      <c r="DM323" s="35">
        <v>0.0</v>
      </c>
      <c r="DN323" s="31">
        <v>0.0</v>
      </c>
      <c r="DO323" s="31">
        <v>0.0</v>
      </c>
      <c r="DP323" s="31">
        <v>0.0</v>
      </c>
      <c r="DQ323" s="31">
        <v>0.0</v>
      </c>
      <c r="DR323" s="31">
        <v>0.0</v>
      </c>
      <c r="DS323" s="31">
        <v>0.0</v>
      </c>
      <c r="DT323" s="31">
        <f>'Old Balance Sheet'!AC323</f>
        <v>0</v>
      </c>
      <c r="DU323" s="31">
        <f>DT323 + SUMIFS('Payments Log'!D:D, 'Payments Log'!B:B, A323, 'Payments Log'!L:L, "Approved", 'Payments Log'!M:M, "Credit") + 'Old Balance Sheet'!AD323 - 'Old Balance Sheet'!AC323</f>
        <v>0</v>
      </c>
      <c r="DV323" s="31">
        <f>SUMIFS('Payments Log'!D:D, 'Payments Log'!B:B, A323, 'Payments Log'!L:L, "Approved", 'Payments Log'!M:M, "Adjustment Credit") - SUMIFS('Payments Log'!D:D, 'Payments Log'!B:B, A323, 'Payments Log'!L:L, "Approved", 'Payments Log'!M:M, "Adjustment Debit") + 'Old Balance Sheet'!AE323</f>
        <v>0</v>
      </c>
      <c r="DW323" s="31">
        <f>IF(MAXIFS('Payments Log'!N:N, 'Payments Log'!L:L, "Approved", 'Payments Log'!M:M, "Credit", 'Payments Log'!B:B, A323) &gt; MAXIFS('Payments Log'!N:N, 'Payments Log'!L:L, "Approved", 'Payments Log'!M:M, "Virtual Credit", 'Payments Log'!B:B, A323), 0, SUMIFS('Payments Log'!D:D, 'Payments Log'!N:N, MAXIFS('Payments Log'!N:N, 'Payments Log'!L:L, "Approved", 'Payments Log'!M:M, "Virtual Credit", 'Payments Log'!B:B, A323)))</f>
        <v>0</v>
      </c>
      <c r="DX323" s="33">
        <f t="shared" si="6"/>
        <v>0</v>
      </c>
      <c r="DY323" s="33">
        <f t="shared" si="7"/>
        <v>0</v>
      </c>
      <c r="DZ323" s="33">
        <f t="shared" si="8"/>
        <v>0</v>
      </c>
      <c r="EA323" s="25" t="str">
        <f>(Sheet1!N323)</f>
        <v>VAISHNO MOTORS - JHUGAWA</v>
      </c>
      <c r="EB323" s="25" t="str">
        <f>(Sheet1!O323)</f>
        <v>1T9TOPNccEkZyvcMjs5_ErkZRFNoV3A33YcZPKCnjNeI</v>
      </c>
      <c r="EC323" s="26" t="str">
        <f>(Sheet1!P323)</f>
        <v>Sub Dealer</v>
      </c>
      <c r="ED323" s="34" t="s">
        <v>13</v>
      </c>
    </row>
    <row r="324">
      <c r="A324" s="26" t="str">
        <f>(Sheet1!A324)</f>
        <v>1widHkGzeFIwrSJjcgWI00dRaKCvRfPAM7fIXW9w6sfc</v>
      </c>
      <c r="B324" s="26" t="str">
        <f>(Sheet1!B324)</f>
        <v>GOLU AUTOMOBILE (VM) - KUSHINAGAR</v>
      </c>
      <c r="C324" s="34" t="s">
        <v>13</v>
      </c>
      <c r="D324" s="34" t="s">
        <v>72</v>
      </c>
      <c r="E324" s="34" t="s">
        <v>3817</v>
      </c>
      <c r="F324" s="34">
        <v>170.0</v>
      </c>
      <c r="G324" s="34" t="s">
        <v>3818</v>
      </c>
      <c r="H324" s="34">
        <v>100.0</v>
      </c>
      <c r="I324" s="33">
        <f>'Old Balance Sheet'!A324 + 'ACPL Calculations - 1.0'!A324 + 'ACPL Calculations - 2.0'!A324</f>
        <v>95</v>
      </c>
      <c r="J324" s="34" t="s">
        <v>3820</v>
      </c>
      <c r="K324" s="34">
        <v>205.0</v>
      </c>
      <c r="L324" s="34" t="s">
        <v>3818</v>
      </c>
      <c r="M324" s="34">
        <v>100.0</v>
      </c>
      <c r="N324" s="33">
        <f>'Old Balance Sheet'!B324 + 'ACPL Calculations - 1.0'!B324 + 'ACPL Calculations - 2.0'!B324</f>
        <v>0</v>
      </c>
      <c r="O324" s="34" t="s">
        <v>3820</v>
      </c>
      <c r="P324" s="34">
        <v>290.0</v>
      </c>
      <c r="Q324" s="34" t="s">
        <v>3818</v>
      </c>
      <c r="R324" s="34">
        <v>100.0</v>
      </c>
      <c r="S324" s="33">
        <f>'Old Balance Sheet'!C324 + 'ACPL Calculations - 1.0'!C324 + 'ACPL Calculations - 2.0'!C324</f>
        <v>0</v>
      </c>
      <c r="T324" s="34" t="s">
        <v>3820</v>
      </c>
      <c r="U324" s="34">
        <v>375.0</v>
      </c>
      <c r="V324" s="34" t="s">
        <v>3818</v>
      </c>
      <c r="W324" s="34">
        <v>100.0</v>
      </c>
      <c r="X324" s="33">
        <f>'Old Balance Sheet'!D324 + 'ACPL Calculations - 1.0'!D324 + 'ACPL Calculations - 2.0'!D324</f>
        <v>0</v>
      </c>
      <c r="Y324" s="34" t="s">
        <v>3820</v>
      </c>
      <c r="Z324" s="34">
        <v>460.0</v>
      </c>
      <c r="AA324" s="32" t="s">
        <v>3818</v>
      </c>
      <c r="AB324" s="31">
        <v>100.0</v>
      </c>
      <c r="AC324" s="33">
        <f>'Old Balance Sheet'!E324 + 'ACPL Calculations - 1.0'!E324 + 'ACPL Calculations - 2.0'!E324</f>
        <v>0</v>
      </c>
      <c r="AD324" s="34" t="s">
        <v>3820</v>
      </c>
      <c r="AE324" s="34">
        <v>838.99</v>
      </c>
      <c r="AF324" s="32" t="s">
        <v>3818</v>
      </c>
      <c r="AG324" s="31">
        <v>100.0</v>
      </c>
      <c r="AH324" s="33">
        <f>'Old Balance Sheet'!F324 + 'ACPL Calculations - 1.0'!F324 + 'ACPL Calculations - 2.0'!F324</f>
        <v>0</v>
      </c>
      <c r="AI324" s="34" t="s">
        <v>3820</v>
      </c>
      <c r="AJ324" s="34">
        <v>375.0</v>
      </c>
      <c r="AK324" s="32" t="s">
        <v>3818</v>
      </c>
      <c r="AL324" s="31">
        <v>100.0</v>
      </c>
      <c r="AM324" s="33">
        <f>'Old Balance Sheet'!G324 + 'ACPL Calculations - 1.0'!G324 + 'ACPL Calculations - 2.0'!G324</f>
        <v>0</v>
      </c>
      <c r="AN324" s="34" t="s">
        <v>3820</v>
      </c>
      <c r="AO324" s="34">
        <v>290.0</v>
      </c>
      <c r="AP324" s="32" t="s">
        <v>3818</v>
      </c>
      <c r="AQ324" s="31">
        <v>100.0</v>
      </c>
      <c r="AR324" s="33">
        <f>'Old Balance Sheet'!H324 + 'ACPL Calculations - 1.0'!H324 + 'ACPL Calculations - 2.0'!H324</f>
        <v>0</v>
      </c>
      <c r="AS324" s="34" t="s">
        <v>3819</v>
      </c>
      <c r="AT324" s="34">
        <v>838.99</v>
      </c>
      <c r="AU324" s="32" t="s">
        <v>3818</v>
      </c>
      <c r="AV324" s="31">
        <v>100.0</v>
      </c>
      <c r="AW324" s="33">
        <f>'Old Balance Sheet'!I324 + 'ACPL Calculations - 1.0'!I324 + 'ACPL Calculations - 2.0'!I324</f>
        <v>0</v>
      </c>
      <c r="AX324" s="34" t="s">
        <v>3820</v>
      </c>
      <c r="AY324" s="34">
        <v>290.0</v>
      </c>
      <c r="AZ324" s="32" t="s">
        <v>3818</v>
      </c>
      <c r="BA324" s="31">
        <v>100.0</v>
      </c>
      <c r="BB324" s="33">
        <f>'Old Balance Sheet'!J324 + 'ACPL Calculations - 1.0'!J324 + 'ACPL Calculations - 2.0'!J324</f>
        <v>0</v>
      </c>
      <c r="BC324" s="34" t="s">
        <v>3820</v>
      </c>
      <c r="BD324" s="34">
        <v>205.0</v>
      </c>
      <c r="BE324" s="32" t="s">
        <v>3818</v>
      </c>
      <c r="BF324" s="31">
        <v>100.0</v>
      </c>
      <c r="BG324" s="33">
        <f>'Old Balance Sheet'!K324 + 'ACPL Calculations - 1.0'!K324 + 'ACPL Calculations - 2.0'!K324</f>
        <v>0</v>
      </c>
      <c r="BH324" s="34" t="s">
        <v>3820</v>
      </c>
      <c r="BI324" s="34">
        <v>205.0</v>
      </c>
      <c r="BJ324" s="32" t="s">
        <v>3818</v>
      </c>
      <c r="BK324" s="31">
        <v>100.0</v>
      </c>
      <c r="BL324" s="33">
        <f>'Old Balance Sheet'!L324 + 'ACPL Calculations - 1.0'!L324 + 'ACPL Calculations - 2.0'!L324</f>
        <v>0</v>
      </c>
      <c r="CL324" s="33">
        <f t="shared" si="1"/>
        <v>95</v>
      </c>
      <c r="CM324" s="33">
        <f>'Old Balance Sheet'!R324 + 'ACPL Calculations - 1.0'!S324 + 'ACPL Calculations - 2.0'!S324</f>
        <v>41990</v>
      </c>
      <c r="CN324" s="33">
        <f>'Old Balance Sheet'!S324 + 'ACPL Calculations - 1.0'!T324 + 'ACPL Calculations - 2.0'!T324</f>
        <v>16150</v>
      </c>
      <c r="CO324" s="33">
        <f t="shared" si="2"/>
        <v>22554.9</v>
      </c>
      <c r="CP324" s="33">
        <f>'Old Balance Sheet'!T324 + 'ACPL Calculations - 1.0'!V324 + 'ACPL Calculations - 2.0'!V324</f>
        <v>0</v>
      </c>
      <c r="CQ324" s="33">
        <f>'Old Balance Sheet'!U324 + 'ACPL Calculations - 1.0'!W324 + 'ACPL Calculations - 2.0'!W324</f>
        <v>0</v>
      </c>
      <c r="CR324" s="33">
        <f>'Old Balance Sheet'!V324 + 'ACPL Calculations - 1.0'!X324 + 'ACPL Calculations - 2.0'!X324</f>
        <v>6404.9</v>
      </c>
      <c r="CS324" s="33">
        <f t="shared" si="3"/>
        <v>6404.9</v>
      </c>
      <c r="CT324" s="35"/>
      <c r="CU324" s="35"/>
      <c r="CV324" s="35"/>
      <c r="CW324" s="36">
        <f>'Old Balance Sheet'!W324 + 'ACPL Calculations - 1.0'!Z324 + 'ACPL Calculations - 2.0'!Z324</f>
        <v>0</v>
      </c>
      <c r="CX324" s="36">
        <f>'Old Balance Sheet'!X324 + 'ACPL Calculations - 1.0'!AA324 + 'ACPL Calculations - 2.0'!AA324</f>
        <v>0</v>
      </c>
      <c r="CY324" s="37">
        <v>0.0</v>
      </c>
      <c r="CZ324" s="38">
        <f>'Old Balance Sheet'!Y324 + 'ACPL Calculations - 1.0'!AB324 + 'ACPL Calculations - 2.0'!AB324</f>
        <v>0</v>
      </c>
      <c r="DA324" s="38">
        <f>'Old Balance Sheet'!Z324 + 'ACPL Calculations - 1.0'!AC324 + 'ACPL Calculations - 2.0'!AC324</f>
        <v>0</v>
      </c>
      <c r="DB324" s="38">
        <f>'Old Balance Sheet'!AA324 + 'ACPL Calculations - 1.0'!AD324 + 'ACPL Calculations - 2.0'!AD324</f>
        <v>0</v>
      </c>
      <c r="DC324" s="38">
        <f>'Old Balance Sheet'!AB324 + 'ACPL Calculations - 1.0'!AE324 + 'ACPL Calculations - 2.0'!AE324</f>
        <v>0</v>
      </c>
      <c r="DD324" s="38">
        <f t="shared" si="4"/>
        <v>0</v>
      </c>
      <c r="DE324" s="33">
        <f t="shared" si="5"/>
        <v>0</v>
      </c>
      <c r="DF324" s="35">
        <v>0.0</v>
      </c>
      <c r="DG324" s="35">
        <v>0.0</v>
      </c>
      <c r="DH324" s="35">
        <v>0.0</v>
      </c>
      <c r="DI324" s="35">
        <v>0.0</v>
      </c>
      <c r="DJ324" s="35">
        <v>0.0</v>
      </c>
      <c r="DK324" s="35">
        <v>0.0</v>
      </c>
      <c r="DL324" s="35">
        <v>0.0</v>
      </c>
      <c r="DM324" s="35">
        <v>0.0</v>
      </c>
      <c r="DN324" s="31">
        <v>0.0</v>
      </c>
      <c r="DO324" s="31">
        <v>0.0</v>
      </c>
      <c r="DP324" s="31">
        <v>0.0</v>
      </c>
      <c r="DQ324" s="31">
        <v>0.0</v>
      </c>
      <c r="DR324" s="31">
        <v>0.0</v>
      </c>
      <c r="DS324" s="31">
        <v>0.0</v>
      </c>
      <c r="DT324" s="31">
        <f>'Old Balance Sheet'!AC324</f>
        <v>0</v>
      </c>
      <c r="DU324" s="31">
        <f>DT324 + SUMIFS('Payments Log'!D:D, 'Payments Log'!B:B, A324, 'Payments Log'!L:L, "Approved", 'Payments Log'!M:M, "Credit") + 'Old Balance Sheet'!AD324 - 'Old Balance Sheet'!AC324</f>
        <v>0</v>
      </c>
      <c r="DV324" s="31">
        <f>SUMIFS('Payments Log'!D:D, 'Payments Log'!B:B, A324, 'Payments Log'!L:L, "Approved", 'Payments Log'!M:M, "Adjustment Credit") - SUMIFS('Payments Log'!D:D, 'Payments Log'!B:B, A324, 'Payments Log'!L:L, "Approved", 'Payments Log'!M:M, "Adjustment Debit") + 'Old Balance Sheet'!AE324</f>
        <v>0</v>
      </c>
      <c r="DW324" s="31">
        <f>IF(MAXIFS('Payments Log'!N:N, 'Payments Log'!L:L, "Approved", 'Payments Log'!M:M, "Credit", 'Payments Log'!B:B, A324) &gt; MAXIFS('Payments Log'!N:N, 'Payments Log'!L:L, "Approved", 'Payments Log'!M:M, "Virtual Credit", 'Payments Log'!B:B, A324), 0, SUMIFS('Payments Log'!D:D, 'Payments Log'!N:N, MAXIFS('Payments Log'!N:N, 'Payments Log'!L:L, "Approved", 'Payments Log'!M:M, "Virtual Credit", 'Payments Log'!B:B, A324)))</f>
        <v>0</v>
      </c>
      <c r="DX324" s="33">
        <f t="shared" si="6"/>
        <v>0</v>
      </c>
      <c r="DY324" s="33">
        <f t="shared" si="7"/>
        <v>0</v>
      </c>
      <c r="DZ324" s="33">
        <f t="shared" si="8"/>
        <v>0</v>
      </c>
      <c r="EA324" s="25" t="str">
        <f>(Sheet1!N324)</f>
        <v>VAISHNO MOTORS - JHUGAWA</v>
      </c>
      <c r="EB324" s="25" t="str">
        <f>(Sheet1!O324)</f>
        <v>1T9TOPNccEkZyvcMjs5_ErkZRFNoV3A33YcZPKCnjNeI</v>
      </c>
      <c r="EC324" s="26" t="str">
        <f>(Sheet1!P324)</f>
        <v>Sub Dealer</v>
      </c>
      <c r="ED324" s="34" t="s">
        <v>13</v>
      </c>
    </row>
    <row r="325">
      <c r="A325" s="25" t="str">
        <f>(Sheet1!A325)</f>
        <v>16tjO40jnriUy06QB22S0NR8Wknhx9T0lcBH_yEqsZIw</v>
      </c>
      <c r="B325" s="25" t="str">
        <f>(Sheet1!B325)</f>
        <v>TANUSHKA HERO- GWALIOR</v>
      </c>
      <c r="C325" s="30" t="s">
        <v>13</v>
      </c>
      <c r="D325" s="25" t="s">
        <v>72</v>
      </c>
      <c r="E325" s="30" t="s">
        <v>3817</v>
      </c>
      <c r="F325" s="31">
        <v>131.0</v>
      </c>
      <c r="G325" s="25" t="s">
        <v>3818</v>
      </c>
      <c r="H325" s="33">
        <v>100.0</v>
      </c>
      <c r="I325" s="33">
        <f>'Old Balance Sheet'!A325 + 'ACPL Calculations - 1.0'!A325 + 'ACPL Calculations - 2.0'!A325</f>
        <v>2484</v>
      </c>
      <c r="J325" s="30" t="s">
        <v>3817</v>
      </c>
      <c r="K325" s="33">
        <v>205.0</v>
      </c>
      <c r="L325" s="25" t="s">
        <v>3818</v>
      </c>
      <c r="M325" s="33">
        <v>100.0</v>
      </c>
      <c r="N325" s="33">
        <f>'Old Balance Sheet'!B325 + 'ACPL Calculations - 1.0'!B325 + 'ACPL Calculations - 2.0'!B325</f>
        <v>0</v>
      </c>
      <c r="O325" s="30" t="s">
        <v>3817</v>
      </c>
      <c r="P325" s="31">
        <v>290.0</v>
      </c>
      <c r="Q325" s="25" t="s">
        <v>3818</v>
      </c>
      <c r="R325" s="33">
        <v>100.0</v>
      </c>
      <c r="S325" s="33">
        <f>'Old Balance Sheet'!C325 + 'ACPL Calculations - 1.0'!C325 + 'ACPL Calculations - 2.0'!C325</f>
        <v>0</v>
      </c>
      <c r="T325" s="30" t="s">
        <v>3817</v>
      </c>
      <c r="U325" s="33">
        <v>375.0</v>
      </c>
      <c r="V325" s="25" t="s">
        <v>3818</v>
      </c>
      <c r="W325" s="33">
        <v>100.0</v>
      </c>
      <c r="X325" s="33">
        <f>'Old Balance Sheet'!D325 + 'ACPL Calculations - 1.0'!D325 + 'ACPL Calculations - 2.0'!D325</f>
        <v>0</v>
      </c>
      <c r="Y325" s="30" t="s">
        <v>3817</v>
      </c>
      <c r="Z325" s="33">
        <v>460.0</v>
      </c>
      <c r="AA325" s="42" t="s">
        <v>3818</v>
      </c>
      <c r="AB325" s="43">
        <v>100.0</v>
      </c>
      <c r="AC325" s="33">
        <f>'Old Balance Sheet'!E325 + 'ACPL Calculations - 1.0'!E325 + 'ACPL Calculations - 2.0'!E325</f>
        <v>0</v>
      </c>
      <c r="AD325" s="30" t="s">
        <v>3817</v>
      </c>
      <c r="AE325" s="33">
        <v>838.99</v>
      </c>
      <c r="AF325" s="42" t="s">
        <v>3818</v>
      </c>
      <c r="AG325" s="43">
        <v>100.0</v>
      </c>
      <c r="AH325" s="33">
        <f>'Old Balance Sheet'!F325 + 'ACPL Calculations - 1.0'!F325 + 'ACPL Calculations - 2.0'!F325</f>
        <v>0</v>
      </c>
      <c r="AI325" s="30" t="s">
        <v>3817</v>
      </c>
      <c r="AJ325" s="33">
        <v>375.0</v>
      </c>
      <c r="AK325" s="42" t="s">
        <v>3818</v>
      </c>
      <c r="AL325" s="43">
        <v>100.0</v>
      </c>
      <c r="AM325" s="33">
        <f>'Old Balance Sheet'!G325 + 'ACPL Calculations - 1.0'!G325 + 'ACPL Calculations - 2.0'!G325</f>
        <v>0</v>
      </c>
      <c r="AN325" s="30" t="s">
        <v>3817</v>
      </c>
      <c r="AO325" s="33">
        <v>290.0</v>
      </c>
      <c r="AP325" s="42" t="s">
        <v>3818</v>
      </c>
      <c r="AQ325" s="43">
        <v>100.0</v>
      </c>
      <c r="AR325" s="33">
        <f>'Old Balance Sheet'!H325 + 'ACPL Calculations - 1.0'!H325 + 'ACPL Calculations - 2.0'!H325</f>
        <v>0</v>
      </c>
      <c r="AS325" s="30" t="s">
        <v>3819</v>
      </c>
      <c r="AT325" s="33">
        <v>838.99</v>
      </c>
      <c r="AU325" s="42" t="s">
        <v>3818</v>
      </c>
      <c r="AV325" s="43">
        <v>100.0</v>
      </c>
      <c r="AW325" s="33">
        <f>'Old Balance Sheet'!I325 + 'ACPL Calculations - 1.0'!I325 + 'ACPL Calculations - 2.0'!I325</f>
        <v>0</v>
      </c>
      <c r="AX325" s="30" t="s">
        <v>3817</v>
      </c>
      <c r="AY325" s="31">
        <v>290.0</v>
      </c>
      <c r="AZ325" s="42" t="s">
        <v>3818</v>
      </c>
      <c r="BA325" s="43">
        <v>100.0</v>
      </c>
      <c r="BB325" s="33">
        <f>'Old Balance Sheet'!J325 + 'ACPL Calculations - 1.0'!J325 + 'ACPL Calculations - 2.0'!J325</f>
        <v>0</v>
      </c>
      <c r="BC325" s="30" t="s">
        <v>3817</v>
      </c>
      <c r="BD325" s="31">
        <v>205.0</v>
      </c>
      <c r="BE325" s="42" t="s">
        <v>3818</v>
      </c>
      <c r="BF325" s="43">
        <v>100.0</v>
      </c>
      <c r="BG325" s="33">
        <f>'Old Balance Sheet'!K325 + 'ACPL Calculations - 1.0'!K325 + 'ACPL Calculations - 2.0'!K325</f>
        <v>0</v>
      </c>
      <c r="BH325" s="30" t="s">
        <v>3817</v>
      </c>
      <c r="BI325" s="31">
        <v>205.0</v>
      </c>
      <c r="BJ325" s="42" t="s">
        <v>3818</v>
      </c>
      <c r="BK325" s="43">
        <v>100.0</v>
      </c>
      <c r="BL325" s="33">
        <f>'Old Balance Sheet'!L325 + 'ACPL Calculations - 1.0'!L325 + 'ACPL Calculations - 2.0'!L325</f>
        <v>0</v>
      </c>
      <c r="BM325" s="25"/>
      <c r="BN325" s="25"/>
      <c r="BO325" s="25"/>
      <c r="BP325" s="25"/>
      <c r="BQ325" s="25"/>
      <c r="BR325" s="25"/>
      <c r="BS325" s="25"/>
      <c r="BT325" s="25"/>
      <c r="BU325" s="25"/>
      <c r="BV325" s="25"/>
      <c r="BW325" s="25"/>
      <c r="BX325" s="25"/>
      <c r="BY325" s="25"/>
      <c r="BZ325" s="25"/>
      <c r="CA325" s="25"/>
      <c r="CB325" s="25"/>
      <c r="CC325" s="25"/>
      <c r="CD325" s="25"/>
      <c r="CE325" s="25"/>
      <c r="CF325" s="25"/>
      <c r="CG325" s="25"/>
      <c r="CH325" s="25"/>
      <c r="CI325" s="25"/>
      <c r="CJ325" s="25"/>
      <c r="CK325" s="25"/>
      <c r="CL325" s="33">
        <f t="shared" si="1"/>
        <v>2484</v>
      </c>
      <c r="CM325" s="33">
        <f>'Old Balance Sheet'!R325 + 'ACPL Calculations - 1.0'!S325 + 'ACPL Calculations - 2.0'!S325</f>
        <v>968760</v>
      </c>
      <c r="CN325" s="33">
        <f>'Old Balance Sheet'!S325 + 'ACPL Calculations - 1.0'!T325 + 'ACPL Calculations - 2.0'!T325</f>
        <v>325404</v>
      </c>
      <c r="CO325" s="33">
        <f t="shared" si="2"/>
        <v>473177.16</v>
      </c>
      <c r="CP325" s="33">
        <f>'Old Balance Sheet'!T325 + 'ACPL Calculations - 1.0'!V325 + 'ACPL Calculations - 2.0'!V325</f>
        <v>0</v>
      </c>
      <c r="CQ325" s="33">
        <f>'Old Balance Sheet'!U325 + 'ACPL Calculations - 1.0'!W325 + 'ACPL Calculations - 2.0'!W325</f>
        <v>0</v>
      </c>
      <c r="CR325" s="33">
        <f>'Old Balance Sheet'!V325 + 'ACPL Calculations - 1.0'!X325 + 'ACPL Calculations - 2.0'!X325</f>
        <v>147773.16</v>
      </c>
      <c r="CS325" s="33">
        <f t="shared" si="3"/>
        <v>147773.16</v>
      </c>
      <c r="CT325" s="35"/>
      <c r="CU325" s="35"/>
      <c r="CV325" s="35"/>
      <c r="CW325" s="36">
        <f>'Old Balance Sheet'!W325 + 'ACPL Calculations - 1.0'!Z325 + 'ACPL Calculations - 2.0'!Z325</f>
        <v>497566.54</v>
      </c>
      <c r="CX325" s="36">
        <f>'Old Balance Sheet'!X325 + 'ACPL Calculations - 1.0'!AA325 + 'ACPL Calculations - 2.0'!AA325</f>
        <v>497566.54</v>
      </c>
      <c r="CY325" s="37">
        <v>0.0</v>
      </c>
      <c r="CZ325" s="38">
        <f>'Old Balance Sheet'!Y325 + 'ACPL Calculations - 1.0'!AB325 + 'ACPL Calculations - 2.0'!AB325</f>
        <v>495183.82</v>
      </c>
      <c r="DA325" s="38">
        <f>'Old Balance Sheet'!Z325 + 'ACPL Calculations - 1.0'!AC325 + 'ACPL Calculations - 2.0'!AC325</f>
        <v>470413.46</v>
      </c>
      <c r="DB325" s="38">
        <f>'Old Balance Sheet'!AA325 + 'ACPL Calculations - 1.0'!AD325 + 'ACPL Calculations - 2.0'!AD325</f>
        <v>24770.36</v>
      </c>
      <c r="DC325" s="38">
        <f>'Old Balance Sheet'!AB325 + 'ACPL Calculations - 1.0'!AE325 + 'ACPL Calculations - 2.0'!AE325</f>
        <v>0</v>
      </c>
      <c r="DD325" s="38">
        <f t="shared" si="4"/>
        <v>0</v>
      </c>
      <c r="DE325" s="33">
        <f t="shared" si="5"/>
        <v>0</v>
      </c>
      <c r="DF325" s="35">
        <v>0.0</v>
      </c>
      <c r="DG325" s="35">
        <v>0.0</v>
      </c>
      <c r="DH325" s="35">
        <v>0.0</v>
      </c>
      <c r="DI325" s="35">
        <v>0.0</v>
      </c>
      <c r="DJ325" s="35">
        <v>0.0</v>
      </c>
      <c r="DK325" s="35">
        <v>0.0</v>
      </c>
      <c r="DL325" s="35">
        <v>0.0</v>
      </c>
      <c r="DM325" s="35">
        <v>0.0</v>
      </c>
      <c r="DN325" s="31">
        <v>0.0</v>
      </c>
      <c r="DO325" s="31">
        <v>0.0</v>
      </c>
      <c r="DP325" s="31">
        <v>0.0</v>
      </c>
      <c r="DQ325" s="31">
        <v>0.0</v>
      </c>
      <c r="DR325" s="31">
        <v>0.0</v>
      </c>
      <c r="DS325" s="31">
        <v>0.0</v>
      </c>
      <c r="DT325" s="31">
        <f>'Old Balance Sheet'!AC325</f>
        <v>0</v>
      </c>
      <c r="DU325" s="31">
        <f>DT325 + SUMIFS('Payments Log'!D:D, 'Payments Log'!B:B, A325, 'Payments Log'!L:L, "Approved", 'Payments Log'!M:M, "Credit") + 'Old Balance Sheet'!AD325 - 'Old Balance Sheet'!AC325</f>
        <v>511000</v>
      </c>
      <c r="DV325" s="31">
        <f>SUMIFS('Payments Log'!D:D, 'Payments Log'!B:B, A325, 'Payments Log'!L:L, "Approved", 'Payments Log'!M:M, "Adjustment Credit") - SUMIFS('Payments Log'!D:D, 'Payments Log'!B:B, A325, 'Payments Log'!L:L, "Approved", 'Payments Log'!M:M, "Adjustment Debit") + 'Old Balance Sheet'!AE325</f>
        <v>0</v>
      </c>
      <c r="DW325" s="31">
        <f>IF(MAXIFS('Payments Log'!N:N, 'Payments Log'!L:L, "Approved", 'Payments Log'!M:M, "Credit", 'Payments Log'!B:B, A325) &gt; MAXIFS('Payments Log'!N:N, 'Payments Log'!L:L, "Approved", 'Payments Log'!M:M, "Virtual Credit", 'Payments Log'!B:B, A325), 0, SUMIFS('Payments Log'!D:D, 'Payments Log'!N:N, MAXIFS('Payments Log'!N:N, 'Payments Log'!L:L, "Approved", 'Payments Log'!M:M, "Virtual Credit", 'Payments Log'!B:B, A325)))</f>
        <v>0</v>
      </c>
      <c r="DX325" s="33">
        <f t="shared" si="6"/>
        <v>13433.46</v>
      </c>
      <c r="DY325" s="33">
        <f t="shared" si="7"/>
        <v>13433.46</v>
      </c>
      <c r="DZ325" s="33">
        <f t="shared" si="8"/>
        <v>13433.46</v>
      </c>
      <c r="EA325" s="25" t="str">
        <f>(Sheet1!N325)</f>
        <v>TANUSHKA HERO- GWALIOR</v>
      </c>
      <c r="EB325" s="25" t="str">
        <f>(Sheet1!O325)</f>
        <v>16tjO40jnriUy06QB22S0NR8Wknhx9T0lcBH_yEqsZIw</v>
      </c>
      <c r="EC325" s="26" t="str">
        <f>(Sheet1!P325)</f>
        <v>Dealer</v>
      </c>
      <c r="ED325" s="34" t="s">
        <v>13</v>
      </c>
    </row>
    <row r="326">
      <c r="A326" s="25" t="str">
        <f>(Sheet1!A326)</f>
        <v>1D40bKySVAERErGis9rDO7LQ53qmdU5GNEz2GXvuNXng</v>
      </c>
      <c r="B326" s="25" t="str">
        <f>(Sheet1!B326)</f>
        <v>BABA AUTOMOBILES- SHAJAPUR</v>
      </c>
      <c r="C326" s="30" t="s">
        <v>13</v>
      </c>
      <c r="D326" s="25" t="s">
        <v>72</v>
      </c>
      <c r="E326" s="30" t="s">
        <v>3817</v>
      </c>
      <c r="F326" s="31">
        <v>170.0</v>
      </c>
      <c r="G326" s="25" t="s">
        <v>3818</v>
      </c>
      <c r="H326" s="33">
        <v>100.0</v>
      </c>
      <c r="I326" s="33">
        <f>'Old Balance Sheet'!A326 + 'ACPL Calculations - 1.0'!A326 + 'ACPL Calculations - 2.0'!A326</f>
        <v>16</v>
      </c>
      <c r="J326" s="30" t="s">
        <v>3817</v>
      </c>
      <c r="K326" s="33">
        <v>205.0</v>
      </c>
      <c r="L326" s="25" t="s">
        <v>3818</v>
      </c>
      <c r="M326" s="33">
        <v>100.0</v>
      </c>
      <c r="N326" s="33">
        <f>'Old Balance Sheet'!B326 + 'ACPL Calculations - 1.0'!B326 + 'ACPL Calculations - 2.0'!B326</f>
        <v>0</v>
      </c>
      <c r="O326" s="30" t="s">
        <v>3817</v>
      </c>
      <c r="P326" s="31">
        <v>290.0</v>
      </c>
      <c r="Q326" s="25" t="s">
        <v>3818</v>
      </c>
      <c r="R326" s="33">
        <v>100.0</v>
      </c>
      <c r="S326" s="33">
        <f>'Old Balance Sheet'!C326 + 'ACPL Calculations - 1.0'!C326 + 'ACPL Calculations - 2.0'!C326</f>
        <v>0</v>
      </c>
      <c r="T326" s="30" t="s">
        <v>3817</v>
      </c>
      <c r="U326" s="33">
        <v>375.0</v>
      </c>
      <c r="V326" s="25" t="s">
        <v>3818</v>
      </c>
      <c r="W326" s="33">
        <v>100.0</v>
      </c>
      <c r="X326" s="33">
        <f>'Old Balance Sheet'!D326 + 'ACPL Calculations - 1.0'!D326 + 'ACPL Calculations - 2.0'!D326</f>
        <v>0</v>
      </c>
      <c r="Y326" s="30" t="s">
        <v>3817</v>
      </c>
      <c r="Z326" s="33">
        <v>460.0</v>
      </c>
      <c r="AA326" s="42" t="s">
        <v>3818</v>
      </c>
      <c r="AB326" s="43">
        <v>100.0</v>
      </c>
      <c r="AC326" s="33">
        <f>'Old Balance Sheet'!E326 + 'ACPL Calculations - 1.0'!E326 + 'ACPL Calculations - 2.0'!E326</f>
        <v>0</v>
      </c>
      <c r="AD326" s="30" t="s">
        <v>3817</v>
      </c>
      <c r="AE326" s="33">
        <v>838.99</v>
      </c>
      <c r="AF326" s="42" t="s">
        <v>3818</v>
      </c>
      <c r="AG326" s="43">
        <v>100.0</v>
      </c>
      <c r="AH326" s="33">
        <f>'Old Balance Sheet'!F326 + 'ACPL Calculations - 1.0'!F326 + 'ACPL Calculations - 2.0'!F326</f>
        <v>0</v>
      </c>
      <c r="AI326" s="30" t="s">
        <v>3817</v>
      </c>
      <c r="AJ326" s="33">
        <v>375.0</v>
      </c>
      <c r="AK326" s="42" t="s">
        <v>3818</v>
      </c>
      <c r="AL326" s="43">
        <v>100.0</v>
      </c>
      <c r="AM326" s="33">
        <f>'Old Balance Sheet'!G326 + 'ACPL Calculations - 1.0'!G326 + 'ACPL Calculations - 2.0'!G326</f>
        <v>0</v>
      </c>
      <c r="AN326" s="30" t="s">
        <v>3817</v>
      </c>
      <c r="AO326" s="33">
        <v>290.0</v>
      </c>
      <c r="AP326" s="42" t="s">
        <v>3818</v>
      </c>
      <c r="AQ326" s="43">
        <v>100.0</v>
      </c>
      <c r="AR326" s="33">
        <f>'Old Balance Sheet'!H326 + 'ACPL Calculations - 1.0'!H326 + 'ACPL Calculations - 2.0'!H326</f>
        <v>0</v>
      </c>
      <c r="AS326" s="30" t="s">
        <v>3819</v>
      </c>
      <c r="AT326" s="33">
        <v>838.99</v>
      </c>
      <c r="AU326" s="42" t="s">
        <v>3818</v>
      </c>
      <c r="AV326" s="43">
        <v>100.0</v>
      </c>
      <c r="AW326" s="33">
        <f>'Old Balance Sheet'!I326 + 'ACPL Calculations - 1.0'!I326 + 'ACPL Calculations - 2.0'!I326</f>
        <v>0</v>
      </c>
      <c r="AX326" s="30" t="s">
        <v>3817</v>
      </c>
      <c r="AY326" s="31">
        <v>290.0</v>
      </c>
      <c r="AZ326" s="42" t="s">
        <v>3818</v>
      </c>
      <c r="BA326" s="43">
        <v>100.0</v>
      </c>
      <c r="BB326" s="33">
        <f>'Old Balance Sheet'!J326 + 'ACPL Calculations - 1.0'!J326 + 'ACPL Calculations - 2.0'!J326</f>
        <v>0</v>
      </c>
      <c r="BC326" s="30" t="s">
        <v>3817</v>
      </c>
      <c r="BD326" s="31">
        <v>205.0</v>
      </c>
      <c r="BE326" s="42" t="s">
        <v>3818</v>
      </c>
      <c r="BF326" s="43">
        <v>100.0</v>
      </c>
      <c r="BG326" s="33">
        <f>'Old Balance Sheet'!K326 + 'ACPL Calculations - 1.0'!K326 + 'ACPL Calculations - 2.0'!K326</f>
        <v>0</v>
      </c>
      <c r="BH326" s="30" t="s">
        <v>3817</v>
      </c>
      <c r="BI326" s="31">
        <v>205.0</v>
      </c>
      <c r="BJ326" s="42" t="s">
        <v>3818</v>
      </c>
      <c r="BK326" s="43">
        <v>100.0</v>
      </c>
      <c r="BL326" s="33">
        <f>'Old Balance Sheet'!L326 + 'ACPL Calculations - 1.0'!L326 + 'ACPL Calculations - 2.0'!L326</f>
        <v>0</v>
      </c>
      <c r="BM326" s="25"/>
      <c r="BN326" s="25"/>
      <c r="BO326" s="25"/>
      <c r="BP326" s="25"/>
      <c r="BQ326" s="25"/>
      <c r="BR326" s="25"/>
      <c r="BS326" s="25"/>
      <c r="BT326" s="25"/>
      <c r="BU326" s="25"/>
      <c r="BV326" s="25"/>
      <c r="BW326" s="25"/>
      <c r="BX326" s="25"/>
      <c r="BY326" s="25"/>
      <c r="BZ326" s="25"/>
      <c r="CA326" s="25"/>
      <c r="CB326" s="25"/>
      <c r="CC326" s="25"/>
      <c r="CD326" s="25"/>
      <c r="CE326" s="25"/>
      <c r="CF326" s="25"/>
      <c r="CG326" s="25"/>
      <c r="CH326" s="25"/>
      <c r="CI326" s="25"/>
      <c r="CJ326" s="25"/>
      <c r="CK326" s="25"/>
      <c r="CL326" s="33">
        <f t="shared" si="1"/>
        <v>16</v>
      </c>
      <c r="CM326" s="33">
        <f>'Old Balance Sheet'!R326 + 'ACPL Calculations - 1.0'!S326 + 'ACPL Calculations - 2.0'!S326</f>
        <v>6240</v>
      </c>
      <c r="CN326" s="33">
        <f>'Old Balance Sheet'!S326 + 'ACPL Calculations - 1.0'!T326 + 'ACPL Calculations - 2.0'!T326</f>
        <v>2720</v>
      </c>
      <c r="CO326" s="33">
        <f t="shared" si="2"/>
        <v>3671.84</v>
      </c>
      <c r="CP326" s="33">
        <f>'Old Balance Sheet'!T326 + 'ACPL Calculations - 1.0'!V326 + 'ACPL Calculations - 2.0'!V326</f>
        <v>0</v>
      </c>
      <c r="CQ326" s="33">
        <f>'Old Balance Sheet'!U326 + 'ACPL Calculations - 1.0'!W326 + 'ACPL Calculations - 2.0'!W326</f>
        <v>0</v>
      </c>
      <c r="CR326" s="33">
        <f>'Old Balance Sheet'!V326 + 'ACPL Calculations - 1.0'!X326 + 'ACPL Calculations - 2.0'!X326</f>
        <v>951.84</v>
      </c>
      <c r="CS326" s="33">
        <f t="shared" si="3"/>
        <v>951.84</v>
      </c>
      <c r="CT326" s="35"/>
      <c r="CU326" s="35"/>
      <c r="CV326" s="35"/>
      <c r="CW326" s="36">
        <f>'Old Balance Sheet'!W326 + 'ACPL Calculations - 1.0'!Z326 + 'ACPL Calculations - 2.0'!Z326</f>
        <v>3800.32</v>
      </c>
      <c r="CX326" s="36">
        <f>'Old Balance Sheet'!X326 + 'ACPL Calculations - 1.0'!AA326 + 'ACPL Calculations - 2.0'!AA326</f>
        <v>3800.32</v>
      </c>
      <c r="CY326" s="37">
        <v>0.0</v>
      </c>
      <c r="CZ326" s="38">
        <f>'Old Balance Sheet'!Y326 + 'ACPL Calculations - 1.0'!AB326 + 'ACPL Calculations - 2.0'!AB326</f>
        <v>2568.16</v>
      </c>
      <c r="DA326" s="38">
        <f>'Old Balance Sheet'!Z326 + 'ACPL Calculations - 1.0'!AC326 + 'ACPL Calculations - 2.0'!AC326</f>
        <v>2439.68</v>
      </c>
      <c r="DB326" s="38">
        <f>'Old Balance Sheet'!AA326 + 'ACPL Calculations - 1.0'!AD326 + 'ACPL Calculations - 2.0'!AD326</f>
        <v>128.48</v>
      </c>
      <c r="DC326" s="38">
        <f>'Old Balance Sheet'!AB326 + 'ACPL Calculations - 1.0'!AE326 + 'ACPL Calculations - 2.0'!AE326</f>
        <v>0</v>
      </c>
      <c r="DD326" s="38">
        <f t="shared" si="4"/>
        <v>0</v>
      </c>
      <c r="DE326" s="33">
        <f t="shared" si="5"/>
        <v>0</v>
      </c>
      <c r="DF326" s="35">
        <v>0.0</v>
      </c>
      <c r="DG326" s="35">
        <v>0.0</v>
      </c>
      <c r="DH326" s="35">
        <v>0.0</v>
      </c>
      <c r="DI326" s="35">
        <v>0.0</v>
      </c>
      <c r="DJ326" s="35">
        <v>0.0</v>
      </c>
      <c r="DK326" s="35">
        <v>0.0</v>
      </c>
      <c r="DL326" s="35">
        <v>0.0</v>
      </c>
      <c r="DM326" s="35">
        <v>0.0</v>
      </c>
      <c r="DN326" s="31">
        <v>0.0</v>
      </c>
      <c r="DO326" s="31">
        <v>0.0</v>
      </c>
      <c r="DP326" s="31">
        <v>0.0</v>
      </c>
      <c r="DQ326" s="31">
        <v>0.0</v>
      </c>
      <c r="DR326" s="31">
        <v>0.0</v>
      </c>
      <c r="DS326" s="31">
        <v>0.0</v>
      </c>
      <c r="DT326" s="31">
        <f>'Old Balance Sheet'!AC326</f>
        <v>0</v>
      </c>
      <c r="DU326" s="31">
        <f>DT326 + SUMIFS('Payments Log'!D:D, 'Payments Log'!B:B, A326, 'Payments Log'!L:L, "Approved", 'Payments Log'!M:M, "Credit") + 'Old Balance Sheet'!AD326 - 'Old Balance Sheet'!AC326</f>
        <v>4000</v>
      </c>
      <c r="DV326" s="31">
        <f>SUMIFS('Payments Log'!D:D, 'Payments Log'!B:B, A326, 'Payments Log'!L:L, "Approved", 'Payments Log'!M:M, "Adjustment Credit") - SUMIFS('Payments Log'!D:D, 'Payments Log'!B:B, A326, 'Payments Log'!L:L, "Approved", 'Payments Log'!M:M, "Adjustment Debit") + 'Old Balance Sheet'!AE326</f>
        <v>0</v>
      </c>
      <c r="DW326" s="31">
        <f>IF(MAXIFS('Payments Log'!N:N, 'Payments Log'!L:L, "Approved", 'Payments Log'!M:M, "Credit", 'Payments Log'!B:B, A326) &gt; MAXIFS('Payments Log'!N:N, 'Payments Log'!L:L, "Approved", 'Payments Log'!M:M, "Virtual Credit", 'Payments Log'!B:B, A326), 0, SUMIFS('Payments Log'!D:D, 'Payments Log'!N:N, MAXIFS('Payments Log'!N:N, 'Payments Log'!L:L, "Approved", 'Payments Log'!M:M, "Virtual Credit", 'Payments Log'!B:B, A326)))</f>
        <v>0</v>
      </c>
      <c r="DX326" s="33">
        <f t="shared" si="6"/>
        <v>199.68</v>
      </c>
      <c r="DY326" s="33">
        <f t="shared" si="7"/>
        <v>199.68</v>
      </c>
      <c r="DZ326" s="33">
        <f t="shared" si="8"/>
        <v>199.68</v>
      </c>
      <c r="EA326" s="25" t="str">
        <f>(Sheet1!N326)</f>
        <v>BABA AUTOMOBILES- SHAJAPUR</v>
      </c>
      <c r="EB326" s="25" t="str">
        <f>(Sheet1!O326)</f>
        <v>1D40bKySVAERErGis9rDO7LQ53qmdU5GNEz2GXvuNXng</v>
      </c>
      <c r="EC326" s="26" t="str">
        <f>(Sheet1!P326)</f>
        <v>Dealer</v>
      </c>
      <c r="ED326" s="34" t="s">
        <v>13</v>
      </c>
    </row>
    <row r="327">
      <c r="A327" s="25" t="str">
        <f>(Sheet1!A327)</f>
        <v>1kOPQVkAO_ArTU1kAd_VKRa8mVwn2PXu0IkpU2xQgvUI</v>
      </c>
      <c r="B327" s="25" t="str">
        <f>(Sheet1!B327)</f>
        <v>Kapil Vashist Test</v>
      </c>
      <c r="C327" s="30" t="s">
        <v>13</v>
      </c>
      <c r="D327" s="30" t="s">
        <v>72</v>
      </c>
      <c r="E327" s="30" t="s">
        <v>3817</v>
      </c>
      <c r="F327" s="31">
        <v>205.0</v>
      </c>
      <c r="G327" s="32" t="s">
        <v>3818</v>
      </c>
      <c r="H327" s="31">
        <v>100.0</v>
      </c>
      <c r="I327" s="33">
        <f>'Old Balance Sheet'!A327 + 'ACPL Calculations - 1.0'!A327 + 'ACPL Calculations - 2.0'!A327</f>
        <v>0</v>
      </c>
      <c r="J327" s="30" t="s">
        <v>3817</v>
      </c>
      <c r="K327" s="31">
        <v>205.0</v>
      </c>
      <c r="L327" s="32" t="s">
        <v>3818</v>
      </c>
      <c r="M327" s="31">
        <v>100.0</v>
      </c>
      <c r="N327" s="33">
        <f>'Old Balance Sheet'!B327 + 'ACPL Calculations - 1.0'!B327 + 'ACPL Calculations - 2.0'!B327</f>
        <v>0</v>
      </c>
      <c r="O327" s="30" t="s">
        <v>3817</v>
      </c>
      <c r="P327" s="31">
        <v>290.0</v>
      </c>
      <c r="Q327" s="32" t="s">
        <v>3818</v>
      </c>
      <c r="R327" s="31">
        <v>100.0</v>
      </c>
      <c r="S327" s="33">
        <f>'Old Balance Sheet'!C327 + 'ACPL Calculations - 1.0'!C327 + 'ACPL Calculations - 2.0'!C327</f>
        <v>0</v>
      </c>
      <c r="T327" s="30" t="s">
        <v>3817</v>
      </c>
      <c r="U327" s="31">
        <v>375.0</v>
      </c>
      <c r="V327" s="32" t="s">
        <v>3818</v>
      </c>
      <c r="W327" s="31">
        <v>100.0</v>
      </c>
      <c r="X327" s="33">
        <f>'Old Balance Sheet'!D327 + 'ACPL Calculations - 1.0'!D327 + 'ACPL Calculations - 2.0'!D327</f>
        <v>0</v>
      </c>
      <c r="Y327" s="30" t="s">
        <v>3817</v>
      </c>
      <c r="Z327" s="31">
        <v>460.0</v>
      </c>
      <c r="AA327" s="32" t="s">
        <v>3818</v>
      </c>
      <c r="AB327" s="31">
        <v>100.0</v>
      </c>
      <c r="AC327" s="33">
        <f>'Old Balance Sheet'!E327 + 'ACPL Calculations - 1.0'!E327 + 'ACPL Calculations - 2.0'!E327</f>
        <v>0</v>
      </c>
      <c r="AD327" s="30" t="s">
        <v>3817</v>
      </c>
      <c r="AE327" s="34">
        <v>838.99</v>
      </c>
      <c r="AF327" s="32" t="s">
        <v>3818</v>
      </c>
      <c r="AG327" s="31">
        <v>100.0</v>
      </c>
      <c r="AH327" s="33">
        <f>'Old Balance Sheet'!F327 + 'ACPL Calculations - 1.0'!F327 + 'ACPL Calculations - 2.0'!F327</f>
        <v>0</v>
      </c>
      <c r="AI327" s="30" t="s">
        <v>3817</v>
      </c>
      <c r="AJ327" s="31">
        <v>375.0</v>
      </c>
      <c r="AK327" s="32" t="s">
        <v>3818</v>
      </c>
      <c r="AL327" s="31">
        <v>100.0</v>
      </c>
      <c r="AM327" s="33">
        <f>'Old Balance Sheet'!G327 + 'ACPL Calculations - 1.0'!G327 + 'ACPL Calculations - 2.0'!G327</f>
        <v>0</v>
      </c>
      <c r="AN327" s="30" t="s">
        <v>3817</v>
      </c>
      <c r="AO327" s="31">
        <v>290.0</v>
      </c>
      <c r="AP327" s="32" t="s">
        <v>3818</v>
      </c>
      <c r="AQ327" s="31">
        <v>100.0</v>
      </c>
      <c r="AR327" s="33">
        <f>'Old Balance Sheet'!H327 + 'ACPL Calculations - 1.0'!H327 + 'ACPL Calculations - 2.0'!H327</f>
        <v>0</v>
      </c>
      <c r="AS327" s="30" t="s">
        <v>3819</v>
      </c>
      <c r="AT327" s="31">
        <v>838.99</v>
      </c>
      <c r="AU327" s="32" t="s">
        <v>3818</v>
      </c>
      <c r="AV327" s="31">
        <v>100.0</v>
      </c>
      <c r="AW327" s="33">
        <f>'Old Balance Sheet'!I327 + 'ACPL Calculations - 1.0'!I327 + 'ACPL Calculations - 2.0'!I327</f>
        <v>0</v>
      </c>
      <c r="AX327" s="30" t="s">
        <v>3817</v>
      </c>
      <c r="AY327" s="31">
        <v>290.0</v>
      </c>
      <c r="AZ327" s="32" t="s">
        <v>3818</v>
      </c>
      <c r="BA327" s="31">
        <v>100.0</v>
      </c>
      <c r="BB327" s="33">
        <f>'Old Balance Sheet'!J327 + 'ACPL Calculations - 1.0'!J327 + 'ACPL Calculations - 2.0'!J327</f>
        <v>0</v>
      </c>
      <c r="BC327" s="30" t="s">
        <v>3817</v>
      </c>
      <c r="BD327" s="31">
        <v>205.0</v>
      </c>
      <c r="BE327" s="32" t="s">
        <v>3818</v>
      </c>
      <c r="BF327" s="31">
        <v>100.0</v>
      </c>
      <c r="BG327" s="33">
        <f>'Old Balance Sheet'!K327 + 'ACPL Calculations - 1.0'!K327 + 'ACPL Calculations - 2.0'!K327</f>
        <v>0</v>
      </c>
      <c r="BH327" s="30" t="s">
        <v>3817</v>
      </c>
      <c r="BI327" s="31">
        <v>205.0</v>
      </c>
      <c r="BJ327" s="32" t="s">
        <v>3818</v>
      </c>
      <c r="BK327" s="31">
        <v>100.0</v>
      </c>
      <c r="BL327" s="33">
        <f>'Old Balance Sheet'!L327 + 'ACPL Calculations - 1.0'!L327 + 'ACPL Calculations - 2.0'!L327</f>
        <v>0</v>
      </c>
      <c r="BM327" s="33"/>
      <c r="BN327" s="33"/>
      <c r="BO327" s="33"/>
      <c r="BP327" s="33"/>
      <c r="BQ327" s="33"/>
      <c r="BR327" s="33"/>
      <c r="BS327" s="33"/>
      <c r="BT327" s="33"/>
      <c r="BU327" s="33"/>
      <c r="BV327" s="33"/>
      <c r="BW327" s="33"/>
      <c r="BX327" s="33"/>
      <c r="BY327" s="33"/>
      <c r="BZ327" s="33"/>
      <c r="CA327" s="33"/>
      <c r="CB327" s="33"/>
      <c r="CC327" s="33"/>
      <c r="CD327" s="33"/>
      <c r="CE327" s="33"/>
      <c r="CF327" s="33"/>
      <c r="CG327" s="33"/>
      <c r="CH327" s="33"/>
      <c r="CI327" s="33"/>
      <c r="CJ327" s="33"/>
      <c r="CK327" s="33"/>
      <c r="CL327" s="33">
        <f t="shared" si="1"/>
        <v>0</v>
      </c>
      <c r="CM327" s="33">
        <f>'Old Balance Sheet'!R327 + 'ACPL Calculations - 1.0'!S327 + 'ACPL Calculations - 2.0'!S327</f>
        <v>0</v>
      </c>
      <c r="CN327" s="33">
        <f>'Old Balance Sheet'!S327 + 'ACPL Calculations - 1.0'!T327 + 'ACPL Calculations - 2.0'!T327</f>
        <v>0</v>
      </c>
      <c r="CO327" s="33">
        <f t="shared" si="2"/>
        <v>0</v>
      </c>
      <c r="CP327" s="33">
        <f>'Old Balance Sheet'!T327 + 'ACPL Calculations - 1.0'!V327 + 'ACPL Calculations - 2.0'!V327</f>
        <v>0</v>
      </c>
      <c r="CQ327" s="33">
        <f>'Old Balance Sheet'!U327 + 'ACPL Calculations - 1.0'!W327 + 'ACPL Calculations - 2.0'!W327</f>
        <v>0</v>
      </c>
      <c r="CR327" s="33">
        <f>'Old Balance Sheet'!V327 + 'ACPL Calculations - 1.0'!X327 + 'ACPL Calculations - 2.0'!X327</f>
        <v>0</v>
      </c>
      <c r="CS327" s="33">
        <f t="shared" si="3"/>
        <v>0</v>
      </c>
      <c r="CT327" s="35"/>
      <c r="CU327" s="35"/>
      <c r="CV327" s="35"/>
      <c r="CW327" s="36">
        <f>'Old Balance Sheet'!W327 + 'ACPL Calculations - 1.0'!Z327 + 'ACPL Calculations - 2.0'!Z327</f>
        <v>0</v>
      </c>
      <c r="CX327" s="36">
        <f>'Old Balance Sheet'!X327 + 'ACPL Calculations - 1.0'!AA327 + 'ACPL Calculations - 2.0'!AA327</f>
        <v>0</v>
      </c>
      <c r="CY327" s="37">
        <v>0.0</v>
      </c>
      <c r="CZ327" s="38">
        <f>'Old Balance Sheet'!Y327 + 'ACPL Calculations - 1.0'!AB327 + 'ACPL Calculations - 2.0'!AB327</f>
        <v>0</v>
      </c>
      <c r="DA327" s="38">
        <f>'Old Balance Sheet'!Z327 + 'ACPL Calculations - 1.0'!AC327 + 'ACPL Calculations - 2.0'!AC327</f>
        <v>0</v>
      </c>
      <c r="DB327" s="38">
        <f>'Old Balance Sheet'!AA327 + 'ACPL Calculations - 1.0'!AD327 + 'ACPL Calculations - 2.0'!AD327</f>
        <v>0</v>
      </c>
      <c r="DC327" s="38">
        <f>'Old Balance Sheet'!AB327 + 'ACPL Calculations - 1.0'!AE327 + 'ACPL Calculations - 2.0'!AE327</f>
        <v>0</v>
      </c>
      <c r="DD327" s="38">
        <f t="shared" si="4"/>
        <v>0</v>
      </c>
      <c r="DE327" s="33">
        <f t="shared" si="5"/>
        <v>0</v>
      </c>
      <c r="DF327" s="35">
        <v>0.0</v>
      </c>
      <c r="DG327" s="35">
        <v>0.0</v>
      </c>
      <c r="DH327" s="35">
        <v>0.0</v>
      </c>
      <c r="DI327" s="35">
        <v>0.0</v>
      </c>
      <c r="DJ327" s="35">
        <v>0.0</v>
      </c>
      <c r="DK327" s="35">
        <v>0.0</v>
      </c>
      <c r="DL327" s="35">
        <v>0.0</v>
      </c>
      <c r="DM327" s="35">
        <v>0.0</v>
      </c>
      <c r="DN327" s="31">
        <v>0.0</v>
      </c>
      <c r="DO327" s="31">
        <v>0.0</v>
      </c>
      <c r="DP327" s="31">
        <v>0.0</v>
      </c>
      <c r="DQ327" s="31">
        <v>0.0</v>
      </c>
      <c r="DR327" s="31">
        <v>0.0</v>
      </c>
      <c r="DS327" s="31">
        <v>0.0</v>
      </c>
      <c r="DT327" s="31">
        <f>'Old Balance Sheet'!AC327</f>
        <v>0</v>
      </c>
      <c r="DU327" s="31">
        <f>DT327 + SUMIFS('Payments Log'!D:D, 'Payments Log'!B:B, A327, 'Payments Log'!L:L, "Approved", 'Payments Log'!M:M, "Credit") + 'Old Balance Sheet'!AD327 - 'Old Balance Sheet'!AC327</f>
        <v>0</v>
      </c>
      <c r="DV327" s="31">
        <f>SUMIFS('Payments Log'!D:D, 'Payments Log'!B:B, A327, 'Payments Log'!L:L, "Approved", 'Payments Log'!M:M, "Adjustment Credit") - SUMIFS('Payments Log'!D:D, 'Payments Log'!B:B, A327, 'Payments Log'!L:L, "Approved", 'Payments Log'!M:M, "Adjustment Debit") + 'Old Balance Sheet'!AE327</f>
        <v>0</v>
      </c>
      <c r="DW327" s="31">
        <f>IF(MAXIFS('Payments Log'!N:N, 'Payments Log'!L:L, "Approved", 'Payments Log'!M:M, "Credit", 'Payments Log'!B:B, A327) &gt; MAXIFS('Payments Log'!N:N, 'Payments Log'!L:L, "Approved", 'Payments Log'!M:M, "Virtual Credit", 'Payments Log'!B:B, A327), 0, SUMIFS('Payments Log'!D:D, 'Payments Log'!N:N, MAXIFS('Payments Log'!N:N, 'Payments Log'!L:L, "Approved", 'Payments Log'!M:M, "Virtual Credit", 'Payments Log'!B:B, A327)))</f>
        <v>0</v>
      </c>
      <c r="DX327" s="33">
        <f t="shared" si="6"/>
        <v>0</v>
      </c>
      <c r="DY327" s="33">
        <f t="shared" si="7"/>
        <v>0</v>
      </c>
      <c r="DZ327" s="33">
        <f t="shared" si="8"/>
        <v>0</v>
      </c>
      <c r="EA327" s="25" t="str">
        <f>(Sheet1!N327)</f>
        <v>MPS</v>
      </c>
      <c r="EB327" s="25" t="str">
        <f>(Sheet1!O327)</f>
        <v>1ClXh28BQwwGN7Q42xt0Dc8b_R_3jweBItLcbwVq3Rj0</v>
      </c>
      <c r="EC327" s="26" t="str">
        <f>(Sheet1!P327)</f>
        <v>Sub Dealer</v>
      </c>
      <c r="ED327" s="34" t="s">
        <v>13</v>
      </c>
    </row>
    <row r="328">
      <c r="A328" s="25" t="str">
        <f>(Sheet1!A328)</f>
        <v>1mxT1doFWSIKC49QGKrgrgC6fUkICfT4DLlAcSQC9Pc4</v>
      </c>
      <c r="B328" s="25" t="str">
        <f>(Sheet1!B328)</f>
        <v>KSHIPRA HERO-UJJAIN</v>
      </c>
      <c r="C328" s="30" t="s">
        <v>13</v>
      </c>
      <c r="D328" s="25" t="s">
        <v>72</v>
      </c>
      <c r="E328" s="30" t="s">
        <v>3820</v>
      </c>
      <c r="F328" s="31">
        <v>155.0</v>
      </c>
      <c r="G328" s="25" t="s">
        <v>3818</v>
      </c>
      <c r="H328" s="33">
        <v>100.0</v>
      </c>
      <c r="I328" s="33">
        <f>'Old Balance Sheet'!A328 + 'ACPL Calculations - 1.0'!A328 + 'ACPL Calculations - 2.0'!A328</f>
        <v>363</v>
      </c>
      <c r="J328" s="30" t="s">
        <v>3820</v>
      </c>
      <c r="K328" s="33">
        <v>205.0</v>
      </c>
      <c r="L328" s="25" t="s">
        <v>3818</v>
      </c>
      <c r="M328" s="33">
        <v>100.0</v>
      </c>
      <c r="N328" s="33">
        <f>'Old Balance Sheet'!B328 + 'ACPL Calculations - 1.0'!B328 + 'ACPL Calculations - 2.0'!B328</f>
        <v>0</v>
      </c>
      <c r="O328" s="30" t="s">
        <v>3820</v>
      </c>
      <c r="P328" s="31">
        <v>290.0</v>
      </c>
      <c r="Q328" s="25" t="s">
        <v>3818</v>
      </c>
      <c r="R328" s="33">
        <v>100.0</v>
      </c>
      <c r="S328" s="33">
        <f>'Old Balance Sheet'!C328 + 'ACPL Calculations - 1.0'!C328 + 'ACPL Calculations - 2.0'!C328</f>
        <v>0</v>
      </c>
      <c r="T328" s="30" t="s">
        <v>3820</v>
      </c>
      <c r="U328" s="33">
        <v>375.0</v>
      </c>
      <c r="V328" s="25" t="s">
        <v>3818</v>
      </c>
      <c r="W328" s="33">
        <v>100.0</v>
      </c>
      <c r="X328" s="33">
        <f>'Old Balance Sheet'!D328 + 'ACPL Calculations - 1.0'!D328 + 'ACPL Calculations - 2.0'!D328</f>
        <v>0</v>
      </c>
      <c r="Y328" s="30" t="s">
        <v>3820</v>
      </c>
      <c r="Z328" s="33">
        <v>460.0</v>
      </c>
      <c r="AA328" s="42" t="s">
        <v>3818</v>
      </c>
      <c r="AB328" s="43">
        <v>100.0</v>
      </c>
      <c r="AC328" s="33">
        <f>'Old Balance Sheet'!E328 + 'ACPL Calculations - 1.0'!E328 + 'ACPL Calculations - 2.0'!E328</f>
        <v>0</v>
      </c>
      <c r="AD328" s="30" t="s">
        <v>3820</v>
      </c>
      <c r="AE328" s="33">
        <v>838.99</v>
      </c>
      <c r="AF328" s="42" t="s">
        <v>3818</v>
      </c>
      <c r="AG328" s="43">
        <v>100.0</v>
      </c>
      <c r="AH328" s="33">
        <f>'Old Balance Sheet'!F328 + 'ACPL Calculations - 1.0'!F328 + 'ACPL Calculations - 2.0'!F328</f>
        <v>0</v>
      </c>
      <c r="AI328" s="30" t="s">
        <v>3820</v>
      </c>
      <c r="AJ328" s="33">
        <v>375.0</v>
      </c>
      <c r="AK328" s="42" t="s">
        <v>3818</v>
      </c>
      <c r="AL328" s="43">
        <v>100.0</v>
      </c>
      <c r="AM328" s="33">
        <f>'Old Balance Sheet'!G328 + 'ACPL Calculations - 1.0'!G328 + 'ACPL Calculations - 2.0'!G328</f>
        <v>0</v>
      </c>
      <c r="AN328" s="30" t="s">
        <v>3820</v>
      </c>
      <c r="AO328" s="33">
        <v>290.0</v>
      </c>
      <c r="AP328" s="42" t="s">
        <v>3818</v>
      </c>
      <c r="AQ328" s="43">
        <v>100.0</v>
      </c>
      <c r="AR328" s="33">
        <f>'Old Balance Sheet'!H328 + 'ACPL Calculations - 1.0'!H328 + 'ACPL Calculations - 2.0'!H328</f>
        <v>0</v>
      </c>
      <c r="AS328" s="30" t="s">
        <v>3819</v>
      </c>
      <c r="AT328" s="33">
        <v>838.99</v>
      </c>
      <c r="AU328" s="42" t="s">
        <v>3818</v>
      </c>
      <c r="AV328" s="43">
        <v>100.0</v>
      </c>
      <c r="AW328" s="33">
        <f>'Old Balance Sheet'!I328 + 'ACPL Calculations - 1.0'!I328 + 'ACPL Calculations - 2.0'!I328</f>
        <v>0</v>
      </c>
      <c r="AX328" s="30" t="s">
        <v>3820</v>
      </c>
      <c r="AY328" s="31">
        <v>290.0</v>
      </c>
      <c r="AZ328" s="42" t="s">
        <v>3818</v>
      </c>
      <c r="BA328" s="43">
        <v>100.0</v>
      </c>
      <c r="BB328" s="33">
        <f>'Old Balance Sheet'!J328 + 'ACPL Calculations - 1.0'!J328 + 'ACPL Calculations - 2.0'!J328</f>
        <v>0</v>
      </c>
      <c r="BC328" s="30" t="s">
        <v>3820</v>
      </c>
      <c r="BD328" s="31">
        <v>205.0</v>
      </c>
      <c r="BE328" s="42" t="s">
        <v>3818</v>
      </c>
      <c r="BF328" s="43">
        <v>100.0</v>
      </c>
      <c r="BG328" s="33">
        <f>'Old Balance Sheet'!K328 + 'ACPL Calculations - 1.0'!K328 + 'ACPL Calculations - 2.0'!K328</f>
        <v>0</v>
      </c>
      <c r="BH328" s="30" t="s">
        <v>3820</v>
      </c>
      <c r="BI328" s="31">
        <v>205.0</v>
      </c>
      <c r="BJ328" s="42" t="s">
        <v>3818</v>
      </c>
      <c r="BK328" s="43">
        <v>100.0</v>
      </c>
      <c r="BL328" s="33">
        <f>'Old Balance Sheet'!L328 + 'ACPL Calculations - 1.0'!L328 + 'ACPL Calculations - 2.0'!L328</f>
        <v>0</v>
      </c>
      <c r="BM328" s="25"/>
      <c r="BN328" s="25"/>
      <c r="BO328" s="25"/>
      <c r="BP328" s="25"/>
      <c r="BQ328" s="25"/>
      <c r="BR328" s="25"/>
      <c r="BS328" s="25"/>
      <c r="BT328" s="25"/>
      <c r="BU328" s="25"/>
      <c r="BV328" s="25"/>
      <c r="BW328" s="25"/>
      <c r="BX328" s="25"/>
      <c r="BY328" s="25"/>
      <c r="BZ328" s="25"/>
      <c r="CA328" s="25"/>
      <c r="CB328" s="25"/>
      <c r="CC328" s="25"/>
      <c r="CD328" s="25"/>
      <c r="CE328" s="25"/>
      <c r="CF328" s="25"/>
      <c r="CG328" s="25"/>
      <c r="CH328" s="25"/>
      <c r="CI328" s="25"/>
      <c r="CJ328" s="25"/>
      <c r="CK328" s="25"/>
      <c r="CL328" s="33">
        <f t="shared" si="1"/>
        <v>363</v>
      </c>
      <c r="CM328" s="33">
        <f>'Old Balance Sheet'!R328 + 'ACPL Calculations - 1.0'!S328 + 'ACPL Calculations - 2.0'!S328</f>
        <v>129520</v>
      </c>
      <c r="CN328" s="33">
        <f>'Old Balance Sheet'!S328 + 'ACPL Calculations - 1.0'!T328 + 'ACPL Calculations - 2.0'!T328</f>
        <v>56545</v>
      </c>
      <c r="CO328" s="33">
        <f t="shared" si="2"/>
        <v>76300.6</v>
      </c>
      <c r="CP328" s="33">
        <f>'Old Balance Sheet'!T328 + 'ACPL Calculations - 1.0'!V328 + 'ACPL Calculations - 2.0'!V328</f>
        <v>0</v>
      </c>
      <c r="CQ328" s="33">
        <f>'Old Balance Sheet'!U328 + 'ACPL Calculations - 1.0'!W328 + 'ACPL Calculations - 2.0'!W328</f>
        <v>0</v>
      </c>
      <c r="CR328" s="33">
        <f>'Old Balance Sheet'!V328 + 'ACPL Calculations - 1.0'!X328 + 'ACPL Calculations - 2.0'!X328</f>
        <v>19755.6</v>
      </c>
      <c r="CS328" s="33">
        <f t="shared" si="3"/>
        <v>19755.6</v>
      </c>
      <c r="CT328" s="35"/>
      <c r="CU328" s="35"/>
      <c r="CV328" s="35"/>
      <c r="CW328" s="36">
        <f>'Old Balance Sheet'!W328 + 'ACPL Calculations - 1.0'!Z328 + 'ACPL Calculations - 2.0'!Z328</f>
        <v>129520</v>
      </c>
      <c r="CX328" s="36">
        <f>'Old Balance Sheet'!X328 + 'ACPL Calculations - 1.0'!AA328 + 'ACPL Calculations - 2.0'!AA328</f>
        <v>78962.92</v>
      </c>
      <c r="CY328" s="37">
        <v>0.0</v>
      </c>
      <c r="CZ328" s="38">
        <f>'Old Balance Sheet'!Y328 + 'ACPL Calculations - 1.0'!AB328 + 'ACPL Calculations - 2.0'!AB328</f>
        <v>53219.4</v>
      </c>
      <c r="DA328" s="38">
        <f>'Old Balance Sheet'!Z328 + 'ACPL Calculations - 1.0'!AC328 + 'ACPL Calculations - 2.0'!AC328</f>
        <v>0</v>
      </c>
      <c r="DB328" s="38">
        <f>'Old Balance Sheet'!AA328 + 'ACPL Calculations - 1.0'!AD328 + 'ACPL Calculations - 2.0'!AD328</f>
        <v>2662.32</v>
      </c>
      <c r="DC328" s="38">
        <f>'Old Balance Sheet'!AB328 + 'ACPL Calculations - 1.0'!AE328 + 'ACPL Calculations - 2.0'!AE328</f>
        <v>50557.08</v>
      </c>
      <c r="DD328" s="38">
        <f t="shared" si="4"/>
        <v>50557.08</v>
      </c>
      <c r="DE328" s="33">
        <f t="shared" si="5"/>
        <v>50557.08</v>
      </c>
      <c r="DF328" s="35">
        <v>0.0</v>
      </c>
      <c r="DG328" s="35">
        <v>0.0</v>
      </c>
      <c r="DH328" s="35">
        <v>0.0</v>
      </c>
      <c r="DI328" s="35">
        <v>0.0</v>
      </c>
      <c r="DJ328" s="35">
        <v>0.0</v>
      </c>
      <c r="DK328" s="35">
        <v>0.0</v>
      </c>
      <c r="DL328" s="35">
        <v>0.0</v>
      </c>
      <c r="DM328" s="35">
        <v>0.0</v>
      </c>
      <c r="DN328" s="31">
        <v>0.0</v>
      </c>
      <c r="DO328" s="31">
        <v>0.0</v>
      </c>
      <c r="DP328" s="31">
        <v>0.0</v>
      </c>
      <c r="DQ328" s="31">
        <v>0.0</v>
      </c>
      <c r="DR328" s="31">
        <v>0.0</v>
      </c>
      <c r="DS328" s="31">
        <v>0.0</v>
      </c>
      <c r="DT328" s="31">
        <f>'Old Balance Sheet'!AC328</f>
        <v>0</v>
      </c>
      <c r="DU328" s="31">
        <f>DT328 + SUMIFS('Payments Log'!D:D, 'Payments Log'!B:B, A328, 'Payments Log'!L:L, "Approved", 'Payments Log'!M:M, "Credit") + 'Old Balance Sheet'!AD328 - 'Old Balance Sheet'!AC328</f>
        <v>135000</v>
      </c>
      <c r="DV328" s="31">
        <f>SUMIFS('Payments Log'!D:D, 'Payments Log'!B:B, A328, 'Payments Log'!L:L, "Approved", 'Payments Log'!M:M, "Adjustment Credit") - SUMIFS('Payments Log'!D:D, 'Payments Log'!B:B, A328, 'Payments Log'!L:L, "Approved", 'Payments Log'!M:M, "Adjustment Debit") + 'Old Balance Sheet'!AE328</f>
        <v>0</v>
      </c>
      <c r="DW328" s="31">
        <f>IF(MAXIFS('Payments Log'!N:N, 'Payments Log'!L:L, "Approved", 'Payments Log'!M:M, "Credit", 'Payments Log'!B:B, A328) &gt; MAXIFS('Payments Log'!N:N, 'Payments Log'!L:L, "Approved", 'Payments Log'!M:M, "Virtual Credit", 'Payments Log'!B:B, A328), 0, SUMIFS('Payments Log'!D:D, 'Payments Log'!N:N, MAXIFS('Payments Log'!N:N, 'Payments Log'!L:L, "Approved", 'Payments Log'!M:M, "Virtual Credit", 'Payments Log'!B:B, A328)))</f>
        <v>0</v>
      </c>
      <c r="DX328" s="33">
        <f t="shared" si="6"/>
        <v>5480</v>
      </c>
      <c r="DY328" s="33">
        <f t="shared" si="7"/>
        <v>56037.08</v>
      </c>
      <c r="DZ328" s="33">
        <f t="shared" si="8"/>
        <v>56037.08</v>
      </c>
      <c r="EA328" s="25" t="str">
        <f>(Sheet1!N328)</f>
        <v>KSHIPRA HERO-UJJAIN</v>
      </c>
      <c r="EB328" s="25" t="str">
        <f>(Sheet1!O328)</f>
        <v>1mxT1doFWSIKC49QGKrgrgC6fUkICfT4DLlAcSQC9Pc4</v>
      </c>
      <c r="EC328" s="26" t="str">
        <f>(Sheet1!P328)</f>
        <v>Dealer</v>
      </c>
      <c r="ED328" s="34" t="s">
        <v>13</v>
      </c>
    </row>
    <row r="329">
      <c r="A329" s="25" t="str">
        <f>(Sheet1!A329)</f>
        <v>1Glot5DmufEUxf7sEoY2RAdbIWFVDuW2SHPtNIbHYEdc</v>
      </c>
      <c r="B329" s="25" t="str">
        <f>(Sheet1!B329)</f>
        <v>UPPER INDIA -DELHI</v>
      </c>
      <c r="C329" s="30" t="s">
        <v>13</v>
      </c>
      <c r="D329" s="30" t="s">
        <v>72</v>
      </c>
      <c r="E329" s="30" t="s">
        <v>3817</v>
      </c>
      <c r="F329" s="31">
        <v>205.0</v>
      </c>
      <c r="G329" s="32" t="s">
        <v>3818</v>
      </c>
      <c r="H329" s="31">
        <v>100.0</v>
      </c>
      <c r="I329" s="33">
        <f>'Old Balance Sheet'!A329 + 'ACPL Calculations - 1.0'!A329 + 'ACPL Calculations - 2.0'!A329</f>
        <v>0</v>
      </c>
      <c r="J329" s="30" t="s">
        <v>3817</v>
      </c>
      <c r="K329" s="31">
        <v>205.0</v>
      </c>
      <c r="L329" s="32" t="s">
        <v>3818</v>
      </c>
      <c r="M329" s="31">
        <v>100.0</v>
      </c>
      <c r="N329" s="33">
        <f>'Old Balance Sheet'!B329 + 'ACPL Calculations - 1.0'!B329 + 'ACPL Calculations - 2.0'!B329</f>
        <v>0</v>
      </c>
      <c r="O329" s="30" t="s">
        <v>3817</v>
      </c>
      <c r="P329" s="31">
        <v>290.0</v>
      </c>
      <c r="Q329" s="32" t="s">
        <v>3818</v>
      </c>
      <c r="R329" s="31">
        <v>100.0</v>
      </c>
      <c r="S329" s="33">
        <f>'Old Balance Sheet'!C329 + 'ACPL Calculations - 1.0'!C329 + 'ACPL Calculations - 2.0'!C329</f>
        <v>0</v>
      </c>
      <c r="T329" s="30" t="s">
        <v>3817</v>
      </c>
      <c r="U329" s="31">
        <v>375.0</v>
      </c>
      <c r="V329" s="32" t="s">
        <v>3818</v>
      </c>
      <c r="W329" s="31">
        <v>100.0</v>
      </c>
      <c r="X329" s="33">
        <f>'Old Balance Sheet'!D329 + 'ACPL Calculations - 1.0'!D329 + 'ACPL Calculations - 2.0'!D329</f>
        <v>0</v>
      </c>
      <c r="Y329" s="30" t="s">
        <v>3817</v>
      </c>
      <c r="Z329" s="31">
        <v>460.0</v>
      </c>
      <c r="AA329" s="32" t="s">
        <v>3818</v>
      </c>
      <c r="AB329" s="31">
        <v>100.0</v>
      </c>
      <c r="AC329" s="33">
        <f>'Old Balance Sheet'!E329 + 'ACPL Calculations - 1.0'!E329 + 'ACPL Calculations - 2.0'!E329</f>
        <v>0</v>
      </c>
      <c r="AD329" s="30" t="s">
        <v>3817</v>
      </c>
      <c r="AE329" s="34">
        <v>838.99</v>
      </c>
      <c r="AF329" s="32" t="s">
        <v>3818</v>
      </c>
      <c r="AG329" s="31">
        <v>100.0</v>
      </c>
      <c r="AH329" s="33">
        <f>'Old Balance Sheet'!F329 + 'ACPL Calculations - 1.0'!F329 + 'ACPL Calculations - 2.0'!F329</f>
        <v>0</v>
      </c>
      <c r="AI329" s="30" t="s">
        <v>3817</v>
      </c>
      <c r="AJ329" s="31">
        <v>375.0</v>
      </c>
      <c r="AK329" s="32" t="s">
        <v>3818</v>
      </c>
      <c r="AL329" s="31">
        <v>100.0</v>
      </c>
      <c r="AM329" s="33">
        <f>'Old Balance Sheet'!G329 + 'ACPL Calculations - 1.0'!G329 + 'ACPL Calculations - 2.0'!G329</f>
        <v>0</v>
      </c>
      <c r="AN329" s="30" t="s">
        <v>3817</v>
      </c>
      <c r="AO329" s="31">
        <v>290.0</v>
      </c>
      <c r="AP329" s="32" t="s">
        <v>3818</v>
      </c>
      <c r="AQ329" s="31">
        <v>100.0</v>
      </c>
      <c r="AR329" s="33">
        <f>'Old Balance Sheet'!H329 + 'ACPL Calculations - 1.0'!H329 + 'ACPL Calculations - 2.0'!H329</f>
        <v>0</v>
      </c>
      <c r="AS329" s="30" t="s">
        <v>3819</v>
      </c>
      <c r="AT329" s="31">
        <v>838.99</v>
      </c>
      <c r="AU329" s="32" t="s">
        <v>3818</v>
      </c>
      <c r="AV329" s="31">
        <v>100.0</v>
      </c>
      <c r="AW329" s="33">
        <f>'Old Balance Sheet'!I329 + 'ACPL Calculations - 1.0'!I329 + 'ACPL Calculations - 2.0'!I329</f>
        <v>0</v>
      </c>
      <c r="AX329" s="30" t="s">
        <v>3817</v>
      </c>
      <c r="AY329" s="31">
        <v>290.0</v>
      </c>
      <c r="AZ329" s="32" t="s">
        <v>3818</v>
      </c>
      <c r="BA329" s="31">
        <v>100.0</v>
      </c>
      <c r="BB329" s="33">
        <f>'Old Balance Sheet'!J329 + 'ACPL Calculations - 1.0'!J329 + 'ACPL Calculations - 2.0'!J329</f>
        <v>0</v>
      </c>
      <c r="BC329" s="30" t="s">
        <v>3817</v>
      </c>
      <c r="BD329" s="31">
        <v>205.0</v>
      </c>
      <c r="BE329" s="32" t="s">
        <v>3818</v>
      </c>
      <c r="BF329" s="31">
        <v>100.0</v>
      </c>
      <c r="BG329" s="33">
        <f>'Old Balance Sheet'!K329 + 'ACPL Calculations - 1.0'!K329 + 'ACPL Calculations - 2.0'!K329</f>
        <v>0</v>
      </c>
      <c r="BH329" s="30" t="s">
        <v>3817</v>
      </c>
      <c r="BI329" s="31">
        <v>205.0</v>
      </c>
      <c r="BJ329" s="32" t="s">
        <v>3818</v>
      </c>
      <c r="BK329" s="31">
        <v>100.0</v>
      </c>
      <c r="BL329" s="33">
        <f>'Old Balance Sheet'!L329 + 'ACPL Calculations - 1.0'!L329 + 'ACPL Calculations - 2.0'!L329</f>
        <v>0</v>
      </c>
      <c r="BM329" s="33"/>
      <c r="BN329" s="33"/>
      <c r="BO329" s="33"/>
      <c r="BP329" s="33"/>
      <c r="BQ329" s="33"/>
      <c r="BR329" s="33"/>
      <c r="BS329" s="33"/>
      <c r="BT329" s="33"/>
      <c r="BU329" s="33"/>
      <c r="BV329" s="33"/>
      <c r="BW329" s="33"/>
      <c r="BX329" s="33"/>
      <c r="BY329" s="33"/>
      <c r="BZ329" s="33"/>
      <c r="CA329" s="33"/>
      <c r="CB329" s="33"/>
      <c r="CC329" s="33"/>
      <c r="CD329" s="33"/>
      <c r="CE329" s="33"/>
      <c r="CF329" s="33"/>
      <c r="CG329" s="33"/>
      <c r="CH329" s="33"/>
      <c r="CI329" s="33"/>
      <c r="CJ329" s="33"/>
      <c r="CK329" s="33"/>
      <c r="CL329" s="33">
        <f t="shared" si="1"/>
        <v>0</v>
      </c>
      <c r="CM329" s="33">
        <f>'Old Balance Sheet'!R329 + 'ACPL Calculations - 1.0'!S329 + 'ACPL Calculations - 2.0'!S329</f>
        <v>0</v>
      </c>
      <c r="CN329" s="33">
        <f>'Old Balance Sheet'!S329 + 'ACPL Calculations - 1.0'!T329 + 'ACPL Calculations - 2.0'!T329</f>
        <v>0</v>
      </c>
      <c r="CO329" s="33">
        <f t="shared" si="2"/>
        <v>0</v>
      </c>
      <c r="CP329" s="33">
        <f>'Old Balance Sheet'!T329 + 'ACPL Calculations - 1.0'!V329 + 'ACPL Calculations - 2.0'!V329</f>
        <v>0</v>
      </c>
      <c r="CQ329" s="33">
        <f>'Old Balance Sheet'!U329 + 'ACPL Calculations - 1.0'!W329 + 'ACPL Calculations - 2.0'!W329</f>
        <v>0</v>
      </c>
      <c r="CR329" s="33">
        <f>'Old Balance Sheet'!V329 + 'ACPL Calculations - 1.0'!X329 + 'ACPL Calculations - 2.0'!X329</f>
        <v>0</v>
      </c>
      <c r="CS329" s="33">
        <f t="shared" si="3"/>
        <v>0</v>
      </c>
      <c r="CT329" s="35"/>
      <c r="CU329" s="35"/>
      <c r="CV329" s="35"/>
      <c r="CW329" s="36">
        <f>'Old Balance Sheet'!W329 + 'ACPL Calculations - 1.0'!Z329 + 'ACPL Calculations - 2.0'!Z329</f>
        <v>0</v>
      </c>
      <c r="CX329" s="36">
        <f>'Old Balance Sheet'!X329 + 'ACPL Calculations - 1.0'!AA329 + 'ACPL Calculations - 2.0'!AA329</f>
        <v>0</v>
      </c>
      <c r="CY329" s="37">
        <v>0.0</v>
      </c>
      <c r="CZ329" s="38">
        <f>'Old Balance Sheet'!Y329 + 'ACPL Calculations - 1.0'!AB329 + 'ACPL Calculations - 2.0'!AB329</f>
        <v>0</v>
      </c>
      <c r="DA329" s="38">
        <f>'Old Balance Sheet'!Z329 + 'ACPL Calculations - 1.0'!AC329 + 'ACPL Calculations - 2.0'!AC329</f>
        <v>0</v>
      </c>
      <c r="DB329" s="38">
        <f>'Old Balance Sheet'!AA329 + 'ACPL Calculations - 1.0'!AD329 + 'ACPL Calculations - 2.0'!AD329</f>
        <v>0</v>
      </c>
      <c r="DC329" s="38">
        <f>'Old Balance Sheet'!AB329 + 'ACPL Calculations - 1.0'!AE329 + 'ACPL Calculations - 2.0'!AE329</f>
        <v>0</v>
      </c>
      <c r="DD329" s="38">
        <f t="shared" si="4"/>
        <v>0</v>
      </c>
      <c r="DE329" s="33">
        <f t="shared" si="5"/>
        <v>0</v>
      </c>
      <c r="DF329" s="35">
        <v>0.0</v>
      </c>
      <c r="DG329" s="35">
        <v>0.0</v>
      </c>
      <c r="DH329" s="35">
        <v>0.0</v>
      </c>
      <c r="DI329" s="35">
        <v>0.0</v>
      </c>
      <c r="DJ329" s="35">
        <v>0.0</v>
      </c>
      <c r="DK329" s="35">
        <v>0.0</v>
      </c>
      <c r="DL329" s="35">
        <v>0.0</v>
      </c>
      <c r="DM329" s="35">
        <v>0.0</v>
      </c>
      <c r="DN329" s="31">
        <v>0.0</v>
      </c>
      <c r="DO329" s="31">
        <v>0.0</v>
      </c>
      <c r="DP329" s="31">
        <v>0.0</v>
      </c>
      <c r="DQ329" s="31">
        <v>0.0</v>
      </c>
      <c r="DR329" s="31">
        <v>0.0</v>
      </c>
      <c r="DS329" s="31">
        <v>0.0</v>
      </c>
      <c r="DT329" s="31">
        <f>'Old Balance Sheet'!AC329</f>
        <v>0</v>
      </c>
      <c r="DU329" s="31">
        <f>DT329 + SUMIFS('Payments Log'!D:D, 'Payments Log'!B:B, A329, 'Payments Log'!L:L, "Approved", 'Payments Log'!M:M, "Credit") + 'Old Balance Sheet'!AD329 - 'Old Balance Sheet'!AC329</f>
        <v>376000</v>
      </c>
      <c r="DV329" s="31">
        <f>SUMIFS('Payments Log'!D:D, 'Payments Log'!B:B, A329, 'Payments Log'!L:L, "Approved", 'Payments Log'!M:M, "Adjustment Credit") - SUMIFS('Payments Log'!D:D, 'Payments Log'!B:B, A329, 'Payments Log'!L:L, "Approved", 'Payments Log'!M:M, "Adjustment Debit") + 'Old Balance Sheet'!AE329</f>
        <v>0</v>
      </c>
      <c r="DW329" s="31">
        <f>IF(MAXIFS('Payments Log'!N:N, 'Payments Log'!L:L, "Approved", 'Payments Log'!M:M, "Credit", 'Payments Log'!B:B, A329) &gt; MAXIFS('Payments Log'!N:N, 'Payments Log'!L:L, "Approved", 'Payments Log'!M:M, "Virtual Credit", 'Payments Log'!B:B, A329), 0, SUMIFS('Payments Log'!D:D, 'Payments Log'!N:N, MAXIFS('Payments Log'!N:N, 'Payments Log'!L:L, "Approved", 'Payments Log'!M:M, "Virtual Credit", 'Payments Log'!B:B, A329)))</f>
        <v>0</v>
      </c>
      <c r="DX329" s="33">
        <f t="shared" si="6"/>
        <v>376000</v>
      </c>
      <c r="DY329" s="33">
        <f t="shared" si="7"/>
        <v>376000</v>
      </c>
      <c r="DZ329" s="33">
        <f t="shared" si="8"/>
        <v>376000</v>
      </c>
      <c r="EA329" s="25" t="str">
        <f>(Sheet1!N329)</f>
        <v>UPPER INDIA -DELHI</v>
      </c>
      <c r="EB329" s="25" t="str">
        <f>(Sheet1!O329)</f>
        <v>1Glot5DmufEUxf7sEoY2RAdbIWFVDuW2SHPtNIbHYEdc</v>
      </c>
      <c r="EC329" s="26" t="str">
        <f>(Sheet1!P329)</f>
        <v>Dealer</v>
      </c>
      <c r="ED329" s="34" t="s">
        <v>13</v>
      </c>
    </row>
    <row r="330">
      <c r="A330" s="25" t="str">
        <f>(Sheet1!A330)</f>
        <v>1KWrdiOy0dFeVUlvkflxUZSwfdTKjD2WtnSGQxGgKBiw</v>
      </c>
      <c r="B330" s="25" t="str">
        <f>(Sheet1!B330)</f>
        <v>NAKODA AUTOMOBILES- JHABUA</v>
      </c>
      <c r="C330" s="30" t="s">
        <v>13</v>
      </c>
      <c r="D330" s="25" t="s">
        <v>72</v>
      </c>
      <c r="E330" s="30" t="s">
        <v>3817</v>
      </c>
      <c r="F330" s="31">
        <v>170.0</v>
      </c>
      <c r="G330" s="25" t="s">
        <v>3818</v>
      </c>
      <c r="H330" s="33">
        <v>100.0</v>
      </c>
      <c r="I330" s="33">
        <f>'Old Balance Sheet'!A330 + 'ACPL Calculations - 1.0'!A330 + 'ACPL Calculations - 2.0'!A330</f>
        <v>138</v>
      </c>
      <c r="J330" s="30" t="s">
        <v>3817</v>
      </c>
      <c r="K330" s="33">
        <v>205.0</v>
      </c>
      <c r="L330" s="25" t="s">
        <v>3818</v>
      </c>
      <c r="M330" s="33">
        <v>100.0</v>
      </c>
      <c r="N330" s="33">
        <f>'Old Balance Sheet'!B330 + 'ACPL Calculations - 1.0'!B330 + 'ACPL Calculations - 2.0'!B330</f>
        <v>0</v>
      </c>
      <c r="O330" s="30" t="s">
        <v>3817</v>
      </c>
      <c r="P330" s="31">
        <v>290.0</v>
      </c>
      <c r="Q330" s="25" t="s">
        <v>3818</v>
      </c>
      <c r="R330" s="33">
        <v>100.0</v>
      </c>
      <c r="S330" s="33">
        <f>'Old Balance Sheet'!C330 + 'ACPL Calculations - 1.0'!C330 + 'ACPL Calculations - 2.0'!C330</f>
        <v>0</v>
      </c>
      <c r="T330" s="30" t="s">
        <v>3817</v>
      </c>
      <c r="U330" s="33">
        <v>375.0</v>
      </c>
      <c r="V330" s="25" t="s">
        <v>3818</v>
      </c>
      <c r="W330" s="33">
        <v>100.0</v>
      </c>
      <c r="X330" s="33">
        <f>'Old Balance Sheet'!D330 + 'ACPL Calculations - 1.0'!D330 + 'ACPL Calculations - 2.0'!D330</f>
        <v>0</v>
      </c>
      <c r="Y330" s="30" t="s">
        <v>3817</v>
      </c>
      <c r="Z330" s="33">
        <v>460.0</v>
      </c>
      <c r="AA330" s="42" t="s">
        <v>3818</v>
      </c>
      <c r="AB330" s="43">
        <v>100.0</v>
      </c>
      <c r="AC330" s="33">
        <f>'Old Balance Sheet'!E330 + 'ACPL Calculations - 1.0'!E330 + 'ACPL Calculations - 2.0'!E330</f>
        <v>0</v>
      </c>
      <c r="AD330" s="30" t="s">
        <v>3817</v>
      </c>
      <c r="AE330" s="33">
        <v>838.99</v>
      </c>
      <c r="AF330" s="42" t="s">
        <v>3818</v>
      </c>
      <c r="AG330" s="43">
        <v>100.0</v>
      </c>
      <c r="AH330" s="33">
        <f>'Old Balance Sheet'!F330 + 'ACPL Calculations - 1.0'!F330 + 'ACPL Calculations - 2.0'!F330</f>
        <v>0</v>
      </c>
      <c r="AI330" s="30" t="s">
        <v>3817</v>
      </c>
      <c r="AJ330" s="33">
        <v>375.0</v>
      </c>
      <c r="AK330" s="42" t="s">
        <v>3818</v>
      </c>
      <c r="AL330" s="43">
        <v>100.0</v>
      </c>
      <c r="AM330" s="33">
        <f>'Old Balance Sheet'!G330 + 'ACPL Calculations - 1.0'!G330 + 'ACPL Calculations - 2.0'!G330</f>
        <v>0</v>
      </c>
      <c r="AN330" s="30" t="s">
        <v>3817</v>
      </c>
      <c r="AO330" s="33">
        <v>290.0</v>
      </c>
      <c r="AP330" s="42" t="s">
        <v>3818</v>
      </c>
      <c r="AQ330" s="43">
        <v>100.0</v>
      </c>
      <c r="AR330" s="33">
        <f>'Old Balance Sheet'!H330 + 'ACPL Calculations - 1.0'!H330 + 'ACPL Calculations - 2.0'!H330</f>
        <v>0</v>
      </c>
      <c r="AS330" s="30" t="s">
        <v>3819</v>
      </c>
      <c r="AT330" s="33">
        <v>838.99</v>
      </c>
      <c r="AU330" s="42" t="s">
        <v>3818</v>
      </c>
      <c r="AV330" s="43">
        <v>100.0</v>
      </c>
      <c r="AW330" s="33">
        <f>'Old Balance Sheet'!I330 + 'ACPL Calculations - 1.0'!I330 + 'ACPL Calculations - 2.0'!I330</f>
        <v>0</v>
      </c>
      <c r="AX330" s="30" t="s">
        <v>3817</v>
      </c>
      <c r="AY330" s="31">
        <v>290.0</v>
      </c>
      <c r="AZ330" s="42" t="s">
        <v>3818</v>
      </c>
      <c r="BA330" s="43">
        <v>100.0</v>
      </c>
      <c r="BB330" s="33">
        <f>'Old Balance Sheet'!J330 + 'ACPL Calculations - 1.0'!J330 + 'ACPL Calculations - 2.0'!J330</f>
        <v>0</v>
      </c>
      <c r="BC330" s="30" t="s">
        <v>3817</v>
      </c>
      <c r="BD330" s="31">
        <v>205.0</v>
      </c>
      <c r="BE330" s="42" t="s">
        <v>3818</v>
      </c>
      <c r="BF330" s="43">
        <v>100.0</v>
      </c>
      <c r="BG330" s="33">
        <f>'Old Balance Sheet'!K330 + 'ACPL Calculations - 1.0'!K330 + 'ACPL Calculations - 2.0'!K330</f>
        <v>0</v>
      </c>
      <c r="BH330" s="30" t="s">
        <v>3817</v>
      </c>
      <c r="BI330" s="31">
        <v>205.0</v>
      </c>
      <c r="BJ330" s="42" t="s">
        <v>3818</v>
      </c>
      <c r="BK330" s="43">
        <v>100.0</v>
      </c>
      <c r="BL330" s="33">
        <f>'Old Balance Sheet'!L330 + 'ACPL Calculations - 1.0'!L330 + 'ACPL Calculations - 2.0'!L330</f>
        <v>0</v>
      </c>
      <c r="BM330" s="25"/>
      <c r="BN330" s="25"/>
      <c r="BO330" s="25"/>
      <c r="BP330" s="25"/>
      <c r="BQ330" s="25"/>
      <c r="BR330" s="25"/>
      <c r="BS330" s="25"/>
      <c r="BT330" s="25"/>
      <c r="BU330" s="25"/>
      <c r="BV330" s="25"/>
      <c r="BW330" s="25"/>
      <c r="BX330" s="25"/>
      <c r="BY330" s="25"/>
      <c r="BZ330" s="25"/>
      <c r="CA330" s="25"/>
      <c r="CB330" s="25"/>
      <c r="CC330" s="25"/>
      <c r="CD330" s="25"/>
      <c r="CE330" s="25"/>
      <c r="CF330" s="25"/>
      <c r="CG330" s="25"/>
      <c r="CH330" s="25"/>
      <c r="CI330" s="25"/>
      <c r="CJ330" s="25"/>
      <c r="CK330" s="25"/>
      <c r="CL330" s="33">
        <f t="shared" si="1"/>
        <v>138</v>
      </c>
      <c r="CM330" s="33">
        <f>'Old Balance Sheet'!R330 + 'ACPL Calculations - 1.0'!S330 + 'ACPL Calculations - 2.0'!S330</f>
        <v>53820</v>
      </c>
      <c r="CN330" s="33">
        <f>'Old Balance Sheet'!S330 + 'ACPL Calculations - 1.0'!T330 + 'ACPL Calculations - 2.0'!T330</f>
        <v>23460</v>
      </c>
      <c r="CO330" s="33">
        <f t="shared" si="2"/>
        <v>31669.62</v>
      </c>
      <c r="CP330" s="33">
        <f>'Old Balance Sheet'!T330 + 'ACPL Calculations - 1.0'!V330 + 'ACPL Calculations - 2.0'!V330</f>
        <v>0</v>
      </c>
      <c r="CQ330" s="33">
        <f>'Old Balance Sheet'!U330 + 'ACPL Calculations - 1.0'!W330 + 'ACPL Calculations - 2.0'!W330</f>
        <v>0</v>
      </c>
      <c r="CR330" s="33">
        <f>'Old Balance Sheet'!V330 + 'ACPL Calculations - 1.0'!X330 + 'ACPL Calculations - 2.0'!X330</f>
        <v>8209.62</v>
      </c>
      <c r="CS330" s="33">
        <f t="shared" si="3"/>
        <v>8209.62</v>
      </c>
      <c r="CT330" s="35"/>
      <c r="CU330" s="35"/>
      <c r="CV330" s="35"/>
      <c r="CW330" s="36">
        <f>'Old Balance Sheet'!W330 + 'ACPL Calculations - 1.0'!Z330 + 'ACPL Calculations - 2.0'!Z330</f>
        <v>32777.76</v>
      </c>
      <c r="CX330" s="36">
        <f>'Old Balance Sheet'!X330 + 'ACPL Calculations - 1.0'!AA330 + 'ACPL Calculations - 2.0'!AA330</f>
        <v>32777.76</v>
      </c>
      <c r="CY330" s="37">
        <v>0.0</v>
      </c>
      <c r="CZ330" s="38">
        <f>'Old Balance Sheet'!Y330 + 'ACPL Calculations - 1.0'!AB330 + 'ACPL Calculations - 2.0'!AB330</f>
        <v>22150.38</v>
      </c>
      <c r="DA330" s="38">
        <f>'Old Balance Sheet'!Z330 + 'ACPL Calculations - 1.0'!AC330 + 'ACPL Calculations - 2.0'!AC330</f>
        <v>21042.24</v>
      </c>
      <c r="DB330" s="38">
        <f>'Old Balance Sheet'!AA330 + 'ACPL Calculations - 1.0'!AD330 + 'ACPL Calculations - 2.0'!AD330</f>
        <v>1108.14</v>
      </c>
      <c r="DC330" s="38">
        <f>'Old Balance Sheet'!AB330 + 'ACPL Calculations - 1.0'!AE330 + 'ACPL Calculations - 2.0'!AE330</f>
        <v>0</v>
      </c>
      <c r="DD330" s="38">
        <f t="shared" si="4"/>
        <v>0</v>
      </c>
      <c r="DE330" s="33">
        <f t="shared" si="5"/>
        <v>0</v>
      </c>
      <c r="DF330" s="35">
        <v>0.0</v>
      </c>
      <c r="DG330" s="35">
        <v>0.0</v>
      </c>
      <c r="DH330" s="35">
        <v>0.0</v>
      </c>
      <c r="DI330" s="35">
        <v>0.0</v>
      </c>
      <c r="DJ330" s="35">
        <v>0.0</v>
      </c>
      <c r="DK330" s="35">
        <v>0.0</v>
      </c>
      <c r="DL330" s="35">
        <v>0.0</v>
      </c>
      <c r="DM330" s="35">
        <v>0.0</v>
      </c>
      <c r="DN330" s="31">
        <v>0.0</v>
      </c>
      <c r="DO330" s="31">
        <v>0.0</v>
      </c>
      <c r="DP330" s="31">
        <v>0.0</v>
      </c>
      <c r="DQ330" s="31">
        <v>0.0</v>
      </c>
      <c r="DR330" s="31">
        <v>0.0</v>
      </c>
      <c r="DS330" s="31">
        <v>0.0</v>
      </c>
      <c r="DT330" s="31">
        <f>'Old Balance Sheet'!AC330</f>
        <v>0</v>
      </c>
      <c r="DU330" s="31">
        <f>DT330 + SUMIFS('Payments Log'!D:D, 'Payments Log'!B:B, A330, 'Payments Log'!L:L, "Approved", 'Payments Log'!M:M, "Credit") + 'Old Balance Sheet'!AD330 - 'Old Balance Sheet'!AC330</f>
        <v>40000</v>
      </c>
      <c r="DV330" s="31">
        <f>SUMIFS('Payments Log'!D:D, 'Payments Log'!B:B, A330, 'Payments Log'!L:L, "Approved", 'Payments Log'!M:M, "Adjustment Credit") - SUMIFS('Payments Log'!D:D, 'Payments Log'!B:B, A330, 'Payments Log'!L:L, "Approved", 'Payments Log'!M:M, "Adjustment Debit") + 'Old Balance Sheet'!AE330</f>
        <v>0</v>
      </c>
      <c r="DW330" s="31">
        <f>IF(MAXIFS('Payments Log'!N:N, 'Payments Log'!L:L, "Approved", 'Payments Log'!M:M, "Credit", 'Payments Log'!B:B, A330) &gt; MAXIFS('Payments Log'!N:N, 'Payments Log'!L:L, "Approved", 'Payments Log'!M:M, "Virtual Credit", 'Payments Log'!B:B, A330), 0, SUMIFS('Payments Log'!D:D, 'Payments Log'!N:N, MAXIFS('Payments Log'!N:N, 'Payments Log'!L:L, "Approved", 'Payments Log'!M:M, "Virtual Credit", 'Payments Log'!B:B, A330)))</f>
        <v>0</v>
      </c>
      <c r="DX330" s="33">
        <f t="shared" si="6"/>
        <v>7222.24</v>
      </c>
      <c r="DY330" s="33">
        <f t="shared" si="7"/>
        <v>7222.24</v>
      </c>
      <c r="DZ330" s="33">
        <f t="shared" si="8"/>
        <v>7222.24</v>
      </c>
      <c r="EA330" s="25" t="str">
        <f>(Sheet1!N330)</f>
        <v>NAKODA AUTOMOBILES- JHABUA</v>
      </c>
      <c r="EB330" s="25" t="str">
        <f>(Sheet1!O330)</f>
        <v>1KWrdiOy0dFeVUlvkflxUZSwfdTKjD2WtnSGQxGgKBiw</v>
      </c>
      <c r="EC330" s="26" t="str">
        <f>(Sheet1!P330)</f>
        <v>Dealer</v>
      </c>
      <c r="ED330" s="34" t="s">
        <v>13</v>
      </c>
    </row>
    <row r="331">
      <c r="A331" s="25" t="str">
        <f>(Sheet1!A331)</f>
        <v>16Y3kc7OuouK5OrrRt3JjXIhTWz_IEXjAkD1IjXmm9J8</v>
      </c>
      <c r="B331" s="25" t="str">
        <f>(Sheet1!B331)</f>
        <v>SHREE LAXMINARAYAN AUTOMOBILES-DAHOD</v>
      </c>
      <c r="C331" s="30" t="s">
        <v>13</v>
      </c>
      <c r="D331" s="25" t="s">
        <v>72</v>
      </c>
      <c r="E331" s="30" t="s">
        <v>3820</v>
      </c>
      <c r="F331" s="31">
        <v>175.0</v>
      </c>
      <c r="G331" s="25" t="s">
        <v>3818</v>
      </c>
      <c r="H331" s="33">
        <v>100.0</v>
      </c>
      <c r="I331" s="33">
        <f>'Old Balance Sheet'!A331 + 'ACPL Calculations - 1.0'!A331 + 'ACPL Calculations - 2.0'!A331</f>
        <v>0</v>
      </c>
      <c r="J331" s="30" t="s">
        <v>3820</v>
      </c>
      <c r="K331" s="33">
        <v>205.0</v>
      </c>
      <c r="L331" s="25" t="s">
        <v>3818</v>
      </c>
      <c r="M331" s="33">
        <v>100.0</v>
      </c>
      <c r="N331" s="33">
        <f>'Old Balance Sheet'!B331 + 'ACPL Calculations - 1.0'!B331 + 'ACPL Calculations - 2.0'!B331</f>
        <v>0</v>
      </c>
      <c r="O331" s="30" t="s">
        <v>3820</v>
      </c>
      <c r="P331" s="31">
        <v>185.0</v>
      </c>
      <c r="Q331" s="25" t="s">
        <v>3818</v>
      </c>
      <c r="R331" s="33">
        <v>100.0</v>
      </c>
      <c r="S331" s="33">
        <f>'Old Balance Sheet'!C331 + 'ACPL Calculations - 1.0'!C331 + 'ACPL Calculations - 2.0'!C331</f>
        <v>0</v>
      </c>
      <c r="T331" s="30" t="s">
        <v>3820</v>
      </c>
      <c r="U331" s="33">
        <v>375.0</v>
      </c>
      <c r="V331" s="25" t="s">
        <v>3818</v>
      </c>
      <c r="W331" s="33">
        <v>100.0</v>
      </c>
      <c r="X331" s="33">
        <f>'Old Balance Sheet'!D331 + 'ACPL Calculations - 1.0'!D331 + 'ACPL Calculations - 2.0'!D331</f>
        <v>0</v>
      </c>
      <c r="Y331" s="30" t="s">
        <v>3820</v>
      </c>
      <c r="Z331" s="33">
        <v>460.0</v>
      </c>
      <c r="AA331" s="42" t="s">
        <v>3818</v>
      </c>
      <c r="AB331" s="43">
        <v>100.0</v>
      </c>
      <c r="AC331" s="33">
        <f>'Old Balance Sheet'!E331 + 'ACPL Calculations - 1.0'!E331 + 'ACPL Calculations - 2.0'!E331</f>
        <v>0</v>
      </c>
      <c r="AD331" s="30" t="s">
        <v>3820</v>
      </c>
      <c r="AE331" s="33">
        <v>838.99</v>
      </c>
      <c r="AF331" s="42" t="s">
        <v>3818</v>
      </c>
      <c r="AG331" s="43">
        <v>100.0</v>
      </c>
      <c r="AH331" s="33">
        <f>'Old Balance Sheet'!F331 + 'ACPL Calculations - 1.0'!F331 + 'ACPL Calculations - 2.0'!F331</f>
        <v>0</v>
      </c>
      <c r="AI331" s="30" t="s">
        <v>3820</v>
      </c>
      <c r="AJ331" s="33">
        <v>375.0</v>
      </c>
      <c r="AK331" s="42" t="s">
        <v>3818</v>
      </c>
      <c r="AL331" s="43">
        <v>100.0</v>
      </c>
      <c r="AM331" s="33">
        <f>'Old Balance Sheet'!G331 + 'ACPL Calculations - 1.0'!G331 + 'ACPL Calculations - 2.0'!G331</f>
        <v>0</v>
      </c>
      <c r="AN331" s="30" t="s">
        <v>3820</v>
      </c>
      <c r="AO331" s="33">
        <v>290.0</v>
      </c>
      <c r="AP331" s="42" t="s">
        <v>3818</v>
      </c>
      <c r="AQ331" s="43">
        <v>100.0</v>
      </c>
      <c r="AR331" s="33">
        <f>'Old Balance Sheet'!H331 + 'ACPL Calculations - 1.0'!H331 + 'ACPL Calculations - 2.0'!H331</f>
        <v>0</v>
      </c>
      <c r="AS331" s="30" t="s">
        <v>3819</v>
      </c>
      <c r="AT331" s="33">
        <v>838.99</v>
      </c>
      <c r="AU331" s="42" t="s">
        <v>3818</v>
      </c>
      <c r="AV331" s="43">
        <v>100.0</v>
      </c>
      <c r="AW331" s="33">
        <f>'Old Balance Sheet'!I331 + 'ACPL Calculations - 1.0'!I331 + 'ACPL Calculations - 2.0'!I331</f>
        <v>0</v>
      </c>
      <c r="AX331" s="30" t="s">
        <v>3820</v>
      </c>
      <c r="AY331" s="31">
        <v>290.0</v>
      </c>
      <c r="AZ331" s="42" t="s">
        <v>3818</v>
      </c>
      <c r="BA331" s="43">
        <v>100.0</v>
      </c>
      <c r="BB331" s="33">
        <f>'Old Balance Sheet'!J331 + 'ACPL Calculations - 1.0'!J331 + 'ACPL Calculations - 2.0'!J331</f>
        <v>0</v>
      </c>
      <c r="BC331" s="30" t="s">
        <v>3820</v>
      </c>
      <c r="BD331" s="31">
        <v>205.0</v>
      </c>
      <c r="BE331" s="42" t="s">
        <v>3818</v>
      </c>
      <c r="BF331" s="43">
        <v>100.0</v>
      </c>
      <c r="BG331" s="33">
        <f>'Old Balance Sheet'!K331 + 'ACPL Calculations - 1.0'!K331 + 'ACPL Calculations - 2.0'!K331</f>
        <v>0</v>
      </c>
      <c r="BH331" s="30" t="s">
        <v>3820</v>
      </c>
      <c r="BI331" s="31">
        <v>205.0</v>
      </c>
      <c r="BJ331" s="42" t="s">
        <v>3818</v>
      </c>
      <c r="BK331" s="43">
        <v>100.0</v>
      </c>
      <c r="BL331" s="33">
        <f>'Old Balance Sheet'!L331 + 'ACPL Calculations - 1.0'!L331 + 'ACPL Calculations - 2.0'!L331</f>
        <v>0</v>
      </c>
      <c r="BM331" s="25"/>
      <c r="BN331" s="25"/>
      <c r="BO331" s="25"/>
      <c r="BP331" s="25"/>
      <c r="BQ331" s="25"/>
      <c r="BR331" s="25"/>
      <c r="BS331" s="25"/>
      <c r="BT331" s="25"/>
      <c r="BU331" s="25"/>
      <c r="BV331" s="25"/>
      <c r="BW331" s="25"/>
      <c r="BX331" s="25"/>
      <c r="BY331" s="25"/>
      <c r="BZ331" s="25"/>
      <c r="CA331" s="25"/>
      <c r="CB331" s="25"/>
      <c r="CC331" s="25"/>
      <c r="CD331" s="25"/>
      <c r="CE331" s="25"/>
      <c r="CF331" s="25"/>
      <c r="CG331" s="25"/>
      <c r="CH331" s="25"/>
      <c r="CI331" s="25"/>
      <c r="CJ331" s="25"/>
      <c r="CK331" s="25"/>
      <c r="CL331" s="33">
        <f t="shared" si="1"/>
        <v>0</v>
      </c>
      <c r="CM331" s="33">
        <f>'Old Balance Sheet'!R331 + 'ACPL Calculations - 1.0'!S331 + 'ACPL Calculations - 2.0'!S331</f>
        <v>0</v>
      </c>
      <c r="CN331" s="33">
        <f>'Old Balance Sheet'!S331 + 'ACPL Calculations - 1.0'!T331 + 'ACPL Calculations - 2.0'!T331</f>
        <v>0</v>
      </c>
      <c r="CO331" s="33">
        <f t="shared" si="2"/>
        <v>0</v>
      </c>
      <c r="CP331" s="33">
        <f>'Old Balance Sheet'!T331 + 'ACPL Calculations - 1.0'!V331 + 'ACPL Calculations - 2.0'!V331</f>
        <v>0</v>
      </c>
      <c r="CQ331" s="33">
        <f>'Old Balance Sheet'!U331 + 'ACPL Calculations - 1.0'!W331 + 'ACPL Calculations - 2.0'!W331</f>
        <v>0</v>
      </c>
      <c r="CR331" s="33">
        <f>'Old Balance Sheet'!V331 + 'ACPL Calculations - 1.0'!X331 + 'ACPL Calculations - 2.0'!X331</f>
        <v>0</v>
      </c>
      <c r="CS331" s="33">
        <f t="shared" si="3"/>
        <v>0</v>
      </c>
      <c r="CT331" s="35"/>
      <c r="CU331" s="35"/>
      <c r="CV331" s="35"/>
      <c r="CW331" s="36">
        <f>'Old Balance Sheet'!W331 + 'ACPL Calculations - 1.0'!Z331 + 'ACPL Calculations - 2.0'!Z331</f>
        <v>0</v>
      </c>
      <c r="CX331" s="36">
        <f>'Old Balance Sheet'!X331 + 'ACPL Calculations - 1.0'!AA331 + 'ACPL Calculations - 2.0'!AA331</f>
        <v>0</v>
      </c>
      <c r="CY331" s="37">
        <v>0.0</v>
      </c>
      <c r="CZ331" s="38">
        <f>'Old Balance Sheet'!Y331 + 'ACPL Calculations - 1.0'!AB331 + 'ACPL Calculations - 2.0'!AB331</f>
        <v>0</v>
      </c>
      <c r="DA331" s="38">
        <f>'Old Balance Sheet'!Z331 + 'ACPL Calculations - 1.0'!AC331 + 'ACPL Calculations - 2.0'!AC331</f>
        <v>0</v>
      </c>
      <c r="DB331" s="38">
        <f>'Old Balance Sheet'!AA331 + 'ACPL Calculations - 1.0'!AD331 + 'ACPL Calculations - 2.0'!AD331</f>
        <v>0</v>
      </c>
      <c r="DC331" s="38">
        <f>'Old Balance Sheet'!AB331 + 'ACPL Calculations - 1.0'!AE331 + 'ACPL Calculations - 2.0'!AE331</f>
        <v>0</v>
      </c>
      <c r="DD331" s="38">
        <f t="shared" si="4"/>
        <v>0</v>
      </c>
      <c r="DE331" s="33">
        <f t="shared" si="5"/>
        <v>0</v>
      </c>
      <c r="DF331" s="35">
        <v>0.0</v>
      </c>
      <c r="DG331" s="35">
        <v>0.0</v>
      </c>
      <c r="DH331" s="35">
        <v>0.0</v>
      </c>
      <c r="DI331" s="35">
        <v>0.0</v>
      </c>
      <c r="DJ331" s="35">
        <v>0.0</v>
      </c>
      <c r="DK331" s="35">
        <v>0.0</v>
      </c>
      <c r="DL331" s="35">
        <v>0.0</v>
      </c>
      <c r="DM331" s="35">
        <v>0.0</v>
      </c>
      <c r="DN331" s="31">
        <v>0.0</v>
      </c>
      <c r="DO331" s="31">
        <v>0.0</v>
      </c>
      <c r="DP331" s="31">
        <v>0.0</v>
      </c>
      <c r="DQ331" s="31">
        <v>0.0</v>
      </c>
      <c r="DR331" s="31">
        <v>0.0</v>
      </c>
      <c r="DS331" s="31">
        <v>0.0</v>
      </c>
      <c r="DT331" s="31">
        <f>'Old Balance Sheet'!AC331</f>
        <v>0</v>
      </c>
      <c r="DU331" s="31">
        <f>DT331 + SUMIFS('Payments Log'!D:D, 'Payments Log'!B:B, A331, 'Payments Log'!L:L, "Approved", 'Payments Log'!M:M, "Credit") + 'Old Balance Sheet'!AD331 - 'Old Balance Sheet'!AC331</f>
        <v>0</v>
      </c>
      <c r="DV331" s="31">
        <f>SUMIFS('Payments Log'!D:D, 'Payments Log'!B:B, A331, 'Payments Log'!L:L, "Approved", 'Payments Log'!M:M, "Adjustment Credit") - SUMIFS('Payments Log'!D:D, 'Payments Log'!B:B, A331, 'Payments Log'!L:L, "Approved", 'Payments Log'!M:M, "Adjustment Debit") + 'Old Balance Sheet'!AE331</f>
        <v>0</v>
      </c>
      <c r="DW331" s="31">
        <f>IF(MAXIFS('Payments Log'!N:N, 'Payments Log'!L:L, "Approved", 'Payments Log'!M:M, "Credit", 'Payments Log'!B:B, A331) &gt; MAXIFS('Payments Log'!N:N, 'Payments Log'!L:L, "Approved", 'Payments Log'!M:M, "Virtual Credit", 'Payments Log'!B:B, A331), 0, SUMIFS('Payments Log'!D:D, 'Payments Log'!N:N, MAXIFS('Payments Log'!N:N, 'Payments Log'!L:L, "Approved", 'Payments Log'!M:M, "Virtual Credit", 'Payments Log'!B:B, A331)))</f>
        <v>0</v>
      </c>
      <c r="DX331" s="33">
        <f t="shared" si="6"/>
        <v>0</v>
      </c>
      <c r="DY331" s="33">
        <f t="shared" si="7"/>
        <v>0</v>
      </c>
      <c r="DZ331" s="33">
        <f t="shared" si="8"/>
        <v>0</v>
      </c>
      <c r="EA331" s="25" t="str">
        <f>(Sheet1!N331)</f>
        <v>SHREE LAXMINARAYAN AUTOMOBILES-DAHOD</v>
      </c>
      <c r="EB331" s="25" t="str">
        <f>(Sheet1!O331)</f>
        <v>16Y3kc7OuouK5OrrRt3JjXIhTWz_IEXjAkD1IjXmm9J8</v>
      </c>
      <c r="EC331" s="26" t="str">
        <f>(Sheet1!P331)</f>
        <v>Dealer</v>
      </c>
      <c r="ED331" s="34" t="s">
        <v>13</v>
      </c>
    </row>
    <row r="332">
      <c r="A332" s="25" t="str">
        <f>(Sheet1!A332)</f>
        <v>1Z0RLxeDSU2deGe-M9N2_xaGVhFQVJm_tASIMLykuH6Q</v>
      </c>
      <c r="B332" s="25" t="str">
        <f>(Sheet1!B332)</f>
        <v>APPLE HONDA- VADODARA</v>
      </c>
      <c r="C332" s="30" t="s">
        <v>13</v>
      </c>
      <c r="D332" s="25" t="s">
        <v>72</v>
      </c>
      <c r="E332" s="30" t="s">
        <v>3817</v>
      </c>
      <c r="F332" s="31">
        <v>160.0</v>
      </c>
      <c r="G332" s="25" t="s">
        <v>3818</v>
      </c>
      <c r="H332" s="33">
        <v>100.0</v>
      </c>
      <c r="I332" s="33">
        <f>'Old Balance Sheet'!A332 + 'ACPL Calculations - 1.0'!A332 + 'ACPL Calculations - 2.0'!A332</f>
        <v>339</v>
      </c>
      <c r="J332" s="30" t="s">
        <v>3817</v>
      </c>
      <c r="K332" s="33">
        <v>205.0</v>
      </c>
      <c r="L332" s="25" t="s">
        <v>3818</v>
      </c>
      <c r="M332" s="33">
        <v>100.0</v>
      </c>
      <c r="N332" s="33">
        <f>'Old Balance Sheet'!B332 + 'ACPL Calculations - 1.0'!B332 + 'ACPL Calculations - 2.0'!B332</f>
        <v>0</v>
      </c>
      <c r="O332" s="30" t="s">
        <v>3817</v>
      </c>
      <c r="P332" s="31">
        <v>185.0</v>
      </c>
      <c r="Q332" s="25" t="s">
        <v>3818</v>
      </c>
      <c r="R332" s="33">
        <v>100.0</v>
      </c>
      <c r="S332" s="33">
        <f>'Old Balance Sheet'!C332 + 'ACPL Calculations - 1.0'!C332 + 'ACPL Calculations - 2.0'!C332</f>
        <v>0</v>
      </c>
      <c r="T332" s="30" t="s">
        <v>3817</v>
      </c>
      <c r="U332" s="33">
        <v>375.0</v>
      </c>
      <c r="V332" s="25" t="s">
        <v>3818</v>
      </c>
      <c r="W332" s="33">
        <v>100.0</v>
      </c>
      <c r="X332" s="33">
        <f>'Old Balance Sheet'!D332 + 'ACPL Calculations - 1.0'!D332 + 'ACPL Calculations - 2.0'!D332</f>
        <v>0</v>
      </c>
      <c r="Y332" s="30" t="s">
        <v>3817</v>
      </c>
      <c r="Z332" s="33">
        <v>460.0</v>
      </c>
      <c r="AA332" s="42" t="s">
        <v>3818</v>
      </c>
      <c r="AB332" s="43">
        <v>100.0</v>
      </c>
      <c r="AC332" s="33">
        <f>'Old Balance Sheet'!E332 + 'ACPL Calculations - 1.0'!E332 + 'ACPL Calculations - 2.0'!E332</f>
        <v>0</v>
      </c>
      <c r="AD332" s="30" t="s">
        <v>3817</v>
      </c>
      <c r="AE332" s="33">
        <v>838.99</v>
      </c>
      <c r="AF332" s="42" t="s">
        <v>3818</v>
      </c>
      <c r="AG332" s="43">
        <v>100.0</v>
      </c>
      <c r="AH332" s="33">
        <f>'Old Balance Sheet'!F332 + 'ACPL Calculations - 1.0'!F332 + 'ACPL Calculations - 2.0'!F332</f>
        <v>0</v>
      </c>
      <c r="AI332" s="30" t="s">
        <v>3817</v>
      </c>
      <c r="AJ332" s="33">
        <v>375.0</v>
      </c>
      <c r="AK332" s="42" t="s">
        <v>3818</v>
      </c>
      <c r="AL332" s="43">
        <v>100.0</v>
      </c>
      <c r="AM332" s="33">
        <f>'Old Balance Sheet'!G332 + 'ACPL Calculations - 1.0'!G332 + 'ACPL Calculations - 2.0'!G332</f>
        <v>0</v>
      </c>
      <c r="AN332" s="30" t="s">
        <v>3817</v>
      </c>
      <c r="AO332" s="33">
        <v>290.0</v>
      </c>
      <c r="AP332" s="42" t="s">
        <v>3818</v>
      </c>
      <c r="AQ332" s="43">
        <v>100.0</v>
      </c>
      <c r="AR332" s="33">
        <f>'Old Balance Sheet'!H332 + 'ACPL Calculations - 1.0'!H332 + 'ACPL Calculations - 2.0'!H332</f>
        <v>0</v>
      </c>
      <c r="AS332" s="30" t="s">
        <v>3819</v>
      </c>
      <c r="AT332" s="33">
        <v>838.99</v>
      </c>
      <c r="AU332" s="42" t="s">
        <v>3818</v>
      </c>
      <c r="AV332" s="43">
        <v>100.0</v>
      </c>
      <c r="AW332" s="33">
        <f>'Old Balance Sheet'!I332 + 'ACPL Calculations - 1.0'!I332 + 'ACPL Calculations - 2.0'!I332</f>
        <v>0</v>
      </c>
      <c r="AX332" s="30" t="s">
        <v>3817</v>
      </c>
      <c r="AY332" s="31">
        <v>290.0</v>
      </c>
      <c r="AZ332" s="42" t="s">
        <v>3818</v>
      </c>
      <c r="BA332" s="43">
        <v>100.0</v>
      </c>
      <c r="BB332" s="33">
        <f>'Old Balance Sheet'!J332 + 'ACPL Calculations - 1.0'!J332 + 'ACPL Calculations - 2.0'!J332</f>
        <v>0</v>
      </c>
      <c r="BC332" s="30" t="s">
        <v>3817</v>
      </c>
      <c r="BD332" s="31">
        <v>205.0</v>
      </c>
      <c r="BE332" s="42" t="s">
        <v>3818</v>
      </c>
      <c r="BF332" s="43">
        <v>100.0</v>
      </c>
      <c r="BG332" s="33">
        <f>'Old Balance Sheet'!K332 + 'ACPL Calculations - 1.0'!K332 + 'ACPL Calculations - 2.0'!K332</f>
        <v>0</v>
      </c>
      <c r="BH332" s="30" t="s">
        <v>3817</v>
      </c>
      <c r="BI332" s="31">
        <v>205.0</v>
      </c>
      <c r="BJ332" s="42" t="s">
        <v>3818</v>
      </c>
      <c r="BK332" s="43">
        <v>100.0</v>
      </c>
      <c r="BL332" s="33">
        <f>'Old Balance Sheet'!L332 + 'ACPL Calculations - 1.0'!L332 + 'ACPL Calculations - 2.0'!L332</f>
        <v>0</v>
      </c>
      <c r="BM332" s="25"/>
      <c r="BN332" s="25"/>
      <c r="BO332" s="25"/>
      <c r="BP332" s="25"/>
      <c r="BQ332" s="25"/>
      <c r="BR332" s="25"/>
      <c r="BS332" s="25"/>
      <c r="BT332" s="25"/>
      <c r="BU332" s="25"/>
      <c r="BV332" s="25"/>
      <c r="BW332" s="25"/>
      <c r="BX332" s="25"/>
      <c r="BY332" s="25"/>
      <c r="BZ332" s="25"/>
      <c r="CA332" s="25"/>
      <c r="CB332" s="25"/>
      <c r="CC332" s="25"/>
      <c r="CD332" s="25"/>
      <c r="CE332" s="25"/>
      <c r="CF332" s="25"/>
      <c r="CG332" s="25"/>
      <c r="CH332" s="25"/>
      <c r="CI332" s="25"/>
      <c r="CJ332" s="25"/>
      <c r="CK332" s="25"/>
      <c r="CL332" s="33">
        <f t="shared" si="1"/>
        <v>339</v>
      </c>
      <c r="CM332" s="33">
        <f>'Old Balance Sheet'!R332 + 'ACPL Calculations - 1.0'!S332 + 'ACPL Calculations - 2.0'!S332</f>
        <v>146042</v>
      </c>
      <c r="CN332" s="33">
        <f>'Old Balance Sheet'!S332 + 'ACPL Calculations - 1.0'!T332 + 'ACPL Calculations - 2.0'!T332</f>
        <v>54240</v>
      </c>
      <c r="CO332" s="33">
        <f t="shared" si="2"/>
        <v>76516.49</v>
      </c>
      <c r="CP332" s="33">
        <f>'Old Balance Sheet'!T332 + 'ACPL Calculations - 1.0'!V332 + 'ACPL Calculations - 2.0'!V332</f>
        <v>0</v>
      </c>
      <c r="CQ332" s="33">
        <f>'Old Balance Sheet'!U332 + 'ACPL Calculations - 1.0'!W332 + 'ACPL Calculations - 2.0'!W332</f>
        <v>0</v>
      </c>
      <c r="CR332" s="33">
        <f>'Old Balance Sheet'!V332 + 'ACPL Calculations - 1.0'!X332 + 'ACPL Calculations - 2.0'!X332</f>
        <v>22276.49</v>
      </c>
      <c r="CS332" s="33">
        <f t="shared" si="3"/>
        <v>22276.49</v>
      </c>
      <c r="CT332" s="35"/>
      <c r="CU332" s="35"/>
      <c r="CV332" s="35"/>
      <c r="CW332" s="36">
        <f>'Old Balance Sheet'!W332 + 'ACPL Calculations - 1.0'!Z332 + 'ACPL Calculations - 2.0'!Z332</f>
        <v>79993.36</v>
      </c>
      <c r="CX332" s="36">
        <f>'Old Balance Sheet'!X332 + 'ACPL Calculations - 1.0'!AA332 + 'ACPL Calculations - 2.0'!AA332</f>
        <v>79993.36</v>
      </c>
      <c r="CY332" s="37">
        <v>0.0</v>
      </c>
      <c r="CZ332" s="38">
        <f>'Old Balance Sheet'!Y332 + 'ACPL Calculations - 1.0'!AB332 + 'ACPL Calculations - 2.0'!AB332</f>
        <v>69525.51</v>
      </c>
      <c r="DA332" s="38">
        <f>'Old Balance Sheet'!Z332 + 'ACPL Calculations - 1.0'!AC332 + 'ACPL Calculations - 2.0'!AC332</f>
        <v>66048.64</v>
      </c>
      <c r="DB332" s="38">
        <f>'Old Balance Sheet'!AA332 + 'ACPL Calculations - 1.0'!AD332 + 'ACPL Calculations - 2.0'!AD332</f>
        <v>3476.87</v>
      </c>
      <c r="DC332" s="38">
        <f>'Old Balance Sheet'!AB332 + 'ACPL Calculations - 1.0'!AE332 + 'ACPL Calculations - 2.0'!AE332</f>
        <v>0</v>
      </c>
      <c r="DD332" s="38">
        <f t="shared" si="4"/>
        <v>0</v>
      </c>
      <c r="DE332" s="33">
        <f t="shared" si="5"/>
        <v>0</v>
      </c>
      <c r="DF332" s="35">
        <v>0.0</v>
      </c>
      <c r="DG332" s="35">
        <v>0.0</v>
      </c>
      <c r="DH332" s="35">
        <v>0.0</v>
      </c>
      <c r="DI332" s="35">
        <v>0.0</v>
      </c>
      <c r="DJ332" s="35">
        <v>0.0</v>
      </c>
      <c r="DK332" s="35">
        <v>0.0</v>
      </c>
      <c r="DL332" s="35">
        <v>0.0</v>
      </c>
      <c r="DM332" s="35">
        <v>0.0</v>
      </c>
      <c r="DN332" s="31">
        <v>0.0</v>
      </c>
      <c r="DO332" s="31">
        <v>0.0</v>
      </c>
      <c r="DP332" s="31">
        <v>0.0</v>
      </c>
      <c r="DQ332" s="31">
        <v>0.0</v>
      </c>
      <c r="DR332" s="31">
        <v>0.0</v>
      </c>
      <c r="DS332" s="31">
        <v>0.0</v>
      </c>
      <c r="DT332" s="31">
        <f>'Old Balance Sheet'!AC332</f>
        <v>0</v>
      </c>
      <c r="DU332" s="31">
        <f>DT332 + SUMIFS('Payments Log'!D:D, 'Payments Log'!B:B, A332, 'Payments Log'!L:L, "Approved", 'Payments Log'!M:M, "Credit") + 'Old Balance Sheet'!AD332 - 'Old Balance Sheet'!AC332</f>
        <v>80000</v>
      </c>
      <c r="DV332" s="31">
        <f>SUMIFS('Payments Log'!D:D, 'Payments Log'!B:B, A332, 'Payments Log'!L:L, "Approved", 'Payments Log'!M:M, "Adjustment Credit") - SUMIFS('Payments Log'!D:D, 'Payments Log'!B:B, A332, 'Payments Log'!L:L, "Approved", 'Payments Log'!M:M, "Adjustment Debit") + 'Old Balance Sheet'!AE332</f>
        <v>0</v>
      </c>
      <c r="DW332" s="31">
        <f>IF(MAXIFS('Payments Log'!N:N, 'Payments Log'!L:L, "Approved", 'Payments Log'!M:M, "Credit", 'Payments Log'!B:B, A332) &gt; MAXIFS('Payments Log'!N:N, 'Payments Log'!L:L, "Approved", 'Payments Log'!M:M, "Virtual Credit", 'Payments Log'!B:B, A332), 0, SUMIFS('Payments Log'!D:D, 'Payments Log'!N:N, MAXIFS('Payments Log'!N:N, 'Payments Log'!L:L, "Approved", 'Payments Log'!M:M, "Virtual Credit", 'Payments Log'!B:B, A332)))</f>
        <v>0</v>
      </c>
      <c r="DX332" s="33">
        <f t="shared" si="6"/>
        <v>6.64</v>
      </c>
      <c r="DY332" s="33">
        <f t="shared" si="7"/>
        <v>6.64</v>
      </c>
      <c r="DZ332" s="33">
        <f t="shared" si="8"/>
        <v>6.64</v>
      </c>
      <c r="EA332" s="25" t="str">
        <f>(Sheet1!N332)</f>
        <v>APPLE HONDA- VADODARA</v>
      </c>
      <c r="EB332" s="25" t="str">
        <f>(Sheet1!O332)</f>
        <v>1Z0RLxeDSU2deGe-M9N2_xaGVhFQVJm_tASIMLykuH6Q</v>
      </c>
      <c r="EC332" s="26" t="str">
        <f>(Sheet1!P332)</f>
        <v>Dealer</v>
      </c>
      <c r="ED332" s="34" t="s">
        <v>13</v>
      </c>
    </row>
    <row r="333">
      <c r="A333" s="25" t="str">
        <f>(Sheet1!A333)</f>
        <v>1yvsl28_lUG4aa66iIPEwfNrCt2m4Np6IsUERJv8hjf4</v>
      </c>
      <c r="B333" s="25" t="str">
        <f>(Sheet1!B333)</f>
        <v>UTTAM MOTORS- Neemuch</v>
      </c>
      <c r="C333" s="30" t="s">
        <v>13</v>
      </c>
      <c r="D333" s="25" t="s">
        <v>72</v>
      </c>
      <c r="E333" s="30" t="s">
        <v>3820</v>
      </c>
      <c r="F333" s="31">
        <v>170.0</v>
      </c>
      <c r="G333" s="25" t="s">
        <v>3818</v>
      </c>
      <c r="H333" s="33">
        <v>100.0</v>
      </c>
      <c r="I333" s="33">
        <f>'Old Balance Sheet'!A333 + 'ACPL Calculations - 1.0'!A333 + 'ACPL Calculations - 2.0'!A333</f>
        <v>7</v>
      </c>
      <c r="J333" s="30" t="s">
        <v>3820</v>
      </c>
      <c r="K333" s="33">
        <v>205.0</v>
      </c>
      <c r="L333" s="25" t="s">
        <v>3818</v>
      </c>
      <c r="M333" s="33">
        <v>100.0</v>
      </c>
      <c r="N333" s="33">
        <f>'Old Balance Sheet'!B333 + 'ACPL Calculations - 1.0'!B333 + 'ACPL Calculations - 2.0'!B333</f>
        <v>0</v>
      </c>
      <c r="O333" s="30" t="s">
        <v>3820</v>
      </c>
      <c r="P333" s="31">
        <v>290.0</v>
      </c>
      <c r="Q333" s="25" t="s">
        <v>3818</v>
      </c>
      <c r="R333" s="33">
        <v>100.0</v>
      </c>
      <c r="S333" s="33">
        <f>'Old Balance Sheet'!C333 + 'ACPL Calculations - 1.0'!C333 + 'ACPL Calculations - 2.0'!C333</f>
        <v>0</v>
      </c>
      <c r="T333" s="30" t="s">
        <v>3820</v>
      </c>
      <c r="U333" s="33">
        <v>375.0</v>
      </c>
      <c r="V333" s="25" t="s">
        <v>3818</v>
      </c>
      <c r="W333" s="33">
        <v>100.0</v>
      </c>
      <c r="X333" s="33">
        <f>'Old Balance Sheet'!D333 + 'ACPL Calculations - 1.0'!D333 + 'ACPL Calculations - 2.0'!D333</f>
        <v>0</v>
      </c>
      <c r="Y333" s="30" t="s">
        <v>3820</v>
      </c>
      <c r="Z333" s="33">
        <v>460.0</v>
      </c>
      <c r="AA333" s="42" t="s">
        <v>3818</v>
      </c>
      <c r="AB333" s="43">
        <v>100.0</v>
      </c>
      <c r="AC333" s="33">
        <f>'Old Balance Sheet'!E333 + 'ACPL Calculations - 1.0'!E333 + 'ACPL Calculations - 2.0'!E333</f>
        <v>0</v>
      </c>
      <c r="AD333" s="30" t="s">
        <v>3820</v>
      </c>
      <c r="AE333" s="33">
        <v>838.99</v>
      </c>
      <c r="AF333" s="42" t="s">
        <v>3818</v>
      </c>
      <c r="AG333" s="43">
        <v>100.0</v>
      </c>
      <c r="AH333" s="33">
        <f>'Old Balance Sheet'!F333 + 'ACPL Calculations - 1.0'!F333 + 'ACPL Calculations - 2.0'!F333</f>
        <v>0</v>
      </c>
      <c r="AI333" s="30" t="s">
        <v>3820</v>
      </c>
      <c r="AJ333" s="33">
        <v>375.0</v>
      </c>
      <c r="AK333" s="42" t="s">
        <v>3818</v>
      </c>
      <c r="AL333" s="43">
        <v>100.0</v>
      </c>
      <c r="AM333" s="33">
        <f>'Old Balance Sheet'!G333 + 'ACPL Calculations - 1.0'!G333 + 'ACPL Calculations - 2.0'!G333</f>
        <v>0</v>
      </c>
      <c r="AN333" s="30" t="s">
        <v>3820</v>
      </c>
      <c r="AO333" s="33">
        <v>290.0</v>
      </c>
      <c r="AP333" s="42" t="s">
        <v>3818</v>
      </c>
      <c r="AQ333" s="43">
        <v>100.0</v>
      </c>
      <c r="AR333" s="33">
        <f>'Old Balance Sheet'!H333 + 'ACPL Calculations - 1.0'!H333 + 'ACPL Calculations - 2.0'!H333</f>
        <v>0</v>
      </c>
      <c r="AS333" s="30" t="s">
        <v>3819</v>
      </c>
      <c r="AT333" s="33">
        <v>838.99</v>
      </c>
      <c r="AU333" s="42" t="s">
        <v>3818</v>
      </c>
      <c r="AV333" s="43">
        <v>100.0</v>
      </c>
      <c r="AW333" s="33">
        <f>'Old Balance Sheet'!I333 + 'ACPL Calculations - 1.0'!I333 + 'ACPL Calculations - 2.0'!I333</f>
        <v>0</v>
      </c>
      <c r="AX333" s="30" t="s">
        <v>3820</v>
      </c>
      <c r="AY333" s="31">
        <v>290.0</v>
      </c>
      <c r="AZ333" s="42" t="s">
        <v>3818</v>
      </c>
      <c r="BA333" s="43">
        <v>100.0</v>
      </c>
      <c r="BB333" s="33">
        <f>'Old Balance Sheet'!J333 + 'ACPL Calculations - 1.0'!J333 + 'ACPL Calculations - 2.0'!J333</f>
        <v>0</v>
      </c>
      <c r="BC333" s="30" t="s">
        <v>3820</v>
      </c>
      <c r="BD333" s="31">
        <v>205.0</v>
      </c>
      <c r="BE333" s="42" t="s">
        <v>3818</v>
      </c>
      <c r="BF333" s="43">
        <v>100.0</v>
      </c>
      <c r="BG333" s="33">
        <f>'Old Balance Sheet'!K333 + 'ACPL Calculations - 1.0'!K333 + 'ACPL Calculations - 2.0'!K333</f>
        <v>0</v>
      </c>
      <c r="BH333" s="30" t="s">
        <v>3820</v>
      </c>
      <c r="BI333" s="31">
        <v>205.0</v>
      </c>
      <c r="BJ333" s="42" t="s">
        <v>3818</v>
      </c>
      <c r="BK333" s="43">
        <v>100.0</v>
      </c>
      <c r="BL333" s="33">
        <f>'Old Balance Sheet'!L333 + 'ACPL Calculations - 1.0'!L333 + 'ACPL Calculations - 2.0'!L333</f>
        <v>0</v>
      </c>
      <c r="BM333" s="25"/>
      <c r="BN333" s="25"/>
      <c r="BO333" s="25"/>
      <c r="BP333" s="25"/>
      <c r="BQ333" s="25"/>
      <c r="BR333" s="25"/>
      <c r="BS333" s="25"/>
      <c r="BT333" s="25"/>
      <c r="BU333" s="25"/>
      <c r="BV333" s="25"/>
      <c r="BW333" s="25"/>
      <c r="BX333" s="25"/>
      <c r="BY333" s="25"/>
      <c r="BZ333" s="25"/>
      <c r="CA333" s="25"/>
      <c r="CB333" s="25"/>
      <c r="CC333" s="25"/>
      <c r="CD333" s="25"/>
      <c r="CE333" s="25"/>
      <c r="CF333" s="25"/>
      <c r="CG333" s="25"/>
      <c r="CH333" s="25"/>
      <c r="CI333" s="25"/>
      <c r="CJ333" s="25"/>
      <c r="CK333" s="25"/>
      <c r="CL333" s="33">
        <f t="shared" si="1"/>
        <v>7</v>
      </c>
      <c r="CM333" s="33">
        <f>'Old Balance Sheet'!R333 + 'ACPL Calculations - 1.0'!S333 + 'ACPL Calculations - 2.0'!S333</f>
        <v>2730</v>
      </c>
      <c r="CN333" s="33">
        <f>'Old Balance Sheet'!S333 + 'ACPL Calculations - 1.0'!T333 + 'ACPL Calculations - 2.0'!T333</f>
        <v>1190</v>
      </c>
      <c r="CO333" s="33">
        <f t="shared" si="2"/>
        <v>1606.43</v>
      </c>
      <c r="CP333" s="33">
        <f>'Old Balance Sheet'!T333 + 'ACPL Calculations - 1.0'!V333 + 'ACPL Calculations - 2.0'!V333</f>
        <v>0</v>
      </c>
      <c r="CQ333" s="33">
        <f>'Old Balance Sheet'!U333 + 'ACPL Calculations - 1.0'!W333 + 'ACPL Calculations - 2.0'!W333</f>
        <v>0</v>
      </c>
      <c r="CR333" s="33">
        <f>'Old Balance Sheet'!V333 + 'ACPL Calculations - 1.0'!X333 + 'ACPL Calculations - 2.0'!X333</f>
        <v>416.43</v>
      </c>
      <c r="CS333" s="33">
        <f t="shared" si="3"/>
        <v>416.43</v>
      </c>
      <c r="CT333" s="35"/>
      <c r="CU333" s="35"/>
      <c r="CV333" s="35"/>
      <c r="CW333" s="36">
        <f>'Old Balance Sheet'!W333 + 'ACPL Calculations - 1.0'!Z333 + 'ACPL Calculations - 2.0'!Z333</f>
        <v>2730</v>
      </c>
      <c r="CX333" s="36">
        <f>'Old Balance Sheet'!X333 + 'ACPL Calculations - 1.0'!AA333 + 'ACPL Calculations - 2.0'!AA333</f>
        <v>1662.64</v>
      </c>
      <c r="CY333" s="37">
        <v>0.0</v>
      </c>
      <c r="CZ333" s="38">
        <f>'Old Balance Sheet'!Y333 + 'ACPL Calculations - 1.0'!AB333 + 'ACPL Calculations - 2.0'!AB333</f>
        <v>1123.57</v>
      </c>
      <c r="DA333" s="38">
        <f>'Old Balance Sheet'!Z333 + 'ACPL Calculations - 1.0'!AC333 + 'ACPL Calculations - 2.0'!AC333</f>
        <v>0</v>
      </c>
      <c r="DB333" s="38">
        <f>'Old Balance Sheet'!AA333 + 'ACPL Calculations - 1.0'!AD333 + 'ACPL Calculations - 2.0'!AD333</f>
        <v>56.21</v>
      </c>
      <c r="DC333" s="38">
        <f>'Old Balance Sheet'!AB333 + 'ACPL Calculations - 1.0'!AE333 + 'ACPL Calculations - 2.0'!AE333</f>
        <v>1067.36</v>
      </c>
      <c r="DD333" s="38">
        <f t="shared" si="4"/>
        <v>1067.36</v>
      </c>
      <c r="DE333" s="33">
        <f t="shared" si="5"/>
        <v>1067.36</v>
      </c>
      <c r="DF333" s="35">
        <v>0.0</v>
      </c>
      <c r="DG333" s="35">
        <v>0.0</v>
      </c>
      <c r="DH333" s="35">
        <v>0.0</v>
      </c>
      <c r="DI333" s="35">
        <v>0.0</v>
      </c>
      <c r="DJ333" s="35">
        <v>0.0</v>
      </c>
      <c r="DK333" s="35">
        <v>0.0</v>
      </c>
      <c r="DL333" s="35">
        <v>0.0</v>
      </c>
      <c r="DM333" s="35">
        <v>0.0</v>
      </c>
      <c r="DN333" s="31">
        <v>0.0</v>
      </c>
      <c r="DO333" s="31">
        <v>0.0</v>
      </c>
      <c r="DP333" s="31">
        <v>0.0</v>
      </c>
      <c r="DQ333" s="31">
        <v>0.0</v>
      </c>
      <c r="DR333" s="31">
        <v>0.0</v>
      </c>
      <c r="DS333" s="31">
        <v>0.0</v>
      </c>
      <c r="DT333" s="31">
        <f>'Old Balance Sheet'!AC333</f>
        <v>0</v>
      </c>
      <c r="DU333" s="31">
        <f>DT333 + SUMIFS('Payments Log'!D:D, 'Payments Log'!B:B, A333, 'Payments Log'!L:L, "Approved", 'Payments Log'!M:M, "Credit") + 'Old Balance Sheet'!AD333 - 'Old Balance Sheet'!AC333</f>
        <v>3000</v>
      </c>
      <c r="DV333" s="31">
        <f>SUMIFS('Payments Log'!D:D, 'Payments Log'!B:B, A333, 'Payments Log'!L:L, "Approved", 'Payments Log'!M:M, "Adjustment Credit") - SUMIFS('Payments Log'!D:D, 'Payments Log'!B:B, A333, 'Payments Log'!L:L, "Approved", 'Payments Log'!M:M, "Adjustment Debit") + 'Old Balance Sheet'!AE333</f>
        <v>0</v>
      </c>
      <c r="DW333" s="31">
        <f>IF(MAXIFS('Payments Log'!N:N, 'Payments Log'!L:L, "Approved", 'Payments Log'!M:M, "Credit", 'Payments Log'!B:B, A333) &gt; MAXIFS('Payments Log'!N:N, 'Payments Log'!L:L, "Approved", 'Payments Log'!M:M, "Virtual Credit", 'Payments Log'!B:B, A333), 0, SUMIFS('Payments Log'!D:D, 'Payments Log'!N:N, MAXIFS('Payments Log'!N:N, 'Payments Log'!L:L, "Approved", 'Payments Log'!M:M, "Virtual Credit", 'Payments Log'!B:B, A333)))</f>
        <v>0</v>
      </c>
      <c r="DX333" s="33">
        <f t="shared" si="6"/>
        <v>270</v>
      </c>
      <c r="DY333" s="33">
        <f t="shared" si="7"/>
        <v>1337.36</v>
      </c>
      <c r="DZ333" s="33">
        <f t="shared" si="8"/>
        <v>1337.36</v>
      </c>
      <c r="EA333" s="25" t="str">
        <f>(Sheet1!N333)</f>
        <v>UTTAM MOTORS- Neemuch</v>
      </c>
      <c r="EB333" s="25" t="str">
        <f>(Sheet1!O333)</f>
        <v>1yvsl28_lUG4aa66iIPEwfNrCt2m4Np6IsUERJv8hjf4</v>
      </c>
      <c r="EC333" s="26" t="str">
        <f>(Sheet1!P333)</f>
        <v>Dealer</v>
      </c>
      <c r="ED333" s="34" t="s">
        <v>13</v>
      </c>
    </row>
    <row r="334">
      <c r="A334" s="25" t="str">
        <f>(Sheet1!A334)</f>
        <v>1e3aaOiXSZCQrn6e8SubsYYbeE8N1r6f9D083h9kT6V4</v>
      </c>
      <c r="B334" s="25" t="str">
        <f>(Sheet1!B334)</f>
        <v>Jaydeep Auto - Vadodra</v>
      </c>
      <c r="C334" s="30" t="s">
        <v>13</v>
      </c>
      <c r="D334" s="25" t="s">
        <v>72</v>
      </c>
      <c r="E334" s="30" t="s">
        <v>3817</v>
      </c>
      <c r="F334" s="31">
        <v>175.0</v>
      </c>
      <c r="G334" s="25" t="s">
        <v>3818</v>
      </c>
      <c r="H334" s="33">
        <v>100.0</v>
      </c>
      <c r="I334" s="33">
        <f>'Old Balance Sheet'!A334 + 'ACPL Calculations - 1.0'!A334 + 'ACPL Calculations - 2.0'!A334</f>
        <v>18</v>
      </c>
      <c r="J334" s="30" t="s">
        <v>3817</v>
      </c>
      <c r="K334" s="33">
        <v>205.0</v>
      </c>
      <c r="L334" s="25" t="s">
        <v>3818</v>
      </c>
      <c r="M334" s="33">
        <v>100.0</v>
      </c>
      <c r="N334" s="33">
        <f>'Old Balance Sheet'!B334 + 'ACPL Calculations - 1.0'!B334 + 'ACPL Calculations - 2.0'!B334</f>
        <v>0</v>
      </c>
      <c r="O334" s="30" t="s">
        <v>3817</v>
      </c>
      <c r="P334" s="31">
        <v>290.0</v>
      </c>
      <c r="Q334" s="25" t="s">
        <v>3818</v>
      </c>
      <c r="R334" s="33">
        <v>100.0</v>
      </c>
      <c r="S334" s="33">
        <f>'Old Balance Sheet'!C334 + 'ACPL Calculations - 1.0'!C334 + 'ACPL Calculations - 2.0'!C334</f>
        <v>0</v>
      </c>
      <c r="T334" s="30" t="s">
        <v>3817</v>
      </c>
      <c r="U334" s="33">
        <v>375.0</v>
      </c>
      <c r="V334" s="25" t="s">
        <v>3818</v>
      </c>
      <c r="W334" s="33">
        <v>100.0</v>
      </c>
      <c r="X334" s="33">
        <f>'Old Balance Sheet'!D334 + 'ACPL Calculations - 1.0'!D334 + 'ACPL Calculations - 2.0'!D334</f>
        <v>0</v>
      </c>
      <c r="Y334" s="30" t="s">
        <v>3817</v>
      </c>
      <c r="Z334" s="33">
        <v>460.0</v>
      </c>
      <c r="AA334" s="42" t="s">
        <v>3818</v>
      </c>
      <c r="AB334" s="43">
        <v>100.0</v>
      </c>
      <c r="AC334" s="33">
        <f>'Old Balance Sheet'!E334 + 'ACPL Calculations - 1.0'!E334 + 'ACPL Calculations - 2.0'!E334</f>
        <v>0</v>
      </c>
      <c r="AD334" s="30" t="s">
        <v>3817</v>
      </c>
      <c r="AE334" s="33">
        <v>838.99</v>
      </c>
      <c r="AF334" s="42" t="s">
        <v>3818</v>
      </c>
      <c r="AG334" s="43">
        <v>100.0</v>
      </c>
      <c r="AH334" s="33">
        <f>'Old Balance Sheet'!F334 + 'ACPL Calculations - 1.0'!F334 + 'ACPL Calculations - 2.0'!F334</f>
        <v>0</v>
      </c>
      <c r="AI334" s="30" t="s">
        <v>3817</v>
      </c>
      <c r="AJ334" s="33">
        <v>375.0</v>
      </c>
      <c r="AK334" s="42" t="s">
        <v>3818</v>
      </c>
      <c r="AL334" s="43">
        <v>100.0</v>
      </c>
      <c r="AM334" s="33">
        <f>'Old Balance Sheet'!G334 + 'ACPL Calculations - 1.0'!G334 + 'ACPL Calculations - 2.0'!G334</f>
        <v>0</v>
      </c>
      <c r="AN334" s="30" t="s">
        <v>3817</v>
      </c>
      <c r="AO334" s="33">
        <v>290.0</v>
      </c>
      <c r="AP334" s="42" t="s">
        <v>3818</v>
      </c>
      <c r="AQ334" s="43">
        <v>100.0</v>
      </c>
      <c r="AR334" s="33">
        <f>'Old Balance Sheet'!H334 + 'ACPL Calculations - 1.0'!H334 + 'ACPL Calculations - 2.0'!H334</f>
        <v>0</v>
      </c>
      <c r="AS334" s="30" t="s">
        <v>3819</v>
      </c>
      <c r="AT334" s="33">
        <v>838.99</v>
      </c>
      <c r="AU334" s="42" t="s">
        <v>3818</v>
      </c>
      <c r="AV334" s="43">
        <v>100.0</v>
      </c>
      <c r="AW334" s="33">
        <f>'Old Balance Sheet'!I334 + 'ACPL Calculations - 1.0'!I334 + 'ACPL Calculations - 2.0'!I334</f>
        <v>0</v>
      </c>
      <c r="AX334" s="30" t="s">
        <v>3817</v>
      </c>
      <c r="AY334" s="31">
        <v>290.0</v>
      </c>
      <c r="AZ334" s="42" t="s">
        <v>3818</v>
      </c>
      <c r="BA334" s="43">
        <v>100.0</v>
      </c>
      <c r="BB334" s="33">
        <f>'Old Balance Sheet'!J334 + 'ACPL Calculations - 1.0'!J334 + 'ACPL Calculations - 2.0'!J334</f>
        <v>0</v>
      </c>
      <c r="BC334" s="30" t="s">
        <v>3817</v>
      </c>
      <c r="BD334" s="31">
        <v>205.0</v>
      </c>
      <c r="BE334" s="42" t="s">
        <v>3818</v>
      </c>
      <c r="BF334" s="43">
        <v>100.0</v>
      </c>
      <c r="BG334" s="33">
        <f>'Old Balance Sheet'!K334 + 'ACPL Calculations - 1.0'!K334 + 'ACPL Calculations - 2.0'!K334</f>
        <v>0</v>
      </c>
      <c r="BH334" s="30" t="s">
        <v>3817</v>
      </c>
      <c r="BI334" s="31">
        <v>205.0</v>
      </c>
      <c r="BJ334" s="42" t="s">
        <v>3818</v>
      </c>
      <c r="BK334" s="43">
        <v>100.0</v>
      </c>
      <c r="BL334" s="33">
        <f>'Old Balance Sheet'!L334 + 'ACPL Calculations - 1.0'!L334 + 'ACPL Calculations - 2.0'!L334</f>
        <v>0</v>
      </c>
      <c r="BM334" s="25"/>
      <c r="BN334" s="25"/>
      <c r="BO334" s="25"/>
      <c r="BP334" s="25"/>
      <c r="BQ334" s="25"/>
      <c r="BR334" s="25"/>
      <c r="BS334" s="25"/>
      <c r="BT334" s="25"/>
      <c r="BU334" s="25"/>
      <c r="BV334" s="25"/>
      <c r="BW334" s="25"/>
      <c r="BX334" s="25"/>
      <c r="BY334" s="25"/>
      <c r="BZ334" s="25"/>
      <c r="CA334" s="25"/>
      <c r="CB334" s="25"/>
      <c r="CC334" s="25"/>
      <c r="CD334" s="25"/>
      <c r="CE334" s="25"/>
      <c r="CF334" s="25"/>
      <c r="CG334" s="25"/>
      <c r="CH334" s="25"/>
      <c r="CI334" s="25"/>
      <c r="CJ334" s="25"/>
      <c r="CK334" s="25"/>
      <c r="CL334" s="33">
        <f t="shared" si="1"/>
        <v>18</v>
      </c>
      <c r="CM334" s="33">
        <f>'Old Balance Sheet'!R334 + 'ACPL Calculations - 1.0'!S334 + 'ACPL Calculations - 2.0'!S334</f>
        <v>7956</v>
      </c>
      <c r="CN334" s="33">
        <f>'Old Balance Sheet'!S334 + 'ACPL Calculations - 1.0'!T334 + 'ACPL Calculations - 2.0'!T334</f>
        <v>3150</v>
      </c>
      <c r="CO334" s="33">
        <f t="shared" si="2"/>
        <v>4363.56</v>
      </c>
      <c r="CP334" s="33">
        <f>'Old Balance Sheet'!T334 + 'ACPL Calculations - 1.0'!V334 + 'ACPL Calculations - 2.0'!V334</f>
        <v>0</v>
      </c>
      <c r="CQ334" s="33">
        <f>'Old Balance Sheet'!U334 + 'ACPL Calculations - 1.0'!W334 + 'ACPL Calculations - 2.0'!W334</f>
        <v>0</v>
      </c>
      <c r="CR334" s="33">
        <f>'Old Balance Sheet'!V334 + 'ACPL Calculations - 1.0'!X334 + 'ACPL Calculations - 2.0'!X334</f>
        <v>1213.56</v>
      </c>
      <c r="CS334" s="33">
        <f t="shared" si="3"/>
        <v>1213.56</v>
      </c>
      <c r="CT334" s="35"/>
      <c r="CU334" s="35"/>
      <c r="CV334" s="35"/>
      <c r="CW334" s="36">
        <f>'Old Balance Sheet'!W334 + 'ACPL Calculations - 1.0'!Z334 + 'ACPL Calculations - 2.0'!Z334</f>
        <v>4543.2</v>
      </c>
      <c r="CX334" s="36">
        <f>'Old Balance Sheet'!X334 + 'ACPL Calculations - 1.0'!AA334 + 'ACPL Calculations - 2.0'!AA334</f>
        <v>4543.2</v>
      </c>
      <c r="CY334" s="37">
        <v>0.0</v>
      </c>
      <c r="CZ334" s="38">
        <f>'Old Balance Sheet'!Y334 + 'ACPL Calculations - 1.0'!AB334 + 'ACPL Calculations - 2.0'!AB334</f>
        <v>3592.44</v>
      </c>
      <c r="DA334" s="38">
        <f>'Old Balance Sheet'!Z334 + 'ACPL Calculations - 1.0'!AC334 + 'ACPL Calculations - 2.0'!AC334</f>
        <v>3412.8</v>
      </c>
      <c r="DB334" s="38">
        <f>'Old Balance Sheet'!AA334 + 'ACPL Calculations - 1.0'!AD334 + 'ACPL Calculations - 2.0'!AD334</f>
        <v>179.64</v>
      </c>
      <c r="DC334" s="38">
        <f>'Old Balance Sheet'!AB334 + 'ACPL Calculations - 1.0'!AE334 + 'ACPL Calculations - 2.0'!AE334</f>
        <v>0</v>
      </c>
      <c r="DD334" s="38">
        <f t="shared" si="4"/>
        <v>0</v>
      </c>
      <c r="DE334" s="33">
        <f t="shared" si="5"/>
        <v>0</v>
      </c>
      <c r="DF334" s="35">
        <v>0.0</v>
      </c>
      <c r="DG334" s="35">
        <v>0.0</v>
      </c>
      <c r="DH334" s="35">
        <v>0.0</v>
      </c>
      <c r="DI334" s="35">
        <v>0.0</v>
      </c>
      <c r="DJ334" s="35">
        <v>0.0</v>
      </c>
      <c r="DK334" s="35">
        <v>0.0</v>
      </c>
      <c r="DL334" s="35">
        <v>0.0</v>
      </c>
      <c r="DM334" s="35">
        <v>0.0</v>
      </c>
      <c r="DN334" s="31">
        <v>0.0</v>
      </c>
      <c r="DO334" s="31">
        <v>0.0</v>
      </c>
      <c r="DP334" s="31">
        <v>0.0</v>
      </c>
      <c r="DQ334" s="31">
        <v>0.0</v>
      </c>
      <c r="DR334" s="31">
        <v>0.0</v>
      </c>
      <c r="DS334" s="31">
        <v>0.0</v>
      </c>
      <c r="DT334" s="31">
        <f>'Old Balance Sheet'!AC334</f>
        <v>0</v>
      </c>
      <c r="DU334" s="31">
        <f>DT334 + SUMIFS('Payments Log'!D:D, 'Payments Log'!B:B, A334, 'Payments Log'!L:L, "Approved", 'Payments Log'!M:M, "Credit") + 'Old Balance Sheet'!AD334 - 'Old Balance Sheet'!AC334</f>
        <v>5000</v>
      </c>
      <c r="DV334" s="31">
        <f>SUMIFS('Payments Log'!D:D, 'Payments Log'!B:B, A334, 'Payments Log'!L:L, "Approved", 'Payments Log'!M:M, "Adjustment Credit") - SUMIFS('Payments Log'!D:D, 'Payments Log'!B:B, A334, 'Payments Log'!L:L, "Approved", 'Payments Log'!M:M, "Adjustment Debit") + 'Old Balance Sheet'!AE334</f>
        <v>0</v>
      </c>
      <c r="DW334" s="31">
        <f>IF(MAXIFS('Payments Log'!N:N, 'Payments Log'!L:L, "Approved", 'Payments Log'!M:M, "Credit", 'Payments Log'!B:B, A334) &gt; MAXIFS('Payments Log'!N:N, 'Payments Log'!L:L, "Approved", 'Payments Log'!M:M, "Virtual Credit", 'Payments Log'!B:B, A334), 0, SUMIFS('Payments Log'!D:D, 'Payments Log'!N:N, MAXIFS('Payments Log'!N:N, 'Payments Log'!L:L, "Approved", 'Payments Log'!M:M, "Virtual Credit", 'Payments Log'!B:B, A334)))</f>
        <v>0</v>
      </c>
      <c r="DX334" s="33">
        <f t="shared" si="6"/>
        <v>456.8</v>
      </c>
      <c r="DY334" s="33">
        <f t="shared" si="7"/>
        <v>456.8</v>
      </c>
      <c r="DZ334" s="33">
        <f t="shared" si="8"/>
        <v>456.8</v>
      </c>
      <c r="EA334" s="25" t="str">
        <f>(Sheet1!N334)</f>
        <v>Jaydeep Auto - Vadodra</v>
      </c>
      <c r="EB334" s="25" t="str">
        <f>(Sheet1!O334)</f>
        <v>1e3aaOiXSZCQrn6e8SubsYYbeE8N1r6f9D083h9kT6V4</v>
      </c>
      <c r="EC334" s="26" t="str">
        <f>(Sheet1!P334)</f>
        <v>Dealer</v>
      </c>
      <c r="ED334" s="34" t="s">
        <v>13</v>
      </c>
    </row>
    <row r="335">
      <c r="A335" s="25" t="str">
        <f>(Sheet1!A335)</f>
        <v>1r0KUrXS28gDx7-fgD3zjnrel7PaC3KXGiEtHPv0wv_M</v>
      </c>
      <c r="B335" s="25" t="str">
        <f>(Sheet1!B335)</f>
        <v>PAL ENTERPRISE- VIDISHA</v>
      </c>
      <c r="C335" s="30" t="s">
        <v>13</v>
      </c>
      <c r="D335" s="25" t="s">
        <v>72</v>
      </c>
      <c r="E335" s="30" t="s">
        <v>3820</v>
      </c>
      <c r="F335" s="31">
        <v>160.0</v>
      </c>
      <c r="G335" s="25" t="s">
        <v>3818</v>
      </c>
      <c r="H335" s="33">
        <v>100.0</v>
      </c>
      <c r="I335" s="33">
        <f>'Old Balance Sheet'!A335 + 'ACPL Calculations - 1.0'!A335 + 'ACPL Calculations - 2.0'!A335</f>
        <v>366</v>
      </c>
      <c r="J335" s="30" t="s">
        <v>3820</v>
      </c>
      <c r="K335" s="33">
        <v>205.0</v>
      </c>
      <c r="L335" s="25" t="s">
        <v>3818</v>
      </c>
      <c r="M335" s="33">
        <v>100.0</v>
      </c>
      <c r="N335" s="33">
        <f>'Old Balance Sheet'!B335 + 'ACPL Calculations - 1.0'!B335 + 'ACPL Calculations - 2.0'!B335</f>
        <v>0</v>
      </c>
      <c r="O335" s="30" t="s">
        <v>3820</v>
      </c>
      <c r="P335" s="31">
        <v>290.0</v>
      </c>
      <c r="Q335" s="25" t="s">
        <v>3818</v>
      </c>
      <c r="R335" s="33">
        <v>100.0</v>
      </c>
      <c r="S335" s="33">
        <f>'Old Balance Sheet'!C335 + 'ACPL Calculations - 1.0'!C335 + 'ACPL Calculations - 2.0'!C335</f>
        <v>0</v>
      </c>
      <c r="T335" s="30" t="s">
        <v>3820</v>
      </c>
      <c r="U335" s="33">
        <v>375.0</v>
      </c>
      <c r="V335" s="25" t="s">
        <v>3818</v>
      </c>
      <c r="W335" s="33">
        <v>100.0</v>
      </c>
      <c r="X335" s="33">
        <f>'Old Balance Sheet'!D335 + 'ACPL Calculations - 1.0'!D335 + 'ACPL Calculations - 2.0'!D335</f>
        <v>0</v>
      </c>
      <c r="Y335" s="30" t="s">
        <v>3820</v>
      </c>
      <c r="Z335" s="33">
        <v>460.0</v>
      </c>
      <c r="AA335" s="42" t="s">
        <v>3818</v>
      </c>
      <c r="AB335" s="43">
        <v>100.0</v>
      </c>
      <c r="AC335" s="33">
        <f>'Old Balance Sheet'!E335 + 'ACPL Calculations - 1.0'!E335 + 'ACPL Calculations - 2.0'!E335</f>
        <v>0</v>
      </c>
      <c r="AD335" s="30" t="s">
        <v>3820</v>
      </c>
      <c r="AE335" s="33">
        <v>838.99</v>
      </c>
      <c r="AF335" s="42" t="s">
        <v>3818</v>
      </c>
      <c r="AG335" s="43">
        <v>100.0</v>
      </c>
      <c r="AH335" s="33">
        <f>'Old Balance Sheet'!F335 + 'ACPL Calculations - 1.0'!F335 + 'ACPL Calculations - 2.0'!F335</f>
        <v>0</v>
      </c>
      <c r="AI335" s="30" t="s">
        <v>3820</v>
      </c>
      <c r="AJ335" s="33">
        <v>375.0</v>
      </c>
      <c r="AK335" s="42" t="s">
        <v>3818</v>
      </c>
      <c r="AL335" s="43">
        <v>100.0</v>
      </c>
      <c r="AM335" s="33">
        <f>'Old Balance Sheet'!G335 + 'ACPL Calculations - 1.0'!G335 + 'ACPL Calculations - 2.0'!G335</f>
        <v>0</v>
      </c>
      <c r="AN335" s="30" t="s">
        <v>3820</v>
      </c>
      <c r="AO335" s="33">
        <v>290.0</v>
      </c>
      <c r="AP335" s="42" t="s">
        <v>3818</v>
      </c>
      <c r="AQ335" s="43">
        <v>100.0</v>
      </c>
      <c r="AR335" s="33">
        <f>'Old Balance Sheet'!H335 + 'ACPL Calculations - 1.0'!H335 + 'ACPL Calculations - 2.0'!H335</f>
        <v>0</v>
      </c>
      <c r="AS335" s="30" t="s">
        <v>3819</v>
      </c>
      <c r="AT335" s="33">
        <v>838.99</v>
      </c>
      <c r="AU335" s="42" t="s">
        <v>3818</v>
      </c>
      <c r="AV335" s="43">
        <v>100.0</v>
      </c>
      <c r="AW335" s="33">
        <f>'Old Balance Sheet'!I335 + 'ACPL Calculations - 1.0'!I335 + 'ACPL Calculations - 2.0'!I335</f>
        <v>0</v>
      </c>
      <c r="AX335" s="30" t="s">
        <v>3820</v>
      </c>
      <c r="AY335" s="31">
        <v>290.0</v>
      </c>
      <c r="AZ335" s="42" t="s">
        <v>3818</v>
      </c>
      <c r="BA335" s="43">
        <v>100.0</v>
      </c>
      <c r="BB335" s="33">
        <f>'Old Balance Sheet'!J335 + 'ACPL Calculations - 1.0'!J335 + 'ACPL Calculations - 2.0'!J335</f>
        <v>0</v>
      </c>
      <c r="BC335" s="30" t="s">
        <v>3820</v>
      </c>
      <c r="BD335" s="31">
        <v>205.0</v>
      </c>
      <c r="BE335" s="42" t="s">
        <v>3818</v>
      </c>
      <c r="BF335" s="43">
        <v>100.0</v>
      </c>
      <c r="BG335" s="33">
        <f>'Old Balance Sheet'!K335 + 'ACPL Calculations - 1.0'!K335 + 'ACPL Calculations - 2.0'!K335</f>
        <v>0</v>
      </c>
      <c r="BH335" s="30" t="s">
        <v>3820</v>
      </c>
      <c r="BI335" s="31">
        <v>205.0</v>
      </c>
      <c r="BJ335" s="42" t="s">
        <v>3818</v>
      </c>
      <c r="BK335" s="43">
        <v>100.0</v>
      </c>
      <c r="BL335" s="33">
        <f>'Old Balance Sheet'!L335 + 'ACPL Calculations - 1.0'!L335 + 'ACPL Calculations - 2.0'!L335</f>
        <v>0</v>
      </c>
      <c r="BM335" s="25"/>
      <c r="BN335" s="25"/>
      <c r="BO335" s="25"/>
      <c r="BP335" s="25"/>
      <c r="BQ335" s="25"/>
      <c r="BR335" s="25"/>
      <c r="BS335" s="25"/>
      <c r="BT335" s="25"/>
      <c r="BU335" s="25"/>
      <c r="BV335" s="25"/>
      <c r="BW335" s="25"/>
      <c r="BX335" s="25"/>
      <c r="BY335" s="25"/>
      <c r="BZ335" s="25"/>
      <c r="CA335" s="25"/>
      <c r="CB335" s="25"/>
      <c r="CC335" s="25"/>
      <c r="CD335" s="25"/>
      <c r="CE335" s="25"/>
      <c r="CF335" s="25"/>
      <c r="CG335" s="25"/>
      <c r="CH335" s="25"/>
      <c r="CI335" s="25"/>
      <c r="CJ335" s="25"/>
      <c r="CK335" s="25"/>
      <c r="CL335" s="33">
        <f t="shared" si="1"/>
        <v>366</v>
      </c>
      <c r="CM335" s="33">
        <f>'Old Balance Sheet'!R335 + 'ACPL Calculations - 1.0'!S335 + 'ACPL Calculations - 2.0'!S335</f>
        <v>142740</v>
      </c>
      <c r="CN335" s="33">
        <f>'Old Balance Sheet'!S335 + 'ACPL Calculations - 1.0'!T335 + 'ACPL Calculations - 2.0'!T335</f>
        <v>58560</v>
      </c>
      <c r="CO335" s="33">
        <f t="shared" si="2"/>
        <v>80333.34</v>
      </c>
      <c r="CP335" s="33">
        <f>'Old Balance Sheet'!T335 + 'ACPL Calculations - 1.0'!V335 + 'ACPL Calculations - 2.0'!V335</f>
        <v>0</v>
      </c>
      <c r="CQ335" s="33">
        <f>'Old Balance Sheet'!U335 + 'ACPL Calculations - 1.0'!W335 + 'ACPL Calculations - 2.0'!W335</f>
        <v>0</v>
      </c>
      <c r="CR335" s="33">
        <f>'Old Balance Sheet'!V335 + 'ACPL Calculations - 1.0'!X335 + 'ACPL Calculations - 2.0'!X335</f>
        <v>21773.34</v>
      </c>
      <c r="CS335" s="33">
        <f t="shared" si="3"/>
        <v>21773.34</v>
      </c>
      <c r="CT335" s="35"/>
      <c r="CU335" s="35"/>
      <c r="CV335" s="35"/>
      <c r="CW335" s="36">
        <f>'Old Balance Sheet'!W335 + 'ACPL Calculations - 1.0'!Z335 + 'ACPL Calculations - 2.0'!Z335</f>
        <v>142740</v>
      </c>
      <c r="CX335" s="36">
        <f>'Old Balance Sheet'!X335 + 'ACPL Calculations - 1.0'!AA335 + 'ACPL Calculations - 2.0'!AA335</f>
        <v>83455.32</v>
      </c>
      <c r="CY335" s="37">
        <v>0.0</v>
      </c>
      <c r="CZ335" s="38">
        <f>'Old Balance Sheet'!Y335 + 'ACPL Calculations - 1.0'!AB335 + 'ACPL Calculations - 2.0'!AB335</f>
        <v>62406.66</v>
      </c>
      <c r="DA335" s="38">
        <f>'Old Balance Sheet'!Z335 + 'ACPL Calculations - 1.0'!AC335 + 'ACPL Calculations - 2.0'!AC335</f>
        <v>0</v>
      </c>
      <c r="DB335" s="38">
        <f>'Old Balance Sheet'!AA335 + 'ACPL Calculations - 1.0'!AD335 + 'ACPL Calculations - 2.0'!AD335</f>
        <v>3121.98</v>
      </c>
      <c r="DC335" s="38">
        <f>'Old Balance Sheet'!AB335 + 'ACPL Calculations - 1.0'!AE335 + 'ACPL Calculations - 2.0'!AE335</f>
        <v>59284.68</v>
      </c>
      <c r="DD335" s="38">
        <f t="shared" si="4"/>
        <v>59284.68</v>
      </c>
      <c r="DE335" s="33">
        <f t="shared" si="5"/>
        <v>59284.68</v>
      </c>
      <c r="DF335" s="35">
        <v>0.0</v>
      </c>
      <c r="DG335" s="35">
        <v>0.0</v>
      </c>
      <c r="DH335" s="35">
        <v>0.0</v>
      </c>
      <c r="DI335" s="35">
        <v>0.0</v>
      </c>
      <c r="DJ335" s="35">
        <v>0.0</v>
      </c>
      <c r="DK335" s="35">
        <v>0.0</v>
      </c>
      <c r="DL335" s="35">
        <v>0.0</v>
      </c>
      <c r="DM335" s="35">
        <v>0.0</v>
      </c>
      <c r="DN335" s="31">
        <v>0.0</v>
      </c>
      <c r="DO335" s="31">
        <v>0.0</v>
      </c>
      <c r="DP335" s="31">
        <v>0.0</v>
      </c>
      <c r="DQ335" s="31">
        <v>0.0</v>
      </c>
      <c r="DR335" s="31">
        <v>0.0</v>
      </c>
      <c r="DS335" s="31">
        <v>0.0</v>
      </c>
      <c r="DT335" s="31">
        <f>'Old Balance Sheet'!AC335</f>
        <v>0</v>
      </c>
      <c r="DU335" s="31">
        <f>DT335 + SUMIFS('Payments Log'!D:D, 'Payments Log'!B:B, A335, 'Payments Log'!L:L, "Approved", 'Payments Log'!M:M, "Credit") + 'Old Balance Sheet'!AD335 - 'Old Balance Sheet'!AC335</f>
        <v>151000</v>
      </c>
      <c r="DV335" s="31">
        <f>SUMIFS('Payments Log'!D:D, 'Payments Log'!B:B, A335, 'Payments Log'!L:L, "Approved", 'Payments Log'!M:M, "Adjustment Credit") - SUMIFS('Payments Log'!D:D, 'Payments Log'!B:B, A335, 'Payments Log'!L:L, "Approved", 'Payments Log'!M:M, "Adjustment Debit") + 'Old Balance Sheet'!AE335</f>
        <v>0</v>
      </c>
      <c r="DW335" s="31">
        <f>IF(MAXIFS('Payments Log'!N:N, 'Payments Log'!L:L, "Approved", 'Payments Log'!M:M, "Credit", 'Payments Log'!B:B, A335) &gt; MAXIFS('Payments Log'!N:N, 'Payments Log'!L:L, "Approved", 'Payments Log'!M:M, "Virtual Credit", 'Payments Log'!B:B, A335), 0, SUMIFS('Payments Log'!D:D, 'Payments Log'!N:N, MAXIFS('Payments Log'!N:N, 'Payments Log'!L:L, "Approved", 'Payments Log'!M:M, "Virtual Credit", 'Payments Log'!B:B, A335)))</f>
        <v>0</v>
      </c>
      <c r="DX335" s="33">
        <f t="shared" si="6"/>
        <v>8260</v>
      </c>
      <c r="DY335" s="33">
        <f t="shared" si="7"/>
        <v>67544.68</v>
      </c>
      <c r="DZ335" s="33">
        <f t="shared" si="8"/>
        <v>67544.68</v>
      </c>
      <c r="EA335" s="25" t="str">
        <f>(Sheet1!N335)</f>
        <v>PAL ENTERPRISE- VIDISHA</v>
      </c>
      <c r="EB335" s="25" t="str">
        <f>(Sheet1!O335)</f>
        <v>1r0KUrXS28gDx7-fgD3zjnrel7PaC3KXGiEtHPv0wv_M</v>
      </c>
      <c r="EC335" s="26" t="str">
        <f>(Sheet1!P335)</f>
        <v>Dealer</v>
      </c>
      <c r="ED335" s="34" t="s">
        <v>13</v>
      </c>
    </row>
    <row r="336">
      <c r="A336" s="25" t="str">
        <f>(Sheet1!A336)</f>
        <v>1BMhoyJRK7DCg_LO256ufPw72_BuKa1iu3f1v8JCofH0</v>
      </c>
      <c r="B336" s="25" t="str">
        <f>(Sheet1!B336)</f>
        <v>North Bihar Agro Agencies</v>
      </c>
      <c r="C336" s="30" t="s">
        <v>13</v>
      </c>
      <c r="D336" s="25" t="s">
        <v>72</v>
      </c>
      <c r="E336" s="30" t="s">
        <v>3817</v>
      </c>
      <c r="F336" s="31">
        <v>185.0</v>
      </c>
      <c r="G336" s="25" t="s">
        <v>3818</v>
      </c>
      <c r="H336" s="33">
        <v>100.0</v>
      </c>
      <c r="I336" s="33">
        <f>'Old Balance Sheet'!A336 + 'ACPL Calculations - 1.0'!A336 + 'ACPL Calculations - 2.0'!A336</f>
        <v>157</v>
      </c>
      <c r="J336" s="30" t="s">
        <v>3817</v>
      </c>
      <c r="K336" s="33">
        <v>205.0</v>
      </c>
      <c r="L336" s="25" t="s">
        <v>3818</v>
      </c>
      <c r="M336" s="33">
        <v>100.0</v>
      </c>
      <c r="N336" s="33">
        <f>'Old Balance Sheet'!B336 + 'ACPL Calculations - 1.0'!B336 + 'ACPL Calculations - 2.0'!B336</f>
        <v>0</v>
      </c>
      <c r="O336" s="30" t="s">
        <v>3817</v>
      </c>
      <c r="P336" s="31">
        <v>290.0</v>
      </c>
      <c r="Q336" s="25" t="s">
        <v>3818</v>
      </c>
      <c r="R336" s="33">
        <v>100.0</v>
      </c>
      <c r="S336" s="33">
        <f>'Old Balance Sheet'!C336 + 'ACPL Calculations - 1.0'!C336 + 'ACPL Calculations - 2.0'!C336</f>
        <v>0</v>
      </c>
      <c r="T336" s="30" t="s">
        <v>3817</v>
      </c>
      <c r="U336" s="33">
        <v>375.0</v>
      </c>
      <c r="V336" s="25" t="s">
        <v>3818</v>
      </c>
      <c r="W336" s="33">
        <v>100.0</v>
      </c>
      <c r="X336" s="33">
        <f>'Old Balance Sheet'!D336 + 'ACPL Calculations - 1.0'!D336 + 'ACPL Calculations - 2.0'!D336</f>
        <v>0</v>
      </c>
      <c r="Y336" s="30" t="s">
        <v>3817</v>
      </c>
      <c r="Z336" s="33">
        <v>460.0</v>
      </c>
      <c r="AA336" s="42" t="s">
        <v>3818</v>
      </c>
      <c r="AB336" s="43">
        <v>100.0</v>
      </c>
      <c r="AC336" s="33">
        <f>'Old Balance Sheet'!E336 + 'ACPL Calculations - 1.0'!E336 + 'ACPL Calculations - 2.0'!E336</f>
        <v>0</v>
      </c>
      <c r="AD336" s="30" t="s">
        <v>3817</v>
      </c>
      <c r="AE336" s="33">
        <v>838.99</v>
      </c>
      <c r="AF336" s="42" t="s">
        <v>3818</v>
      </c>
      <c r="AG336" s="43">
        <v>100.0</v>
      </c>
      <c r="AH336" s="33">
        <f>'Old Balance Sheet'!F336 + 'ACPL Calculations - 1.0'!F336 + 'ACPL Calculations - 2.0'!F336</f>
        <v>0</v>
      </c>
      <c r="AI336" s="30" t="s">
        <v>3817</v>
      </c>
      <c r="AJ336" s="33">
        <v>375.0</v>
      </c>
      <c r="AK336" s="42" t="s">
        <v>3818</v>
      </c>
      <c r="AL336" s="43">
        <v>100.0</v>
      </c>
      <c r="AM336" s="33">
        <f>'Old Balance Sheet'!G336 + 'ACPL Calculations - 1.0'!G336 + 'ACPL Calculations - 2.0'!G336</f>
        <v>0</v>
      </c>
      <c r="AN336" s="30" t="s">
        <v>3817</v>
      </c>
      <c r="AO336" s="33">
        <v>290.0</v>
      </c>
      <c r="AP336" s="42" t="s">
        <v>3818</v>
      </c>
      <c r="AQ336" s="43">
        <v>100.0</v>
      </c>
      <c r="AR336" s="33">
        <f>'Old Balance Sheet'!H336 + 'ACPL Calculations - 1.0'!H336 + 'ACPL Calculations - 2.0'!H336</f>
        <v>0</v>
      </c>
      <c r="AS336" s="30" t="s">
        <v>3819</v>
      </c>
      <c r="AT336" s="33">
        <v>838.99</v>
      </c>
      <c r="AU336" s="42" t="s">
        <v>3818</v>
      </c>
      <c r="AV336" s="43">
        <v>100.0</v>
      </c>
      <c r="AW336" s="33">
        <f>'Old Balance Sheet'!I336 + 'ACPL Calculations - 1.0'!I336 + 'ACPL Calculations - 2.0'!I336</f>
        <v>0</v>
      </c>
      <c r="AX336" s="30" t="s">
        <v>3817</v>
      </c>
      <c r="AY336" s="31">
        <v>290.0</v>
      </c>
      <c r="AZ336" s="42" t="s">
        <v>3818</v>
      </c>
      <c r="BA336" s="43">
        <v>100.0</v>
      </c>
      <c r="BB336" s="33">
        <f>'Old Balance Sheet'!J336 + 'ACPL Calculations - 1.0'!J336 + 'ACPL Calculations - 2.0'!J336</f>
        <v>0</v>
      </c>
      <c r="BC336" s="30" t="s">
        <v>3817</v>
      </c>
      <c r="BD336" s="31">
        <v>205.0</v>
      </c>
      <c r="BE336" s="42" t="s">
        <v>3818</v>
      </c>
      <c r="BF336" s="43">
        <v>100.0</v>
      </c>
      <c r="BG336" s="33">
        <f>'Old Balance Sheet'!K336 + 'ACPL Calculations - 1.0'!K336 + 'ACPL Calculations - 2.0'!K336</f>
        <v>0</v>
      </c>
      <c r="BH336" s="30" t="s">
        <v>3817</v>
      </c>
      <c r="BI336" s="31">
        <v>205.0</v>
      </c>
      <c r="BJ336" s="42" t="s">
        <v>3818</v>
      </c>
      <c r="BK336" s="43">
        <v>100.0</v>
      </c>
      <c r="BL336" s="33">
        <f>'Old Balance Sheet'!L336 + 'ACPL Calculations - 1.0'!L336 + 'ACPL Calculations - 2.0'!L336</f>
        <v>0</v>
      </c>
      <c r="BM336" s="25"/>
      <c r="BN336" s="25"/>
      <c r="BO336" s="25"/>
      <c r="BP336" s="25"/>
      <c r="BQ336" s="25"/>
      <c r="BR336" s="25"/>
      <c r="BS336" s="25"/>
      <c r="BT336" s="25"/>
      <c r="BU336" s="25"/>
      <c r="BV336" s="25"/>
      <c r="BW336" s="25"/>
      <c r="BX336" s="25"/>
      <c r="BY336" s="25"/>
      <c r="BZ336" s="25"/>
      <c r="CA336" s="25"/>
      <c r="CB336" s="25"/>
      <c r="CC336" s="25"/>
      <c r="CD336" s="25"/>
      <c r="CE336" s="25"/>
      <c r="CF336" s="25"/>
      <c r="CG336" s="25"/>
      <c r="CH336" s="25"/>
      <c r="CI336" s="25"/>
      <c r="CJ336" s="25"/>
      <c r="CK336" s="25"/>
      <c r="CL336" s="33">
        <f t="shared" si="1"/>
        <v>157</v>
      </c>
      <c r="CM336" s="33">
        <f>'Old Balance Sheet'!R336 + 'ACPL Calculations - 1.0'!S336 + 'ACPL Calculations - 2.0'!S336</f>
        <v>69394</v>
      </c>
      <c r="CN336" s="33">
        <f>'Old Balance Sheet'!S336 + 'ACPL Calculations - 1.0'!T336 + 'ACPL Calculations - 2.0'!T336</f>
        <v>29045</v>
      </c>
      <c r="CO336" s="33">
        <f t="shared" si="2"/>
        <v>39629.94</v>
      </c>
      <c r="CP336" s="33">
        <f>'Old Balance Sheet'!T336 + 'ACPL Calculations - 1.0'!V336 + 'ACPL Calculations - 2.0'!V336</f>
        <v>0</v>
      </c>
      <c r="CQ336" s="33">
        <f>'Old Balance Sheet'!U336 + 'ACPL Calculations - 1.0'!W336 + 'ACPL Calculations - 2.0'!W336</f>
        <v>0</v>
      </c>
      <c r="CR336" s="33">
        <f>'Old Balance Sheet'!V336 + 'ACPL Calculations - 1.0'!X336 + 'ACPL Calculations - 2.0'!X336</f>
        <v>10584.94</v>
      </c>
      <c r="CS336" s="33">
        <f t="shared" si="3"/>
        <v>10584.94</v>
      </c>
      <c r="CT336" s="35"/>
      <c r="CU336" s="35"/>
      <c r="CV336" s="35"/>
      <c r="CW336" s="36">
        <f>'Old Balance Sheet'!W336 + 'ACPL Calculations - 1.0'!Z336 + 'ACPL Calculations - 2.0'!Z336</f>
        <v>41118.3</v>
      </c>
      <c r="CX336" s="36">
        <f>'Old Balance Sheet'!X336 + 'ACPL Calculations - 1.0'!AA336 + 'ACPL Calculations - 2.0'!AA336</f>
        <v>41118.3</v>
      </c>
      <c r="CY336" s="37">
        <v>0.0</v>
      </c>
      <c r="CZ336" s="38">
        <f>'Old Balance Sheet'!Y336 + 'ACPL Calculations - 1.0'!AB336 + 'ACPL Calculations - 2.0'!AB336</f>
        <v>29764.06</v>
      </c>
      <c r="DA336" s="38">
        <f>'Old Balance Sheet'!Z336 + 'ACPL Calculations - 1.0'!AC336 + 'ACPL Calculations - 2.0'!AC336</f>
        <v>28275.7</v>
      </c>
      <c r="DB336" s="38">
        <f>'Old Balance Sheet'!AA336 + 'ACPL Calculations - 1.0'!AD336 + 'ACPL Calculations - 2.0'!AD336</f>
        <v>1488.36</v>
      </c>
      <c r="DC336" s="38">
        <f>'Old Balance Sheet'!AB336 + 'ACPL Calculations - 1.0'!AE336 + 'ACPL Calculations - 2.0'!AE336</f>
        <v>0</v>
      </c>
      <c r="DD336" s="38">
        <f t="shared" si="4"/>
        <v>0</v>
      </c>
      <c r="DE336" s="33">
        <f t="shared" si="5"/>
        <v>0</v>
      </c>
      <c r="DF336" s="35">
        <v>0.0</v>
      </c>
      <c r="DG336" s="35">
        <v>0.0</v>
      </c>
      <c r="DH336" s="35">
        <v>0.0</v>
      </c>
      <c r="DI336" s="35">
        <v>0.0</v>
      </c>
      <c r="DJ336" s="35">
        <v>0.0</v>
      </c>
      <c r="DK336" s="35">
        <v>0.0</v>
      </c>
      <c r="DL336" s="35">
        <v>0.0</v>
      </c>
      <c r="DM336" s="35">
        <v>0.0</v>
      </c>
      <c r="DN336" s="31">
        <v>0.0</v>
      </c>
      <c r="DO336" s="31">
        <v>0.0</v>
      </c>
      <c r="DP336" s="31">
        <v>0.0</v>
      </c>
      <c r="DQ336" s="31">
        <v>0.0</v>
      </c>
      <c r="DR336" s="31">
        <v>0.0</v>
      </c>
      <c r="DS336" s="31">
        <v>0.0</v>
      </c>
      <c r="DT336" s="31">
        <f>'Old Balance Sheet'!AC336</f>
        <v>0</v>
      </c>
      <c r="DU336" s="31">
        <f>DT336 + SUMIFS('Payments Log'!D:D, 'Payments Log'!B:B, A336, 'Payments Log'!L:L, "Approved", 'Payments Log'!M:M, "Credit") + 'Old Balance Sheet'!AD336 - 'Old Balance Sheet'!AC336</f>
        <v>50000</v>
      </c>
      <c r="DV336" s="31">
        <f>SUMIFS('Payments Log'!D:D, 'Payments Log'!B:B, A336, 'Payments Log'!L:L, "Approved", 'Payments Log'!M:M, "Adjustment Credit") - SUMIFS('Payments Log'!D:D, 'Payments Log'!B:B, A336, 'Payments Log'!L:L, "Approved", 'Payments Log'!M:M, "Adjustment Debit") + 'Old Balance Sheet'!AE336</f>
        <v>0</v>
      </c>
      <c r="DW336" s="31">
        <f>IF(MAXIFS('Payments Log'!N:N, 'Payments Log'!L:L, "Approved", 'Payments Log'!M:M, "Credit", 'Payments Log'!B:B, A336) &gt; MAXIFS('Payments Log'!N:N, 'Payments Log'!L:L, "Approved", 'Payments Log'!M:M, "Virtual Credit", 'Payments Log'!B:B, A336), 0, SUMIFS('Payments Log'!D:D, 'Payments Log'!N:N, MAXIFS('Payments Log'!N:N, 'Payments Log'!L:L, "Approved", 'Payments Log'!M:M, "Virtual Credit", 'Payments Log'!B:B, A336)))</f>
        <v>0</v>
      </c>
      <c r="DX336" s="33">
        <f t="shared" si="6"/>
        <v>8881.7</v>
      </c>
      <c r="DY336" s="33">
        <f t="shared" si="7"/>
        <v>8881.7</v>
      </c>
      <c r="DZ336" s="33">
        <f t="shared" si="8"/>
        <v>8881.7</v>
      </c>
      <c r="EA336" s="25" t="str">
        <f>(Sheet1!N336)</f>
        <v>North Bihar Agro Agencies</v>
      </c>
      <c r="EB336" s="25" t="str">
        <f>(Sheet1!O336)</f>
        <v>1BMhoyJRK7DCg_LO256ufPw72_BuKa1iu3f1v8JCofH0</v>
      </c>
      <c r="EC336" s="26" t="str">
        <f>(Sheet1!P336)</f>
        <v>Dealer</v>
      </c>
      <c r="ED336" s="34" t="s">
        <v>13</v>
      </c>
    </row>
    <row r="337">
      <c r="A337" s="25" t="str">
        <f>(Sheet1!A337)</f>
        <v>1SFJDdnhDWiLN-lR4hWAV93N4rK3ge8yCJzFkfHhJbDU</v>
      </c>
      <c r="B337" s="25" t="str">
        <f>(Sheet1!B337)</f>
        <v>AWADH AUTOMOBILES (GA) - CHHITAUNI</v>
      </c>
      <c r="C337" s="30" t="s">
        <v>13</v>
      </c>
      <c r="D337" s="25" t="s">
        <v>72</v>
      </c>
      <c r="E337" s="30" t="s">
        <v>3817</v>
      </c>
      <c r="F337" s="31">
        <v>175.0</v>
      </c>
      <c r="G337" s="25" t="s">
        <v>3818</v>
      </c>
      <c r="H337" s="33">
        <v>100.0</v>
      </c>
      <c r="I337" s="33">
        <f>'Old Balance Sheet'!A337 + 'ACPL Calculations - 1.0'!A337 + 'ACPL Calculations - 2.0'!A337</f>
        <v>34</v>
      </c>
      <c r="J337" s="30" t="s">
        <v>3817</v>
      </c>
      <c r="K337" s="33">
        <v>205.0</v>
      </c>
      <c r="L337" s="25" t="s">
        <v>3818</v>
      </c>
      <c r="M337" s="33">
        <v>100.0</v>
      </c>
      <c r="N337" s="33">
        <f>'Old Balance Sheet'!B337 + 'ACPL Calculations - 1.0'!B337 + 'ACPL Calculations - 2.0'!B337</f>
        <v>0</v>
      </c>
      <c r="O337" s="30" t="s">
        <v>3817</v>
      </c>
      <c r="P337" s="31">
        <v>290.0</v>
      </c>
      <c r="Q337" s="25" t="s">
        <v>3818</v>
      </c>
      <c r="R337" s="33">
        <v>100.0</v>
      </c>
      <c r="S337" s="33">
        <f>'Old Balance Sheet'!C337 + 'ACPL Calculations - 1.0'!C337 + 'ACPL Calculations - 2.0'!C337</f>
        <v>0</v>
      </c>
      <c r="T337" s="30" t="s">
        <v>3817</v>
      </c>
      <c r="U337" s="33">
        <v>375.0</v>
      </c>
      <c r="V337" s="25" t="s">
        <v>3818</v>
      </c>
      <c r="W337" s="33">
        <v>100.0</v>
      </c>
      <c r="X337" s="33">
        <f>'Old Balance Sheet'!D337 + 'ACPL Calculations - 1.0'!D337 + 'ACPL Calculations - 2.0'!D337</f>
        <v>0</v>
      </c>
      <c r="Y337" s="30" t="s">
        <v>3817</v>
      </c>
      <c r="Z337" s="33">
        <v>460.0</v>
      </c>
      <c r="AA337" s="42" t="s">
        <v>3818</v>
      </c>
      <c r="AB337" s="43">
        <v>100.0</v>
      </c>
      <c r="AC337" s="33">
        <f>'Old Balance Sheet'!E337 + 'ACPL Calculations - 1.0'!E337 + 'ACPL Calculations - 2.0'!E337</f>
        <v>0</v>
      </c>
      <c r="AD337" s="30" t="s">
        <v>3817</v>
      </c>
      <c r="AE337" s="33">
        <v>838.99</v>
      </c>
      <c r="AF337" s="42" t="s">
        <v>3818</v>
      </c>
      <c r="AG337" s="43">
        <v>100.0</v>
      </c>
      <c r="AH337" s="33">
        <f>'Old Balance Sheet'!F337 + 'ACPL Calculations - 1.0'!F337 + 'ACPL Calculations - 2.0'!F337</f>
        <v>0</v>
      </c>
      <c r="AI337" s="30" t="s">
        <v>3817</v>
      </c>
      <c r="AJ337" s="33">
        <v>375.0</v>
      </c>
      <c r="AK337" s="42" t="s">
        <v>3818</v>
      </c>
      <c r="AL337" s="43">
        <v>100.0</v>
      </c>
      <c r="AM337" s="33">
        <f>'Old Balance Sheet'!G337 + 'ACPL Calculations - 1.0'!G337 + 'ACPL Calculations - 2.0'!G337</f>
        <v>0</v>
      </c>
      <c r="AN337" s="30" t="s">
        <v>3817</v>
      </c>
      <c r="AO337" s="33">
        <v>290.0</v>
      </c>
      <c r="AP337" s="42" t="s">
        <v>3818</v>
      </c>
      <c r="AQ337" s="43">
        <v>100.0</v>
      </c>
      <c r="AR337" s="33">
        <f>'Old Balance Sheet'!H337 + 'ACPL Calculations - 1.0'!H337 + 'ACPL Calculations - 2.0'!H337</f>
        <v>0</v>
      </c>
      <c r="AS337" s="30" t="s">
        <v>3819</v>
      </c>
      <c r="AT337" s="33">
        <v>838.99</v>
      </c>
      <c r="AU337" s="42" t="s">
        <v>3818</v>
      </c>
      <c r="AV337" s="43">
        <v>100.0</v>
      </c>
      <c r="AW337" s="33">
        <f>'Old Balance Sheet'!I337 + 'ACPL Calculations - 1.0'!I337 + 'ACPL Calculations - 2.0'!I337</f>
        <v>0</v>
      </c>
      <c r="AX337" s="30" t="s">
        <v>3817</v>
      </c>
      <c r="AY337" s="31">
        <v>290.0</v>
      </c>
      <c r="AZ337" s="42" t="s">
        <v>3818</v>
      </c>
      <c r="BA337" s="43">
        <v>100.0</v>
      </c>
      <c r="BB337" s="33">
        <f>'Old Balance Sheet'!J337 + 'ACPL Calculations - 1.0'!J337 + 'ACPL Calculations - 2.0'!J337</f>
        <v>0</v>
      </c>
      <c r="BC337" s="30" t="s">
        <v>3817</v>
      </c>
      <c r="BD337" s="31">
        <v>205.0</v>
      </c>
      <c r="BE337" s="42" t="s">
        <v>3818</v>
      </c>
      <c r="BF337" s="43">
        <v>100.0</v>
      </c>
      <c r="BG337" s="33">
        <f>'Old Balance Sheet'!K337 + 'ACPL Calculations - 1.0'!K337 + 'ACPL Calculations - 2.0'!K337</f>
        <v>0</v>
      </c>
      <c r="BH337" s="30" t="s">
        <v>3817</v>
      </c>
      <c r="BI337" s="31">
        <v>205.0</v>
      </c>
      <c r="BJ337" s="42" t="s">
        <v>3818</v>
      </c>
      <c r="BK337" s="43">
        <v>100.0</v>
      </c>
      <c r="BL337" s="33">
        <f>'Old Balance Sheet'!L337 + 'ACPL Calculations - 1.0'!L337 + 'ACPL Calculations - 2.0'!L337</f>
        <v>0</v>
      </c>
      <c r="BM337" s="25"/>
      <c r="BN337" s="25"/>
      <c r="BO337" s="25"/>
      <c r="BP337" s="25"/>
      <c r="BQ337" s="25"/>
      <c r="BR337" s="25"/>
      <c r="BS337" s="25"/>
      <c r="BT337" s="25"/>
      <c r="BU337" s="25"/>
      <c r="BV337" s="25"/>
      <c r="BW337" s="25"/>
      <c r="BX337" s="25"/>
      <c r="BY337" s="25"/>
      <c r="BZ337" s="25"/>
      <c r="CA337" s="25"/>
      <c r="CB337" s="25"/>
      <c r="CC337" s="25"/>
      <c r="CD337" s="25"/>
      <c r="CE337" s="25"/>
      <c r="CF337" s="25"/>
      <c r="CG337" s="25"/>
      <c r="CH337" s="25"/>
      <c r="CI337" s="25"/>
      <c r="CJ337" s="25"/>
      <c r="CK337" s="25"/>
      <c r="CL337" s="33">
        <f t="shared" si="1"/>
        <v>34</v>
      </c>
      <c r="CM337" s="33">
        <f>'Old Balance Sheet'!R337 + 'ACPL Calculations - 1.0'!S337 + 'ACPL Calculations - 2.0'!S337</f>
        <v>15028</v>
      </c>
      <c r="CN337" s="33">
        <f>'Old Balance Sheet'!S337 + 'ACPL Calculations - 1.0'!T337 + 'ACPL Calculations - 2.0'!T337</f>
        <v>5950</v>
      </c>
      <c r="CO337" s="33">
        <f t="shared" si="2"/>
        <v>8242.28</v>
      </c>
      <c r="CP337" s="33">
        <f>'Old Balance Sheet'!T337 + 'ACPL Calculations - 1.0'!V337 + 'ACPL Calculations - 2.0'!V337</f>
        <v>0</v>
      </c>
      <c r="CQ337" s="33">
        <f>'Old Balance Sheet'!U337 + 'ACPL Calculations - 1.0'!W337 + 'ACPL Calculations - 2.0'!W337</f>
        <v>0</v>
      </c>
      <c r="CR337" s="33">
        <f>'Old Balance Sheet'!V337 + 'ACPL Calculations - 1.0'!X337 + 'ACPL Calculations - 2.0'!X337</f>
        <v>2292.28</v>
      </c>
      <c r="CS337" s="33">
        <f t="shared" si="3"/>
        <v>2292.28</v>
      </c>
      <c r="CT337" s="35"/>
      <c r="CU337" s="35"/>
      <c r="CV337" s="35"/>
      <c r="CW337" s="36">
        <f>'Old Balance Sheet'!W337 + 'ACPL Calculations - 1.0'!Z337 + 'ACPL Calculations - 2.0'!Z337</f>
        <v>0</v>
      </c>
      <c r="CX337" s="36">
        <f>'Old Balance Sheet'!X337 + 'ACPL Calculations - 1.0'!AA337 + 'ACPL Calculations - 2.0'!AA337</f>
        <v>0</v>
      </c>
      <c r="CY337" s="37">
        <v>0.0</v>
      </c>
      <c r="CZ337" s="38">
        <f>'Old Balance Sheet'!Y337 + 'ACPL Calculations - 1.0'!AB337 + 'ACPL Calculations - 2.0'!AB337</f>
        <v>0</v>
      </c>
      <c r="DA337" s="38">
        <f>'Old Balance Sheet'!Z337 + 'ACPL Calculations - 1.0'!AC337 + 'ACPL Calculations - 2.0'!AC337</f>
        <v>0</v>
      </c>
      <c r="DB337" s="38">
        <f>'Old Balance Sheet'!AA337 + 'ACPL Calculations - 1.0'!AD337 + 'ACPL Calculations - 2.0'!AD337</f>
        <v>0</v>
      </c>
      <c r="DC337" s="38">
        <f>'Old Balance Sheet'!AB337 + 'ACPL Calculations - 1.0'!AE337 + 'ACPL Calculations - 2.0'!AE337</f>
        <v>0</v>
      </c>
      <c r="DD337" s="38">
        <f t="shared" si="4"/>
        <v>0</v>
      </c>
      <c r="DE337" s="33">
        <f t="shared" si="5"/>
        <v>0</v>
      </c>
      <c r="DF337" s="35">
        <v>0.0</v>
      </c>
      <c r="DG337" s="35">
        <v>0.0</v>
      </c>
      <c r="DH337" s="35">
        <v>0.0</v>
      </c>
      <c r="DI337" s="35">
        <v>0.0</v>
      </c>
      <c r="DJ337" s="35">
        <v>0.0</v>
      </c>
      <c r="DK337" s="35">
        <v>0.0</v>
      </c>
      <c r="DL337" s="35">
        <v>0.0</v>
      </c>
      <c r="DM337" s="35">
        <v>0.0</v>
      </c>
      <c r="DN337" s="31">
        <v>0.0</v>
      </c>
      <c r="DO337" s="31">
        <v>0.0</v>
      </c>
      <c r="DP337" s="31">
        <v>0.0</v>
      </c>
      <c r="DQ337" s="31">
        <v>0.0</v>
      </c>
      <c r="DR337" s="31">
        <v>0.0</v>
      </c>
      <c r="DS337" s="31">
        <v>0.0</v>
      </c>
      <c r="DT337" s="31">
        <f>'Old Balance Sheet'!AC337</f>
        <v>0</v>
      </c>
      <c r="DU337" s="31">
        <f>DT337 + SUMIFS('Payments Log'!D:D, 'Payments Log'!B:B, A337, 'Payments Log'!L:L, "Approved", 'Payments Log'!M:M, "Credit") + 'Old Balance Sheet'!AD337 - 'Old Balance Sheet'!AC337</f>
        <v>0</v>
      </c>
      <c r="DV337" s="31">
        <f>SUMIFS('Payments Log'!D:D, 'Payments Log'!B:B, A337, 'Payments Log'!L:L, "Approved", 'Payments Log'!M:M, "Adjustment Credit") - SUMIFS('Payments Log'!D:D, 'Payments Log'!B:B, A337, 'Payments Log'!L:L, "Approved", 'Payments Log'!M:M, "Adjustment Debit") + 'Old Balance Sheet'!AE337</f>
        <v>0</v>
      </c>
      <c r="DW337" s="31">
        <f>IF(MAXIFS('Payments Log'!N:N, 'Payments Log'!L:L, "Approved", 'Payments Log'!M:M, "Credit", 'Payments Log'!B:B, A337) &gt; MAXIFS('Payments Log'!N:N, 'Payments Log'!L:L, "Approved", 'Payments Log'!M:M, "Virtual Credit", 'Payments Log'!B:B, A337), 0, SUMIFS('Payments Log'!D:D, 'Payments Log'!N:N, MAXIFS('Payments Log'!N:N, 'Payments Log'!L:L, "Approved", 'Payments Log'!M:M, "Virtual Credit", 'Payments Log'!B:B, A337)))</f>
        <v>0</v>
      </c>
      <c r="DX337" s="33">
        <f t="shared" si="6"/>
        <v>0</v>
      </c>
      <c r="DY337" s="33">
        <f t="shared" si="7"/>
        <v>0</v>
      </c>
      <c r="DZ337" s="33">
        <f t="shared" si="8"/>
        <v>0</v>
      </c>
      <c r="EA337" s="25" t="str">
        <f>(Sheet1!N337)</f>
        <v>Gupta Automobiles - Padrauna</v>
      </c>
      <c r="EB337" s="25" t="str">
        <f>(Sheet1!O337)</f>
        <v>1Ql_6BdBcHGAyITSZt1pNUK3bW54CzeThIBXr7aH7K3Y</v>
      </c>
      <c r="EC337" s="26" t="str">
        <f>(Sheet1!P337)</f>
        <v>Sub Dealer</v>
      </c>
      <c r="ED337" s="34" t="s">
        <v>13</v>
      </c>
    </row>
    <row r="338">
      <c r="A338" s="25" t="str">
        <f>(Sheet1!A338)</f>
        <v>1LVFmg-oYUYvWwI6u3WOnpzEWG7hGErkioBifgg4ml3c</v>
      </c>
      <c r="B338" s="25" t="str">
        <f>(Sheet1!B338)</f>
        <v>J.M Motors- Forbesganj</v>
      </c>
      <c r="C338" s="30" t="s">
        <v>13</v>
      </c>
      <c r="D338" s="25" t="s">
        <v>72</v>
      </c>
      <c r="E338" s="30" t="s">
        <v>3820</v>
      </c>
      <c r="F338" s="31">
        <v>185.0</v>
      </c>
      <c r="G338" s="25" t="s">
        <v>3818</v>
      </c>
      <c r="H338" s="33">
        <v>100.0</v>
      </c>
      <c r="I338" s="33">
        <f>'Old Balance Sheet'!A338 + 'ACPL Calculations - 1.0'!A338 + 'ACPL Calculations - 2.0'!A338</f>
        <v>62</v>
      </c>
      <c r="J338" s="30" t="s">
        <v>3820</v>
      </c>
      <c r="K338" s="33">
        <v>205.0</v>
      </c>
      <c r="L338" s="25" t="s">
        <v>3818</v>
      </c>
      <c r="M338" s="33">
        <v>100.0</v>
      </c>
      <c r="N338" s="33">
        <f>'Old Balance Sheet'!B338 + 'ACPL Calculations - 1.0'!B338 + 'ACPL Calculations - 2.0'!B338</f>
        <v>0</v>
      </c>
      <c r="O338" s="30" t="s">
        <v>3820</v>
      </c>
      <c r="P338" s="31">
        <v>290.0</v>
      </c>
      <c r="Q338" s="25" t="s">
        <v>3818</v>
      </c>
      <c r="R338" s="33">
        <v>100.0</v>
      </c>
      <c r="S338" s="33">
        <f>'Old Balance Sheet'!C338 + 'ACPL Calculations - 1.0'!C338 + 'ACPL Calculations - 2.0'!C338</f>
        <v>0</v>
      </c>
      <c r="T338" s="30" t="s">
        <v>3820</v>
      </c>
      <c r="U338" s="33">
        <v>375.0</v>
      </c>
      <c r="V338" s="25" t="s">
        <v>3818</v>
      </c>
      <c r="W338" s="33">
        <v>100.0</v>
      </c>
      <c r="X338" s="33">
        <f>'Old Balance Sheet'!D338 + 'ACPL Calculations - 1.0'!D338 + 'ACPL Calculations - 2.0'!D338</f>
        <v>0</v>
      </c>
      <c r="Y338" s="30" t="s">
        <v>3820</v>
      </c>
      <c r="Z338" s="33">
        <v>460.0</v>
      </c>
      <c r="AA338" s="42" t="s">
        <v>3818</v>
      </c>
      <c r="AB338" s="43">
        <v>100.0</v>
      </c>
      <c r="AC338" s="33">
        <f>'Old Balance Sheet'!E338 + 'ACPL Calculations - 1.0'!E338 + 'ACPL Calculations - 2.0'!E338</f>
        <v>0</v>
      </c>
      <c r="AD338" s="30" t="s">
        <v>3820</v>
      </c>
      <c r="AE338" s="33">
        <v>838.99</v>
      </c>
      <c r="AF338" s="42" t="s">
        <v>3818</v>
      </c>
      <c r="AG338" s="43">
        <v>100.0</v>
      </c>
      <c r="AH338" s="33">
        <f>'Old Balance Sheet'!F338 + 'ACPL Calculations - 1.0'!F338 + 'ACPL Calculations - 2.0'!F338</f>
        <v>0</v>
      </c>
      <c r="AI338" s="30" t="s">
        <v>3820</v>
      </c>
      <c r="AJ338" s="33">
        <v>375.0</v>
      </c>
      <c r="AK338" s="42" t="s">
        <v>3818</v>
      </c>
      <c r="AL338" s="43">
        <v>100.0</v>
      </c>
      <c r="AM338" s="33">
        <f>'Old Balance Sheet'!G338 + 'ACPL Calculations - 1.0'!G338 + 'ACPL Calculations - 2.0'!G338</f>
        <v>0</v>
      </c>
      <c r="AN338" s="30" t="s">
        <v>3820</v>
      </c>
      <c r="AO338" s="33">
        <v>290.0</v>
      </c>
      <c r="AP338" s="42" t="s">
        <v>3818</v>
      </c>
      <c r="AQ338" s="43">
        <v>100.0</v>
      </c>
      <c r="AR338" s="33">
        <f>'Old Balance Sheet'!H338 + 'ACPL Calculations - 1.0'!H338 + 'ACPL Calculations - 2.0'!H338</f>
        <v>0</v>
      </c>
      <c r="AS338" s="30" t="s">
        <v>3819</v>
      </c>
      <c r="AT338" s="33">
        <v>838.99</v>
      </c>
      <c r="AU338" s="42" t="s">
        <v>3818</v>
      </c>
      <c r="AV338" s="43">
        <v>100.0</v>
      </c>
      <c r="AW338" s="33">
        <f>'Old Balance Sheet'!I338 + 'ACPL Calculations - 1.0'!I338 + 'ACPL Calculations - 2.0'!I338</f>
        <v>0</v>
      </c>
      <c r="AX338" s="30" t="s">
        <v>3820</v>
      </c>
      <c r="AY338" s="31">
        <v>290.0</v>
      </c>
      <c r="AZ338" s="42" t="s">
        <v>3818</v>
      </c>
      <c r="BA338" s="43">
        <v>100.0</v>
      </c>
      <c r="BB338" s="33">
        <f>'Old Balance Sheet'!J338 + 'ACPL Calculations - 1.0'!J338 + 'ACPL Calculations - 2.0'!J338</f>
        <v>0</v>
      </c>
      <c r="BC338" s="30" t="s">
        <v>3820</v>
      </c>
      <c r="BD338" s="31">
        <v>205.0</v>
      </c>
      <c r="BE338" s="42" t="s">
        <v>3818</v>
      </c>
      <c r="BF338" s="43">
        <v>100.0</v>
      </c>
      <c r="BG338" s="33">
        <f>'Old Balance Sheet'!K338 + 'ACPL Calculations - 1.0'!K338 + 'ACPL Calculations - 2.0'!K338</f>
        <v>0</v>
      </c>
      <c r="BH338" s="30" t="s">
        <v>3820</v>
      </c>
      <c r="BI338" s="31">
        <v>205.0</v>
      </c>
      <c r="BJ338" s="42" t="s">
        <v>3818</v>
      </c>
      <c r="BK338" s="43">
        <v>100.0</v>
      </c>
      <c r="BL338" s="33">
        <f>'Old Balance Sheet'!L338 + 'ACPL Calculations - 1.0'!L338 + 'ACPL Calculations - 2.0'!L338</f>
        <v>0</v>
      </c>
      <c r="BM338" s="25"/>
      <c r="BN338" s="25"/>
      <c r="BO338" s="25"/>
      <c r="BP338" s="25"/>
      <c r="BQ338" s="25"/>
      <c r="BR338" s="25"/>
      <c r="BS338" s="25"/>
      <c r="BT338" s="25"/>
      <c r="BU338" s="25"/>
      <c r="BV338" s="25"/>
      <c r="BW338" s="25"/>
      <c r="BX338" s="25"/>
      <c r="BY338" s="25"/>
      <c r="BZ338" s="25"/>
      <c r="CA338" s="25"/>
      <c r="CB338" s="25"/>
      <c r="CC338" s="25"/>
      <c r="CD338" s="25"/>
      <c r="CE338" s="25"/>
      <c r="CF338" s="25"/>
      <c r="CG338" s="25"/>
      <c r="CH338" s="25"/>
      <c r="CI338" s="25"/>
      <c r="CJ338" s="25"/>
      <c r="CK338" s="25"/>
      <c r="CL338" s="33">
        <f t="shared" si="1"/>
        <v>62</v>
      </c>
      <c r="CM338" s="33">
        <f>'Old Balance Sheet'!R338 + 'ACPL Calculations - 1.0'!S338 + 'ACPL Calculations - 2.0'!S338</f>
        <v>27352</v>
      </c>
      <c r="CN338" s="33">
        <f>'Old Balance Sheet'!S338 + 'ACPL Calculations - 1.0'!T338 + 'ACPL Calculations - 2.0'!T338</f>
        <v>11470</v>
      </c>
      <c r="CO338" s="33">
        <f t="shared" si="2"/>
        <v>15642.11</v>
      </c>
      <c r="CP338" s="33">
        <f>'Old Balance Sheet'!T338 + 'ACPL Calculations - 1.0'!V338 + 'ACPL Calculations - 2.0'!V338</f>
        <v>0</v>
      </c>
      <c r="CQ338" s="33">
        <f>'Old Balance Sheet'!U338 + 'ACPL Calculations - 1.0'!W338 + 'ACPL Calculations - 2.0'!W338</f>
        <v>0</v>
      </c>
      <c r="CR338" s="33">
        <f>'Old Balance Sheet'!V338 + 'ACPL Calculations - 1.0'!X338 + 'ACPL Calculations - 2.0'!X338</f>
        <v>4172.11</v>
      </c>
      <c r="CS338" s="33">
        <f t="shared" si="3"/>
        <v>4172.11</v>
      </c>
      <c r="CT338" s="35"/>
      <c r="CU338" s="35"/>
      <c r="CV338" s="35"/>
      <c r="CW338" s="36">
        <f>'Old Balance Sheet'!W338 + 'ACPL Calculations - 1.0'!Z338 + 'ACPL Calculations - 2.0'!Z338</f>
        <v>27352</v>
      </c>
      <c r="CX338" s="36">
        <f>'Old Balance Sheet'!X338 + 'ACPL Calculations - 1.0'!AA338 + 'ACPL Calculations - 2.0'!AA338</f>
        <v>16227.67</v>
      </c>
      <c r="CY338" s="37">
        <v>0.0</v>
      </c>
      <c r="CZ338" s="38">
        <f>'Old Balance Sheet'!Y338 + 'ACPL Calculations - 1.0'!AB338 + 'ACPL Calculations - 2.0'!AB338</f>
        <v>11709.89</v>
      </c>
      <c r="DA338" s="38">
        <f>'Old Balance Sheet'!Z338 + 'ACPL Calculations - 1.0'!AC338 + 'ACPL Calculations - 2.0'!AC338</f>
        <v>0</v>
      </c>
      <c r="DB338" s="38">
        <f>'Old Balance Sheet'!AA338 + 'ACPL Calculations - 1.0'!AD338 + 'ACPL Calculations - 2.0'!AD338</f>
        <v>585.56</v>
      </c>
      <c r="DC338" s="38">
        <f>'Old Balance Sheet'!AB338 + 'ACPL Calculations - 1.0'!AE338 + 'ACPL Calculations - 2.0'!AE338</f>
        <v>11124.33</v>
      </c>
      <c r="DD338" s="38">
        <f t="shared" si="4"/>
        <v>11124.33</v>
      </c>
      <c r="DE338" s="33">
        <f t="shared" si="5"/>
        <v>11124.33</v>
      </c>
      <c r="DF338" s="35">
        <v>0.0</v>
      </c>
      <c r="DG338" s="35">
        <v>0.0</v>
      </c>
      <c r="DH338" s="35">
        <v>0.0</v>
      </c>
      <c r="DI338" s="35">
        <v>0.0</v>
      </c>
      <c r="DJ338" s="35">
        <v>0.0</v>
      </c>
      <c r="DK338" s="35">
        <v>0.0</v>
      </c>
      <c r="DL338" s="35">
        <v>0.0</v>
      </c>
      <c r="DM338" s="35">
        <v>0.0</v>
      </c>
      <c r="DN338" s="31">
        <v>0.0</v>
      </c>
      <c r="DO338" s="31">
        <v>0.0</v>
      </c>
      <c r="DP338" s="31">
        <v>0.0</v>
      </c>
      <c r="DQ338" s="31">
        <v>0.0</v>
      </c>
      <c r="DR338" s="31">
        <v>0.0</v>
      </c>
      <c r="DS338" s="31">
        <v>0.0</v>
      </c>
      <c r="DT338" s="31">
        <f>'Old Balance Sheet'!AC338</f>
        <v>0</v>
      </c>
      <c r="DU338" s="31">
        <f>DT338 + SUMIFS('Payments Log'!D:D, 'Payments Log'!B:B, A338, 'Payments Log'!L:L, "Approved", 'Payments Log'!M:M, "Credit") + 'Old Balance Sheet'!AD338 - 'Old Balance Sheet'!AC338</f>
        <v>30000</v>
      </c>
      <c r="DV338" s="31">
        <f>SUMIFS('Payments Log'!D:D, 'Payments Log'!B:B, A338, 'Payments Log'!L:L, "Approved", 'Payments Log'!M:M, "Adjustment Credit") - SUMIFS('Payments Log'!D:D, 'Payments Log'!B:B, A338, 'Payments Log'!L:L, "Approved", 'Payments Log'!M:M, "Adjustment Debit") + 'Old Balance Sheet'!AE338</f>
        <v>0</v>
      </c>
      <c r="DW338" s="31">
        <f>IF(MAXIFS('Payments Log'!N:N, 'Payments Log'!L:L, "Approved", 'Payments Log'!M:M, "Credit", 'Payments Log'!B:B, A338) &gt; MAXIFS('Payments Log'!N:N, 'Payments Log'!L:L, "Approved", 'Payments Log'!M:M, "Virtual Credit", 'Payments Log'!B:B, A338), 0, SUMIFS('Payments Log'!D:D, 'Payments Log'!N:N, MAXIFS('Payments Log'!N:N, 'Payments Log'!L:L, "Approved", 'Payments Log'!M:M, "Virtual Credit", 'Payments Log'!B:B, A338)))</f>
        <v>0</v>
      </c>
      <c r="DX338" s="33">
        <f t="shared" si="6"/>
        <v>2648</v>
      </c>
      <c r="DY338" s="33">
        <f t="shared" si="7"/>
        <v>13772.33</v>
      </c>
      <c r="DZ338" s="33">
        <f t="shared" si="8"/>
        <v>13772.33</v>
      </c>
      <c r="EA338" s="25" t="str">
        <f>(Sheet1!N338)</f>
        <v>J.M Motors- Forbesganj</v>
      </c>
      <c r="EB338" s="25" t="str">
        <f>(Sheet1!O338)</f>
        <v>1LVFmg-oYUYvWwI6u3WOnpzEWG7hGErkioBifgg4ml3c</v>
      </c>
      <c r="EC338" s="26" t="str">
        <f>(Sheet1!P338)</f>
        <v>Dealer</v>
      </c>
      <c r="ED338" s="34" t="s">
        <v>13</v>
      </c>
    </row>
    <row r="339">
      <c r="A339" s="25" t="str">
        <f>(Sheet1!A339)</f>
        <v>1fHCHQnIWmfXqP4jwi-agXjfK1q2zM0BUeG3fwB0qApc</v>
      </c>
      <c r="B339" s="25" t="str">
        <f>(Sheet1!B339)</f>
        <v>Mahabir Automobiles -Sultanpur</v>
      </c>
      <c r="C339" s="30" t="s">
        <v>13</v>
      </c>
      <c r="D339" s="25" t="s">
        <v>72</v>
      </c>
      <c r="E339" s="30" t="s">
        <v>3817</v>
      </c>
      <c r="F339" s="31">
        <v>175.0</v>
      </c>
      <c r="G339" s="25" t="s">
        <v>3818</v>
      </c>
      <c r="H339" s="33">
        <v>100.0</v>
      </c>
      <c r="I339" s="33">
        <f>'Old Balance Sheet'!A339 + 'ACPL Calculations - 1.0'!A339 + 'ACPL Calculations - 2.0'!A339</f>
        <v>204</v>
      </c>
      <c r="J339" s="30" t="s">
        <v>3817</v>
      </c>
      <c r="K339" s="33">
        <v>205.0</v>
      </c>
      <c r="L339" s="25" t="s">
        <v>3818</v>
      </c>
      <c r="M339" s="33">
        <v>100.0</v>
      </c>
      <c r="N339" s="33">
        <f>'Old Balance Sheet'!B339 + 'ACPL Calculations - 1.0'!B339 + 'ACPL Calculations - 2.0'!B339</f>
        <v>0</v>
      </c>
      <c r="O339" s="30" t="s">
        <v>3817</v>
      </c>
      <c r="P339" s="31">
        <v>290.0</v>
      </c>
      <c r="Q339" s="25" t="s">
        <v>3818</v>
      </c>
      <c r="R339" s="33">
        <v>100.0</v>
      </c>
      <c r="S339" s="33">
        <f>'Old Balance Sheet'!C339 + 'ACPL Calculations - 1.0'!C339 + 'ACPL Calculations - 2.0'!C339</f>
        <v>0</v>
      </c>
      <c r="T339" s="30" t="s">
        <v>3817</v>
      </c>
      <c r="U339" s="33">
        <v>375.0</v>
      </c>
      <c r="V339" s="25" t="s">
        <v>3818</v>
      </c>
      <c r="W339" s="33">
        <v>100.0</v>
      </c>
      <c r="X339" s="33">
        <f>'Old Balance Sheet'!D339 + 'ACPL Calculations - 1.0'!D339 + 'ACPL Calculations - 2.0'!D339</f>
        <v>0</v>
      </c>
      <c r="Y339" s="30" t="s">
        <v>3817</v>
      </c>
      <c r="Z339" s="33">
        <v>460.0</v>
      </c>
      <c r="AA339" s="42" t="s">
        <v>3818</v>
      </c>
      <c r="AB339" s="43">
        <v>100.0</v>
      </c>
      <c r="AC339" s="33">
        <f>'Old Balance Sheet'!E339 + 'ACPL Calculations - 1.0'!E339 + 'ACPL Calculations - 2.0'!E339</f>
        <v>0</v>
      </c>
      <c r="AD339" s="30" t="s">
        <v>3817</v>
      </c>
      <c r="AE339" s="33">
        <v>838.99</v>
      </c>
      <c r="AF339" s="42" t="s">
        <v>3818</v>
      </c>
      <c r="AG339" s="43">
        <v>100.0</v>
      </c>
      <c r="AH339" s="33">
        <f>'Old Balance Sheet'!F339 + 'ACPL Calculations - 1.0'!F339 + 'ACPL Calculations - 2.0'!F339</f>
        <v>0</v>
      </c>
      <c r="AI339" s="30" t="s">
        <v>3817</v>
      </c>
      <c r="AJ339" s="33">
        <v>375.0</v>
      </c>
      <c r="AK339" s="42" t="s">
        <v>3818</v>
      </c>
      <c r="AL339" s="43">
        <v>100.0</v>
      </c>
      <c r="AM339" s="33">
        <f>'Old Balance Sheet'!G339 + 'ACPL Calculations - 1.0'!G339 + 'ACPL Calculations - 2.0'!G339</f>
        <v>0</v>
      </c>
      <c r="AN339" s="30" t="s">
        <v>3817</v>
      </c>
      <c r="AO339" s="33">
        <v>290.0</v>
      </c>
      <c r="AP339" s="42" t="s">
        <v>3818</v>
      </c>
      <c r="AQ339" s="43">
        <v>100.0</v>
      </c>
      <c r="AR339" s="33">
        <f>'Old Balance Sheet'!H339 + 'ACPL Calculations - 1.0'!H339 + 'ACPL Calculations - 2.0'!H339</f>
        <v>0</v>
      </c>
      <c r="AS339" s="30" t="s">
        <v>3819</v>
      </c>
      <c r="AT339" s="33">
        <v>838.99</v>
      </c>
      <c r="AU339" s="42" t="s">
        <v>3818</v>
      </c>
      <c r="AV339" s="43">
        <v>100.0</v>
      </c>
      <c r="AW339" s="33">
        <f>'Old Balance Sheet'!I339 + 'ACPL Calculations - 1.0'!I339 + 'ACPL Calculations - 2.0'!I339</f>
        <v>0</v>
      </c>
      <c r="AX339" s="30" t="s">
        <v>3817</v>
      </c>
      <c r="AY339" s="31">
        <v>290.0</v>
      </c>
      <c r="AZ339" s="42" t="s">
        <v>3818</v>
      </c>
      <c r="BA339" s="43">
        <v>100.0</v>
      </c>
      <c r="BB339" s="33">
        <f>'Old Balance Sheet'!J339 + 'ACPL Calculations - 1.0'!J339 + 'ACPL Calculations - 2.0'!J339</f>
        <v>0</v>
      </c>
      <c r="BC339" s="30" t="s">
        <v>3817</v>
      </c>
      <c r="BD339" s="31">
        <v>205.0</v>
      </c>
      <c r="BE339" s="42" t="s">
        <v>3818</v>
      </c>
      <c r="BF339" s="43">
        <v>100.0</v>
      </c>
      <c r="BG339" s="33">
        <f>'Old Balance Sheet'!K339 + 'ACPL Calculations - 1.0'!K339 + 'ACPL Calculations - 2.0'!K339</f>
        <v>0</v>
      </c>
      <c r="BH339" s="30" t="s">
        <v>3817</v>
      </c>
      <c r="BI339" s="31">
        <v>205.0</v>
      </c>
      <c r="BJ339" s="42" t="s">
        <v>3818</v>
      </c>
      <c r="BK339" s="43">
        <v>100.0</v>
      </c>
      <c r="BL339" s="33">
        <f>'Old Balance Sheet'!L339 + 'ACPL Calculations - 1.0'!L339 + 'ACPL Calculations - 2.0'!L339</f>
        <v>0</v>
      </c>
      <c r="BM339" s="25"/>
      <c r="BN339" s="25"/>
      <c r="BO339" s="25"/>
      <c r="BP339" s="25"/>
      <c r="BQ339" s="25"/>
      <c r="BR339" s="25"/>
      <c r="BS339" s="25"/>
      <c r="BT339" s="25"/>
      <c r="BU339" s="25"/>
      <c r="BV339" s="25"/>
      <c r="BW339" s="25"/>
      <c r="BX339" s="25"/>
      <c r="BY339" s="25"/>
      <c r="BZ339" s="25"/>
      <c r="CA339" s="25"/>
      <c r="CB339" s="25"/>
      <c r="CC339" s="25"/>
      <c r="CD339" s="25"/>
      <c r="CE339" s="25"/>
      <c r="CF339" s="25"/>
      <c r="CG339" s="25"/>
      <c r="CH339" s="25"/>
      <c r="CI339" s="25"/>
      <c r="CJ339" s="25"/>
      <c r="CK339" s="25"/>
      <c r="CL339" s="33">
        <f t="shared" si="1"/>
        <v>204</v>
      </c>
      <c r="CM339" s="33">
        <f>'Old Balance Sheet'!R339 + 'ACPL Calculations - 1.0'!S339 + 'ACPL Calculations - 2.0'!S339</f>
        <v>90168</v>
      </c>
      <c r="CN339" s="33">
        <f>'Old Balance Sheet'!S339 + 'ACPL Calculations - 1.0'!T339 + 'ACPL Calculations - 2.0'!T339</f>
        <v>35700</v>
      </c>
      <c r="CO339" s="33">
        <f t="shared" si="2"/>
        <v>49453.68</v>
      </c>
      <c r="CP339" s="33">
        <f>'Old Balance Sheet'!T339 + 'ACPL Calculations - 1.0'!V339 + 'ACPL Calculations - 2.0'!V339</f>
        <v>0</v>
      </c>
      <c r="CQ339" s="33">
        <f>'Old Balance Sheet'!U339 + 'ACPL Calculations - 1.0'!W339 + 'ACPL Calculations - 2.0'!W339</f>
        <v>0</v>
      </c>
      <c r="CR339" s="33">
        <f>'Old Balance Sheet'!V339 + 'ACPL Calculations - 1.0'!X339 + 'ACPL Calculations - 2.0'!X339</f>
        <v>13753.68</v>
      </c>
      <c r="CS339" s="33">
        <f t="shared" si="3"/>
        <v>13753.68</v>
      </c>
      <c r="CT339" s="35"/>
      <c r="CU339" s="35"/>
      <c r="CV339" s="35"/>
      <c r="CW339" s="36">
        <f>'Old Balance Sheet'!W339 + 'ACPL Calculations - 1.0'!Z339 + 'ACPL Calculations - 2.0'!Z339</f>
        <v>98436</v>
      </c>
      <c r="CX339" s="36">
        <f>'Old Balance Sheet'!X339 + 'ACPL Calculations - 1.0'!AA339 + 'ACPL Calculations - 2.0'!AA339</f>
        <v>98436</v>
      </c>
      <c r="CY339" s="37">
        <v>0.0</v>
      </c>
      <c r="CZ339" s="38">
        <f>'Old Balance Sheet'!Y339 + 'ACPL Calculations - 1.0'!AB339 + 'ACPL Calculations - 2.0'!AB339</f>
        <v>77836.2</v>
      </c>
      <c r="DA339" s="38">
        <f>'Old Balance Sheet'!Z339 + 'ACPL Calculations - 1.0'!AC339 + 'ACPL Calculations - 2.0'!AC339</f>
        <v>73944</v>
      </c>
      <c r="DB339" s="38">
        <f>'Old Balance Sheet'!AA339 + 'ACPL Calculations - 1.0'!AD339 + 'ACPL Calculations - 2.0'!AD339</f>
        <v>3892.2</v>
      </c>
      <c r="DC339" s="38">
        <f>'Old Balance Sheet'!AB339 + 'ACPL Calculations - 1.0'!AE339 + 'ACPL Calculations - 2.0'!AE339</f>
        <v>0</v>
      </c>
      <c r="DD339" s="38">
        <f t="shared" si="4"/>
        <v>0</v>
      </c>
      <c r="DE339" s="33">
        <f t="shared" si="5"/>
        <v>0</v>
      </c>
      <c r="DF339" s="35">
        <v>0.0</v>
      </c>
      <c r="DG339" s="35">
        <v>0.0</v>
      </c>
      <c r="DH339" s="35">
        <v>0.0</v>
      </c>
      <c r="DI339" s="35">
        <v>0.0</v>
      </c>
      <c r="DJ339" s="35">
        <v>0.0</v>
      </c>
      <c r="DK339" s="35">
        <v>0.0</v>
      </c>
      <c r="DL339" s="35">
        <v>0.0</v>
      </c>
      <c r="DM339" s="35">
        <v>0.0</v>
      </c>
      <c r="DN339" s="31">
        <v>0.0</v>
      </c>
      <c r="DO339" s="31">
        <v>0.0</v>
      </c>
      <c r="DP339" s="31">
        <v>0.0</v>
      </c>
      <c r="DQ339" s="31">
        <v>0.0</v>
      </c>
      <c r="DR339" s="31">
        <v>0.0</v>
      </c>
      <c r="DS339" s="31">
        <v>0.0</v>
      </c>
      <c r="DT339" s="31">
        <f>'Old Balance Sheet'!AC339</f>
        <v>0</v>
      </c>
      <c r="DU339" s="31">
        <f>DT339 + SUMIFS('Payments Log'!D:D, 'Payments Log'!B:B, A339, 'Payments Log'!L:L, "Approved", 'Payments Log'!M:M, "Credit") + 'Old Balance Sheet'!AD339 - 'Old Balance Sheet'!AC339</f>
        <v>145000</v>
      </c>
      <c r="DV339" s="31">
        <f>SUMIFS('Payments Log'!D:D, 'Payments Log'!B:B, A339, 'Payments Log'!L:L, "Approved", 'Payments Log'!M:M, "Adjustment Credit") - SUMIFS('Payments Log'!D:D, 'Payments Log'!B:B, A339, 'Payments Log'!L:L, "Approved", 'Payments Log'!M:M, "Adjustment Debit") + 'Old Balance Sheet'!AE339</f>
        <v>0</v>
      </c>
      <c r="DW339" s="31">
        <f>IF(MAXIFS('Payments Log'!N:N, 'Payments Log'!L:L, "Approved", 'Payments Log'!M:M, "Credit", 'Payments Log'!B:B, A339) &gt; MAXIFS('Payments Log'!N:N, 'Payments Log'!L:L, "Approved", 'Payments Log'!M:M, "Virtual Credit", 'Payments Log'!B:B, A339), 0, SUMIFS('Payments Log'!D:D, 'Payments Log'!N:N, MAXIFS('Payments Log'!N:N, 'Payments Log'!L:L, "Approved", 'Payments Log'!M:M, "Virtual Credit", 'Payments Log'!B:B, A339)))</f>
        <v>0</v>
      </c>
      <c r="DX339" s="33">
        <f t="shared" si="6"/>
        <v>46564</v>
      </c>
      <c r="DY339" s="33">
        <f t="shared" si="7"/>
        <v>46564</v>
      </c>
      <c r="DZ339" s="33">
        <f t="shared" si="8"/>
        <v>46564</v>
      </c>
      <c r="EA339" s="25" t="str">
        <f>(Sheet1!N339)</f>
        <v>Mahabir Automobiles -Sultanpur</v>
      </c>
      <c r="EB339" s="25" t="str">
        <f>(Sheet1!O339)</f>
        <v>1fHCHQnIWmfXqP4jwi-agXjfK1q2zM0BUeG3fwB0qApc</v>
      </c>
      <c r="EC339" s="26" t="str">
        <f>(Sheet1!P339)</f>
        <v>Dealer</v>
      </c>
      <c r="ED339" s="34" t="s">
        <v>13</v>
      </c>
    </row>
    <row r="340">
      <c r="A340" s="25" t="str">
        <f>(Sheet1!A340)</f>
        <v>1q0ZY1YodurXjGSqWho0k_uF6nV5Cwr8l1g1rbo_fC4Y</v>
      </c>
      <c r="B340" s="25" t="str">
        <f>(Sheet1!B340)</f>
        <v>SHIVAM HERO- GORAKHPUR</v>
      </c>
      <c r="C340" s="30" t="s">
        <v>13</v>
      </c>
      <c r="D340" s="25" t="s">
        <v>72</v>
      </c>
      <c r="E340" s="30" t="s">
        <v>3820</v>
      </c>
      <c r="F340" s="31">
        <v>175.0</v>
      </c>
      <c r="G340" s="25" t="s">
        <v>3818</v>
      </c>
      <c r="H340" s="33">
        <v>100.0</v>
      </c>
      <c r="I340" s="33">
        <f>'Old Balance Sheet'!A340 + 'ACPL Calculations - 1.0'!A340 + 'ACPL Calculations - 2.0'!A340</f>
        <v>68</v>
      </c>
      <c r="J340" s="30" t="s">
        <v>3820</v>
      </c>
      <c r="K340" s="33">
        <v>205.0</v>
      </c>
      <c r="L340" s="25" t="s">
        <v>3818</v>
      </c>
      <c r="M340" s="33">
        <v>100.0</v>
      </c>
      <c r="N340" s="33">
        <f>'Old Balance Sheet'!B340 + 'ACPL Calculations - 1.0'!B340 + 'ACPL Calculations - 2.0'!B340</f>
        <v>0</v>
      </c>
      <c r="O340" s="30" t="s">
        <v>3820</v>
      </c>
      <c r="P340" s="31">
        <v>290.0</v>
      </c>
      <c r="Q340" s="25" t="s">
        <v>3818</v>
      </c>
      <c r="R340" s="33">
        <v>100.0</v>
      </c>
      <c r="S340" s="33">
        <f>'Old Balance Sheet'!C340 + 'ACPL Calculations - 1.0'!C340 + 'ACPL Calculations - 2.0'!C340</f>
        <v>0</v>
      </c>
      <c r="T340" s="30" t="s">
        <v>3820</v>
      </c>
      <c r="U340" s="33">
        <v>375.0</v>
      </c>
      <c r="V340" s="25" t="s">
        <v>3818</v>
      </c>
      <c r="W340" s="33">
        <v>100.0</v>
      </c>
      <c r="X340" s="33">
        <f>'Old Balance Sheet'!D340 + 'ACPL Calculations - 1.0'!D340 + 'ACPL Calculations - 2.0'!D340</f>
        <v>0</v>
      </c>
      <c r="Y340" s="30" t="s">
        <v>3820</v>
      </c>
      <c r="Z340" s="33">
        <v>460.0</v>
      </c>
      <c r="AA340" s="42" t="s">
        <v>3818</v>
      </c>
      <c r="AB340" s="43">
        <v>100.0</v>
      </c>
      <c r="AC340" s="33">
        <f>'Old Balance Sheet'!E340 + 'ACPL Calculations - 1.0'!E340 + 'ACPL Calculations - 2.0'!E340</f>
        <v>0</v>
      </c>
      <c r="AD340" s="30" t="s">
        <v>3820</v>
      </c>
      <c r="AE340" s="33">
        <v>838.99</v>
      </c>
      <c r="AF340" s="42" t="s">
        <v>3818</v>
      </c>
      <c r="AG340" s="43">
        <v>100.0</v>
      </c>
      <c r="AH340" s="33">
        <f>'Old Balance Sheet'!F340 + 'ACPL Calculations - 1.0'!F340 + 'ACPL Calculations - 2.0'!F340</f>
        <v>0</v>
      </c>
      <c r="AI340" s="30" t="s">
        <v>3820</v>
      </c>
      <c r="AJ340" s="33">
        <v>375.0</v>
      </c>
      <c r="AK340" s="42" t="s">
        <v>3818</v>
      </c>
      <c r="AL340" s="43">
        <v>100.0</v>
      </c>
      <c r="AM340" s="33">
        <f>'Old Balance Sheet'!G340 + 'ACPL Calculations - 1.0'!G340 + 'ACPL Calculations - 2.0'!G340</f>
        <v>0</v>
      </c>
      <c r="AN340" s="30" t="s">
        <v>3820</v>
      </c>
      <c r="AO340" s="33">
        <v>290.0</v>
      </c>
      <c r="AP340" s="42" t="s">
        <v>3818</v>
      </c>
      <c r="AQ340" s="43">
        <v>100.0</v>
      </c>
      <c r="AR340" s="33">
        <f>'Old Balance Sheet'!H340 + 'ACPL Calculations - 1.0'!H340 + 'ACPL Calculations - 2.0'!H340</f>
        <v>0</v>
      </c>
      <c r="AS340" s="30" t="s">
        <v>3819</v>
      </c>
      <c r="AT340" s="33">
        <v>838.99</v>
      </c>
      <c r="AU340" s="42" t="s">
        <v>3818</v>
      </c>
      <c r="AV340" s="43">
        <v>100.0</v>
      </c>
      <c r="AW340" s="33">
        <f>'Old Balance Sheet'!I340 + 'ACPL Calculations - 1.0'!I340 + 'ACPL Calculations - 2.0'!I340</f>
        <v>0</v>
      </c>
      <c r="AX340" s="30" t="s">
        <v>3820</v>
      </c>
      <c r="AY340" s="31">
        <v>290.0</v>
      </c>
      <c r="AZ340" s="42" t="s">
        <v>3818</v>
      </c>
      <c r="BA340" s="43">
        <v>100.0</v>
      </c>
      <c r="BB340" s="33">
        <f>'Old Balance Sheet'!J340 + 'ACPL Calculations - 1.0'!J340 + 'ACPL Calculations - 2.0'!J340</f>
        <v>0</v>
      </c>
      <c r="BC340" s="30" t="s">
        <v>3820</v>
      </c>
      <c r="BD340" s="31">
        <v>205.0</v>
      </c>
      <c r="BE340" s="42" t="s">
        <v>3818</v>
      </c>
      <c r="BF340" s="43">
        <v>100.0</v>
      </c>
      <c r="BG340" s="33">
        <f>'Old Balance Sheet'!K340 + 'ACPL Calculations - 1.0'!K340 + 'ACPL Calculations - 2.0'!K340</f>
        <v>0</v>
      </c>
      <c r="BH340" s="30" t="s">
        <v>3820</v>
      </c>
      <c r="BI340" s="31">
        <v>205.0</v>
      </c>
      <c r="BJ340" s="42" t="s">
        <v>3818</v>
      </c>
      <c r="BK340" s="43">
        <v>100.0</v>
      </c>
      <c r="BL340" s="33">
        <f>'Old Balance Sheet'!L340 + 'ACPL Calculations - 1.0'!L340 + 'ACPL Calculations - 2.0'!L340</f>
        <v>0</v>
      </c>
      <c r="BM340" s="25"/>
      <c r="BN340" s="25"/>
      <c r="BO340" s="25"/>
      <c r="BP340" s="25"/>
      <c r="BQ340" s="25"/>
      <c r="BR340" s="25"/>
      <c r="BS340" s="25"/>
      <c r="BT340" s="25"/>
      <c r="BU340" s="25"/>
      <c r="BV340" s="25"/>
      <c r="BW340" s="25"/>
      <c r="BX340" s="25"/>
      <c r="BY340" s="25"/>
      <c r="BZ340" s="25"/>
      <c r="CA340" s="25"/>
      <c r="CB340" s="25"/>
      <c r="CC340" s="25"/>
      <c r="CD340" s="25"/>
      <c r="CE340" s="25"/>
      <c r="CF340" s="25"/>
      <c r="CG340" s="25"/>
      <c r="CH340" s="25"/>
      <c r="CI340" s="25"/>
      <c r="CJ340" s="25"/>
      <c r="CK340" s="25"/>
      <c r="CL340" s="33">
        <f t="shared" si="1"/>
        <v>68</v>
      </c>
      <c r="CM340" s="33">
        <f>'Old Balance Sheet'!R340 + 'ACPL Calculations - 1.0'!S340 + 'ACPL Calculations - 2.0'!S340</f>
        <v>30056</v>
      </c>
      <c r="CN340" s="33">
        <f>'Old Balance Sheet'!S340 + 'ACPL Calculations - 1.0'!T340 + 'ACPL Calculations - 2.0'!T340</f>
        <v>11900</v>
      </c>
      <c r="CO340" s="33">
        <f t="shared" si="2"/>
        <v>16484.56</v>
      </c>
      <c r="CP340" s="33">
        <f>'Old Balance Sheet'!T340 + 'ACPL Calculations - 1.0'!V340 + 'ACPL Calculations - 2.0'!V340</f>
        <v>0</v>
      </c>
      <c r="CQ340" s="33">
        <f>'Old Balance Sheet'!U340 + 'ACPL Calculations - 1.0'!W340 + 'ACPL Calculations - 2.0'!W340</f>
        <v>0</v>
      </c>
      <c r="CR340" s="33">
        <f>'Old Balance Sheet'!V340 + 'ACPL Calculations - 1.0'!X340 + 'ACPL Calculations - 2.0'!X340</f>
        <v>4584.56</v>
      </c>
      <c r="CS340" s="33">
        <f t="shared" si="3"/>
        <v>4584.56</v>
      </c>
      <c r="CT340" s="35"/>
      <c r="CU340" s="35"/>
      <c r="CV340" s="35"/>
      <c r="CW340" s="36">
        <f>'Old Balance Sheet'!W340 + 'ACPL Calculations - 1.0'!Z340 + 'ACPL Calculations - 2.0'!Z340</f>
        <v>0</v>
      </c>
      <c r="CX340" s="36">
        <f>'Old Balance Sheet'!X340 + 'ACPL Calculations - 1.0'!AA340 + 'ACPL Calculations - 2.0'!AA340</f>
        <v>0</v>
      </c>
      <c r="CY340" s="37">
        <v>0.0</v>
      </c>
      <c r="CZ340" s="38">
        <f>'Old Balance Sheet'!Y340 + 'ACPL Calculations - 1.0'!AB340 + 'ACPL Calculations - 2.0'!AB340</f>
        <v>0</v>
      </c>
      <c r="DA340" s="38">
        <f>'Old Balance Sheet'!Z340 + 'ACPL Calculations - 1.0'!AC340 + 'ACPL Calculations - 2.0'!AC340</f>
        <v>0</v>
      </c>
      <c r="DB340" s="38">
        <f>'Old Balance Sheet'!AA340 + 'ACPL Calculations - 1.0'!AD340 + 'ACPL Calculations - 2.0'!AD340</f>
        <v>0</v>
      </c>
      <c r="DC340" s="38">
        <f>'Old Balance Sheet'!AB340 + 'ACPL Calculations - 1.0'!AE340 + 'ACPL Calculations - 2.0'!AE340</f>
        <v>0</v>
      </c>
      <c r="DD340" s="38">
        <f t="shared" si="4"/>
        <v>0</v>
      </c>
      <c r="DE340" s="33">
        <f t="shared" si="5"/>
        <v>0</v>
      </c>
      <c r="DF340" s="35">
        <v>0.0</v>
      </c>
      <c r="DG340" s="35">
        <v>0.0</v>
      </c>
      <c r="DH340" s="35">
        <v>0.0</v>
      </c>
      <c r="DI340" s="35">
        <v>0.0</v>
      </c>
      <c r="DJ340" s="35">
        <v>0.0</v>
      </c>
      <c r="DK340" s="35">
        <v>0.0</v>
      </c>
      <c r="DL340" s="35">
        <v>0.0</v>
      </c>
      <c r="DM340" s="35">
        <v>0.0</v>
      </c>
      <c r="DN340" s="31">
        <v>0.0</v>
      </c>
      <c r="DO340" s="31">
        <v>0.0</v>
      </c>
      <c r="DP340" s="31">
        <v>0.0</v>
      </c>
      <c r="DQ340" s="31">
        <v>0.0</v>
      </c>
      <c r="DR340" s="31">
        <v>0.0</v>
      </c>
      <c r="DS340" s="31">
        <v>0.0</v>
      </c>
      <c r="DT340" s="31">
        <f>'Old Balance Sheet'!AC340</f>
        <v>0</v>
      </c>
      <c r="DU340" s="31">
        <f>DT340 + SUMIFS('Payments Log'!D:D, 'Payments Log'!B:B, A340, 'Payments Log'!L:L, "Approved", 'Payments Log'!M:M, "Credit") + 'Old Balance Sheet'!AD340 - 'Old Balance Sheet'!AC340</f>
        <v>0</v>
      </c>
      <c r="DV340" s="31">
        <f>SUMIFS('Payments Log'!D:D, 'Payments Log'!B:B, A340, 'Payments Log'!L:L, "Approved", 'Payments Log'!M:M, "Adjustment Credit") - SUMIFS('Payments Log'!D:D, 'Payments Log'!B:B, A340, 'Payments Log'!L:L, "Approved", 'Payments Log'!M:M, "Adjustment Debit") + 'Old Balance Sheet'!AE340</f>
        <v>0</v>
      </c>
      <c r="DW340" s="31">
        <f>IF(MAXIFS('Payments Log'!N:N, 'Payments Log'!L:L, "Approved", 'Payments Log'!M:M, "Credit", 'Payments Log'!B:B, A340) &gt; MAXIFS('Payments Log'!N:N, 'Payments Log'!L:L, "Approved", 'Payments Log'!M:M, "Virtual Credit", 'Payments Log'!B:B, A340), 0, SUMIFS('Payments Log'!D:D, 'Payments Log'!N:N, MAXIFS('Payments Log'!N:N, 'Payments Log'!L:L, "Approved", 'Payments Log'!M:M, "Virtual Credit", 'Payments Log'!B:B, A340)))</f>
        <v>0</v>
      </c>
      <c r="DX340" s="33">
        <f t="shared" si="6"/>
        <v>0</v>
      </c>
      <c r="DY340" s="33">
        <f t="shared" si="7"/>
        <v>0</v>
      </c>
      <c r="DZ340" s="33">
        <f t="shared" si="8"/>
        <v>0</v>
      </c>
      <c r="EA340" s="25" t="str">
        <f>(Sheet1!N340)</f>
        <v>NITIN MATANHELIA - GORAKHPUR</v>
      </c>
      <c r="EB340" s="25" t="str">
        <f>(Sheet1!O340)</f>
        <v>1pIkLTEq99ZID0V0k8H0hOFXZDJQMaAoy2fsIol-e81k</v>
      </c>
      <c r="EC340" s="26" t="str">
        <f>(Sheet1!P340)</f>
        <v>Sub Dealer</v>
      </c>
      <c r="ED340" s="34" t="s">
        <v>13</v>
      </c>
    </row>
    <row r="341">
      <c r="A341" s="25" t="str">
        <f>(Sheet1!A341)</f>
        <v>1bfx7eMh4Ac2mO8jnga0N0Mq4i3FWPf37yxKEAzBtjPM</v>
      </c>
      <c r="B341" s="25" t="str">
        <f>(Sheet1!B341)</f>
        <v>D P MOTORS 2 - GORAKHPUR</v>
      </c>
      <c r="C341" s="30" t="s">
        <v>13</v>
      </c>
      <c r="D341" s="25" t="s">
        <v>72</v>
      </c>
      <c r="E341" s="25" t="s">
        <v>3820</v>
      </c>
      <c r="F341" s="31">
        <v>175.0</v>
      </c>
      <c r="G341" s="25" t="s">
        <v>3818</v>
      </c>
      <c r="H341" s="33">
        <v>100.0</v>
      </c>
      <c r="I341" s="33">
        <f>'Old Balance Sheet'!A341 + 'ACPL Calculations - 1.0'!A341 + 'ACPL Calculations - 2.0'!A341</f>
        <v>38</v>
      </c>
      <c r="J341" s="25" t="s">
        <v>3820</v>
      </c>
      <c r="K341" s="33">
        <v>205.0</v>
      </c>
      <c r="L341" s="25" t="s">
        <v>3818</v>
      </c>
      <c r="M341" s="33">
        <v>100.0</v>
      </c>
      <c r="N341" s="33">
        <f>'Old Balance Sheet'!B341 + 'ACPL Calculations - 1.0'!B341 + 'ACPL Calculations - 2.0'!B341</f>
        <v>0</v>
      </c>
      <c r="O341" s="25" t="s">
        <v>3820</v>
      </c>
      <c r="P341" s="31">
        <v>205.0</v>
      </c>
      <c r="Q341" s="25" t="s">
        <v>3818</v>
      </c>
      <c r="R341" s="33">
        <v>100.0</v>
      </c>
      <c r="S341" s="33">
        <f>'Old Balance Sheet'!C341 + 'ACPL Calculations - 1.0'!C341 + 'ACPL Calculations - 2.0'!C341</f>
        <v>0</v>
      </c>
      <c r="T341" s="25" t="s">
        <v>3820</v>
      </c>
      <c r="U341" s="33">
        <v>375.0</v>
      </c>
      <c r="V341" s="25" t="s">
        <v>3818</v>
      </c>
      <c r="W341" s="33">
        <v>100.0</v>
      </c>
      <c r="X341" s="33">
        <f>'Old Balance Sheet'!D341 + 'ACPL Calculations - 1.0'!D341 + 'ACPL Calculations - 2.0'!D341</f>
        <v>0</v>
      </c>
      <c r="Y341" s="25" t="s">
        <v>3820</v>
      </c>
      <c r="Z341" s="33">
        <v>460.0</v>
      </c>
      <c r="AA341" s="42" t="s">
        <v>3818</v>
      </c>
      <c r="AB341" s="43">
        <v>100.0</v>
      </c>
      <c r="AC341" s="33">
        <f>'Old Balance Sheet'!E341 + 'ACPL Calculations - 1.0'!E341 + 'ACPL Calculations - 2.0'!E341</f>
        <v>0</v>
      </c>
      <c r="AD341" s="25" t="s">
        <v>3820</v>
      </c>
      <c r="AE341" s="33">
        <v>838.99</v>
      </c>
      <c r="AF341" s="42" t="s">
        <v>3818</v>
      </c>
      <c r="AG341" s="43">
        <v>100.0</v>
      </c>
      <c r="AH341" s="33">
        <f>'Old Balance Sheet'!F341 + 'ACPL Calculations - 1.0'!F341 + 'ACPL Calculations - 2.0'!F341</f>
        <v>0</v>
      </c>
      <c r="AI341" s="25" t="s">
        <v>3820</v>
      </c>
      <c r="AJ341" s="33">
        <v>375.0</v>
      </c>
      <c r="AK341" s="42" t="s">
        <v>3818</v>
      </c>
      <c r="AL341" s="43">
        <v>100.0</v>
      </c>
      <c r="AM341" s="33">
        <f>'Old Balance Sheet'!G341 + 'ACPL Calculations - 1.0'!G341 + 'ACPL Calculations - 2.0'!G341</f>
        <v>0</v>
      </c>
      <c r="AN341" s="25" t="s">
        <v>3820</v>
      </c>
      <c r="AO341" s="33">
        <v>290.0</v>
      </c>
      <c r="AP341" s="42" t="s">
        <v>3818</v>
      </c>
      <c r="AQ341" s="43">
        <v>100.0</v>
      </c>
      <c r="AR341" s="33">
        <f>'Old Balance Sheet'!H341 + 'ACPL Calculations - 1.0'!H341 + 'ACPL Calculations - 2.0'!H341</f>
        <v>0</v>
      </c>
      <c r="AS341" s="25" t="s">
        <v>3819</v>
      </c>
      <c r="AT341" s="33">
        <v>838.99</v>
      </c>
      <c r="AU341" s="42" t="s">
        <v>3818</v>
      </c>
      <c r="AV341" s="43">
        <v>100.0</v>
      </c>
      <c r="AW341" s="33">
        <f>'Old Balance Sheet'!I341 + 'ACPL Calculations - 1.0'!I341 + 'ACPL Calculations - 2.0'!I341</f>
        <v>0</v>
      </c>
      <c r="AX341" s="25" t="s">
        <v>3820</v>
      </c>
      <c r="AY341" s="31">
        <v>290.0</v>
      </c>
      <c r="AZ341" s="42" t="s">
        <v>3818</v>
      </c>
      <c r="BA341" s="43">
        <v>100.0</v>
      </c>
      <c r="BB341" s="33">
        <f>'Old Balance Sheet'!J341 + 'ACPL Calculations - 1.0'!J341 + 'ACPL Calculations - 2.0'!J341</f>
        <v>0</v>
      </c>
      <c r="BC341" s="25" t="s">
        <v>3820</v>
      </c>
      <c r="BD341" s="31">
        <v>205.0</v>
      </c>
      <c r="BE341" s="42" t="s">
        <v>3818</v>
      </c>
      <c r="BF341" s="43">
        <v>100.0</v>
      </c>
      <c r="BG341" s="33">
        <f>'Old Balance Sheet'!K341 + 'ACPL Calculations - 1.0'!K341 + 'ACPL Calculations - 2.0'!K341</f>
        <v>0</v>
      </c>
      <c r="BH341" s="25" t="s">
        <v>3820</v>
      </c>
      <c r="BI341" s="31">
        <v>205.0</v>
      </c>
      <c r="BJ341" s="42" t="s">
        <v>3818</v>
      </c>
      <c r="BK341" s="43">
        <v>100.0</v>
      </c>
      <c r="BL341" s="33">
        <f>'Old Balance Sheet'!L341 + 'ACPL Calculations - 1.0'!L341 + 'ACPL Calculations - 2.0'!L341</f>
        <v>0</v>
      </c>
      <c r="BM341" s="25"/>
      <c r="BN341" s="25"/>
      <c r="BO341" s="25"/>
      <c r="BP341" s="25"/>
      <c r="BQ341" s="25"/>
      <c r="BR341" s="25"/>
      <c r="BS341" s="25"/>
      <c r="BT341" s="25"/>
      <c r="BU341" s="25"/>
      <c r="BV341" s="25"/>
      <c r="BW341" s="25"/>
      <c r="BX341" s="25"/>
      <c r="BY341" s="25"/>
      <c r="BZ341" s="25"/>
      <c r="CA341" s="25"/>
      <c r="CB341" s="25"/>
      <c r="CC341" s="25"/>
      <c r="CD341" s="25"/>
      <c r="CE341" s="25"/>
      <c r="CF341" s="25"/>
      <c r="CG341" s="25"/>
      <c r="CH341" s="25"/>
      <c r="CI341" s="25"/>
      <c r="CJ341" s="25"/>
      <c r="CK341" s="25"/>
      <c r="CL341" s="33">
        <f t="shared" si="1"/>
        <v>38</v>
      </c>
      <c r="CM341" s="33">
        <f>'Old Balance Sheet'!R341 + 'ACPL Calculations - 1.0'!S341 + 'ACPL Calculations - 2.0'!S341</f>
        <v>16796</v>
      </c>
      <c r="CN341" s="33">
        <f>'Old Balance Sheet'!S341 + 'ACPL Calculations - 1.0'!T341 + 'ACPL Calculations - 2.0'!T341</f>
        <v>6650</v>
      </c>
      <c r="CO341" s="33">
        <f t="shared" si="2"/>
        <v>9211.96</v>
      </c>
      <c r="CP341" s="33">
        <f>'Old Balance Sheet'!T341 + 'ACPL Calculations - 1.0'!V341 + 'ACPL Calculations - 2.0'!V341</f>
        <v>0</v>
      </c>
      <c r="CQ341" s="33">
        <f>'Old Balance Sheet'!U341 + 'ACPL Calculations - 1.0'!W341 + 'ACPL Calculations - 2.0'!W341</f>
        <v>0</v>
      </c>
      <c r="CR341" s="33">
        <f>'Old Balance Sheet'!V341 + 'ACPL Calculations - 1.0'!X341 + 'ACPL Calculations - 2.0'!X341</f>
        <v>2561.96</v>
      </c>
      <c r="CS341" s="33">
        <f t="shared" si="3"/>
        <v>2561.96</v>
      </c>
      <c r="CT341" s="35"/>
      <c r="CU341" s="35"/>
      <c r="CV341" s="35"/>
      <c r="CW341" s="36">
        <f>'Old Balance Sheet'!W341 + 'ACPL Calculations - 1.0'!Z341 + 'ACPL Calculations - 2.0'!Z341</f>
        <v>0</v>
      </c>
      <c r="CX341" s="36">
        <f>'Old Balance Sheet'!X341 + 'ACPL Calculations - 1.0'!AA341 + 'ACPL Calculations - 2.0'!AA341</f>
        <v>0</v>
      </c>
      <c r="CY341" s="37">
        <v>0.0</v>
      </c>
      <c r="CZ341" s="38">
        <f>'Old Balance Sheet'!Y341 + 'ACPL Calculations - 1.0'!AB341 + 'ACPL Calculations - 2.0'!AB341</f>
        <v>0</v>
      </c>
      <c r="DA341" s="38">
        <f>'Old Balance Sheet'!Z341 + 'ACPL Calculations - 1.0'!AC341 + 'ACPL Calculations - 2.0'!AC341</f>
        <v>0</v>
      </c>
      <c r="DB341" s="38">
        <f>'Old Balance Sheet'!AA341 + 'ACPL Calculations - 1.0'!AD341 + 'ACPL Calculations - 2.0'!AD341</f>
        <v>0</v>
      </c>
      <c r="DC341" s="38">
        <f>'Old Balance Sheet'!AB341 + 'ACPL Calculations - 1.0'!AE341 + 'ACPL Calculations - 2.0'!AE341</f>
        <v>0</v>
      </c>
      <c r="DD341" s="38">
        <f t="shared" si="4"/>
        <v>0</v>
      </c>
      <c r="DE341" s="33">
        <f t="shared" si="5"/>
        <v>0</v>
      </c>
      <c r="DF341" s="35">
        <v>0.0</v>
      </c>
      <c r="DG341" s="35">
        <v>0.0</v>
      </c>
      <c r="DH341" s="35">
        <v>0.0</v>
      </c>
      <c r="DI341" s="35">
        <v>0.0</v>
      </c>
      <c r="DJ341" s="35">
        <v>0.0</v>
      </c>
      <c r="DK341" s="35">
        <v>0.0</v>
      </c>
      <c r="DL341" s="35">
        <v>0.0</v>
      </c>
      <c r="DM341" s="35">
        <v>0.0</v>
      </c>
      <c r="DN341" s="31">
        <v>0.0</v>
      </c>
      <c r="DO341" s="31">
        <v>0.0</v>
      </c>
      <c r="DP341" s="31">
        <v>0.0</v>
      </c>
      <c r="DQ341" s="31">
        <v>0.0</v>
      </c>
      <c r="DR341" s="31">
        <v>0.0</v>
      </c>
      <c r="DS341" s="31">
        <v>0.0</v>
      </c>
      <c r="DT341" s="31">
        <f>'Old Balance Sheet'!AC341</f>
        <v>0</v>
      </c>
      <c r="DU341" s="31">
        <f>DT341 + SUMIFS('Payments Log'!D:D, 'Payments Log'!B:B, A341, 'Payments Log'!L:L, "Approved", 'Payments Log'!M:M, "Credit") + 'Old Balance Sheet'!AD341 - 'Old Balance Sheet'!AC341</f>
        <v>0</v>
      </c>
      <c r="DV341" s="31">
        <f>SUMIFS('Payments Log'!D:D, 'Payments Log'!B:B, A341, 'Payments Log'!L:L, "Approved", 'Payments Log'!M:M, "Adjustment Credit") - SUMIFS('Payments Log'!D:D, 'Payments Log'!B:B, A341, 'Payments Log'!L:L, "Approved", 'Payments Log'!M:M, "Adjustment Debit") + 'Old Balance Sheet'!AE341</f>
        <v>0</v>
      </c>
      <c r="DW341" s="31">
        <f>IF(MAXIFS('Payments Log'!N:N, 'Payments Log'!L:L, "Approved", 'Payments Log'!M:M, "Credit", 'Payments Log'!B:B, A341) &gt; MAXIFS('Payments Log'!N:N, 'Payments Log'!L:L, "Approved", 'Payments Log'!M:M, "Virtual Credit", 'Payments Log'!B:B, A341), 0, SUMIFS('Payments Log'!D:D, 'Payments Log'!N:N, MAXIFS('Payments Log'!N:N, 'Payments Log'!L:L, "Approved", 'Payments Log'!M:M, "Virtual Credit", 'Payments Log'!B:B, A341)))</f>
        <v>0</v>
      </c>
      <c r="DX341" s="33">
        <f t="shared" si="6"/>
        <v>0</v>
      </c>
      <c r="DY341" s="33">
        <f t="shared" si="7"/>
        <v>0</v>
      </c>
      <c r="DZ341" s="33">
        <f t="shared" si="8"/>
        <v>0</v>
      </c>
      <c r="EA341" s="25" t="str">
        <f>(Sheet1!N341)</f>
        <v>NITIN MATANHELIA - GORAKHPUR</v>
      </c>
      <c r="EB341" s="25" t="str">
        <f>(Sheet1!O341)</f>
        <v>1pIkLTEq99ZID0V0k8H0hOFXZDJQMaAoy2fsIol-e81k</v>
      </c>
      <c r="EC341" s="26" t="str">
        <f>(Sheet1!P341)</f>
        <v>Sub Dealer</v>
      </c>
      <c r="ED341" s="34" t="s">
        <v>13</v>
      </c>
    </row>
    <row r="342">
      <c r="A342" s="26" t="str">
        <f>(Sheet1!A342)</f>
        <v>1Bgq0uJUKdFTQouDxCzlEEpEbjOG76Fl_PVNJNSPhG8Y</v>
      </c>
      <c r="B342" s="26" t="str">
        <f>(Sheet1!B342)</f>
        <v>KANHAIYA MOTORS- BHADARUGANJ</v>
      </c>
      <c r="C342" s="34" t="s">
        <v>13</v>
      </c>
      <c r="D342" s="34" t="s">
        <v>72</v>
      </c>
      <c r="E342" s="34" t="s">
        <v>3820</v>
      </c>
      <c r="F342" s="34">
        <v>185.0</v>
      </c>
      <c r="G342" s="34" t="s">
        <v>3818</v>
      </c>
      <c r="H342" s="34">
        <v>100.0</v>
      </c>
      <c r="I342" s="33">
        <f>'Old Balance Sheet'!A342 + 'ACPL Calculations - 1.0'!A342 + 'ACPL Calculations - 2.0'!A342</f>
        <v>4</v>
      </c>
      <c r="J342" s="34" t="s">
        <v>3820</v>
      </c>
      <c r="K342" s="34">
        <v>205.0</v>
      </c>
      <c r="L342" s="34" t="s">
        <v>3818</v>
      </c>
      <c r="M342" s="34">
        <v>100.0</v>
      </c>
      <c r="N342" s="33">
        <f>'Old Balance Sheet'!B342 + 'ACPL Calculations - 1.0'!B342 + 'ACPL Calculations - 2.0'!B342</f>
        <v>0</v>
      </c>
      <c r="O342" s="34" t="s">
        <v>3820</v>
      </c>
      <c r="P342" s="34">
        <v>290.0</v>
      </c>
      <c r="Q342" s="34" t="s">
        <v>3818</v>
      </c>
      <c r="R342" s="34">
        <v>100.0</v>
      </c>
      <c r="S342" s="33">
        <f>'Old Balance Sheet'!C342 + 'ACPL Calculations - 1.0'!C342 + 'ACPL Calculations - 2.0'!C342</f>
        <v>0</v>
      </c>
      <c r="T342" s="34" t="s">
        <v>3820</v>
      </c>
      <c r="U342" s="34">
        <v>375.0</v>
      </c>
      <c r="V342" s="34" t="s">
        <v>3818</v>
      </c>
      <c r="W342" s="34">
        <v>100.0</v>
      </c>
      <c r="X342" s="33">
        <f>'Old Balance Sheet'!D342 + 'ACPL Calculations - 1.0'!D342 + 'ACPL Calculations - 2.0'!D342</f>
        <v>0</v>
      </c>
      <c r="Y342" s="34" t="s">
        <v>3820</v>
      </c>
      <c r="Z342" s="34">
        <v>460.0</v>
      </c>
      <c r="AA342" s="32" t="s">
        <v>3818</v>
      </c>
      <c r="AB342" s="31">
        <v>100.0</v>
      </c>
      <c r="AC342" s="33">
        <f>'Old Balance Sheet'!E342 + 'ACPL Calculations - 1.0'!E342 + 'ACPL Calculations - 2.0'!E342</f>
        <v>0</v>
      </c>
      <c r="AD342" s="34" t="s">
        <v>3820</v>
      </c>
      <c r="AE342" s="34">
        <v>838.99</v>
      </c>
      <c r="AF342" s="32" t="s">
        <v>3818</v>
      </c>
      <c r="AG342" s="31">
        <v>100.0</v>
      </c>
      <c r="AH342" s="33">
        <f>'Old Balance Sheet'!F342 + 'ACPL Calculations - 1.0'!F342 + 'ACPL Calculations - 2.0'!F342</f>
        <v>0</v>
      </c>
      <c r="AI342" s="25" t="s">
        <v>3820</v>
      </c>
      <c r="AJ342" s="34">
        <v>375.0</v>
      </c>
      <c r="AK342" s="32" t="s">
        <v>3818</v>
      </c>
      <c r="AL342" s="31">
        <v>100.0</v>
      </c>
      <c r="AM342" s="33">
        <f>'Old Balance Sheet'!G342 + 'ACPL Calculations - 1.0'!G342 + 'ACPL Calculations - 2.0'!G342</f>
        <v>0</v>
      </c>
      <c r="AN342" s="34" t="s">
        <v>3820</v>
      </c>
      <c r="AO342" s="34">
        <v>290.0</v>
      </c>
      <c r="AP342" s="32" t="s">
        <v>3818</v>
      </c>
      <c r="AQ342" s="31">
        <v>100.0</v>
      </c>
      <c r="AR342" s="33">
        <f>'Old Balance Sheet'!H342 + 'ACPL Calculations - 1.0'!H342 + 'ACPL Calculations - 2.0'!H342</f>
        <v>0</v>
      </c>
      <c r="AS342" s="34" t="s">
        <v>3819</v>
      </c>
      <c r="AT342" s="34">
        <v>838.99</v>
      </c>
      <c r="AU342" s="32" t="s">
        <v>3818</v>
      </c>
      <c r="AV342" s="31">
        <v>100.0</v>
      </c>
      <c r="AW342" s="33">
        <f>'Old Balance Sheet'!I342 + 'ACPL Calculations - 1.0'!I342 + 'ACPL Calculations - 2.0'!I342</f>
        <v>0</v>
      </c>
      <c r="AX342" s="34" t="s">
        <v>3820</v>
      </c>
      <c r="AY342" s="34">
        <v>290.0</v>
      </c>
      <c r="AZ342" s="32" t="s">
        <v>3818</v>
      </c>
      <c r="BA342" s="31">
        <v>100.0</v>
      </c>
      <c r="BB342" s="33">
        <f>'Old Balance Sheet'!J342 + 'ACPL Calculations - 1.0'!J342 + 'ACPL Calculations - 2.0'!J342</f>
        <v>0</v>
      </c>
      <c r="BC342" s="34" t="s">
        <v>3820</v>
      </c>
      <c r="BD342" s="34">
        <v>205.0</v>
      </c>
      <c r="BE342" s="32" t="s">
        <v>3818</v>
      </c>
      <c r="BF342" s="31">
        <v>100.0</v>
      </c>
      <c r="BG342" s="33">
        <f>'Old Balance Sheet'!K342 + 'ACPL Calculations - 1.0'!K342 + 'ACPL Calculations - 2.0'!K342</f>
        <v>0</v>
      </c>
      <c r="BH342" s="34" t="s">
        <v>3820</v>
      </c>
      <c r="BI342" s="34">
        <v>205.0</v>
      </c>
      <c r="BJ342" s="32" t="s">
        <v>3818</v>
      </c>
      <c r="BK342" s="31">
        <v>100.0</v>
      </c>
      <c r="BL342" s="33">
        <f>'Old Balance Sheet'!L342 + 'ACPL Calculations - 1.0'!L342 + 'ACPL Calculations - 2.0'!L342</f>
        <v>0</v>
      </c>
      <c r="CL342" s="33">
        <f t="shared" si="1"/>
        <v>4</v>
      </c>
      <c r="CM342" s="33">
        <f>'Old Balance Sheet'!R342 + 'ACPL Calculations - 1.0'!S342 + 'ACPL Calculations - 2.0'!S342</f>
        <v>1768</v>
      </c>
      <c r="CN342" s="33">
        <f>'Old Balance Sheet'!S342 + 'ACPL Calculations - 1.0'!T342 + 'ACPL Calculations - 2.0'!T342</f>
        <v>740</v>
      </c>
      <c r="CO342" s="26">
        <f t="shared" si="2"/>
        <v>1009.68</v>
      </c>
      <c r="CP342" s="33">
        <f>'Old Balance Sheet'!T342 + 'ACPL Calculations - 1.0'!V342 + 'ACPL Calculations - 2.0'!V342</f>
        <v>0</v>
      </c>
      <c r="CQ342" s="33">
        <f>'Old Balance Sheet'!U342 + 'ACPL Calculations - 1.0'!W342 + 'ACPL Calculations - 2.0'!W342</f>
        <v>0</v>
      </c>
      <c r="CR342" s="33">
        <f>'Old Balance Sheet'!V342 + 'ACPL Calculations - 1.0'!X342 + 'ACPL Calculations - 2.0'!X342</f>
        <v>269.68</v>
      </c>
      <c r="CS342" s="26">
        <f t="shared" si="3"/>
        <v>269.68</v>
      </c>
      <c r="CT342" s="34">
        <v>0.0</v>
      </c>
      <c r="CU342" s="34">
        <v>0.0</v>
      </c>
      <c r="CV342" s="34">
        <v>0.0</v>
      </c>
      <c r="CW342" s="36">
        <f>'Old Balance Sheet'!W342 + 'ACPL Calculations - 1.0'!Z342 + 'ACPL Calculations - 2.0'!Z342</f>
        <v>1768</v>
      </c>
      <c r="CX342" s="36">
        <f>'Old Balance Sheet'!X342 + 'ACPL Calculations - 1.0'!AA342 + 'ACPL Calculations - 2.0'!AA342</f>
        <v>1047.6</v>
      </c>
      <c r="CY342" s="37">
        <v>0.0</v>
      </c>
      <c r="CZ342" s="38">
        <f>'Old Balance Sheet'!Y342 + 'ACPL Calculations - 1.0'!AB342 + 'ACPL Calculations - 2.0'!AB342</f>
        <v>758.32</v>
      </c>
      <c r="DA342" s="38">
        <f>'Old Balance Sheet'!Z342 + 'ACPL Calculations - 1.0'!AC342 + 'ACPL Calculations - 2.0'!AC342</f>
        <v>0</v>
      </c>
      <c r="DB342" s="38">
        <f>'Old Balance Sheet'!AA342 + 'ACPL Calculations - 1.0'!AD342 + 'ACPL Calculations - 2.0'!AD342</f>
        <v>37.92</v>
      </c>
      <c r="DC342" s="38">
        <f>'Old Balance Sheet'!AB342 + 'ACPL Calculations - 1.0'!AE342 + 'ACPL Calculations - 2.0'!AE342</f>
        <v>720.4</v>
      </c>
      <c r="DD342" s="38">
        <f t="shared" si="4"/>
        <v>720.4</v>
      </c>
      <c r="DE342" s="33">
        <f t="shared" si="5"/>
        <v>720.4</v>
      </c>
      <c r="DF342" s="35">
        <v>0.0</v>
      </c>
      <c r="DG342" s="34">
        <v>0.0</v>
      </c>
      <c r="DH342" s="34">
        <v>0.0</v>
      </c>
      <c r="DI342" s="34">
        <v>0.0</v>
      </c>
      <c r="DJ342" s="34">
        <v>0.0</v>
      </c>
      <c r="DK342" s="34">
        <v>0.0</v>
      </c>
      <c r="DL342" s="34">
        <v>0.0</v>
      </c>
      <c r="DM342" s="34">
        <v>0.0</v>
      </c>
      <c r="DN342" s="34">
        <v>0.0</v>
      </c>
      <c r="DO342" s="34">
        <v>0.0</v>
      </c>
      <c r="DP342" s="34">
        <v>0.0</v>
      </c>
      <c r="DQ342" s="34">
        <v>0.0</v>
      </c>
      <c r="DR342" s="34">
        <v>0.0</v>
      </c>
      <c r="DS342" s="34">
        <v>0.0</v>
      </c>
      <c r="DT342" s="26" t="str">
        <f>'Old Balance Sheet'!AC342</f>
        <v/>
      </c>
      <c r="DU342" s="26">
        <f>DT342 + SUMIFS('Payments Log'!D:D, 'Payments Log'!B:B, A342, 'Payments Log'!L:L, "Approved", 'Payments Log'!M:M, "Credit") + 'Old Balance Sheet'!AD342 - 'Old Balance Sheet'!AC342</f>
        <v>2000</v>
      </c>
      <c r="DV342" s="26">
        <f>SUMIFS('Payments Log'!D:D, 'Payments Log'!B:B, A342, 'Payments Log'!L:L, "Approved", 'Payments Log'!M:M, "Adjustment Credit") - SUMIFS('Payments Log'!D:D, 'Payments Log'!B:B, A342, 'Payments Log'!L:L, "Approved", 'Payments Log'!M:M, "Adjustment Debit") + 'Old Balance Sheet'!AE342</f>
        <v>0</v>
      </c>
      <c r="DW342" s="31">
        <f>IF(MAXIFS('Payments Log'!N:N, 'Payments Log'!L:L, "Approved", 'Payments Log'!M:M, "Credit", 'Payments Log'!B:B, A342) &gt; MAXIFS('Payments Log'!N:N, 'Payments Log'!L:L, "Approved", 'Payments Log'!M:M, "Virtual Credit", 'Payments Log'!B:B, A342), 0, SUMIFS('Payments Log'!D:D, 'Payments Log'!N:N, MAXIFS('Payments Log'!N:N, 'Payments Log'!L:L, "Approved", 'Payments Log'!M:M, "Virtual Credit", 'Payments Log'!B:B, A342)))</f>
        <v>0</v>
      </c>
      <c r="DX342" s="33">
        <f t="shared" si="6"/>
        <v>232</v>
      </c>
      <c r="DY342" s="33">
        <f t="shared" si="7"/>
        <v>952.4</v>
      </c>
      <c r="DZ342" s="33">
        <f t="shared" si="8"/>
        <v>952.4</v>
      </c>
      <c r="EA342" s="26" t="str">
        <f>(Sheet1!N342)</f>
        <v>KANHAIYA MOTORS- BHADARUGANJ</v>
      </c>
      <c r="EB342" s="26" t="str">
        <f>(Sheet1!O342)</f>
        <v>1Bgq0uJUKdFTQouDxCzlEEpEbjOG76Fl_PVNJNSPhG8Y</v>
      </c>
      <c r="EC342" s="26" t="str">
        <f>(Sheet1!P342)</f>
        <v>Dealer</v>
      </c>
      <c r="ED342" s="34" t="s">
        <v>13</v>
      </c>
    </row>
    <row r="343">
      <c r="A343" s="26" t="str">
        <f>(Sheet1!A343)</f>
        <v>1QVBShIrTLBej8s_qXhBmCICNAN5JsR5KakezwfMLZV0</v>
      </c>
      <c r="B343" s="26" t="str">
        <f>(Sheet1!B343)</f>
        <v>ANAS MOTORS- SUPAUL</v>
      </c>
      <c r="C343" s="34" t="s">
        <v>13</v>
      </c>
      <c r="D343" s="34" t="s">
        <v>72</v>
      </c>
      <c r="E343" s="34" t="s">
        <v>3817</v>
      </c>
      <c r="F343" s="34">
        <v>185.0</v>
      </c>
      <c r="G343" s="34" t="s">
        <v>3818</v>
      </c>
      <c r="H343" s="34">
        <v>100.0</v>
      </c>
      <c r="I343" s="33">
        <f>'Old Balance Sheet'!A343 + 'ACPL Calculations - 1.0'!A343 + 'ACPL Calculations - 2.0'!A343</f>
        <v>349</v>
      </c>
      <c r="J343" s="34" t="s">
        <v>3817</v>
      </c>
      <c r="K343" s="34">
        <v>205.0</v>
      </c>
      <c r="L343" s="34" t="s">
        <v>3818</v>
      </c>
      <c r="M343" s="34">
        <v>100.0</v>
      </c>
      <c r="N343" s="33">
        <f>'Old Balance Sheet'!B343 + 'ACPL Calculations - 1.0'!B343 + 'ACPL Calculations - 2.0'!B343</f>
        <v>0</v>
      </c>
      <c r="O343" s="34" t="s">
        <v>3817</v>
      </c>
      <c r="P343" s="34">
        <v>290.0</v>
      </c>
      <c r="Q343" s="34" t="s">
        <v>3818</v>
      </c>
      <c r="R343" s="34">
        <v>100.0</v>
      </c>
      <c r="S343" s="33">
        <f>'Old Balance Sheet'!C343 + 'ACPL Calculations - 1.0'!C343 + 'ACPL Calculations - 2.0'!C343</f>
        <v>0</v>
      </c>
      <c r="T343" s="34" t="s">
        <v>3817</v>
      </c>
      <c r="U343" s="34">
        <v>375.0</v>
      </c>
      <c r="V343" s="34" t="s">
        <v>3818</v>
      </c>
      <c r="W343" s="34">
        <v>100.0</v>
      </c>
      <c r="X343" s="33">
        <f>'Old Balance Sheet'!D343 + 'ACPL Calculations - 1.0'!D343 + 'ACPL Calculations - 2.0'!D343</f>
        <v>0</v>
      </c>
      <c r="Y343" s="34" t="s">
        <v>3817</v>
      </c>
      <c r="Z343" s="34">
        <v>460.0</v>
      </c>
      <c r="AA343" s="32" t="s">
        <v>3818</v>
      </c>
      <c r="AB343" s="31">
        <v>100.0</v>
      </c>
      <c r="AC343" s="33">
        <f>'Old Balance Sheet'!E343 + 'ACPL Calculations - 1.0'!E343 + 'ACPL Calculations - 2.0'!E343</f>
        <v>0</v>
      </c>
      <c r="AD343" s="34" t="s">
        <v>3817</v>
      </c>
      <c r="AE343" s="34">
        <v>838.99</v>
      </c>
      <c r="AF343" s="32" t="s">
        <v>3818</v>
      </c>
      <c r="AG343" s="31">
        <v>100.0</v>
      </c>
      <c r="AH343" s="33">
        <f>'Old Balance Sheet'!F343 + 'ACPL Calculations - 1.0'!F343 + 'ACPL Calculations - 2.0'!F343</f>
        <v>0</v>
      </c>
      <c r="AI343" s="34" t="s">
        <v>3817</v>
      </c>
      <c r="AJ343" s="34">
        <v>375.0</v>
      </c>
      <c r="AK343" s="32" t="s">
        <v>3818</v>
      </c>
      <c r="AL343" s="31">
        <v>100.0</v>
      </c>
      <c r="AM343" s="33">
        <f>'Old Balance Sheet'!G343 + 'ACPL Calculations - 1.0'!G343 + 'ACPL Calculations - 2.0'!G343</f>
        <v>0</v>
      </c>
      <c r="AN343" s="34" t="s">
        <v>3817</v>
      </c>
      <c r="AO343" s="34">
        <v>290.0</v>
      </c>
      <c r="AP343" s="32" t="s">
        <v>3818</v>
      </c>
      <c r="AQ343" s="31">
        <v>100.0</v>
      </c>
      <c r="AR343" s="33">
        <f>'Old Balance Sheet'!H343 + 'ACPL Calculations - 1.0'!H343 + 'ACPL Calculations - 2.0'!H343</f>
        <v>0</v>
      </c>
      <c r="AS343" s="34" t="s">
        <v>3819</v>
      </c>
      <c r="AT343" s="34">
        <v>838.99</v>
      </c>
      <c r="AU343" s="32" t="s">
        <v>3818</v>
      </c>
      <c r="AV343" s="31">
        <v>100.0</v>
      </c>
      <c r="AW343" s="33">
        <f>'Old Balance Sheet'!I343 + 'ACPL Calculations - 1.0'!I343 + 'ACPL Calculations - 2.0'!I343</f>
        <v>0</v>
      </c>
      <c r="AX343" s="34" t="s">
        <v>3817</v>
      </c>
      <c r="AY343" s="34">
        <v>290.0</v>
      </c>
      <c r="AZ343" s="32" t="s">
        <v>3818</v>
      </c>
      <c r="BA343" s="31">
        <v>100.0</v>
      </c>
      <c r="BB343" s="33">
        <f>'Old Balance Sheet'!J343 + 'ACPL Calculations - 1.0'!J343 + 'ACPL Calculations - 2.0'!J343</f>
        <v>0</v>
      </c>
      <c r="BC343" s="34" t="s">
        <v>3817</v>
      </c>
      <c r="BD343" s="34">
        <v>205.0</v>
      </c>
      <c r="BE343" s="32" t="s">
        <v>3818</v>
      </c>
      <c r="BF343" s="31">
        <v>100.0</v>
      </c>
      <c r="BG343" s="33">
        <f>'Old Balance Sheet'!K343 + 'ACPL Calculations - 1.0'!K343 + 'ACPL Calculations - 2.0'!K343</f>
        <v>0</v>
      </c>
      <c r="BH343" s="34" t="s">
        <v>3817</v>
      </c>
      <c r="BI343" s="34">
        <v>205.0</v>
      </c>
      <c r="BJ343" s="32" t="s">
        <v>3818</v>
      </c>
      <c r="BK343" s="31">
        <v>100.0</v>
      </c>
      <c r="BL343" s="33">
        <f>'Old Balance Sheet'!L343 + 'ACPL Calculations - 1.0'!L343 + 'ACPL Calculations - 2.0'!L343</f>
        <v>0</v>
      </c>
      <c r="CL343" s="33">
        <f t="shared" si="1"/>
        <v>349</v>
      </c>
      <c r="CM343" s="33">
        <f>'Old Balance Sheet'!R343 + 'ACPL Calculations - 1.0'!S343 + 'ACPL Calculations - 2.0'!S343</f>
        <v>154258</v>
      </c>
      <c r="CN343" s="33">
        <f>'Old Balance Sheet'!S343 + 'ACPL Calculations - 1.0'!T343 + 'ACPL Calculations - 2.0'!T343</f>
        <v>64565</v>
      </c>
      <c r="CO343" s="26">
        <f t="shared" si="2"/>
        <v>88094.58</v>
      </c>
      <c r="CP343" s="33">
        <f>'Old Balance Sheet'!T343 + 'ACPL Calculations - 1.0'!V343 + 'ACPL Calculations - 2.0'!V343</f>
        <v>0</v>
      </c>
      <c r="CQ343" s="33">
        <f>'Old Balance Sheet'!U343 + 'ACPL Calculations - 1.0'!W343 + 'ACPL Calculations - 2.0'!W343</f>
        <v>0</v>
      </c>
      <c r="CR343" s="33">
        <f>'Old Balance Sheet'!V343 + 'ACPL Calculations - 1.0'!X343 + 'ACPL Calculations - 2.0'!X343</f>
        <v>23529.58</v>
      </c>
      <c r="CS343" s="26">
        <f t="shared" si="3"/>
        <v>23529.58</v>
      </c>
      <c r="CT343" s="34">
        <v>0.0</v>
      </c>
      <c r="CU343" s="34">
        <v>0.0</v>
      </c>
      <c r="CV343" s="34">
        <v>0.0</v>
      </c>
      <c r="CW343" s="36">
        <f>'Old Balance Sheet'!W343 + 'ACPL Calculations - 1.0'!Z343 + 'ACPL Calculations - 2.0'!Z343</f>
        <v>260066.7</v>
      </c>
      <c r="CX343" s="36">
        <f>'Old Balance Sheet'!X343 + 'ACPL Calculations - 1.0'!AA343 + 'ACPL Calculations - 2.0'!AA343</f>
        <v>260066.7</v>
      </c>
      <c r="CY343" s="37">
        <v>0.0</v>
      </c>
      <c r="CZ343" s="38">
        <f>'Old Balance Sheet'!Y343 + 'ACPL Calculations - 1.0'!AB343 + 'ACPL Calculations - 2.0'!AB343</f>
        <v>188252.94</v>
      </c>
      <c r="DA343" s="38">
        <f>'Old Balance Sheet'!Z343 + 'ACPL Calculations - 1.0'!AC343 + 'ACPL Calculations - 2.0'!AC343</f>
        <v>178839.3</v>
      </c>
      <c r="DB343" s="38">
        <f>'Old Balance Sheet'!AA343 + 'ACPL Calculations - 1.0'!AD343 + 'ACPL Calculations - 2.0'!AD343</f>
        <v>9413.64</v>
      </c>
      <c r="DC343" s="38">
        <f>'Old Balance Sheet'!AB343 + 'ACPL Calculations - 1.0'!AE343 + 'ACPL Calculations - 2.0'!AE343</f>
        <v>0</v>
      </c>
      <c r="DD343" s="38">
        <f t="shared" si="4"/>
        <v>0</v>
      </c>
      <c r="DE343" s="33">
        <f t="shared" si="5"/>
        <v>0</v>
      </c>
      <c r="DF343" s="35">
        <v>0.0</v>
      </c>
      <c r="DG343" s="34">
        <v>0.0</v>
      </c>
      <c r="DH343" s="34">
        <v>0.0</v>
      </c>
      <c r="DI343" s="34">
        <v>0.0</v>
      </c>
      <c r="DJ343" s="34">
        <v>0.0</v>
      </c>
      <c r="DK343" s="34">
        <v>0.0</v>
      </c>
      <c r="DL343" s="34">
        <v>0.0</v>
      </c>
      <c r="DM343" s="34">
        <v>0.0</v>
      </c>
      <c r="DN343" s="34">
        <v>0.0</v>
      </c>
      <c r="DO343" s="34">
        <v>0.0</v>
      </c>
      <c r="DP343" s="34">
        <v>0.0</v>
      </c>
      <c r="DQ343" s="34">
        <v>0.0</v>
      </c>
      <c r="DR343" s="34">
        <v>0.0</v>
      </c>
      <c r="DS343" s="34">
        <v>0.0</v>
      </c>
      <c r="DT343" s="26" t="str">
        <f>'Old Balance Sheet'!AC343</f>
        <v/>
      </c>
      <c r="DU343" s="26">
        <f>DT343 + SUMIFS('Payments Log'!D:D, 'Payments Log'!B:B, A343, 'Payments Log'!L:L, "Approved", 'Payments Log'!M:M, "Credit") + 'Old Balance Sheet'!AD343 - 'Old Balance Sheet'!AC343</f>
        <v>275000</v>
      </c>
      <c r="DV343" s="26">
        <f>SUMIFS('Payments Log'!D:D, 'Payments Log'!B:B, A343, 'Payments Log'!L:L, "Approved", 'Payments Log'!M:M, "Adjustment Credit") - SUMIFS('Payments Log'!D:D, 'Payments Log'!B:B, A343, 'Payments Log'!L:L, "Approved", 'Payments Log'!M:M, "Adjustment Debit") + 'Old Balance Sheet'!AE343</f>
        <v>0</v>
      </c>
      <c r="DW343" s="31">
        <f>IF(MAXIFS('Payments Log'!N:N, 'Payments Log'!L:L, "Approved", 'Payments Log'!M:M, "Credit", 'Payments Log'!B:B, A343) &gt; MAXIFS('Payments Log'!N:N, 'Payments Log'!L:L, "Approved", 'Payments Log'!M:M, "Virtual Credit", 'Payments Log'!B:B, A343), 0, SUMIFS('Payments Log'!D:D, 'Payments Log'!N:N, MAXIFS('Payments Log'!N:N, 'Payments Log'!L:L, "Approved", 'Payments Log'!M:M, "Virtual Credit", 'Payments Log'!B:B, A343)))</f>
        <v>0</v>
      </c>
      <c r="DX343" s="33">
        <f t="shared" si="6"/>
        <v>14933.3</v>
      </c>
      <c r="DY343" s="33">
        <f t="shared" si="7"/>
        <v>14933.3</v>
      </c>
      <c r="DZ343" s="33">
        <f t="shared" si="8"/>
        <v>14933.3</v>
      </c>
      <c r="EA343" s="26" t="str">
        <f>(Sheet1!N343)</f>
        <v>ANAS MOTORS- SUPAUL</v>
      </c>
      <c r="EB343" s="26" t="str">
        <f>(Sheet1!O343)</f>
        <v>1QVBShIrTLBej8s_qXhBmCICNAN5JsR5KakezwfMLZV0</v>
      </c>
      <c r="EC343" s="26" t="str">
        <f>(Sheet1!P343)</f>
        <v>Dealer</v>
      </c>
      <c r="ED343" s="34" t="s">
        <v>13</v>
      </c>
    </row>
    <row r="344">
      <c r="A344" s="26" t="str">
        <f>(Sheet1!A344)</f>
        <v>1lHqETbIH4pLQdUL2QQgIDownEvMU9QozqqnIMcLSCfg</v>
      </c>
      <c r="B344" s="26" t="str">
        <f>(Sheet1!B344)</f>
        <v>SHRI RAM AUTOMOBILES - HATPIPLIYA</v>
      </c>
      <c r="C344" s="34" t="s">
        <v>13</v>
      </c>
      <c r="D344" s="34" t="s">
        <v>72</v>
      </c>
      <c r="E344" s="34" t="s">
        <v>3817</v>
      </c>
      <c r="F344" s="34">
        <v>160.0</v>
      </c>
      <c r="G344" s="34" t="s">
        <v>3818</v>
      </c>
      <c r="H344" s="34">
        <v>100.0</v>
      </c>
      <c r="I344" s="33">
        <f>'Old Balance Sheet'!A344 + 'ACPL Calculations - 1.0'!A344 + 'ACPL Calculations - 2.0'!A344</f>
        <v>151</v>
      </c>
      <c r="J344" s="34" t="s">
        <v>3817</v>
      </c>
      <c r="K344" s="34">
        <v>205.0</v>
      </c>
      <c r="L344" s="34" t="s">
        <v>3818</v>
      </c>
      <c r="M344" s="34">
        <v>100.0</v>
      </c>
      <c r="N344" s="33">
        <f>'Old Balance Sheet'!B344 + 'ACPL Calculations - 1.0'!B344 + 'ACPL Calculations - 2.0'!B344</f>
        <v>0</v>
      </c>
      <c r="O344" s="34" t="s">
        <v>3817</v>
      </c>
      <c r="P344" s="34">
        <v>290.0</v>
      </c>
      <c r="Q344" s="34" t="s">
        <v>3818</v>
      </c>
      <c r="R344" s="34">
        <v>100.0</v>
      </c>
      <c r="S344" s="33">
        <f>'Old Balance Sheet'!C344 + 'ACPL Calculations - 1.0'!C344 + 'ACPL Calculations - 2.0'!C344</f>
        <v>0</v>
      </c>
      <c r="T344" s="34" t="s">
        <v>3817</v>
      </c>
      <c r="U344" s="34">
        <v>375.0</v>
      </c>
      <c r="V344" s="34" t="s">
        <v>3818</v>
      </c>
      <c r="W344" s="34">
        <v>100.0</v>
      </c>
      <c r="X344" s="33">
        <f>'Old Balance Sheet'!D344 + 'ACPL Calculations - 1.0'!D344 + 'ACPL Calculations - 2.0'!D344</f>
        <v>0</v>
      </c>
      <c r="Y344" s="34" t="s">
        <v>3817</v>
      </c>
      <c r="Z344" s="34">
        <v>460.0</v>
      </c>
      <c r="AA344" s="32" t="s">
        <v>3818</v>
      </c>
      <c r="AB344" s="31">
        <v>100.0</v>
      </c>
      <c r="AC344" s="33">
        <f>'Old Balance Sheet'!E344 + 'ACPL Calculations - 1.0'!E344 + 'ACPL Calculations - 2.0'!E344</f>
        <v>0</v>
      </c>
      <c r="AD344" s="34" t="s">
        <v>3817</v>
      </c>
      <c r="AE344" s="34">
        <v>838.99</v>
      </c>
      <c r="AF344" s="32" t="s">
        <v>3818</v>
      </c>
      <c r="AG344" s="31">
        <v>100.0</v>
      </c>
      <c r="AH344" s="33">
        <f>'Old Balance Sheet'!F344 + 'ACPL Calculations - 1.0'!F344 + 'ACPL Calculations - 2.0'!F344</f>
        <v>0</v>
      </c>
      <c r="AI344" s="34" t="s">
        <v>3817</v>
      </c>
      <c r="AJ344" s="34">
        <v>375.0</v>
      </c>
      <c r="AK344" s="32" t="s">
        <v>3818</v>
      </c>
      <c r="AL344" s="31">
        <v>100.0</v>
      </c>
      <c r="AM344" s="33">
        <f>'Old Balance Sheet'!G344 + 'ACPL Calculations - 1.0'!G344 + 'ACPL Calculations - 2.0'!G344</f>
        <v>0</v>
      </c>
      <c r="AN344" s="34" t="s">
        <v>3817</v>
      </c>
      <c r="AO344" s="34">
        <v>290.0</v>
      </c>
      <c r="AP344" s="32" t="s">
        <v>3818</v>
      </c>
      <c r="AQ344" s="31">
        <v>100.0</v>
      </c>
      <c r="AR344" s="33">
        <f>'Old Balance Sheet'!H344 + 'ACPL Calculations - 1.0'!H344 + 'ACPL Calculations - 2.0'!H344</f>
        <v>0</v>
      </c>
      <c r="AS344" s="34" t="s">
        <v>3819</v>
      </c>
      <c r="AT344" s="34">
        <v>838.99</v>
      </c>
      <c r="AU344" s="32" t="s">
        <v>3818</v>
      </c>
      <c r="AV344" s="31">
        <v>100.0</v>
      </c>
      <c r="AW344" s="33">
        <f>'Old Balance Sheet'!I344 + 'ACPL Calculations - 1.0'!I344 + 'ACPL Calculations - 2.0'!I344</f>
        <v>0</v>
      </c>
      <c r="AX344" s="34" t="s">
        <v>3817</v>
      </c>
      <c r="AY344" s="34">
        <v>290.0</v>
      </c>
      <c r="AZ344" s="32" t="s">
        <v>3818</v>
      </c>
      <c r="BA344" s="31">
        <v>100.0</v>
      </c>
      <c r="BB344" s="33">
        <f>'Old Balance Sheet'!J344 + 'ACPL Calculations - 1.0'!J344 + 'ACPL Calculations - 2.0'!J344</f>
        <v>0</v>
      </c>
      <c r="BC344" s="34" t="s">
        <v>3817</v>
      </c>
      <c r="BD344" s="34">
        <v>205.0</v>
      </c>
      <c r="BE344" s="32" t="s">
        <v>3818</v>
      </c>
      <c r="BF344" s="31">
        <v>100.0</v>
      </c>
      <c r="BG344" s="33">
        <f>'Old Balance Sheet'!K344 + 'ACPL Calculations - 1.0'!K344 + 'ACPL Calculations - 2.0'!K344</f>
        <v>0</v>
      </c>
      <c r="BH344" s="34" t="s">
        <v>3817</v>
      </c>
      <c r="BI344" s="34">
        <v>205.0</v>
      </c>
      <c r="BJ344" s="32" t="s">
        <v>3818</v>
      </c>
      <c r="BK344" s="31">
        <v>100.0</v>
      </c>
      <c r="BL344" s="33">
        <f>'Old Balance Sheet'!L344 + 'ACPL Calculations - 1.0'!L344 + 'ACPL Calculations - 2.0'!L344</f>
        <v>0</v>
      </c>
      <c r="CL344" s="33">
        <f t="shared" si="1"/>
        <v>151</v>
      </c>
      <c r="CM344" s="33">
        <f>'Old Balance Sheet'!R344 + 'ACPL Calculations - 1.0'!S344 + 'ACPL Calculations - 2.0'!S344</f>
        <v>58890</v>
      </c>
      <c r="CN344" s="33">
        <f>'Old Balance Sheet'!S344 + 'ACPL Calculations - 1.0'!T344 + 'ACPL Calculations - 2.0'!T344</f>
        <v>24160</v>
      </c>
      <c r="CO344" s="26">
        <f t="shared" si="2"/>
        <v>33142.99</v>
      </c>
      <c r="CP344" s="33">
        <f>'Old Balance Sheet'!T344 + 'ACPL Calculations - 1.0'!V344 + 'ACPL Calculations - 2.0'!V344</f>
        <v>0</v>
      </c>
      <c r="CQ344" s="33">
        <f>'Old Balance Sheet'!U344 + 'ACPL Calculations - 1.0'!W344 + 'ACPL Calculations - 2.0'!W344</f>
        <v>0</v>
      </c>
      <c r="CR344" s="33">
        <f>'Old Balance Sheet'!V344 + 'ACPL Calculations - 1.0'!X344 + 'ACPL Calculations - 2.0'!X344</f>
        <v>8982.99</v>
      </c>
      <c r="CS344" s="26">
        <f t="shared" si="3"/>
        <v>8982.99</v>
      </c>
      <c r="CT344" s="34">
        <v>0.0</v>
      </c>
      <c r="CU344" s="34">
        <v>0.0</v>
      </c>
      <c r="CV344" s="34">
        <v>0.0</v>
      </c>
      <c r="CW344" s="36">
        <f>'Old Balance Sheet'!W344 + 'ACPL Calculations - 1.0'!Z344 + 'ACPL Calculations - 2.0'!Z344</f>
        <v>34431.02</v>
      </c>
      <c r="CX344" s="36">
        <f>'Old Balance Sheet'!X344 + 'ACPL Calculations - 1.0'!AA344 + 'ACPL Calculations - 2.0'!AA344</f>
        <v>34431.02</v>
      </c>
      <c r="CY344" s="37">
        <v>0.0</v>
      </c>
      <c r="CZ344" s="38">
        <f>'Old Balance Sheet'!Y344 + 'ACPL Calculations - 1.0'!AB344 + 'ACPL Calculations - 2.0'!AB344</f>
        <v>25747.01</v>
      </c>
      <c r="DA344" s="38">
        <f>'Old Balance Sheet'!Z344 + 'ACPL Calculations - 1.0'!AC344 + 'ACPL Calculations - 2.0'!AC344</f>
        <v>24458.98</v>
      </c>
      <c r="DB344" s="38">
        <f>'Old Balance Sheet'!AA344 + 'ACPL Calculations - 1.0'!AD344 + 'ACPL Calculations - 2.0'!AD344</f>
        <v>1288.03</v>
      </c>
      <c r="DC344" s="38">
        <f>'Old Balance Sheet'!AB344 + 'ACPL Calculations - 1.0'!AE344 + 'ACPL Calculations - 2.0'!AE344</f>
        <v>0</v>
      </c>
      <c r="DD344" s="38">
        <f t="shared" si="4"/>
        <v>0</v>
      </c>
      <c r="DE344" s="33">
        <f t="shared" si="5"/>
        <v>0</v>
      </c>
      <c r="DF344" s="35">
        <v>0.0</v>
      </c>
      <c r="DG344" s="34">
        <v>0.0</v>
      </c>
      <c r="DH344" s="34">
        <v>0.0</v>
      </c>
      <c r="DI344" s="34">
        <v>0.0</v>
      </c>
      <c r="DJ344" s="34">
        <v>0.0</v>
      </c>
      <c r="DK344" s="34">
        <v>0.0</v>
      </c>
      <c r="DL344" s="34">
        <v>0.0</v>
      </c>
      <c r="DM344" s="34">
        <v>0.0</v>
      </c>
      <c r="DN344" s="34">
        <v>0.0</v>
      </c>
      <c r="DO344" s="34">
        <v>0.0</v>
      </c>
      <c r="DP344" s="34">
        <v>0.0</v>
      </c>
      <c r="DQ344" s="34">
        <v>0.0</v>
      </c>
      <c r="DR344" s="34">
        <v>0.0</v>
      </c>
      <c r="DS344" s="34">
        <v>0.0</v>
      </c>
      <c r="DT344" s="26" t="str">
        <f>'Old Balance Sheet'!AC344</f>
        <v/>
      </c>
      <c r="DU344" s="26">
        <f>DT344 + SUMIFS('Payments Log'!D:D, 'Payments Log'!B:B, A344, 'Payments Log'!L:L, "Approved", 'Payments Log'!M:M, "Credit") + 'Old Balance Sheet'!AD344 - 'Old Balance Sheet'!AC344</f>
        <v>37000</v>
      </c>
      <c r="DV344" s="26">
        <f>SUMIFS('Payments Log'!D:D, 'Payments Log'!B:B, A344, 'Payments Log'!L:L, "Approved", 'Payments Log'!M:M, "Adjustment Credit") - SUMIFS('Payments Log'!D:D, 'Payments Log'!B:B, A344, 'Payments Log'!L:L, "Approved", 'Payments Log'!M:M, "Adjustment Debit") + 'Old Balance Sheet'!AE344</f>
        <v>0</v>
      </c>
      <c r="DW344" s="31">
        <f>IF(MAXIFS('Payments Log'!N:N, 'Payments Log'!L:L, "Approved", 'Payments Log'!M:M, "Credit", 'Payments Log'!B:B, A344) &gt; MAXIFS('Payments Log'!N:N, 'Payments Log'!L:L, "Approved", 'Payments Log'!M:M, "Virtual Credit", 'Payments Log'!B:B, A344), 0, SUMIFS('Payments Log'!D:D, 'Payments Log'!N:N, MAXIFS('Payments Log'!N:N, 'Payments Log'!L:L, "Approved", 'Payments Log'!M:M, "Virtual Credit", 'Payments Log'!B:B, A344)))</f>
        <v>0</v>
      </c>
      <c r="DX344" s="33">
        <f t="shared" si="6"/>
        <v>2568.98</v>
      </c>
      <c r="DY344" s="33">
        <f t="shared" si="7"/>
        <v>2568.98</v>
      </c>
      <c r="DZ344" s="33">
        <f t="shared" si="8"/>
        <v>2568.98</v>
      </c>
      <c r="EA344" s="26" t="str">
        <f>(Sheet1!N344)</f>
        <v>SHRI RAM AUTOMOBILES - HATPIPLIYA</v>
      </c>
      <c r="EB344" s="26" t="str">
        <f>(Sheet1!O344)</f>
        <v>1lHqETbIH4pLQdUL2QQgIDownEvMU9QozqqnIMcLSCfg</v>
      </c>
      <c r="EC344" s="26" t="str">
        <f>(Sheet1!P344)</f>
        <v>Dealer</v>
      </c>
      <c r="ED344" s="34" t="s">
        <v>13</v>
      </c>
    </row>
    <row r="345">
      <c r="A345" s="26" t="str">
        <f>(Sheet1!A345)</f>
        <v>1igxhDrZmAR4XaBSU0Vyrw9LNbKLoFuELF4hEOFDqD9M</v>
      </c>
      <c r="B345" s="26" t="str">
        <f>(Sheet1!B345)</f>
        <v>KHAGARIA AUTO AGENCY- KHAGARIA</v>
      </c>
      <c r="C345" s="34" t="s">
        <v>13</v>
      </c>
      <c r="D345" s="34" t="s">
        <v>72</v>
      </c>
      <c r="E345" s="34" t="s">
        <v>3820</v>
      </c>
      <c r="F345" s="34">
        <v>185.0</v>
      </c>
      <c r="G345" s="34" t="s">
        <v>3818</v>
      </c>
      <c r="H345" s="34">
        <v>100.0</v>
      </c>
      <c r="I345" s="33">
        <f>'Old Balance Sheet'!A345 + 'ACPL Calculations - 1.0'!A345 + 'ACPL Calculations - 2.0'!A345</f>
        <v>90</v>
      </c>
      <c r="J345" s="34" t="s">
        <v>3820</v>
      </c>
      <c r="K345" s="34">
        <v>205.0</v>
      </c>
      <c r="L345" s="34" t="s">
        <v>3818</v>
      </c>
      <c r="M345" s="34">
        <v>100.0</v>
      </c>
      <c r="N345" s="33">
        <f>'Old Balance Sheet'!B345 + 'ACPL Calculations - 1.0'!B345 + 'ACPL Calculations - 2.0'!B345</f>
        <v>0</v>
      </c>
      <c r="O345" s="34" t="s">
        <v>3820</v>
      </c>
      <c r="P345" s="34">
        <v>290.0</v>
      </c>
      <c r="Q345" s="34" t="s">
        <v>3818</v>
      </c>
      <c r="R345" s="34">
        <v>100.0</v>
      </c>
      <c r="S345" s="33">
        <f>'Old Balance Sheet'!C345 + 'ACPL Calculations - 1.0'!C345 + 'ACPL Calculations - 2.0'!C345</f>
        <v>0</v>
      </c>
      <c r="T345" s="34" t="s">
        <v>3820</v>
      </c>
      <c r="U345" s="34">
        <v>375.0</v>
      </c>
      <c r="V345" s="34" t="s">
        <v>3818</v>
      </c>
      <c r="W345" s="34">
        <v>100.0</v>
      </c>
      <c r="X345" s="33">
        <f>'Old Balance Sheet'!D345 + 'ACPL Calculations - 1.0'!D345 + 'ACPL Calculations - 2.0'!D345</f>
        <v>0</v>
      </c>
      <c r="Y345" s="34" t="s">
        <v>3820</v>
      </c>
      <c r="Z345" s="34">
        <v>460.0</v>
      </c>
      <c r="AA345" s="32" t="s">
        <v>3818</v>
      </c>
      <c r="AB345" s="31">
        <v>100.0</v>
      </c>
      <c r="AC345" s="33">
        <f>'Old Balance Sheet'!E345 + 'ACPL Calculations - 1.0'!E345 + 'ACPL Calculations - 2.0'!E345</f>
        <v>0</v>
      </c>
      <c r="AD345" s="34" t="s">
        <v>3820</v>
      </c>
      <c r="AE345" s="34">
        <v>838.99</v>
      </c>
      <c r="AF345" s="32" t="s">
        <v>3818</v>
      </c>
      <c r="AG345" s="31">
        <v>100.0</v>
      </c>
      <c r="AH345" s="33">
        <f>'Old Balance Sheet'!F345 + 'ACPL Calculations - 1.0'!F345 + 'ACPL Calculations - 2.0'!F345</f>
        <v>0</v>
      </c>
      <c r="AI345" s="34" t="s">
        <v>3820</v>
      </c>
      <c r="AJ345" s="34">
        <v>375.0</v>
      </c>
      <c r="AK345" s="32" t="s">
        <v>3818</v>
      </c>
      <c r="AL345" s="31">
        <v>100.0</v>
      </c>
      <c r="AM345" s="33">
        <f>'Old Balance Sheet'!G345 + 'ACPL Calculations - 1.0'!G345 + 'ACPL Calculations - 2.0'!G345</f>
        <v>0</v>
      </c>
      <c r="AN345" s="34" t="s">
        <v>3820</v>
      </c>
      <c r="AO345" s="34">
        <v>290.0</v>
      </c>
      <c r="AP345" s="32" t="s">
        <v>3818</v>
      </c>
      <c r="AQ345" s="31">
        <v>100.0</v>
      </c>
      <c r="AR345" s="33">
        <f>'Old Balance Sheet'!H345 + 'ACPL Calculations - 1.0'!H345 + 'ACPL Calculations - 2.0'!H345</f>
        <v>0</v>
      </c>
      <c r="AS345" s="34" t="s">
        <v>3819</v>
      </c>
      <c r="AT345" s="34">
        <v>838.99</v>
      </c>
      <c r="AU345" s="32" t="s">
        <v>3818</v>
      </c>
      <c r="AV345" s="31">
        <v>100.0</v>
      </c>
      <c r="AW345" s="33">
        <f>'Old Balance Sheet'!I345 + 'ACPL Calculations - 1.0'!I345 + 'ACPL Calculations - 2.0'!I345</f>
        <v>0</v>
      </c>
      <c r="AX345" s="34" t="s">
        <v>3820</v>
      </c>
      <c r="AY345" s="34">
        <v>290.0</v>
      </c>
      <c r="AZ345" s="32" t="s">
        <v>3818</v>
      </c>
      <c r="BA345" s="31">
        <v>100.0</v>
      </c>
      <c r="BB345" s="33">
        <f>'Old Balance Sheet'!J345 + 'ACPL Calculations - 1.0'!J345 + 'ACPL Calculations - 2.0'!J345</f>
        <v>0</v>
      </c>
      <c r="BC345" s="34" t="s">
        <v>3820</v>
      </c>
      <c r="BD345" s="34">
        <v>205.0</v>
      </c>
      <c r="BE345" s="32" t="s">
        <v>3818</v>
      </c>
      <c r="BF345" s="31">
        <v>100.0</v>
      </c>
      <c r="BG345" s="33">
        <f>'Old Balance Sheet'!K345 + 'ACPL Calculations - 1.0'!K345 + 'ACPL Calculations - 2.0'!K345</f>
        <v>0</v>
      </c>
      <c r="BH345" s="34" t="s">
        <v>3820</v>
      </c>
      <c r="BI345" s="34">
        <v>205.0</v>
      </c>
      <c r="BJ345" s="32" t="s">
        <v>3818</v>
      </c>
      <c r="BK345" s="31">
        <v>100.0</v>
      </c>
      <c r="BL345" s="33">
        <f>'Old Balance Sheet'!L345 + 'ACPL Calculations - 1.0'!L345 + 'ACPL Calculations - 2.0'!L345</f>
        <v>0</v>
      </c>
      <c r="CL345" s="33">
        <f t="shared" si="1"/>
        <v>90</v>
      </c>
      <c r="CM345" s="33">
        <f>'Old Balance Sheet'!R345 + 'ACPL Calculations - 1.0'!S345 + 'ACPL Calculations - 2.0'!S345</f>
        <v>39780</v>
      </c>
      <c r="CN345" s="33">
        <f>'Old Balance Sheet'!S345 + 'ACPL Calculations - 1.0'!T345 + 'ACPL Calculations - 2.0'!T345</f>
        <v>16650</v>
      </c>
      <c r="CO345" s="26">
        <f t="shared" si="2"/>
        <v>22717.8</v>
      </c>
      <c r="CP345" s="33">
        <f>'Old Balance Sheet'!T345 + 'ACPL Calculations - 1.0'!V345 + 'ACPL Calculations - 2.0'!V345</f>
        <v>0</v>
      </c>
      <c r="CQ345" s="33">
        <f>'Old Balance Sheet'!U345 + 'ACPL Calculations - 1.0'!W345 + 'ACPL Calculations - 2.0'!W345</f>
        <v>0</v>
      </c>
      <c r="CR345" s="33">
        <f>'Old Balance Sheet'!V345 + 'ACPL Calculations - 1.0'!X345 + 'ACPL Calculations - 2.0'!X345</f>
        <v>6067.8</v>
      </c>
      <c r="CS345" s="26">
        <f t="shared" si="3"/>
        <v>6067.8</v>
      </c>
      <c r="CT345" s="34">
        <v>0.0</v>
      </c>
      <c r="CU345" s="34">
        <v>0.0</v>
      </c>
      <c r="CV345" s="34">
        <v>0.0</v>
      </c>
      <c r="CW345" s="36">
        <f>'Old Balance Sheet'!W345 + 'ACPL Calculations - 1.0'!Z345 + 'ACPL Calculations - 2.0'!Z345</f>
        <v>39780</v>
      </c>
      <c r="CX345" s="36">
        <f>'Old Balance Sheet'!X345 + 'ACPL Calculations - 1.0'!AA345 + 'ACPL Calculations - 2.0'!AA345</f>
        <v>23571</v>
      </c>
      <c r="CY345" s="37">
        <v>0.0</v>
      </c>
      <c r="CZ345" s="38">
        <f>'Old Balance Sheet'!Y345 + 'ACPL Calculations - 1.0'!AB345 + 'ACPL Calculations - 2.0'!AB345</f>
        <v>17062.2</v>
      </c>
      <c r="DA345" s="38">
        <f>'Old Balance Sheet'!Z345 + 'ACPL Calculations - 1.0'!AC345 + 'ACPL Calculations - 2.0'!AC345</f>
        <v>0</v>
      </c>
      <c r="DB345" s="38">
        <f>'Old Balance Sheet'!AA345 + 'ACPL Calculations - 1.0'!AD345 + 'ACPL Calculations - 2.0'!AD345</f>
        <v>853.2</v>
      </c>
      <c r="DC345" s="38">
        <f>'Old Balance Sheet'!AB345 + 'ACPL Calculations - 1.0'!AE345 + 'ACPL Calculations - 2.0'!AE345</f>
        <v>16209</v>
      </c>
      <c r="DD345" s="38">
        <f t="shared" si="4"/>
        <v>16209</v>
      </c>
      <c r="DE345" s="33">
        <f t="shared" si="5"/>
        <v>16209</v>
      </c>
      <c r="DF345" s="35">
        <v>0.0</v>
      </c>
      <c r="DG345" s="34">
        <v>0.0</v>
      </c>
      <c r="DH345" s="34">
        <v>0.0</v>
      </c>
      <c r="DI345" s="34">
        <v>0.0</v>
      </c>
      <c r="DJ345" s="34">
        <v>0.0</v>
      </c>
      <c r="DK345" s="34">
        <v>0.0</v>
      </c>
      <c r="DL345" s="34">
        <v>0.0</v>
      </c>
      <c r="DM345" s="34">
        <v>0.0</v>
      </c>
      <c r="DN345" s="34">
        <v>0.0</v>
      </c>
      <c r="DO345" s="34">
        <v>0.0</v>
      </c>
      <c r="DP345" s="34">
        <v>0.0</v>
      </c>
      <c r="DQ345" s="34">
        <v>0.0</v>
      </c>
      <c r="DR345" s="34">
        <v>0.0</v>
      </c>
      <c r="DS345" s="34">
        <v>0.0</v>
      </c>
      <c r="DT345" s="26" t="str">
        <f>'Old Balance Sheet'!AC345</f>
        <v/>
      </c>
      <c r="DU345" s="26">
        <f>DT345 + SUMIFS('Payments Log'!D:D, 'Payments Log'!B:B, A345, 'Payments Log'!L:L, "Approved", 'Payments Log'!M:M, "Credit") + 'Old Balance Sheet'!AD345 - 'Old Balance Sheet'!AC345</f>
        <v>40000</v>
      </c>
      <c r="DV345" s="26">
        <f>SUMIFS('Payments Log'!D:D, 'Payments Log'!B:B, A345, 'Payments Log'!L:L, "Approved", 'Payments Log'!M:M, "Adjustment Credit") - SUMIFS('Payments Log'!D:D, 'Payments Log'!B:B, A345, 'Payments Log'!L:L, "Approved", 'Payments Log'!M:M, "Adjustment Debit") + 'Old Balance Sheet'!AE345</f>
        <v>0</v>
      </c>
      <c r="DW345" s="31">
        <f>IF(MAXIFS('Payments Log'!N:N, 'Payments Log'!L:L, "Approved", 'Payments Log'!M:M, "Credit", 'Payments Log'!B:B, A345) &gt; MAXIFS('Payments Log'!N:N, 'Payments Log'!L:L, "Approved", 'Payments Log'!M:M, "Virtual Credit", 'Payments Log'!B:B, A345), 0, SUMIFS('Payments Log'!D:D, 'Payments Log'!N:N, MAXIFS('Payments Log'!N:N, 'Payments Log'!L:L, "Approved", 'Payments Log'!M:M, "Virtual Credit", 'Payments Log'!B:B, A345)))</f>
        <v>0</v>
      </c>
      <c r="DX345" s="33">
        <f t="shared" si="6"/>
        <v>220</v>
      </c>
      <c r="DY345" s="33">
        <f t="shared" si="7"/>
        <v>16429</v>
      </c>
      <c r="DZ345" s="33">
        <f t="shared" si="8"/>
        <v>16429</v>
      </c>
      <c r="EA345" s="26" t="str">
        <f>(Sheet1!N345)</f>
        <v>KHAGARIA AUTO AGENCY- KHAGARIA</v>
      </c>
      <c r="EB345" s="26" t="str">
        <f>(Sheet1!O345)</f>
        <v>1igxhDrZmAR4XaBSU0Vyrw9LNbKLoFuELF4hEOFDqD9M</v>
      </c>
      <c r="EC345" s="26" t="str">
        <f>(Sheet1!P345)</f>
        <v>Dealer</v>
      </c>
      <c r="ED345" s="34" t="s">
        <v>13</v>
      </c>
    </row>
    <row r="346">
      <c r="A346" s="26" t="str">
        <f>(Sheet1!A346)</f>
        <v>1_-Np_EbJqeVZ8B325ImuW6uakkiS-qdfsGdlzPQkB_o</v>
      </c>
      <c r="B346" s="26" t="str">
        <f>(Sheet1!B346)</f>
        <v>Unique Motors (ANS) -Madhepura </v>
      </c>
      <c r="C346" s="34" t="s">
        <v>13</v>
      </c>
      <c r="D346" s="34" t="s">
        <v>72</v>
      </c>
      <c r="E346" s="34" t="s">
        <v>3817</v>
      </c>
      <c r="F346" s="34">
        <v>185.0</v>
      </c>
      <c r="G346" s="34" t="s">
        <v>3818</v>
      </c>
      <c r="H346" s="34">
        <v>100.0</v>
      </c>
      <c r="I346" s="33">
        <f>'Old Balance Sheet'!A346 + 'ACPL Calculations - 1.0'!A346 + 'ACPL Calculations - 2.0'!A346</f>
        <v>463</v>
      </c>
      <c r="J346" s="34" t="s">
        <v>3817</v>
      </c>
      <c r="K346" s="34">
        <v>205.0</v>
      </c>
      <c r="L346" s="34" t="s">
        <v>3818</v>
      </c>
      <c r="M346" s="34">
        <v>100.0</v>
      </c>
      <c r="N346" s="33">
        <f>'Old Balance Sheet'!B346 + 'ACPL Calculations - 1.0'!B346 + 'ACPL Calculations - 2.0'!B346</f>
        <v>0</v>
      </c>
      <c r="O346" s="34" t="s">
        <v>3817</v>
      </c>
      <c r="P346" s="34">
        <v>290.0</v>
      </c>
      <c r="Q346" s="34" t="s">
        <v>3818</v>
      </c>
      <c r="R346" s="34">
        <v>100.0</v>
      </c>
      <c r="S346" s="33">
        <f>'Old Balance Sheet'!C346 + 'ACPL Calculations - 1.0'!C346 + 'ACPL Calculations - 2.0'!C346</f>
        <v>0</v>
      </c>
      <c r="T346" s="34" t="s">
        <v>3817</v>
      </c>
      <c r="U346" s="34">
        <v>375.0</v>
      </c>
      <c r="V346" s="34" t="s">
        <v>3818</v>
      </c>
      <c r="W346" s="34">
        <v>100.0</v>
      </c>
      <c r="X346" s="33">
        <f>'Old Balance Sheet'!D346 + 'ACPL Calculations - 1.0'!D346 + 'ACPL Calculations - 2.0'!D346</f>
        <v>0</v>
      </c>
      <c r="Y346" s="34" t="s">
        <v>3817</v>
      </c>
      <c r="Z346" s="34">
        <v>460.0</v>
      </c>
      <c r="AA346" s="32" t="s">
        <v>3818</v>
      </c>
      <c r="AB346" s="31">
        <v>100.0</v>
      </c>
      <c r="AC346" s="33">
        <f>'Old Balance Sheet'!E346 + 'ACPL Calculations - 1.0'!E346 + 'ACPL Calculations - 2.0'!E346</f>
        <v>0</v>
      </c>
      <c r="AD346" s="34" t="s">
        <v>3817</v>
      </c>
      <c r="AE346" s="34">
        <v>838.99</v>
      </c>
      <c r="AF346" s="32" t="s">
        <v>3818</v>
      </c>
      <c r="AG346" s="31">
        <v>100.0</v>
      </c>
      <c r="AH346" s="33">
        <f>'Old Balance Sheet'!F346 + 'ACPL Calculations - 1.0'!F346 + 'ACPL Calculations - 2.0'!F346</f>
        <v>0</v>
      </c>
      <c r="AI346" s="34" t="s">
        <v>3817</v>
      </c>
      <c r="AJ346" s="34">
        <v>375.0</v>
      </c>
      <c r="AK346" s="32" t="s">
        <v>3818</v>
      </c>
      <c r="AL346" s="31">
        <v>100.0</v>
      </c>
      <c r="AM346" s="33">
        <f>'Old Balance Sheet'!G346 + 'ACPL Calculations - 1.0'!G346 + 'ACPL Calculations - 2.0'!G346</f>
        <v>0</v>
      </c>
      <c r="AN346" s="34" t="s">
        <v>3817</v>
      </c>
      <c r="AO346" s="34">
        <v>290.0</v>
      </c>
      <c r="AP346" s="32" t="s">
        <v>3818</v>
      </c>
      <c r="AQ346" s="31">
        <v>100.0</v>
      </c>
      <c r="AR346" s="33">
        <f>'Old Balance Sheet'!H346 + 'ACPL Calculations - 1.0'!H346 + 'ACPL Calculations - 2.0'!H346</f>
        <v>0</v>
      </c>
      <c r="AS346" s="34" t="s">
        <v>3819</v>
      </c>
      <c r="AT346" s="34">
        <v>838.99</v>
      </c>
      <c r="AU346" s="32" t="s">
        <v>3818</v>
      </c>
      <c r="AV346" s="31">
        <v>100.0</v>
      </c>
      <c r="AW346" s="33">
        <f>'Old Balance Sheet'!I346 + 'ACPL Calculations - 1.0'!I346 + 'ACPL Calculations - 2.0'!I346</f>
        <v>0</v>
      </c>
      <c r="AX346" s="34" t="s">
        <v>3817</v>
      </c>
      <c r="AY346" s="34">
        <v>290.0</v>
      </c>
      <c r="AZ346" s="32" t="s">
        <v>3818</v>
      </c>
      <c r="BA346" s="31">
        <v>100.0</v>
      </c>
      <c r="BB346" s="33">
        <f>'Old Balance Sheet'!J346 + 'ACPL Calculations - 1.0'!J346 + 'ACPL Calculations - 2.0'!J346</f>
        <v>0</v>
      </c>
      <c r="BC346" s="34" t="s">
        <v>3817</v>
      </c>
      <c r="BD346" s="34">
        <v>205.0</v>
      </c>
      <c r="BE346" s="32" t="s">
        <v>3818</v>
      </c>
      <c r="BF346" s="31">
        <v>100.0</v>
      </c>
      <c r="BG346" s="33">
        <f>'Old Balance Sheet'!K346 + 'ACPL Calculations - 1.0'!K346 + 'ACPL Calculations - 2.0'!K346</f>
        <v>0</v>
      </c>
      <c r="BH346" s="34" t="s">
        <v>3817</v>
      </c>
      <c r="BI346" s="34">
        <v>205.0</v>
      </c>
      <c r="BJ346" s="32" t="s">
        <v>3818</v>
      </c>
      <c r="BK346" s="31">
        <v>100.0</v>
      </c>
      <c r="BL346" s="33">
        <f>'Old Balance Sheet'!L346 + 'ACPL Calculations - 1.0'!L346 + 'ACPL Calculations - 2.0'!L346</f>
        <v>0</v>
      </c>
      <c r="CL346" s="33">
        <f t="shared" si="1"/>
        <v>463</v>
      </c>
      <c r="CM346" s="33">
        <f>'Old Balance Sheet'!R346 + 'ACPL Calculations - 1.0'!S346 + 'ACPL Calculations - 2.0'!S346</f>
        <v>204646</v>
      </c>
      <c r="CN346" s="33">
        <f>'Old Balance Sheet'!S346 + 'ACPL Calculations - 1.0'!T346 + 'ACPL Calculations - 2.0'!T346</f>
        <v>85655</v>
      </c>
      <c r="CO346" s="26">
        <f t="shared" si="2"/>
        <v>116870.46</v>
      </c>
      <c r="CP346" s="33">
        <f>'Old Balance Sheet'!T346 + 'ACPL Calculations - 1.0'!V346 + 'ACPL Calculations - 2.0'!V346</f>
        <v>0</v>
      </c>
      <c r="CQ346" s="33">
        <f>'Old Balance Sheet'!U346 + 'ACPL Calculations - 1.0'!W346 + 'ACPL Calculations - 2.0'!W346</f>
        <v>0</v>
      </c>
      <c r="CR346" s="33">
        <f>'Old Balance Sheet'!V346 + 'ACPL Calculations - 1.0'!X346 + 'ACPL Calculations - 2.0'!X346</f>
        <v>31215.46</v>
      </c>
      <c r="CS346" s="26">
        <f t="shared" si="3"/>
        <v>31215.46</v>
      </c>
      <c r="CT346" s="34">
        <v>0.0</v>
      </c>
      <c r="CU346" s="34">
        <v>0.0</v>
      </c>
      <c r="CV346" s="34">
        <v>0.0</v>
      </c>
      <c r="CW346" s="36">
        <f>'Old Balance Sheet'!W346 + 'ACPL Calculations - 1.0'!Z346 + 'ACPL Calculations - 2.0'!Z346</f>
        <v>0</v>
      </c>
      <c r="CX346" s="36">
        <f>'Old Balance Sheet'!X346 + 'ACPL Calculations - 1.0'!AA346 + 'ACPL Calculations - 2.0'!AA346</f>
        <v>0</v>
      </c>
      <c r="CY346" s="37">
        <v>0.0</v>
      </c>
      <c r="CZ346" s="38">
        <f>'Old Balance Sheet'!Y346 + 'ACPL Calculations - 1.0'!AB346 + 'ACPL Calculations - 2.0'!AB346</f>
        <v>0</v>
      </c>
      <c r="DA346" s="38">
        <f>'Old Balance Sheet'!Z346 + 'ACPL Calculations - 1.0'!AC346 + 'ACPL Calculations - 2.0'!AC346</f>
        <v>0</v>
      </c>
      <c r="DB346" s="38">
        <f>'Old Balance Sheet'!AA346 + 'ACPL Calculations - 1.0'!AD346 + 'ACPL Calculations - 2.0'!AD346</f>
        <v>0</v>
      </c>
      <c r="DC346" s="38">
        <f>'Old Balance Sheet'!AB346 + 'ACPL Calculations - 1.0'!AE346 + 'ACPL Calculations - 2.0'!AE346</f>
        <v>0</v>
      </c>
      <c r="DD346" s="38">
        <f t="shared" si="4"/>
        <v>0</v>
      </c>
      <c r="DE346" s="33">
        <f t="shared" si="5"/>
        <v>0</v>
      </c>
      <c r="DF346" s="35">
        <v>0.0</v>
      </c>
      <c r="DG346" s="34">
        <v>0.0</v>
      </c>
      <c r="DH346" s="34">
        <v>0.0</v>
      </c>
      <c r="DI346" s="34">
        <v>0.0</v>
      </c>
      <c r="DJ346" s="34">
        <v>0.0</v>
      </c>
      <c r="DK346" s="34">
        <v>0.0</v>
      </c>
      <c r="DL346" s="34">
        <v>0.0</v>
      </c>
      <c r="DM346" s="34">
        <v>0.0</v>
      </c>
      <c r="DN346" s="34">
        <v>0.0</v>
      </c>
      <c r="DO346" s="34">
        <v>0.0</v>
      </c>
      <c r="DP346" s="34">
        <v>0.0</v>
      </c>
      <c r="DQ346" s="34">
        <v>0.0</v>
      </c>
      <c r="DR346" s="34">
        <v>0.0</v>
      </c>
      <c r="DS346" s="34">
        <v>0.0</v>
      </c>
      <c r="DT346" s="26" t="str">
        <f>'Old Balance Sheet'!AC346</f>
        <v/>
      </c>
      <c r="DU346" s="26">
        <f>DT346 + SUMIFS('Payments Log'!D:D, 'Payments Log'!B:B, A346, 'Payments Log'!L:L, "Approved", 'Payments Log'!M:M, "Credit") + 'Old Balance Sheet'!AD346 - 'Old Balance Sheet'!AC346</f>
        <v>0</v>
      </c>
      <c r="DV346" s="26">
        <f>SUMIFS('Payments Log'!D:D, 'Payments Log'!B:B, A346, 'Payments Log'!L:L, "Approved", 'Payments Log'!M:M, "Adjustment Credit") - SUMIFS('Payments Log'!D:D, 'Payments Log'!B:B, A346, 'Payments Log'!L:L, "Approved", 'Payments Log'!M:M, "Adjustment Debit") + 'Old Balance Sheet'!AE346</f>
        <v>0</v>
      </c>
      <c r="DW346" s="31">
        <f>IF(MAXIFS('Payments Log'!N:N, 'Payments Log'!L:L, "Approved", 'Payments Log'!M:M, "Credit", 'Payments Log'!B:B, A346) &gt; MAXIFS('Payments Log'!N:N, 'Payments Log'!L:L, "Approved", 'Payments Log'!M:M, "Virtual Credit", 'Payments Log'!B:B, A346), 0, SUMIFS('Payments Log'!D:D, 'Payments Log'!N:N, MAXIFS('Payments Log'!N:N, 'Payments Log'!L:L, "Approved", 'Payments Log'!M:M, "Virtual Credit", 'Payments Log'!B:B, A346)))</f>
        <v>0</v>
      </c>
      <c r="DX346" s="33">
        <f t="shared" si="6"/>
        <v>0</v>
      </c>
      <c r="DY346" s="33">
        <f t="shared" si="7"/>
        <v>0</v>
      </c>
      <c r="DZ346" s="33">
        <f t="shared" si="8"/>
        <v>0</v>
      </c>
      <c r="EA346" s="26" t="str">
        <f>(Sheet1!N346)</f>
        <v>ANAS MOTORS- SUPAUL</v>
      </c>
      <c r="EB346" s="26" t="str">
        <f>(Sheet1!O346)</f>
        <v>1QVBShIrTLBej8s_qXhBmCICNAN5JsR5KakezwfMLZV0</v>
      </c>
      <c r="EC346" s="26" t="str">
        <f>(Sheet1!P346)</f>
        <v>Sub Dealer</v>
      </c>
      <c r="ED346" s="34" t="s">
        <v>13</v>
      </c>
    </row>
    <row r="347">
      <c r="A347" s="26" t="str">
        <f>(Sheet1!A347)</f>
        <v>1ijZUuNYW1E8zpyUwJzSL5TYbwYKb9s-saRb04DNVH0s</v>
      </c>
      <c r="B347" s="26" t="str">
        <f>(Sheet1!B347)</f>
        <v>Unique Motors (ANS) - Saharsa</v>
      </c>
      <c r="C347" s="34" t="s">
        <v>13</v>
      </c>
      <c r="D347" s="34" t="s">
        <v>72</v>
      </c>
      <c r="E347" s="34" t="s">
        <v>3817</v>
      </c>
      <c r="F347" s="34">
        <v>185.0</v>
      </c>
      <c r="G347" s="34" t="s">
        <v>3818</v>
      </c>
      <c r="H347" s="34">
        <v>100.0</v>
      </c>
      <c r="I347" s="33">
        <f>'Old Balance Sheet'!A347 + 'ACPL Calculations - 1.0'!A347 + 'ACPL Calculations - 2.0'!A347</f>
        <v>25</v>
      </c>
      <c r="J347" s="34" t="s">
        <v>3817</v>
      </c>
      <c r="K347" s="34">
        <v>205.0</v>
      </c>
      <c r="L347" s="34" t="s">
        <v>3818</v>
      </c>
      <c r="M347" s="34">
        <v>100.0</v>
      </c>
      <c r="N347" s="33">
        <f>'Old Balance Sheet'!B347 + 'ACPL Calculations - 1.0'!B347 + 'ACPL Calculations - 2.0'!B347</f>
        <v>0</v>
      </c>
      <c r="O347" s="34" t="s">
        <v>3817</v>
      </c>
      <c r="P347" s="34">
        <v>290.0</v>
      </c>
      <c r="Q347" s="34" t="s">
        <v>3818</v>
      </c>
      <c r="R347" s="34">
        <v>100.0</v>
      </c>
      <c r="S347" s="33">
        <f>'Old Balance Sheet'!C347 + 'ACPL Calculations - 1.0'!C347 + 'ACPL Calculations - 2.0'!C347</f>
        <v>0</v>
      </c>
      <c r="T347" s="34" t="s">
        <v>3817</v>
      </c>
      <c r="U347" s="34">
        <v>375.0</v>
      </c>
      <c r="V347" s="34" t="s">
        <v>3818</v>
      </c>
      <c r="W347" s="34">
        <v>100.0</v>
      </c>
      <c r="X347" s="33">
        <f>'Old Balance Sheet'!D347 + 'ACPL Calculations - 1.0'!D347 + 'ACPL Calculations - 2.0'!D347</f>
        <v>0</v>
      </c>
      <c r="Y347" s="34" t="s">
        <v>3817</v>
      </c>
      <c r="Z347" s="34">
        <v>460.0</v>
      </c>
      <c r="AA347" s="32" t="s">
        <v>3818</v>
      </c>
      <c r="AB347" s="31">
        <v>100.0</v>
      </c>
      <c r="AC347" s="33">
        <f>'Old Balance Sheet'!E347 + 'ACPL Calculations - 1.0'!E347 + 'ACPL Calculations - 2.0'!E347</f>
        <v>0</v>
      </c>
      <c r="AD347" s="34" t="s">
        <v>3817</v>
      </c>
      <c r="AE347" s="34">
        <v>838.99</v>
      </c>
      <c r="AF347" s="32" t="s">
        <v>3818</v>
      </c>
      <c r="AG347" s="31">
        <v>100.0</v>
      </c>
      <c r="AH347" s="33">
        <f>'Old Balance Sheet'!F347 + 'ACPL Calculations - 1.0'!F347 + 'ACPL Calculations - 2.0'!F347</f>
        <v>0</v>
      </c>
      <c r="AI347" s="34" t="s">
        <v>3817</v>
      </c>
      <c r="AJ347" s="34">
        <v>375.0</v>
      </c>
      <c r="AK347" s="32" t="s">
        <v>3818</v>
      </c>
      <c r="AL347" s="31">
        <v>100.0</v>
      </c>
      <c r="AM347" s="33">
        <f>'Old Balance Sheet'!G347 + 'ACPL Calculations - 1.0'!G347 + 'ACPL Calculations - 2.0'!G347</f>
        <v>0</v>
      </c>
      <c r="AN347" s="34" t="s">
        <v>3817</v>
      </c>
      <c r="AO347" s="34">
        <v>290.0</v>
      </c>
      <c r="AP347" s="32" t="s">
        <v>3818</v>
      </c>
      <c r="AQ347" s="31">
        <v>100.0</v>
      </c>
      <c r="AR347" s="33">
        <f>'Old Balance Sheet'!H347 + 'ACPL Calculations - 1.0'!H347 + 'ACPL Calculations - 2.0'!H347</f>
        <v>0</v>
      </c>
      <c r="AS347" s="34" t="s">
        <v>3819</v>
      </c>
      <c r="AT347" s="34">
        <v>838.99</v>
      </c>
      <c r="AU347" s="32" t="s">
        <v>3818</v>
      </c>
      <c r="AV347" s="31">
        <v>100.0</v>
      </c>
      <c r="AW347" s="33">
        <f>'Old Balance Sheet'!I347 + 'ACPL Calculations - 1.0'!I347 + 'ACPL Calculations - 2.0'!I347</f>
        <v>0</v>
      </c>
      <c r="AX347" s="34" t="s">
        <v>3817</v>
      </c>
      <c r="AY347" s="34">
        <v>290.0</v>
      </c>
      <c r="AZ347" s="32" t="s">
        <v>3818</v>
      </c>
      <c r="BA347" s="31">
        <v>100.0</v>
      </c>
      <c r="BB347" s="33">
        <f>'Old Balance Sheet'!J347 + 'ACPL Calculations - 1.0'!J347 + 'ACPL Calculations - 2.0'!J347</f>
        <v>0</v>
      </c>
      <c r="BC347" s="34" t="s">
        <v>3817</v>
      </c>
      <c r="BD347" s="34">
        <v>205.0</v>
      </c>
      <c r="BE347" s="32" t="s">
        <v>3818</v>
      </c>
      <c r="BF347" s="31">
        <v>100.0</v>
      </c>
      <c r="BG347" s="33">
        <f>'Old Balance Sheet'!K347 + 'ACPL Calculations - 1.0'!K347 + 'ACPL Calculations - 2.0'!K347</f>
        <v>0</v>
      </c>
      <c r="BH347" s="34" t="s">
        <v>3817</v>
      </c>
      <c r="BI347" s="34">
        <v>205.0</v>
      </c>
      <c r="BJ347" s="32" t="s">
        <v>3818</v>
      </c>
      <c r="BK347" s="31">
        <v>100.0</v>
      </c>
      <c r="BL347" s="33">
        <f>'Old Balance Sheet'!L347 + 'ACPL Calculations - 1.0'!L347 + 'ACPL Calculations - 2.0'!L347</f>
        <v>0</v>
      </c>
      <c r="CL347" s="33">
        <f t="shared" si="1"/>
        <v>25</v>
      </c>
      <c r="CM347" s="33">
        <f>'Old Balance Sheet'!R347 + 'ACPL Calculations - 1.0'!S347 + 'ACPL Calculations - 2.0'!S347</f>
        <v>11050</v>
      </c>
      <c r="CN347" s="33">
        <f>'Old Balance Sheet'!S347 + 'ACPL Calculations - 1.0'!T347 + 'ACPL Calculations - 2.0'!T347</f>
        <v>4625</v>
      </c>
      <c r="CO347" s="26">
        <f t="shared" si="2"/>
        <v>6310.5</v>
      </c>
      <c r="CP347" s="33">
        <f>'Old Balance Sheet'!T347 + 'ACPL Calculations - 1.0'!V347 + 'ACPL Calculations - 2.0'!V347</f>
        <v>0</v>
      </c>
      <c r="CQ347" s="33">
        <f>'Old Balance Sheet'!U347 + 'ACPL Calculations - 1.0'!W347 + 'ACPL Calculations - 2.0'!W347</f>
        <v>0</v>
      </c>
      <c r="CR347" s="33">
        <f>'Old Balance Sheet'!V347 + 'ACPL Calculations - 1.0'!X347 + 'ACPL Calculations - 2.0'!X347</f>
        <v>1685.5</v>
      </c>
      <c r="CS347" s="26">
        <f t="shared" si="3"/>
        <v>1685.5</v>
      </c>
      <c r="CT347" s="34">
        <v>0.0</v>
      </c>
      <c r="CU347" s="34">
        <v>0.0</v>
      </c>
      <c r="CV347" s="34">
        <v>0.0</v>
      </c>
      <c r="CW347" s="36">
        <f>'Old Balance Sheet'!W347 + 'ACPL Calculations - 1.0'!Z347 + 'ACPL Calculations - 2.0'!Z347</f>
        <v>0</v>
      </c>
      <c r="CX347" s="36">
        <f>'Old Balance Sheet'!X347 + 'ACPL Calculations - 1.0'!AA347 + 'ACPL Calculations - 2.0'!AA347</f>
        <v>0</v>
      </c>
      <c r="CY347" s="37">
        <v>0.0</v>
      </c>
      <c r="CZ347" s="38">
        <f>'Old Balance Sheet'!Y347 + 'ACPL Calculations - 1.0'!AB347 + 'ACPL Calculations - 2.0'!AB347</f>
        <v>0</v>
      </c>
      <c r="DA347" s="38">
        <f>'Old Balance Sheet'!Z347 + 'ACPL Calculations - 1.0'!AC347 + 'ACPL Calculations - 2.0'!AC347</f>
        <v>0</v>
      </c>
      <c r="DB347" s="38">
        <f>'Old Balance Sheet'!AA347 + 'ACPL Calculations - 1.0'!AD347 + 'ACPL Calculations - 2.0'!AD347</f>
        <v>0</v>
      </c>
      <c r="DC347" s="38">
        <f>'Old Balance Sheet'!AB347 + 'ACPL Calculations - 1.0'!AE347 + 'ACPL Calculations - 2.0'!AE347</f>
        <v>0</v>
      </c>
      <c r="DD347" s="38">
        <f t="shared" si="4"/>
        <v>0</v>
      </c>
      <c r="DE347" s="33">
        <f t="shared" si="5"/>
        <v>0</v>
      </c>
      <c r="DF347" s="35">
        <v>0.0</v>
      </c>
      <c r="DG347" s="34">
        <v>0.0</v>
      </c>
      <c r="DH347" s="34">
        <v>0.0</v>
      </c>
      <c r="DI347" s="34">
        <v>0.0</v>
      </c>
      <c r="DJ347" s="34">
        <v>0.0</v>
      </c>
      <c r="DK347" s="34">
        <v>0.0</v>
      </c>
      <c r="DL347" s="34">
        <v>0.0</v>
      </c>
      <c r="DM347" s="34">
        <v>0.0</v>
      </c>
      <c r="DN347" s="34">
        <v>0.0</v>
      </c>
      <c r="DO347" s="34">
        <v>0.0</v>
      </c>
      <c r="DP347" s="34">
        <v>0.0</v>
      </c>
      <c r="DQ347" s="34">
        <v>0.0</v>
      </c>
      <c r="DR347" s="34">
        <v>0.0</v>
      </c>
      <c r="DS347" s="34">
        <v>0.0</v>
      </c>
      <c r="DT347" s="26" t="str">
        <f>'Old Balance Sheet'!AC347</f>
        <v/>
      </c>
      <c r="DU347" s="26">
        <f>DT347 + SUMIFS('Payments Log'!D:D, 'Payments Log'!B:B, A347, 'Payments Log'!L:L, "Approved", 'Payments Log'!M:M, "Credit") + 'Old Balance Sheet'!AD347 - 'Old Balance Sheet'!AC347</f>
        <v>0</v>
      </c>
      <c r="DV347" s="26">
        <f>SUMIFS('Payments Log'!D:D, 'Payments Log'!B:B, A347, 'Payments Log'!L:L, "Approved", 'Payments Log'!M:M, "Adjustment Credit") - SUMIFS('Payments Log'!D:D, 'Payments Log'!B:B, A347, 'Payments Log'!L:L, "Approved", 'Payments Log'!M:M, "Adjustment Debit") + 'Old Balance Sheet'!AE347</f>
        <v>0</v>
      </c>
      <c r="DW347" s="31">
        <f>IF(MAXIFS('Payments Log'!N:N, 'Payments Log'!L:L, "Approved", 'Payments Log'!M:M, "Credit", 'Payments Log'!B:B, A347) &gt; MAXIFS('Payments Log'!N:N, 'Payments Log'!L:L, "Approved", 'Payments Log'!M:M, "Virtual Credit", 'Payments Log'!B:B, A347), 0, SUMIFS('Payments Log'!D:D, 'Payments Log'!N:N, MAXIFS('Payments Log'!N:N, 'Payments Log'!L:L, "Approved", 'Payments Log'!M:M, "Virtual Credit", 'Payments Log'!B:B, A347)))</f>
        <v>0</v>
      </c>
      <c r="DX347" s="33">
        <f t="shared" si="6"/>
        <v>0</v>
      </c>
      <c r="DY347" s="33">
        <f t="shared" si="7"/>
        <v>0</v>
      </c>
      <c r="DZ347" s="33">
        <f t="shared" si="8"/>
        <v>0</v>
      </c>
      <c r="EA347" s="26" t="str">
        <f>(Sheet1!N347)</f>
        <v>ANAS MOTORS- SUPAUL</v>
      </c>
      <c r="EB347" s="26" t="str">
        <f>(Sheet1!O347)</f>
        <v>1QVBShIrTLBej8s_qXhBmCICNAN5JsR5KakezwfMLZV0</v>
      </c>
      <c r="EC347" s="26" t="str">
        <f>(Sheet1!P347)</f>
        <v>Sub Dealer</v>
      </c>
      <c r="ED347" s="34" t="s">
        <v>13</v>
      </c>
    </row>
    <row r="348">
      <c r="A348" s="26" t="str">
        <f>(Sheet1!A348)</f>
        <v>1OmbiJkLdWoT3pUPafzGjcE6RP8KNKayDMZiTcehiZhY</v>
      </c>
      <c r="B348" s="26" t="str">
        <f>(Sheet1!B348)</f>
        <v>Autobikes (ANS) - Murliganj </v>
      </c>
      <c r="C348" s="34" t="s">
        <v>13</v>
      </c>
      <c r="D348" s="34" t="s">
        <v>72</v>
      </c>
      <c r="E348" s="34" t="s">
        <v>3817</v>
      </c>
      <c r="F348" s="34">
        <v>185.0</v>
      </c>
      <c r="G348" s="34" t="s">
        <v>3818</v>
      </c>
      <c r="H348" s="34">
        <v>100.0</v>
      </c>
      <c r="I348" s="33">
        <f>'Old Balance Sheet'!A348 + 'ACPL Calculations - 1.0'!A348 + 'ACPL Calculations - 2.0'!A348</f>
        <v>38</v>
      </c>
      <c r="J348" s="34" t="s">
        <v>3817</v>
      </c>
      <c r="K348" s="34">
        <v>205.0</v>
      </c>
      <c r="L348" s="34" t="s">
        <v>3818</v>
      </c>
      <c r="M348" s="34">
        <v>100.0</v>
      </c>
      <c r="N348" s="33">
        <f>'Old Balance Sheet'!B348 + 'ACPL Calculations - 1.0'!B348 + 'ACPL Calculations - 2.0'!B348</f>
        <v>0</v>
      </c>
      <c r="O348" s="34" t="s">
        <v>3817</v>
      </c>
      <c r="P348" s="34">
        <v>290.0</v>
      </c>
      <c r="Q348" s="34" t="s">
        <v>3818</v>
      </c>
      <c r="R348" s="34">
        <v>100.0</v>
      </c>
      <c r="S348" s="33">
        <f>'Old Balance Sheet'!C348 + 'ACPL Calculations - 1.0'!C348 + 'ACPL Calculations - 2.0'!C348</f>
        <v>0</v>
      </c>
      <c r="T348" s="34" t="s">
        <v>3817</v>
      </c>
      <c r="U348" s="34">
        <v>375.0</v>
      </c>
      <c r="V348" s="34" t="s">
        <v>3818</v>
      </c>
      <c r="W348" s="34">
        <v>100.0</v>
      </c>
      <c r="X348" s="33">
        <f>'Old Balance Sheet'!D348 + 'ACPL Calculations - 1.0'!D348 + 'ACPL Calculations - 2.0'!D348</f>
        <v>0</v>
      </c>
      <c r="Y348" s="34" t="s">
        <v>3817</v>
      </c>
      <c r="Z348" s="34">
        <v>460.0</v>
      </c>
      <c r="AA348" s="32" t="s">
        <v>3818</v>
      </c>
      <c r="AB348" s="31">
        <v>100.0</v>
      </c>
      <c r="AC348" s="33">
        <f>'Old Balance Sheet'!E348 + 'ACPL Calculations - 1.0'!E348 + 'ACPL Calculations - 2.0'!E348</f>
        <v>0</v>
      </c>
      <c r="AD348" s="34" t="s">
        <v>3817</v>
      </c>
      <c r="AE348" s="34">
        <v>838.99</v>
      </c>
      <c r="AF348" s="32" t="s">
        <v>3818</v>
      </c>
      <c r="AG348" s="31">
        <v>100.0</v>
      </c>
      <c r="AH348" s="33">
        <f>'Old Balance Sheet'!F348 + 'ACPL Calculations - 1.0'!F348 + 'ACPL Calculations - 2.0'!F348</f>
        <v>0</v>
      </c>
      <c r="AI348" s="34" t="s">
        <v>3817</v>
      </c>
      <c r="AJ348" s="34">
        <v>375.0</v>
      </c>
      <c r="AK348" s="32" t="s">
        <v>3818</v>
      </c>
      <c r="AL348" s="31">
        <v>100.0</v>
      </c>
      <c r="AM348" s="33">
        <f>'Old Balance Sheet'!G348 + 'ACPL Calculations - 1.0'!G348 + 'ACPL Calculations - 2.0'!G348</f>
        <v>0</v>
      </c>
      <c r="AN348" s="34" t="s">
        <v>3817</v>
      </c>
      <c r="AO348" s="34">
        <v>290.0</v>
      </c>
      <c r="AP348" s="32" t="s">
        <v>3818</v>
      </c>
      <c r="AQ348" s="31">
        <v>100.0</v>
      </c>
      <c r="AR348" s="33">
        <f>'Old Balance Sheet'!H348 + 'ACPL Calculations - 1.0'!H348 + 'ACPL Calculations - 2.0'!H348</f>
        <v>0</v>
      </c>
      <c r="AS348" s="34" t="s">
        <v>3819</v>
      </c>
      <c r="AT348" s="34">
        <v>838.99</v>
      </c>
      <c r="AU348" s="32" t="s">
        <v>3818</v>
      </c>
      <c r="AV348" s="31">
        <v>100.0</v>
      </c>
      <c r="AW348" s="33">
        <f>'Old Balance Sheet'!I348 + 'ACPL Calculations - 1.0'!I348 + 'ACPL Calculations - 2.0'!I348</f>
        <v>0</v>
      </c>
      <c r="AX348" s="34" t="s">
        <v>3817</v>
      </c>
      <c r="AY348" s="34">
        <v>290.0</v>
      </c>
      <c r="AZ348" s="32" t="s">
        <v>3818</v>
      </c>
      <c r="BA348" s="31">
        <v>100.0</v>
      </c>
      <c r="BB348" s="33">
        <f>'Old Balance Sheet'!J348 + 'ACPL Calculations - 1.0'!J348 + 'ACPL Calculations - 2.0'!J348</f>
        <v>0</v>
      </c>
      <c r="BC348" s="34" t="s">
        <v>3817</v>
      </c>
      <c r="BD348" s="34">
        <v>205.0</v>
      </c>
      <c r="BE348" s="32" t="s">
        <v>3818</v>
      </c>
      <c r="BF348" s="31">
        <v>100.0</v>
      </c>
      <c r="BG348" s="33">
        <f>'Old Balance Sheet'!K348 + 'ACPL Calculations - 1.0'!K348 + 'ACPL Calculations - 2.0'!K348</f>
        <v>0</v>
      </c>
      <c r="BH348" s="34" t="s">
        <v>3817</v>
      </c>
      <c r="BI348" s="34">
        <v>205.0</v>
      </c>
      <c r="BJ348" s="32" t="s">
        <v>3818</v>
      </c>
      <c r="BK348" s="31">
        <v>100.0</v>
      </c>
      <c r="BL348" s="33">
        <f>'Old Balance Sheet'!L348 + 'ACPL Calculations - 1.0'!L348 + 'ACPL Calculations - 2.0'!L348</f>
        <v>0</v>
      </c>
      <c r="CL348" s="33">
        <f t="shared" si="1"/>
        <v>38</v>
      </c>
      <c r="CM348" s="33">
        <f>'Old Balance Sheet'!R348 + 'ACPL Calculations - 1.0'!S348 + 'ACPL Calculations - 2.0'!S348</f>
        <v>16796</v>
      </c>
      <c r="CN348" s="33">
        <f>'Old Balance Sheet'!S348 + 'ACPL Calculations - 1.0'!T348 + 'ACPL Calculations - 2.0'!T348</f>
        <v>7030</v>
      </c>
      <c r="CO348" s="26">
        <f t="shared" si="2"/>
        <v>9591.96</v>
      </c>
      <c r="CP348" s="33">
        <f>'Old Balance Sheet'!T348 + 'ACPL Calculations - 1.0'!V348 + 'ACPL Calculations - 2.0'!V348</f>
        <v>0</v>
      </c>
      <c r="CQ348" s="33">
        <f>'Old Balance Sheet'!U348 + 'ACPL Calculations - 1.0'!W348 + 'ACPL Calculations - 2.0'!W348</f>
        <v>0</v>
      </c>
      <c r="CR348" s="33">
        <f>'Old Balance Sheet'!V348 + 'ACPL Calculations - 1.0'!X348 + 'ACPL Calculations - 2.0'!X348</f>
        <v>2561.96</v>
      </c>
      <c r="CS348" s="26">
        <f t="shared" si="3"/>
        <v>2561.96</v>
      </c>
      <c r="CT348" s="34">
        <v>0.0</v>
      </c>
      <c r="CU348" s="34">
        <v>0.0</v>
      </c>
      <c r="CV348" s="34">
        <v>0.0</v>
      </c>
      <c r="CW348" s="36">
        <f>'Old Balance Sheet'!W348 + 'ACPL Calculations - 1.0'!Z348 + 'ACPL Calculations - 2.0'!Z348</f>
        <v>0</v>
      </c>
      <c r="CX348" s="36">
        <f>'Old Balance Sheet'!X348 + 'ACPL Calculations - 1.0'!AA348 + 'ACPL Calculations - 2.0'!AA348</f>
        <v>0</v>
      </c>
      <c r="CY348" s="37">
        <v>0.0</v>
      </c>
      <c r="CZ348" s="38">
        <f>'Old Balance Sheet'!Y348 + 'ACPL Calculations - 1.0'!AB348 + 'ACPL Calculations - 2.0'!AB348</f>
        <v>0</v>
      </c>
      <c r="DA348" s="38">
        <f>'Old Balance Sheet'!Z348 + 'ACPL Calculations - 1.0'!AC348 + 'ACPL Calculations - 2.0'!AC348</f>
        <v>0</v>
      </c>
      <c r="DB348" s="38">
        <f>'Old Balance Sheet'!AA348 + 'ACPL Calculations - 1.0'!AD348 + 'ACPL Calculations - 2.0'!AD348</f>
        <v>0</v>
      </c>
      <c r="DC348" s="38">
        <f>'Old Balance Sheet'!AB348 + 'ACPL Calculations - 1.0'!AE348 + 'ACPL Calculations - 2.0'!AE348</f>
        <v>0</v>
      </c>
      <c r="DD348" s="38">
        <f t="shared" si="4"/>
        <v>0</v>
      </c>
      <c r="DE348" s="33">
        <f t="shared" si="5"/>
        <v>0</v>
      </c>
      <c r="DF348" s="35">
        <v>0.0</v>
      </c>
      <c r="DG348" s="34">
        <v>0.0</v>
      </c>
      <c r="DH348" s="34">
        <v>0.0</v>
      </c>
      <c r="DI348" s="34">
        <v>0.0</v>
      </c>
      <c r="DJ348" s="34">
        <v>0.0</v>
      </c>
      <c r="DK348" s="34">
        <v>0.0</v>
      </c>
      <c r="DL348" s="34">
        <v>0.0</v>
      </c>
      <c r="DM348" s="34">
        <v>0.0</v>
      </c>
      <c r="DN348" s="34">
        <v>0.0</v>
      </c>
      <c r="DO348" s="34">
        <v>0.0</v>
      </c>
      <c r="DP348" s="34">
        <v>0.0</v>
      </c>
      <c r="DQ348" s="34">
        <v>0.0</v>
      </c>
      <c r="DR348" s="34">
        <v>0.0</v>
      </c>
      <c r="DS348" s="34">
        <v>0.0</v>
      </c>
      <c r="DT348" s="26" t="str">
        <f>'Old Balance Sheet'!AC348</f>
        <v/>
      </c>
      <c r="DU348" s="26">
        <f>DT348 + SUMIFS('Payments Log'!D:D, 'Payments Log'!B:B, A348, 'Payments Log'!L:L, "Approved", 'Payments Log'!M:M, "Credit") + 'Old Balance Sheet'!AD348 - 'Old Balance Sheet'!AC348</f>
        <v>0</v>
      </c>
      <c r="DV348" s="26">
        <f>SUMIFS('Payments Log'!D:D, 'Payments Log'!B:B, A348, 'Payments Log'!L:L, "Approved", 'Payments Log'!M:M, "Adjustment Credit") - SUMIFS('Payments Log'!D:D, 'Payments Log'!B:B, A348, 'Payments Log'!L:L, "Approved", 'Payments Log'!M:M, "Adjustment Debit") + 'Old Balance Sheet'!AE348</f>
        <v>0</v>
      </c>
      <c r="DW348" s="31">
        <f>IF(MAXIFS('Payments Log'!N:N, 'Payments Log'!L:L, "Approved", 'Payments Log'!M:M, "Credit", 'Payments Log'!B:B, A348) &gt; MAXIFS('Payments Log'!N:N, 'Payments Log'!L:L, "Approved", 'Payments Log'!M:M, "Virtual Credit", 'Payments Log'!B:B, A348), 0, SUMIFS('Payments Log'!D:D, 'Payments Log'!N:N, MAXIFS('Payments Log'!N:N, 'Payments Log'!L:L, "Approved", 'Payments Log'!M:M, "Virtual Credit", 'Payments Log'!B:B, A348)))</f>
        <v>0</v>
      </c>
      <c r="DX348" s="33">
        <f t="shared" si="6"/>
        <v>0</v>
      </c>
      <c r="DY348" s="33">
        <f t="shared" si="7"/>
        <v>0</v>
      </c>
      <c r="DZ348" s="33">
        <f t="shared" si="8"/>
        <v>0</v>
      </c>
      <c r="EA348" s="26" t="str">
        <f>(Sheet1!N348)</f>
        <v>ANAS MOTORS- SUPAUL</v>
      </c>
      <c r="EB348" s="26" t="str">
        <f>(Sheet1!O348)</f>
        <v>1QVBShIrTLBej8s_qXhBmCICNAN5JsR5KakezwfMLZV0</v>
      </c>
      <c r="EC348" s="26" t="str">
        <f>(Sheet1!P348)</f>
        <v>Sub Dealer</v>
      </c>
      <c r="ED348" s="34" t="s">
        <v>13</v>
      </c>
    </row>
    <row r="349">
      <c r="A349" s="26" t="str">
        <f>(Sheet1!A349)</f>
        <v>14l8FM3O22akR8Zv19TVsq4w4zJQUjB8fnfZsvPRyvqM</v>
      </c>
      <c r="B349" s="26" t="str">
        <f>(Sheet1!B349)</f>
        <v>Autoplaza (ANS) -Simrahi </v>
      </c>
      <c r="C349" s="34" t="s">
        <v>13</v>
      </c>
      <c r="D349" s="34" t="s">
        <v>72</v>
      </c>
      <c r="E349" s="34" t="s">
        <v>3817</v>
      </c>
      <c r="F349" s="34">
        <v>185.0</v>
      </c>
      <c r="G349" s="34" t="s">
        <v>3818</v>
      </c>
      <c r="H349" s="34">
        <v>100.0</v>
      </c>
      <c r="I349" s="33">
        <f>'Old Balance Sheet'!A349 + 'ACPL Calculations - 1.0'!A349 + 'ACPL Calculations - 2.0'!A349</f>
        <v>118</v>
      </c>
      <c r="J349" s="34" t="s">
        <v>3817</v>
      </c>
      <c r="K349" s="34">
        <v>205.0</v>
      </c>
      <c r="L349" s="34" t="s">
        <v>3818</v>
      </c>
      <c r="M349" s="34">
        <v>100.0</v>
      </c>
      <c r="N349" s="33">
        <f>'Old Balance Sheet'!B349 + 'ACPL Calculations - 1.0'!B349 + 'ACPL Calculations - 2.0'!B349</f>
        <v>0</v>
      </c>
      <c r="O349" s="34" t="s">
        <v>3817</v>
      </c>
      <c r="P349" s="34">
        <v>290.0</v>
      </c>
      <c r="Q349" s="34" t="s">
        <v>3818</v>
      </c>
      <c r="R349" s="34">
        <v>100.0</v>
      </c>
      <c r="S349" s="33">
        <f>'Old Balance Sheet'!C349 + 'ACPL Calculations - 1.0'!C349 + 'ACPL Calculations - 2.0'!C349</f>
        <v>0</v>
      </c>
      <c r="T349" s="34" t="s">
        <v>3817</v>
      </c>
      <c r="U349" s="34">
        <v>375.0</v>
      </c>
      <c r="V349" s="34" t="s">
        <v>3818</v>
      </c>
      <c r="W349" s="34">
        <v>100.0</v>
      </c>
      <c r="X349" s="33">
        <f>'Old Balance Sheet'!D349 + 'ACPL Calculations - 1.0'!D349 + 'ACPL Calculations - 2.0'!D349</f>
        <v>0</v>
      </c>
      <c r="Y349" s="34" t="s">
        <v>3817</v>
      </c>
      <c r="Z349" s="34">
        <v>460.0</v>
      </c>
      <c r="AA349" s="32" t="s">
        <v>3818</v>
      </c>
      <c r="AB349" s="31">
        <v>100.0</v>
      </c>
      <c r="AC349" s="33">
        <f>'Old Balance Sheet'!E349 + 'ACPL Calculations - 1.0'!E349 + 'ACPL Calculations - 2.0'!E349</f>
        <v>0</v>
      </c>
      <c r="AD349" s="34" t="s">
        <v>3817</v>
      </c>
      <c r="AE349" s="34">
        <v>838.99</v>
      </c>
      <c r="AF349" s="32" t="s">
        <v>3818</v>
      </c>
      <c r="AG349" s="31">
        <v>100.0</v>
      </c>
      <c r="AH349" s="33">
        <f>'Old Balance Sheet'!F349 + 'ACPL Calculations - 1.0'!F349 + 'ACPL Calculations - 2.0'!F349</f>
        <v>0</v>
      </c>
      <c r="AI349" s="34" t="s">
        <v>3817</v>
      </c>
      <c r="AJ349" s="34">
        <v>375.0</v>
      </c>
      <c r="AK349" s="32" t="s">
        <v>3818</v>
      </c>
      <c r="AL349" s="31">
        <v>100.0</v>
      </c>
      <c r="AM349" s="33">
        <f>'Old Balance Sheet'!G349 + 'ACPL Calculations - 1.0'!G349 + 'ACPL Calculations - 2.0'!G349</f>
        <v>0</v>
      </c>
      <c r="AN349" s="34" t="s">
        <v>3817</v>
      </c>
      <c r="AO349" s="34">
        <v>290.0</v>
      </c>
      <c r="AP349" s="32" t="s">
        <v>3818</v>
      </c>
      <c r="AQ349" s="31">
        <v>100.0</v>
      </c>
      <c r="AR349" s="33">
        <f>'Old Balance Sheet'!H349 + 'ACPL Calculations - 1.0'!H349 + 'ACPL Calculations - 2.0'!H349</f>
        <v>0</v>
      </c>
      <c r="AS349" s="34" t="s">
        <v>3819</v>
      </c>
      <c r="AT349" s="34">
        <v>838.99</v>
      </c>
      <c r="AU349" s="32" t="s">
        <v>3818</v>
      </c>
      <c r="AV349" s="31">
        <v>100.0</v>
      </c>
      <c r="AW349" s="33">
        <f>'Old Balance Sheet'!I349 + 'ACPL Calculations - 1.0'!I349 + 'ACPL Calculations - 2.0'!I349</f>
        <v>0</v>
      </c>
      <c r="AX349" s="34" t="s">
        <v>3817</v>
      </c>
      <c r="AY349" s="34">
        <v>290.0</v>
      </c>
      <c r="AZ349" s="32" t="s">
        <v>3818</v>
      </c>
      <c r="BA349" s="31">
        <v>100.0</v>
      </c>
      <c r="BB349" s="33">
        <f>'Old Balance Sheet'!J349 + 'ACPL Calculations - 1.0'!J349 + 'ACPL Calculations - 2.0'!J349</f>
        <v>0</v>
      </c>
      <c r="BC349" s="34" t="s">
        <v>3817</v>
      </c>
      <c r="BD349" s="34">
        <v>205.0</v>
      </c>
      <c r="BE349" s="32" t="s">
        <v>3818</v>
      </c>
      <c r="BF349" s="31">
        <v>100.0</v>
      </c>
      <c r="BG349" s="33">
        <f>'Old Balance Sheet'!K349 + 'ACPL Calculations - 1.0'!K349 + 'ACPL Calculations - 2.0'!K349</f>
        <v>0</v>
      </c>
      <c r="BH349" s="34" t="s">
        <v>3817</v>
      </c>
      <c r="BI349" s="34">
        <v>205.0</v>
      </c>
      <c r="BJ349" s="32" t="s">
        <v>3818</v>
      </c>
      <c r="BK349" s="31">
        <v>100.0</v>
      </c>
      <c r="BL349" s="33">
        <f>'Old Balance Sheet'!L349 + 'ACPL Calculations - 1.0'!L349 + 'ACPL Calculations - 2.0'!L349</f>
        <v>0</v>
      </c>
      <c r="CL349" s="33">
        <f t="shared" si="1"/>
        <v>118</v>
      </c>
      <c r="CM349" s="33">
        <f>'Old Balance Sheet'!R349 + 'ACPL Calculations - 1.0'!S349 + 'ACPL Calculations - 2.0'!S349</f>
        <v>52156</v>
      </c>
      <c r="CN349" s="33">
        <f>'Old Balance Sheet'!S349 + 'ACPL Calculations - 1.0'!T349 + 'ACPL Calculations - 2.0'!T349</f>
        <v>21830</v>
      </c>
      <c r="CO349" s="26">
        <f t="shared" si="2"/>
        <v>29785.56</v>
      </c>
      <c r="CP349" s="33">
        <f>'Old Balance Sheet'!T349 + 'ACPL Calculations - 1.0'!V349 + 'ACPL Calculations - 2.0'!V349</f>
        <v>0</v>
      </c>
      <c r="CQ349" s="33">
        <f>'Old Balance Sheet'!U349 + 'ACPL Calculations - 1.0'!W349 + 'ACPL Calculations - 2.0'!W349</f>
        <v>0</v>
      </c>
      <c r="CR349" s="33">
        <f>'Old Balance Sheet'!V349 + 'ACPL Calculations - 1.0'!X349 + 'ACPL Calculations - 2.0'!X349</f>
        <v>7955.56</v>
      </c>
      <c r="CS349" s="26">
        <f t="shared" si="3"/>
        <v>7955.56</v>
      </c>
      <c r="CT349" s="34">
        <v>0.0</v>
      </c>
      <c r="CU349" s="34">
        <v>0.0</v>
      </c>
      <c r="CV349" s="34">
        <v>0.0</v>
      </c>
      <c r="CW349" s="36">
        <f>'Old Balance Sheet'!W349 + 'ACPL Calculations - 1.0'!Z349 + 'ACPL Calculations - 2.0'!Z349</f>
        <v>0</v>
      </c>
      <c r="CX349" s="36">
        <f>'Old Balance Sheet'!X349 + 'ACPL Calculations - 1.0'!AA349 + 'ACPL Calculations - 2.0'!AA349</f>
        <v>0</v>
      </c>
      <c r="CY349" s="37">
        <v>0.0</v>
      </c>
      <c r="CZ349" s="38">
        <f>'Old Balance Sheet'!Y349 + 'ACPL Calculations - 1.0'!AB349 + 'ACPL Calculations - 2.0'!AB349</f>
        <v>0</v>
      </c>
      <c r="DA349" s="38">
        <f>'Old Balance Sheet'!Z349 + 'ACPL Calculations - 1.0'!AC349 + 'ACPL Calculations - 2.0'!AC349</f>
        <v>0</v>
      </c>
      <c r="DB349" s="38">
        <f>'Old Balance Sheet'!AA349 + 'ACPL Calculations - 1.0'!AD349 + 'ACPL Calculations - 2.0'!AD349</f>
        <v>0</v>
      </c>
      <c r="DC349" s="38">
        <f>'Old Balance Sheet'!AB349 + 'ACPL Calculations - 1.0'!AE349 + 'ACPL Calculations - 2.0'!AE349</f>
        <v>0</v>
      </c>
      <c r="DD349" s="38">
        <f t="shared" si="4"/>
        <v>0</v>
      </c>
      <c r="DE349" s="33">
        <f t="shared" si="5"/>
        <v>0</v>
      </c>
      <c r="DF349" s="35">
        <v>0.0</v>
      </c>
      <c r="DG349" s="34">
        <v>0.0</v>
      </c>
      <c r="DH349" s="34">
        <v>0.0</v>
      </c>
      <c r="DI349" s="34">
        <v>0.0</v>
      </c>
      <c r="DJ349" s="34">
        <v>0.0</v>
      </c>
      <c r="DK349" s="34">
        <v>0.0</v>
      </c>
      <c r="DL349" s="34">
        <v>0.0</v>
      </c>
      <c r="DM349" s="34">
        <v>0.0</v>
      </c>
      <c r="DN349" s="34">
        <v>0.0</v>
      </c>
      <c r="DO349" s="34">
        <v>0.0</v>
      </c>
      <c r="DP349" s="34">
        <v>0.0</v>
      </c>
      <c r="DQ349" s="34">
        <v>0.0</v>
      </c>
      <c r="DR349" s="34">
        <v>0.0</v>
      </c>
      <c r="DS349" s="34">
        <v>0.0</v>
      </c>
      <c r="DT349" s="26" t="str">
        <f>'Old Balance Sheet'!AC349</f>
        <v/>
      </c>
      <c r="DU349" s="26">
        <f>DT349 + SUMIFS('Payments Log'!D:D, 'Payments Log'!B:B, A349, 'Payments Log'!L:L, "Approved", 'Payments Log'!M:M, "Credit") + 'Old Balance Sheet'!AD349 - 'Old Balance Sheet'!AC349</f>
        <v>0</v>
      </c>
      <c r="DV349" s="26">
        <f>SUMIFS('Payments Log'!D:D, 'Payments Log'!B:B, A349, 'Payments Log'!L:L, "Approved", 'Payments Log'!M:M, "Adjustment Credit") - SUMIFS('Payments Log'!D:D, 'Payments Log'!B:B, A349, 'Payments Log'!L:L, "Approved", 'Payments Log'!M:M, "Adjustment Debit") + 'Old Balance Sheet'!AE349</f>
        <v>0</v>
      </c>
      <c r="DW349" s="31">
        <f>IF(MAXIFS('Payments Log'!N:N, 'Payments Log'!L:L, "Approved", 'Payments Log'!M:M, "Credit", 'Payments Log'!B:B, A349) &gt; MAXIFS('Payments Log'!N:N, 'Payments Log'!L:L, "Approved", 'Payments Log'!M:M, "Virtual Credit", 'Payments Log'!B:B, A349), 0, SUMIFS('Payments Log'!D:D, 'Payments Log'!N:N, MAXIFS('Payments Log'!N:N, 'Payments Log'!L:L, "Approved", 'Payments Log'!M:M, "Virtual Credit", 'Payments Log'!B:B, A349)))</f>
        <v>0</v>
      </c>
      <c r="DX349" s="33">
        <f t="shared" si="6"/>
        <v>0</v>
      </c>
      <c r="DY349" s="33">
        <f t="shared" si="7"/>
        <v>0</v>
      </c>
      <c r="DZ349" s="33">
        <f t="shared" si="8"/>
        <v>0</v>
      </c>
      <c r="EA349" s="26" t="str">
        <f>(Sheet1!N349)</f>
        <v>ANAS MOTORS- SUPAUL</v>
      </c>
      <c r="EB349" s="26" t="str">
        <f>(Sheet1!O349)</f>
        <v>1QVBShIrTLBej8s_qXhBmCICNAN5JsR5KakezwfMLZV0</v>
      </c>
      <c r="EC349" s="26" t="str">
        <f>(Sheet1!P349)</f>
        <v>Sub Dealer</v>
      </c>
      <c r="ED349" s="34" t="s">
        <v>13</v>
      </c>
    </row>
    <row r="350">
      <c r="A350" s="26" t="str">
        <f>(Sheet1!A350)</f>
        <v>15UOdwT--s7Zl9Su2K5mgFsbjsO9NxCbTdpJ5AlQkVMM</v>
      </c>
      <c r="B350" s="26" t="str">
        <f>(Sheet1!B350)</f>
        <v>KHURANA MOTORS- DEWAS</v>
      </c>
      <c r="C350" s="34" t="s">
        <v>13</v>
      </c>
      <c r="D350" s="34" t="s">
        <v>72</v>
      </c>
      <c r="E350" s="34" t="s">
        <v>3817</v>
      </c>
      <c r="F350" s="34">
        <v>170.0</v>
      </c>
      <c r="G350" s="34" t="s">
        <v>3818</v>
      </c>
      <c r="H350" s="34">
        <v>100.0</v>
      </c>
      <c r="I350" s="33">
        <f>'Old Balance Sheet'!A350 + 'ACPL Calculations - 1.0'!A350 + 'ACPL Calculations - 2.0'!A350</f>
        <v>48</v>
      </c>
      <c r="J350" s="34" t="s">
        <v>3817</v>
      </c>
      <c r="K350" s="34">
        <v>205.0</v>
      </c>
      <c r="L350" s="34" t="s">
        <v>3818</v>
      </c>
      <c r="M350" s="34">
        <v>100.0</v>
      </c>
      <c r="N350" s="33">
        <f>'Old Balance Sheet'!B350 + 'ACPL Calculations - 1.0'!B350 + 'ACPL Calculations - 2.0'!B350</f>
        <v>0</v>
      </c>
      <c r="O350" s="34" t="s">
        <v>3817</v>
      </c>
      <c r="P350" s="34">
        <v>290.0</v>
      </c>
      <c r="Q350" s="34" t="s">
        <v>3818</v>
      </c>
      <c r="R350" s="34">
        <v>100.0</v>
      </c>
      <c r="S350" s="33">
        <f>'Old Balance Sheet'!C350 + 'ACPL Calculations - 1.0'!C350 + 'ACPL Calculations - 2.0'!C350</f>
        <v>0</v>
      </c>
      <c r="T350" s="34" t="s">
        <v>3817</v>
      </c>
      <c r="U350" s="34">
        <v>375.0</v>
      </c>
      <c r="V350" s="34" t="s">
        <v>3818</v>
      </c>
      <c r="W350" s="34">
        <v>100.0</v>
      </c>
      <c r="X350" s="33">
        <f>'Old Balance Sheet'!D350 + 'ACPL Calculations - 1.0'!D350 + 'ACPL Calculations - 2.0'!D350</f>
        <v>0</v>
      </c>
      <c r="Y350" s="34" t="s">
        <v>3817</v>
      </c>
      <c r="Z350" s="34">
        <v>460.0</v>
      </c>
      <c r="AA350" s="32" t="s">
        <v>3818</v>
      </c>
      <c r="AB350" s="31">
        <v>100.0</v>
      </c>
      <c r="AC350" s="33">
        <f>'Old Balance Sheet'!E350 + 'ACPL Calculations - 1.0'!E350 + 'ACPL Calculations - 2.0'!E350</f>
        <v>0</v>
      </c>
      <c r="AD350" s="34" t="s">
        <v>3817</v>
      </c>
      <c r="AE350" s="34">
        <v>838.99</v>
      </c>
      <c r="AF350" s="32" t="s">
        <v>3818</v>
      </c>
      <c r="AG350" s="31">
        <v>100.0</v>
      </c>
      <c r="AH350" s="33">
        <f>'Old Balance Sheet'!F350 + 'ACPL Calculations - 1.0'!F350 + 'ACPL Calculations - 2.0'!F350</f>
        <v>0</v>
      </c>
      <c r="AI350" s="34" t="s">
        <v>3817</v>
      </c>
      <c r="AJ350" s="34">
        <v>375.0</v>
      </c>
      <c r="AK350" s="32" t="s">
        <v>3818</v>
      </c>
      <c r="AL350" s="31">
        <v>100.0</v>
      </c>
      <c r="AM350" s="33">
        <f>'Old Balance Sheet'!G350 + 'ACPL Calculations - 1.0'!G350 + 'ACPL Calculations - 2.0'!G350</f>
        <v>0</v>
      </c>
      <c r="AN350" s="34" t="s">
        <v>3817</v>
      </c>
      <c r="AO350" s="34">
        <v>290.0</v>
      </c>
      <c r="AP350" s="32" t="s">
        <v>3818</v>
      </c>
      <c r="AQ350" s="31">
        <v>100.0</v>
      </c>
      <c r="AR350" s="33">
        <f>'Old Balance Sheet'!H350 + 'ACPL Calculations - 1.0'!H350 + 'ACPL Calculations - 2.0'!H350</f>
        <v>0</v>
      </c>
      <c r="AS350" s="34" t="s">
        <v>3819</v>
      </c>
      <c r="AT350" s="34">
        <v>838.99</v>
      </c>
      <c r="AU350" s="32" t="s">
        <v>3818</v>
      </c>
      <c r="AV350" s="31">
        <v>100.0</v>
      </c>
      <c r="AW350" s="33">
        <f>'Old Balance Sheet'!I350 + 'ACPL Calculations - 1.0'!I350 + 'ACPL Calculations - 2.0'!I350</f>
        <v>0</v>
      </c>
      <c r="AX350" s="34" t="s">
        <v>3817</v>
      </c>
      <c r="AY350" s="34">
        <v>290.0</v>
      </c>
      <c r="AZ350" s="32" t="s">
        <v>3818</v>
      </c>
      <c r="BA350" s="31">
        <v>100.0</v>
      </c>
      <c r="BB350" s="33">
        <f>'Old Balance Sheet'!J350 + 'ACPL Calculations - 1.0'!J350 + 'ACPL Calculations - 2.0'!J350</f>
        <v>0</v>
      </c>
      <c r="BC350" s="34" t="s">
        <v>3817</v>
      </c>
      <c r="BD350" s="34">
        <v>205.0</v>
      </c>
      <c r="BE350" s="32" t="s">
        <v>3818</v>
      </c>
      <c r="BF350" s="31">
        <v>100.0</v>
      </c>
      <c r="BG350" s="33">
        <f>'Old Balance Sheet'!K350 + 'ACPL Calculations - 1.0'!K350 + 'ACPL Calculations - 2.0'!K350</f>
        <v>0</v>
      </c>
      <c r="BH350" s="34" t="s">
        <v>3817</v>
      </c>
      <c r="BI350" s="34">
        <v>205.0</v>
      </c>
      <c r="BJ350" s="32" t="s">
        <v>3818</v>
      </c>
      <c r="BK350" s="31">
        <v>100.0</v>
      </c>
      <c r="BL350" s="33">
        <f>'Old Balance Sheet'!L350 + 'ACPL Calculations - 1.0'!L350 + 'ACPL Calculations - 2.0'!L350</f>
        <v>0</v>
      </c>
      <c r="CL350" s="33">
        <f t="shared" si="1"/>
        <v>48</v>
      </c>
      <c r="CM350" s="33">
        <f>'Old Balance Sheet'!R350 + 'ACPL Calculations - 1.0'!S350 + 'ACPL Calculations - 2.0'!S350</f>
        <v>18720</v>
      </c>
      <c r="CN350" s="33">
        <f>'Old Balance Sheet'!S350 + 'ACPL Calculations - 1.0'!T350 + 'ACPL Calculations - 2.0'!T350</f>
        <v>8160</v>
      </c>
      <c r="CO350" s="26">
        <f t="shared" si="2"/>
        <v>11015.52</v>
      </c>
      <c r="CP350" s="33">
        <f>'Old Balance Sheet'!T350 + 'ACPL Calculations - 1.0'!V350 + 'ACPL Calculations - 2.0'!V350</f>
        <v>0</v>
      </c>
      <c r="CQ350" s="33">
        <f>'Old Balance Sheet'!U350 + 'ACPL Calculations - 1.0'!W350 + 'ACPL Calculations - 2.0'!W350</f>
        <v>0</v>
      </c>
      <c r="CR350" s="33">
        <f>'Old Balance Sheet'!V350 + 'ACPL Calculations - 1.0'!X350 + 'ACPL Calculations - 2.0'!X350</f>
        <v>2855.52</v>
      </c>
      <c r="CS350" s="26">
        <f t="shared" si="3"/>
        <v>2855.52</v>
      </c>
      <c r="CT350" s="34">
        <v>0.0</v>
      </c>
      <c r="CU350" s="34">
        <v>0.0</v>
      </c>
      <c r="CV350" s="34">
        <v>0.0</v>
      </c>
      <c r="CW350" s="36">
        <f>'Old Balance Sheet'!W350 + 'ACPL Calculations - 1.0'!Z350 + 'ACPL Calculations - 2.0'!Z350</f>
        <v>11400.96</v>
      </c>
      <c r="CX350" s="36">
        <f>'Old Balance Sheet'!X350 + 'ACPL Calculations - 1.0'!AA350 + 'ACPL Calculations - 2.0'!AA350</f>
        <v>11400.96</v>
      </c>
      <c r="CY350" s="37">
        <v>0.0</v>
      </c>
      <c r="CZ350" s="38">
        <f>'Old Balance Sheet'!Y350 + 'ACPL Calculations - 1.0'!AB350 + 'ACPL Calculations - 2.0'!AB350</f>
        <v>7704.48</v>
      </c>
      <c r="DA350" s="38">
        <f>'Old Balance Sheet'!Z350 + 'ACPL Calculations - 1.0'!AC350 + 'ACPL Calculations - 2.0'!AC350</f>
        <v>7319.04</v>
      </c>
      <c r="DB350" s="38">
        <f>'Old Balance Sheet'!AA350 + 'ACPL Calculations - 1.0'!AD350 + 'ACPL Calculations - 2.0'!AD350</f>
        <v>385.44</v>
      </c>
      <c r="DC350" s="38">
        <f>'Old Balance Sheet'!AB350 + 'ACPL Calculations - 1.0'!AE350 + 'ACPL Calculations - 2.0'!AE350</f>
        <v>0</v>
      </c>
      <c r="DD350" s="38">
        <f t="shared" si="4"/>
        <v>0</v>
      </c>
      <c r="DE350" s="33">
        <f t="shared" si="5"/>
        <v>0</v>
      </c>
      <c r="DF350" s="35">
        <v>0.0</v>
      </c>
      <c r="DG350" s="34">
        <v>0.0</v>
      </c>
      <c r="DH350" s="34">
        <v>0.0</v>
      </c>
      <c r="DI350" s="34">
        <v>0.0</v>
      </c>
      <c r="DJ350" s="34">
        <v>0.0</v>
      </c>
      <c r="DK350" s="34">
        <v>0.0</v>
      </c>
      <c r="DL350" s="34">
        <v>0.0</v>
      </c>
      <c r="DM350" s="34">
        <v>0.0</v>
      </c>
      <c r="DN350" s="34">
        <v>0.0</v>
      </c>
      <c r="DO350" s="34">
        <v>0.0</v>
      </c>
      <c r="DP350" s="34">
        <v>0.0</v>
      </c>
      <c r="DQ350" s="34">
        <v>0.0</v>
      </c>
      <c r="DR350" s="34">
        <v>0.0</v>
      </c>
      <c r="DS350" s="34">
        <v>0.0</v>
      </c>
      <c r="DT350" s="26" t="str">
        <f>'Old Balance Sheet'!AC350</f>
        <v/>
      </c>
      <c r="DU350" s="26">
        <f>DT350 + SUMIFS('Payments Log'!D:D, 'Payments Log'!B:B, A350, 'Payments Log'!L:L, "Approved", 'Payments Log'!M:M, "Credit") + 'Old Balance Sheet'!AD350 - 'Old Balance Sheet'!AC350</f>
        <v>20000</v>
      </c>
      <c r="DV350" s="26">
        <f>SUMIFS('Payments Log'!D:D, 'Payments Log'!B:B, A350, 'Payments Log'!L:L, "Approved", 'Payments Log'!M:M, "Adjustment Credit") - SUMIFS('Payments Log'!D:D, 'Payments Log'!B:B, A350, 'Payments Log'!L:L, "Approved", 'Payments Log'!M:M, "Adjustment Debit") + 'Old Balance Sheet'!AE350</f>
        <v>0</v>
      </c>
      <c r="DW350" s="31">
        <f>IF(MAXIFS('Payments Log'!N:N, 'Payments Log'!L:L, "Approved", 'Payments Log'!M:M, "Credit", 'Payments Log'!B:B, A350) &gt; MAXIFS('Payments Log'!N:N, 'Payments Log'!L:L, "Approved", 'Payments Log'!M:M, "Virtual Credit", 'Payments Log'!B:B, A350), 0, SUMIFS('Payments Log'!D:D, 'Payments Log'!N:N, MAXIFS('Payments Log'!N:N, 'Payments Log'!L:L, "Approved", 'Payments Log'!M:M, "Virtual Credit", 'Payments Log'!B:B, A350)))</f>
        <v>0</v>
      </c>
      <c r="DX350" s="33">
        <f t="shared" si="6"/>
        <v>8599.04</v>
      </c>
      <c r="DY350" s="33">
        <f t="shared" si="7"/>
        <v>8599.04</v>
      </c>
      <c r="DZ350" s="26">
        <f t="shared" si="8"/>
        <v>8599.04</v>
      </c>
      <c r="EA350" s="26" t="str">
        <f>(Sheet1!N350)</f>
        <v>KHURANA MOTORS- DEWAS</v>
      </c>
      <c r="EB350" s="26" t="str">
        <f>(Sheet1!O350)</f>
        <v>15UOdwT--s7Zl9Su2K5mgFsbjsO9NxCbTdpJ5AlQkVMM</v>
      </c>
      <c r="EC350" s="26" t="str">
        <f>(Sheet1!P350)</f>
        <v>Dealer</v>
      </c>
      <c r="ED350" s="34" t="s">
        <v>13</v>
      </c>
    </row>
    <row r="351">
      <c r="A351" s="26" t="str">
        <f>(Sheet1!A351)</f>
        <v>19TIXHN68VS31AYbvTLVgoT7ur3ACdybUa6Tgr2NssIw</v>
      </c>
      <c r="B351" s="26" t="str">
        <f>(Sheet1!B351)</f>
        <v>KISHAN AUTOMOBILE- (MA)</v>
      </c>
      <c r="C351" s="34" t="s">
        <v>13</v>
      </c>
      <c r="D351" s="34" t="s">
        <v>72</v>
      </c>
      <c r="E351" s="34" t="s">
        <v>3817</v>
      </c>
      <c r="F351" s="34">
        <v>175.0</v>
      </c>
      <c r="G351" s="34" t="s">
        <v>3818</v>
      </c>
      <c r="H351" s="34">
        <v>100.0</v>
      </c>
      <c r="I351" s="33">
        <f>'Old Balance Sheet'!A351 + 'ACPL Calculations - 1.0'!A351 + 'ACPL Calculations - 2.0'!A351</f>
        <v>59</v>
      </c>
      <c r="J351" s="34" t="s">
        <v>3817</v>
      </c>
      <c r="K351" s="34">
        <v>205.0</v>
      </c>
      <c r="L351" s="34" t="s">
        <v>3818</v>
      </c>
      <c r="M351" s="34">
        <v>100.0</v>
      </c>
      <c r="N351" s="33">
        <f>'Old Balance Sheet'!B351 + 'ACPL Calculations - 1.0'!B351 + 'ACPL Calculations - 2.0'!B351</f>
        <v>0</v>
      </c>
      <c r="O351" s="34" t="s">
        <v>3817</v>
      </c>
      <c r="P351" s="34">
        <v>290.0</v>
      </c>
      <c r="Q351" s="34" t="s">
        <v>3818</v>
      </c>
      <c r="R351" s="34">
        <v>100.0</v>
      </c>
      <c r="S351" s="33">
        <f>'Old Balance Sheet'!C351 + 'ACPL Calculations - 1.0'!C351 + 'ACPL Calculations - 2.0'!C351</f>
        <v>0</v>
      </c>
      <c r="T351" s="34" t="s">
        <v>3817</v>
      </c>
      <c r="U351" s="34">
        <v>375.0</v>
      </c>
      <c r="V351" s="34" t="s">
        <v>3818</v>
      </c>
      <c r="W351" s="34">
        <v>100.0</v>
      </c>
      <c r="X351" s="33">
        <f>'Old Balance Sheet'!D351 + 'ACPL Calculations - 1.0'!D351 + 'ACPL Calculations - 2.0'!D351</f>
        <v>0</v>
      </c>
      <c r="Y351" s="34" t="s">
        <v>3817</v>
      </c>
      <c r="Z351" s="34">
        <v>460.0</v>
      </c>
      <c r="AA351" s="32" t="s">
        <v>3818</v>
      </c>
      <c r="AB351" s="31">
        <v>100.0</v>
      </c>
      <c r="AC351" s="33">
        <f>'Old Balance Sheet'!E351 + 'ACPL Calculations - 1.0'!E351 + 'ACPL Calculations - 2.0'!E351</f>
        <v>0</v>
      </c>
      <c r="AD351" s="34" t="s">
        <v>3817</v>
      </c>
      <c r="AE351" s="34">
        <v>838.99</v>
      </c>
      <c r="AF351" s="32" t="s">
        <v>3818</v>
      </c>
      <c r="AG351" s="31">
        <v>100.0</v>
      </c>
      <c r="AH351" s="33">
        <f>'Old Balance Sheet'!F351 + 'ACPL Calculations - 1.0'!F351 + 'ACPL Calculations - 2.0'!F351</f>
        <v>0</v>
      </c>
      <c r="AI351" s="34" t="s">
        <v>3817</v>
      </c>
      <c r="AJ351" s="34">
        <v>375.0</v>
      </c>
      <c r="AK351" s="32" t="s">
        <v>3818</v>
      </c>
      <c r="AL351" s="31">
        <v>100.0</v>
      </c>
      <c r="AM351" s="33">
        <f>'Old Balance Sheet'!G351 + 'ACPL Calculations - 1.0'!G351 + 'ACPL Calculations - 2.0'!G351</f>
        <v>0</v>
      </c>
      <c r="AN351" s="34" t="s">
        <v>3817</v>
      </c>
      <c r="AO351" s="34">
        <v>290.0</v>
      </c>
      <c r="AP351" s="32" t="s">
        <v>3818</v>
      </c>
      <c r="AQ351" s="31">
        <v>100.0</v>
      </c>
      <c r="AR351" s="33">
        <f>'Old Balance Sheet'!H351 + 'ACPL Calculations - 1.0'!H351 + 'ACPL Calculations - 2.0'!H351</f>
        <v>0</v>
      </c>
      <c r="AS351" s="34" t="s">
        <v>3819</v>
      </c>
      <c r="AT351" s="34">
        <v>838.99</v>
      </c>
      <c r="AU351" s="32" t="s">
        <v>3818</v>
      </c>
      <c r="AV351" s="31">
        <v>100.0</v>
      </c>
      <c r="AW351" s="33">
        <f>'Old Balance Sheet'!I351 + 'ACPL Calculations - 1.0'!I351 + 'ACPL Calculations - 2.0'!I351</f>
        <v>0</v>
      </c>
      <c r="AX351" s="34" t="s">
        <v>3817</v>
      </c>
      <c r="AY351" s="34">
        <v>290.0</v>
      </c>
      <c r="AZ351" s="32" t="s">
        <v>3818</v>
      </c>
      <c r="BA351" s="31">
        <v>100.0</v>
      </c>
      <c r="BB351" s="33">
        <f>'Old Balance Sheet'!J351 + 'ACPL Calculations - 1.0'!J351 + 'ACPL Calculations - 2.0'!J351</f>
        <v>0</v>
      </c>
      <c r="BC351" s="34" t="s">
        <v>3817</v>
      </c>
      <c r="BD351" s="34">
        <v>205.0</v>
      </c>
      <c r="BE351" s="32" t="s">
        <v>3818</v>
      </c>
      <c r="BF351" s="31">
        <v>100.0</v>
      </c>
      <c r="BG351" s="33">
        <f>'Old Balance Sheet'!K351 + 'ACPL Calculations - 1.0'!K351 + 'ACPL Calculations - 2.0'!K351</f>
        <v>0</v>
      </c>
      <c r="BH351" s="34" t="s">
        <v>3817</v>
      </c>
      <c r="BI351" s="34">
        <v>205.0</v>
      </c>
      <c r="BJ351" s="32" t="s">
        <v>3818</v>
      </c>
      <c r="BK351" s="31">
        <v>100.0</v>
      </c>
      <c r="BL351" s="33">
        <f>'Old Balance Sheet'!L351 + 'ACPL Calculations - 1.0'!L351 + 'ACPL Calculations - 2.0'!L351</f>
        <v>0</v>
      </c>
      <c r="CL351" s="33">
        <f t="shared" si="1"/>
        <v>59</v>
      </c>
      <c r="CM351" s="33">
        <f>'Old Balance Sheet'!R351 + 'ACPL Calculations - 1.0'!S351 + 'ACPL Calculations - 2.0'!S351</f>
        <v>26078</v>
      </c>
      <c r="CN351" s="33">
        <f>'Old Balance Sheet'!S351 + 'ACPL Calculations - 1.0'!T351 + 'ACPL Calculations - 2.0'!T351</f>
        <v>10325</v>
      </c>
      <c r="CO351" s="26">
        <f t="shared" si="2"/>
        <v>14302.78</v>
      </c>
      <c r="CP351" s="33">
        <f>'Old Balance Sheet'!T351 + 'ACPL Calculations - 1.0'!V351 + 'ACPL Calculations - 2.0'!V351</f>
        <v>0</v>
      </c>
      <c r="CQ351" s="33">
        <f>'Old Balance Sheet'!U351 + 'ACPL Calculations - 1.0'!W351 + 'ACPL Calculations - 2.0'!W351</f>
        <v>0</v>
      </c>
      <c r="CR351" s="33">
        <f>'Old Balance Sheet'!V351 + 'ACPL Calculations - 1.0'!X351 + 'ACPL Calculations - 2.0'!X351</f>
        <v>3977.78</v>
      </c>
      <c r="CS351" s="26">
        <f t="shared" si="3"/>
        <v>3977.78</v>
      </c>
      <c r="CT351" s="34">
        <v>0.0</v>
      </c>
      <c r="CU351" s="34">
        <v>0.0</v>
      </c>
      <c r="CV351" s="34">
        <v>0.0</v>
      </c>
      <c r="CW351" s="36">
        <f>'Old Balance Sheet'!W351 + 'ACPL Calculations - 1.0'!Z351 + 'ACPL Calculations - 2.0'!Z351</f>
        <v>0</v>
      </c>
      <c r="CX351" s="36">
        <f>'Old Balance Sheet'!X351 + 'ACPL Calculations - 1.0'!AA351 + 'ACPL Calculations - 2.0'!AA351</f>
        <v>0</v>
      </c>
      <c r="CY351" s="37">
        <v>0.0</v>
      </c>
      <c r="CZ351" s="38">
        <f>'Old Balance Sheet'!Y351 + 'ACPL Calculations - 1.0'!AB351 + 'ACPL Calculations - 2.0'!AB351</f>
        <v>0</v>
      </c>
      <c r="DA351" s="38">
        <f>'Old Balance Sheet'!Z351 + 'ACPL Calculations - 1.0'!AC351 + 'ACPL Calculations - 2.0'!AC351</f>
        <v>0</v>
      </c>
      <c r="DB351" s="38">
        <f>'Old Balance Sheet'!AA351 + 'ACPL Calculations - 1.0'!AD351 + 'ACPL Calculations - 2.0'!AD351</f>
        <v>0</v>
      </c>
      <c r="DC351" s="38">
        <f>'Old Balance Sheet'!AB351 + 'ACPL Calculations - 1.0'!AE351 + 'ACPL Calculations - 2.0'!AE351</f>
        <v>0</v>
      </c>
      <c r="DD351" s="38">
        <f t="shared" si="4"/>
        <v>0</v>
      </c>
      <c r="DE351" s="33">
        <f t="shared" si="5"/>
        <v>0</v>
      </c>
      <c r="DF351" s="35">
        <v>0.0</v>
      </c>
      <c r="DG351" s="34">
        <v>0.0</v>
      </c>
      <c r="DH351" s="34">
        <v>0.0</v>
      </c>
      <c r="DI351" s="34">
        <v>0.0</v>
      </c>
      <c r="DJ351" s="34">
        <v>0.0</v>
      </c>
      <c r="DK351" s="34">
        <v>0.0</v>
      </c>
      <c r="DL351" s="34">
        <v>0.0</v>
      </c>
      <c r="DM351" s="34">
        <v>0.0</v>
      </c>
      <c r="DN351" s="34">
        <v>0.0</v>
      </c>
      <c r="DO351" s="34">
        <v>0.0</v>
      </c>
      <c r="DP351" s="34">
        <v>0.0</v>
      </c>
      <c r="DQ351" s="34">
        <v>0.0</v>
      </c>
      <c r="DR351" s="34">
        <v>0.0</v>
      </c>
      <c r="DS351" s="34">
        <v>0.0</v>
      </c>
      <c r="DT351" s="26" t="str">
        <f>'Old Balance Sheet'!AC351</f>
        <v/>
      </c>
      <c r="DU351" s="26">
        <f>DT351 + SUMIFS('Payments Log'!D:D, 'Payments Log'!B:B, A351, 'Payments Log'!L:L, "Approved", 'Payments Log'!M:M, "Credit") + 'Old Balance Sheet'!AD351 - 'Old Balance Sheet'!AC351</f>
        <v>0</v>
      </c>
      <c r="DV351" s="26">
        <f>SUMIFS('Payments Log'!D:D, 'Payments Log'!B:B, A351, 'Payments Log'!L:L, "Approved", 'Payments Log'!M:M, "Adjustment Credit") - SUMIFS('Payments Log'!D:D, 'Payments Log'!B:B, A351, 'Payments Log'!L:L, "Approved", 'Payments Log'!M:M, "Adjustment Debit") + 'Old Balance Sheet'!AE351</f>
        <v>0</v>
      </c>
      <c r="DW351" s="31">
        <f>IF(MAXIFS('Payments Log'!N:N, 'Payments Log'!L:L, "Approved", 'Payments Log'!M:M, "Credit", 'Payments Log'!B:B, A351) &gt; MAXIFS('Payments Log'!N:N, 'Payments Log'!L:L, "Approved", 'Payments Log'!M:M, "Virtual Credit", 'Payments Log'!B:B, A351), 0, SUMIFS('Payments Log'!D:D, 'Payments Log'!N:N, MAXIFS('Payments Log'!N:N, 'Payments Log'!L:L, "Approved", 'Payments Log'!M:M, "Virtual Credit", 'Payments Log'!B:B, A351)))</f>
        <v>0</v>
      </c>
      <c r="DX351" s="33">
        <f t="shared" si="6"/>
        <v>0</v>
      </c>
      <c r="DY351" s="33">
        <f t="shared" si="7"/>
        <v>0</v>
      </c>
      <c r="DZ351" s="26">
        <f t="shared" si="8"/>
        <v>0</v>
      </c>
      <c r="EA351" s="26" t="str">
        <f>(Sheet1!N351)</f>
        <v>Mahabir Automobiles -Sultanpur</v>
      </c>
      <c r="EB351" s="26" t="str">
        <f>(Sheet1!O351)</f>
        <v>1fHCHQnIWmfXqP4jwi-agXjfK1q2zM0BUeG3fwB0qApc</v>
      </c>
      <c r="EC351" s="26" t="str">
        <f>(Sheet1!P351)</f>
        <v>Sub Dealer</v>
      </c>
      <c r="ED351" s="34" t="s">
        <v>13</v>
      </c>
    </row>
    <row r="352">
      <c r="A352" s="26" t="str">
        <f>(Sheet1!A352)</f>
        <v>1pgLMvBNo6E9kbkAnv0QBIhYBBR1IrW1G6mYv4sWfOmc</v>
      </c>
      <c r="B352" s="26" t="str">
        <f>(Sheet1!B352)</f>
        <v>KISANSKB-(MA)</v>
      </c>
      <c r="C352" s="34" t="s">
        <v>13</v>
      </c>
      <c r="D352" s="34" t="s">
        <v>72</v>
      </c>
      <c r="E352" s="34" t="s">
        <v>3817</v>
      </c>
      <c r="F352" s="34">
        <v>175.0</v>
      </c>
      <c r="G352" s="34" t="s">
        <v>3818</v>
      </c>
      <c r="H352" s="34">
        <v>100.0</v>
      </c>
      <c r="I352" s="33">
        <f>'Old Balance Sheet'!A352 + 'ACPL Calculations - 1.0'!A352 + 'ACPL Calculations - 2.0'!A352</f>
        <v>0</v>
      </c>
      <c r="J352" s="34" t="s">
        <v>3817</v>
      </c>
      <c r="K352" s="34">
        <v>205.0</v>
      </c>
      <c r="L352" s="34" t="s">
        <v>3818</v>
      </c>
      <c r="M352" s="34">
        <v>100.0</v>
      </c>
      <c r="N352" s="33">
        <f>'Old Balance Sheet'!B352 + 'ACPL Calculations - 1.0'!B352 + 'ACPL Calculations - 2.0'!B352</f>
        <v>0</v>
      </c>
      <c r="O352" s="34" t="s">
        <v>3817</v>
      </c>
      <c r="P352" s="34">
        <v>290.0</v>
      </c>
      <c r="Q352" s="34" t="s">
        <v>3818</v>
      </c>
      <c r="R352" s="34">
        <v>100.0</v>
      </c>
      <c r="S352" s="33">
        <f>'Old Balance Sheet'!C352 + 'ACPL Calculations - 1.0'!C352 + 'ACPL Calculations - 2.0'!C352</f>
        <v>0</v>
      </c>
      <c r="T352" s="34" t="s">
        <v>3817</v>
      </c>
      <c r="U352" s="34">
        <v>375.0</v>
      </c>
      <c r="V352" s="34" t="s">
        <v>3818</v>
      </c>
      <c r="W352" s="34">
        <v>100.0</v>
      </c>
      <c r="X352" s="33">
        <f>'Old Balance Sheet'!D352 + 'ACPL Calculations - 1.0'!D352 + 'ACPL Calculations - 2.0'!D352</f>
        <v>0</v>
      </c>
      <c r="Y352" s="34" t="s">
        <v>3817</v>
      </c>
      <c r="Z352" s="34">
        <v>460.0</v>
      </c>
      <c r="AA352" s="32" t="s">
        <v>3818</v>
      </c>
      <c r="AB352" s="31">
        <v>100.0</v>
      </c>
      <c r="AC352" s="33">
        <f>'Old Balance Sheet'!E352 + 'ACPL Calculations - 1.0'!E352 + 'ACPL Calculations - 2.0'!E352</f>
        <v>0</v>
      </c>
      <c r="AD352" s="34" t="s">
        <v>3817</v>
      </c>
      <c r="AE352" s="34">
        <v>838.99</v>
      </c>
      <c r="AF352" s="32" t="s">
        <v>3818</v>
      </c>
      <c r="AG352" s="31">
        <v>100.0</v>
      </c>
      <c r="AH352" s="33">
        <f>'Old Balance Sheet'!F352 + 'ACPL Calculations - 1.0'!F352 + 'ACPL Calculations - 2.0'!F352</f>
        <v>0</v>
      </c>
      <c r="AI352" s="34" t="s">
        <v>3817</v>
      </c>
      <c r="AJ352" s="34">
        <v>375.0</v>
      </c>
      <c r="AK352" s="32" t="s">
        <v>3818</v>
      </c>
      <c r="AL352" s="31">
        <v>100.0</v>
      </c>
      <c r="AM352" s="33">
        <f>'Old Balance Sheet'!G352 + 'ACPL Calculations - 1.0'!G352 + 'ACPL Calculations - 2.0'!G352</f>
        <v>0</v>
      </c>
      <c r="AN352" s="34" t="s">
        <v>3817</v>
      </c>
      <c r="AO352" s="34">
        <v>290.0</v>
      </c>
      <c r="AP352" s="32" t="s">
        <v>3818</v>
      </c>
      <c r="AQ352" s="31">
        <v>100.0</v>
      </c>
      <c r="AR352" s="33">
        <f>'Old Balance Sheet'!H352 + 'ACPL Calculations - 1.0'!H352 + 'ACPL Calculations - 2.0'!H352</f>
        <v>0</v>
      </c>
      <c r="AS352" s="34" t="s">
        <v>3819</v>
      </c>
      <c r="AT352" s="34">
        <v>838.99</v>
      </c>
      <c r="AU352" s="32" t="s">
        <v>3818</v>
      </c>
      <c r="AV352" s="31">
        <v>100.0</v>
      </c>
      <c r="AW352" s="33">
        <f>'Old Balance Sheet'!I352 + 'ACPL Calculations - 1.0'!I352 + 'ACPL Calculations - 2.0'!I352</f>
        <v>0</v>
      </c>
      <c r="AX352" s="34" t="s">
        <v>3817</v>
      </c>
      <c r="AY352" s="34">
        <v>290.0</v>
      </c>
      <c r="AZ352" s="32" t="s">
        <v>3818</v>
      </c>
      <c r="BA352" s="31">
        <v>100.0</v>
      </c>
      <c r="BB352" s="33">
        <f>'Old Balance Sheet'!J352 + 'ACPL Calculations - 1.0'!J352 + 'ACPL Calculations - 2.0'!J352</f>
        <v>0</v>
      </c>
      <c r="BC352" s="34" t="s">
        <v>3817</v>
      </c>
      <c r="BD352" s="34">
        <v>205.0</v>
      </c>
      <c r="BE352" s="32" t="s">
        <v>3818</v>
      </c>
      <c r="BF352" s="31">
        <v>100.0</v>
      </c>
      <c r="BG352" s="33">
        <f>'Old Balance Sheet'!K352 + 'ACPL Calculations - 1.0'!K352 + 'ACPL Calculations - 2.0'!K352</f>
        <v>0</v>
      </c>
      <c r="BH352" s="34" t="s">
        <v>3817</v>
      </c>
      <c r="BI352" s="34">
        <v>205.0</v>
      </c>
      <c r="BJ352" s="32" t="s">
        <v>3818</v>
      </c>
      <c r="BK352" s="31">
        <v>100.0</v>
      </c>
      <c r="BL352" s="33">
        <f>'Old Balance Sheet'!L352 + 'ACPL Calculations - 1.0'!L352 + 'ACPL Calculations - 2.0'!L352</f>
        <v>0</v>
      </c>
      <c r="CL352" s="33">
        <f t="shared" si="1"/>
        <v>0</v>
      </c>
      <c r="CM352" s="33">
        <f>'Old Balance Sheet'!R352 + 'ACPL Calculations - 1.0'!S352 + 'ACPL Calculations - 2.0'!S352</f>
        <v>0</v>
      </c>
      <c r="CN352" s="33">
        <f>'Old Balance Sheet'!S352 + 'ACPL Calculations - 1.0'!T352 + 'ACPL Calculations - 2.0'!T352</f>
        <v>0</v>
      </c>
      <c r="CO352" s="26">
        <f t="shared" si="2"/>
        <v>0</v>
      </c>
      <c r="CP352" s="33">
        <f>'Old Balance Sheet'!T352 + 'ACPL Calculations - 1.0'!V352 + 'ACPL Calculations - 2.0'!V352</f>
        <v>0</v>
      </c>
      <c r="CQ352" s="33">
        <f>'Old Balance Sheet'!U352 + 'ACPL Calculations - 1.0'!W352 + 'ACPL Calculations - 2.0'!W352</f>
        <v>0</v>
      </c>
      <c r="CR352" s="33">
        <f>'Old Balance Sheet'!V352 + 'ACPL Calculations - 1.0'!X352 + 'ACPL Calculations - 2.0'!X352</f>
        <v>0</v>
      </c>
      <c r="CS352" s="26">
        <f t="shared" si="3"/>
        <v>0</v>
      </c>
      <c r="CT352" s="34">
        <v>0.0</v>
      </c>
      <c r="CU352" s="34">
        <v>0.0</v>
      </c>
      <c r="CV352" s="34">
        <v>0.0</v>
      </c>
      <c r="CW352" s="36">
        <f>'Old Balance Sheet'!W352 + 'ACPL Calculations - 1.0'!Z352 + 'ACPL Calculations - 2.0'!Z352</f>
        <v>0</v>
      </c>
      <c r="CX352" s="36">
        <f>'Old Balance Sheet'!X352 + 'ACPL Calculations - 1.0'!AA352 + 'ACPL Calculations - 2.0'!AA352</f>
        <v>0</v>
      </c>
      <c r="CY352" s="37">
        <v>0.0</v>
      </c>
      <c r="CZ352" s="38">
        <f>'Old Balance Sheet'!Y352 + 'ACPL Calculations - 1.0'!AB352 + 'ACPL Calculations - 2.0'!AB352</f>
        <v>0</v>
      </c>
      <c r="DA352" s="38">
        <f>'Old Balance Sheet'!Z352 + 'ACPL Calculations - 1.0'!AC352 + 'ACPL Calculations - 2.0'!AC352</f>
        <v>0</v>
      </c>
      <c r="DB352" s="38">
        <f>'Old Balance Sheet'!AA352 + 'ACPL Calculations - 1.0'!AD352 + 'ACPL Calculations - 2.0'!AD352</f>
        <v>0</v>
      </c>
      <c r="DC352" s="38">
        <f>'Old Balance Sheet'!AB352 + 'ACPL Calculations - 1.0'!AE352 + 'ACPL Calculations - 2.0'!AE352</f>
        <v>0</v>
      </c>
      <c r="DD352" s="38">
        <f t="shared" si="4"/>
        <v>0</v>
      </c>
      <c r="DE352" s="33">
        <f t="shared" si="5"/>
        <v>0</v>
      </c>
      <c r="DF352" s="35">
        <v>0.0</v>
      </c>
      <c r="DG352" s="34">
        <v>0.0</v>
      </c>
      <c r="DH352" s="34">
        <v>0.0</v>
      </c>
      <c r="DI352" s="34">
        <v>0.0</v>
      </c>
      <c r="DJ352" s="34">
        <v>0.0</v>
      </c>
      <c r="DK352" s="34">
        <v>0.0</v>
      </c>
      <c r="DL352" s="34">
        <v>0.0</v>
      </c>
      <c r="DM352" s="34">
        <v>0.0</v>
      </c>
      <c r="DN352" s="34">
        <v>0.0</v>
      </c>
      <c r="DO352" s="34">
        <v>0.0</v>
      </c>
      <c r="DP352" s="34">
        <v>0.0</v>
      </c>
      <c r="DQ352" s="34">
        <v>0.0</v>
      </c>
      <c r="DR352" s="34">
        <v>0.0</v>
      </c>
      <c r="DS352" s="34">
        <v>0.0</v>
      </c>
      <c r="DT352" s="26" t="str">
        <f>'Old Balance Sheet'!AC352</f>
        <v/>
      </c>
      <c r="DU352" s="26">
        <f>DT352 + SUMIFS('Payments Log'!D:D, 'Payments Log'!B:B, A352, 'Payments Log'!L:L, "Approved", 'Payments Log'!M:M, "Credit") + 'Old Balance Sheet'!AD352 - 'Old Balance Sheet'!AC352</f>
        <v>0</v>
      </c>
      <c r="DV352" s="26">
        <f>SUMIFS('Payments Log'!D:D, 'Payments Log'!B:B, A352, 'Payments Log'!L:L, "Approved", 'Payments Log'!M:M, "Adjustment Credit") - SUMIFS('Payments Log'!D:D, 'Payments Log'!B:B, A352, 'Payments Log'!L:L, "Approved", 'Payments Log'!M:M, "Adjustment Debit") + 'Old Balance Sheet'!AE352</f>
        <v>0</v>
      </c>
      <c r="DW352" s="31">
        <f>IF(MAXIFS('Payments Log'!N:N, 'Payments Log'!L:L, "Approved", 'Payments Log'!M:M, "Credit", 'Payments Log'!B:B, A352) &gt; MAXIFS('Payments Log'!N:N, 'Payments Log'!L:L, "Approved", 'Payments Log'!M:M, "Virtual Credit", 'Payments Log'!B:B, A352), 0, SUMIFS('Payments Log'!D:D, 'Payments Log'!N:N, MAXIFS('Payments Log'!N:N, 'Payments Log'!L:L, "Approved", 'Payments Log'!M:M, "Virtual Credit", 'Payments Log'!B:B, A352)))</f>
        <v>0</v>
      </c>
      <c r="DX352" s="33">
        <f t="shared" si="6"/>
        <v>0</v>
      </c>
      <c r="DY352" s="33">
        <f t="shared" si="7"/>
        <v>0</v>
      </c>
      <c r="DZ352" s="26">
        <f t="shared" si="8"/>
        <v>0</v>
      </c>
      <c r="EA352" s="26" t="str">
        <f>(Sheet1!N352)</f>
        <v>Mahabir Automobiles -Sultanpur</v>
      </c>
      <c r="EB352" s="26" t="str">
        <f>(Sheet1!O352)</f>
        <v>1fHCHQnIWmfXqP4jwi-agXjfK1q2zM0BUeG3fwB0qApc</v>
      </c>
      <c r="EC352" s="26" t="str">
        <f>(Sheet1!P352)</f>
        <v>Sub Dealer</v>
      </c>
      <c r="ED352" s="34" t="s">
        <v>13</v>
      </c>
    </row>
    <row r="353">
      <c r="A353" s="26" t="str">
        <f>(Sheet1!A353)</f>
        <v>1_wqbP8y90HVN-akJ64Qqd1i2hjJPFweXimmLRe7vvbg</v>
      </c>
      <c r="B353" s="26" t="str">
        <f>(Sheet1!B353)</f>
        <v>Kanha automobiles-Baldirai(MA)</v>
      </c>
      <c r="C353" s="34" t="s">
        <v>13</v>
      </c>
      <c r="D353" s="34" t="s">
        <v>72</v>
      </c>
      <c r="E353" s="34" t="s">
        <v>3817</v>
      </c>
      <c r="F353" s="34">
        <v>175.0</v>
      </c>
      <c r="G353" s="34" t="s">
        <v>3818</v>
      </c>
      <c r="H353" s="34">
        <v>100.0</v>
      </c>
      <c r="I353" s="33">
        <f>'Old Balance Sheet'!A353 + 'ACPL Calculations - 1.0'!A353 + 'ACPL Calculations - 2.0'!A353</f>
        <v>45</v>
      </c>
      <c r="J353" s="34" t="s">
        <v>3817</v>
      </c>
      <c r="K353" s="34">
        <v>205.0</v>
      </c>
      <c r="L353" s="34" t="s">
        <v>3818</v>
      </c>
      <c r="M353" s="34">
        <v>100.0</v>
      </c>
      <c r="N353" s="33">
        <f>'Old Balance Sheet'!B353 + 'ACPL Calculations - 1.0'!B353 + 'ACPL Calculations - 2.0'!B353</f>
        <v>0</v>
      </c>
      <c r="O353" s="34" t="s">
        <v>3817</v>
      </c>
      <c r="P353" s="34">
        <v>290.0</v>
      </c>
      <c r="Q353" s="34" t="s">
        <v>3818</v>
      </c>
      <c r="R353" s="34">
        <v>100.0</v>
      </c>
      <c r="S353" s="33">
        <f>'Old Balance Sheet'!C353 + 'ACPL Calculations - 1.0'!C353 + 'ACPL Calculations - 2.0'!C353</f>
        <v>0</v>
      </c>
      <c r="T353" s="34" t="s">
        <v>3817</v>
      </c>
      <c r="U353" s="34">
        <v>375.0</v>
      </c>
      <c r="V353" s="34" t="s">
        <v>3818</v>
      </c>
      <c r="W353" s="34">
        <v>100.0</v>
      </c>
      <c r="X353" s="33">
        <f>'Old Balance Sheet'!D353 + 'ACPL Calculations - 1.0'!D353 + 'ACPL Calculations - 2.0'!D353</f>
        <v>0</v>
      </c>
      <c r="Y353" s="34" t="s">
        <v>3817</v>
      </c>
      <c r="Z353" s="34">
        <v>460.0</v>
      </c>
      <c r="AA353" s="32" t="s">
        <v>3818</v>
      </c>
      <c r="AB353" s="31">
        <v>100.0</v>
      </c>
      <c r="AC353" s="33">
        <f>'Old Balance Sheet'!E353 + 'ACPL Calculations - 1.0'!E353 + 'ACPL Calculations - 2.0'!E353</f>
        <v>0</v>
      </c>
      <c r="AD353" s="34" t="s">
        <v>3817</v>
      </c>
      <c r="AE353" s="34">
        <v>838.99</v>
      </c>
      <c r="AF353" s="32" t="s">
        <v>3818</v>
      </c>
      <c r="AG353" s="31">
        <v>100.0</v>
      </c>
      <c r="AH353" s="33">
        <f>'Old Balance Sheet'!F353 + 'ACPL Calculations - 1.0'!F353 + 'ACPL Calculations - 2.0'!F353</f>
        <v>0</v>
      </c>
      <c r="AI353" s="34" t="s">
        <v>3817</v>
      </c>
      <c r="AJ353" s="34">
        <v>375.0</v>
      </c>
      <c r="AK353" s="32" t="s">
        <v>3818</v>
      </c>
      <c r="AL353" s="31">
        <v>100.0</v>
      </c>
      <c r="AM353" s="33">
        <f>'Old Balance Sheet'!G353 + 'ACPL Calculations - 1.0'!G353 + 'ACPL Calculations - 2.0'!G353</f>
        <v>0</v>
      </c>
      <c r="AN353" s="34" t="s">
        <v>3817</v>
      </c>
      <c r="AO353" s="34">
        <v>290.0</v>
      </c>
      <c r="AP353" s="32" t="s">
        <v>3818</v>
      </c>
      <c r="AQ353" s="31">
        <v>100.0</v>
      </c>
      <c r="AR353" s="33">
        <f>'Old Balance Sheet'!H353 + 'ACPL Calculations - 1.0'!H353 + 'ACPL Calculations - 2.0'!H353</f>
        <v>0</v>
      </c>
      <c r="AS353" s="34" t="s">
        <v>3819</v>
      </c>
      <c r="AT353" s="34">
        <v>838.99</v>
      </c>
      <c r="AU353" s="32" t="s">
        <v>3818</v>
      </c>
      <c r="AV353" s="31">
        <v>100.0</v>
      </c>
      <c r="AW353" s="33">
        <f>'Old Balance Sheet'!I353 + 'ACPL Calculations - 1.0'!I353 + 'ACPL Calculations - 2.0'!I353</f>
        <v>0</v>
      </c>
      <c r="AX353" s="34" t="s">
        <v>3817</v>
      </c>
      <c r="AY353" s="34">
        <v>290.0</v>
      </c>
      <c r="AZ353" s="32" t="s">
        <v>3818</v>
      </c>
      <c r="BA353" s="31">
        <v>100.0</v>
      </c>
      <c r="BB353" s="33">
        <f>'Old Balance Sheet'!J353 + 'ACPL Calculations - 1.0'!J353 + 'ACPL Calculations - 2.0'!J353</f>
        <v>0</v>
      </c>
      <c r="BC353" s="34" t="s">
        <v>3817</v>
      </c>
      <c r="BD353" s="34">
        <v>205.0</v>
      </c>
      <c r="BE353" s="32" t="s">
        <v>3818</v>
      </c>
      <c r="BF353" s="31">
        <v>100.0</v>
      </c>
      <c r="BG353" s="33">
        <f>'Old Balance Sheet'!K353 + 'ACPL Calculations - 1.0'!K353 + 'ACPL Calculations - 2.0'!K353</f>
        <v>0</v>
      </c>
      <c r="BH353" s="34" t="s">
        <v>3817</v>
      </c>
      <c r="BI353" s="34">
        <v>205.0</v>
      </c>
      <c r="BJ353" s="32" t="s">
        <v>3818</v>
      </c>
      <c r="BK353" s="31">
        <v>100.0</v>
      </c>
      <c r="BL353" s="33">
        <f>'Old Balance Sheet'!L353 + 'ACPL Calculations - 1.0'!L353 + 'ACPL Calculations - 2.0'!L353</f>
        <v>0</v>
      </c>
      <c r="CL353" s="33">
        <f t="shared" si="1"/>
        <v>45</v>
      </c>
      <c r="CM353" s="33">
        <f>'Old Balance Sheet'!R353 + 'ACPL Calculations - 1.0'!S353 + 'ACPL Calculations - 2.0'!S353</f>
        <v>19890</v>
      </c>
      <c r="CN353" s="33">
        <f>'Old Balance Sheet'!S353 + 'ACPL Calculations - 1.0'!T353 + 'ACPL Calculations - 2.0'!T353</f>
        <v>7875</v>
      </c>
      <c r="CO353" s="26">
        <f t="shared" si="2"/>
        <v>10908.9</v>
      </c>
      <c r="CP353" s="33">
        <f>'Old Balance Sheet'!T353 + 'ACPL Calculations - 1.0'!V353 + 'ACPL Calculations - 2.0'!V353</f>
        <v>0</v>
      </c>
      <c r="CQ353" s="33">
        <f>'Old Balance Sheet'!U353 + 'ACPL Calculations - 1.0'!W353 + 'ACPL Calculations - 2.0'!W353</f>
        <v>0</v>
      </c>
      <c r="CR353" s="33">
        <f>'Old Balance Sheet'!V353 + 'ACPL Calculations - 1.0'!X353 + 'ACPL Calculations - 2.0'!X353</f>
        <v>3033.9</v>
      </c>
      <c r="CS353" s="26">
        <f t="shared" si="3"/>
        <v>3033.9</v>
      </c>
      <c r="CT353" s="34">
        <v>0.0</v>
      </c>
      <c r="CU353" s="34">
        <v>0.0</v>
      </c>
      <c r="CV353" s="34">
        <v>0.0</v>
      </c>
      <c r="CW353" s="36">
        <f>'Old Balance Sheet'!W353 + 'ACPL Calculations - 1.0'!Z353 + 'ACPL Calculations - 2.0'!Z353</f>
        <v>0</v>
      </c>
      <c r="CX353" s="36">
        <f>'Old Balance Sheet'!X353 + 'ACPL Calculations - 1.0'!AA353 + 'ACPL Calculations - 2.0'!AA353</f>
        <v>0</v>
      </c>
      <c r="CY353" s="37">
        <v>0.0</v>
      </c>
      <c r="CZ353" s="38">
        <f>'Old Balance Sheet'!Y353 + 'ACPL Calculations - 1.0'!AB353 + 'ACPL Calculations - 2.0'!AB353</f>
        <v>0</v>
      </c>
      <c r="DA353" s="38">
        <f>'Old Balance Sheet'!Z353 + 'ACPL Calculations - 1.0'!AC353 + 'ACPL Calculations - 2.0'!AC353</f>
        <v>0</v>
      </c>
      <c r="DB353" s="38">
        <f>'Old Balance Sheet'!AA353 + 'ACPL Calculations - 1.0'!AD353 + 'ACPL Calculations - 2.0'!AD353</f>
        <v>0</v>
      </c>
      <c r="DC353" s="38">
        <f>'Old Balance Sheet'!AB353 + 'ACPL Calculations - 1.0'!AE353 + 'ACPL Calculations - 2.0'!AE353</f>
        <v>0</v>
      </c>
      <c r="DD353" s="38">
        <f t="shared" si="4"/>
        <v>0</v>
      </c>
      <c r="DE353" s="33">
        <f t="shared" si="5"/>
        <v>0</v>
      </c>
      <c r="DF353" s="35">
        <v>0.0</v>
      </c>
      <c r="DG353" s="34">
        <v>0.0</v>
      </c>
      <c r="DH353" s="34">
        <v>0.0</v>
      </c>
      <c r="DI353" s="34">
        <v>0.0</v>
      </c>
      <c r="DJ353" s="34">
        <v>0.0</v>
      </c>
      <c r="DK353" s="34">
        <v>0.0</v>
      </c>
      <c r="DL353" s="34">
        <v>0.0</v>
      </c>
      <c r="DM353" s="34">
        <v>0.0</v>
      </c>
      <c r="DN353" s="34">
        <v>0.0</v>
      </c>
      <c r="DO353" s="34">
        <v>0.0</v>
      </c>
      <c r="DP353" s="34">
        <v>0.0</v>
      </c>
      <c r="DQ353" s="34">
        <v>0.0</v>
      </c>
      <c r="DR353" s="34">
        <v>0.0</v>
      </c>
      <c r="DS353" s="34">
        <v>0.0</v>
      </c>
      <c r="DT353" s="26" t="str">
        <f>'Old Balance Sheet'!AC353</f>
        <v/>
      </c>
      <c r="DU353" s="26">
        <f>DT353 + SUMIFS('Payments Log'!D:D, 'Payments Log'!B:B, A353, 'Payments Log'!L:L, "Approved", 'Payments Log'!M:M, "Credit") + 'Old Balance Sheet'!AD353 - 'Old Balance Sheet'!AC353</f>
        <v>0</v>
      </c>
      <c r="DV353" s="26">
        <f>SUMIFS('Payments Log'!D:D, 'Payments Log'!B:B, A353, 'Payments Log'!L:L, "Approved", 'Payments Log'!M:M, "Adjustment Credit") - SUMIFS('Payments Log'!D:D, 'Payments Log'!B:B, A353, 'Payments Log'!L:L, "Approved", 'Payments Log'!M:M, "Adjustment Debit") + 'Old Balance Sheet'!AE353</f>
        <v>0</v>
      </c>
      <c r="DW353" s="31">
        <f>IF(MAXIFS('Payments Log'!N:N, 'Payments Log'!L:L, "Approved", 'Payments Log'!M:M, "Credit", 'Payments Log'!B:B, A353) &gt; MAXIFS('Payments Log'!N:N, 'Payments Log'!L:L, "Approved", 'Payments Log'!M:M, "Virtual Credit", 'Payments Log'!B:B, A353), 0, SUMIFS('Payments Log'!D:D, 'Payments Log'!N:N, MAXIFS('Payments Log'!N:N, 'Payments Log'!L:L, "Approved", 'Payments Log'!M:M, "Virtual Credit", 'Payments Log'!B:B, A353)))</f>
        <v>0</v>
      </c>
      <c r="DX353" s="33">
        <f t="shared" si="6"/>
        <v>0</v>
      </c>
      <c r="DY353" s="33">
        <f t="shared" si="7"/>
        <v>0</v>
      </c>
      <c r="DZ353" s="26">
        <f t="shared" si="8"/>
        <v>0</v>
      </c>
      <c r="EA353" s="26" t="str">
        <f>(Sheet1!N353)</f>
        <v>Mahabir Automobiles -Sultanpur</v>
      </c>
      <c r="EB353" s="26" t="str">
        <f>(Sheet1!O353)</f>
        <v>1fHCHQnIWmfXqP4jwi-agXjfK1q2zM0BUeG3fwB0qApc</v>
      </c>
      <c r="EC353" s="26" t="str">
        <f>(Sheet1!P353)</f>
        <v>Sub Dealer</v>
      </c>
      <c r="ED353" s="34" t="s">
        <v>13</v>
      </c>
    </row>
    <row r="354">
      <c r="A354" s="26" t="str">
        <f>(Sheet1!A354)</f>
        <v>19NDu3EYtq9wEdW_s5MHQnnQjuWO6F7LAEyvadXaaoHg</v>
      </c>
      <c r="B354" s="26" t="str">
        <f>(Sheet1!B354)</f>
        <v>Sharan automobiles-Wallipur(MA)</v>
      </c>
      <c r="C354" s="34" t="s">
        <v>13</v>
      </c>
      <c r="D354" s="34" t="s">
        <v>72</v>
      </c>
      <c r="E354" s="34" t="s">
        <v>3817</v>
      </c>
      <c r="F354" s="34">
        <v>175.0</v>
      </c>
      <c r="G354" s="34" t="s">
        <v>3818</v>
      </c>
      <c r="H354" s="34">
        <v>100.0</v>
      </c>
      <c r="I354" s="33">
        <f>'Old Balance Sheet'!A354 + 'ACPL Calculations - 1.0'!A354 + 'ACPL Calculations - 2.0'!A354</f>
        <v>49</v>
      </c>
      <c r="J354" s="34" t="s">
        <v>3817</v>
      </c>
      <c r="K354" s="34">
        <v>205.0</v>
      </c>
      <c r="L354" s="34" t="s">
        <v>3818</v>
      </c>
      <c r="M354" s="34">
        <v>100.0</v>
      </c>
      <c r="N354" s="33">
        <f>'Old Balance Sheet'!B354 + 'ACPL Calculations - 1.0'!B354 + 'ACPL Calculations - 2.0'!B354</f>
        <v>0</v>
      </c>
      <c r="O354" s="34" t="s">
        <v>3817</v>
      </c>
      <c r="P354" s="34">
        <v>290.0</v>
      </c>
      <c r="Q354" s="34" t="s">
        <v>3818</v>
      </c>
      <c r="R354" s="34">
        <v>100.0</v>
      </c>
      <c r="S354" s="33">
        <f>'Old Balance Sheet'!C354 + 'ACPL Calculations - 1.0'!C354 + 'ACPL Calculations - 2.0'!C354</f>
        <v>0</v>
      </c>
      <c r="T354" s="34" t="s">
        <v>3817</v>
      </c>
      <c r="U354" s="34">
        <v>375.0</v>
      </c>
      <c r="V354" s="34" t="s">
        <v>3818</v>
      </c>
      <c r="W354" s="34">
        <v>100.0</v>
      </c>
      <c r="X354" s="33">
        <f>'Old Balance Sheet'!D354 + 'ACPL Calculations - 1.0'!D354 + 'ACPL Calculations - 2.0'!D354</f>
        <v>0</v>
      </c>
      <c r="Y354" s="34" t="s">
        <v>3817</v>
      </c>
      <c r="Z354" s="34">
        <v>460.0</v>
      </c>
      <c r="AA354" s="32" t="s">
        <v>3818</v>
      </c>
      <c r="AB354" s="31">
        <v>100.0</v>
      </c>
      <c r="AC354" s="33">
        <f>'Old Balance Sheet'!E354 + 'ACPL Calculations - 1.0'!E354 + 'ACPL Calculations - 2.0'!E354</f>
        <v>0</v>
      </c>
      <c r="AD354" s="34" t="s">
        <v>3817</v>
      </c>
      <c r="AE354" s="34">
        <v>838.99</v>
      </c>
      <c r="AF354" s="32" t="s">
        <v>3818</v>
      </c>
      <c r="AG354" s="31">
        <v>100.0</v>
      </c>
      <c r="AH354" s="33">
        <f>'Old Balance Sheet'!F354 + 'ACPL Calculations - 1.0'!F354 + 'ACPL Calculations - 2.0'!F354</f>
        <v>0</v>
      </c>
      <c r="AI354" s="34" t="s">
        <v>3817</v>
      </c>
      <c r="AJ354" s="34">
        <v>375.0</v>
      </c>
      <c r="AK354" s="32" t="s">
        <v>3818</v>
      </c>
      <c r="AL354" s="31">
        <v>100.0</v>
      </c>
      <c r="AM354" s="33">
        <f>'Old Balance Sheet'!G354 + 'ACPL Calculations - 1.0'!G354 + 'ACPL Calculations - 2.0'!G354</f>
        <v>0</v>
      </c>
      <c r="AN354" s="34" t="s">
        <v>3817</v>
      </c>
      <c r="AO354" s="34">
        <v>290.0</v>
      </c>
      <c r="AP354" s="32" t="s">
        <v>3818</v>
      </c>
      <c r="AQ354" s="31">
        <v>100.0</v>
      </c>
      <c r="AR354" s="33">
        <f>'Old Balance Sheet'!H354 + 'ACPL Calculations - 1.0'!H354 + 'ACPL Calculations - 2.0'!H354</f>
        <v>0</v>
      </c>
      <c r="AS354" s="34" t="s">
        <v>3819</v>
      </c>
      <c r="AT354" s="34">
        <v>838.99</v>
      </c>
      <c r="AU354" s="32" t="s">
        <v>3818</v>
      </c>
      <c r="AV354" s="31">
        <v>100.0</v>
      </c>
      <c r="AW354" s="33">
        <f>'Old Balance Sheet'!I354 + 'ACPL Calculations - 1.0'!I354 + 'ACPL Calculations - 2.0'!I354</f>
        <v>0</v>
      </c>
      <c r="AX354" s="34" t="s">
        <v>3817</v>
      </c>
      <c r="AY354" s="34">
        <v>290.0</v>
      </c>
      <c r="AZ354" s="32" t="s">
        <v>3818</v>
      </c>
      <c r="BA354" s="31">
        <v>100.0</v>
      </c>
      <c r="BB354" s="33">
        <f>'Old Balance Sheet'!J354 + 'ACPL Calculations - 1.0'!J354 + 'ACPL Calculations - 2.0'!J354</f>
        <v>0</v>
      </c>
      <c r="BC354" s="34" t="s">
        <v>3817</v>
      </c>
      <c r="BD354" s="34">
        <v>205.0</v>
      </c>
      <c r="BE354" s="32" t="s">
        <v>3818</v>
      </c>
      <c r="BF354" s="31">
        <v>100.0</v>
      </c>
      <c r="BG354" s="33">
        <f>'Old Balance Sheet'!K354 + 'ACPL Calculations - 1.0'!K354 + 'ACPL Calculations - 2.0'!K354</f>
        <v>0</v>
      </c>
      <c r="BH354" s="34" t="s">
        <v>3817</v>
      </c>
      <c r="BI354" s="34">
        <v>205.0</v>
      </c>
      <c r="BJ354" s="32" t="s">
        <v>3818</v>
      </c>
      <c r="BK354" s="31">
        <v>100.0</v>
      </c>
      <c r="BL354" s="33">
        <f>'Old Balance Sheet'!L354 + 'ACPL Calculations - 1.0'!L354 + 'ACPL Calculations - 2.0'!L354</f>
        <v>0</v>
      </c>
      <c r="CL354" s="33">
        <f t="shared" si="1"/>
        <v>49</v>
      </c>
      <c r="CM354" s="33">
        <f>'Old Balance Sheet'!R354 + 'ACPL Calculations - 1.0'!S354 + 'ACPL Calculations - 2.0'!S354</f>
        <v>21658</v>
      </c>
      <c r="CN354" s="33">
        <f>'Old Balance Sheet'!S354 + 'ACPL Calculations - 1.0'!T354 + 'ACPL Calculations - 2.0'!T354</f>
        <v>8575</v>
      </c>
      <c r="CO354" s="26">
        <f t="shared" si="2"/>
        <v>11878.58</v>
      </c>
      <c r="CP354" s="33">
        <f>'Old Balance Sheet'!T354 + 'ACPL Calculations - 1.0'!V354 + 'ACPL Calculations - 2.0'!V354</f>
        <v>0</v>
      </c>
      <c r="CQ354" s="33">
        <f>'Old Balance Sheet'!U354 + 'ACPL Calculations - 1.0'!W354 + 'ACPL Calculations - 2.0'!W354</f>
        <v>0</v>
      </c>
      <c r="CR354" s="33">
        <f>'Old Balance Sheet'!V354 + 'ACPL Calculations - 1.0'!X354 + 'ACPL Calculations - 2.0'!X354</f>
        <v>3303.58</v>
      </c>
      <c r="CS354" s="26">
        <f t="shared" si="3"/>
        <v>3303.58</v>
      </c>
      <c r="CT354" s="34">
        <v>0.0</v>
      </c>
      <c r="CU354" s="34">
        <v>0.0</v>
      </c>
      <c r="CV354" s="34">
        <v>0.0</v>
      </c>
      <c r="CW354" s="36">
        <f>'Old Balance Sheet'!W354 + 'ACPL Calculations - 1.0'!Z354 + 'ACPL Calculations - 2.0'!Z354</f>
        <v>0</v>
      </c>
      <c r="CX354" s="36">
        <f>'Old Balance Sheet'!X354 + 'ACPL Calculations - 1.0'!AA354 + 'ACPL Calculations - 2.0'!AA354</f>
        <v>0</v>
      </c>
      <c r="CY354" s="37">
        <v>0.0</v>
      </c>
      <c r="CZ354" s="38">
        <f>'Old Balance Sheet'!Y354 + 'ACPL Calculations - 1.0'!AB354 + 'ACPL Calculations - 2.0'!AB354</f>
        <v>0</v>
      </c>
      <c r="DA354" s="38">
        <f>'Old Balance Sheet'!Z354 + 'ACPL Calculations - 1.0'!AC354 + 'ACPL Calculations - 2.0'!AC354</f>
        <v>0</v>
      </c>
      <c r="DB354" s="38">
        <f>'Old Balance Sheet'!AA354 + 'ACPL Calculations - 1.0'!AD354 + 'ACPL Calculations - 2.0'!AD354</f>
        <v>0</v>
      </c>
      <c r="DC354" s="38">
        <f>'Old Balance Sheet'!AB354 + 'ACPL Calculations - 1.0'!AE354 + 'ACPL Calculations - 2.0'!AE354</f>
        <v>0</v>
      </c>
      <c r="DD354" s="38">
        <f t="shared" si="4"/>
        <v>0</v>
      </c>
      <c r="DE354" s="33">
        <f t="shared" si="5"/>
        <v>0</v>
      </c>
      <c r="DF354" s="35">
        <v>0.0</v>
      </c>
      <c r="DG354" s="34">
        <v>0.0</v>
      </c>
      <c r="DH354" s="34">
        <v>0.0</v>
      </c>
      <c r="DI354" s="34">
        <v>0.0</v>
      </c>
      <c r="DJ354" s="34">
        <v>0.0</v>
      </c>
      <c r="DK354" s="34">
        <v>0.0</v>
      </c>
      <c r="DL354" s="34">
        <v>0.0</v>
      </c>
      <c r="DM354" s="34">
        <v>0.0</v>
      </c>
      <c r="DN354" s="34">
        <v>0.0</v>
      </c>
      <c r="DO354" s="34">
        <v>0.0</v>
      </c>
      <c r="DP354" s="34">
        <v>0.0</v>
      </c>
      <c r="DQ354" s="34">
        <v>0.0</v>
      </c>
      <c r="DR354" s="34">
        <v>0.0</v>
      </c>
      <c r="DS354" s="34">
        <v>0.0</v>
      </c>
      <c r="DT354" s="26" t="str">
        <f>'Old Balance Sheet'!AC354</f>
        <v/>
      </c>
      <c r="DU354" s="26">
        <f>DT354 + SUMIFS('Payments Log'!D:D, 'Payments Log'!B:B, A354, 'Payments Log'!L:L, "Approved", 'Payments Log'!M:M, "Credit") + 'Old Balance Sheet'!AD354 - 'Old Balance Sheet'!AC354</f>
        <v>0</v>
      </c>
      <c r="DV354" s="26">
        <f>SUMIFS('Payments Log'!D:D, 'Payments Log'!B:B, A354, 'Payments Log'!L:L, "Approved", 'Payments Log'!M:M, "Adjustment Credit") - SUMIFS('Payments Log'!D:D, 'Payments Log'!B:B, A354, 'Payments Log'!L:L, "Approved", 'Payments Log'!M:M, "Adjustment Debit") + 'Old Balance Sheet'!AE354</f>
        <v>0</v>
      </c>
      <c r="DW354" s="31">
        <f>IF(MAXIFS('Payments Log'!N:N, 'Payments Log'!L:L, "Approved", 'Payments Log'!M:M, "Credit", 'Payments Log'!B:B, A354) &gt; MAXIFS('Payments Log'!N:N, 'Payments Log'!L:L, "Approved", 'Payments Log'!M:M, "Virtual Credit", 'Payments Log'!B:B, A354), 0, SUMIFS('Payments Log'!D:D, 'Payments Log'!N:N, MAXIFS('Payments Log'!N:N, 'Payments Log'!L:L, "Approved", 'Payments Log'!M:M, "Virtual Credit", 'Payments Log'!B:B, A354)))</f>
        <v>0</v>
      </c>
      <c r="DX354" s="33">
        <f t="shared" si="6"/>
        <v>0</v>
      </c>
      <c r="DY354" s="33">
        <f t="shared" si="7"/>
        <v>0</v>
      </c>
      <c r="DZ354" s="26">
        <f t="shared" si="8"/>
        <v>0</v>
      </c>
      <c r="EA354" s="26" t="str">
        <f>(Sheet1!N354)</f>
        <v>Mahabir Automobiles -Sultanpur</v>
      </c>
      <c r="EB354" s="26" t="str">
        <f>(Sheet1!O354)</f>
        <v>1fHCHQnIWmfXqP4jwi-agXjfK1q2zM0BUeG3fwB0qApc</v>
      </c>
      <c r="EC354" s="26" t="str">
        <f>(Sheet1!P354)</f>
        <v>Sub Dealer</v>
      </c>
      <c r="ED354" s="34" t="s">
        <v>13</v>
      </c>
    </row>
    <row r="355">
      <c r="A355" s="26" t="str">
        <f>(Sheet1!A355)</f>
        <v>1KUr1bjytPw-Vpy-d3SSzwdi3dOB5ZCQ6mJezbdLS4wo</v>
      </c>
      <c r="B355" s="26" t="str">
        <f>(Sheet1!B355)</f>
        <v>Hind Automobiles-Munsiganj(MA)</v>
      </c>
      <c r="C355" s="34" t="s">
        <v>13</v>
      </c>
      <c r="D355" s="34" t="s">
        <v>72</v>
      </c>
      <c r="E355" s="34" t="s">
        <v>3817</v>
      </c>
      <c r="F355" s="34">
        <v>175.0</v>
      </c>
      <c r="G355" s="34" t="s">
        <v>3818</v>
      </c>
      <c r="H355" s="34">
        <v>100.0</v>
      </c>
      <c r="I355" s="33">
        <f>'Old Balance Sheet'!A355 + 'ACPL Calculations - 1.0'!A355 + 'ACPL Calculations - 2.0'!A355</f>
        <v>33</v>
      </c>
      <c r="J355" s="34" t="s">
        <v>3817</v>
      </c>
      <c r="K355" s="34">
        <v>205.0</v>
      </c>
      <c r="L355" s="34" t="s">
        <v>3818</v>
      </c>
      <c r="M355" s="34">
        <v>100.0</v>
      </c>
      <c r="N355" s="33">
        <f>'Old Balance Sheet'!B355 + 'ACPL Calculations - 1.0'!B355 + 'ACPL Calculations - 2.0'!B355</f>
        <v>0</v>
      </c>
      <c r="O355" s="34" t="s">
        <v>3817</v>
      </c>
      <c r="P355" s="34">
        <v>290.0</v>
      </c>
      <c r="Q355" s="34" t="s">
        <v>3818</v>
      </c>
      <c r="R355" s="34">
        <v>100.0</v>
      </c>
      <c r="S355" s="33">
        <f>'Old Balance Sheet'!C355 + 'ACPL Calculations - 1.0'!C355 + 'ACPL Calculations - 2.0'!C355</f>
        <v>0</v>
      </c>
      <c r="T355" s="34" t="s">
        <v>3817</v>
      </c>
      <c r="U355" s="34">
        <v>375.0</v>
      </c>
      <c r="V355" s="34" t="s">
        <v>3818</v>
      </c>
      <c r="W355" s="34">
        <v>100.0</v>
      </c>
      <c r="X355" s="33">
        <f>'Old Balance Sheet'!D355 + 'ACPL Calculations - 1.0'!D355 + 'ACPL Calculations - 2.0'!D355</f>
        <v>0</v>
      </c>
      <c r="Y355" s="34" t="s">
        <v>3817</v>
      </c>
      <c r="Z355" s="34">
        <v>460.0</v>
      </c>
      <c r="AA355" s="32" t="s">
        <v>3818</v>
      </c>
      <c r="AB355" s="31">
        <v>100.0</v>
      </c>
      <c r="AC355" s="33">
        <f>'Old Balance Sheet'!E355 + 'ACPL Calculations - 1.0'!E355 + 'ACPL Calculations - 2.0'!E355</f>
        <v>0</v>
      </c>
      <c r="AD355" s="34" t="s">
        <v>3817</v>
      </c>
      <c r="AE355" s="34">
        <v>838.99</v>
      </c>
      <c r="AF355" s="32" t="s">
        <v>3818</v>
      </c>
      <c r="AG355" s="31">
        <v>100.0</v>
      </c>
      <c r="AH355" s="33">
        <f>'Old Balance Sheet'!F355 + 'ACPL Calculations - 1.0'!F355 + 'ACPL Calculations - 2.0'!F355</f>
        <v>0</v>
      </c>
      <c r="AI355" s="34" t="s">
        <v>3817</v>
      </c>
      <c r="AJ355" s="34">
        <v>375.0</v>
      </c>
      <c r="AK355" s="32" t="s">
        <v>3818</v>
      </c>
      <c r="AL355" s="31">
        <v>100.0</v>
      </c>
      <c r="AM355" s="33">
        <f>'Old Balance Sheet'!G355 + 'ACPL Calculations - 1.0'!G355 + 'ACPL Calculations - 2.0'!G355</f>
        <v>0</v>
      </c>
      <c r="AN355" s="34" t="s">
        <v>3817</v>
      </c>
      <c r="AO355" s="34">
        <v>290.0</v>
      </c>
      <c r="AP355" s="32" t="s">
        <v>3818</v>
      </c>
      <c r="AQ355" s="31">
        <v>100.0</v>
      </c>
      <c r="AR355" s="33">
        <f>'Old Balance Sheet'!H355 + 'ACPL Calculations - 1.0'!H355 + 'ACPL Calculations - 2.0'!H355</f>
        <v>0</v>
      </c>
      <c r="AS355" s="34" t="s">
        <v>3819</v>
      </c>
      <c r="AT355" s="34">
        <v>838.99</v>
      </c>
      <c r="AU355" s="32" t="s">
        <v>3818</v>
      </c>
      <c r="AV355" s="31">
        <v>100.0</v>
      </c>
      <c r="AW355" s="33">
        <f>'Old Balance Sheet'!I355 + 'ACPL Calculations - 1.0'!I355 + 'ACPL Calculations - 2.0'!I355</f>
        <v>0</v>
      </c>
      <c r="AX355" s="34" t="s">
        <v>3817</v>
      </c>
      <c r="AY355" s="34">
        <v>290.0</v>
      </c>
      <c r="AZ355" s="32" t="s">
        <v>3818</v>
      </c>
      <c r="BA355" s="31">
        <v>100.0</v>
      </c>
      <c r="BB355" s="33">
        <f>'Old Balance Sheet'!J355 + 'ACPL Calculations - 1.0'!J355 + 'ACPL Calculations - 2.0'!J355</f>
        <v>0</v>
      </c>
      <c r="BC355" s="34" t="s">
        <v>3817</v>
      </c>
      <c r="BD355" s="34">
        <v>205.0</v>
      </c>
      <c r="BE355" s="32" t="s">
        <v>3818</v>
      </c>
      <c r="BF355" s="31">
        <v>100.0</v>
      </c>
      <c r="BG355" s="33">
        <f>'Old Balance Sheet'!K355 + 'ACPL Calculations - 1.0'!K355 + 'ACPL Calculations - 2.0'!K355</f>
        <v>0</v>
      </c>
      <c r="BH355" s="34" t="s">
        <v>3817</v>
      </c>
      <c r="BI355" s="34">
        <v>205.0</v>
      </c>
      <c r="BJ355" s="32" t="s">
        <v>3818</v>
      </c>
      <c r="BK355" s="31">
        <v>100.0</v>
      </c>
      <c r="BL355" s="33">
        <f>'Old Balance Sheet'!L355 + 'ACPL Calculations - 1.0'!L355 + 'ACPL Calculations - 2.0'!L355</f>
        <v>0</v>
      </c>
      <c r="CL355" s="33">
        <f t="shared" si="1"/>
        <v>33</v>
      </c>
      <c r="CM355" s="33">
        <f>'Old Balance Sheet'!R355 + 'ACPL Calculations - 1.0'!S355 + 'ACPL Calculations - 2.0'!S355</f>
        <v>14586</v>
      </c>
      <c r="CN355" s="33">
        <f>'Old Balance Sheet'!S355 + 'ACPL Calculations - 1.0'!T355 + 'ACPL Calculations - 2.0'!T355</f>
        <v>5775</v>
      </c>
      <c r="CO355" s="26">
        <f t="shared" si="2"/>
        <v>7999.86</v>
      </c>
      <c r="CP355" s="33">
        <f>'Old Balance Sheet'!T355 + 'ACPL Calculations - 1.0'!V355 + 'ACPL Calculations - 2.0'!V355</f>
        <v>0</v>
      </c>
      <c r="CQ355" s="33">
        <f>'Old Balance Sheet'!U355 + 'ACPL Calculations - 1.0'!W355 + 'ACPL Calculations - 2.0'!W355</f>
        <v>0</v>
      </c>
      <c r="CR355" s="33">
        <f>'Old Balance Sheet'!V355 + 'ACPL Calculations - 1.0'!X355 + 'ACPL Calculations - 2.0'!X355</f>
        <v>2224.86</v>
      </c>
      <c r="CS355" s="26">
        <f t="shared" si="3"/>
        <v>2224.86</v>
      </c>
      <c r="CT355" s="34">
        <v>0.0</v>
      </c>
      <c r="CU355" s="34">
        <v>0.0</v>
      </c>
      <c r="CV355" s="34">
        <v>0.0</v>
      </c>
      <c r="CW355" s="36">
        <f>'Old Balance Sheet'!W355 + 'ACPL Calculations - 1.0'!Z355 + 'ACPL Calculations - 2.0'!Z355</f>
        <v>0</v>
      </c>
      <c r="CX355" s="36">
        <f>'Old Balance Sheet'!X355 + 'ACPL Calculations - 1.0'!AA355 + 'ACPL Calculations - 2.0'!AA355</f>
        <v>0</v>
      </c>
      <c r="CY355" s="37">
        <v>0.0</v>
      </c>
      <c r="CZ355" s="38">
        <f>'Old Balance Sheet'!Y355 + 'ACPL Calculations - 1.0'!AB355 + 'ACPL Calculations - 2.0'!AB355</f>
        <v>0</v>
      </c>
      <c r="DA355" s="38">
        <f>'Old Balance Sheet'!Z355 + 'ACPL Calculations - 1.0'!AC355 + 'ACPL Calculations - 2.0'!AC355</f>
        <v>0</v>
      </c>
      <c r="DB355" s="38">
        <f>'Old Balance Sheet'!AA355 + 'ACPL Calculations - 1.0'!AD355 + 'ACPL Calculations - 2.0'!AD355</f>
        <v>0</v>
      </c>
      <c r="DC355" s="38">
        <f>'Old Balance Sheet'!AB355 + 'ACPL Calculations - 1.0'!AE355 + 'ACPL Calculations - 2.0'!AE355</f>
        <v>0</v>
      </c>
      <c r="DD355" s="38">
        <f t="shared" si="4"/>
        <v>0</v>
      </c>
      <c r="DE355" s="33">
        <f t="shared" si="5"/>
        <v>0</v>
      </c>
      <c r="DF355" s="35">
        <v>0.0</v>
      </c>
      <c r="DG355" s="34">
        <v>0.0</v>
      </c>
      <c r="DH355" s="34">
        <v>0.0</v>
      </c>
      <c r="DI355" s="34">
        <v>0.0</v>
      </c>
      <c r="DJ355" s="34">
        <v>0.0</v>
      </c>
      <c r="DK355" s="34">
        <v>0.0</v>
      </c>
      <c r="DL355" s="34">
        <v>0.0</v>
      </c>
      <c r="DM355" s="34">
        <v>0.0</v>
      </c>
      <c r="DN355" s="34">
        <v>0.0</v>
      </c>
      <c r="DO355" s="34">
        <v>0.0</v>
      </c>
      <c r="DP355" s="34">
        <v>0.0</v>
      </c>
      <c r="DQ355" s="34">
        <v>0.0</v>
      </c>
      <c r="DR355" s="34">
        <v>0.0</v>
      </c>
      <c r="DS355" s="34">
        <v>0.0</v>
      </c>
      <c r="DT355" s="26" t="str">
        <f>'Old Balance Sheet'!AC355</f>
        <v/>
      </c>
      <c r="DU355" s="26">
        <f>DT355 + SUMIFS('Payments Log'!D:D, 'Payments Log'!B:B, A355, 'Payments Log'!L:L, "Approved", 'Payments Log'!M:M, "Credit") + 'Old Balance Sheet'!AD355 - 'Old Balance Sheet'!AC355</f>
        <v>0</v>
      </c>
      <c r="DV355" s="26">
        <f>SUMIFS('Payments Log'!D:D, 'Payments Log'!B:B, A355, 'Payments Log'!L:L, "Approved", 'Payments Log'!M:M, "Adjustment Credit") - SUMIFS('Payments Log'!D:D, 'Payments Log'!B:B, A355, 'Payments Log'!L:L, "Approved", 'Payments Log'!M:M, "Adjustment Debit") + 'Old Balance Sheet'!AE355</f>
        <v>0</v>
      </c>
      <c r="DW355" s="31">
        <f>IF(MAXIFS('Payments Log'!N:N, 'Payments Log'!L:L, "Approved", 'Payments Log'!M:M, "Credit", 'Payments Log'!B:B, A355) &gt; MAXIFS('Payments Log'!N:N, 'Payments Log'!L:L, "Approved", 'Payments Log'!M:M, "Virtual Credit", 'Payments Log'!B:B, A355), 0, SUMIFS('Payments Log'!D:D, 'Payments Log'!N:N, MAXIFS('Payments Log'!N:N, 'Payments Log'!L:L, "Approved", 'Payments Log'!M:M, "Virtual Credit", 'Payments Log'!B:B, A355)))</f>
        <v>0</v>
      </c>
      <c r="DX355" s="33">
        <f t="shared" si="6"/>
        <v>0</v>
      </c>
      <c r="DY355" s="33">
        <f t="shared" si="7"/>
        <v>0</v>
      </c>
      <c r="DZ355" s="26">
        <f t="shared" si="8"/>
        <v>0</v>
      </c>
      <c r="EA355" s="26" t="str">
        <f>(Sheet1!N355)</f>
        <v>Mahabir Automobiles -Sultanpur</v>
      </c>
      <c r="EB355" s="26" t="str">
        <f>(Sheet1!O355)</f>
        <v>1fHCHQnIWmfXqP4jwi-agXjfK1q2zM0BUeG3fwB0qApc</v>
      </c>
      <c r="EC355" s="26" t="str">
        <f>(Sheet1!P355)</f>
        <v>Sub Dealer</v>
      </c>
      <c r="ED355" s="34" t="s">
        <v>13</v>
      </c>
    </row>
    <row r="356">
      <c r="A356" s="26" t="str">
        <f>(Sheet1!A356)</f>
        <v>1tTA5e4_FfYUM4c7CROCUCMKoFZEqa0MTF7qor1K6Di4</v>
      </c>
      <c r="B356" s="26" t="str">
        <f>(Sheet1!B356)</f>
        <v>Haji Saleemuddin Automobiles (BA) - Sahawar</v>
      </c>
      <c r="C356" s="34" t="s">
        <v>3821</v>
      </c>
      <c r="D356" s="34" t="s">
        <v>72</v>
      </c>
      <c r="E356" s="34" t="s">
        <v>3820</v>
      </c>
      <c r="F356" s="34">
        <v>160.0</v>
      </c>
      <c r="G356" s="34" t="s">
        <v>3818</v>
      </c>
      <c r="H356" s="34">
        <v>100.0</v>
      </c>
      <c r="I356" s="33">
        <f>'Old Balance Sheet'!A356 + 'ACPL Calculations - 1.0'!A356 + 'ACPL Calculations - 2.0'!A356</f>
        <v>0</v>
      </c>
      <c r="J356" s="34" t="s">
        <v>3820</v>
      </c>
      <c r="K356" s="34">
        <v>205.0</v>
      </c>
      <c r="L356" s="34" t="s">
        <v>3818</v>
      </c>
      <c r="M356" s="34">
        <v>100.0</v>
      </c>
      <c r="N356" s="33">
        <f>'Old Balance Sheet'!B356 + 'ACPL Calculations - 1.0'!B356 + 'ACPL Calculations - 2.0'!B356</f>
        <v>0</v>
      </c>
      <c r="O356" s="34" t="s">
        <v>3820</v>
      </c>
      <c r="P356" s="34">
        <v>290.0</v>
      </c>
      <c r="Q356" s="34" t="s">
        <v>3818</v>
      </c>
      <c r="R356" s="34">
        <v>100.0</v>
      </c>
      <c r="S356" s="33">
        <f>'Old Balance Sheet'!C356 + 'ACPL Calculations - 1.0'!C356 + 'ACPL Calculations - 2.0'!C356</f>
        <v>0</v>
      </c>
      <c r="T356" s="34" t="s">
        <v>3820</v>
      </c>
      <c r="U356" s="34">
        <v>375.0</v>
      </c>
      <c r="V356" s="34" t="s">
        <v>3818</v>
      </c>
      <c r="W356" s="34">
        <v>100.0</v>
      </c>
      <c r="X356" s="33">
        <f>'Old Balance Sheet'!D356 + 'ACPL Calculations - 1.0'!D356 + 'ACPL Calculations - 2.0'!D356</f>
        <v>0</v>
      </c>
      <c r="Y356" s="34" t="s">
        <v>3820</v>
      </c>
      <c r="Z356" s="34">
        <v>250.0</v>
      </c>
      <c r="AA356" s="32" t="s">
        <v>3818</v>
      </c>
      <c r="AB356" s="31">
        <v>100.0</v>
      </c>
      <c r="AC356" s="33">
        <f>'Old Balance Sheet'!E356 + 'ACPL Calculations - 1.0'!E356 + 'ACPL Calculations - 2.0'!E356</f>
        <v>0</v>
      </c>
      <c r="AD356" s="34" t="s">
        <v>3820</v>
      </c>
      <c r="AE356" s="34">
        <v>838.99</v>
      </c>
      <c r="AF356" s="32" t="s">
        <v>3818</v>
      </c>
      <c r="AG356" s="31">
        <v>100.0</v>
      </c>
      <c r="AH356" s="33">
        <f>'Old Balance Sheet'!F356 + 'ACPL Calculations - 1.0'!F356 + 'ACPL Calculations - 2.0'!F356</f>
        <v>0</v>
      </c>
      <c r="AI356" s="34" t="s">
        <v>3820</v>
      </c>
      <c r="AJ356" s="34">
        <v>375.0</v>
      </c>
      <c r="AK356" s="32" t="s">
        <v>3818</v>
      </c>
      <c r="AL356" s="31">
        <v>100.0</v>
      </c>
      <c r="AM356" s="33">
        <f>'Old Balance Sheet'!G356 + 'ACPL Calculations - 1.0'!G356 + 'ACPL Calculations - 2.0'!G356</f>
        <v>0</v>
      </c>
      <c r="AN356" s="34" t="s">
        <v>3820</v>
      </c>
      <c r="AO356" s="34">
        <v>290.0</v>
      </c>
      <c r="AP356" s="32" t="s">
        <v>3818</v>
      </c>
      <c r="AQ356" s="31">
        <v>100.0</v>
      </c>
      <c r="AR356" s="33">
        <f>'Old Balance Sheet'!H356 + 'ACPL Calculations - 1.0'!H356 + 'ACPL Calculations - 2.0'!H356</f>
        <v>0</v>
      </c>
      <c r="AS356" s="34" t="s">
        <v>3819</v>
      </c>
      <c r="AT356" s="34">
        <v>838.99</v>
      </c>
      <c r="AU356" s="32" t="s">
        <v>3818</v>
      </c>
      <c r="AV356" s="31">
        <v>100.0</v>
      </c>
      <c r="AW356" s="33">
        <f>'Old Balance Sheet'!I356 + 'ACPL Calculations - 1.0'!I356 + 'ACPL Calculations - 2.0'!I356</f>
        <v>0</v>
      </c>
      <c r="AX356" s="34" t="s">
        <v>3820</v>
      </c>
      <c r="AY356" s="34">
        <v>290.0</v>
      </c>
      <c r="AZ356" s="32" t="s">
        <v>3818</v>
      </c>
      <c r="BA356" s="31">
        <v>100.0</v>
      </c>
      <c r="BB356" s="33">
        <f>'Old Balance Sheet'!J356 + 'ACPL Calculations - 1.0'!J356 + 'ACPL Calculations - 2.0'!J356</f>
        <v>0</v>
      </c>
      <c r="BC356" s="34" t="s">
        <v>3820</v>
      </c>
      <c r="BD356" s="34">
        <v>205.0</v>
      </c>
      <c r="BE356" s="32" t="s">
        <v>3818</v>
      </c>
      <c r="BF356" s="31">
        <v>100.0</v>
      </c>
      <c r="BG356" s="33">
        <f>'Old Balance Sheet'!K356 + 'ACPL Calculations - 1.0'!K356 + 'ACPL Calculations - 2.0'!K356</f>
        <v>0</v>
      </c>
      <c r="BH356" s="34" t="s">
        <v>3820</v>
      </c>
      <c r="BI356" s="34">
        <v>205.0</v>
      </c>
      <c r="BJ356" s="32" t="s">
        <v>3818</v>
      </c>
      <c r="BK356" s="31">
        <v>100.0</v>
      </c>
      <c r="BL356" s="33">
        <f>'Old Balance Sheet'!L356 + 'ACPL Calculations - 1.0'!L356 + 'ACPL Calculations - 2.0'!L356</f>
        <v>0</v>
      </c>
      <c r="CL356" s="33">
        <f t="shared" si="1"/>
        <v>0</v>
      </c>
      <c r="CM356" s="33">
        <f>'Old Balance Sheet'!R356 + 'ACPL Calculations - 1.0'!S356 + 'ACPL Calculations - 2.0'!S356</f>
        <v>0</v>
      </c>
      <c r="CN356" s="33">
        <f>'Old Balance Sheet'!S356 + 'ACPL Calculations - 1.0'!T356 + 'ACPL Calculations - 2.0'!T356</f>
        <v>0</v>
      </c>
      <c r="CO356" s="26">
        <f t="shared" si="2"/>
        <v>0</v>
      </c>
      <c r="CP356" s="33">
        <f>'Old Balance Sheet'!T356 + 'ACPL Calculations - 1.0'!V356 + 'ACPL Calculations - 2.0'!V356</f>
        <v>0</v>
      </c>
      <c r="CQ356" s="33">
        <f>'Old Balance Sheet'!U356 + 'ACPL Calculations - 1.0'!W356 + 'ACPL Calculations - 2.0'!W356</f>
        <v>0</v>
      </c>
      <c r="CR356" s="33">
        <f>'Old Balance Sheet'!V356 + 'ACPL Calculations - 1.0'!X356 + 'ACPL Calculations - 2.0'!X356</f>
        <v>0</v>
      </c>
      <c r="CS356" s="26">
        <f t="shared" si="3"/>
        <v>0</v>
      </c>
      <c r="CT356" s="34">
        <v>0.0</v>
      </c>
      <c r="CU356" s="34">
        <v>0.0</v>
      </c>
      <c r="CV356" s="34">
        <v>0.0</v>
      </c>
      <c r="CW356" s="36">
        <f>'Old Balance Sheet'!W356 + 'ACPL Calculations - 1.0'!Z356 + 'ACPL Calculations - 2.0'!Z356</f>
        <v>0</v>
      </c>
      <c r="CX356" s="36">
        <f>'Old Balance Sheet'!X356 + 'ACPL Calculations - 1.0'!AA356 + 'ACPL Calculations - 2.0'!AA356</f>
        <v>0</v>
      </c>
      <c r="CY356" s="37">
        <v>0.0</v>
      </c>
      <c r="CZ356" s="38">
        <f>'Old Balance Sheet'!Y356 + 'ACPL Calculations - 1.0'!AB356 + 'ACPL Calculations - 2.0'!AB356</f>
        <v>0</v>
      </c>
      <c r="DA356" s="38">
        <f>'Old Balance Sheet'!Z356 + 'ACPL Calculations - 1.0'!AC356 + 'ACPL Calculations - 2.0'!AC356</f>
        <v>0</v>
      </c>
      <c r="DB356" s="38">
        <f>'Old Balance Sheet'!AA356 + 'ACPL Calculations - 1.0'!AD356 + 'ACPL Calculations - 2.0'!AD356</f>
        <v>0</v>
      </c>
      <c r="DC356" s="38">
        <f>'Old Balance Sheet'!AB356 + 'ACPL Calculations - 1.0'!AE356 + 'ACPL Calculations - 2.0'!AE356</f>
        <v>0</v>
      </c>
      <c r="DD356" s="38">
        <f t="shared" si="4"/>
        <v>0</v>
      </c>
      <c r="DE356" s="33">
        <f t="shared" si="5"/>
        <v>0</v>
      </c>
      <c r="DF356" s="35">
        <v>0.0</v>
      </c>
      <c r="DG356" s="34">
        <v>0.0</v>
      </c>
      <c r="DH356" s="34">
        <v>0.0</v>
      </c>
      <c r="DI356" s="34">
        <v>0.0</v>
      </c>
      <c r="DJ356" s="34">
        <v>0.0</v>
      </c>
      <c r="DK356" s="34">
        <v>0.0</v>
      </c>
      <c r="DL356" s="34">
        <v>0.0</v>
      </c>
      <c r="DM356" s="34">
        <v>0.0</v>
      </c>
      <c r="DN356" s="34">
        <v>0.0</v>
      </c>
      <c r="DO356" s="34">
        <v>0.0</v>
      </c>
      <c r="DP356" s="34">
        <v>0.0</v>
      </c>
      <c r="DQ356" s="34">
        <v>0.0</v>
      </c>
      <c r="DR356" s="34">
        <v>0.0</v>
      </c>
      <c r="DS356" s="34">
        <v>0.0</v>
      </c>
      <c r="DT356" s="26" t="str">
        <f>'Old Balance Sheet'!AC356</f>
        <v/>
      </c>
      <c r="DU356" s="26">
        <f>DT356 + SUMIFS('Payments Log'!D:D, 'Payments Log'!B:B, A356, 'Payments Log'!L:L, "Approved", 'Payments Log'!M:M, "Credit") + 'Old Balance Sheet'!AD356 - 'Old Balance Sheet'!AC356</f>
        <v>0</v>
      </c>
      <c r="DV356" s="26">
        <f>SUMIFS('Payments Log'!D:D, 'Payments Log'!B:B, A356, 'Payments Log'!L:L, "Approved", 'Payments Log'!M:M, "Adjustment Credit") - SUMIFS('Payments Log'!D:D, 'Payments Log'!B:B, A356, 'Payments Log'!L:L, "Approved", 'Payments Log'!M:M, "Adjustment Debit") + 'Old Balance Sheet'!AE356</f>
        <v>0</v>
      </c>
      <c r="DW356" s="31">
        <f>IF(MAXIFS('Payments Log'!N:N, 'Payments Log'!L:L, "Approved", 'Payments Log'!M:M, "Credit", 'Payments Log'!B:B, A356) &gt; MAXIFS('Payments Log'!N:N, 'Payments Log'!L:L, "Approved", 'Payments Log'!M:M, "Virtual Credit", 'Payments Log'!B:B, A356), 0, SUMIFS('Payments Log'!D:D, 'Payments Log'!N:N, MAXIFS('Payments Log'!N:N, 'Payments Log'!L:L, "Approved", 'Payments Log'!M:M, "Virtual Credit", 'Payments Log'!B:B, A356)))</f>
        <v>0</v>
      </c>
      <c r="DX356" s="33">
        <f t="shared" si="6"/>
        <v>0</v>
      </c>
      <c r="DY356" s="33">
        <f t="shared" si="7"/>
        <v>0</v>
      </c>
      <c r="DZ356" s="26">
        <f t="shared" si="8"/>
        <v>0</v>
      </c>
      <c r="EA356" s="26" t="str">
        <f>(Sheet1!N356)</f>
        <v>Bharat Auto - Kasganj</v>
      </c>
      <c r="EB356" s="26" t="str">
        <f>(Sheet1!O356)</f>
        <v>14s_HeeebHqLRTUCX5FSlJ3K7aiTvnkajbPMefm6jg1M</v>
      </c>
      <c r="EC356" s="26" t="str">
        <f>(Sheet1!P356)</f>
        <v>Sub Dealer</v>
      </c>
      <c r="ED356" s="34" t="s">
        <v>13</v>
      </c>
    </row>
    <row r="357">
      <c r="A357" s="26" t="str">
        <f>(Sheet1!A357)</f>
        <v>1zpjD0n2MDMpnv6d3XmAb2OMfLjhiWI0P_3JnMudl7oI</v>
      </c>
      <c r="B357" s="26" t="str">
        <f>(Sheet1!B357)</f>
        <v>BHARAT HERO - ISLAMPUR</v>
      </c>
      <c r="C357" s="34" t="s">
        <v>13</v>
      </c>
      <c r="D357" s="34" t="s">
        <v>72</v>
      </c>
      <c r="E357" s="34" t="s">
        <v>3817</v>
      </c>
      <c r="F357" s="34">
        <v>160.0</v>
      </c>
      <c r="G357" s="34" t="s">
        <v>3818</v>
      </c>
      <c r="H357" s="34">
        <v>100.0</v>
      </c>
      <c r="I357" s="33">
        <f>'Old Balance Sheet'!A357 + 'ACPL Calculations - 1.0'!A357 + 'ACPL Calculations - 2.0'!A357</f>
        <v>115</v>
      </c>
      <c r="J357" s="34" t="s">
        <v>3817</v>
      </c>
      <c r="K357" s="34">
        <v>205.0</v>
      </c>
      <c r="L357" s="34" t="s">
        <v>3818</v>
      </c>
      <c r="M357" s="34">
        <v>100.0</v>
      </c>
      <c r="N357" s="33">
        <f>'Old Balance Sheet'!B357 + 'ACPL Calculations - 1.0'!B357 + 'ACPL Calculations - 2.0'!B357</f>
        <v>0</v>
      </c>
      <c r="O357" s="34" t="s">
        <v>3817</v>
      </c>
      <c r="P357" s="34">
        <v>290.0</v>
      </c>
      <c r="Q357" s="34" t="s">
        <v>3818</v>
      </c>
      <c r="R357" s="34">
        <v>100.0</v>
      </c>
      <c r="S357" s="33">
        <f>'Old Balance Sheet'!C357 + 'ACPL Calculations - 1.0'!C357 + 'ACPL Calculations - 2.0'!C357</f>
        <v>0</v>
      </c>
      <c r="T357" s="34" t="s">
        <v>3817</v>
      </c>
      <c r="U357" s="34">
        <v>375.0</v>
      </c>
      <c r="V357" s="34" t="s">
        <v>3818</v>
      </c>
      <c r="W357" s="34">
        <v>100.0</v>
      </c>
      <c r="X357" s="33">
        <f>'Old Balance Sheet'!D357 + 'ACPL Calculations - 1.0'!D357 + 'ACPL Calculations - 2.0'!D357</f>
        <v>0</v>
      </c>
      <c r="Y357" s="34" t="s">
        <v>3817</v>
      </c>
      <c r="Z357" s="34">
        <v>460.0</v>
      </c>
      <c r="AA357" s="32" t="s">
        <v>3818</v>
      </c>
      <c r="AB357" s="31">
        <v>100.0</v>
      </c>
      <c r="AC357" s="33">
        <f>'Old Balance Sheet'!E357 + 'ACPL Calculations - 1.0'!E357 + 'ACPL Calculations - 2.0'!E357</f>
        <v>0</v>
      </c>
      <c r="AD357" s="34" t="s">
        <v>3817</v>
      </c>
      <c r="AE357" s="34">
        <v>838.99</v>
      </c>
      <c r="AF357" s="32" t="s">
        <v>3818</v>
      </c>
      <c r="AG357" s="31">
        <v>100.0</v>
      </c>
      <c r="AH357" s="33">
        <f>'Old Balance Sheet'!F357 + 'ACPL Calculations - 1.0'!F357 + 'ACPL Calculations - 2.0'!F357</f>
        <v>0</v>
      </c>
      <c r="AI357" s="34" t="s">
        <v>3817</v>
      </c>
      <c r="AJ357" s="34">
        <v>375.0</v>
      </c>
      <c r="AK357" s="32" t="s">
        <v>3818</v>
      </c>
      <c r="AL357" s="31">
        <v>100.0</v>
      </c>
      <c r="AM357" s="33">
        <f>'Old Balance Sheet'!G357 + 'ACPL Calculations - 1.0'!G357 + 'ACPL Calculations - 2.0'!G357</f>
        <v>0</v>
      </c>
      <c r="AN357" s="34" t="s">
        <v>3817</v>
      </c>
      <c r="AO357" s="34">
        <v>290.0</v>
      </c>
      <c r="AP357" s="32" t="s">
        <v>3818</v>
      </c>
      <c r="AQ357" s="31">
        <v>100.0</v>
      </c>
      <c r="AR357" s="33">
        <f>'Old Balance Sheet'!H357 + 'ACPL Calculations - 1.0'!H357 + 'ACPL Calculations - 2.0'!H357</f>
        <v>0</v>
      </c>
      <c r="AS357" s="34" t="s">
        <v>3819</v>
      </c>
      <c r="AT357" s="34">
        <v>838.99</v>
      </c>
      <c r="AU357" s="32" t="s">
        <v>3818</v>
      </c>
      <c r="AV357" s="31">
        <v>100.0</v>
      </c>
      <c r="AW357" s="33">
        <f>'Old Balance Sheet'!I357 + 'ACPL Calculations - 1.0'!I357 + 'ACPL Calculations - 2.0'!I357</f>
        <v>0</v>
      </c>
      <c r="AX357" s="34" t="s">
        <v>3817</v>
      </c>
      <c r="AY357" s="34">
        <v>290.0</v>
      </c>
      <c r="AZ357" s="32" t="s">
        <v>3818</v>
      </c>
      <c r="BA357" s="31">
        <v>100.0</v>
      </c>
      <c r="BB357" s="33">
        <f>'Old Balance Sheet'!J357 + 'ACPL Calculations - 1.0'!J357 + 'ACPL Calculations - 2.0'!J357</f>
        <v>0</v>
      </c>
      <c r="BC357" s="34" t="s">
        <v>3817</v>
      </c>
      <c r="BD357" s="34">
        <v>205.0</v>
      </c>
      <c r="BE357" s="32" t="s">
        <v>3818</v>
      </c>
      <c r="BF357" s="31">
        <v>100.0</v>
      </c>
      <c r="BG357" s="33">
        <f>'Old Balance Sheet'!K357 + 'ACPL Calculations - 1.0'!K357 + 'ACPL Calculations - 2.0'!K357</f>
        <v>0</v>
      </c>
      <c r="BH357" s="34" t="s">
        <v>3817</v>
      </c>
      <c r="BI357" s="34">
        <v>205.0</v>
      </c>
      <c r="BJ357" s="32" t="s">
        <v>3818</v>
      </c>
      <c r="BK357" s="31">
        <v>100.0</v>
      </c>
      <c r="BL357" s="33">
        <f>'Old Balance Sheet'!L357 + 'ACPL Calculations - 1.0'!L357 + 'ACPL Calculations - 2.0'!L357</f>
        <v>0</v>
      </c>
      <c r="CL357" s="33">
        <f t="shared" si="1"/>
        <v>115</v>
      </c>
      <c r="CM357" s="33">
        <f>'Old Balance Sheet'!R357 + 'ACPL Calculations - 1.0'!S357 + 'ACPL Calculations - 2.0'!S357</f>
        <v>44850</v>
      </c>
      <c r="CN357" s="33">
        <f>'Old Balance Sheet'!S357 + 'ACPL Calculations - 1.0'!T357 + 'ACPL Calculations - 2.0'!T357</f>
        <v>18400</v>
      </c>
      <c r="CO357" s="26">
        <f t="shared" si="2"/>
        <v>25241.35</v>
      </c>
      <c r="CP357" s="33">
        <f>'Old Balance Sheet'!T357 + 'ACPL Calculations - 1.0'!V357 + 'ACPL Calculations - 2.0'!V357</f>
        <v>0</v>
      </c>
      <c r="CQ357" s="33">
        <f>'Old Balance Sheet'!U357 + 'ACPL Calculations - 1.0'!W357 + 'ACPL Calculations - 2.0'!W357</f>
        <v>0</v>
      </c>
      <c r="CR357" s="33">
        <f>'Old Balance Sheet'!V357 + 'ACPL Calculations - 1.0'!X357 + 'ACPL Calculations - 2.0'!X357</f>
        <v>6841.35</v>
      </c>
      <c r="CS357" s="26">
        <f t="shared" si="3"/>
        <v>6841.35</v>
      </c>
      <c r="CT357" s="34">
        <v>0.0</v>
      </c>
      <c r="CU357" s="34">
        <v>0.0</v>
      </c>
      <c r="CV357" s="34">
        <v>0.0</v>
      </c>
      <c r="CW357" s="36">
        <f>'Old Balance Sheet'!W357 + 'ACPL Calculations - 1.0'!Z357 + 'ACPL Calculations - 2.0'!Z357</f>
        <v>26222.3</v>
      </c>
      <c r="CX357" s="36">
        <f>'Old Balance Sheet'!X357 + 'ACPL Calculations - 1.0'!AA357 + 'ACPL Calculations - 2.0'!AA357</f>
        <v>26222.3</v>
      </c>
      <c r="CY357" s="37">
        <v>0.0</v>
      </c>
      <c r="CZ357" s="38">
        <f>'Old Balance Sheet'!Y357 + 'ACPL Calculations - 1.0'!AB357 + 'ACPL Calculations - 2.0'!AB357</f>
        <v>19608.65</v>
      </c>
      <c r="DA357" s="38">
        <f>'Old Balance Sheet'!Z357 + 'ACPL Calculations - 1.0'!AC357 + 'ACPL Calculations - 2.0'!AC357</f>
        <v>18627.7</v>
      </c>
      <c r="DB357" s="38">
        <f>'Old Balance Sheet'!AA357 + 'ACPL Calculations - 1.0'!AD357 + 'ACPL Calculations - 2.0'!AD357</f>
        <v>980.95</v>
      </c>
      <c r="DC357" s="38">
        <f>'Old Balance Sheet'!AB357 + 'ACPL Calculations - 1.0'!AE357 + 'ACPL Calculations - 2.0'!AE357</f>
        <v>0</v>
      </c>
      <c r="DD357" s="38">
        <f t="shared" si="4"/>
        <v>0</v>
      </c>
      <c r="DE357" s="33">
        <f t="shared" si="5"/>
        <v>0</v>
      </c>
      <c r="DF357" s="35">
        <v>0.0</v>
      </c>
      <c r="DG357" s="34">
        <v>0.0</v>
      </c>
      <c r="DH357" s="34">
        <v>0.0</v>
      </c>
      <c r="DI357" s="34">
        <v>0.0</v>
      </c>
      <c r="DJ357" s="34">
        <v>0.0</v>
      </c>
      <c r="DK357" s="34">
        <v>0.0</v>
      </c>
      <c r="DL357" s="34">
        <v>0.0</v>
      </c>
      <c r="DM357" s="34">
        <v>0.0</v>
      </c>
      <c r="DN357" s="34">
        <v>0.0</v>
      </c>
      <c r="DO357" s="34">
        <v>0.0</v>
      </c>
      <c r="DP357" s="34">
        <v>0.0</v>
      </c>
      <c r="DQ357" s="34">
        <v>0.0</v>
      </c>
      <c r="DR357" s="34">
        <v>0.0</v>
      </c>
      <c r="DS357" s="34">
        <v>0.0</v>
      </c>
      <c r="DT357" s="26" t="str">
        <f>'Old Balance Sheet'!AC357</f>
        <v/>
      </c>
      <c r="DU357" s="26">
        <f>DT357 + SUMIFS('Payments Log'!D:D, 'Payments Log'!B:B, A357, 'Payments Log'!L:L, "Approved", 'Payments Log'!M:M, "Credit") + 'Old Balance Sheet'!AD357 - 'Old Balance Sheet'!AC357</f>
        <v>30000</v>
      </c>
      <c r="DV357" s="26">
        <f>SUMIFS('Payments Log'!D:D, 'Payments Log'!B:B, A357, 'Payments Log'!L:L, "Approved", 'Payments Log'!M:M, "Adjustment Credit") - SUMIFS('Payments Log'!D:D, 'Payments Log'!B:B, A357, 'Payments Log'!L:L, "Approved", 'Payments Log'!M:M, "Adjustment Debit") + 'Old Balance Sheet'!AE357</f>
        <v>0</v>
      </c>
      <c r="DW357" s="31">
        <f>IF(MAXIFS('Payments Log'!N:N, 'Payments Log'!L:L, "Approved", 'Payments Log'!M:M, "Credit", 'Payments Log'!B:B, A357) &gt; MAXIFS('Payments Log'!N:N, 'Payments Log'!L:L, "Approved", 'Payments Log'!M:M, "Virtual Credit", 'Payments Log'!B:B, A357), 0, SUMIFS('Payments Log'!D:D, 'Payments Log'!N:N, MAXIFS('Payments Log'!N:N, 'Payments Log'!L:L, "Approved", 'Payments Log'!M:M, "Virtual Credit", 'Payments Log'!B:B, A357)))</f>
        <v>0</v>
      </c>
      <c r="DX357" s="33">
        <f t="shared" si="6"/>
        <v>3777.7</v>
      </c>
      <c r="DY357" s="26">
        <f t="shared" si="7"/>
        <v>3777.7</v>
      </c>
      <c r="DZ357" s="26">
        <f t="shared" si="8"/>
        <v>3777.7</v>
      </c>
      <c r="EA357" s="26" t="str">
        <f>(Sheet1!N357)</f>
        <v>BHARAT HERO - ISLAMPUR</v>
      </c>
      <c r="EB357" s="26" t="str">
        <f>(Sheet1!O357)</f>
        <v>1zpjD0n2MDMpnv6d3XmAb2OMfLjhiWI0P_3JnMudl7oI</v>
      </c>
      <c r="EC357" s="26" t="str">
        <f>(Sheet1!P357)</f>
        <v>Dealer</v>
      </c>
      <c r="ED357" s="34" t="s">
        <v>13</v>
      </c>
    </row>
    <row r="358">
      <c r="A358" s="26" t="str">
        <f>(Sheet1!A358)</f>
        <v>1jfpEW8cuuUihhL5SOgSGnhE6g038H7_TOjUmP2QGajY</v>
      </c>
      <c r="B358" s="26" t="str">
        <f>(Sheet1!B358)</f>
        <v>ZUMMERWALA TVS- VADODRA</v>
      </c>
      <c r="C358" s="34" t="s">
        <v>13</v>
      </c>
      <c r="D358" s="34" t="s">
        <v>72</v>
      </c>
      <c r="E358" s="34" t="s">
        <v>3817</v>
      </c>
      <c r="F358" s="34">
        <v>150.0</v>
      </c>
      <c r="G358" s="34" t="s">
        <v>3818</v>
      </c>
      <c r="H358" s="34">
        <v>100.0</v>
      </c>
      <c r="I358" s="33">
        <f>'Old Balance Sheet'!A358 + 'ACPL Calculations - 1.0'!A358 + 'ACPL Calculations - 2.0'!A358</f>
        <v>0</v>
      </c>
      <c r="J358" s="34" t="s">
        <v>3817</v>
      </c>
      <c r="K358" s="34">
        <v>205.0</v>
      </c>
      <c r="L358" s="34" t="s">
        <v>3818</v>
      </c>
      <c r="M358" s="34">
        <v>100.0</v>
      </c>
      <c r="N358" s="33">
        <f>'Old Balance Sheet'!B358 + 'ACPL Calculations - 1.0'!B358 + 'ACPL Calculations - 2.0'!B358</f>
        <v>0</v>
      </c>
      <c r="O358" s="34" t="s">
        <v>3817</v>
      </c>
      <c r="P358" s="34">
        <v>150.0</v>
      </c>
      <c r="Q358" s="34" t="s">
        <v>3818</v>
      </c>
      <c r="R358" s="34">
        <v>100.0</v>
      </c>
      <c r="S358" s="33">
        <f>'Old Balance Sheet'!C358 + 'ACPL Calculations - 1.0'!C358 + 'ACPL Calculations - 2.0'!C358</f>
        <v>300</v>
      </c>
      <c r="T358" s="34" t="s">
        <v>3817</v>
      </c>
      <c r="U358" s="34">
        <v>375.0</v>
      </c>
      <c r="V358" s="34" t="s">
        <v>3818</v>
      </c>
      <c r="W358" s="34">
        <v>100.0</v>
      </c>
      <c r="X358" s="33">
        <f>'Old Balance Sheet'!D358 + 'ACPL Calculations - 1.0'!D358 + 'ACPL Calculations - 2.0'!D358</f>
        <v>0</v>
      </c>
      <c r="Y358" s="34" t="s">
        <v>3817</v>
      </c>
      <c r="Z358" s="34">
        <v>460.0</v>
      </c>
      <c r="AA358" s="32" t="s">
        <v>3818</v>
      </c>
      <c r="AB358" s="31">
        <v>100.0</v>
      </c>
      <c r="AC358" s="33">
        <f>'Old Balance Sheet'!E358 + 'ACPL Calculations - 1.0'!E358 + 'ACPL Calculations - 2.0'!E358</f>
        <v>0</v>
      </c>
      <c r="AD358" s="34" t="s">
        <v>3817</v>
      </c>
      <c r="AE358" s="34">
        <v>838.99</v>
      </c>
      <c r="AF358" s="32" t="s">
        <v>3818</v>
      </c>
      <c r="AG358" s="31">
        <v>100.0</v>
      </c>
      <c r="AH358" s="33">
        <f>'Old Balance Sheet'!F358 + 'ACPL Calculations - 1.0'!F358 + 'ACPL Calculations - 2.0'!F358</f>
        <v>0</v>
      </c>
      <c r="AI358" s="34" t="s">
        <v>3817</v>
      </c>
      <c r="AJ358" s="34">
        <v>375.0</v>
      </c>
      <c r="AK358" s="32" t="s">
        <v>3818</v>
      </c>
      <c r="AL358" s="31">
        <v>100.0</v>
      </c>
      <c r="AM358" s="33">
        <f>'Old Balance Sheet'!G358 + 'ACPL Calculations - 1.0'!G358 + 'ACPL Calculations - 2.0'!G358</f>
        <v>0</v>
      </c>
      <c r="AN358" s="34" t="s">
        <v>3817</v>
      </c>
      <c r="AO358" s="34">
        <v>290.0</v>
      </c>
      <c r="AP358" s="32" t="s">
        <v>3818</v>
      </c>
      <c r="AQ358" s="31">
        <v>100.0</v>
      </c>
      <c r="AR358" s="33">
        <f>'Old Balance Sheet'!H358 + 'ACPL Calculations - 1.0'!H358 + 'ACPL Calculations - 2.0'!H358</f>
        <v>0</v>
      </c>
      <c r="AS358" s="34" t="s">
        <v>3819</v>
      </c>
      <c r="AT358" s="34">
        <v>838.99</v>
      </c>
      <c r="AU358" s="32" t="s">
        <v>3818</v>
      </c>
      <c r="AV358" s="31">
        <v>100.0</v>
      </c>
      <c r="AW358" s="33">
        <f>'Old Balance Sheet'!I358 + 'ACPL Calculations - 1.0'!I358 + 'ACPL Calculations - 2.0'!I358</f>
        <v>0</v>
      </c>
      <c r="AX358" s="34" t="s">
        <v>3817</v>
      </c>
      <c r="AY358" s="34">
        <v>290.0</v>
      </c>
      <c r="AZ358" s="32" t="s">
        <v>3818</v>
      </c>
      <c r="BA358" s="31">
        <v>100.0</v>
      </c>
      <c r="BB358" s="33">
        <f>'Old Balance Sheet'!J358 + 'ACPL Calculations - 1.0'!J358 + 'ACPL Calculations - 2.0'!J358</f>
        <v>0</v>
      </c>
      <c r="BC358" s="34" t="s">
        <v>3817</v>
      </c>
      <c r="BD358" s="34">
        <v>205.0</v>
      </c>
      <c r="BE358" s="32" t="s">
        <v>3818</v>
      </c>
      <c r="BF358" s="31">
        <v>100.0</v>
      </c>
      <c r="BG358" s="33">
        <f>'Old Balance Sheet'!K358 + 'ACPL Calculations - 1.0'!K358 + 'ACPL Calculations - 2.0'!K358</f>
        <v>0</v>
      </c>
      <c r="BH358" s="34" t="s">
        <v>3817</v>
      </c>
      <c r="BI358" s="34">
        <v>205.0</v>
      </c>
      <c r="BJ358" s="32" t="s">
        <v>3818</v>
      </c>
      <c r="BK358" s="31">
        <v>100.0</v>
      </c>
      <c r="BL358" s="33">
        <f>'Old Balance Sheet'!L358 + 'ACPL Calculations - 1.0'!L358 + 'ACPL Calculations - 2.0'!L358</f>
        <v>0</v>
      </c>
      <c r="CL358" s="33">
        <f t="shared" si="1"/>
        <v>300</v>
      </c>
      <c r="CM358" s="33">
        <f>'Old Balance Sheet'!R358 + 'ACPL Calculations - 1.0'!S358 + 'ACPL Calculations - 2.0'!S358</f>
        <v>132600</v>
      </c>
      <c r="CN358" s="33">
        <f>'Old Balance Sheet'!S358 + 'ACPL Calculations - 1.0'!T358 + 'ACPL Calculations - 2.0'!T358</f>
        <v>45000</v>
      </c>
      <c r="CO358" s="26">
        <f t="shared" si="2"/>
        <v>65226</v>
      </c>
      <c r="CP358" s="33">
        <f>'Old Balance Sheet'!T358 + 'ACPL Calculations - 1.0'!V358 + 'ACPL Calculations - 2.0'!V358</f>
        <v>0</v>
      </c>
      <c r="CQ358" s="33">
        <f>'Old Balance Sheet'!U358 + 'ACPL Calculations - 1.0'!W358 + 'ACPL Calculations - 2.0'!W358</f>
        <v>0</v>
      </c>
      <c r="CR358" s="33">
        <f>'Old Balance Sheet'!V358 + 'ACPL Calculations - 1.0'!X358 + 'ACPL Calculations - 2.0'!X358</f>
        <v>20226</v>
      </c>
      <c r="CS358" s="26">
        <f t="shared" si="3"/>
        <v>20226</v>
      </c>
      <c r="CT358" s="34">
        <v>0.0</v>
      </c>
      <c r="CU358" s="34">
        <v>0.0</v>
      </c>
      <c r="CV358" s="34">
        <v>0.0</v>
      </c>
      <c r="CW358" s="36">
        <f>'Old Balance Sheet'!W358 + 'ACPL Calculations - 1.0'!Z358 + 'ACPL Calculations - 2.0'!Z358</f>
        <v>68595</v>
      </c>
      <c r="CX358" s="36">
        <f>'Old Balance Sheet'!X358 + 'ACPL Calculations - 1.0'!AA358 + 'ACPL Calculations - 2.0'!AA358</f>
        <v>68595</v>
      </c>
      <c r="CY358" s="37">
        <v>0.0</v>
      </c>
      <c r="CZ358" s="38">
        <f>'Old Balance Sheet'!Y358 + 'ACPL Calculations - 1.0'!AB358 + 'ACPL Calculations - 2.0'!AB358</f>
        <v>67374</v>
      </c>
      <c r="DA358" s="38">
        <f>'Old Balance Sheet'!Z358 + 'ACPL Calculations - 1.0'!AC358 + 'ACPL Calculations - 2.0'!AC358</f>
        <v>64005</v>
      </c>
      <c r="DB358" s="38">
        <f>'Old Balance Sheet'!AA358 + 'ACPL Calculations - 1.0'!AD358 + 'ACPL Calculations - 2.0'!AD358</f>
        <v>3369</v>
      </c>
      <c r="DC358" s="38">
        <f>'Old Balance Sheet'!AB358 + 'ACPL Calculations - 1.0'!AE358 + 'ACPL Calculations - 2.0'!AE358</f>
        <v>0</v>
      </c>
      <c r="DD358" s="38">
        <f t="shared" si="4"/>
        <v>0</v>
      </c>
      <c r="DE358" s="33">
        <f t="shared" si="5"/>
        <v>0</v>
      </c>
      <c r="DF358" s="35">
        <v>0.0</v>
      </c>
      <c r="DG358" s="34">
        <v>0.0</v>
      </c>
      <c r="DH358" s="34">
        <v>0.0</v>
      </c>
      <c r="DI358" s="34">
        <v>0.0</v>
      </c>
      <c r="DJ358" s="34">
        <v>0.0</v>
      </c>
      <c r="DK358" s="34">
        <v>0.0</v>
      </c>
      <c r="DL358" s="34">
        <v>0.0</v>
      </c>
      <c r="DM358" s="34">
        <v>0.0</v>
      </c>
      <c r="DN358" s="34">
        <v>0.0</v>
      </c>
      <c r="DO358" s="34">
        <v>0.0</v>
      </c>
      <c r="DP358" s="34">
        <v>0.0</v>
      </c>
      <c r="DQ358" s="34">
        <v>0.0</v>
      </c>
      <c r="DR358" s="34">
        <v>0.0</v>
      </c>
      <c r="DS358" s="34">
        <v>0.0</v>
      </c>
      <c r="DT358" s="26" t="str">
        <f>'Old Balance Sheet'!AC358</f>
        <v/>
      </c>
      <c r="DU358" s="26">
        <f>DT358 + SUMIFS('Payments Log'!D:D, 'Payments Log'!B:B, A358, 'Payments Log'!L:L, "Approved", 'Payments Log'!M:M, "Credit") + 'Old Balance Sheet'!AD358 - 'Old Balance Sheet'!AC358</f>
        <v>70000</v>
      </c>
      <c r="DV358" s="26">
        <f>SUMIFS('Payments Log'!D:D, 'Payments Log'!B:B, A358, 'Payments Log'!L:L, "Approved", 'Payments Log'!M:M, "Adjustment Credit") - SUMIFS('Payments Log'!D:D, 'Payments Log'!B:B, A358, 'Payments Log'!L:L, "Approved", 'Payments Log'!M:M, "Adjustment Debit") + 'Old Balance Sheet'!AE358</f>
        <v>0</v>
      </c>
      <c r="DW358" s="31">
        <f>IF(MAXIFS('Payments Log'!N:N, 'Payments Log'!L:L, "Approved", 'Payments Log'!M:M, "Credit", 'Payments Log'!B:B, A358) &gt; MAXIFS('Payments Log'!N:N, 'Payments Log'!L:L, "Approved", 'Payments Log'!M:M, "Virtual Credit", 'Payments Log'!B:B, A358), 0, SUMIFS('Payments Log'!D:D, 'Payments Log'!N:N, MAXIFS('Payments Log'!N:N, 'Payments Log'!L:L, "Approved", 'Payments Log'!M:M, "Virtual Credit", 'Payments Log'!B:B, A358)))</f>
        <v>0</v>
      </c>
      <c r="DX358" s="33">
        <f t="shared" si="6"/>
        <v>1405</v>
      </c>
      <c r="DY358" s="26">
        <f t="shared" si="7"/>
        <v>1405</v>
      </c>
      <c r="DZ358" s="26">
        <f t="shared" si="8"/>
        <v>1405</v>
      </c>
      <c r="EA358" s="26" t="str">
        <f>(Sheet1!N358)</f>
        <v>ZUMMERWALA TVS- VADODRA</v>
      </c>
      <c r="EB358" s="26" t="str">
        <f>(Sheet1!O358)</f>
        <v>1jfpEW8cuuUihhL5SOgSGnhE6g038H7_TOjUmP2QGajY</v>
      </c>
      <c r="EC358" s="26" t="str">
        <f>(Sheet1!P358)</f>
        <v>Dealer</v>
      </c>
      <c r="ED358" s="34" t="s">
        <v>13</v>
      </c>
    </row>
    <row r="359">
      <c r="A359" s="26" t="str">
        <f>(Sheet1!A359)</f>
        <v>1DQYkbRSa6wFMMmm22_BiLeCMnUHyYyz8B4ypIjKAxsI</v>
      </c>
      <c r="B359" s="26" t="str">
        <f>(Sheet1!B359)</f>
        <v>VINAYAK MOTORS (GA) - SAMAUR</v>
      </c>
      <c r="C359" s="34" t="s">
        <v>13</v>
      </c>
      <c r="D359" s="34" t="s">
        <v>72</v>
      </c>
      <c r="E359" s="34" t="s">
        <v>3817</v>
      </c>
      <c r="F359" s="34">
        <v>175.0</v>
      </c>
      <c r="G359" s="34" t="s">
        <v>3818</v>
      </c>
      <c r="H359" s="34">
        <v>100.0</v>
      </c>
      <c r="I359" s="33">
        <f>'Old Balance Sheet'!A359 + 'ACPL Calculations - 1.0'!A359 + 'ACPL Calculations - 2.0'!A359</f>
        <v>42</v>
      </c>
      <c r="J359" s="34" t="s">
        <v>3817</v>
      </c>
      <c r="K359" s="34">
        <v>205.0</v>
      </c>
      <c r="L359" s="34" t="s">
        <v>3818</v>
      </c>
      <c r="M359" s="34">
        <v>100.0</v>
      </c>
      <c r="N359" s="33">
        <f>'Old Balance Sheet'!B359 + 'ACPL Calculations - 1.0'!B359 + 'ACPL Calculations - 2.0'!B359</f>
        <v>0</v>
      </c>
      <c r="O359" s="34" t="s">
        <v>3817</v>
      </c>
      <c r="P359" s="34">
        <v>290.0</v>
      </c>
      <c r="Q359" s="34" t="s">
        <v>3818</v>
      </c>
      <c r="R359" s="34">
        <v>100.0</v>
      </c>
      <c r="S359" s="33">
        <f>'Old Balance Sheet'!C359 + 'ACPL Calculations - 1.0'!C359 + 'ACPL Calculations - 2.0'!C359</f>
        <v>0</v>
      </c>
      <c r="T359" s="34" t="s">
        <v>3817</v>
      </c>
      <c r="U359" s="34">
        <v>375.0</v>
      </c>
      <c r="V359" s="34" t="s">
        <v>3818</v>
      </c>
      <c r="W359" s="34">
        <v>100.0</v>
      </c>
      <c r="X359" s="33">
        <f>'Old Balance Sheet'!D359 + 'ACPL Calculations - 1.0'!D359 + 'ACPL Calculations - 2.0'!D359</f>
        <v>0</v>
      </c>
      <c r="Y359" s="34" t="s">
        <v>3817</v>
      </c>
      <c r="Z359" s="34">
        <v>460.0</v>
      </c>
      <c r="AA359" s="32" t="s">
        <v>3818</v>
      </c>
      <c r="AB359" s="31">
        <v>100.0</v>
      </c>
      <c r="AC359" s="33">
        <f>'Old Balance Sheet'!E359 + 'ACPL Calculations - 1.0'!E359 + 'ACPL Calculations - 2.0'!E359</f>
        <v>0</v>
      </c>
      <c r="AD359" s="34" t="s">
        <v>3817</v>
      </c>
      <c r="AE359" s="34">
        <v>838.99</v>
      </c>
      <c r="AF359" s="32" t="s">
        <v>3818</v>
      </c>
      <c r="AG359" s="31">
        <v>100.0</v>
      </c>
      <c r="AH359" s="33">
        <f>'Old Balance Sheet'!F359 + 'ACPL Calculations - 1.0'!F359 + 'ACPL Calculations - 2.0'!F359</f>
        <v>0</v>
      </c>
      <c r="AI359" s="34" t="s">
        <v>3817</v>
      </c>
      <c r="AJ359" s="34">
        <v>375.0</v>
      </c>
      <c r="AK359" s="32" t="s">
        <v>3818</v>
      </c>
      <c r="AL359" s="31">
        <v>100.0</v>
      </c>
      <c r="AM359" s="33">
        <f>'Old Balance Sheet'!G359 + 'ACPL Calculations - 1.0'!G359 + 'ACPL Calculations - 2.0'!G359</f>
        <v>0</v>
      </c>
      <c r="AN359" s="34" t="s">
        <v>3817</v>
      </c>
      <c r="AO359" s="34">
        <v>290.0</v>
      </c>
      <c r="AP359" s="32" t="s">
        <v>3818</v>
      </c>
      <c r="AQ359" s="31">
        <v>100.0</v>
      </c>
      <c r="AR359" s="33">
        <f>'Old Balance Sheet'!H359 + 'ACPL Calculations - 1.0'!H359 + 'ACPL Calculations - 2.0'!H359</f>
        <v>0</v>
      </c>
      <c r="AS359" s="34" t="s">
        <v>3819</v>
      </c>
      <c r="AT359" s="34">
        <v>838.99</v>
      </c>
      <c r="AU359" s="32" t="s">
        <v>3818</v>
      </c>
      <c r="AV359" s="31">
        <v>100.0</v>
      </c>
      <c r="AW359" s="33">
        <f>'Old Balance Sheet'!I359 + 'ACPL Calculations - 1.0'!I359 + 'ACPL Calculations - 2.0'!I359</f>
        <v>0</v>
      </c>
      <c r="AX359" s="34" t="s">
        <v>3817</v>
      </c>
      <c r="AY359" s="34">
        <v>290.0</v>
      </c>
      <c r="AZ359" s="32" t="s">
        <v>3818</v>
      </c>
      <c r="BA359" s="31">
        <v>100.0</v>
      </c>
      <c r="BB359" s="33">
        <f>'Old Balance Sheet'!J359 + 'ACPL Calculations - 1.0'!J359 + 'ACPL Calculations - 2.0'!J359</f>
        <v>0</v>
      </c>
      <c r="BC359" s="34" t="s">
        <v>3817</v>
      </c>
      <c r="BD359" s="34">
        <v>205.0</v>
      </c>
      <c r="BE359" s="32" t="s">
        <v>3818</v>
      </c>
      <c r="BF359" s="31">
        <v>100.0</v>
      </c>
      <c r="BG359" s="33">
        <f>'Old Balance Sheet'!K359 + 'ACPL Calculations - 1.0'!K359 + 'ACPL Calculations - 2.0'!K359</f>
        <v>0</v>
      </c>
      <c r="BH359" s="34" t="s">
        <v>3817</v>
      </c>
      <c r="BI359" s="34">
        <v>205.0</v>
      </c>
      <c r="BJ359" s="32" t="s">
        <v>3818</v>
      </c>
      <c r="BK359" s="31">
        <v>100.0</v>
      </c>
      <c r="BL359" s="33">
        <f>'Old Balance Sheet'!L359 + 'ACPL Calculations - 1.0'!L359 + 'ACPL Calculations - 2.0'!L359</f>
        <v>0</v>
      </c>
      <c r="CL359" s="33">
        <f t="shared" si="1"/>
        <v>42</v>
      </c>
      <c r="CM359" s="33">
        <f>'Old Balance Sheet'!R359 + 'ACPL Calculations - 1.0'!S359 + 'ACPL Calculations - 2.0'!S359</f>
        <v>18564</v>
      </c>
      <c r="CN359" s="33">
        <f>'Old Balance Sheet'!S359 + 'ACPL Calculations - 1.0'!T359 + 'ACPL Calculations - 2.0'!T359</f>
        <v>7350</v>
      </c>
      <c r="CO359" s="26">
        <f t="shared" si="2"/>
        <v>10181.64</v>
      </c>
      <c r="CP359" s="33">
        <f>'Old Balance Sheet'!T359 + 'ACPL Calculations - 1.0'!V359 + 'ACPL Calculations - 2.0'!V359</f>
        <v>0</v>
      </c>
      <c r="CQ359" s="33">
        <f>'Old Balance Sheet'!U359 + 'ACPL Calculations - 1.0'!W359 + 'ACPL Calculations - 2.0'!W359</f>
        <v>0</v>
      </c>
      <c r="CR359" s="33">
        <f>'Old Balance Sheet'!V359 + 'ACPL Calculations - 1.0'!X359 + 'ACPL Calculations - 2.0'!X359</f>
        <v>2831.64</v>
      </c>
      <c r="CS359" s="26">
        <f t="shared" si="3"/>
        <v>2831.64</v>
      </c>
      <c r="CT359" s="34">
        <v>0.0</v>
      </c>
      <c r="CU359" s="34">
        <v>0.0</v>
      </c>
      <c r="CV359" s="34">
        <v>0.0</v>
      </c>
      <c r="CW359" s="36">
        <f>'Old Balance Sheet'!W359 + 'ACPL Calculations - 1.0'!Z359 + 'ACPL Calculations - 2.0'!Z359</f>
        <v>0</v>
      </c>
      <c r="CX359" s="36">
        <f>'Old Balance Sheet'!X359 + 'ACPL Calculations - 1.0'!AA359 + 'ACPL Calculations - 2.0'!AA359</f>
        <v>0</v>
      </c>
      <c r="CY359" s="37">
        <v>0.0</v>
      </c>
      <c r="CZ359" s="38">
        <f>'Old Balance Sheet'!Y359 + 'ACPL Calculations - 1.0'!AB359 + 'ACPL Calculations - 2.0'!AB359</f>
        <v>0</v>
      </c>
      <c r="DA359" s="38">
        <f>'Old Balance Sheet'!Z359 + 'ACPL Calculations - 1.0'!AC359 + 'ACPL Calculations - 2.0'!AC359</f>
        <v>0</v>
      </c>
      <c r="DB359" s="38">
        <f>'Old Balance Sheet'!AA359 + 'ACPL Calculations - 1.0'!AD359 + 'ACPL Calculations - 2.0'!AD359</f>
        <v>0</v>
      </c>
      <c r="DC359" s="38">
        <f>'Old Balance Sheet'!AB359 + 'ACPL Calculations - 1.0'!AE359 + 'ACPL Calculations - 2.0'!AE359</f>
        <v>0</v>
      </c>
      <c r="DD359" s="38">
        <f t="shared" si="4"/>
        <v>0</v>
      </c>
      <c r="DE359" s="33">
        <f t="shared" si="5"/>
        <v>0</v>
      </c>
      <c r="DF359" s="35">
        <v>0.0</v>
      </c>
      <c r="DG359" s="34">
        <v>0.0</v>
      </c>
      <c r="DH359" s="34">
        <v>0.0</v>
      </c>
      <c r="DI359" s="34">
        <v>0.0</v>
      </c>
      <c r="DJ359" s="34">
        <v>0.0</v>
      </c>
      <c r="DK359" s="34">
        <v>0.0</v>
      </c>
      <c r="DL359" s="34">
        <v>0.0</v>
      </c>
      <c r="DM359" s="34">
        <v>0.0</v>
      </c>
      <c r="DN359" s="34">
        <v>0.0</v>
      </c>
      <c r="DO359" s="34">
        <v>0.0</v>
      </c>
      <c r="DP359" s="34">
        <v>0.0</v>
      </c>
      <c r="DQ359" s="34">
        <v>0.0</v>
      </c>
      <c r="DR359" s="34">
        <v>0.0</v>
      </c>
      <c r="DS359" s="34">
        <v>0.0</v>
      </c>
      <c r="DT359" s="26" t="str">
        <f>'Old Balance Sheet'!AC359</f>
        <v/>
      </c>
      <c r="DU359" s="26">
        <f>DT359 + SUMIFS('Payments Log'!D:D, 'Payments Log'!B:B, A359, 'Payments Log'!L:L, "Approved", 'Payments Log'!M:M, "Credit") + 'Old Balance Sheet'!AD359 - 'Old Balance Sheet'!AC359</f>
        <v>0</v>
      </c>
      <c r="DV359" s="26">
        <f>SUMIFS('Payments Log'!D:D, 'Payments Log'!B:B, A359, 'Payments Log'!L:L, "Approved", 'Payments Log'!M:M, "Adjustment Credit") - SUMIFS('Payments Log'!D:D, 'Payments Log'!B:B, A359, 'Payments Log'!L:L, "Approved", 'Payments Log'!M:M, "Adjustment Debit") + 'Old Balance Sheet'!AE359</f>
        <v>0</v>
      </c>
      <c r="DW359" s="31">
        <f>IF(MAXIFS('Payments Log'!N:N, 'Payments Log'!L:L, "Approved", 'Payments Log'!M:M, "Credit", 'Payments Log'!B:B, A359) &gt; MAXIFS('Payments Log'!N:N, 'Payments Log'!L:L, "Approved", 'Payments Log'!M:M, "Virtual Credit", 'Payments Log'!B:B, A359), 0, SUMIFS('Payments Log'!D:D, 'Payments Log'!N:N, MAXIFS('Payments Log'!N:N, 'Payments Log'!L:L, "Approved", 'Payments Log'!M:M, "Virtual Credit", 'Payments Log'!B:B, A359)))</f>
        <v>0</v>
      </c>
      <c r="DX359" s="33">
        <f t="shared" si="6"/>
        <v>0</v>
      </c>
      <c r="DY359" s="26">
        <f t="shared" si="7"/>
        <v>0</v>
      </c>
      <c r="DZ359" s="26">
        <f t="shared" si="8"/>
        <v>0</v>
      </c>
      <c r="EA359" s="26" t="str">
        <f>(Sheet1!N359)</f>
        <v>Gupta Automobiles - Padrauna</v>
      </c>
      <c r="EB359" s="26" t="str">
        <f>(Sheet1!O359)</f>
        <v>1Ql_6BdBcHGAyITSZt1pNUK3bW54CzeThIBXr7aH7K3Y</v>
      </c>
      <c r="EC359" s="26" t="str">
        <f>(Sheet1!P359)</f>
        <v>Sub Dealer</v>
      </c>
      <c r="ED359" s="34" t="s">
        <v>13</v>
      </c>
    </row>
    <row r="360">
      <c r="A360" s="26" t="str">
        <f>(Sheet1!A360)</f>
        <v>1fMAoCtyh4vodLMi1U0F_zWZwZ5rFDaCBLM-jtJs7o0I</v>
      </c>
      <c r="B360" s="26" t="str">
        <f>(Sheet1!B360)</f>
        <v>SHYAM AUTOMOBILES (GA) - Jataha Road Bhairoganj bajar</v>
      </c>
      <c r="C360" s="34" t="s">
        <v>13</v>
      </c>
      <c r="D360" s="34" t="s">
        <v>72</v>
      </c>
      <c r="E360" s="34" t="s">
        <v>3817</v>
      </c>
      <c r="F360" s="34">
        <v>175.0</v>
      </c>
      <c r="G360" s="34" t="s">
        <v>3818</v>
      </c>
      <c r="H360" s="34">
        <v>100.0</v>
      </c>
      <c r="I360" s="33">
        <f>'Old Balance Sheet'!A360 + 'ACPL Calculations - 1.0'!A360 + 'ACPL Calculations - 2.0'!A360</f>
        <v>23</v>
      </c>
      <c r="J360" s="34" t="s">
        <v>3817</v>
      </c>
      <c r="K360" s="34">
        <v>205.0</v>
      </c>
      <c r="L360" s="34" t="s">
        <v>3818</v>
      </c>
      <c r="M360" s="34">
        <v>100.0</v>
      </c>
      <c r="N360" s="33">
        <f>'Old Balance Sheet'!B360 + 'ACPL Calculations - 1.0'!B360 + 'ACPL Calculations - 2.0'!B360</f>
        <v>0</v>
      </c>
      <c r="O360" s="34" t="s">
        <v>3817</v>
      </c>
      <c r="P360" s="34">
        <v>290.0</v>
      </c>
      <c r="Q360" s="34" t="s">
        <v>3818</v>
      </c>
      <c r="R360" s="34">
        <v>100.0</v>
      </c>
      <c r="S360" s="33">
        <f>'Old Balance Sheet'!C360 + 'ACPL Calculations - 1.0'!C360 + 'ACPL Calculations - 2.0'!C360</f>
        <v>0</v>
      </c>
      <c r="T360" s="34" t="s">
        <v>3817</v>
      </c>
      <c r="U360" s="34">
        <v>375.0</v>
      </c>
      <c r="V360" s="34" t="s">
        <v>3818</v>
      </c>
      <c r="W360" s="34">
        <v>100.0</v>
      </c>
      <c r="X360" s="33">
        <f>'Old Balance Sheet'!D360 + 'ACPL Calculations - 1.0'!D360 + 'ACPL Calculations - 2.0'!D360</f>
        <v>0</v>
      </c>
      <c r="Y360" s="34" t="s">
        <v>3817</v>
      </c>
      <c r="Z360" s="34">
        <v>460.0</v>
      </c>
      <c r="AA360" s="32" t="s">
        <v>3818</v>
      </c>
      <c r="AB360" s="31">
        <v>100.0</v>
      </c>
      <c r="AC360" s="33">
        <f>'Old Balance Sheet'!E360 + 'ACPL Calculations - 1.0'!E360 + 'ACPL Calculations - 2.0'!E360</f>
        <v>0</v>
      </c>
      <c r="AD360" s="34" t="s">
        <v>3817</v>
      </c>
      <c r="AE360" s="34">
        <v>838.99</v>
      </c>
      <c r="AF360" s="32" t="s">
        <v>3818</v>
      </c>
      <c r="AG360" s="31">
        <v>100.0</v>
      </c>
      <c r="AH360" s="33">
        <f>'Old Balance Sheet'!F360 + 'ACPL Calculations - 1.0'!F360 + 'ACPL Calculations - 2.0'!F360</f>
        <v>0</v>
      </c>
      <c r="AI360" s="34" t="s">
        <v>3817</v>
      </c>
      <c r="AJ360" s="34">
        <v>375.0</v>
      </c>
      <c r="AK360" s="32" t="s">
        <v>3818</v>
      </c>
      <c r="AL360" s="31">
        <v>100.0</v>
      </c>
      <c r="AM360" s="33">
        <f>'Old Balance Sheet'!G360 + 'ACPL Calculations - 1.0'!G360 + 'ACPL Calculations - 2.0'!G360</f>
        <v>0</v>
      </c>
      <c r="AN360" s="34" t="s">
        <v>3817</v>
      </c>
      <c r="AO360" s="34">
        <v>290.0</v>
      </c>
      <c r="AP360" s="32" t="s">
        <v>3818</v>
      </c>
      <c r="AQ360" s="31">
        <v>100.0</v>
      </c>
      <c r="AR360" s="33">
        <f>'Old Balance Sheet'!H360 + 'ACPL Calculations - 1.0'!H360 + 'ACPL Calculations - 2.0'!H360</f>
        <v>0</v>
      </c>
      <c r="AS360" s="34" t="s">
        <v>3819</v>
      </c>
      <c r="AT360" s="34">
        <v>838.99</v>
      </c>
      <c r="AU360" s="34" t="s">
        <v>3818</v>
      </c>
      <c r="AV360" s="34">
        <v>100.0</v>
      </c>
      <c r="AW360" s="33">
        <f>'Old Balance Sheet'!I360 + 'ACPL Calculations - 1.0'!I360 + 'ACPL Calculations - 2.0'!I360</f>
        <v>0</v>
      </c>
      <c r="AX360" s="34" t="s">
        <v>3817</v>
      </c>
      <c r="AY360" s="34">
        <v>290.0</v>
      </c>
      <c r="AZ360" s="34" t="s">
        <v>3818</v>
      </c>
      <c r="BA360" s="34">
        <v>100.0</v>
      </c>
      <c r="BB360" s="33">
        <f>'Old Balance Sheet'!J360 + 'ACPL Calculations - 1.0'!J360 + 'ACPL Calculations - 2.0'!J360</f>
        <v>0</v>
      </c>
      <c r="BC360" s="34" t="s">
        <v>3817</v>
      </c>
      <c r="BD360" s="34">
        <v>205.0</v>
      </c>
      <c r="BE360" s="34" t="s">
        <v>3818</v>
      </c>
      <c r="BF360" s="34">
        <v>100.0</v>
      </c>
      <c r="BG360" s="33">
        <f>'Old Balance Sheet'!K360 + 'ACPL Calculations - 1.0'!K360 + 'ACPL Calculations - 2.0'!K360</f>
        <v>0</v>
      </c>
      <c r="BH360" s="34" t="s">
        <v>3817</v>
      </c>
      <c r="BI360" s="34">
        <v>205.0</v>
      </c>
      <c r="BJ360" s="34" t="s">
        <v>3818</v>
      </c>
      <c r="BK360" s="34">
        <v>100.0</v>
      </c>
      <c r="BL360" s="33">
        <f>'Old Balance Sheet'!L360 + 'ACPL Calculations - 1.0'!L360 + 'ACPL Calculations - 2.0'!L360</f>
        <v>0</v>
      </c>
      <c r="CL360" s="26">
        <f t="shared" ref="CL360:CL365" si="9">SUM(I360, N360, S360, X360, AC360, AH360, AM360, AR360, AW360, BB360, BG360)</f>
        <v>23</v>
      </c>
      <c r="CM360" s="33">
        <f>'Old Balance Sheet'!R360 + 'ACPL Calculations - 1.0'!S360 + 'ACPL Calculations - 2.0'!S360</f>
        <v>10166</v>
      </c>
      <c r="CN360" s="33">
        <f>'Old Balance Sheet'!S360 + 'ACPL Calculations - 1.0'!T360 + 'ACPL Calculations - 2.0'!T360</f>
        <v>4025</v>
      </c>
      <c r="CO360" s="26">
        <f t="shared" si="2"/>
        <v>5575.66</v>
      </c>
      <c r="CP360" s="33">
        <f>'Old Balance Sheet'!T360 + 'ACPL Calculations - 1.0'!V360 + 'ACPL Calculations - 2.0'!V360</f>
        <v>0</v>
      </c>
      <c r="CQ360" s="33">
        <f>'Old Balance Sheet'!U360 + 'ACPL Calculations - 1.0'!W360 + 'ACPL Calculations - 2.0'!W360</f>
        <v>0</v>
      </c>
      <c r="CR360" s="33">
        <f>'Old Balance Sheet'!V360 + 'ACPL Calculations - 1.0'!X360 + 'ACPL Calculations - 2.0'!X360</f>
        <v>1550.66</v>
      </c>
      <c r="CS360" s="26">
        <f t="shared" si="3"/>
        <v>1550.66</v>
      </c>
      <c r="CT360" s="34">
        <v>0.0</v>
      </c>
      <c r="CU360" s="34">
        <v>0.0</v>
      </c>
      <c r="CV360" s="34">
        <v>0.0</v>
      </c>
      <c r="CW360" s="36">
        <f>'Old Balance Sheet'!W360 + 'ACPL Calculations - 1.0'!Z360 + 'ACPL Calculations - 2.0'!Z360</f>
        <v>0</v>
      </c>
      <c r="CX360" s="36">
        <f>'Old Balance Sheet'!X360 + 'ACPL Calculations - 1.0'!AA360 + 'ACPL Calculations - 2.0'!AA360</f>
        <v>0</v>
      </c>
      <c r="CY360" s="37">
        <v>0.0</v>
      </c>
      <c r="CZ360" s="38">
        <f>'Old Balance Sheet'!Y360 + 'ACPL Calculations - 1.0'!AB360 + 'ACPL Calculations - 2.0'!AB360</f>
        <v>0</v>
      </c>
      <c r="DA360" s="38">
        <f>'Old Balance Sheet'!Z360 + 'ACPL Calculations - 1.0'!AC360 + 'ACPL Calculations - 2.0'!AC360</f>
        <v>0</v>
      </c>
      <c r="DB360" s="38">
        <f>'Old Balance Sheet'!AA360 + 'ACPL Calculations - 1.0'!AD360 + 'ACPL Calculations - 2.0'!AD360</f>
        <v>0</v>
      </c>
      <c r="DC360" s="38">
        <f>'Old Balance Sheet'!AB360 + 'ACPL Calculations - 1.0'!AE360 + 'ACPL Calculations - 2.0'!AE360</f>
        <v>0</v>
      </c>
      <c r="DD360" s="38">
        <f t="shared" si="4"/>
        <v>0</v>
      </c>
      <c r="DE360" s="33">
        <f t="shared" si="5"/>
        <v>0</v>
      </c>
      <c r="DF360" s="35">
        <v>0.0</v>
      </c>
      <c r="DG360" s="34">
        <v>0.0</v>
      </c>
      <c r="DH360" s="34">
        <v>0.0</v>
      </c>
      <c r="DI360" s="34">
        <v>0.0</v>
      </c>
      <c r="DJ360" s="34">
        <v>0.0</v>
      </c>
      <c r="DK360" s="34">
        <v>0.0</v>
      </c>
      <c r="DL360" s="34">
        <v>0.0</v>
      </c>
      <c r="DM360" s="34">
        <v>0.0</v>
      </c>
      <c r="DN360" s="34">
        <v>0.0</v>
      </c>
      <c r="DO360" s="34">
        <v>0.0</v>
      </c>
      <c r="DP360" s="34">
        <v>0.0</v>
      </c>
      <c r="DQ360" s="34">
        <v>0.0</v>
      </c>
      <c r="DR360" s="34">
        <v>0.0</v>
      </c>
      <c r="DS360" s="34">
        <v>0.0</v>
      </c>
      <c r="DT360" s="26" t="str">
        <f>'Old Balance Sheet'!AC360</f>
        <v/>
      </c>
      <c r="DU360" s="26">
        <f>DT360 + SUMIFS('Payments Log'!D:D, 'Payments Log'!B:B, A360, 'Payments Log'!L:L, "Approved", 'Payments Log'!M:M, "Credit") + 'Old Balance Sheet'!AD360 - 'Old Balance Sheet'!AC360</f>
        <v>0</v>
      </c>
      <c r="DV360" s="26">
        <f>SUMIFS('Payments Log'!D:D, 'Payments Log'!B:B, A360, 'Payments Log'!L:L, "Approved", 'Payments Log'!M:M, "Adjustment Credit") - SUMIFS('Payments Log'!D:D, 'Payments Log'!B:B, A360, 'Payments Log'!L:L, "Approved", 'Payments Log'!M:M, "Adjustment Debit") + 'Old Balance Sheet'!AE360</f>
        <v>0</v>
      </c>
      <c r="DW360" s="26">
        <f>IF(MAXIFS('Payments Log'!N:N, 'Payments Log'!L:L, "Approved", 'Payments Log'!M:M, "Credit", 'Payments Log'!B:B, A360) &gt; MAXIFS('Payments Log'!N:N, 'Payments Log'!L:L, "Approved", 'Payments Log'!M:M, "Virtual Credit", 'Payments Log'!B:B, A360), 0, SUMIFS('Payments Log'!D:D, 'Payments Log'!N:N, MAXIFS('Payments Log'!N:N, 'Payments Log'!L:L, "Approved", 'Payments Log'!M:M, "Virtual Credit", 'Payments Log'!B:B, A360)))</f>
        <v>0</v>
      </c>
      <c r="DX360" s="26">
        <f t="shared" si="6"/>
        <v>0</v>
      </c>
      <c r="DY360" s="26">
        <f t="shared" si="7"/>
        <v>0</v>
      </c>
      <c r="DZ360" s="26">
        <f t="shared" si="8"/>
        <v>0</v>
      </c>
      <c r="EA360" s="26" t="str">
        <f>(Sheet1!N360)</f>
        <v>Gupta Automobiles - Padrauna</v>
      </c>
      <c r="EB360" s="26" t="str">
        <f>(Sheet1!O360)</f>
        <v>1Ql_6BdBcHGAyITSZt1pNUK3bW54CzeThIBXr7aH7K3Y</v>
      </c>
      <c r="EC360" s="26" t="str">
        <f>(Sheet1!P360)</f>
        <v>Sub Dealer</v>
      </c>
      <c r="ED360" s="34" t="s">
        <v>13</v>
      </c>
    </row>
    <row r="361">
      <c r="A361" s="26" t="str">
        <f>(Sheet1!A361)</f>
        <v>17-i_J4Fqa8xoYSEn5aPKSTGcpk9iFdx1SsEd6pRjLjw</v>
      </c>
      <c r="B361" s="26" t="str">
        <f>(Sheet1!B361)</f>
        <v>SUMITRA SONS TILHAR ( SSS)</v>
      </c>
      <c r="C361" s="34" t="s">
        <v>13</v>
      </c>
      <c r="D361" s="34" t="s">
        <v>72</v>
      </c>
      <c r="E361" s="34" t="s">
        <v>3817</v>
      </c>
      <c r="F361" s="34">
        <v>170.0</v>
      </c>
      <c r="G361" s="34" t="s">
        <v>3818</v>
      </c>
      <c r="H361" s="34">
        <v>100.0</v>
      </c>
      <c r="I361" s="33">
        <f>'Old Balance Sheet'!A361 + 'ACPL Calculations - 1.0'!A361 + 'ACPL Calculations - 2.0'!A361</f>
        <v>0</v>
      </c>
      <c r="J361" s="34" t="s">
        <v>3817</v>
      </c>
      <c r="K361" s="34">
        <v>205.0</v>
      </c>
      <c r="L361" s="34" t="s">
        <v>3818</v>
      </c>
      <c r="M361" s="34">
        <v>100.0</v>
      </c>
      <c r="N361" s="33">
        <f>'Old Balance Sheet'!B361 + 'ACPL Calculations - 1.0'!B361 + 'ACPL Calculations - 2.0'!B361</f>
        <v>0</v>
      </c>
      <c r="O361" s="34" t="s">
        <v>3817</v>
      </c>
      <c r="P361" s="34">
        <v>290.0</v>
      </c>
      <c r="Q361" s="34" t="s">
        <v>3818</v>
      </c>
      <c r="R361" s="34">
        <v>100.0</v>
      </c>
      <c r="S361" s="33">
        <f>'Old Balance Sheet'!C361 + 'ACPL Calculations - 1.0'!C361 + 'ACPL Calculations - 2.0'!C361</f>
        <v>0</v>
      </c>
      <c r="T361" s="34" t="s">
        <v>3817</v>
      </c>
      <c r="U361" s="34">
        <v>375.0</v>
      </c>
      <c r="V361" s="34" t="s">
        <v>3818</v>
      </c>
      <c r="W361" s="34">
        <v>100.0</v>
      </c>
      <c r="X361" s="33">
        <f>'Old Balance Sheet'!D361 + 'ACPL Calculations - 1.0'!D361 + 'ACPL Calculations - 2.0'!D361</f>
        <v>0</v>
      </c>
      <c r="Y361" s="34" t="s">
        <v>3817</v>
      </c>
      <c r="Z361" s="34">
        <v>250.0</v>
      </c>
      <c r="AA361" s="32" t="s">
        <v>3818</v>
      </c>
      <c r="AB361" s="31">
        <v>100.0</v>
      </c>
      <c r="AC361" s="33">
        <f>'Old Balance Sheet'!E361 + 'ACPL Calculations - 1.0'!E361 + 'ACPL Calculations - 2.0'!E361</f>
        <v>23</v>
      </c>
      <c r="AD361" s="34" t="s">
        <v>3817</v>
      </c>
      <c r="AE361" s="34">
        <v>838.99</v>
      </c>
      <c r="AF361" s="32" t="s">
        <v>3818</v>
      </c>
      <c r="AG361" s="31">
        <v>100.0</v>
      </c>
      <c r="AH361" s="33">
        <f>'Old Balance Sheet'!F361 + 'ACPL Calculations - 1.0'!F361 + 'ACPL Calculations - 2.0'!F361</f>
        <v>0</v>
      </c>
      <c r="AI361" s="34" t="s">
        <v>3817</v>
      </c>
      <c r="AJ361" s="34">
        <v>375.0</v>
      </c>
      <c r="AK361" s="32" t="s">
        <v>3818</v>
      </c>
      <c r="AL361" s="31">
        <v>100.0</v>
      </c>
      <c r="AM361" s="33">
        <f>'Old Balance Sheet'!G361 + 'ACPL Calculations - 1.0'!G361 + 'ACPL Calculations - 2.0'!G361</f>
        <v>0</v>
      </c>
      <c r="AN361" s="34" t="s">
        <v>3817</v>
      </c>
      <c r="AO361" s="34">
        <v>290.0</v>
      </c>
      <c r="AP361" s="32" t="s">
        <v>3818</v>
      </c>
      <c r="AQ361" s="31">
        <v>100.0</v>
      </c>
      <c r="AR361" s="33">
        <f>'Old Balance Sheet'!H361 + 'ACPL Calculations - 1.0'!H361 + 'ACPL Calculations - 2.0'!H361</f>
        <v>0</v>
      </c>
      <c r="AS361" s="34" t="s">
        <v>3819</v>
      </c>
      <c r="AT361" s="34">
        <v>838.99</v>
      </c>
      <c r="AU361" s="34" t="s">
        <v>3818</v>
      </c>
      <c r="AV361" s="34">
        <v>100.0</v>
      </c>
      <c r="AW361" s="33">
        <f>'Old Balance Sheet'!I361 + 'ACPL Calculations - 1.0'!I361 + 'ACPL Calculations - 2.0'!I361</f>
        <v>0</v>
      </c>
      <c r="AX361" s="34" t="s">
        <v>3817</v>
      </c>
      <c r="AY361" s="34">
        <v>290.0</v>
      </c>
      <c r="AZ361" s="34" t="s">
        <v>3818</v>
      </c>
      <c r="BA361" s="34">
        <v>100.0</v>
      </c>
      <c r="BB361" s="33">
        <f>'Old Balance Sheet'!J361 + 'ACPL Calculations - 1.0'!J361 + 'ACPL Calculations - 2.0'!J361</f>
        <v>0</v>
      </c>
      <c r="BC361" s="34" t="s">
        <v>3817</v>
      </c>
      <c r="BD361" s="34">
        <v>205.0</v>
      </c>
      <c r="BE361" s="34" t="s">
        <v>3818</v>
      </c>
      <c r="BF361" s="34">
        <v>100.0</v>
      </c>
      <c r="BG361" s="33">
        <f>'Old Balance Sheet'!K361 + 'ACPL Calculations - 1.0'!K361 + 'ACPL Calculations - 2.0'!K361</f>
        <v>0</v>
      </c>
      <c r="BH361" s="34" t="s">
        <v>3817</v>
      </c>
      <c r="BI361" s="34">
        <v>205.0</v>
      </c>
      <c r="BJ361" s="34" t="s">
        <v>3818</v>
      </c>
      <c r="BK361" s="34">
        <v>100.0</v>
      </c>
      <c r="BL361" s="33">
        <f>'Old Balance Sheet'!L361 + 'ACPL Calculations - 1.0'!L361 + 'ACPL Calculations - 2.0'!L361</f>
        <v>0</v>
      </c>
      <c r="CL361" s="26">
        <f t="shared" si="9"/>
        <v>23</v>
      </c>
      <c r="CM361" s="33">
        <f>'Old Balance Sheet'!R361 + 'ACPL Calculations - 1.0'!S361 + 'ACPL Calculations - 2.0'!S361</f>
        <v>29900</v>
      </c>
      <c r="CN361" s="33">
        <f>'Old Balance Sheet'!S361 + 'ACPL Calculations - 1.0'!T361 + 'ACPL Calculations - 2.0'!T361</f>
        <v>5750</v>
      </c>
      <c r="CO361" s="26">
        <f t="shared" si="2"/>
        <v>10311.13</v>
      </c>
      <c r="CP361" s="33">
        <f>'Old Balance Sheet'!T361 + 'ACPL Calculations - 1.0'!V361 + 'ACPL Calculations - 2.0'!V361</f>
        <v>0</v>
      </c>
      <c r="CQ361" s="33">
        <f>'Old Balance Sheet'!U361 + 'ACPL Calculations - 1.0'!W361 + 'ACPL Calculations - 2.0'!W361</f>
        <v>0</v>
      </c>
      <c r="CR361" s="33">
        <f>'Old Balance Sheet'!V361 + 'ACPL Calculations - 1.0'!X361 + 'ACPL Calculations - 2.0'!X361</f>
        <v>4561.13</v>
      </c>
      <c r="CS361" s="26">
        <f t="shared" si="3"/>
        <v>4561.13</v>
      </c>
      <c r="CT361" s="34">
        <v>0.0</v>
      </c>
      <c r="CU361" s="34">
        <v>0.0</v>
      </c>
      <c r="CV361" s="34">
        <v>0.0</v>
      </c>
      <c r="CW361" s="36">
        <f>'Old Balance Sheet'!W361 + 'ACPL Calculations - 1.0'!Z361 + 'ACPL Calculations - 2.0'!Z361</f>
        <v>0</v>
      </c>
      <c r="CX361" s="36">
        <f>'Old Balance Sheet'!X361 + 'ACPL Calculations - 1.0'!AA361 + 'ACPL Calculations - 2.0'!AA361</f>
        <v>0</v>
      </c>
      <c r="CY361" s="37">
        <v>0.0</v>
      </c>
      <c r="CZ361" s="38">
        <f>'Old Balance Sheet'!Y361 + 'ACPL Calculations - 1.0'!AB361 + 'ACPL Calculations - 2.0'!AB361</f>
        <v>0</v>
      </c>
      <c r="DA361" s="38">
        <f>'Old Balance Sheet'!Z361 + 'ACPL Calculations - 1.0'!AC361 + 'ACPL Calculations - 2.0'!AC361</f>
        <v>0</v>
      </c>
      <c r="DB361" s="38">
        <f>'Old Balance Sheet'!AA361 + 'ACPL Calculations - 1.0'!AD361 + 'ACPL Calculations - 2.0'!AD361</f>
        <v>0</v>
      </c>
      <c r="DC361" s="38">
        <f>'Old Balance Sheet'!AB361 + 'ACPL Calculations - 1.0'!AE361 + 'ACPL Calculations - 2.0'!AE361</f>
        <v>0</v>
      </c>
      <c r="DD361" s="38">
        <f t="shared" si="4"/>
        <v>0</v>
      </c>
      <c r="DE361" s="33">
        <f t="shared" si="5"/>
        <v>0</v>
      </c>
      <c r="DF361" s="35">
        <v>0.0</v>
      </c>
      <c r="DG361" s="34">
        <v>0.0</v>
      </c>
      <c r="DH361" s="34">
        <v>0.0</v>
      </c>
      <c r="DI361" s="34">
        <v>0.0</v>
      </c>
      <c r="DJ361" s="34">
        <v>0.0</v>
      </c>
      <c r="DK361" s="34">
        <v>0.0</v>
      </c>
      <c r="DL361" s="34">
        <v>0.0</v>
      </c>
      <c r="DM361" s="34">
        <v>0.0</v>
      </c>
      <c r="DN361" s="34">
        <v>0.0</v>
      </c>
      <c r="DO361" s="34">
        <v>0.0</v>
      </c>
      <c r="DP361" s="34">
        <v>0.0</v>
      </c>
      <c r="DQ361" s="34">
        <v>0.0</v>
      </c>
      <c r="DR361" s="34">
        <v>0.0</v>
      </c>
      <c r="DS361" s="34">
        <v>0.0</v>
      </c>
      <c r="DT361" s="26" t="str">
        <f>'Old Balance Sheet'!AC361</f>
        <v/>
      </c>
      <c r="DU361" s="26">
        <f>DT361 + SUMIFS('Payments Log'!D:D, 'Payments Log'!B:B, A361, 'Payments Log'!L:L, "Approved", 'Payments Log'!M:M, "Credit") + 'Old Balance Sheet'!AD361 - 'Old Balance Sheet'!AC361</f>
        <v>0</v>
      </c>
      <c r="DV361" s="26">
        <f>SUMIFS('Payments Log'!D:D, 'Payments Log'!B:B, A361, 'Payments Log'!L:L, "Approved", 'Payments Log'!M:M, "Adjustment Credit") - SUMIFS('Payments Log'!D:D, 'Payments Log'!B:B, A361, 'Payments Log'!L:L, "Approved", 'Payments Log'!M:M, "Adjustment Debit") + 'Old Balance Sheet'!AE361</f>
        <v>0</v>
      </c>
      <c r="DW361" s="26">
        <f>IF(MAXIFS('Payments Log'!N:N, 'Payments Log'!L:L, "Approved", 'Payments Log'!M:M, "Credit", 'Payments Log'!B:B, A361) &gt; MAXIFS('Payments Log'!N:N, 'Payments Log'!L:L, "Approved", 'Payments Log'!M:M, "Virtual Credit", 'Payments Log'!B:B, A361), 0, SUMIFS('Payments Log'!D:D, 'Payments Log'!N:N, MAXIFS('Payments Log'!N:N, 'Payments Log'!L:L, "Approved", 'Payments Log'!M:M, "Virtual Credit", 'Payments Log'!B:B, A361)))</f>
        <v>0</v>
      </c>
      <c r="DX361" s="26">
        <f t="shared" si="6"/>
        <v>0</v>
      </c>
      <c r="DY361" s="26">
        <f t="shared" si="7"/>
        <v>0</v>
      </c>
      <c r="DZ361" s="26">
        <f t="shared" si="8"/>
        <v>0</v>
      </c>
      <c r="EA361" s="26" t="str">
        <f>(Sheet1!N361)</f>
        <v>Sumitra Sons - Shahajahanpur</v>
      </c>
      <c r="EB361" s="26" t="str">
        <f>(Sheet1!O361)</f>
        <v>11FZlKtFUzBvNAVUVwf1C2KpyoxHhbZTiI7E_EdPr-mg</v>
      </c>
      <c r="EC361" s="26" t="str">
        <f>(Sheet1!P361)</f>
        <v>Sub Dealer</v>
      </c>
      <c r="ED361" s="34" t="s">
        <v>13</v>
      </c>
    </row>
    <row r="362">
      <c r="A362" s="26" t="str">
        <f>(Sheet1!A362)</f>
        <v>1WtIXh5GrBWalMc8PB3ysoiWCCaU9S6-a-IzQ6nCHe40</v>
      </c>
      <c r="B362" s="26" t="str">
        <f>(Sheet1!B362)</f>
        <v>Darshan sons Roza (SSS)</v>
      </c>
      <c r="C362" s="34" t="s">
        <v>13</v>
      </c>
      <c r="D362" s="34" t="s">
        <v>72</v>
      </c>
      <c r="E362" s="34" t="s">
        <v>3817</v>
      </c>
      <c r="F362" s="34">
        <v>170.0</v>
      </c>
      <c r="G362" s="34" t="s">
        <v>3818</v>
      </c>
      <c r="H362" s="34">
        <v>100.0</v>
      </c>
      <c r="I362" s="33">
        <f>'Old Balance Sheet'!A362 + 'ACPL Calculations - 1.0'!A362 + 'ACPL Calculations - 2.0'!A362</f>
        <v>0</v>
      </c>
      <c r="J362" s="34" t="s">
        <v>3817</v>
      </c>
      <c r="K362" s="34">
        <v>205.0</v>
      </c>
      <c r="L362" s="34" t="s">
        <v>3818</v>
      </c>
      <c r="M362" s="34">
        <v>100.0</v>
      </c>
      <c r="N362" s="33">
        <f>'Old Balance Sheet'!B362 + 'ACPL Calculations - 1.0'!B362 + 'ACPL Calculations - 2.0'!B362</f>
        <v>0</v>
      </c>
      <c r="O362" s="34" t="s">
        <v>3817</v>
      </c>
      <c r="P362" s="34">
        <v>290.0</v>
      </c>
      <c r="Q362" s="34" t="s">
        <v>3818</v>
      </c>
      <c r="R362" s="34">
        <v>100.0</v>
      </c>
      <c r="S362" s="33">
        <f>'Old Balance Sheet'!C362 + 'ACPL Calculations - 1.0'!C362 + 'ACPL Calculations - 2.0'!C362</f>
        <v>0</v>
      </c>
      <c r="T362" s="34" t="s">
        <v>3817</v>
      </c>
      <c r="U362" s="34">
        <v>375.0</v>
      </c>
      <c r="V362" s="34" t="s">
        <v>3818</v>
      </c>
      <c r="W362" s="34">
        <v>100.0</v>
      </c>
      <c r="X362" s="33">
        <f>'Old Balance Sheet'!D362 + 'ACPL Calculations - 1.0'!D362 + 'ACPL Calculations - 2.0'!D362</f>
        <v>0</v>
      </c>
      <c r="Y362" s="34" t="s">
        <v>3817</v>
      </c>
      <c r="Z362" s="34">
        <v>250.0</v>
      </c>
      <c r="AA362" s="32" t="s">
        <v>3818</v>
      </c>
      <c r="AB362" s="31">
        <v>100.0</v>
      </c>
      <c r="AC362" s="33">
        <f>'Old Balance Sheet'!E362 + 'ACPL Calculations - 1.0'!E362 + 'ACPL Calculations - 2.0'!E362</f>
        <v>0</v>
      </c>
      <c r="AD362" s="34" t="s">
        <v>3817</v>
      </c>
      <c r="AE362" s="34">
        <v>838.99</v>
      </c>
      <c r="AF362" s="32" t="s">
        <v>3818</v>
      </c>
      <c r="AG362" s="31">
        <v>100.0</v>
      </c>
      <c r="AH362" s="33">
        <f>'Old Balance Sheet'!F362 + 'ACPL Calculations - 1.0'!F362 + 'ACPL Calculations - 2.0'!F362</f>
        <v>0</v>
      </c>
      <c r="AI362" s="34" t="s">
        <v>3817</v>
      </c>
      <c r="AJ362" s="34">
        <v>375.0</v>
      </c>
      <c r="AK362" s="32" t="s">
        <v>3818</v>
      </c>
      <c r="AL362" s="31">
        <v>100.0</v>
      </c>
      <c r="AM362" s="33">
        <f>'Old Balance Sheet'!G362 + 'ACPL Calculations - 1.0'!G362 + 'ACPL Calculations - 2.0'!G362</f>
        <v>0</v>
      </c>
      <c r="AN362" s="34" t="s">
        <v>3817</v>
      </c>
      <c r="AO362" s="34">
        <v>290.0</v>
      </c>
      <c r="AP362" s="32" t="s">
        <v>3818</v>
      </c>
      <c r="AQ362" s="31">
        <v>100.0</v>
      </c>
      <c r="AR362" s="33">
        <f>'Old Balance Sheet'!H362 + 'ACPL Calculations - 1.0'!H362 + 'ACPL Calculations - 2.0'!H362</f>
        <v>0</v>
      </c>
      <c r="AS362" s="34" t="s">
        <v>3819</v>
      </c>
      <c r="AT362" s="34">
        <v>838.99</v>
      </c>
      <c r="AU362" s="34" t="s">
        <v>3818</v>
      </c>
      <c r="AV362" s="34">
        <v>100.0</v>
      </c>
      <c r="AW362" s="33">
        <f>'Old Balance Sheet'!I362 + 'ACPL Calculations - 1.0'!I362 + 'ACPL Calculations - 2.0'!I362</f>
        <v>0</v>
      </c>
      <c r="AX362" s="34" t="s">
        <v>3817</v>
      </c>
      <c r="AY362" s="34">
        <v>290.0</v>
      </c>
      <c r="AZ362" s="34" t="s">
        <v>3818</v>
      </c>
      <c r="BA362" s="34">
        <v>100.0</v>
      </c>
      <c r="BB362" s="33">
        <f>'Old Balance Sheet'!J362 + 'ACPL Calculations - 1.0'!J362 + 'ACPL Calculations - 2.0'!J362</f>
        <v>0</v>
      </c>
      <c r="BC362" s="34" t="s">
        <v>3817</v>
      </c>
      <c r="BD362" s="34">
        <v>205.0</v>
      </c>
      <c r="BE362" s="34" t="s">
        <v>3818</v>
      </c>
      <c r="BF362" s="34">
        <v>100.0</v>
      </c>
      <c r="BG362" s="33">
        <f>'Old Balance Sheet'!K362 + 'ACPL Calculations - 1.0'!K362 + 'ACPL Calculations - 2.0'!K362</f>
        <v>0</v>
      </c>
      <c r="BH362" s="34" t="s">
        <v>3817</v>
      </c>
      <c r="BI362" s="34">
        <v>205.0</v>
      </c>
      <c r="BJ362" s="34" t="s">
        <v>3818</v>
      </c>
      <c r="BK362" s="34">
        <v>100.0</v>
      </c>
      <c r="BL362" s="33">
        <f>'Old Balance Sheet'!L362 + 'ACPL Calculations - 1.0'!L362 + 'ACPL Calculations - 2.0'!L362</f>
        <v>0</v>
      </c>
      <c r="CL362" s="26">
        <f t="shared" si="9"/>
        <v>0</v>
      </c>
      <c r="CM362" s="33">
        <f>'Old Balance Sheet'!R362 + 'ACPL Calculations - 1.0'!S362 + 'ACPL Calculations - 2.0'!S362</f>
        <v>0</v>
      </c>
      <c r="CN362" s="33">
        <f>'Old Balance Sheet'!S362 + 'ACPL Calculations - 1.0'!T362 + 'ACPL Calculations - 2.0'!T362</f>
        <v>0</v>
      </c>
      <c r="CO362" s="26">
        <f t="shared" si="2"/>
        <v>0</v>
      </c>
      <c r="CP362" s="33">
        <f>'Old Balance Sheet'!T362 + 'ACPL Calculations - 1.0'!V362 + 'ACPL Calculations - 2.0'!V362</f>
        <v>0</v>
      </c>
      <c r="CQ362" s="33">
        <f>'Old Balance Sheet'!U362 + 'ACPL Calculations - 1.0'!W362 + 'ACPL Calculations - 2.0'!W362</f>
        <v>0</v>
      </c>
      <c r="CR362" s="33">
        <f>'Old Balance Sheet'!V362 + 'ACPL Calculations - 1.0'!X362 + 'ACPL Calculations - 2.0'!X362</f>
        <v>0</v>
      </c>
      <c r="CS362" s="26">
        <f t="shared" si="3"/>
        <v>0</v>
      </c>
      <c r="CT362" s="34">
        <v>0.0</v>
      </c>
      <c r="CU362" s="34">
        <v>0.0</v>
      </c>
      <c r="CV362" s="34">
        <v>0.0</v>
      </c>
      <c r="CW362" s="36">
        <f>'Old Balance Sheet'!W362 + 'ACPL Calculations - 1.0'!Z362 + 'ACPL Calculations - 2.0'!Z362</f>
        <v>0</v>
      </c>
      <c r="CX362" s="36">
        <f>'Old Balance Sheet'!X362 + 'ACPL Calculations - 1.0'!AA362 + 'ACPL Calculations - 2.0'!AA362</f>
        <v>0</v>
      </c>
      <c r="CY362" s="37">
        <v>0.0</v>
      </c>
      <c r="CZ362" s="38">
        <f>'Old Balance Sheet'!Y362 + 'ACPL Calculations - 1.0'!AB362 + 'ACPL Calculations - 2.0'!AB362</f>
        <v>0</v>
      </c>
      <c r="DA362" s="38">
        <f>'Old Balance Sheet'!Z362 + 'ACPL Calculations - 1.0'!AC362 + 'ACPL Calculations - 2.0'!AC362</f>
        <v>0</v>
      </c>
      <c r="DB362" s="38">
        <f>'Old Balance Sheet'!AA362 + 'ACPL Calculations - 1.0'!AD362 + 'ACPL Calculations - 2.0'!AD362</f>
        <v>0</v>
      </c>
      <c r="DC362" s="38">
        <f>'Old Balance Sheet'!AB362 + 'ACPL Calculations - 1.0'!AE362 + 'ACPL Calculations - 2.0'!AE362</f>
        <v>0</v>
      </c>
      <c r="DD362" s="38">
        <f t="shared" si="4"/>
        <v>0</v>
      </c>
      <c r="DE362" s="33">
        <f t="shared" si="5"/>
        <v>0</v>
      </c>
      <c r="DF362" s="35">
        <v>0.0</v>
      </c>
      <c r="DG362" s="34">
        <v>0.0</v>
      </c>
      <c r="DH362" s="34">
        <v>0.0</v>
      </c>
      <c r="DI362" s="34">
        <v>0.0</v>
      </c>
      <c r="DJ362" s="34">
        <v>0.0</v>
      </c>
      <c r="DK362" s="34">
        <v>0.0</v>
      </c>
      <c r="DL362" s="34">
        <v>0.0</v>
      </c>
      <c r="DM362" s="34">
        <v>0.0</v>
      </c>
      <c r="DN362" s="34">
        <v>0.0</v>
      </c>
      <c r="DO362" s="34">
        <v>0.0</v>
      </c>
      <c r="DP362" s="34">
        <v>0.0</v>
      </c>
      <c r="DQ362" s="34">
        <v>0.0</v>
      </c>
      <c r="DR362" s="34">
        <v>0.0</v>
      </c>
      <c r="DS362" s="34">
        <v>0.0</v>
      </c>
      <c r="DT362" s="26" t="str">
        <f>'Old Balance Sheet'!AC362</f>
        <v/>
      </c>
      <c r="DU362" s="26">
        <f>DT362 + SUMIFS('Payments Log'!D:D, 'Payments Log'!B:B, A362, 'Payments Log'!L:L, "Approved", 'Payments Log'!M:M, "Credit") + 'Old Balance Sheet'!AD362 - 'Old Balance Sheet'!AC362</f>
        <v>0</v>
      </c>
      <c r="DV362" s="26">
        <f>SUMIFS('Payments Log'!D:D, 'Payments Log'!B:B, A362, 'Payments Log'!L:L, "Approved", 'Payments Log'!M:M, "Adjustment Credit") - SUMIFS('Payments Log'!D:D, 'Payments Log'!B:B, A362, 'Payments Log'!L:L, "Approved", 'Payments Log'!M:M, "Adjustment Debit") + 'Old Balance Sheet'!AE362</f>
        <v>0</v>
      </c>
      <c r="DW362" s="26">
        <f>IF(MAXIFS('Payments Log'!N:N, 'Payments Log'!L:L, "Approved", 'Payments Log'!M:M, "Credit", 'Payments Log'!B:B, A362) &gt; MAXIFS('Payments Log'!N:N, 'Payments Log'!L:L, "Approved", 'Payments Log'!M:M, "Virtual Credit", 'Payments Log'!B:B, A362), 0, SUMIFS('Payments Log'!D:D, 'Payments Log'!N:N, MAXIFS('Payments Log'!N:N, 'Payments Log'!L:L, "Approved", 'Payments Log'!M:M, "Virtual Credit", 'Payments Log'!B:B, A362)))</f>
        <v>0</v>
      </c>
      <c r="DX362" s="26">
        <f t="shared" si="6"/>
        <v>0</v>
      </c>
      <c r="DY362" s="26">
        <f t="shared" si="7"/>
        <v>0</v>
      </c>
      <c r="DZ362" s="26">
        <f t="shared" si="8"/>
        <v>0</v>
      </c>
      <c r="EA362" s="26" t="str">
        <f>(Sheet1!N362)</f>
        <v>Sumitra Sons - Shahajahanpur</v>
      </c>
      <c r="EB362" s="26" t="str">
        <f>(Sheet1!O362)</f>
        <v>11FZlKtFUzBvNAVUVwf1C2KpyoxHhbZTiI7E_EdPr-mg</v>
      </c>
      <c r="EC362" s="26" t="str">
        <f>(Sheet1!P362)</f>
        <v>Sub Dealer</v>
      </c>
      <c r="ED362" s="34" t="s">
        <v>13</v>
      </c>
    </row>
    <row r="363">
      <c r="A363" s="26" t="str">
        <f>(Sheet1!A363)</f>
        <v>1mcnBZEebWnvF0roguMy0NFJRLZnkCfEaD9uh5qnfKo8</v>
      </c>
      <c r="B363" s="26" t="str">
        <f>(Sheet1!B363)</f>
        <v>SUMITRA SONS WORKSHOP (SSS)</v>
      </c>
      <c r="C363" s="34" t="s">
        <v>13</v>
      </c>
      <c r="D363" s="34" t="s">
        <v>72</v>
      </c>
      <c r="E363" s="34" t="s">
        <v>3817</v>
      </c>
      <c r="F363" s="34">
        <v>170.0</v>
      </c>
      <c r="G363" s="34" t="s">
        <v>3818</v>
      </c>
      <c r="H363" s="34">
        <v>100.0</v>
      </c>
      <c r="I363" s="26">
        <f>'Old Balance Sheet'!A363 + 'ACPL Calculations - 1.0'!A363 + 'ACPL Calculations - 2.0'!A363</f>
        <v>0</v>
      </c>
      <c r="J363" s="34" t="s">
        <v>3817</v>
      </c>
      <c r="K363" s="34">
        <v>205.0</v>
      </c>
      <c r="L363" s="34" t="s">
        <v>3818</v>
      </c>
      <c r="M363" s="34">
        <v>100.0</v>
      </c>
      <c r="N363" s="26">
        <f>'Old Balance Sheet'!B363 + 'ACPL Calculations - 1.0'!B363 + 'ACPL Calculations - 2.0'!B363</f>
        <v>0</v>
      </c>
      <c r="O363" s="34" t="s">
        <v>3817</v>
      </c>
      <c r="P363" s="34">
        <v>290.0</v>
      </c>
      <c r="Q363" s="34" t="s">
        <v>3818</v>
      </c>
      <c r="R363" s="34">
        <v>100.0</v>
      </c>
      <c r="S363" s="26">
        <f>'Old Balance Sheet'!C363 + 'ACPL Calculations - 1.0'!C363 + 'ACPL Calculations - 2.0'!C363</f>
        <v>0</v>
      </c>
      <c r="T363" s="34" t="s">
        <v>3817</v>
      </c>
      <c r="U363" s="34">
        <v>375.0</v>
      </c>
      <c r="V363" s="34" t="s">
        <v>3818</v>
      </c>
      <c r="W363" s="34">
        <v>100.0</v>
      </c>
      <c r="X363" s="26">
        <f>'Old Balance Sheet'!D363 + 'ACPL Calculations - 1.0'!D363 + 'ACPL Calculations - 2.0'!D363</f>
        <v>0</v>
      </c>
      <c r="Y363" s="34" t="s">
        <v>3817</v>
      </c>
      <c r="Z363" s="34">
        <v>250.0</v>
      </c>
      <c r="AA363" s="32" t="s">
        <v>3818</v>
      </c>
      <c r="AB363" s="31">
        <v>100.0</v>
      </c>
      <c r="AC363" s="26">
        <f>'Old Balance Sheet'!E363 + 'ACPL Calculations - 1.0'!E363 + 'ACPL Calculations - 2.0'!E363</f>
        <v>0</v>
      </c>
      <c r="AD363" s="34" t="s">
        <v>3817</v>
      </c>
      <c r="AE363" s="34">
        <v>838.99</v>
      </c>
      <c r="AF363" s="32" t="s">
        <v>3818</v>
      </c>
      <c r="AG363" s="31">
        <v>100.0</v>
      </c>
      <c r="AH363" s="26">
        <f>'Old Balance Sheet'!F363 + 'ACPL Calculations - 1.0'!F363 + 'ACPL Calculations - 2.0'!F363</f>
        <v>0</v>
      </c>
      <c r="AI363" s="34" t="s">
        <v>3817</v>
      </c>
      <c r="AJ363" s="34">
        <v>375.0</v>
      </c>
      <c r="AK363" s="32" t="s">
        <v>3818</v>
      </c>
      <c r="AL363" s="31">
        <v>100.0</v>
      </c>
      <c r="AM363" s="26">
        <f>'Old Balance Sheet'!G363 + 'ACPL Calculations - 1.0'!G363 + 'ACPL Calculations - 2.0'!G363</f>
        <v>0</v>
      </c>
      <c r="AN363" s="34" t="s">
        <v>3817</v>
      </c>
      <c r="AO363" s="34">
        <v>290.0</v>
      </c>
      <c r="AP363" s="32" t="s">
        <v>3818</v>
      </c>
      <c r="AQ363" s="31">
        <v>100.0</v>
      </c>
      <c r="AR363" s="26">
        <f>'Old Balance Sheet'!H363 + 'ACPL Calculations - 1.0'!H363 + 'ACPL Calculations - 2.0'!H363</f>
        <v>0</v>
      </c>
      <c r="AS363" s="34" t="s">
        <v>3819</v>
      </c>
      <c r="AT363" s="34">
        <v>838.99</v>
      </c>
      <c r="AU363" s="34" t="s">
        <v>3818</v>
      </c>
      <c r="AV363" s="34">
        <v>100.0</v>
      </c>
      <c r="AW363" s="26">
        <f>'Old Balance Sheet'!I363 + 'ACPL Calculations - 1.0'!I363 + 'ACPL Calculations - 2.0'!I363</f>
        <v>0</v>
      </c>
      <c r="AX363" s="34" t="s">
        <v>3817</v>
      </c>
      <c r="AY363" s="34">
        <v>290.0</v>
      </c>
      <c r="AZ363" s="34" t="s">
        <v>3818</v>
      </c>
      <c r="BA363" s="34">
        <v>100.0</v>
      </c>
      <c r="BB363" s="26">
        <f>'Old Balance Sheet'!J363 + 'ACPL Calculations - 1.0'!J363 + 'ACPL Calculations - 2.0'!J363</f>
        <v>0</v>
      </c>
      <c r="BC363" s="34" t="s">
        <v>3817</v>
      </c>
      <c r="BD363" s="34">
        <v>205.0</v>
      </c>
      <c r="BE363" s="34" t="s">
        <v>3818</v>
      </c>
      <c r="BF363" s="34">
        <v>100.0</v>
      </c>
      <c r="BG363" s="26">
        <f>'Old Balance Sheet'!K363 + 'ACPL Calculations - 1.0'!K363 + 'ACPL Calculations - 2.0'!K363</f>
        <v>0</v>
      </c>
      <c r="BH363" s="34" t="s">
        <v>3817</v>
      </c>
      <c r="BI363" s="34">
        <v>205.0</v>
      </c>
      <c r="BJ363" s="34" t="s">
        <v>3818</v>
      </c>
      <c r="BK363" s="34">
        <v>100.0</v>
      </c>
      <c r="BL363" s="26">
        <f>'Old Balance Sheet'!L363 + 'ACPL Calculations - 1.0'!L363 + 'ACPL Calculations - 2.0'!L363</f>
        <v>0</v>
      </c>
      <c r="CL363" s="26">
        <f t="shared" si="9"/>
        <v>0</v>
      </c>
      <c r="CM363" s="26">
        <f>'Old Balance Sheet'!R363 + 'ACPL Calculations - 1.0'!S363 + 'ACPL Calculations - 2.0'!S363</f>
        <v>0</v>
      </c>
      <c r="CN363" s="26">
        <f>'Old Balance Sheet'!S363 + 'ACPL Calculations - 1.0'!T363 + 'ACPL Calculations - 2.0'!T363</f>
        <v>0</v>
      </c>
      <c r="CO363" s="26">
        <f t="shared" si="2"/>
        <v>0</v>
      </c>
      <c r="CP363" s="26">
        <f>'Old Balance Sheet'!T363 + 'ACPL Calculations - 1.0'!V363 + 'ACPL Calculations - 2.0'!V363</f>
        <v>0</v>
      </c>
      <c r="CQ363" s="26">
        <f>'Old Balance Sheet'!U363 + 'ACPL Calculations - 1.0'!W363 + 'ACPL Calculations - 2.0'!W363</f>
        <v>0</v>
      </c>
      <c r="CR363" s="26">
        <f>'Old Balance Sheet'!V363 + 'ACPL Calculations - 1.0'!X363 + 'ACPL Calculations - 2.0'!X363</f>
        <v>0</v>
      </c>
      <c r="CS363" s="26">
        <f t="shared" si="3"/>
        <v>0</v>
      </c>
      <c r="CT363" s="34">
        <v>0.0</v>
      </c>
      <c r="CU363" s="34">
        <v>0.0</v>
      </c>
      <c r="CV363" s="34">
        <v>0.0</v>
      </c>
      <c r="CW363" s="26">
        <f>'Old Balance Sheet'!W363 + 'ACPL Calculations - 1.0'!Z363 + 'ACPL Calculations - 2.0'!Z363</f>
        <v>0</v>
      </c>
      <c r="CX363" s="26">
        <f>'Old Balance Sheet'!X363 + 'ACPL Calculations - 1.0'!AA363 + 'ACPL Calculations - 2.0'!AA363</f>
        <v>0</v>
      </c>
      <c r="CY363" s="34">
        <v>0.0</v>
      </c>
      <c r="CZ363" s="26">
        <f>'Old Balance Sheet'!Y363 + 'ACPL Calculations - 1.0'!AB363 + 'ACPL Calculations - 2.0'!AB363</f>
        <v>0</v>
      </c>
      <c r="DA363" s="26">
        <f>'Old Balance Sheet'!Z363 + 'ACPL Calculations - 1.0'!AC363 + 'ACPL Calculations - 2.0'!AC363</f>
        <v>0</v>
      </c>
      <c r="DB363" s="26">
        <f>'Old Balance Sheet'!AA363 + 'ACPL Calculations - 1.0'!AD363 + 'ACPL Calculations - 2.0'!AD363</f>
        <v>0</v>
      </c>
      <c r="DC363" s="26">
        <f>'Old Balance Sheet'!AB363 + 'ACPL Calculations - 1.0'!AE363 + 'ACPL Calculations - 2.0'!AE363</f>
        <v>0</v>
      </c>
      <c r="DD363" s="26">
        <f t="shared" si="4"/>
        <v>0</v>
      </c>
      <c r="DE363" s="26">
        <f t="shared" ref="DE363:DE365" si="10">IF(DX363 &gt;= 0,DC363,IF(DC363 &lt;= -DX363,0,SUM(DC363, DX363)))</f>
        <v>0</v>
      </c>
      <c r="DF363" s="34">
        <v>0.0</v>
      </c>
      <c r="DG363" s="34">
        <v>0.0</v>
      </c>
      <c r="DH363" s="34">
        <v>0.0</v>
      </c>
      <c r="DI363" s="34">
        <v>0.0</v>
      </c>
      <c r="DJ363" s="34">
        <v>0.0</v>
      </c>
      <c r="DK363" s="34">
        <v>0.0</v>
      </c>
      <c r="DL363" s="34">
        <v>0.0</v>
      </c>
      <c r="DM363" s="34">
        <v>0.0</v>
      </c>
      <c r="DN363" s="34">
        <v>0.0</v>
      </c>
      <c r="DO363" s="34">
        <v>0.0</v>
      </c>
      <c r="DP363" s="34">
        <v>0.0</v>
      </c>
      <c r="DQ363" s="34">
        <v>0.0</v>
      </c>
      <c r="DR363" s="34">
        <v>0.0</v>
      </c>
      <c r="DS363" s="34">
        <v>0.0</v>
      </c>
      <c r="DT363" s="26" t="str">
        <f>'Old Balance Sheet'!AC363</f>
        <v/>
      </c>
      <c r="DU363" s="26">
        <f>DT363 + SUMIFS('Payments Log'!D:D, 'Payments Log'!B:B, A363, 'Payments Log'!L:L, "Approved", 'Payments Log'!M:M, "Credit") + 'Old Balance Sheet'!AD363 - 'Old Balance Sheet'!AC363</f>
        <v>0</v>
      </c>
      <c r="DV363" s="26">
        <f>SUMIFS('Payments Log'!D:D, 'Payments Log'!B:B, A363, 'Payments Log'!L:L, "Approved", 'Payments Log'!M:M, "Adjustment Credit") - SUMIFS('Payments Log'!D:D, 'Payments Log'!B:B, A363, 'Payments Log'!L:L, "Approved", 'Payments Log'!M:M, "Adjustment Debit") + 'Old Balance Sheet'!AE363</f>
        <v>0</v>
      </c>
      <c r="DW363" s="26">
        <f>IF(MAXIFS('Payments Log'!N:N, 'Payments Log'!L:L, "Approved", 'Payments Log'!M:M, "Credit", 'Payments Log'!B:B, A363) &gt; MAXIFS('Payments Log'!N:N, 'Payments Log'!L:L, "Approved", 'Payments Log'!M:M, "Virtual Credit", 'Payments Log'!B:B, A363), 0, SUMIFS('Payments Log'!D:D, 'Payments Log'!N:N, MAXIFS('Payments Log'!N:N, 'Payments Log'!L:L, "Approved", 'Payments Log'!M:M, "Virtual Credit", 'Payments Log'!B:B, A363)))</f>
        <v>0</v>
      </c>
      <c r="DX363" s="26">
        <f t="shared" si="6"/>
        <v>0</v>
      </c>
      <c r="DY363" s="26">
        <f t="shared" si="7"/>
        <v>0</v>
      </c>
      <c r="DZ363" s="26">
        <f t="shared" si="8"/>
        <v>0</v>
      </c>
      <c r="EA363" s="26" t="str">
        <f>(Sheet1!N363)</f>
        <v>Sumitra Sons - Shahajahanpur</v>
      </c>
      <c r="EB363" s="26" t="str">
        <f>(Sheet1!O363)</f>
        <v>11FZlKtFUzBvNAVUVwf1C2KpyoxHhbZTiI7E_EdPr-mg</v>
      </c>
      <c r="EC363" s="26" t="str">
        <f>(Sheet1!P363)</f>
        <v>Sub Dealer</v>
      </c>
      <c r="ED363" s="34" t="s">
        <v>13</v>
      </c>
    </row>
    <row r="364">
      <c r="A364" s="26" t="str">
        <f>(Sheet1!A364)</f>
        <v>1VORE0_UOf5S1wnSQfC7106jxOHchCIeVIqu4Myti3XM</v>
      </c>
      <c r="B364" s="26" t="str">
        <f>(Sheet1!B364)</f>
        <v>JMV AUTOMOBILES (MA) - ALIGANJ</v>
      </c>
      <c r="C364" s="34" t="s">
        <v>13</v>
      </c>
      <c r="D364" s="34" t="s">
        <v>72</v>
      </c>
      <c r="E364" s="34" t="s">
        <v>3817</v>
      </c>
      <c r="F364" s="34">
        <v>175.0</v>
      </c>
      <c r="G364" s="34" t="s">
        <v>3818</v>
      </c>
      <c r="H364" s="34">
        <v>100.0</v>
      </c>
      <c r="I364" s="26">
        <f>'Old Balance Sheet'!A364 + 'ACPL Calculations - 1.0'!A364 + 'ACPL Calculations - 2.0'!A364</f>
        <v>0</v>
      </c>
      <c r="J364" s="34" t="s">
        <v>3817</v>
      </c>
      <c r="K364" s="34">
        <v>205.0</v>
      </c>
      <c r="L364" s="34" t="s">
        <v>3818</v>
      </c>
      <c r="M364" s="34">
        <v>100.0</v>
      </c>
      <c r="N364" s="26">
        <f>'Old Balance Sheet'!B364 + 'ACPL Calculations - 1.0'!B364 + 'ACPL Calculations - 2.0'!B364</f>
        <v>0</v>
      </c>
      <c r="O364" s="34" t="s">
        <v>3817</v>
      </c>
      <c r="P364" s="34">
        <v>290.0</v>
      </c>
      <c r="Q364" s="34" t="s">
        <v>3818</v>
      </c>
      <c r="R364" s="34">
        <v>100.0</v>
      </c>
      <c r="S364" s="26">
        <f>'Old Balance Sheet'!C364 + 'ACPL Calculations - 1.0'!C364 + 'ACPL Calculations - 2.0'!C364</f>
        <v>0</v>
      </c>
      <c r="T364" s="34" t="s">
        <v>3817</v>
      </c>
      <c r="U364" s="34">
        <v>375.0</v>
      </c>
      <c r="V364" s="34" t="s">
        <v>3818</v>
      </c>
      <c r="W364" s="34">
        <v>100.0</v>
      </c>
      <c r="X364" s="26">
        <f>'Old Balance Sheet'!D364 + 'ACPL Calculations - 1.0'!D364 + 'ACPL Calculations - 2.0'!D364</f>
        <v>0</v>
      </c>
      <c r="Y364" s="34" t="s">
        <v>3817</v>
      </c>
      <c r="Z364" s="34">
        <v>460.0</v>
      </c>
      <c r="AA364" s="32" t="s">
        <v>3818</v>
      </c>
      <c r="AB364" s="31">
        <v>100.0</v>
      </c>
      <c r="AC364" s="26">
        <f>'Old Balance Sheet'!E364 + 'ACPL Calculations - 1.0'!E364 + 'ACPL Calculations - 2.0'!E364</f>
        <v>0</v>
      </c>
      <c r="AD364" s="34" t="s">
        <v>3817</v>
      </c>
      <c r="AE364" s="34">
        <v>838.99</v>
      </c>
      <c r="AF364" s="32" t="s">
        <v>3818</v>
      </c>
      <c r="AG364" s="31">
        <v>100.0</v>
      </c>
      <c r="AH364" s="26">
        <f>'Old Balance Sheet'!F364 + 'ACPL Calculations - 1.0'!F364 + 'ACPL Calculations - 2.0'!F364</f>
        <v>0</v>
      </c>
      <c r="AI364" s="34" t="s">
        <v>3817</v>
      </c>
      <c r="AJ364" s="34">
        <v>375.0</v>
      </c>
      <c r="AK364" s="32" t="s">
        <v>3818</v>
      </c>
      <c r="AL364" s="31">
        <v>100.0</v>
      </c>
      <c r="AM364" s="26">
        <f>'Old Balance Sheet'!G364 + 'ACPL Calculations - 1.0'!G364 + 'ACPL Calculations - 2.0'!G364</f>
        <v>0</v>
      </c>
      <c r="AN364" s="34" t="s">
        <v>3817</v>
      </c>
      <c r="AO364" s="34">
        <v>290.0</v>
      </c>
      <c r="AP364" s="32" t="s">
        <v>3818</v>
      </c>
      <c r="AQ364" s="31">
        <v>100.0</v>
      </c>
      <c r="AR364" s="26">
        <f>'Old Balance Sheet'!H364 + 'ACPL Calculations - 1.0'!H364 + 'ACPL Calculations - 2.0'!H364</f>
        <v>0</v>
      </c>
      <c r="AS364" s="34" t="s">
        <v>3819</v>
      </c>
      <c r="AT364" s="34">
        <v>838.99</v>
      </c>
      <c r="AU364" s="34" t="s">
        <v>3818</v>
      </c>
      <c r="AV364" s="34">
        <v>100.0</v>
      </c>
      <c r="AW364" s="26">
        <f>'Old Balance Sheet'!I364 + 'ACPL Calculations - 1.0'!I364 + 'ACPL Calculations - 2.0'!I364</f>
        <v>0</v>
      </c>
      <c r="AX364" s="34" t="s">
        <v>3817</v>
      </c>
      <c r="AY364" s="34">
        <v>290.0</v>
      </c>
      <c r="AZ364" s="34" t="s">
        <v>3818</v>
      </c>
      <c r="BA364" s="34">
        <v>100.0</v>
      </c>
      <c r="BB364" s="26">
        <f>'Old Balance Sheet'!J364 + 'ACPL Calculations - 1.0'!J364 + 'ACPL Calculations - 2.0'!J364</f>
        <v>0</v>
      </c>
      <c r="BC364" s="34" t="s">
        <v>3817</v>
      </c>
      <c r="BD364" s="34">
        <v>205.0</v>
      </c>
      <c r="BE364" s="34" t="s">
        <v>3818</v>
      </c>
      <c r="BF364" s="34">
        <v>100.0</v>
      </c>
      <c r="BG364" s="26">
        <f>'Old Balance Sheet'!K364 + 'ACPL Calculations - 1.0'!K364 + 'ACPL Calculations - 2.0'!K364</f>
        <v>0</v>
      </c>
      <c r="BH364" s="34" t="s">
        <v>3817</v>
      </c>
      <c r="BI364" s="34">
        <v>205.0</v>
      </c>
      <c r="BJ364" s="34" t="s">
        <v>3818</v>
      </c>
      <c r="BK364" s="34">
        <v>100.0</v>
      </c>
      <c r="BL364" s="26">
        <f>'Old Balance Sheet'!L364 + 'ACPL Calculations - 1.0'!L364 + 'ACPL Calculations - 2.0'!L364</f>
        <v>0</v>
      </c>
      <c r="CL364" s="26">
        <f t="shared" si="9"/>
        <v>0</v>
      </c>
      <c r="CM364" s="26">
        <f>'Old Balance Sheet'!R364 + 'ACPL Calculations - 1.0'!S364 + 'ACPL Calculations - 2.0'!S364</f>
        <v>0</v>
      </c>
      <c r="CN364" s="26">
        <f>'Old Balance Sheet'!S364 + 'ACPL Calculations - 1.0'!T364 + 'ACPL Calculations - 2.0'!T364</f>
        <v>0</v>
      </c>
      <c r="CO364" s="26">
        <f t="shared" si="2"/>
        <v>0</v>
      </c>
      <c r="CP364" s="26">
        <f>'Old Balance Sheet'!T364 + 'ACPL Calculations - 1.0'!V364 + 'ACPL Calculations - 2.0'!V364</f>
        <v>0</v>
      </c>
      <c r="CQ364" s="26">
        <f>'Old Balance Sheet'!U364 + 'ACPL Calculations - 1.0'!W364 + 'ACPL Calculations - 2.0'!W364</f>
        <v>0</v>
      </c>
      <c r="CR364" s="26">
        <f>'Old Balance Sheet'!V364 + 'ACPL Calculations - 1.0'!X364 + 'ACPL Calculations - 2.0'!X364</f>
        <v>0</v>
      </c>
      <c r="CS364" s="26">
        <f t="shared" si="3"/>
        <v>0</v>
      </c>
      <c r="CT364" s="34">
        <v>0.0</v>
      </c>
      <c r="CU364" s="34">
        <v>0.0</v>
      </c>
      <c r="CV364" s="34">
        <v>0.0</v>
      </c>
      <c r="CW364" s="26">
        <f>'Old Balance Sheet'!W364 + 'ACPL Calculations - 1.0'!Z364 + 'ACPL Calculations - 2.0'!Z364</f>
        <v>0</v>
      </c>
      <c r="CX364" s="26">
        <f>'Old Balance Sheet'!X364 + 'ACPL Calculations - 1.0'!AA364 + 'ACPL Calculations - 2.0'!AA364</f>
        <v>0</v>
      </c>
      <c r="CY364" s="34">
        <v>0.0</v>
      </c>
      <c r="CZ364" s="26">
        <f>'Old Balance Sheet'!Y364 + 'ACPL Calculations - 1.0'!AB364 + 'ACPL Calculations - 2.0'!AB364</f>
        <v>0</v>
      </c>
      <c r="DA364" s="26">
        <f>'Old Balance Sheet'!Z364 + 'ACPL Calculations - 1.0'!AC364 + 'ACPL Calculations - 2.0'!AC364</f>
        <v>0</v>
      </c>
      <c r="DB364" s="26">
        <f>'Old Balance Sheet'!AA364 + 'ACPL Calculations - 1.0'!AD364 + 'ACPL Calculations - 2.0'!AD364</f>
        <v>0</v>
      </c>
      <c r="DC364" s="26">
        <f>'Old Balance Sheet'!AB364 + 'ACPL Calculations - 1.0'!AE364 + 'ACPL Calculations - 2.0'!AE364</f>
        <v>0</v>
      </c>
      <c r="DD364" s="26">
        <f t="shared" si="4"/>
        <v>0</v>
      </c>
      <c r="DE364" s="26">
        <f t="shared" si="10"/>
        <v>0</v>
      </c>
      <c r="DF364" s="34">
        <v>0.0</v>
      </c>
      <c r="DG364" s="34">
        <v>0.0</v>
      </c>
      <c r="DH364" s="34">
        <v>0.0</v>
      </c>
      <c r="DI364" s="34">
        <v>0.0</v>
      </c>
      <c r="DJ364" s="34">
        <v>0.0</v>
      </c>
      <c r="DK364" s="34">
        <v>0.0</v>
      </c>
      <c r="DL364" s="34">
        <v>0.0</v>
      </c>
      <c r="DM364" s="34">
        <v>0.0</v>
      </c>
      <c r="DN364" s="34">
        <v>0.0</v>
      </c>
      <c r="DO364" s="34">
        <v>0.0</v>
      </c>
      <c r="DP364" s="34">
        <v>0.0</v>
      </c>
      <c r="DQ364" s="34">
        <v>0.0</v>
      </c>
      <c r="DR364" s="34">
        <v>0.0</v>
      </c>
      <c r="DS364" s="34">
        <v>0.0</v>
      </c>
      <c r="DT364" s="26" t="str">
        <f>'Old Balance Sheet'!AC364</f>
        <v/>
      </c>
      <c r="DU364" s="26">
        <f>DT364 + SUMIFS('Payments Log'!D:D, 'Payments Log'!B:B, A364, 'Payments Log'!L:L, "Approved", 'Payments Log'!M:M, "Credit") + 'Old Balance Sheet'!AD364 - 'Old Balance Sheet'!AC364</f>
        <v>0</v>
      </c>
      <c r="DV364" s="26">
        <f>SUMIFS('Payments Log'!D:D, 'Payments Log'!B:B, A364, 'Payments Log'!L:L, "Approved", 'Payments Log'!M:M, "Adjustment Credit") - SUMIFS('Payments Log'!D:D, 'Payments Log'!B:B, A364, 'Payments Log'!L:L, "Approved", 'Payments Log'!M:M, "Adjustment Debit") + 'Old Balance Sheet'!AE364</f>
        <v>0</v>
      </c>
      <c r="DW364" s="26">
        <f>IF(MAXIFS('Payments Log'!N:N, 'Payments Log'!L:L, "Approved", 'Payments Log'!M:M, "Credit", 'Payments Log'!B:B, A364) &gt; MAXIFS('Payments Log'!N:N, 'Payments Log'!L:L, "Approved", 'Payments Log'!M:M, "Virtual Credit", 'Payments Log'!B:B, A364), 0, SUMIFS('Payments Log'!D:D, 'Payments Log'!N:N, MAXIFS('Payments Log'!N:N, 'Payments Log'!L:L, "Approved", 'Payments Log'!M:M, "Virtual Credit", 'Payments Log'!B:B, A364)))</f>
        <v>0</v>
      </c>
      <c r="DX364" s="26">
        <f t="shared" si="6"/>
        <v>0</v>
      </c>
      <c r="DY364" s="26">
        <f t="shared" si="7"/>
        <v>0</v>
      </c>
      <c r="DZ364" s="26">
        <f t="shared" si="8"/>
        <v>0</v>
      </c>
      <c r="EA364" s="26" t="str">
        <f>(Sheet1!N364)</f>
        <v>Mahabir Automobiles -Sultanpur</v>
      </c>
      <c r="EB364" s="26" t="str">
        <f>(Sheet1!O364)</f>
        <v>1fHCHQnIWmfXqP4jwi-agXjfK1q2zM0BUeG3fwB0qApc</v>
      </c>
      <c r="EC364" s="26" t="str">
        <f>(Sheet1!P364)</f>
        <v>Sub Dealer</v>
      </c>
      <c r="ED364" s="34" t="s">
        <v>13</v>
      </c>
    </row>
    <row r="365">
      <c r="A365" s="26" t="str">
        <f>(Sheet1!A365)</f>
        <v>17KbeHPShWeUJUQe1m08N3LECmT7K9fG7E4WgslCRijQ</v>
      </c>
      <c r="B365" s="26" t="str">
        <f>(Sheet1!B365)</f>
        <v>Sanjay Automobiles (SBH)-Kairana</v>
      </c>
      <c r="C365" s="34" t="s">
        <v>13</v>
      </c>
      <c r="D365" s="34" t="s">
        <v>72</v>
      </c>
      <c r="E365" s="34" t="s">
        <v>3819</v>
      </c>
      <c r="F365" s="34">
        <v>169.5</v>
      </c>
      <c r="G365" s="34" t="s">
        <v>3818</v>
      </c>
      <c r="H365" s="34">
        <v>100.0</v>
      </c>
      <c r="I365" s="26">
        <f>'Old Balance Sheet'!A365 + 'ACPL Calculations - 1.0'!A365 + 'ACPL Calculations - 2.0'!A365</f>
        <v>0</v>
      </c>
      <c r="J365" s="34" t="s">
        <v>3819</v>
      </c>
      <c r="K365" s="34">
        <v>100.0</v>
      </c>
      <c r="L365" s="34" t="s">
        <v>3818</v>
      </c>
      <c r="M365" s="34">
        <v>100.0</v>
      </c>
      <c r="N365" s="26">
        <f>'Old Balance Sheet'!B365 + 'ACPL Calculations - 1.0'!B365 + 'ACPL Calculations - 2.0'!B365</f>
        <v>0</v>
      </c>
      <c r="O365" s="34" t="s">
        <v>3819</v>
      </c>
      <c r="P365" s="34">
        <v>290.0</v>
      </c>
      <c r="Q365" s="34" t="s">
        <v>3818</v>
      </c>
      <c r="R365" s="34">
        <v>100.0</v>
      </c>
      <c r="S365" s="26">
        <f>'Old Balance Sheet'!C365 + 'ACPL Calculations - 1.0'!C365 + 'ACPL Calculations - 2.0'!C365</f>
        <v>0</v>
      </c>
      <c r="T365" s="34" t="s">
        <v>3819</v>
      </c>
      <c r="U365" s="34">
        <v>375.0</v>
      </c>
      <c r="V365" s="34" t="s">
        <v>3818</v>
      </c>
      <c r="W365" s="34">
        <v>100.0</v>
      </c>
      <c r="X365" s="26">
        <f>'Old Balance Sheet'!D365 + 'ACPL Calculations - 1.0'!D365 + 'ACPL Calculations - 2.0'!D365</f>
        <v>0</v>
      </c>
      <c r="Y365" s="34" t="s">
        <v>3819</v>
      </c>
      <c r="Z365" s="34">
        <v>339.0</v>
      </c>
      <c r="AA365" s="32" t="s">
        <v>3818</v>
      </c>
      <c r="AB365" s="31">
        <v>100.0</v>
      </c>
      <c r="AC365" s="26">
        <f>'Old Balance Sheet'!E365 + 'ACPL Calculations - 1.0'!E365 + 'ACPL Calculations - 2.0'!E365</f>
        <v>0</v>
      </c>
      <c r="AD365" s="34" t="s">
        <v>3819</v>
      </c>
      <c r="AE365" s="34">
        <v>838.99</v>
      </c>
      <c r="AF365" s="32" t="s">
        <v>3818</v>
      </c>
      <c r="AG365" s="31">
        <v>100.0</v>
      </c>
      <c r="AH365" s="26">
        <f>'Old Balance Sheet'!F365 + 'ACPL Calculations - 1.0'!F365 + 'ACPL Calculations - 2.0'!F365</f>
        <v>0</v>
      </c>
      <c r="AI365" s="34" t="s">
        <v>3819</v>
      </c>
      <c r="AJ365" s="34">
        <v>375.0</v>
      </c>
      <c r="AK365" s="32" t="s">
        <v>3818</v>
      </c>
      <c r="AL365" s="31">
        <v>100.0</v>
      </c>
      <c r="AM365" s="26">
        <f>'Old Balance Sheet'!G365 + 'ACPL Calculations - 1.0'!G365 + 'ACPL Calculations - 2.0'!G365</f>
        <v>0</v>
      </c>
      <c r="AN365" s="34" t="s">
        <v>3819</v>
      </c>
      <c r="AO365" s="34">
        <v>290.0</v>
      </c>
      <c r="AP365" s="32" t="s">
        <v>3818</v>
      </c>
      <c r="AQ365" s="31">
        <v>100.0</v>
      </c>
      <c r="AR365" s="26">
        <f>'Old Balance Sheet'!H365 + 'ACPL Calculations - 1.0'!H365 + 'ACPL Calculations - 2.0'!H365</f>
        <v>0</v>
      </c>
      <c r="AS365" s="34" t="s">
        <v>3819</v>
      </c>
      <c r="AT365" s="34">
        <v>838.99</v>
      </c>
      <c r="AU365" s="34" t="s">
        <v>3818</v>
      </c>
      <c r="AV365" s="34">
        <v>100.0</v>
      </c>
      <c r="AW365" s="26">
        <f>'Old Balance Sheet'!I365 + 'ACPL Calculations - 1.0'!I365 + 'ACPL Calculations - 2.0'!I365</f>
        <v>0</v>
      </c>
      <c r="AX365" s="34" t="s">
        <v>3819</v>
      </c>
      <c r="AY365" s="34">
        <v>290.0</v>
      </c>
      <c r="AZ365" s="34" t="s">
        <v>3818</v>
      </c>
      <c r="BA365" s="34">
        <v>100.0</v>
      </c>
      <c r="BB365" s="26">
        <f>'Old Balance Sheet'!J365 + 'ACPL Calculations - 1.0'!J365 + 'ACPL Calculations - 2.0'!J365</f>
        <v>0</v>
      </c>
      <c r="BC365" s="34" t="s">
        <v>3819</v>
      </c>
      <c r="BD365" s="34">
        <v>205.0</v>
      </c>
      <c r="BE365" s="34" t="s">
        <v>3818</v>
      </c>
      <c r="BF365" s="34">
        <v>100.0</v>
      </c>
      <c r="BG365" s="26">
        <f>'Old Balance Sheet'!K365 + 'ACPL Calculations - 1.0'!K365 + 'ACPL Calculations - 2.0'!K365</f>
        <v>0</v>
      </c>
      <c r="BH365" s="34" t="s">
        <v>3819</v>
      </c>
      <c r="BI365" s="34">
        <v>205.0</v>
      </c>
      <c r="BJ365" s="34" t="s">
        <v>3818</v>
      </c>
      <c r="BK365" s="34">
        <v>100.0</v>
      </c>
      <c r="BL365" s="26">
        <f>'Old Balance Sheet'!L365 + 'ACPL Calculations - 1.0'!L365 + 'ACPL Calculations - 2.0'!L365</f>
        <v>0</v>
      </c>
      <c r="CL365" s="26">
        <f t="shared" si="9"/>
        <v>0</v>
      </c>
      <c r="CM365" s="26">
        <f>'Old Balance Sheet'!R365 + 'ACPL Calculations - 1.0'!S365 + 'ACPL Calculations - 2.0'!S365</f>
        <v>0</v>
      </c>
      <c r="CN365" s="26">
        <f>'Old Balance Sheet'!S365 + 'ACPL Calculations - 1.0'!T365 + 'ACPL Calculations - 2.0'!T365</f>
        <v>0</v>
      </c>
      <c r="CO365" s="26">
        <f t="shared" si="2"/>
        <v>0</v>
      </c>
      <c r="CP365" s="26">
        <f>'Old Balance Sheet'!T365 + 'ACPL Calculations - 1.0'!V365 + 'ACPL Calculations - 2.0'!V365</f>
        <v>0</v>
      </c>
      <c r="CQ365" s="26">
        <f>'Old Balance Sheet'!U365 + 'ACPL Calculations - 1.0'!W365 + 'ACPL Calculations - 2.0'!W365</f>
        <v>0</v>
      </c>
      <c r="CR365" s="26">
        <f>'Old Balance Sheet'!V365 + 'ACPL Calculations - 1.0'!X365 + 'ACPL Calculations - 2.0'!X365</f>
        <v>0</v>
      </c>
      <c r="CS365" s="26">
        <f t="shared" si="3"/>
        <v>0</v>
      </c>
      <c r="CT365" s="34">
        <v>0.0</v>
      </c>
      <c r="CU365" s="34">
        <v>0.0</v>
      </c>
      <c r="CV365" s="34">
        <v>0.0</v>
      </c>
      <c r="CW365" s="26">
        <f>'Old Balance Sheet'!W365 + 'ACPL Calculations - 1.0'!Z365 + 'ACPL Calculations - 2.0'!Z365</f>
        <v>0</v>
      </c>
      <c r="CX365" s="26">
        <f>'Old Balance Sheet'!X365 + 'ACPL Calculations - 1.0'!AA365 + 'ACPL Calculations - 2.0'!AA365</f>
        <v>0</v>
      </c>
      <c r="CY365" s="34">
        <v>0.0</v>
      </c>
      <c r="CZ365" s="26">
        <f>'Old Balance Sheet'!Y365 + 'ACPL Calculations - 1.0'!AB365 + 'ACPL Calculations - 2.0'!AB365</f>
        <v>0</v>
      </c>
      <c r="DA365" s="26">
        <f>'Old Balance Sheet'!Z365 + 'ACPL Calculations - 1.0'!AC365 + 'ACPL Calculations - 2.0'!AC365</f>
        <v>0</v>
      </c>
      <c r="DB365" s="26">
        <f>'Old Balance Sheet'!AA365 + 'ACPL Calculations - 1.0'!AD365 + 'ACPL Calculations - 2.0'!AD365</f>
        <v>0</v>
      </c>
      <c r="DC365" s="26">
        <f>'Old Balance Sheet'!AB365 + 'ACPL Calculations - 1.0'!AE365 + 'ACPL Calculations - 2.0'!AE365</f>
        <v>0</v>
      </c>
      <c r="DD365" s="26">
        <f t="shared" si="4"/>
        <v>0</v>
      </c>
      <c r="DE365" s="26">
        <f t="shared" si="10"/>
        <v>0</v>
      </c>
      <c r="DF365" s="34">
        <v>0.0</v>
      </c>
      <c r="DG365" s="34">
        <v>0.0</v>
      </c>
      <c r="DH365" s="34">
        <v>0.0</v>
      </c>
      <c r="DI365" s="34">
        <v>0.0</v>
      </c>
      <c r="DJ365" s="34">
        <v>0.0</v>
      </c>
      <c r="DK365" s="34">
        <v>0.0</v>
      </c>
      <c r="DL365" s="34">
        <v>0.0</v>
      </c>
      <c r="DM365" s="34">
        <v>0.0</v>
      </c>
      <c r="DN365" s="34">
        <v>0.0</v>
      </c>
      <c r="DO365" s="34">
        <v>0.0</v>
      </c>
      <c r="DP365" s="34">
        <v>0.0</v>
      </c>
      <c r="DQ365" s="34">
        <v>0.0</v>
      </c>
      <c r="DR365" s="34">
        <v>0.0</v>
      </c>
      <c r="DS365" s="34">
        <v>0.0</v>
      </c>
      <c r="DT365" s="26" t="str">
        <f>'Old Balance Sheet'!AC365</f>
        <v/>
      </c>
      <c r="DU365" s="26">
        <f>DT365 + SUMIFS('Payments Log'!D:D, 'Payments Log'!B:B, A365, 'Payments Log'!L:L, "Approved", 'Payments Log'!M:M, "Credit") + 'Old Balance Sheet'!AD365 - 'Old Balance Sheet'!AC365</f>
        <v>0</v>
      </c>
      <c r="DV365" s="26">
        <f>SUMIFS('Payments Log'!D:D, 'Payments Log'!B:B, A365, 'Payments Log'!L:L, "Approved", 'Payments Log'!M:M, "Adjustment Credit") - SUMIFS('Payments Log'!D:D, 'Payments Log'!B:B, A365, 'Payments Log'!L:L, "Approved", 'Payments Log'!M:M, "Adjustment Debit") + 'Old Balance Sheet'!AE365</f>
        <v>0</v>
      </c>
      <c r="DW365" s="26">
        <f>IF(MAXIFS('Payments Log'!N:N, 'Payments Log'!L:L, "Approved", 'Payments Log'!M:M, "Credit", 'Payments Log'!B:B, A365) &gt; MAXIFS('Payments Log'!N:N, 'Payments Log'!L:L, "Approved", 'Payments Log'!M:M, "Virtual Credit", 'Payments Log'!B:B, A365), 0, SUMIFS('Payments Log'!D:D, 'Payments Log'!N:N, MAXIFS('Payments Log'!N:N, 'Payments Log'!L:L, "Approved", 'Payments Log'!M:M, "Virtual Credit", 'Payments Log'!B:B, A365)))</f>
        <v>0</v>
      </c>
      <c r="DX365" s="26">
        <f t="shared" si="6"/>
        <v>0</v>
      </c>
      <c r="DY365" s="26">
        <f t="shared" si="7"/>
        <v>0</v>
      </c>
      <c r="DZ365" s="26">
        <f t="shared" si="8"/>
        <v>0</v>
      </c>
      <c r="EA365" s="26" t="str">
        <f>(Sheet1!N365)</f>
        <v>Shri Balaji Hero - Muzaffarnagar</v>
      </c>
      <c r="EB365" s="26" t="str">
        <f>(Sheet1!O365)</f>
        <v>1qJGCYN0EdS2nWGXVYAHwXqSjiLE2C95anQkkbLONbKQ</v>
      </c>
      <c r="EC365" s="26" t="str">
        <f>(Sheet1!P365)</f>
        <v>Sub Dealer</v>
      </c>
      <c r="ED365" s="34" t="s">
        <v>13</v>
      </c>
    </row>
    <row r="366">
      <c r="AA366" s="32"/>
      <c r="AB366" s="31"/>
      <c r="AF366" s="32"/>
      <c r="AG366" s="31"/>
      <c r="AK366" s="32"/>
      <c r="AL366" s="31"/>
      <c r="AP366" s="32"/>
      <c r="AQ366" s="31"/>
    </row>
    <row r="367">
      <c r="AA367" s="32"/>
      <c r="AB367" s="31"/>
      <c r="AF367" s="32"/>
      <c r="AG367" s="31"/>
      <c r="AK367" s="32"/>
      <c r="AL367" s="31"/>
      <c r="AP367" s="32"/>
      <c r="AQ367" s="31"/>
    </row>
    <row r="368">
      <c r="AA368" s="32"/>
      <c r="AB368" s="31"/>
      <c r="AF368" s="32"/>
      <c r="AG368" s="31"/>
      <c r="AK368" s="32"/>
      <c r="AL368" s="31"/>
      <c r="AP368" s="32"/>
      <c r="AQ368" s="31"/>
    </row>
    <row r="369">
      <c r="AA369" s="32"/>
      <c r="AB369" s="31"/>
      <c r="AF369" s="32"/>
      <c r="AG369" s="31"/>
      <c r="AK369" s="32"/>
      <c r="AL369" s="31"/>
      <c r="AP369" s="32"/>
      <c r="AQ369" s="31"/>
    </row>
    <row r="370">
      <c r="AA370" s="32"/>
      <c r="AB370" s="31"/>
      <c r="AF370" s="32"/>
      <c r="AG370" s="31"/>
      <c r="AK370" s="32"/>
      <c r="AL370" s="31"/>
      <c r="AP370" s="32"/>
      <c r="AQ370" s="31"/>
    </row>
    <row r="371">
      <c r="AA371" s="32"/>
      <c r="AB371" s="31"/>
      <c r="AF371" s="32"/>
      <c r="AG371" s="31"/>
      <c r="AK371" s="32"/>
      <c r="AL371" s="31"/>
      <c r="AP371" s="32"/>
      <c r="AQ371" s="31"/>
    </row>
    <row r="372">
      <c r="AA372" s="32"/>
      <c r="AB372" s="31"/>
      <c r="AF372" s="32"/>
      <c r="AG372" s="31"/>
      <c r="AK372" s="32"/>
      <c r="AL372" s="31"/>
      <c r="AP372" s="32"/>
      <c r="AQ372" s="31"/>
    </row>
    <row r="373">
      <c r="AA373" s="32"/>
      <c r="AB373" s="31"/>
      <c r="AF373" s="32"/>
      <c r="AG373" s="31"/>
      <c r="AK373" s="32"/>
      <c r="AL373" s="31"/>
      <c r="AP373" s="32"/>
      <c r="AQ373" s="31"/>
    </row>
    <row r="374">
      <c r="AA374" s="32"/>
      <c r="AB374" s="31"/>
      <c r="AF374" s="32"/>
      <c r="AG374" s="31"/>
      <c r="AK374" s="32"/>
      <c r="AL374" s="31"/>
      <c r="AP374" s="32"/>
      <c r="AQ374" s="31"/>
    </row>
    <row r="375">
      <c r="AA375" s="32"/>
      <c r="AB375" s="31"/>
      <c r="AF375" s="32"/>
      <c r="AG375" s="31"/>
      <c r="AK375" s="32"/>
      <c r="AL375" s="31"/>
      <c r="AP375" s="32"/>
      <c r="AQ375" s="31"/>
    </row>
    <row r="376">
      <c r="AA376" s="32"/>
      <c r="AB376" s="31"/>
      <c r="AF376" s="32"/>
      <c r="AG376" s="31"/>
      <c r="AK376" s="32"/>
      <c r="AL376" s="31"/>
      <c r="AP376" s="32"/>
      <c r="AQ376" s="31"/>
    </row>
    <row r="377">
      <c r="AA377" s="32"/>
      <c r="AB377" s="31"/>
      <c r="AF377" s="32"/>
      <c r="AG377" s="31"/>
      <c r="AK377" s="32"/>
      <c r="AL377" s="31"/>
      <c r="AP377" s="32"/>
      <c r="AQ377" s="31"/>
    </row>
    <row r="378">
      <c r="AA378" s="32"/>
      <c r="AB378" s="31"/>
      <c r="AF378" s="32"/>
      <c r="AG378" s="31"/>
      <c r="AK378" s="32"/>
      <c r="AL378" s="31"/>
      <c r="AP378" s="32"/>
      <c r="AQ378" s="31"/>
    </row>
    <row r="379">
      <c r="AA379" s="32"/>
      <c r="AB379" s="31"/>
      <c r="AF379" s="32"/>
      <c r="AG379" s="31"/>
      <c r="AK379" s="32"/>
      <c r="AL379" s="31"/>
      <c r="AP379" s="32"/>
      <c r="AQ379" s="31"/>
    </row>
    <row r="380">
      <c r="AA380" s="32"/>
      <c r="AB380" s="31"/>
      <c r="AF380" s="32"/>
      <c r="AG380" s="31"/>
      <c r="AK380" s="32"/>
      <c r="AL380" s="31"/>
      <c r="AP380" s="32"/>
      <c r="AQ380" s="31"/>
    </row>
    <row r="381">
      <c r="AA381" s="32"/>
      <c r="AB381" s="31"/>
      <c r="AF381" s="32"/>
      <c r="AG381" s="31"/>
      <c r="AK381" s="32"/>
      <c r="AL381" s="31"/>
      <c r="AP381" s="32"/>
      <c r="AQ381" s="31"/>
    </row>
    <row r="382">
      <c r="AA382" s="32"/>
      <c r="AB382" s="31"/>
      <c r="AF382" s="32"/>
      <c r="AG382" s="31"/>
      <c r="AK382" s="32"/>
      <c r="AL382" s="31"/>
      <c r="AP382" s="32"/>
      <c r="AQ382" s="31"/>
    </row>
    <row r="383">
      <c r="AA383" s="32"/>
      <c r="AB383" s="31"/>
      <c r="AF383" s="32"/>
      <c r="AG383" s="31"/>
      <c r="AK383" s="32"/>
      <c r="AL383" s="31"/>
      <c r="AP383" s="32"/>
      <c r="AQ383" s="31"/>
    </row>
    <row r="384">
      <c r="AA384" s="32"/>
      <c r="AB384" s="31"/>
      <c r="AF384" s="32"/>
      <c r="AG384" s="31"/>
      <c r="AK384" s="32"/>
      <c r="AL384" s="31"/>
      <c r="AP384" s="32"/>
      <c r="AQ384" s="31"/>
    </row>
    <row r="385">
      <c r="AA385" s="32"/>
      <c r="AB385" s="31"/>
      <c r="AF385" s="32"/>
      <c r="AG385" s="31"/>
      <c r="AK385" s="32"/>
      <c r="AL385" s="31"/>
      <c r="AP385" s="32"/>
      <c r="AQ385" s="31"/>
    </row>
    <row r="386">
      <c r="AA386" s="32"/>
      <c r="AB386" s="31"/>
      <c r="AF386" s="32"/>
      <c r="AG386" s="31"/>
      <c r="AK386" s="32"/>
      <c r="AL386" s="31"/>
      <c r="AP386" s="32"/>
      <c r="AQ386" s="31"/>
    </row>
    <row r="387">
      <c r="AA387" s="32"/>
      <c r="AB387" s="31"/>
      <c r="AF387" s="32"/>
      <c r="AG387" s="31"/>
      <c r="AK387" s="32"/>
      <c r="AL387" s="31"/>
      <c r="AP387" s="32"/>
      <c r="AQ387" s="31"/>
    </row>
    <row r="388">
      <c r="AA388" s="32"/>
      <c r="AB388" s="31"/>
      <c r="AF388" s="32"/>
      <c r="AG388" s="31"/>
      <c r="AK388" s="32"/>
      <c r="AL388" s="31"/>
      <c r="AP388" s="32"/>
      <c r="AQ388" s="31"/>
    </row>
    <row r="389">
      <c r="AA389" s="32"/>
      <c r="AB389" s="31"/>
      <c r="AF389" s="32"/>
      <c r="AG389" s="31"/>
      <c r="AK389" s="32"/>
      <c r="AL389" s="31"/>
      <c r="AP389" s="32"/>
      <c r="AQ389" s="31"/>
    </row>
    <row r="390">
      <c r="AA390" s="32"/>
      <c r="AB390" s="31"/>
      <c r="AF390" s="32"/>
      <c r="AG390" s="31"/>
      <c r="AK390" s="32"/>
      <c r="AL390" s="31"/>
      <c r="AP390" s="32"/>
      <c r="AQ390" s="31"/>
    </row>
    <row r="391">
      <c r="AA391" s="32"/>
      <c r="AB391" s="31"/>
      <c r="AF391" s="32"/>
      <c r="AG391" s="31"/>
      <c r="AK391" s="32"/>
      <c r="AL391" s="31"/>
      <c r="AP391" s="32"/>
      <c r="AQ391" s="31"/>
    </row>
    <row r="392">
      <c r="AA392" s="32"/>
      <c r="AB392" s="31"/>
      <c r="AF392" s="32"/>
      <c r="AG392" s="31"/>
      <c r="AK392" s="32"/>
      <c r="AL392" s="31"/>
      <c r="AP392" s="32"/>
      <c r="AQ392" s="31"/>
    </row>
    <row r="393">
      <c r="AA393" s="32"/>
      <c r="AB393" s="31"/>
      <c r="AF393" s="32"/>
      <c r="AG393" s="31"/>
      <c r="AK393" s="32"/>
      <c r="AL393" s="31"/>
      <c r="AP393" s="32"/>
      <c r="AQ393" s="31"/>
    </row>
    <row r="394">
      <c r="AA394" s="32"/>
      <c r="AB394" s="31"/>
      <c r="AF394" s="32"/>
      <c r="AG394" s="31"/>
      <c r="AK394" s="32"/>
      <c r="AL394" s="31"/>
      <c r="AP394" s="32"/>
      <c r="AQ394" s="31"/>
    </row>
    <row r="395">
      <c r="AA395" s="32"/>
      <c r="AB395" s="31"/>
      <c r="AF395" s="32"/>
      <c r="AG395" s="31"/>
      <c r="AK395" s="32"/>
      <c r="AL395" s="31"/>
      <c r="AP395" s="32"/>
      <c r="AQ395" s="31"/>
    </row>
    <row r="396">
      <c r="AA396" s="32"/>
      <c r="AB396" s="31"/>
      <c r="AF396" s="32"/>
      <c r="AG396" s="31"/>
      <c r="AK396" s="32"/>
      <c r="AL396" s="31"/>
      <c r="AP396" s="32"/>
      <c r="AQ396" s="31"/>
    </row>
    <row r="397">
      <c r="AA397" s="32"/>
      <c r="AB397" s="31"/>
      <c r="AF397" s="32"/>
      <c r="AG397" s="31"/>
      <c r="AK397" s="32"/>
      <c r="AL397" s="31"/>
      <c r="AP397" s="32"/>
      <c r="AQ397" s="31"/>
    </row>
    <row r="398">
      <c r="AA398" s="32"/>
      <c r="AB398" s="31"/>
      <c r="AF398" s="32"/>
      <c r="AG398" s="31"/>
      <c r="AK398" s="32"/>
      <c r="AL398" s="31"/>
      <c r="AP398" s="32"/>
      <c r="AQ398" s="31"/>
    </row>
    <row r="399">
      <c r="AA399" s="32"/>
      <c r="AB399" s="31"/>
      <c r="AF399" s="32"/>
      <c r="AG399" s="31"/>
      <c r="AK399" s="32"/>
      <c r="AL399" s="31"/>
      <c r="AP399" s="32"/>
      <c r="AQ399" s="31"/>
    </row>
    <row r="400">
      <c r="AA400" s="32"/>
      <c r="AB400" s="31"/>
      <c r="AF400" s="32"/>
      <c r="AG400" s="31"/>
      <c r="AK400" s="32"/>
      <c r="AL400" s="31"/>
      <c r="AP400" s="32"/>
      <c r="AQ400" s="31"/>
    </row>
    <row r="401">
      <c r="AA401" s="32"/>
      <c r="AB401" s="31"/>
      <c r="AF401" s="32"/>
      <c r="AG401" s="31"/>
      <c r="AK401" s="32"/>
      <c r="AL401" s="31"/>
      <c r="AP401" s="32"/>
      <c r="AQ401" s="31"/>
    </row>
    <row r="402">
      <c r="AA402" s="32"/>
      <c r="AB402" s="31"/>
      <c r="AF402" s="32"/>
      <c r="AG402" s="31"/>
      <c r="AK402" s="32"/>
      <c r="AL402" s="31"/>
      <c r="AP402" s="32"/>
      <c r="AQ402" s="31"/>
    </row>
    <row r="403">
      <c r="AA403" s="32"/>
      <c r="AB403" s="31"/>
      <c r="AF403" s="32"/>
      <c r="AG403" s="31"/>
      <c r="AK403" s="32"/>
      <c r="AL403" s="31"/>
      <c r="AP403" s="32"/>
      <c r="AQ403" s="31"/>
    </row>
    <row r="404">
      <c r="AA404" s="32"/>
      <c r="AB404" s="31"/>
      <c r="AF404" s="32"/>
      <c r="AG404" s="31"/>
      <c r="AK404" s="32"/>
      <c r="AL404" s="31"/>
      <c r="AP404" s="32"/>
      <c r="AQ404" s="31"/>
    </row>
    <row r="405">
      <c r="AA405" s="32"/>
      <c r="AB405" s="31"/>
      <c r="AF405" s="32"/>
      <c r="AG405" s="31"/>
      <c r="AK405" s="32"/>
      <c r="AL405" s="31"/>
      <c r="AP405" s="32"/>
      <c r="AQ405" s="31"/>
    </row>
    <row r="406">
      <c r="AA406" s="32"/>
      <c r="AB406" s="31"/>
      <c r="AF406" s="32"/>
      <c r="AG406" s="31"/>
      <c r="AK406" s="32"/>
      <c r="AL406" s="31"/>
      <c r="AP406" s="32"/>
      <c r="AQ406" s="31"/>
    </row>
    <row r="407">
      <c r="AA407" s="32"/>
      <c r="AB407" s="31"/>
      <c r="AF407" s="32"/>
      <c r="AG407" s="31"/>
      <c r="AK407" s="32"/>
      <c r="AL407" s="31"/>
      <c r="AP407" s="32"/>
      <c r="AQ407" s="31"/>
    </row>
    <row r="408">
      <c r="AA408" s="32"/>
      <c r="AB408" s="31"/>
      <c r="AF408" s="32"/>
      <c r="AG408" s="31"/>
      <c r="AK408" s="32"/>
      <c r="AL408" s="31"/>
      <c r="AP408" s="32"/>
      <c r="AQ408" s="31"/>
    </row>
    <row r="409">
      <c r="AA409" s="32"/>
      <c r="AB409" s="31"/>
      <c r="AF409" s="32"/>
      <c r="AG409" s="31"/>
      <c r="AK409" s="32"/>
      <c r="AL409" s="31"/>
      <c r="AP409" s="32"/>
      <c r="AQ409" s="31"/>
    </row>
    <row r="410">
      <c r="AA410" s="32"/>
      <c r="AB410" s="31"/>
      <c r="AF410" s="32"/>
      <c r="AG410" s="31"/>
      <c r="AK410" s="32"/>
      <c r="AL410" s="31"/>
      <c r="AP410" s="32"/>
      <c r="AQ410" s="31"/>
    </row>
    <row r="411">
      <c r="AA411" s="32"/>
      <c r="AB411" s="31"/>
      <c r="AF411" s="32"/>
      <c r="AG411" s="31"/>
      <c r="AK411" s="32"/>
      <c r="AL411" s="31"/>
      <c r="AP411" s="32"/>
      <c r="AQ411" s="31"/>
    </row>
    <row r="412">
      <c r="AA412" s="32"/>
      <c r="AB412" s="31"/>
      <c r="AF412" s="32"/>
      <c r="AG412" s="31"/>
      <c r="AK412" s="32"/>
      <c r="AL412" s="31"/>
      <c r="AP412" s="32"/>
      <c r="AQ412" s="31"/>
    </row>
    <row r="413">
      <c r="AA413" s="32"/>
      <c r="AB413" s="31"/>
      <c r="AF413" s="32"/>
      <c r="AG413" s="31"/>
      <c r="AK413" s="32"/>
      <c r="AL413" s="31"/>
      <c r="AP413" s="32"/>
      <c r="AQ413" s="31"/>
    </row>
    <row r="414">
      <c r="AA414" s="32"/>
      <c r="AB414" s="31"/>
      <c r="AF414" s="32"/>
      <c r="AG414" s="31"/>
      <c r="AK414" s="32"/>
      <c r="AL414" s="31"/>
      <c r="AP414" s="32"/>
      <c r="AQ414" s="31"/>
    </row>
    <row r="415">
      <c r="AA415" s="32"/>
      <c r="AB415" s="31"/>
      <c r="AF415" s="32"/>
      <c r="AG415" s="31"/>
      <c r="AK415" s="32"/>
      <c r="AL415" s="31"/>
      <c r="AP415" s="32"/>
      <c r="AQ415" s="31"/>
    </row>
    <row r="416">
      <c r="AA416" s="32"/>
      <c r="AB416" s="31"/>
      <c r="AF416" s="32"/>
      <c r="AG416" s="31"/>
      <c r="AK416" s="32"/>
      <c r="AL416" s="31"/>
      <c r="AP416" s="32"/>
      <c r="AQ416" s="31"/>
    </row>
    <row r="417">
      <c r="AA417" s="32"/>
      <c r="AB417" s="31"/>
      <c r="AF417" s="32"/>
      <c r="AG417" s="31"/>
      <c r="AK417" s="32"/>
      <c r="AL417" s="31"/>
      <c r="AP417" s="32"/>
      <c r="AQ417" s="31"/>
    </row>
    <row r="418">
      <c r="AA418" s="32"/>
      <c r="AB418" s="31"/>
      <c r="AF418" s="32"/>
      <c r="AG418" s="31"/>
      <c r="AK418" s="32"/>
      <c r="AL418" s="31"/>
      <c r="AP418" s="32"/>
      <c r="AQ418" s="31"/>
    </row>
    <row r="419">
      <c r="AA419" s="32"/>
      <c r="AB419" s="31"/>
      <c r="AF419" s="32"/>
      <c r="AG419" s="31"/>
      <c r="AK419" s="32"/>
      <c r="AL419" s="31"/>
      <c r="AP419" s="32"/>
      <c r="AQ419" s="31"/>
    </row>
    <row r="420">
      <c r="AA420" s="32"/>
      <c r="AB420" s="31"/>
      <c r="AF420" s="32"/>
      <c r="AG420" s="31"/>
      <c r="AK420" s="32"/>
      <c r="AL420" s="31"/>
      <c r="AP420" s="32"/>
      <c r="AQ420" s="31"/>
    </row>
    <row r="421">
      <c r="AA421" s="32"/>
      <c r="AB421" s="31"/>
      <c r="AF421" s="32"/>
      <c r="AG421" s="31"/>
      <c r="AK421" s="32"/>
      <c r="AL421" s="31"/>
      <c r="AP421" s="32"/>
      <c r="AQ421" s="31"/>
    </row>
    <row r="422">
      <c r="AA422" s="32"/>
      <c r="AB422" s="31"/>
      <c r="AF422" s="32"/>
      <c r="AG422" s="31"/>
      <c r="AK422" s="32"/>
      <c r="AL422" s="31"/>
      <c r="AP422" s="32"/>
      <c r="AQ422" s="31"/>
    </row>
    <row r="423">
      <c r="AA423" s="32"/>
      <c r="AB423" s="31"/>
      <c r="AF423" s="32"/>
      <c r="AG423" s="31"/>
      <c r="AK423" s="32"/>
      <c r="AL423" s="31"/>
      <c r="AP423" s="32"/>
      <c r="AQ423" s="31"/>
    </row>
    <row r="424">
      <c r="AA424" s="32"/>
      <c r="AB424" s="31"/>
      <c r="AF424" s="32"/>
      <c r="AG424" s="31"/>
      <c r="AK424" s="32"/>
      <c r="AL424" s="31"/>
      <c r="AP424" s="32"/>
      <c r="AQ424" s="31"/>
    </row>
    <row r="425">
      <c r="AA425" s="32"/>
      <c r="AB425" s="31"/>
      <c r="AF425" s="32"/>
      <c r="AG425" s="31"/>
      <c r="AK425" s="32"/>
      <c r="AL425" s="31"/>
      <c r="AP425" s="32"/>
      <c r="AQ425" s="31"/>
    </row>
    <row r="426">
      <c r="AA426" s="32"/>
      <c r="AB426" s="31"/>
      <c r="AF426" s="32"/>
      <c r="AG426" s="31"/>
      <c r="AK426" s="32"/>
      <c r="AL426" s="31"/>
      <c r="AP426" s="32"/>
      <c r="AQ426" s="31"/>
    </row>
    <row r="427">
      <c r="AA427" s="32"/>
      <c r="AB427" s="31"/>
      <c r="AF427" s="32"/>
      <c r="AG427" s="31"/>
      <c r="AK427" s="32"/>
      <c r="AL427" s="31"/>
      <c r="AP427" s="32"/>
      <c r="AQ427" s="31"/>
    </row>
    <row r="428">
      <c r="AA428" s="32"/>
      <c r="AB428" s="31"/>
      <c r="AF428" s="32"/>
      <c r="AG428" s="31"/>
      <c r="AK428" s="32"/>
      <c r="AL428" s="31"/>
      <c r="AP428" s="32"/>
      <c r="AQ428" s="31"/>
    </row>
    <row r="429">
      <c r="AA429" s="32"/>
      <c r="AB429" s="31"/>
      <c r="AF429" s="32"/>
      <c r="AG429" s="31"/>
      <c r="AK429" s="32"/>
      <c r="AL429" s="31"/>
      <c r="AP429" s="32"/>
      <c r="AQ429" s="31"/>
    </row>
    <row r="430">
      <c r="AA430" s="32"/>
      <c r="AB430" s="31"/>
      <c r="AF430" s="32"/>
      <c r="AG430" s="31"/>
      <c r="AK430" s="32"/>
      <c r="AL430" s="31"/>
      <c r="AP430" s="32"/>
      <c r="AQ430" s="31"/>
    </row>
    <row r="431">
      <c r="AA431" s="32"/>
      <c r="AB431" s="31"/>
      <c r="AF431" s="32"/>
      <c r="AG431" s="31"/>
      <c r="AK431" s="32"/>
      <c r="AL431" s="31"/>
      <c r="AP431" s="32"/>
      <c r="AQ431" s="31"/>
    </row>
    <row r="432">
      <c r="AA432" s="32"/>
      <c r="AB432" s="31"/>
      <c r="AF432" s="32"/>
      <c r="AG432" s="31"/>
      <c r="AK432" s="32"/>
      <c r="AL432" s="31"/>
      <c r="AP432" s="32"/>
      <c r="AQ432" s="31"/>
    </row>
    <row r="433">
      <c r="AA433" s="32"/>
      <c r="AB433" s="31"/>
      <c r="AF433" s="32"/>
      <c r="AG433" s="31"/>
      <c r="AK433" s="32"/>
      <c r="AL433" s="31"/>
      <c r="AP433" s="32"/>
      <c r="AQ433" s="31"/>
    </row>
    <row r="434">
      <c r="AA434" s="32"/>
      <c r="AB434" s="31"/>
      <c r="AF434" s="32"/>
      <c r="AG434" s="31"/>
      <c r="AK434" s="32"/>
      <c r="AL434" s="31"/>
      <c r="AP434" s="32"/>
      <c r="AQ434" s="31"/>
    </row>
    <row r="435">
      <c r="AA435" s="32"/>
      <c r="AB435" s="31"/>
      <c r="AF435" s="32"/>
      <c r="AG435" s="31"/>
      <c r="AK435" s="32"/>
      <c r="AL435" s="31"/>
      <c r="AP435" s="32"/>
      <c r="AQ435" s="31"/>
    </row>
    <row r="436">
      <c r="AA436" s="32"/>
      <c r="AB436" s="31"/>
      <c r="AF436" s="32"/>
      <c r="AG436" s="31"/>
      <c r="AK436" s="32"/>
      <c r="AL436" s="31"/>
      <c r="AP436" s="32"/>
      <c r="AQ436" s="31"/>
    </row>
    <row r="437">
      <c r="AA437" s="32"/>
      <c r="AB437" s="31"/>
      <c r="AF437" s="32"/>
      <c r="AG437" s="31"/>
      <c r="AK437" s="32"/>
      <c r="AL437" s="31"/>
      <c r="AP437" s="32"/>
      <c r="AQ437" s="31"/>
    </row>
    <row r="438">
      <c r="AA438" s="32"/>
      <c r="AB438" s="31"/>
      <c r="AF438" s="32"/>
      <c r="AG438" s="31"/>
      <c r="AK438" s="32"/>
      <c r="AL438" s="31"/>
      <c r="AP438" s="32"/>
      <c r="AQ438" s="31"/>
    </row>
    <row r="439">
      <c r="AA439" s="32"/>
      <c r="AB439" s="31"/>
      <c r="AF439" s="32"/>
      <c r="AG439" s="31"/>
      <c r="AK439" s="32"/>
      <c r="AL439" s="31"/>
      <c r="AP439" s="32"/>
      <c r="AQ439" s="31"/>
    </row>
    <row r="440">
      <c r="AA440" s="32"/>
      <c r="AB440" s="31"/>
      <c r="AF440" s="32"/>
      <c r="AG440" s="31"/>
      <c r="AK440" s="32"/>
      <c r="AL440" s="31"/>
      <c r="AP440" s="32"/>
      <c r="AQ440" s="31"/>
    </row>
    <row r="441">
      <c r="AA441" s="32"/>
      <c r="AB441" s="31"/>
      <c r="AF441" s="32"/>
      <c r="AG441" s="31"/>
      <c r="AK441" s="32"/>
      <c r="AL441" s="31"/>
      <c r="AP441" s="32"/>
      <c r="AQ441" s="31"/>
    </row>
    <row r="442">
      <c r="AA442" s="32"/>
      <c r="AB442" s="31"/>
      <c r="AF442" s="32"/>
      <c r="AG442" s="31"/>
      <c r="AK442" s="32"/>
      <c r="AL442" s="31"/>
      <c r="AP442" s="32"/>
      <c r="AQ442" s="31"/>
    </row>
    <row r="443">
      <c r="AA443" s="32"/>
      <c r="AB443" s="31"/>
      <c r="AF443" s="32"/>
      <c r="AG443" s="31"/>
      <c r="AK443" s="32"/>
      <c r="AL443" s="31"/>
      <c r="AP443" s="32"/>
      <c r="AQ443" s="31"/>
    </row>
    <row r="444">
      <c r="AA444" s="32"/>
      <c r="AB444" s="31"/>
      <c r="AF444" s="32"/>
      <c r="AG444" s="31"/>
      <c r="AK444" s="32"/>
      <c r="AL444" s="31"/>
      <c r="AP444" s="32"/>
      <c r="AQ444" s="31"/>
    </row>
    <row r="445">
      <c r="AA445" s="32"/>
      <c r="AB445" s="31"/>
      <c r="AF445" s="32"/>
      <c r="AG445" s="31"/>
      <c r="AK445" s="32"/>
      <c r="AL445" s="31"/>
      <c r="AP445" s="32"/>
      <c r="AQ445" s="31"/>
    </row>
    <row r="446">
      <c r="AA446" s="32"/>
      <c r="AB446" s="31"/>
      <c r="AF446" s="32"/>
      <c r="AG446" s="31"/>
      <c r="AK446" s="32"/>
      <c r="AL446" s="31"/>
      <c r="AP446" s="32"/>
      <c r="AQ446" s="31"/>
    </row>
    <row r="447">
      <c r="AA447" s="32"/>
      <c r="AB447" s="31"/>
      <c r="AF447" s="32"/>
      <c r="AG447" s="31"/>
      <c r="AK447" s="32"/>
      <c r="AL447" s="31"/>
      <c r="AP447" s="32"/>
      <c r="AQ447" s="31"/>
    </row>
    <row r="448">
      <c r="AA448" s="32"/>
      <c r="AB448" s="31"/>
      <c r="AF448" s="32"/>
      <c r="AG448" s="31"/>
      <c r="AK448" s="32"/>
      <c r="AL448" s="31"/>
      <c r="AP448" s="32"/>
      <c r="AQ448" s="31"/>
    </row>
    <row r="449">
      <c r="AA449" s="32"/>
      <c r="AB449" s="31"/>
      <c r="AF449" s="32"/>
      <c r="AG449" s="31"/>
      <c r="AK449" s="32"/>
      <c r="AL449" s="31"/>
      <c r="AP449" s="32"/>
      <c r="AQ449" s="31"/>
    </row>
    <row r="450">
      <c r="AA450" s="32"/>
      <c r="AB450" s="31"/>
      <c r="AF450" s="32"/>
      <c r="AG450" s="31"/>
      <c r="AK450" s="32"/>
      <c r="AL450" s="31"/>
      <c r="AP450" s="32"/>
      <c r="AQ450" s="31"/>
    </row>
    <row r="451">
      <c r="AA451" s="32"/>
      <c r="AB451" s="31"/>
      <c r="AF451" s="32"/>
      <c r="AG451" s="31"/>
      <c r="AK451" s="32"/>
      <c r="AL451" s="31"/>
      <c r="AP451" s="32"/>
      <c r="AQ451" s="31"/>
    </row>
    <row r="452">
      <c r="AA452" s="32"/>
      <c r="AB452" s="31"/>
      <c r="AF452" s="32"/>
      <c r="AG452" s="31"/>
      <c r="AK452" s="32"/>
      <c r="AL452" s="31"/>
      <c r="AP452" s="32"/>
      <c r="AQ452" s="31"/>
    </row>
    <row r="453">
      <c r="AA453" s="32"/>
      <c r="AB453" s="31"/>
      <c r="AF453" s="32"/>
      <c r="AG453" s="31"/>
      <c r="AK453" s="32"/>
      <c r="AL453" s="31"/>
      <c r="AP453" s="32"/>
      <c r="AQ453" s="31"/>
    </row>
    <row r="454">
      <c r="AA454" s="32"/>
      <c r="AB454" s="31"/>
      <c r="AF454" s="32"/>
      <c r="AG454" s="31"/>
      <c r="AK454" s="32"/>
      <c r="AL454" s="31"/>
      <c r="AP454" s="32"/>
      <c r="AQ454" s="31"/>
    </row>
    <row r="455">
      <c r="AA455" s="32"/>
      <c r="AB455" s="31"/>
      <c r="AF455" s="32"/>
      <c r="AG455" s="31"/>
      <c r="AK455" s="32"/>
      <c r="AL455" s="31"/>
      <c r="AP455" s="32"/>
      <c r="AQ455" s="31"/>
    </row>
    <row r="456">
      <c r="AA456" s="32"/>
      <c r="AB456" s="31"/>
      <c r="AF456" s="32"/>
      <c r="AG456" s="31"/>
      <c r="AK456" s="32"/>
      <c r="AL456" s="31"/>
      <c r="AP456" s="32"/>
      <c r="AQ456" s="31"/>
    </row>
    <row r="457">
      <c r="AA457" s="32"/>
      <c r="AB457" s="31"/>
      <c r="AF457" s="32"/>
      <c r="AG457" s="31"/>
      <c r="AK457" s="32"/>
      <c r="AL457" s="31"/>
      <c r="AP457" s="32"/>
      <c r="AQ457" s="31"/>
    </row>
    <row r="458">
      <c r="AA458" s="32"/>
      <c r="AB458" s="31"/>
      <c r="AF458" s="32"/>
      <c r="AG458" s="31"/>
      <c r="AK458" s="32"/>
      <c r="AL458" s="31"/>
      <c r="AP458" s="32"/>
      <c r="AQ458" s="31"/>
    </row>
    <row r="459">
      <c r="AA459" s="32"/>
      <c r="AB459" s="31"/>
      <c r="AF459" s="32"/>
      <c r="AG459" s="31"/>
      <c r="AK459" s="32"/>
      <c r="AL459" s="31"/>
      <c r="AP459" s="32"/>
      <c r="AQ459" s="31"/>
    </row>
    <row r="460">
      <c r="AA460" s="32"/>
      <c r="AB460" s="31"/>
      <c r="AF460" s="32"/>
      <c r="AG460" s="31"/>
      <c r="AK460" s="32"/>
      <c r="AL460" s="31"/>
      <c r="AP460" s="32"/>
      <c r="AQ460" s="31"/>
    </row>
    <row r="461">
      <c r="AA461" s="32"/>
      <c r="AB461" s="31"/>
      <c r="AF461" s="32"/>
      <c r="AG461" s="31"/>
      <c r="AK461" s="32"/>
      <c r="AL461" s="31"/>
      <c r="AP461" s="32"/>
      <c r="AQ461" s="31"/>
    </row>
    <row r="462">
      <c r="AA462" s="32"/>
      <c r="AB462" s="31"/>
      <c r="AF462" s="32"/>
      <c r="AG462" s="31"/>
      <c r="AK462" s="32"/>
      <c r="AL462" s="31"/>
      <c r="AP462" s="32"/>
      <c r="AQ462" s="31"/>
    </row>
    <row r="463">
      <c r="AA463" s="32"/>
      <c r="AB463" s="31"/>
      <c r="AF463" s="32"/>
      <c r="AG463" s="31"/>
      <c r="AK463" s="32"/>
      <c r="AL463" s="31"/>
      <c r="AP463" s="32"/>
      <c r="AQ463" s="31"/>
    </row>
    <row r="464">
      <c r="AA464" s="32"/>
      <c r="AB464" s="31"/>
      <c r="AF464" s="32"/>
      <c r="AG464" s="31"/>
      <c r="AK464" s="32"/>
      <c r="AL464" s="31"/>
      <c r="AP464" s="32"/>
      <c r="AQ464" s="31"/>
    </row>
    <row r="465">
      <c r="AA465" s="32"/>
      <c r="AB465" s="31"/>
      <c r="AF465" s="32"/>
      <c r="AG465" s="31"/>
      <c r="AK465" s="32"/>
      <c r="AL465" s="31"/>
      <c r="AP465" s="32"/>
      <c r="AQ465" s="31"/>
    </row>
    <row r="466">
      <c r="AA466" s="32"/>
      <c r="AB466" s="31"/>
      <c r="AF466" s="32"/>
      <c r="AG466" s="31"/>
      <c r="AK466" s="32"/>
      <c r="AL466" s="31"/>
      <c r="AP466" s="32"/>
      <c r="AQ466" s="31"/>
    </row>
    <row r="467">
      <c r="AA467" s="32"/>
      <c r="AB467" s="31"/>
      <c r="AF467" s="32"/>
      <c r="AG467" s="31"/>
      <c r="AK467" s="32"/>
      <c r="AL467" s="31"/>
      <c r="AP467" s="32"/>
      <c r="AQ467" s="31"/>
    </row>
    <row r="468">
      <c r="AA468" s="32"/>
      <c r="AB468" s="31"/>
      <c r="AF468" s="32"/>
      <c r="AG468" s="31"/>
      <c r="AK468" s="32"/>
      <c r="AL468" s="31"/>
      <c r="AP468" s="32"/>
      <c r="AQ468" s="31"/>
    </row>
    <row r="469">
      <c r="AA469" s="32"/>
      <c r="AB469" s="31"/>
      <c r="AF469" s="32"/>
      <c r="AG469" s="31"/>
      <c r="AK469" s="32"/>
      <c r="AL469" s="31"/>
      <c r="AP469" s="32"/>
      <c r="AQ469" s="31"/>
    </row>
    <row r="470">
      <c r="AA470" s="32"/>
      <c r="AB470" s="31"/>
      <c r="AF470" s="32"/>
      <c r="AG470" s="31"/>
      <c r="AK470" s="32"/>
      <c r="AL470" s="31"/>
      <c r="AP470" s="32"/>
      <c r="AQ470" s="31"/>
    </row>
    <row r="471">
      <c r="AA471" s="32"/>
      <c r="AB471" s="31"/>
      <c r="AF471" s="32"/>
      <c r="AG471" s="31"/>
      <c r="AK471" s="32"/>
      <c r="AL471" s="31"/>
      <c r="AP471" s="32"/>
      <c r="AQ471" s="31"/>
    </row>
    <row r="472">
      <c r="AA472" s="32"/>
      <c r="AB472" s="31"/>
      <c r="AF472" s="32"/>
      <c r="AG472" s="31"/>
      <c r="AK472" s="32"/>
      <c r="AL472" s="31"/>
      <c r="AP472" s="32"/>
      <c r="AQ472" s="31"/>
    </row>
    <row r="473">
      <c r="AA473" s="32"/>
      <c r="AB473" s="31"/>
      <c r="AF473" s="32"/>
      <c r="AG473" s="31"/>
      <c r="AK473" s="32"/>
      <c r="AL473" s="31"/>
      <c r="AP473" s="32"/>
      <c r="AQ473" s="31"/>
    </row>
    <row r="474">
      <c r="AA474" s="32"/>
      <c r="AB474" s="31"/>
      <c r="AF474" s="32"/>
      <c r="AG474" s="31"/>
      <c r="AK474" s="32"/>
      <c r="AL474" s="31"/>
      <c r="AP474" s="32"/>
      <c r="AQ474" s="31"/>
    </row>
    <row r="475">
      <c r="AA475" s="32"/>
      <c r="AB475" s="31"/>
      <c r="AF475" s="32"/>
      <c r="AG475" s="31"/>
      <c r="AK475" s="32"/>
      <c r="AL475" s="31"/>
      <c r="AP475" s="32"/>
      <c r="AQ475" s="31"/>
    </row>
    <row r="476">
      <c r="AA476" s="32"/>
      <c r="AB476" s="31"/>
      <c r="AF476" s="32"/>
      <c r="AG476" s="31"/>
      <c r="AK476" s="32"/>
      <c r="AL476" s="31"/>
      <c r="AP476" s="32"/>
      <c r="AQ476" s="31"/>
    </row>
    <row r="477">
      <c r="AA477" s="32"/>
      <c r="AB477" s="31"/>
      <c r="AF477" s="32"/>
      <c r="AG477" s="31"/>
      <c r="AK477" s="32"/>
      <c r="AL477" s="31"/>
      <c r="AP477" s="32"/>
      <c r="AQ477" s="31"/>
    </row>
    <row r="478">
      <c r="AA478" s="32"/>
      <c r="AB478" s="31"/>
      <c r="AF478" s="32"/>
      <c r="AG478" s="31"/>
      <c r="AK478" s="32"/>
      <c r="AL478" s="31"/>
      <c r="AP478" s="32"/>
      <c r="AQ478" s="31"/>
    </row>
    <row r="479">
      <c r="AA479" s="32"/>
      <c r="AB479" s="31"/>
      <c r="AF479" s="32"/>
      <c r="AG479" s="31"/>
      <c r="AK479" s="32"/>
      <c r="AL479" s="31"/>
      <c r="AP479" s="32"/>
      <c r="AQ479" s="31"/>
    </row>
    <row r="480">
      <c r="AA480" s="32"/>
      <c r="AB480" s="31"/>
      <c r="AF480" s="32"/>
      <c r="AG480" s="31"/>
      <c r="AK480" s="32"/>
      <c r="AL480" s="31"/>
      <c r="AP480" s="32"/>
      <c r="AQ480" s="31"/>
    </row>
    <row r="481">
      <c r="AA481" s="32"/>
      <c r="AB481" s="31"/>
      <c r="AF481" s="32"/>
      <c r="AG481" s="31"/>
      <c r="AK481" s="32"/>
      <c r="AL481" s="31"/>
      <c r="AP481" s="32"/>
      <c r="AQ481" s="31"/>
    </row>
    <row r="482">
      <c r="AA482" s="32"/>
      <c r="AB482" s="31"/>
      <c r="AF482" s="32"/>
      <c r="AG482" s="31"/>
      <c r="AK482" s="32"/>
      <c r="AL482" s="31"/>
      <c r="AP482" s="32"/>
      <c r="AQ482" s="31"/>
    </row>
    <row r="483">
      <c r="AA483" s="30"/>
      <c r="AB483" s="30"/>
      <c r="AF483" s="30"/>
      <c r="AG483" s="30"/>
      <c r="AK483" s="30"/>
      <c r="AL483" s="30"/>
      <c r="AP483" s="30"/>
      <c r="AQ483" s="30"/>
    </row>
    <row r="484">
      <c r="AA484" s="32"/>
      <c r="AB484" s="31"/>
      <c r="AF484" s="32"/>
      <c r="AG484" s="31"/>
      <c r="AK484" s="32"/>
      <c r="AL484" s="31"/>
      <c r="AP484" s="32"/>
      <c r="AQ484" s="31"/>
    </row>
    <row r="485">
      <c r="AA485" s="32"/>
      <c r="AB485" s="31"/>
      <c r="AF485" s="32"/>
      <c r="AG485" s="31"/>
      <c r="AK485" s="32"/>
      <c r="AL485" s="31"/>
      <c r="AP485" s="32"/>
      <c r="AQ485" s="31"/>
    </row>
    <row r="486">
      <c r="AA486" s="32"/>
      <c r="AB486" s="31"/>
      <c r="AF486" s="32"/>
      <c r="AG486" s="31"/>
      <c r="AK486" s="32"/>
      <c r="AL486" s="31"/>
      <c r="AP486" s="32"/>
      <c r="AQ486" s="31"/>
    </row>
    <row r="487">
      <c r="AA487" s="32"/>
      <c r="AB487" s="31"/>
      <c r="AF487" s="32"/>
      <c r="AG487" s="31"/>
      <c r="AK487" s="32"/>
      <c r="AL487" s="31"/>
      <c r="AP487" s="32"/>
      <c r="AQ487" s="31"/>
    </row>
    <row r="488">
      <c r="AA488" s="32"/>
      <c r="AB488" s="31"/>
      <c r="AF488" s="32"/>
      <c r="AG488" s="31"/>
      <c r="AK488" s="32"/>
      <c r="AL488" s="31"/>
      <c r="AP488" s="32"/>
      <c r="AQ488" s="31"/>
    </row>
    <row r="489">
      <c r="AA489" s="32"/>
      <c r="AB489" s="31"/>
      <c r="AF489" s="32"/>
      <c r="AG489" s="31"/>
      <c r="AK489" s="32"/>
      <c r="AL489" s="31"/>
      <c r="AP489" s="32"/>
      <c r="AQ489" s="31"/>
    </row>
    <row r="490">
      <c r="AA490" s="32"/>
      <c r="AB490" s="31"/>
      <c r="AF490" s="32"/>
      <c r="AG490" s="31"/>
      <c r="AK490" s="32"/>
      <c r="AL490" s="31"/>
      <c r="AP490" s="32"/>
      <c r="AQ490" s="31"/>
    </row>
    <row r="491">
      <c r="AA491" s="32"/>
      <c r="AB491" s="31"/>
      <c r="AF491" s="32"/>
      <c r="AG491" s="31"/>
      <c r="AK491" s="32"/>
      <c r="AL491" s="31"/>
      <c r="AP491" s="32"/>
      <c r="AQ491" s="31"/>
    </row>
    <row r="492">
      <c r="AA492" s="32"/>
      <c r="AB492" s="31"/>
      <c r="AF492" s="32"/>
      <c r="AG492" s="31"/>
      <c r="AK492" s="32"/>
      <c r="AL492" s="31"/>
      <c r="AP492" s="32"/>
      <c r="AQ492" s="31"/>
    </row>
    <row r="493">
      <c r="AA493" s="32"/>
      <c r="AB493" s="31"/>
      <c r="AF493" s="32"/>
      <c r="AG493" s="31"/>
      <c r="AK493" s="32"/>
      <c r="AL493" s="31"/>
      <c r="AP493" s="32"/>
      <c r="AQ493" s="31"/>
    </row>
    <row r="494">
      <c r="AA494" s="32"/>
      <c r="AB494" s="31"/>
      <c r="AF494" s="32"/>
      <c r="AG494" s="31"/>
      <c r="AK494" s="32"/>
      <c r="AL494" s="31"/>
      <c r="AP494" s="32"/>
      <c r="AQ494" s="31"/>
    </row>
    <row r="495">
      <c r="AA495" s="32"/>
      <c r="AB495" s="31"/>
      <c r="AF495" s="32"/>
      <c r="AG495" s="31"/>
      <c r="AK495" s="32"/>
      <c r="AL495" s="31"/>
      <c r="AP495" s="32"/>
      <c r="AQ495" s="31"/>
    </row>
    <row r="496">
      <c r="AA496" s="32"/>
      <c r="AB496" s="31"/>
      <c r="AF496" s="32"/>
      <c r="AG496" s="31"/>
      <c r="AK496" s="32"/>
      <c r="AL496" s="31"/>
      <c r="AP496" s="32"/>
      <c r="AQ496" s="31"/>
    </row>
    <row r="497">
      <c r="AA497" s="32"/>
      <c r="AB497" s="31"/>
      <c r="AF497" s="32"/>
      <c r="AG497" s="31"/>
      <c r="AK497" s="32"/>
      <c r="AL497" s="31"/>
      <c r="AP497" s="32"/>
      <c r="AQ497" s="31"/>
    </row>
    <row r="498">
      <c r="AA498" s="32"/>
      <c r="AB498" s="31"/>
      <c r="AF498" s="32"/>
      <c r="AG498" s="31"/>
      <c r="AK498" s="32"/>
      <c r="AL498" s="31"/>
      <c r="AP498" s="32"/>
      <c r="AQ498" s="31"/>
    </row>
    <row r="499">
      <c r="AA499" s="32"/>
      <c r="AB499" s="31"/>
      <c r="AF499" s="32"/>
      <c r="AG499" s="31"/>
      <c r="AK499" s="32"/>
      <c r="AL499" s="31"/>
      <c r="AP499" s="32"/>
      <c r="AQ499" s="31"/>
    </row>
    <row r="500">
      <c r="AA500" s="32"/>
      <c r="AB500" s="31"/>
      <c r="AF500" s="32"/>
      <c r="AG500" s="31"/>
      <c r="AK500" s="32"/>
      <c r="AL500" s="31"/>
      <c r="AP500" s="32"/>
      <c r="AQ500" s="31"/>
    </row>
    <row r="501">
      <c r="AA501" s="32"/>
      <c r="AB501" s="31"/>
      <c r="AF501" s="32"/>
      <c r="AG501" s="31"/>
      <c r="AK501" s="32"/>
      <c r="AL501" s="31"/>
      <c r="AP501" s="32"/>
      <c r="AQ501" s="31"/>
    </row>
    <row r="502">
      <c r="AA502" s="32"/>
      <c r="AB502" s="31"/>
      <c r="AF502" s="32"/>
      <c r="AG502" s="31"/>
      <c r="AK502" s="32"/>
      <c r="AL502" s="31"/>
      <c r="AP502" s="32"/>
      <c r="AQ502" s="31"/>
    </row>
    <row r="503">
      <c r="AA503" s="32"/>
      <c r="AB503" s="31"/>
      <c r="AF503" s="32"/>
      <c r="AG503" s="31"/>
      <c r="AK503" s="32"/>
      <c r="AL503" s="31"/>
      <c r="AP503" s="32"/>
      <c r="AQ503" s="31"/>
    </row>
    <row r="504">
      <c r="AA504" s="32"/>
      <c r="AB504" s="31"/>
      <c r="AF504" s="32"/>
      <c r="AG504" s="31"/>
      <c r="AK504" s="32"/>
      <c r="AL504" s="31"/>
      <c r="AP504" s="32"/>
      <c r="AQ504" s="31"/>
    </row>
    <row r="505">
      <c r="AA505" s="32"/>
      <c r="AB505" s="31"/>
      <c r="AF505" s="32"/>
      <c r="AG505" s="31"/>
      <c r="AK505" s="32"/>
      <c r="AL505" s="31"/>
      <c r="AP505" s="32"/>
      <c r="AQ505" s="31"/>
    </row>
    <row r="506">
      <c r="AA506" s="32"/>
      <c r="AB506" s="31"/>
      <c r="AF506" s="32"/>
      <c r="AG506" s="31"/>
      <c r="AK506" s="32"/>
      <c r="AL506" s="31"/>
      <c r="AP506" s="32"/>
      <c r="AQ506" s="31"/>
    </row>
    <row r="507">
      <c r="AA507" s="32"/>
      <c r="AB507" s="31"/>
      <c r="AF507" s="32"/>
      <c r="AG507" s="31"/>
      <c r="AK507" s="32"/>
      <c r="AL507" s="31"/>
      <c r="AP507" s="32"/>
      <c r="AQ507" s="31"/>
    </row>
    <row r="508">
      <c r="AA508" s="32"/>
      <c r="AB508" s="31"/>
      <c r="AF508" s="32"/>
      <c r="AG508" s="31"/>
      <c r="AK508" s="32"/>
      <c r="AL508" s="31"/>
      <c r="AP508" s="32"/>
      <c r="AQ508" s="31"/>
    </row>
    <row r="509">
      <c r="AA509" s="32"/>
      <c r="AB509" s="31"/>
      <c r="AF509" s="32"/>
      <c r="AG509" s="31"/>
      <c r="AK509" s="32"/>
      <c r="AL509" s="31"/>
      <c r="AP509" s="32"/>
      <c r="AQ509" s="31"/>
    </row>
    <row r="510">
      <c r="AA510" s="32"/>
      <c r="AB510" s="31"/>
      <c r="AF510" s="32"/>
      <c r="AG510" s="31"/>
      <c r="AK510" s="32"/>
      <c r="AL510" s="31"/>
      <c r="AP510" s="32"/>
      <c r="AQ510" s="31"/>
    </row>
    <row r="511">
      <c r="AA511" s="32"/>
      <c r="AB511" s="31"/>
      <c r="AF511" s="32"/>
      <c r="AG511" s="31"/>
      <c r="AK511" s="32"/>
      <c r="AL511" s="31"/>
      <c r="AP511" s="32"/>
      <c r="AQ511" s="31"/>
    </row>
    <row r="512">
      <c r="AA512" s="32"/>
      <c r="AB512" s="31"/>
      <c r="AF512" s="32"/>
      <c r="AG512" s="31"/>
      <c r="AK512" s="32"/>
      <c r="AL512" s="31"/>
      <c r="AP512" s="32"/>
      <c r="AQ512" s="31"/>
    </row>
    <row r="513">
      <c r="AA513" s="32"/>
      <c r="AB513" s="31"/>
      <c r="AF513" s="32"/>
      <c r="AG513" s="31"/>
      <c r="AK513" s="32"/>
      <c r="AL513" s="31"/>
      <c r="AP513" s="32"/>
      <c r="AQ513" s="31"/>
    </row>
    <row r="514">
      <c r="AA514" s="32"/>
      <c r="AB514" s="31"/>
      <c r="AF514" s="32"/>
      <c r="AG514" s="31"/>
      <c r="AK514" s="32"/>
      <c r="AL514" s="31"/>
      <c r="AP514" s="32"/>
      <c r="AQ514" s="31"/>
    </row>
    <row r="515">
      <c r="AA515" s="32"/>
      <c r="AB515" s="31"/>
      <c r="AF515" s="32"/>
      <c r="AG515" s="31"/>
      <c r="AK515" s="32"/>
      <c r="AL515" s="31"/>
      <c r="AP515" s="32"/>
      <c r="AQ515" s="31"/>
    </row>
    <row r="516">
      <c r="AA516" s="32"/>
      <c r="AB516" s="31"/>
      <c r="AF516" s="32"/>
      <c r="AG516" s="31"/>
      <c r="AK516" s="32"/>
      <c r="AL516" s="31"/>
      <c r="AP516" s="32"/>
      <c r="AQ516" s="31"/>
    </row>
    <row r="517">
      <c r="AA517" s="32"/>
      <c r="AB517" s="31"/>
      <c r="AF517" s="32"/>
      <c r="AG517" s="31"/>
      <c r="AK517" s="32"/>
      <c r="AL517" s="31"/>
      <c r="AP517" s="32"/>
      <c r="AQ517" s="31"/>
    </row>
    <row r="518">
      <c r="AA518" s="32"/>
      <c r="AB518" s="31"/>
      <c r="AF518" s="32"/>
      <c r="AG518" s="31"/>
      <c r="AK518" s="32"/>
      <c r="AL518" s="31"/>
      <c r="AP518" s="32"/>
      <c r="AQ518" s="31"/>
    </row>
    <row r="519">
      <c r="AA519" s="32"/>
      <c r="AB519" s="31"/>
      <c r="AF519" s="32"/>
      <c r="AG519" s="31"/>
      <c r="AK519" s="32"/>
      <c r="AL519" s="31"/>
      <c r="AP519" s="32"/>
      <c r="AQ519" s="31"/>
    </row>
    <row r="520">
      <c r="AA520" s="32"/>
      <c r="AB520" s="31"/>
      <c r="AF520" s="32"/>
      <c r="AG520" s="31"/>
      <c r="AK520" s="32"/>
      <c r="AL520" s="31"/>
      <c r="AP520" s="32"/>
      <c r="AQ520" s="31"/>
    </row>
    <row r="521">
      <c r="AA521" s="32"/>
      <c r="AB521" s="31"/>
      <c r="AF521" s="32"/>
      <c r="AG521" s="31"/>
      <c r="AK521" s="32"/>
      <c r="AL521" s="31"/>
      <c r="AP521" s="32"/>
      <c r="AQ521" s="31"/>
    </row>
    <row r="522">
      <c r="AA522" s="32"/>
      <c r="AB522" s="31"/>
      <c r="AF522" s="32"/>
      <c r="AG522" s="31"/>
      <c r="AK522" s="32"/>
      <c r="AL522" s="31"/>
      <c r="AP522" s="32"/>
      <c r="AQ522" s="31"/>
    </row>
    <row r="523">
      <c r="AA523" s="32"/>
      <c r="AB523" s="31"/>
      <c r="AF523" s="32"/>
      <c r="AG523" s="31"/>
      <c r="AK523" s="32"/>
      <c r="AL523" s="31"/>
      <c r="AP523" s="32"/>
      <c r="AQ523" s="31"/>
    </row>
    <row r="524">
      <c r="AA524" s="32"/>
      <c r="AB524" s="31"/>
      <c r="AF524" s="32"/>
      <c r="AG524" s="31"/>
      <c r="AK524" s="32"/>
      <c r="AL524" s="31"/>
      <c r="AP524" s="32"/>
      <c r="AQ524" s="31"/>
    </row>
    <row r="525">
      <c r="AA525" s="32"/>
      <c r="AB525" s="31"/>
      <c r="AF525" s="32"/>
      <c r="AG525" s="31"/>
      <c r="AK525" s="32"/>
      <c r="AL525" s="31"/>
      <c r="AP525" s="32"/>
      <c r="AQ525" s="31"/>
    </row>
    <row r="526">
      <c r="AA526" s="32"/>
      <c r="AB526" s="31"/>
      <c r="AF526" s="32"/>
      <c r="AG526" s="31"/>
      <c r="AK526" s="32"/>
      <c r="AL526" s="31"/>
      <c r="AP526" s="32"/>
      <c r="AQ526" s="31"/>
    </row>
    <row r="527">
      <c r="AA527" s="32"/>
      <c r="AB527" s="31"/>
      <c r="AF527" s="32"/>
      <c r="AG527" s="31"/>
      <c r="AK527" s="32"/>
      <c r="AL527" s="31"/>
      <c r="AP527" s="32"/>
      <c r="AQ527" s="31"/>
    </row>
    <row r="528">
      <c r="AA528" s="32"/>
      <c r="AB528" s="31"/>
      <c r="AF528" s="32"/>
      <c r="AG528" s="31"/>
      <c r="AK528" s="32"/>
      <c r="AL528" s="31"/>
      <c r="AP528" s="32"/>
      <c r="AQ528" s="31"/>
    </row>
    <row r="529">
      <c r="AA529" s="32"/>
      <c r="AB529" s="31"/>
      <c r="AF529" s="32"/>
      <c r="AG529" s="31"/>
      <c r="AK529" s="32"/>
      <c r="AL529" s="31"/>
      <c r="AP529" s="32"/>
      <c r="AQ529" s="31"/>
    </row>
    <row r="530">
      <c r="AA530" s="32"/>
      <c r="AB530" s="31"/>
      <c r="AF530" s="32"/>
      <c r="AG530" s="31"/>
      <c r="AK530" s="32"/>
      <c r="AL530" s="31"/>
      <c r="AP530" s="32"/>
      <c r="AQ530" s="31"/>
    </row>
    <row r="531">
      <c r="AA531" s="32"/>
      <c r="AB531" s="31"/>
      <c r="AF531" s="32"/>
      <c r="AG531" s="31"/>
      <c r="AK531" s="32"/>
      <c r="AL531" s="31"/>
      <c r="AP531" s="32"/>
      <c r="AQ531" s="31"/>
    </row>
    <row r="532">
      <c r="AA532" s="32"/>
      <c r="AB532" s="31"/>
      <c r="AF532" s="32"/>
      <c r="AG532" s="31"/>
      <c r="AK532" s="32"/>
      <c r="AL532" s="31"/>
      <c r="AP532" s="32"/>
      <c r="AQ532" s="31"/>
    </row>
    <row r="533">
      <c r="AA533" s="32"/>
      <c r="AB533" s="31"/>
      <c r="AF533" s="32"/>
      <c r="AG533" s="31"/>
      <c r="AK533" s="32"/>
      <c r="AL533" s="31"/>
      <c r="AP533" s="32"/>
      <c r="AQ533" s="31"/>
    </row>
    <row r="534">
      <c r="AA534" s="32"/>
      <c r="AB534" s="31"/>
      <c r="AF534" s="32"/>
      <c r="AG534" s="31"/>
      <c r="AK534" s="32"/>
      <c r="AL534" s="31"/>
      <c r="AP534" s="32"/>
      <c r="AQ534" s="31"/>
    </row>
    <row r="535">
      <c r="AA535" s="32"/>
      <c r="AB535" s="31"/>
      <c r="AF535" s="32"/>
      <c r="AG535" s="31"/>
      <c r="AK535" s="32"/>
      <c r="AL535" s="31"/>
      <c r="AP535" s="32"/>
      <c r="AQ535" s="31"/>
    </row>
    <row r="536">
      <c r="AA536" s="32"/>
      <c r="AB536" s="31"/>
      <c r="AF536" s="32"/>
      <c r="AG536" s="31"/>
      <c r="AK536" s="32"/>
      <c r="AL536" s="31"/>
      <c r="AP536" s="32"/>
      <c r="AQ536" s="31"/>
    </row>
    <row r="537">
      <c r="AA537" s="32"/>
      <c r="AB537" s="31"/>
      <c r="AF537" s="32"/>
      <c r="AG537" s="31"/>
      <c r="AK537" s="32"/>
      <c r="AL537" s="31"/>
      <c r="AP537" s="32"/>
      <c r="AQ537" s="31"/>
    </row>
    <row r="538">
      <c r="AA538" s="32"/>
      <c r="AB538" s="31"/>
      <c r="AF538" s="32"/>
      <c r="AG538" s="31"/>
      <c r="AK538" s="32"/>
      <c r="AL538" s="31"/>
      <c r="AP538" s="32"/>
      <c r="AQ538" s="31"/>
    </row>
    <row r="539">
      <c r="AA539" s="32"/>
      <c r="AB539" s="31"/>
      <c r="AF539" s="32"/>
      <c r="AG539" s="31"/>
      <c r="AK539" s="32"/>
      <c r="AL539" s="31"/>
      <c r="AP539" s="32"/>
      <c r="AQ539" s="31"/>
    </row>
    <row r="540">
      <c r="AA540" s="32"/>
      <c r="AB540" s="31"/>
      <c r="AF540" s="32"/>
      <c r="AG540" s="31"/>
      <c r="AK540" s="32"/>
      <c r="AL540" s="31"/>
      <c r="AP540" s="32"/>
      <c r="AQ540" s="31"/>
    </row>
    <row r="541">
      <c r="AA541" s="32"/>
      <c r="AB541" s="31"/>
      <c r="AF541" s="32"/>
      <c r="AG541" s="31"/>
      <c r="AK541" s="32"/>
      <c r="AL541" s="31"/>
      <c r="AP541" s="32"/>
      <c r="AQ541" s="31"/>
    </row>
    <row r="542">
      <c r="AA542" s="32"/>
      <c r="AB542" s="31"/>
      <c r="AF542" s="32"/>
      <c r="AG542" s="31"/>
      <c r="AK542" s="32"/>
      <c r="AL542" s="31"/>
      <c r="AP542" s="32"/>
      <c r="AQ542" s="31"/>
    </row>
    <row r="543">
      <c r="AA543" s="32"/>
      <c r="AB543" s="31"/>
      <c r="AF543" s="32"/>
      <c r="AG543" s="31"/>
      <c r="AK543" s="32"/>
      <c r="AL543" s="31"/>
      <c r="AP543" s="32"/>
      <c r="AQ543" s="31"/>
    </row>
    <row r="544">
      <c r="AA544" s="32"/>
      <c r="AB544" s="31"/>
      <c r="AF544" s="32"/>
      <c r="AG544" s="31"/>
      <c r="AK544" s="32"/>
      <c r="AL544" s="31"/>
      <c r="AP544" s="32"/>
      <c r="AQ544" s="31"/>
    </row>
    <row r="545">
      <c r="AA545" s="32"/>
      <c r="AB545" s="31"/>
      <c r="AF545" s="32"/>
      <c r="AG545" s="31"/>
      <c r="AK545" s="32"/>
      <c r="AL545" s="31"/>
      <c r="AP545" s="32"/>
      <c r="AQ545" s="31"/>
    </row>
    <row r="546">
      <c r="AA546" s="32"/>
      <c r="AB546" s="31"/>
      <c r="AF546" s="32"/>
      <c r="AG546" s="31"/>
      <c r="AK546" s="32"/>
      <c r="AL546" s="31"/>
      <c r="AP546" s="32"/>
      <c r="AQ546" s="31"/>
    </row>
    <row r="547">
      <c r="AA547" s="32"/>
      <c r="AB547" s="31"/>
      <c r="AF547" s="32"/>
      <c r="AG547" s="31"/>
      <c r="AK547" s="32"/>
      <c r="AL547" s="31"/>
      <c r="AP547" s="32"/>
      <c r="AQ547" s="31"/>
    </row>
    <row r="548">
      <c r="AA548" s="32"/>
      <c r="AB548" s="31"/>
      <c r="AF548" s="32"/>
      <c r="AG548" s="31"/>
      <c r="AK548" s="32"/>
      <c r="AL548" s="31"/>
      <c r="AP548" s="32"/>
      <c r="AQ548" s="31"/>
    </row>
    <row r="549">
      <c r="AA549" s="32"/>
      <c r="AB549" s="31"/>
      <c r="AF549" s="32"/>
      <c r="AG549" s="31"/>
      <c r="AK549" s="32"/>
      <c r="AL549" s="31"/>
      <c r="AP549" s="32"/>
      <c r="AQ549" s="31"/>
    </row>
    <row r="550">
      <c r="AA550" s="32"/>
      <c r="AB550" s="31"/>
      <c r="AF550" s="32"/>
      <c r="AG550" s="31"/>
      <c r="AK550" s="32"/>
      <c r="AL550" s="31"/>
      <c r="AP550" s="32"/>
      <c r="AQ550" s="31"/>
    </row>
    <row r="551">
      <c r="AA551" s="32"/>
      <c r="AB551" s="31"/>
      <c r="AF551" s="32"/>
      <c r="AG551" s="31"/>
      <c r="AK551" s="32"/>
      <c r="AL551" s="31"/>
      <c r="AP551" s="32"/>
      <c r="AQ551" s="31"/>
    </row>
    <row r="552">
      <c r="AA552" s="32"/>
      <c r="AB552" s="31"/>
      <c r="AF552" s="32"/>
      <c r="AG552" s="31"/>
      <c r="AK552" s="32"/>
      <c r="AL552" s="31"/>
      <c r="AP552" s="32"/>
      <c r="AQ552" s="31"/>
    </row>
    <row r="553">
      <c r="AA553" s="32"/>
      <c r="AB553" s="31"/>
      <c r="AF553" s="32"/>
      <c r="AG553" s="31"/>
      <c r="AK553" s="32"/>
      <c r="AL553" s="31"/>
      <c r="AP553" s="32"/>
      <c r="AQ553" s="31"/>
    </row>
    <row r="554">
      <c r="AA554" s="32"/>
      <c r="AB554" s="31"/>
      <c r="AF554" s="32"/>
      <c r="AG554" s="31"/>
      <c r="AK554" s="32"/>
      <c r="AL554" s="31"/>
      <c r="AP554" s="32"/>
      <c r="AQ554" s="31"/>
    </row>
    <row r="555">
      <c r="AA555" s="32"/>
      <c r="AB555" s="31"/>
      <c r="AF555" s="32"/>
      <c r="AG555" s="31"/>
      <c r="AK555" s="32"/>
      <c r="AL555" s="31"/>
      <c r="AP555" s="32"/>
      <c r="AQ555" s="31"/>
    </row>
    <row r="556">
      <c r="AA556" s="32"/>
      <c r="AB556" s="31"/>
      <c r="AF556" s="32"/>
      <c r="AG556" s="31"/>
      <c r="AK556" s="32"/>
      <c r="AL556" s="31"/>
      <c r="AP556" s="32"/>
      <c r="AQ556" s="31"/>
    </row>
    <row r="557">
      <c r="AA557" s="32"/>
      <c r="AB557" s="31"/>
      <c r="AF557" s="32"/>
      <c r="AG557" s="31"/>
      <c r="AK557" s="32"/>
      <c r="AL557" s="31"/>
      <c r="AP557" s="32"/>
      <c r="AQ557" s="31"/>
    </row>
    <row r="558">
      <c r="AA558" s="32"/>
      <c r="AB558" s="31"/>
      <c r="AF558" s="32"/>
      <c r="AG558" s="31"/>
      <c r="AK558" s="32"/>
      <c r="AL558" s="31"/>
      <c r="AP558" s="32"/>
      <c r="AQ558" s="31"/>
    </row>
    <row r="559">
      <c r="AA559" s="32"/>
      <c r="AB559" s="31"/>
      <c r="AF559" s="32"/>
      <c r="AG559" s="31"/>
      <c r="AK559" s="32"/>
      <c r="AL559" s="31"/>
      <c r="AP559" s="32"/>
      <c r="AQ559" s="31"/>
    </row>
    <row r="560">
      <c r="AA560" s="32"/>
      <c r="AB560" s="31"/>
      <c r="AF560" s="32"/>
      <c r="AG560" s="31"/>
      <c r="AK560" s="32"/>
      <c r="AL560" s="31"/>
      <c r="AP560" s="32"/>
      <c r="AQ560" s="31"/>
    </row>
    <row r="561">
      <c r="AA561" s="32"/>
      <c r="AB561" s="31"/>
      <c r="AF561" s="32"/>
      <c r="AG561" s="31"/>
      <c r="AK561" s="32"/>
      <c r="AL561" s="31"/>
      <c r="AP561" s="32"/>
      <c r="AQ561" s="31"/>
    </row>
    <row r="562">
      <c r="AA562" s="32"/>
      <c r="AB562" s="31"/>
      <c r="AF562" s="32"/>
      <c r="AG562" s="31"/>
      <c r="AK562" s="32"/>
      <c r="AL562" s="31"/>
      <c r="AP562" s="32"/>
      <c r="AQ562" s="31"/>
    </row>
    <row r="563">
      <c r="AA563" s="32"/>
      <c r="AB563" s="31"/>
      <c r="AF563" s="32"/>
      <c r="AG563" s="31"/>
      <c r="AK563" s="32"/>
      <c r="AL563" s="31"/>
      <c r="AP563" s="32"/>
      <c r="AQ563" s="31"/>
    </row>
    <row r="564">
      <c r="AA564" s="32"/>
      <c r="AB564" s="31"/>
      <c r="AF564" s="32"/>
      <c r="AG564" s="31"/>
      <c r="AK564" s="32"/>
      <c r="AL564" s="31"/>
      <c r="AP564" s="32"/>
      <c r="AQ564" s="31"/>
    </row>
    <row r="565">
      <c r="AA565" s="32"/>
      <c r="AB565" s="31"/>
      <c r="AF565" s="32"/>
      <c r="AG565" s="31"/>
      <c r="AK565" s="32"/>
      <c r="AL565" s="31"/>
      <c r="AP565" s="32"/>
      <c r="AQ565" s="31"/>
    </row>
    <row r="566">
      <c r="AA566" s="32"/>
      <c r="AB566" s="31"/>
      <c r="AF566" s="32"/>
      <c r="AG566" s="31"/>
      <c r="AK566" s="32"/>
      <c r="AL566" s="31"/>
      <c r="AP566" s="32"/>
      <c r="AQ566" s="31"/>
    </row>
    <row r="567">
      <c r="AA567" s="32"/>
      <c r="AB567" s="31"/>
      <c r="AF567" s="32"/>
      <c r="AG567" s="31"/>
      <c r="AK567" s="32"/>
      <c r="AL567" s="31"/>
      <c r="AP567" s="32"/>
      <c r="AQ567" s="31"/>
    </row>
    <row r="568">
      <c r="AA568" s="32"/>
      <c r="AB568" s="31"/>
      <c r="AF568" s="32"/>
      <c r="AG568" s="31"/>
      <c r="AK568" s="32"/>
      <c r="AL568" s="31"/>
      <c r="AP568" s="32"/>
      <c r="AQ568" s="31"/>
    </row>
    <row r="569">
      <c r="AA569" s="32"/>
      <c r="AB569" s="31"/>
      <c r="AF569" s="32"/>
      <c r="AG569" s="31"/>
      <c r="AK569" s="32"/>
      <c r="AL569" s="31"/>
      <c r="AP569" s="32"/>
      <c r="AQ569" s="31"/>
    </row>
    <row r="570">
      <c r="AA570" s="32"/>
      <c r="AB570" s="31"/>
      <c r="AF570" s="32"/>
      <c r="AG570" s="31"/>
      <c r="AK570" s="32"/>
      <c r="AL570" s="31"/>
      <c r="AP570" s="32"/>
      <c r="AQ570" s="31"/>
    </row>
    <row r="571">
      <c r="AA571" s="32"/>
      <c r="AB571" s="31"/>
      <c r="AF571" s="32"/>
      <c r="AG571" s="31"/>
      <c r="AK571" s="32"/>
      <c r="AL571" s="31"/>
      <c r="AP571" s="32"/>
      <c r="AQ571" s="31"/>
    </row>
    <row r="572">
      <c r="AA572" s="32"/>
      <c r="AB572" s="31"/>
      <c r="AF572" s="32"/>
      <c r="AG572" s="31"/>
      <c r="AK572" s="32"/>
      <c r="AL572" s="31"/>
      <c r="AP572" s="32"/>
      <c r="AQ572" s="31"/>
    </row>
    <row r="573">
      <c r="AA573" s="32"/>
      <c r="AB573" s="31"/>
      <c r="AF573" s="32"/>
      <c r="AG573" s="31"/>
      <c r="AK573" s="32"/>
      <c r="AL573" s="31"/>
      <c r="AP573" s="32"/>
      <c r="AQ573" s="31"/>
    </row>
    <row r="574">
      <c r="AA574" s="32"/>
      <c r="AB574" s="31"/>
      <c r="AF574" s="32"/>
      <c r="AG574" s="31"/>
      <c r="AK574" s="32"/>
      <c r="AL574" s="31"/>
      <c r="AP574" s="32"/>
      <c r="AQ574" s="31"/>
    </row>
    <row r="575">
      <c r="AA575" s="32"/>
      <c r="AB575" s="31"/>
      <c r="AF575" s="32"/>
      <c r="AG575" s="31"/>
      <c r="AK575" s="32"/>
      <c r="AL575" s="31"/>
      <c r="AP575" s="32"/>
      <c r="AQ575" s="31"/>
    </row>
    <row r="576">
      <c r="AA576" s="32"/>
      <c r="AB576" s="31"/>
      <c r="AF576" s="32"/>
      <c r="AG576" s="31"/>
      <c r="AK576" s="32"/>
      <c r="AL576" s="31"/>
      <c r="AP576" s="32"/>
      <c r="AQ576" s="31"/>
    </row>
    <row r="577">
      <c r="AA577" s="32"/>
      <c r="AB577" s="31"/>
      <c r="AF577" s="32"/>
      <c r="AG577" s="31"/>
      <c r="AK577" s="32"/>
      <c r="AL577" s="31"/>
      <c r="AP577" s="32"/>
      <c r="AQ577" s="31"/>
    </row>
    <row r="578">
      <c r="AA578" s="32"/>
      <c r="AB578" s="31"/>
      <c r="AF578" s="32"/>
      <c r="AG578" s="31"/>
      <c r="AK578" s="32"/>
      <c r="AL578" s="31"/>
      <c r="AP578" s="32"/>
      <c r="AQ578" s="31"/>
    </row>
    <row r="579">
      <c r="AA579" s="32"/>
      <c r="AB579" s="31"/>
      <c r="AF579" s="32"/>
      <c r="AG579" s="31"/>
      <c r="AK579" s="32"/>
      <c r="AL579" s="31"/>
      <c r="AP579" s="32"/>
      <c r="AQ579" s="31"/>
    </row>
    <row r="580">
      <c r="AA580" s="32"/>
      <c r="AB580" s="31"/>
      <c r="AF580" s="32"/>
      <c r="AG580" s="31"/>
      <c r="AK580" s="32"/>
      <c r="AL580" s="31"/>
      <c r="AP580" s="32"/>
      <c r="AQ580" s="31"/>
    </row>
    <row r="581">
      <c r="AA581" s="32"/>
      <c r="AB581" s="31"/>
      <c r="AF581" s="32"/>
      <c r="AG581" s="31"/>
      <c r="AK581" s="32"/>
      <c r="AL581" s="31"/>
      <c r="AP581" s="32"/>
      <c r="AQ581" s="31"/>
    </row>
    <row r="582">
      <c r="AA582" s="32"/>
      <c r="AB582" s="31"/>
      <c r="AF582" s="32"/>
      <c r="AG582" s="31"/>
      <c r="AK582" s="32"/>
      <c r="AL582" s="31"/>
      <c r="AP582" s="32"/>
      <c r="AQ582" s="31"/>
    </row>
    <row r="583">
      <c r="AA583" s="32"/>
      <c r="AB583" s="31"/>
      <c r="AF583" s="32"/>
      <c r="AG583" s="31"/>
      <c r="AK583" s="32"/>
      <c r="AL583" s="31"/>
      <c r="AP583" s="32"/>
      <c r="AQ583" s="31"/>
    </row>
    <row r="584">
      <c r="AA584" s="32"/>
      <c r="AB584" s="31"/>
      <c r="AF584" s="32"/>
      <c r="AG584" s="31"/>
      <c r="AK584" s="32"/>
      <c r="AL584" s="31"/>
      <c r="AP584" s="32"/>
      <c r="AQ584" s="31"/>
    </row>
    <row r="585">
      <c r="AA585" s="32"/>
      <c r="AB585" s="31"/>
      <c r="AF585" s="32"/>
      <c r="AG585" s="31"/>
      <c r="AK585" s="32"/>
      <c r="AL585" s="31"/>
      <c r="AP585" s="32"/>
      <c r="AQ585" s="31"/>
    </row>
    <row r="586">
      <c r="AA586" s="32"/>
      <c r="AB586" s="31"/>
      <c r="AF586" s="32"/>
      <c r="AG586" s="31"/>
      <c r="AK586" s="32"/>
      <c r="AL586" s="31"/>
      <c r="AP586" s="32"/>
      <c r="AQ586" s="31"/>
    </row>
    <row r="587">
      <c r="AA587" s="32"/>
      <c r="AB587" s="31"/>
      <c r="AF587" s="32"/>
      <c r="AG587" s="31"/>
      <c r="AK587" s="32"/>
      <c r="AL587" s="31"/>
      <c r="AP587" s="32"/>
      <c r="AQ587" s="31"/>
    </row>
    <row r="588">
      <c r="AA588" s="32"/>
      <c r="AB588" s="31"/>
      <c r="AF588" s="32"/>
      <c r="AG588" s="31"/>
      <c r="AK588" s="32"/>
      <c r="AL588" s="31"/>
      <c r="AP588" s="32"/>
      <c r="AQ588" s="31"/>
    </row>
    <row r="589">
      <c r="AA589" s="32"/>
      <c r="AB589" s="31"/>
      <c r="AF589" s="32"/>
      <c r="AG589" s="31"/>
      <c r="AK589" s="32"/>
      <c r="AL589" s="31"/>
      <c r="AP589" s="32"/>
      <c r="AQ589" s="31"/>
    </row>
    <row r="590">
      <c r="AA590" s="32"/>
      <c r="AB590" s="31"/>
      <c r="AF590" s="32"/>
      <c r="AG590" s="31"/>
      <c r="AK590" s="32"/>
      <c r="AL590" s="31"/>
      <c r="AP590" s="32"/>
      <c r="AQ590" s="31"/>
    </row>
    <row r="591">
      <c r="AA591" s="32"/>
      <c r="AB591" s="31"/>
      <c r="AF591" s="32"/>
      <c r="AG591" s="31"/>
      <c r="AK591" s="32"/>
      <c r="AL591" s="31"/>
      <c r="AP591" s="32"/>
      <c r="AQ591" s="31"/>
    </row>
    <row r="592">
      <c r="AA592" s="32"/>
      <c r="AB592" s="31"/>
      <c r="AF592" s="32"/>
      <c r="AG592" s="31"/>
      <c r="AK592" s="32"/>
      <c r="AL592" s="31"/>
      <c r="AP592" s="32"/>
      <c r="AQ592" s="31"/>
    </row>
    <row r="593">
      <c r="AA593" s="32"/>
      <c r="AB593" s="31"/>
      <c r="AF593" s="32"/>
      <c r="AG593" s="31"/>
      <c r="AK593" s="32"/>
      <c r="AL593" s="31"/>
      <c r="AP593" s="32"/>
      <c r="AQ593" s="31"/>
    </row>
    <row r="594">
      <c r="AA594" s="32"/>
      <c r="AB594" s="31"/>
      <c r="AF594" s="32"/>
      <c r="AG594" s="31"/>
      <c r="AK594" s="32"/>
      <c r="AL594" s="31"/>
      <c r="AP594" s="32"/>
      <c r="AQ594" s="31"/>
    </row>
    <row r="595">
      <c r="AA595" s="32"/>
      <c r="AB595" s="31"/>
      <c r="AF595" s="32"/>
      <c r="AG595" s="31"/>
      <c r="AK595" s="32"/>
      <c r="AL595" s="31"/>
      <c r="AP595" s="32"/>
      <c r="AQ595" s="31"/>
    </row>
    <row r="596">
      <c r="AA596" s="32"/>
      <c r="AB596" s="31"/>
      <c r="AF596" s="32"/>
      <c r="AG596" s="31"/>
      <c r="AK596" s="32"/>
      <c r="AL596" s="31"/>
      <c r="AP596" s="32"/>
      <c r="AQ596" s="31"/>
    </row>
    <row r="597">
      <c r="AA597" s="32"/>
      <c r="AB597" s="31"/>
      <c r="AF597" s="32"/>
      <c r="AG597" s="31"/>
      <c r="AK597" s="32"/>
      <c r="AL597" s="31"/>
      <c r="AP597" s="32"/>
      <c r="AQ597" s="31"/>
    </row>
    <row r="598">
      <c r="AA598" s="32"/>
      <c r="AB598" s="31"/>
      <c r="AF598" s="32"/>
      <c r="AG598" s="31"/>
      <c r="AK598" s="32"/>
      <c r="AL598" s="31"/>
      <c r="AP598" s="32"/>
      <c r="AQ598" s="31"/>
    </row>
    <row r="599">
      <c r="AA599" s="32"/>
      <c r="AB599" s="31"/>
      <c r="AF599" s="32"/>
      <c r="AG599" s="31"/>
      <c r="AK599" s="32"/>
      <c r="AL599" s="31"/>
      <c r="AP599" s="32"/>
      <c r="AQ599" s="31"/>
    </row>
    <row r="600">
      <c r="AA600" s="32"/>
      <c r="AB600" s="31"/>
      <c r="AF600" s="32"/>
      <c r="AG600" s="31"/>
      <c r="AK600" s="32"/>
      <c r="AL600" s="31"/>
      <c r="AP600" s="32"/>
      <c r="AQ600" s="31"/>
    </row>
    <row r="601">
      <c r="AA601" s="32"/>
      <c r="AB601" s="31"/>
      <c r="AF601" s="32"/>
      <c r="AG601" s="31"/>
      <c r="AK601" s="32"/>
      <c r="AL601" s="31"/>
      <c r="AP601" s="32"/>
      <c r="AQ601" s="31"/>
    </row>
    <row r="602">
      <c r="AA602" s="32"/>
      <c r="AB602" s="31"/>
      <c r="AF602" s="32"/>
      <c r="AG602" s="31"/>
      <c r="AK602" s="32"/>
      <c r="AL602" s="31"/>
      <c r="AP602" s="32"/>
      <c r="AQ602" s="31"/>
    </row>
    <row r="603">
      <c r="AA603" s="32"/>
      <c r="AB603" s="31"/>
      <c r="AF603" s="32"/>
      <c r="AG603" s="31"/>
      <c r="AK603" s="32"/>
      <c r="AL603" s="31"/>
      <c r="AP603" s="32"/>
      <c r="AQ603" s="31"/>
    </row>
    <row r="604">
      <c r="AA604" s="32"/>
      <c r="AB604" s="31"/>
      <c r="AF604" s="32"/>
      <c r="AG604" s="31"/>
      <c r="AK604" s="32"/>
      <c r="AL604" s="31"/>
      <c r="AP604" s="32"/>
      <c r="AQ604" s="31"/>
    </row>
    <row r="605">
      <c r="AA605" s="32"/>
      <c r="AB605" s="31"/>
      <c r="AF605" s="32"/>
      <c r="AG605" s="31"/>
      <c r="AK605" s="32"/>
      <c r="AL605" s="31"/>
      <c r="AP605" s="32"/>
      <c r="AQ605" s="31"/>
    </row>
    <row r="606">
      <c r="AA606" s="32"/>
      <c r="AB606" s="31"/>
      <c r="AF606" s="32"/>
      <c r="AG606" s="31"/>
      <c r="AK606" s="32"/>
      <c r="AL606" s="31"/>
      <c r="AP606" s="32"/>
      <c r="AQ606" s="31"/>
    </row>
    <row r="607">
      <c r="AA607" s="32"/>
      <c r="AB607" s="31"/>
      <c r="AF607" s="32"/>
      <c r="AG607" s="31"/>
      <c r="AK607" s="32"/>
      <c r="AL607" s="31"/>
      <c r="AP607" s="32"/>
      <c r="AQ607" s="31"/>
    </row>
    <row r="608">
      <c r="AA608" s="32"/>
      <c r="AB608" s="31"/>
      <c r="AF608" s="32"/>
      <c r="AG608" s="31"/>
      <c r="AK608" s="32"/>
      <c r="AL608" s="31"/>
      <c r="AP608" s="32"/>
      <c r="AQ608" s="31"/>
    </row>
    <row r="609">
      <c r="AA609" s="32"/>
      <c r="AB609" s="31"/>
      <c r="AF609" s="32"/>
      <c r="AG609" s="31"/>
      <c r="AK609" s="32"/>
      <c r="AL609" s="31"/>
      <c r="AP609" s="32"/>
      <c r="AQ609" s="31"/>
    </row>
    <row r="610">
      <c r="AA610" s="32"/>
      <c r="AB610" s="31"/>
      <c r="AF610" s="32"/>
      <c r="AG610" s="31"/>
      <c r="AK610" s="32"/>
      <c r="AL610" s="31"/>
      <c r="AP610" s="32"/>
      <c r="AQ610" s="31"/>
    </row>
    <row r="611">
      <c r="AA611" s="32"/>
      <c r="AB611" s="31"/>
      <c r="AF611" s="32"/>
      <c r="AG611" s="31"/>
      <c r="AK611" s="32"/>
      <c r="AL611" s="31"/>
      <c r="AP611" s="32"/>
      <c r="AQ611" s="31"/>
    </row>
    <row r="612">
      <c r="AA612" s="32"/>
      <c r="AB612" s="31"/>
      <c r="AF612" s="32"/>
      <c r="AG612" s="31"/>
      <c r="AK612" s="32"/>
      <c r="AL612" s="31"/>
      <c r="AP612" s="32"/>
      <c r="AQ612" s="31"/>
    </row>
    <row r="613">
      <c r="AA613" s="32"/>
      <c r="AB613" s="31"/>
      <c r="AF613" s="32"/>
      <c r="AG613" s="31"/>
      <c r="AK613" s="32"/>
      <c r="AL613" s="31"/>
      <c r="AP613" s="32"/>
      <c r="AQ613" s="31"/>
    </row>
    <row r="614">
      <c r="AA614" s="32"/>
      <c r="AB614" s="31"/>
      <c r="AF614" s="32"/>
      <c r="AG614" s="31"/>
      <c r="AK614" s="32"/>
      <c r="AL614" s="31"/>
      <c r="AP614" s="32"/>
      <c r="AQ614" s="31"/>
    </row>
    <row r="615">
      <c r="AA615" s="32"/>
      <c r="AB615" s="31"/>
      <c r="AF615" s="32"/>
      <c r="AG615" s="31"/>
      <c r="AK615" s="32"/>
      <c r="AL615" s="31"/>
      <c r="AP615" s="32"/>
      <c r="AQ615" s="31"/>
    </row>
    <row r="616">
      <c r="AA616" s="32"/>
      <c r="AB616" s="31"/>
      <c r="AF616" s="32"/>
      <c r="AG616" s="31"/>
      <c r="AK616" s="32"/>
      <c r="AL616" s="31"/>
      <c r="AP616" s="32"/>
      <c r="AQ616" s="31"/>
    </row>
    <row r="617">
      <c r="AA617" s="32"/>
      <c r="AB617" s="31"/>
      <c r="AF617" s="32"/>
      <c r="AG617" s="31"/>
      <c r="AK617" s="32"/>
      <c r="AL617" s="31"/>
      <c r="AP617" s="32"/>
      <c r="AQ617" s="31"/>
    </row>
    <row r="618">
      <c r="AA618" s="32"/>
      <c r="AB618" s="31"/>
      <c r="AF618" s="32"/>
      <c r="AG618" s="31"/>
      <c r="AK618" s="32"/>
      <c r="AL618" s="31"/>
      <c r="AP618" s="32"/>
      <c r="AQ618" s="31"/>
    </row>
    <row r="619">
      <c r="AA619" s="32"/>
      <c r="AB619" s="31"/>
      <c r="AF619" s="32"/>
      <c r="AG619" s="31"/>
      <c r="AK619" s="32"/>
      <c r="AL619" s="31"/>
      <c r="AP619" s="32"/>
      <c r="AQ619" s="31"/>
    </row>
    <row r="620">
      <c r="AA620" s="32"/>
      <c r="AB620" s="31"/>
      <c r="AF620" s="32"/>
      <c r="AG620" s="31"/>
      <c r="AK620" s="32"/>
      <c r="AL620" s="31"/>
      <c r="AP620" s="32"/>
      <c r="AQ620" s="31"/>
    </row>
    <row r="621">
      <c r="AA621" s="32"/>
      <c r="AB621" s="31"/>
      <c r="AF621" s="32"/>
      <c r="AG621" s="31"/>
      <c r="AK621" s="32"/>
      <c r="AL621" s="31"/>
      <c r="AP621" s="32"/>
      <c r="AQ621" s="31"/>
    </row>
    <row r="622">
      <c r="AA622" s="32"/>
      <c r="AB622" s="31"/>
      <c r="AF622" s="32"/>
      <c r="AG622" s="31"/>
      <c r="AK622" s="32"/>
      <c r="AL622" s="31"/>
      <c r="AP622" s="32"/>
      <c r="AQ622" s="31"/>
    </row>
    <row r="623">
      <c r="AA623" s="32"/>
      <c r="AB623" s="31"/>
      <c r="AF623" s="32"/>
      <c r="AG623" s="31"/>
      <c r="AK623" s="32"/>
      <c r="AL623" s="31"/>
      <c r="AP623" s="32"/>
      <c r="AQ623" s="31"/>
    </row>
    <row r="624">
      <c r="AA624" s="32"/>
      <c r="AB624" s="31"/>
      <c r="AF624" s="32"/>
      <c r="AG624" s="31"/>
      <c r="AK624" s="32"/>
      <c r="AL624" s="31"/>
      <c r="AP624" s="32"/>
      <c r="AQ624" s="31"/>
    </row>
    <row r="625">
      <c r="AA625" s="32"/>
      <c r="AB625" s="31"/>
      <c r="AF625" s="32"/>
      <c r="AG625" s="31"/>
      <c r="AK625" s="32"/>
      <c r="AL625" s="31"/>
      <c r="AP625" s="32"/>
      <c r="AQ625" s="31"/>
    </row>
    <row r="626">
      <c r="AA626" s="32"/>
      <c r="AB626" s="31"/>
      <c r="AF626" s="32"/>
      <c r="AG626" s="31"/>
      <c r="AK626" s="32"/>
      <c r="AL626" s="31"/>
      <c r="AP626" s="32"/>
      <c r="AQ626" s="31"/>
    </row>
    <row r="627">
      <c r="AA627" s="32"/>
      <c r="AB627" s="31"/>
      <c r="AF627" s="32"/>
      <c r="AG627" s="31"/>
      <c r="AK627" s="32"/>
      <c r="AL627" s="31"/>
      <c r="AP627" s="32"/>
      <c r="AQ627" s="31"/>
    </row>
    <row r="628">
      <c r="AA628" s="32"/>
      <c r="AB628" s="31"/>
      <c r="AF628" s="32"/>
      <c r="AG628" s="31"/>
      <c r="AK628" s="32"/>
      <c r="AL628" s="31"/>
      <c r="AP628" s="32"/>
      <c r="AQ628" s="31"/>
    </row>
    <row r="629">
      <c r="AA629" s="32"/>
      <c r="AB629" s="31"/>
      <c r="AF629" s="32"/>
      <c r="AG629" s="31"/>
      <c r="AK629" s="32"/>
      <c r="AL629" s="31"/>
      <c r="AP629" s="32"/>
      <c r="AQ629" s="31"/>
    </row>
    <row r="630">
      <c r="AA630" s="32"/>
      <c r="AB630" s="31"/>
      <c r="AF630" s="32"/>
      <c r="AG630" s="31"/>
      <c r="AK630" s="32"/>
      <c r="AL630" s="31"/>
      <c r="AP630" s="32"/>
      <c r="AQ630" s="31"/>
    </row>
    <row r="631">
      <c r="AA631" s="32"/>
      <c r="AB631" s="31"/>
      <c r="AF631" s="32"/>
      <c r="AG631" s="31"/>
      <c r="AK631" s="32"/>
      <c r="AL631" s="31"/>
      <c r="AP631" s="32"/>
      <c r="AQ631" s="31"/>
    </row>
    <row r="632">
      <c r="AA632" s="32"/>
      <c r="AB632" s="31"/>
      <c r="AF632" s="32"/>
      <c r="AG632" s="31"/>
      <c r="AK632" s="32"/>
      <c r="AL632" s="31"/>
      <c r="AP632" s="32"/>
      <c r="AQ632" s="31"/>
    </row>
    <row r="633">
      <c r="AA633" s="32"/>
      <c r="AB633" s="31"/>
      <c r="AF633" s="32"/>
      <c r="AG633" s="31"/>
      <c r="AK633" s="32"/>
      <c r="AL633" s="31"/>
      <c r="AP633" s="32"/>
      <c r="AQ633" s="31"/>
    </row>
    <row r="634">
      <c r="AA634" s="32"/>
      <c r="AB634" s="31"/>
      <c r="AF634" s="32"/>
      <c r="AG634" s="31"/>
      <c r="AK634" s="32"/>
      <c r="AL634" s="31"/>
      <c r="AP634" s="32"/>
      <c r="AQ634" s="31"/>
    </row>
    <row r="635">
      <c r="AA635" s="32"/>
      <c r="AB635" s="31"/>
      <c r="AF635" s="32"/>
      <c r="AG635" s="31"/>
      <c r="AK635" s="32"/>
      <c r="AL635" s="31"/>
      <c r="AP635" s="32"/>
      <c r="AQ635" s="31"/>
    </row>
    <row r="636">
      <c r="AA636" s="32"/>
      <c r="AB636" s="31"/>
      <c r="AF636" s="32"/>
      <c r="AG636" s="31"/>
      <c r="AK636" s="32"/>
      <c r="AL636" s="31"/>
      <c r="AP636" s="32"/>
      <c r="AQ636" s="31"/>
    </row>
    <row r="637">
      <c r="AA637" s="32"/>
      <c r="AB637" s="31"/>
      <c r="AF637" s="32"/>
      <c r="AG637" s="31"/>
      <c r="AK637" s="32"/>
      <c r="AL637" s="31"/>
      <c r="AP637" s="32"/>
      <c r="AQ637" s="31"/>
    </row>
    <row r="638">
      <c r="AA638" s="32"/>
      <c r="AB638" s="31"/>
      <c r="AF638" s="32"/>
      <c r="AG638" s="31"/>
      <c r="AK638" s="32"/>
      <c r="AL638" s="31"/>
      <c r="AP638" s="32"/>
      <c r="AQ638" s="31"/>
    </row>
    <row r="639">
      <c r="AA639" s="32"/>
      <c r="AB639" s="31"/>
      <c r="AF639" s="32"/>
      <c r="AG639" s="31"/>
      <c r="AK639" s="32"/>
      <c r="AL639" s="31"/>
      <c r="AP639" s="32"/>
      <c r="AQ639" s="31"/>
    </row>
    <row r="640">
      <c r="AA640" s="32"/>
      <c r="AB640" s="31"/>
      <c r="AF640" s="32"/>
      <c r="AG640" s="31"/>
      <c r="AK640" s="32"/>
      <c r="AL640" s="31"/>
      <c r="AP640" s="32"/>
      <c r="AQ640" s="31"/>
    </row>
    <row r="641">
      <c r="AA641" s="32"/>
      <c r="AB641" s="31"/>
      <c r="AF641" s="32"/>
      <c r="AG641" s="31"/>
      <c r="AK641" s="32"/>
      <c r="AL641" s="31"/>
      <c r="AP641" s="32"/>
      <c r="AQ641" s="31"/>
    </row>
    <row r="642">
      <c r="AA642" s="32"/>
      <c r="AB642" s="31"/>
      <c r="AF642" s="32"/>
      <c r="AG642" s="31"/>
      <c r="AK642" s="32"/>
      <c r="AL642" s="31"/>
      <c r="AP642" s="32"/>
      <c r="AQ642" s="31"/>
    </row>
    <row r="643">
      <c r="AA643" s="30"/>
      <c r="AB643" s="30"/>
      <c r="AF643" s="30"/>
      <c r="AG643" s="30"/>
      <c r="AK643" s="30"/>
      <c r="AL643" s="30"/>
      <c r="AP643" s="30"/>
      <c r="AQ643" s="30"/>
    </row>
    <row r="644">
      <c r="AA644" s="32"/>
      <c r="AB644" s="31"/>
      <c r="AF644" s="32"/>
      <c r="AG644" s="31"/>
      <c r="AK644" s="32"/>
      <c r="AL644" s="31"/>
      <c r="AP644" s="32"/>
      <c r="AQ644" s="31"/>
    </row>
    <row r="645">
      <c r="AA645" s="32"/>
      <c r="AB645" s="31"/>
      <c r="AF645" s="32"/>
      <c r="AG645" s="31"/>
      <c r="AK645" s="32"/>
      <c r="AL645" s="31"/>
      <c r="AP645" s="32"/>
      <c r="AQ645" s="31"/>
    </row>
    <row r="646">
      <c r="AA646" s="32"/>
      <c r="AB646" s="31"/>
      <c r="AF646" s="32"/>
      <c r="AG646" s="31"/>
      <c r="AK646" s="32"/>
      <c r="AL646" s="31"/>
      <c r="AP646" s="32"/>
      <c r="AQ646" s="31"/>
    </row>
    <row r="647">
      <c r="AA647" s="32"/>
      <c r="AB647" s="31"/>
      <c r="AF647" s="32"/>
      <c r="AG647" s="31"/>
      <c r="AK647" s="32"/>
      <c r="AL647" s="31"/>
      <c r="AP647" s="32"/>
      <c r="AQ647" s="31"/>
    </row>
    <row r="648">
      <c r="AA648" s="32"/>
      <c r="AB648" s="31"/>
      <c r="AF648" s="32"/>
      <c r="AG648" s="31"/>
      <c r="AK648" s="32"/>
      <c r="AL648" s="31"/>
      <c r="AP648" s="32"/>
      <c r="AQ648" s="31"/>
    </row>
    <row r="649">
      <c r="AA649" s="32"/>
      <c r="AB649" s="31"/>
      <c r="AF649" s="32"/>
      <c r="AG649" s="31"/>
      <c r="AK649" s="32"/>
      <c r="AL649" s="31"/>
      <c r="AP649" s="32"/>
      <c r="AQ649" s="31"/>
    </row>
    <row r="650">
      <c r="AA650" s="32"/>
      <c r="AB650" s="31"/>
      <c r="AF650" s="32"/>
      <c r="AG650" s="31"/>
      <c r="AK650" s="32"/>
      <c r="AL650" s="31"/>
      <c r="AP650" s="32"/>
      <c r="AQ650" s="31"/>
    </row>
    <row r="651">
      <c r="AA651" s="32"/>
      <c r="AB651" s="31"/>
      <c r="AF651" s="32"/>
      <c r="AG651" s="31"/>
      <c r="AK651" s="32"/>
      <c r="AL651" s="31"/>
      <c r="AP651" s="32"/>
      <c r="AQ651" s="31"/>
    </row>
    <row r="652">
      <c r="AA652" s="32"/>
      <c r="AB652" s="31"/>
      <c r="AF652" s="32"/>
      <c r="AG652" s="31"/>
      <c r="AK652" s="32"/>
      <c r="AL652" s="31"/>
      <c r="AP652" s="32"/>
      <c r="AQ652" s="31"/>
    </row>
    <row r="653">
      <c r="AA653" s="32"/>
      <c r="AB653" s="31"/>
      <c r="AF653" s="32"/>
      <c r="AG653" s="31"/>
      <c r="AK653" s="32"/>
      <c r="AL653" s="31"/>
      <c r="AP653" s="32"/>
      <c r="AQ653" s="31"/>
    </row>
    <row r="654">
      <c r="AA654" s="32"/>
      <c r="AB654" s="31"/>
      <c r="AF654" s="32"/>
      <c r="AG654" s="31"/>
      <c r="AK654" s="32"/>
      <c r="AL654" s="31"/>
      <c r="AP654" s="32"/>
      <c r="AQ654" s="31"/>
    </row>
    <row r="655">
      <c r="AA655" s="32"/>
      <c r="AB655" s="31"/>
      <c r="AF655" s="32"/>
      <c r="AG655" s="31"/>
      <c r="AK655" s="32"/>
      <c r="AL655" s="31"/>
      <c r="AP655" s="32"/>
      <c r="AQ655" s="31"/>
    </row>
    <row r="656">
      <c r="AA656" s="32"/>
      <c r="AB656" s="31"/>
      <c r="AF656" s="32"/>
      <c r="AG656" s="31"/>
      <c r="AK656" s="32"/>
      <c r="AL656" s="31"/>
      <c r="AP656" s="32"/>
      <c r="AQ656" s="31"/>
    </row>
    <row r="657">
      <c r="AA657" s="32"/>
      <c r="AB657" s="31"/>
      <c r="AF657" s="32"/>
      <c r="AG657" s="31"/>
      <c r="AK657" s="32"/>
      <c r="AL657" s="31"/>
      <c r="AP657" s="32"/>
      <c r="AQ657" s="31"/>
    </row>
    <row r="658">
      <c r="AA658" s="32"/>
      <c r="AB658" s="31"/>
      <c r="AF658" s="32"/>
      <c r="AG658" s="31"/>
      <c r="AK658" s="32"/>
      <c r="AL658" s="31"/>
      <c r="AP658" s="32"/>
      <c r="AQ658" s="31"/>
    </row>
    <row r="659">
      <c r="AA659" s="32"/>
      <c r="AB659" s="31"/>
      <c r="AF659" s="32"/>
      <c r="AG659" s="31"/>
      <c r="AK659" s="32"/>
      <c r="AL659" s="31"/>
      <c r="AP659" s="32"/>
      <c r="AQ659" s="31"/>
    </row>
    <row r="660">
      <c r="AA660" s="32"/>
      <c r="AB660" s="31"/>
      <c r="AF660" s="32"/>
      <c r="AG660" s="31"/>
      <c r="AK660" s="32"/>
      <c r="AL660" s="31"/>
      <c r="AP660" s="32"/>
      <c r="AQ660" s="31"/>
    </row>
    <row r="661">
      <c r="AA661" s="32"/>
      <c r="AB661" s="31"/>
      <c r="AF661" s="32"/>
      <c r="AG661" s="31"/>
      <c r="AK661" s="32"/>
      <c r="AL661" s="31"/>
      <c r="AP661" s="32"/>
      <c r="AQ661" s="31"/>
    </row>
    <row r="662">
      <c r="AA662" s="32"/>
      <c r="AB662" s="31"/>
      <c r="AF662" s="32"/>
      <c r="AG662" s="31"/>
      <c r="AK662" s="32"/>
      <c r="AL662" s="31"/>
      <c r="AP662" s="32"/>
      <c r="AQ662" s="31"/>
    </row>
    <row r="663">
      <c r="AA663" s="32"/>
      <c r="AB663" s="31"/>
      <c r="AF663" s="32"/>
      <c r="AG663" s="31"/>
      <c r="AK663" s="32"/>
      <c r="AL663" s="31"/>
      <c r="AP663" s="32"/>
      <c r="AQ663" s="31"/>
    </row>
    <row r="664">
      <c r="AA664" s="32"/>
      <c r="AB664" s="31"/>
      <c r="AF664" s="32"/>
      <c r="AG664" s="31"/>
      <c r="AK664" s="32"/>
      <c r="AL664" s="31"/>
      <c r="AP664" s="32"/>
      <c r="AQ664" s="31"/>
    </row>
    <row r="665">
      <c r="AA665" s="32"/>
      <c r="AB665" s="31"/>
      <c r="AF665" s="32"/>
      <c r="AG665" s="31"/>
      <c r="AK665" s="32"/>
      <c r="AL665" s="31"/>
      <c r="AP665" s="32"/>
      <c r="AQ665" s="31"/>
    </row>
    <row r="666">
      <c r="AA666" s="32"/>
      <c r="AB666" s="31"/>
      <c r="AF666" s="32"/>
      <c r="AG666" s="31"/>
      <c r="AK666" s="32"/>
      <c r="AL666" s="31"/>
      <c r="AP666" s="32"/>
      <c r="AQ666" s="31"/>
    </row>
    <row r="667">
      <c r="AA667" s="32"/>
      <c r="AB667" s="31"/>
      <c r="AF667" s="32"/>
      <c r="AG667" s="31"/>
      <c r="AK667" s="32"/>
      <c r="AL667" s="31"/>
      <c r="AP667" s="32"/>
      <c r="AQ667" s="31"/>
    </row>
    <row r="668">
      <c r="AA668" s="32"/>
      <c r="AB668" s="31"/>
      <c r="AF668" s="32"/>
      <c r="AG668" s="31"/>
      <c r="AK668" s="32"/>
      <c r="AL668" s="31"/>
      <c r="AP668" s="32"/>
      <c r="AQ668" s="31"/>
    </row>
    <row r="669">
      <c r="AA669" s="32"/>
      <c r="AB669" s="31"/>
      <c r="AF669" s="32"/>
      <c r="AG669" s="31"/>
      <c r="AK669" s="32"/>
      <c r="AL669" s="31"/>
      <c r="AP669" s="32"/>
      <c r="AQ669" s="31"/>
    </row>
    <row r="670">
      <c r="AA670" s="32"/>
      <c r="AB670" s="31"/>
      <c r="AF670" s="32"/>
      <c r="AG670" s="31"/>
      <c r="AK670" s="32"/>
      <c r="AL670" s="31"/>
      <c r="AP670" s="32"/>
      <c r="AQ670" s="31"/>
    </row>
    <row r="671">
      <c r="AA671" s="32"/>
      <c r="AB671" s="31"/>
      <c r="AF671" s="32"/>
      <c r="AG671" s="31"/>
      <c r="AK671" s="32"/>
      <c r="AL671" s="31"/>
      <c r="AP671" s="32"/>
      <c r="AQ671" s="31"/>
    </row>
    <row r="672">
      <c r="AA672" s="32"/>
      <c r="AB672" s="31"/>
      <c r="AF672" s="32"/>
      <c r="AG672" s="31"/>
      <c r="AK672" s="32"/>
      <c r="AL672" s="31"/>
      <c r="AP672" s="32"/>
      <c r="AQ672" s="31"/>
    </row>
    <row r="673">
      <c r="AA673" s="32"/>
      <c r="AB673" s="31"/>
      <c r="AF673" s="32"/>
      <c r="AG673" s="31"/>
      <c r="AK673" s="32"/>
      <c r="AL673" s="31"/>
      <c r="AP673" s="32"/>
      <c r="AQ673" s="31"/>
    </row>
    <row r="674">
      <c r="AA674" s="32"/>
      <c r="AB674" s="31"/>
      <c r="AF674" s="32"/>
      <c r="AG674" s="31"/>
      <c r="AK674" s="32"/>
      <c r="AL674" s="31"/>
      <c r="AP674" s="32"/>
      <c r="AQ674" s="31"/>
    </row>
    <row r="675">
      <c r="AA675" s="32"/>
      <c r="AB675" s="31"/>
      <c r="AF675" s="32"/>
      <c r="AG675" s="31"/>
      <c r="AK675" s="32"/>
      <c r="AL675" s="31"/>
      <c r="AP675" s="32"/>
      <c r="AQ675" s="31"/>
    </row>
    <row r="676">
      <c r="AA676" s="32"/>
      <c r="AB676" s="31"/>
      <c r="AF676" s="32"/>
      <c r="AG676" s="31"/>
      <c r="AK676" s="32"/>
      <c r="AL676" s="31"/>
      <c r="AP676" s="32"/>
      <c r="AQ676" s="31"/>
    </row>
    <row r="677">
      <c r="AA677" s="32"/>
      <c r="AB677" s="31"/>
      <c r="AF677" s="32"/>
      <c r="AG677" s="31"/>
      <c r="AK677" s="32"/>
      <c r="AL677" s="31"/>
      <c r="AP677" s="32"/>
      <c r="AQ677" s="31"/>
    </row>
    <row r="678">
      <c r="AA678" s="32"/>
      <c r="AB678" s="31"/>
      <c r="AF678" s="32"/>
      <c r="AG678" s="31"/>
      <c r="AK678" s="32"/>
      <c r="AL678" s="31"/>
      <c r="AP678" s="32"/>
      <c r="AQ678" s="31"/>
    </row>
    <row r="679">
      <c r="AA679" s="32"/>
      <c r="AB679" s="31"/>
      <c r="AF679" s="32"/>
      <c r="AG679" s="31"/>
      <c r="AK679" s="32"/>
      <c r="AL679" s="31"/>
      <c r="AP679" s="32"/>
      <c r="AQ679" s="31"/>
    </row>
    <row r="680">
      <c r="AA680" s="32"/>
      <c r="AB680" s="31"/>
      <c r="AF680" s="32"/>
      <c r="AG680" s="31"/>
      <c r="AK680" s="32"/>
      <c r="AL680" s="31"/>
      <c r="AP680" s="32"/>
      <c r="AQ680" s="31"/>
    </row>
    <row r="681">
      <c r="AA681" s="32"/>
      <c r="AB681" s="31"/>
      <c r="AF681" s="32"/>
      <c r="AG681" s="31"/>
      <c r="AK681" s="32"/>
      <c r="AL681" s="31"/>
      <c r="AP681" s="32"/>
      <c r="AQ681" s="31"/>
    </row>
    <row r="682">
      <c r="AA682" s="32"/>
      <c r="AB682" s="31"/>
      <c r="AF682" s="32"/>
      <c r="AG682" s="31"/>
      <c r="AK682" s="32"/>
      <c r="AL682" s="31"/>
      <c r="AP682" s="32"/>
      <c r="AQ682" s="31"/>
    </row>
    <row r="683">
      <c r="AA683" s="32"/>
      <c r="AB683" s="31"/>
      <c r="AF683" s="32"/>
      <c r="AG683" s="31"/>
      <c r="AK683" s="32"/>
      <c r="AL683" s="31"/>
      <c r="AP683" s="32"/>
      <c r="AQ683" s="31"/>
    </row>
    <row r="684">
      <c r="AA684" s="32"/>
      <c r="AB684" s="31"/>
      <c r="AF684" s="32"/>
      <c r="AG684" s="31"/>
      <c r="AK684" s="32"/>
      <c r="AL684" s="31"/>
      <c r="AP684" s="32"/>
      <c r="AQ684" s="31"/>
    </row>
    <row r="685">
      <c r="AA685" s="32"/>
      <c r="AB685" s="31"/>
      <c r="AF685" s="32"/>
      <c r="AG685" s="31"/>
      <c r="AK685" s="32"/>
      <c r="AL685" s="31"/>
      <c r="AP685" s="32"/>
      <c r="AQ685" s="31"/>
    </row>
    <row r="686">
      <c r="AA686" s="32"/>
      <c r="AB686" s="31"/>
      <c r="AF686" s="32"/>
      <c r="AG686" s="31"/>
      <c r="AK686" s="32"/>
      <c r="AL686" s="31"/>
      <c r="AP686" s="32"/>
      <c r="AQ686" s="31"/>
    </row>
    <row r="687">
      <c r="AA687" s="32"/>
      <c r="AB687" s="31"/>
      <c r="AF687" s="32"/>
      <c r="AG687" s="31"/>
      <c r="AK687" s="32"/>
      <c r="AL687" s="31"/>
      <c r="AP687" s="32"/>
      <c r="AQ687" s="31"/>
    </row>
    <row r="688">
      <c r="AA688" s="32"/>
      <c r="AB688" s="31"/>
      <c r="AF688" s="32"/>
      <c r="AG688" s="31"/>
      <c r="AK688" s="32"/>
      <c r="AL688" s="31"/>
      <c r="AP688" s="32"/>
      <c r="AQ688" s="31"/>
    </row>
    <row r="689">
      <c r="AA689" s="32"/>
      <c r="AB689" s="31"/>
      <c r="AF689" s="32"/>
      <c r="AG689" s="31"/>
      <c r="AK689" s="32"/>
      <c r="AL689" s="31"/>
      <c r="AP689" s="32"/>
      <c r="AQ689" s="31"/>
    </row>
    <row r="690">
      <c r="AA690" s="32"/>
      <c r="AB690" s="31"/>
      <c r="AF690" s="32"/>
      <c r="AG690" s="31"/>
      <c r="AK690" s="32"/>
      <c r="AL690" s="31"/>
      <c r="AP690" s="32"/>
      <c r="AQ690" s="31"/>
    </row>
    <row r="691">
      <c r="AA691" s="32"/>
      <c r="AB691" s="31"/>
      <c r="AF691" s="32"/>
      <c r="AG691" s="31"/>
      <c r="AK691" s="32"/>
      <c r="AL691" s="31"/>
      <c r="AP691" s="32"/>
      <c r="AQ691" s="31"/>
    </row>
    <row r="692">
      <c r="AA692" s="32"/>
      <c r="AB692" s="31"/>
      <c r="AF692" s="32"/>
      <c r="AG692" s="31"/>
      <c r="AK692" s="32"/>
      <c r="AL692" s="31"/>
      <c r="AP692" s="32"/>
      <c r="AQ692" s="31"/>
    </row>
    <row r="693">
      <c r="AA693" s="32"/>
      <c r="AB693" s="31"/>
      <c r="AF693" s="32"/>
      <c r="AG693" s="31"/>
      <c r="AK693" s="32"/>
      <c r="AL693" s="31"/>
      <c r="AP693" s="32"/>
      <c r="AQ693" s="31"/>
    </row>
    <row r="694">
      <c r="AA694" s="32"/>
      <c r="AB694" s="31"/>
      <c r="AF694" s="32"/>
      <c r="AG694" s="31"/>
      <c r="AK694" s="32"/>
      <c r="AL694" s="31"/>
      <c r="AP694" s="32"/>
      <c r="AQ694" s="31"/>
    </row>
    <row r="695">
      <c r="AA695" s="32"/>
      <c r="AB695" s="31"/>
      <c r="AF695" s="32"/>
      <c r="AG695" s="31"/>
      <c r="AK695" s="32"/>
      <c r="AL695" s="31"/>
      <c r="AP695" s="32"/>
      <c r="AQ695" s="31"/>
    </row>
    <row r="696">
      <c r="AA696" s="32"/>
      <c r="AB696" s="31"/>
      <c r="AF696" s="32"/>
      <c r="AG696" s="31"/>
      <c r="AK696" s="32"/>
      <c r="AL696" s="31"/>
      <c r="AP696" s="32"/>
      <c r="AQ696" s="31"/>
    </row>
    <row r="697">
      <c r="AA697" s="32"/>
      <c r="AB697" s="31"/>
      <c r="AF697" s="32"/>
      <c r="AG697" s="31"/>
      <c r="AK697" s="32"/>
      <c r="AL697" s="31"/>
      <c r="AP697" s="32"/>
      <c r="AQ697" s="31"/>
    </row>
    <row r="698">
      <c r="AA698" s="32"/>
      <c r="AB698" s="31"/>
      <c r="AF698" s="32"/>
      <c r="AG698" s="31"/>
      <c r="AK698" s="32"/>
      <c r="AL698" s="31"/>
      <c r="AP698" s="32"/>
      <c r="AQ698" s="31"/>
    </row>
    <row r="699">
      <c r="AA699" s="32"/>
      <c r="AB699" s="31"/>
      <c r="AF699" s="32"/>
      <c r="AG699" s="31"/>
      <c r="AK699" s="32"/>
      <c r="AL699" s="31"/>
      <c r="AP699" s="32"/>
      <c r="AQ699" s="31"/>
    </row>
    <row r="700">
      <c r="AA700" s="32"/>
      <c r="AB700" s="31"/>
      <c r="AF700" s="32"/>
      <c r="AG700" s="31"/>
      <c r="AK700" s="32"/>
      <c r="AL700" s="31"/>
      <c r="AP700" s="32"/>
      <c r="AQ700" s="31"/>
    </row>
    <row r="701">
      <c r="AA701" s="32"/>
      <c r="AB701" s="31"/>
      <c r="AF701" s="32"/>
      <c r="AG701" s="31"/>
      <c r="AK701" s="32"/>
      <c r="AL701" s="31"/>
      <c r="AP701" s="32"/>
      <c r="AQ701" s="31"/>
    </row>
    <row r="702">
      <c r="AA702" s="32"/>
      <c r="AB702" s="31"/>
      <c r="AF702" s="32"/>
      <c r="AG702" s="31"/>
      <c r="AK702" s="32"/>
      <c r="AL702" s="31"/>
      <c r="AP702" s="32"/>
      <c r="AQ702" s="31"/>
    </row>
    <row r="703">
      <c r="AA703" s="32"/>
      <c r="AB703" s="31"/>
      <c r="AF703" s="32"/>
      <c r="AG703" s="31"/>
      <c r="AK703" s="32"/>
      <c r="AL703" s="31"/>
      <c r="AP703" s="32"/>
      <c r="AQ703" s="31"/>
    </row>
    <row r="704">
      <c r="AA704" s="32"/>
      <c r="AB704" s="31"/>
      <c r="AF704" s="32"/>
      <c r="AG704" s="31"/>
      <c r="AK704" s="32"/>
      <c r="AL704" s="31"/>
      <c r="AP704" s="32"/>
      <c r="AQ704" s="31"/>
    </row>
    <row r="705">
      <c r="AA705" s="32"/>
      <c r="AB705" s="31"/>
      <c r="AF705" s="32"/>
      <c r="AG705" s="31"/>
      <c r="AK705" s="32"/>
      <c r="AL705" s="31"/>
      <c r="AP705" s="32"/>
      <c r="AQ705" s="31"/>
    </row>
    <row r="706">
      <c r="AA706" s="32"/>
      <c r="AB706" s="31"/>
      <c r="AF706" s="32"/>
      <c r="AG706" s="31"/>
      <c r="AK706" s="32"/>
      <c r="AL706" s="31"/>
      <c r="AP706" s="32"/>
      <c r="AQ706" s="31"/>
    </row>
    <row r="707">
      <c r="AA707" s="32"/>
      <c r="AB707" s="31"/>
      <c r="AF707" s="32"/>
      <c r="AG707" s="31"/>
      <c r="AK707" s="32"/>
      <c r="AL707" s="31"/>
      <c r="AP707" s="32"/>
      <c r="AQ707" s="31"/>
    </row>
    <row r="708">
      <c r="AA708" s="32"/>
      <c r="AB708" s="31"/>
      <c r="AF708" s="32"/>
      <c r="AG708" s="31"/>
      <c r="AK708" s="32"/>
      <c r="AL708" s="31"/>
      <c r="AP708" s="32"/>
      <c r="AQ708" s="31"/>
    </row>
    <row r="709">
      <c r="AA709" s="32"/>
      <c r="AB709" s="31"/>
      <c r="AF709" s="32"/>
      <c r="AG709" s="31"/>
      <c r="AK709" s="32"/>
      <c r="AL709" s="31"/>
      <c r="AP709" s="32"/>
      <c r="AQ709" s="31"/>
    </row>
    <row r="710">
      <c r="AA710" s="32"/>
      <c r="AB710" s="31"/>
      <c r="AF710" s="32"/>
      <c r="AG710" s="31"/>
      <c r="AK710" s="32"/>
      <c r="AL710" s="31"/>
      <c r="AP710" s="32"/>
      <c r="AQ710" s="31"/>
    </row>
    <row r="711">
      <c r="AA711" s="32"/>
      <c r="AB711" s="31"/>
      <c r="AF711" s="32"/>
      <c r="AG711" s="31"/>
      <c r="AK711" s="32"/>
      <c r="AL711" s="31"/>
      <c r="AP711" s="32"/>
      <c r="AQ711" s="31"/>
    </row>
    <row r="712">
      <c r="AA712" s="32"/>
      <c r="AB712" s="31"/>
      <c r="AF712" s="32"/>
      <c r="AG712" s="31"/>
      <c r="AK712" s="32"/>
      <c r="AL712" s="31"/>
      <c r="AP712" s="32"/>
      <c r="AQ712" s="31"/>
    </row>
    <row r="713">
      <c r="AA713" s="32"/>
      <c r="AB713" s="31"/>
      <c r="AF713" s="32"/>
      <c r="AG713" s="31"/>
      <c r="AK713" s="32"/>
      <c r="AL713" s="31"/>
      <c r="AP713" s="32"/>
      <c r="AQ713" s="31"/>
    </row>
    <row r="714">
      <c r="AA714" s="32"/>
      <c r="AB714" s="31"/>
      <c r="AF714" s="32"/>
      <c r="AG714" s="31"/>
      <c r="AK714" s="32"/>
      <c r="AL714" s="31"/>
      <c r="AP714" s="32"/>
      <c r="AQ714" s="31"/>
    </row>
    <row r="715">
      <c r="AA715" s="32"/>
      <c r="AB715" s="31"/>
      <c r="AF715" s="32"/>
      <c r="AG715" s="31"/>
      <c r="AK715" s="32"/>
      <c r="AL715" s="31"/>
      <c r="AP715" s="32"/>
      <c r="AQ715" s="31"/>
    </row>
    <row r="716">
      <c r="AA716" s="32"/>
      <c r="AB716" s="31"/>
      <c r="AF716" s="32"/>
      <c r="AG716" s="31"/>
      <c r="AK716" s="32"/>
      <c r="AL716" s="31"/>
      <c r="AP716" s="32"/>
      <c r="AQ716" s="31"/>
    </row>
    <row r="717">
      <c r="AA717" s="32"/>
      <c r="AB717" s="31"/>
      <c r="AF717" s="32"/>
      <c r="AG717" s="31"/>
      <c r="AK717" s="32"/>
      <c r="AL717" s="31"/>
      <c r="AP717" s="32"/>
      <c r="AQ717" s="31"/>
    </row>
    <row r="718">
      <c r="AA718" s="32"/>
      <c r="AB718" s="31"/>
      <c r="AF718" s="32"/>
      <c r="AG718" s="31"/>
      <c r="AK718" s="32"/>
      <c r="AL718" s="31"/>
      <c r="AP718" s="32"/>
      <c r="AQ718" s="31"/>
    </row>
    <row r="719">
      <c r="AA719" s="32"/>
      <c r="AB719" s="31"/>
      <c r="AF719" s="32"/>
      <c r="AG719" s="31"/>
      <c r="AK719" s="32"/>
      <c r="AL719" s="31"/>
      <c r="AP719" s="32"/>
      <c r="AQ719" s="31"/>
    </row>
    <row r="720">
      <c r="AA720" s="32"/>
      <c r="AB720" s="31"/>
      <c r="AF720" s="32"/>
      <c r="AG720" s="31"/>
      <c r="AK720" s="32"/>
      <c r="AL720" s="31"/>
      <c r="AP720" s="32"/>
      <c r="AQ720" s="31"/>
    </row>
    <row r="721">
      <c r="AA721" s="32"/>
      <c r="AB721" s="31"/>
      <c r="AF721" s="32"/>
      <c r="AG721" s="31"/>
      <c r="AK721" s="32"/>
      <c r="AL721" s="31"/>
      <c r="AP721" s="32"/>
      <c r="AQ721" s="31"/>
    </row>
    <row r="722">
      <c r="AA722" s="32"/>
      <c r="AB722" s="31"/>
      <c r="AF722" s="32"/>
      <c r="AG722" s="31"/>
      <c r="AK722" s="32"/>
      <c r="AL722" s="31"/>
      <c r="AP722" s="32"/>
      <c r="AQ722" s="31"/>
    </row>
    <row r="723">
      <c r="AA723" s="32"/>
      <c r="AB723" s="31"/>
      <c r="AF723" s="32"/>
      <c r="AG723" s="31"/>
      <c r="AK723" s="32"/>
      <c r="AL723" s="31"/>
      <c r="AP723" s="32"/>
      <c r="AQ723" s="31"/>
    </row>
    <row r="724">
      <c r="AA724" s="32"/>
      <c r="AB724" s="31"/>
      <c r="AF724" s="32"/>
      <c r="AG724" s="31"/>
      <c r="AK724" s="32"/>
      <c r="AL724" s="31"/>
      <c r="AP724" s="32"/>
      <c r="AQ724" s="31"/>
    </row>
    <row r="725">
      <c r="AA725" s="32"/>
      <c r="AB725" s="31"/>
      <c r="AF725" s="32"/>
      <c r="AG725" s="31"/>
      <c r="AK725" s="32"/>
      <c r="AL725" s="31"/>
      <c r="AP725" s="32"/>
      <c r="AQ725" s="31"/>
    </row>
    <row r="726">
      <c r="AA726" s="32"/>
      <c r="AB726" s="31"/>
      <c r="AF726" s="32"/>
      <c r="AG726" s="31"/>
      <c r="AK726" s="32"/>
      <c r="AL726" s="31"/>
      <c r="AP726" s="32"/>
      <c r="AQ726" s="31"/>
    </row>
    <row r="727">
      <c r="AA727" s="32"/>
      <c r="AB727" s="31"/>
      <c r="AF727" s="32"/>
      <c r="AG727" s="31"/>
      <c r="AK727" s="32"/>
      <c r="AL727" s="31"/>
      <c r="AP727" s="32"/>
      <c r="AQ727" s="31"/>
    </row>
    <row r="728">
      <c r="AA728" s="32"/>
      <c r="AB728" s="31"/>
      <c r="AF728" s="32"/>
      <c r="AG728" s="31"/>
      <c r="AK728" s="32"/>
      <c r="AL728" s="31"/>
      <c r="AP728" s="32"/>
      <c r="AQ728" s="31"/>
    </row>
    <row r="729">
      <c r="AA729" s="32"/>
      <c r="AB729" s="31"/>
      <c r="AF729" s="32"/>
      <c r="AG729" s="31"/>
      <c r="AK729" s="32"/>
      <c r="AL729" s="31"/>
      <c r="AP729" s="32"/>
      <c r="AQ729" s="31"/>
    </row>
    <row r="730">
      <c r="AA730" s="32"/>
      <c r="AB730" s="31"/>
      <c r="AF730" s="32"/>
      <c r="AG730" s="31"/>
      <c r="AK730" s="32"/>
      <c r="AL730" s="31"/>
      <c r="AP730" s="32"/>
      <c r="AQ730" s="31"/>
    </row>
    <row r="731">
      <c r="AA731" s="32"/>
      <c r="AB731" s="31"/>
      <c r="AF731" s="32"/>
      <c r="AG731" s="31"/>
      <c r="AK731" s="32"/>
      <c r="AL731" s="31"/>
      <c r="AP731" s="32"/>
      <c r="AQ731" s="31"/>
    </row>
    <row r="732">
      <c r="AA732" s="32"/>
      <c r="AB732" s="31"/>
      <c r="AF732" s="32"/>
      <c r="AG732" s="31"/>
      <c r="AK732" s="32"/>
      <c r="AL732" s="31"/>
      <c r="AP732" s="32"/>
      <c r="AQ732" s="31"/>
    </row>
    <row r="733">
      <c r="AA733" s="32"/>
      <c r="AB733" s="31"/>
      <c r="AF733" s="32"/>
      <c r="AG733" s="31"/>
      <c r="AK733" s="32"/>
      <c r="AL733" s="31"/>
      <c r="AP733" s="32"/>
      <c r="AQ733" s="31"/>
    </row>
    <row r="734">
      <c r="AA734" s="32"/>
      <c r="AB734" s="31"/>
      <c r="AF734" s="32"/>
      <c r="AG734" s="31"/>
      <c r="AK734" s="32"/>
      <c r="AL734" s="31"/>
      <c r="AP734" s="32"/>
      <c r="AQ734" s="31"/>
    </row>
    <row r="735">
      <c r="AA735" s="32"/>
      <c r="AB735" s="31"/>
      <c r="AF735" s="32"/>
      <c r="AG735" s="31"/>
      <c r="AK735" s="32"/>
      <c r="AL735" s="31"/>
      <c r="AP735" s="32"/>
      <c r="AQ735" s="31"/>
    </row>
    <row r="736">
      <c r="AA736" s="32"/>
      <c r="AB736" s="31"/>
      <c r="AF736" s="32"/>
      <c r="AG736" s="31"/>
      <c r="AK736" s="32"/>
      <c r="AL736" s="31"/>
      <c r="AP736" s="32"/>
      <c r="AQ736" s="31"/>
    </row>
    <row r="737">
      <c r="AA737" s="32"/>
      <c r="AB737" s="31"/>
      <c r="AF737" s="32"/>
      <c r="AG737" s="31"/>
      <c r="AK737" s="32"/>
      <c r="AL737" s="31"/>
      <c r="AP737" s="32"/>
      <c r="AQ737" s="31"/>
    </row>
    <row r="738">
      <c r="AA738" s="32"/>
      <c r="AB738" s="31"/>
      <c r="AF738" s="32"/>
      <c r="AG738" s="31"/>
      <c r="AK738" s="32"/>
      <c r="AL738" s="31"/>
      <c r="AP738" s="32"/>
      <c r="AQ738" s="31"/>
    </row>
    <row r="739">
      <c r="AA739" s="32"/>
      <c r="AB739" s="31"/>
      <c r="AF739" s="32"/>
      <c r="AG739" s="31"/>
      <c r="AK739" s="32"/>
      <c r="AL739" s="31"/>
      <c r="AP739" s="32"/>
      <c r="AQ739" s="31"/>
    </row>
    <row r="740">
      <c r="AA740" s="32"/>
      <c r="AB740" s="31"/>
      <c r="AF740" s="32"/>
      <c r="AG740" s="31"/>
      <c r="AK740" s="32"/>
      <c r="AL740" s="31"/>
      <c r="AP740" s="32"/>
      <c r="AQ740" s="31"/>
    </row>
    <row r="741">
      <c r="AA741" s="32"/>
      <c r="AB741" s="31"/>
      <c r="AF741" s="32"/>
      <c r="AG741" s="31"/>
      <c r="AK741" s="32"/>
      <c r="AL741" s="31"/>
      <c r="AP741" s="32"/>
      <c r="AQ741" s="31"/>
    </row>
    <row r="742">
      <c r="AA742" s="32"/>
      <c r="AB742" s="31"/>
      <c r="AF742" s="32"/>
      <c r="AG742" s="31"/>
      <c r="AK742" s="32"/>
      <c r="AL742" s="31"/>
      <c r="AP742" s="32"/>
      <c r="AQ742" s="31"/>
    </row>
    <row r="743">
      <c r="AA743" s="32"/>
      <c r="AB743" s="31"/>
      <c r="AF743" s="32"/>
      <c r="AG743" s="31"/>
      <c r="AK743" s="32"/>
      <c r="AL743" s="31"/>
      <c r="AP743" s="32"/>
      <c r="AQ743" s="31"/>
    </row>
    <row r="744">
      <c r="AA744" s="32"/>
      <c r="AB744" s="31"/>
      <c r="AF744" s="32"/>
      <c r="AG744" s="31"/>
      <c r="AK744" s="32"/>
      <c r="AL744" s="31"/>
      <c r="AP744" s="32"/>
      <c r="AQ744" s="31"/>
    </row>
    <row r="745">
      <c r="AA745" s="32"/>
      <c r="AB745" s="31"/>
      <c r="AF745" s="32"/>
      <c r="AG745" s="31"/>
      <c r="AK745" s="32"/>
      <c r="AL745" s="31"/>
      <c r="AP745" s="32"/>
      <c r="AQ745" s="31"/>
    </row>
    <row r="746">
      <c r="AA746" s="32"/>
      <c r="AB746" s="31"/>
      <c r="AF746" s="32"/>
      <c r="AG746" s="31"/>
      <c r="AK746" s="32"/>
      <c r="AL746" s="31"/>
      <c r="AP746" s="32"/>
      <c r="AQ746" s="31"/>
    </row>
    <row r="747">
      <c r="AA747" s="32"/>
      <c r="AB747" s="31"/>
      <c r="AF747" s="32"/>
      <c r="AG747" s="31"/>
      <c r="AK747" s="32"/>
      <c r="AL747" s="31"/>
      <c r="AP747" s="32"/>
      <c r="AQ747" s="31"/>
    </row>
    <row r="748">
      <c r="AA748" s="32"/>
      <c r="AB748" s="31"/>
      <c r="AF748" s="32"/>
      <c r="AG748" s="31"/>
      <c r="AK748" s="32"/>
      <c r="AL748" s="31"/>
      <c r="AP748" s="32"/>
      <c r="AQ748" s="31"/>
    </row>
    <row r="749">
      <c r="AA749" s="32"/>
      <c r="AB749" s="31"/>
      <c r="AF749" s="32"/>
      <c r="AG749" s="31"/>
      <c r="AK749" s="32"/>
      <c r="AL749" s="31"/>
      <c r="AP749" s="32"/>
      <c r="AQ749" s="31"/>
    </row>
    <row r="750">
      <c r="AA750" s="32"/>
      <c r="AB750" s="31"/>
      <c r="AF750" s="32"/>
      <c r="AG750" s="31"/>
      <c r="AK750" s="32"/>
      <c r="AL750" s="31"/>
      <c r="AP750" s="32"/>
      <c r="AQ750" s="31"/>
    </row>
    <row r="751">
      <c r="AA751" s="32"/>
      <c r="AB751" s="31"/>
      <c r="AF751" s="32"/>
      <c r="AG751" s="31"/>
      <c r="AK751" s="32"/>
      <c r="AL751" s="31"/>
      <c r="AP751" s="32"/>
      <c r="AQ751" s="31"/>
    </row>
    <row r="752">
      <c r="AA752" s="32"/>
      <c r="AB752" s="31"/>
      <c r="AF752" s="32"/>
      <c r="AG752" s="31"/>
      <c r="AK752" s="32"/>
      <c r="AL752" s="31"/>
      <c r="AP752" s="32"/>
      <c r="AQ752" s="31"/>
    </row>
    <row r="753">
      <c r="AA753" s="32"/>
      <c r="AB753" s="31"/>
      <c r="AF753" s="32"/>
      <c r="AG753" s="31"/>
      <c r="AK753" s="32"/>
      <c r="AL753" s="31"/>
      <c r="AP753" s="32"/>
      <c r="AQ753" s="31"/>
    </row>
    <row r="754">
      <c r="AA754" s="32"/>
      <c r="AB754" s="31"/>
      <c r="AF754" s="32"/>
      <c r="AG754" s="31"/>
      <c r="AK754" s="32"/>
      <c r="AL754" s="31"/>
      <c r="AP754" s="32"/>
      <c r="AQ754" s="31"/>
    </row>
    <row r="755">
      <c r="AA755" s="32"/>
      <c r="AB755" s="31"/>
      <c r="AF755" s="32"/>
      <c r="AG755" s="31"/>
      <c r="AK755" s="32"/>
      <c r="AL755" s="31"/>
      <c r="AP755" s="32"/>
      <c r="AQ755" s="31"/>
    </row>
    <row r="756">
      <c r="AA756" s="32"/>
      <c r="AB756" s="31"/>
      <c r="AF756" s="32"/>
      <c r="AG756" s="31"/>
      <c r="AK756" s="32"/>
      <c r="AL756" s="31"/>
      <c r="AP756" s="32"/>
      <c r="AQ756" s="31"/>
    </row>
    <row r="757">
      <c r="AA757" s="32"/>
      <c r="AB757" s="31"/>
      <c r="AF757" s="32"/>
      <c r="AG757" s="31"/>
      <c r="AK757" s="32"/>
      <c r="AL757" s="31"/>
      <c r="AP757" s="32"/>
      <c r="AQ757" s="31"/>
    </row>
    <row r="758">
      <c r="AA758" s="32"/>
      <c r="AB758" s="31"/>
      <c r="AF758" s="32"/>
      <c r="AG758" s="31"/>
      <c r="AK758" s="32"/>
      <c r="AL758" s="31"/>
      <c r="AP758" s="32"/>
      <c r="AQ758" s="31"/>
    </row>
    <row r="759">
      <c r="AA759" s="32"/>
      <c r="AB759" s="31"/>
      <c r="AF759" s="32"/>
      <c r="AG759" s="31"/>
      <c r="AK759" s="32"/>
      <c r="AL759" s="31"/>
      <c r="AP759" s="32"/>
      <c r="AQ759" s="31"/>
    </row>
    <row r="760">
      <c r="AA760" s="32"/>
      <c r="AB760" s="31"/>
      <c r="AF760" s="32"/>
      <c r="AG760" s="31"/>
      <c r="AK760" s="32"/>
      <c r="AL760" s="31"/>
      <c r="AP760" s="32"/>
      <c r="AQ760" s="31"/>
    </row>
    <row r="761">
      <c r="AA761" s="32"/>
      <c r="AB761" s="31"/>
      <c r="AF761" s="32"/>
      <c r="AG761" s="31"/>
      <c r="AK761" s="32"/>
      <c r="AL761" s="31"/>
      <c r="AP761" s="32"/>
      <c r="AQ761" s="31"/>
    </row>
    <row r="762">
      <c r="AA762" s="32"/>
      <c r="AB762" s="31"/>
      <c r="AF762" s="32"/>
      <c r="AG762" s="31"/>
      <c r="AK762" s="32"/>
      <c r="AL762" s="31"/>
      <c r="AP762" s="32"/>
      <c r="AQ762" s="31"/>
    </row>
    <row r="763">
      <c r="AA763" s="32"/>
      <c r="AB763" s="31"/>
      <c r="AF763" s="32"/>
      <c r="AG763" s="31"/>
      <c r="AK763" s="32"/>
      <c r="AL763" s="31"/>
      <c r="AP763" s="32"/>
      <c r="AQ763" s="31"/>
    </row>
    <row r="764">
      <c r="AA764" s="32"/>
      <c r="AB764" s="31"/>
      <c r="AF764" s="32"/>
      <c r="AG764" s="31"/>
      <c r="AK764" s="32"/>
      <c r="AL764" s="31"/>
      <c r="AP764" s="32"/>
      <c r="AQ764" s="31"/>
    </row>
    <row r="765">
      <c r="AA765" s="32"/>
      <c r="AB765" s="31"/>
      <c r="AF765" s="32"/>
      <c r="AG765" s="31"/>
      <c r="AK765" s="32"/>
      <c r="AL765" s="31"/>
      <c r="AP765" s="32"/>
      <c r="AQ765" s="31"/>
    </row>
    <row r="766">
      <c r="AA766" s="32"/>
      <c r="AB766" s="31"/>
      <c r="AF766" s="32"/>
      <c r="AG766" s="31"/>
      <c r="AK766" s="32"/>
      <c r="AL766" s="31"/>
      <c r="AP766" s="32"/>
      <c r="AQ766" s="31"/>
    </row>
    <row r="767">
      <c r="AA767" s="32"/>
      <c r="AB767" s="31"/>
      <c r="AF767" s="32"/>
      <c r="AG767" s="31"/>
      <c r="AK767" s="32"/>
      <c r="AL767" s="31"/>
      <c r="AP767" s="32"/>
      <c r="AQ767" s="31"/>
    </row>
    <row r="768">
      <c r="AA768" s="32"/>
      <c r="AB768" s="31"/>
      <c r="AF768" s="32"/>
      <c r="AG768" s="31"/>
      <c r="AK768" s="32"/>
      <c r="AL768" s="31"/>
      <c r="AP768" s="32"/>
      <c r="AQ768" s="31"/>
    </row>
    <row r="769">
      <c r="AA769" s="32"/>
      <c r="AB769" s="31"/>
      <c r="AF769" s="32"/>
      <c r="AG769" s="31"/>
      <c r="AK769" s="32"/>
      <c r="AL769" s="31"/>
      <c r="AP769" s="32"/>
      <c r="AQ769" s="31"/>
    </row>
    <row r="770">
      <c r="AA770" s="32"/>
      <c r="AB770" s="31"/>
      <c r="AF770" s="32"/>
      <c r="AG770" s="31"/>
      <c r="AK770" s="32"/>
      <c r="AL770" s="31"/>
      <c r="AP770" s="32"/>
      <c r="AQ770" s="31"/>
    </row>
    <row r="771">
      <c r="AA771" s="32"/>
      <c r="AB771" s="31"/>
      <c r="AF771" s="32"/>
      <c r="AG771" s="31"/>
      <c r="AK771" s="32"/>
      <c r="AL771" s="31"/>
      <c r="AP771" s="32"/>
      <c r="AQ771" s="31"/>
    </row>
    <row r="772">
      <c r="AA772" s="32"/>
      <c r="AB772" s="31"/>
      <c r="AF772" s="32"/>
      <c r="AG772" s="31"/>
      <c r="AK772" s="32"/>
      <c r="AL772" s="31"/>
      <c r="AP772" s="32"/>
      <c r="AQ772" s="31"/>
    </row>
    <row r="773">
      <c r="AA773" s="32"/>
      <c r="AB773" s="31"/>
      <c r="AF773" s="32"/>
      <c r="AG773" s="31"/>
      <c r="AK773" s="32"/>
      <c r="AL773" s="31"/>
      <c r="AP773" s="32"/>
      <c r="AQ773" s="31"/>
    </row>
    <row r="774">
      <c r="AA774" s="32"/>
      <c r="AB774" s="31"/>
      <c r="AF774" s="32"/>
      <c r="AG774" s="31"/>
      <c r="AK774" s="32"/>
      <c r="AL774" s="31"/>
      <c r="AP774" s="32"/>
      <c r="AQ774" s="31"/>
    </row>
    <row r="775">
      <c r="AA775" s="32"/>
      <c r="AB775" s="31"/>
      <c r="AF775" s="32"/>
      <c r="AG775" s="31"/>
      <c r="AK775" s="32"/>
      <c r="AL775" s="31"/>
      <c r="AP775" s="32"/>
      <c r="AQ775" s="31"/>
    </row>
    <row r="776">
      <c r="AA776" s="32"/>
      <c r="AB776" s="31"/>
      <c r="AF776" s="32"/>
      <c r="AG776" s="31"/>
      <c r="AK776" s="32"/>
      <c r="AL776" s="31"/>
      <c r="AP776" s="32"/>
      <c r="AQ776" s="31"/>
    </row>
    <row r="777">
      <c r="AA777" s="32"/>
      <c r="AB777" s="31"/>
      <c r="AF777" s="32"/>
      <c r="AG777" s="31"/>
      <c r="AK777" s="32"/>
      <c r="AL777" s="31"/>
      <c r="AP777" s="32"/>
      <c r="AQ777" s="31"/>
    </row>
    <row r="778">
      <c r="AA778" s="32"/>
      <c r="AB778" s="31"/>
      <c r="AF778" s="32"/>
      <c r="AG778" s="31"/>
      <c r="AK778" s="32"/>
      <c r="AL778" s="31"/>
      <c r="AP778" s="32"/>
      <c r="AQ778" s="31"/>
    </row>
    <row r="779">
      <c r="AA779" s="32"/>
      <c r="AB779" s="31"/>
      <c r="AF779" s="32"/>
      <c r="AG779" s="31"/>
      <c r="AK779" s="32"/>
      <c r="AL779" s="31"/>
      <c r="AP779" s="32"/>
      <c r="AQ779" s="31"/>
    </row>
    <row r="780">
      <c r="AA780" s="32"/>
      <c r="AB780" s="31"/>
      <c r="AF780" s="32"/>
      <c r="AG780" s="31"/>
      <c r="AK780" s="32"/>
      <c r="AL780" s="31"/>
      <c r="AP780" s="32"/>
      <c r="AQ780" s="31"/>
    </row>
    <row r="781">
      <c r="AA781" s="32"/>
      <c r="AB781" s="31"/>
      <c r="AF781" s="32"/>
      <c r="AG781" s="31"/>
      <c r="AK781" s="32"/>
      <c r="AL781" s="31"/>
      <c r="AP781" s="32"/>
      <c r="AQ781" s="31"/>
    </row>
    <row r="782">
      <c r="AA782" s="32"/>
      <c r="AB782" s="31"/>
      <c r="AF782" s="32"/>
      <c r="AG782" s="31"/>
      <c r="AK782" s="32"/>
      <c r="AL782" s="31"/>
      <c r="AP782" s="32"/>
      <c r="AQ782" s="31"/>
    </row>
    <row r="783">
      <c r="AA783" s="32"/>
      <c r="AB783" s="31"/>
      <c r="AF783" s="32"/>
      <c r="AG783" s="31"/>
      <c r="AK783" s="32"/>
      <c r="AL783" s="31"/>
      <c r="AP783" s="32"/>
      <c r="AQ783" s="31"/>
    </row>
    <row r="784">
      <c r="AA784" s="32"/>
      <c r="AB784" s="31"/>
      <c r="AF784" s="32"/>
      <c r="AG784" s="31"/>
      <c r="AK784" s="32"/>
      <c r="AL784" s="31"/>
      <c r="AP784" s="32"/>
      <c r="AQ784" s="31"/>
    </row>
    <row r="785">
      <c r="AA785" s="32"/>
      <c r="AB785" s="31"/>
      <c r="AF785" s="32"/>
      <c r="AG785" s="31"/>
      <c r="AK785" s="32"/>
      <c r="AL785" s="31"/>
      <c r="AP785" s="32"/>
      <c r="AQ785" s="31"/>
    </row>
    <row r="786">
      <c r="AA786" s="32"/>
      <c r="AB786" s="31"/>
      <c r="AF786" s="32"/>
      <c r="AG786" s="31"/>
      <c r="AK786" s="32"/>
      <c r="AL786" s="31"/>
      <c r="AP786" s="32"/>
      <c r="AQ786" s="31"/>
    </row>
    <row r="787">
      <c r="AA787" s="32"/>
      <c r="AB787" s="31"/>
      <c r="AF787" s="32"/>
      <c r="AG787" s="31"/>
      <c r="AK787" s="32"/>
      <c r="AL787" s="31"/>
      <c r="AP787" s="32"/>
      <c r="AQ787" s="31"/>
    </row>
    <row r="788">
      <c r="AA788" s="32"/>
      <c r="AB788" s="31"/>
      <c r="AF788" s="32"/>
      <c r="AG788" s="31"/>
      <c r="AK788" s="32"/>
      <c r="AL788" s="31"/>
      <c r="AP788" s="32"/>
      <c r="AQ788" s="31"/>
    </row>
    <row r="789">
      <c r="AA789" s="32"/>
      <c r="AB789" s="31"/>
      <c r="AF789" s="32"/>
      <c r="AG789" s="31"/>
      <c r="AK789" s="32"/>
      <c r="AL789" s="31"/>
      <c r="AP789" s="32"/>
      <c r="AQ789" s="31"/>
    </row>
    <row r="790">
      <c r="AA790" s="32"/>
      <c r="AB790" s="31"/>
      <c r="AF790" s="32"/>
      <c r="AG790" s="31"/>
      <c r="AK790" s="32"/>
      <c r="AL790" s="31"/>
      <c r="AP790" s="32"/>
      <c r="AQ790" s="31"/>
    </row>
    <row r="791">
      <c r="AA791" s="32"/>
      <c r="AB791" s="31"/>
      <c r="AF791" s="32"/>
      <c r="AG791" s="31"/>
      <c r="AK791" s="32"/>
      <c r="AL791" s="31"/>
      <c r="AP791" s="32"/>
      <c r="AQ791" s="31"/>
    </row>
    <row r="792">
      <c r="AA792" s="32"/>
      <c r="AB792" s="31"/>
      <c r="AF792" s="32"/>
      <c r="AG792" s="31"/>
      <c r="AK792" s="32"/>
      <c r="AL792" s="31"/>
      <c r="AP792" s="32"/>
      <c r="AQ792" s="31"/>
    </row>
    <row r="793">
      <c r="AA793" s="32"/>
      <c r="AB793" s="31"/>
      <c r="AF793" s="32"/>
      <c r="AG793" s="31"/>
      <c r="AK793" s="32"/>
      <c r="AL793" s="31"/>
      <c r="AP793" s="32"/>
      <c r="AQ793" s="31"/>
    </row>
    <row r="794">
      <c r="AA794" s="32"/>
      <c r="AB794" s="31"/>
      <c r="AF794" s="32"/>
      <c r="AG794" s="31"/>
      <c r="AK794" s="32"/>
      <c r="AL794" s="31"/>
      <c r="AP794" s="32"/>
      <c r="AQ794" s="31"/>
    </row>
    <row r="795">
      <c r="AA795" s="32"/>
      <c r="AB795" s="31"/>
      <c r="AF795" s="32"/>
      <c r="AG795" s="31"/>
      <c r="AK795" s="32"/>
      <c r="AL795" s="31"/>
      <c r="AP795" s="32"/>
      <c r="AQ795" s="31"/>
    </row>
    <row r="796">
      <c r="AA796" s="32"/>
      <c r="AB796" s="31"/>
      <c r="AF796" s="32"/>
      <c r="AG796" s="31"/>
      <c r="AK796" s="32"/>
      <c r="AL796" s="31"/>
      <c r="AP796" s="32"/>
      <c r="AQ796" s="31"/>
    </row>
    <row r="797">
      <c r="AA797" s="32"/>
      <c r="AB797" s="31"/>
      <c r="AF797" s="32"/>
      <c r="AG797" s="31"/>
      <c r="AK797" s="32"/>
      <c r="AL797" s="31"/>
      <c r="AP797" s="32"/>
      <c r="AQ797" s="31"/>
    </row>
    <row r="798">
      <c r="AA798" s="32"/>
      <c r="AB798" s="31"/>
      <c r="AF798" s="32"/>
      <c r="AG798" s="31"/>
      <c r="AK798" s="32"/>
      <c r="AL798" s="31"/>
      <c r="AP798" s="32"/>
      <c r="AQ798" s="31"/>
    </row>
    <row r="799">
      <c r="AA799" s="32"/>
      <c r="AB799" s="31"/>
      <c r="AF799" s="32"/>
      <c r="AG799" s="31"/>
      <c r="AK799" s="32"/>
      <c r="AL799" s="31"/>
      <c r="AP799" s="32"/>
      <c r="AQ799" s="31"/>
    </row>
    <row r="800">
      <c r="AA800" s="32"/>
      <c r="AB800" s="31"/>
      <c r="AF800" s="32"/>
      <c r="AG800" s="31"/>
      <c r="AK800" s="32"/>
      <c r="AL800" s="31"/>
      <c r="AP800" s="32"/>
      <c r="AQ800" s="31"/>
    </row>
    <row r="801">
      <c r="AA801" s="32"/>
      <c r="AB801" s="31"/>
      <c r="AF801" s="32"/>
      <c r="AG801" s="31"/>
      <c r="AK801" s="32"/>
      <c r="AL801" s="31"/>
      <c r="AP801" s="32"/>
      <c r="AQ801" s="31"/>
    </row>
    <row r="802">
      <c r="AA802" s="32"/>
      <c r="AB802" s="31"/>
      <c r="AF802" s="32"/>
      <c r="AG802" s="31"/>
      <c r="AK802" s="32"/>
      <c r="AL802" s="31"/>
      <c r="AP802" s="32"/>
      <c r="AQ802" s="31"/>
    </row>
    <row r="803">
      <c r="AA803" s="30"/>
      <c r="AB803" s="30"/>
      <c r="AF803" s="30"/>
      <c r="AG803" s="30"/>
      <c r="AK803" s="30"/>
      <c r="AL803" s="30"/>
      <c r="AP803" s="30"/>
      <c r="AQ803" s="30"/>
    </row>
    <row r="804">
      <c r="AA804" s="32"/>
      <c r="AB804" s="31"/>
      <c r="AF804" s="32"/>
      <c r="AG804" s="31"/>
      <c r="AK804" s="32"/>
      <c r="AL804" s="31"/>
      <c r="AP804" s="32"/>
      <c r="AQ804" s="31"/>
    </row>
    <row r="805">
      <c r="AA805" s="32"/>
      <c r="AB805" s="31"/>
      <c r="AF805" s="32"/>
      <c r="AG805" s="31"/>
      <c r="AK805" s="32"/>
      <c r="AL805" s="31"/>
      <c r="AP805" s="32"/>
      <c r="AQ805" s="31"/>
    </row>
    <row r="806">
      <c r="AA806" s="32"/>
      <c r="AB806" s="31"/>
      <c r="AF806" s="32"/>
      <c r="AG806" s="31"/>
      <c r="AK806" s="32"/>
      <c r="AL806" s="31"/>
      <c r="AP806" s="32"/>
      <c r="AQ806" s="31"/>
    </row>
    <row r="807">
      <c r="AA807" s="32"/>
      <c r="AB807" s="31"/>
      <c r="AF807" s="32"/>
      <c r="AG807" s="31"/>
      <c r="AK807" s="32"/>
      <c r="AL807" s="31"/>
      <c r="AP807" s="32"/>
      <c r="AQ807" s="31"/>
    </row>
    <row r="808">
      <c r="AA808" s="32"/>
      <c r="AB808" s="31"/>
      <c r="AF808" s="32"/>
      <c r="AG808" s="31"/>
      <c r="AK808" s="32"/>
      <c r="AL808" s="31"/>
      <c r="AP808" s="32"/>
      <c r="AQ808" s="31"/>
    </row>
    <row r="809">
      <c r="AA809" s="32"/>
      <c r="AB809" s="31"/>
      <c r="AF809" s="32"/>
      <c r="AG809" s="31"/>
      <c r="AK809" s="32"/>
      <c r="AL809" s="31"/>
      <c r="AP809" s="32"/>
      <c r="AQ809" s="31"/>
    </row>
    <row r="810">
      <c r="AA810" s="32"/>
      <c r="AB810" s="31"/>
      <c r="AF810" s="32"/>
      <c r="AG810" s="31"/>
      <c r="AK810" s="32"/>
      <c r="AL810" s="31"/>
      <c r="AP810" s="32"/>
      <c r="AQ810" s="31"/>
    </row>
    <row r="811">
      <c r="AA811" s="32"/>
      <c r="AB811" s="31"/>
      <c r="AF811" s="32"/>
      <c r="AG811" s="31"/>
      <c r="AK811" s="32"/>
      <c r="AL811" s="31"/>
      <c r="AP811" s="32"/>
      <c r="AQ811" s="31"/>
    </row>
    <row r="812">
      <c r="AA812" s="32"/>
      <c r="AB812" s="31"/>
      <c r="AF812" s="32"/>
      <c r="AG812" s="31"/>
      <c r="AK812" s="32"/>
      <c r="AL812" s="31"/>
      <c r="AP812" s="32"/>
      <c r="AQ812" s="31"/>
    </row>
    <row r="813">
      <c r="AA813" s="32"/>
      <c r="AB813" s="31"/>
      <c r="AF813" s="32"/>
      <c r="AG813" s="31"/>
      <c r="AK813" s="32"/>
      <c r="AL813" s="31"/>
      <c r="AP813" s="32"/>
      <c r="AQ813" s="31"/>
    </row>
    <row r="814">
      <c r="AA814" s="32"/>
      <c r="AB814" s="31"/>
      <c r="AF814" s="32"/>
      <c r="AG814" s="31"/>
      <c r="AK814" s="32"/>
      <c r="AL814" s="31"/>
      <c r="AP814" s="32"/>
      <c r="AQ814" s="31"/>
    </row>
    <row r="815">
      <c r="AA815" s="32"/>
      <c r="AB815" s="31"/>
      <c r="AF815" s="32"/>
      <c r="AG815" s="31"/>
      <c r="AK815" s="32"/>
      <c r="AL815" s="31"/>
      <c r="AP815" s="32"/>
      <c r="AQ815" s="31"/>
    </row>
    <row r="816">
      <c r="AA816" s="32"/>
      <c r="AB816" s="31"/>
      <c r="AF816" s="32"/>
      <c r="AG816" s="31"/>
      <c r="AK816" s="32"/>
      <c r="AL816" s="31"/>
      <c r="AP816" s="32"/>
      <c r="AQ816" s="31"/>
    </row>
    <row r="817">
      <c r="AA817" s="32"/>
      <c r="AB817" s="31"/>
      <c r="AF817" s="32"/>
      <c r="AG817" s="31"/>
      <c r="AK817" s="32"/>
      <c r="AL817" s="31"/>
      <c r="AP817" s="32"/>
      <c r="AQ817" s="31"/>
    </row>
    <row r="818">
      <c r="AA818" s="32"/>
      <c r="AB818" s="31"/>
      <c r="AF818" s="32"/>
      <c r="AG818" s="31"/>
      <c r="AK818" s="32"/>
      <c r="AL818" s="31"/>
      <c r="AP818" s="32"/>
      <c r="AQ818" s="31"/>
    </row>
    <row r="819">
      <c r="AA819" s="32"/>
      <c r="AB819" s="31"/>
      <c r="AF819" s="32"/>
      <c r="AG819" s="31"/>
      <c r="AK819" s="32"/>
      <c r="AL819" s="31"/>
      <c r="AP819" s="32"/>
      <c r="AQ819" s="31"/>
    </row>
    <row r="820">
      <c r="AA820" s="32"/>
      <c r="AB820" s="31"/>
      <c r="AF820" s="32"/>
      <c r="AG820" s="31"/>
      <c r="AK820" s="32"/>
      <c r="AL820" s="31"/>
      <c r="AP820" s="32"/>
      <c r="AQ820" s="31"/>
    </row>
    <row r="821">
      <c r="AA821" s="32"/>
      <c r="AB821" s="31"/>
      <c r="AF821" s="32"/>
      <c r="AG821" s="31"/>
      <c r="AK821" s="32"/>
      <c r="AL821" s="31"/>
      <c r="AP821" s="32"/>
      <c r="AQ821" s="31"/>
    </row>
    <row r="822">
      <c r="AA822" s="32"/>
      <c r="AB822" s="31"/>
      <c r="AF822" s="32"/>
      <c r="AG822" s="31"/>
      <c r="AK822" s="32"/>
      <c r="AL822" s="31"/>
      <c r="AP822" s="32"/>
      <c r="AQ822" s="31"/>
    </row>
    <row r="823">
      <c r="AA823" s="32"/>
      <c r="AB823" s="31"/>
      <c r="AF823" s="32"/>
      <c r="AG823" s="31"/>
      <c r="AK823" s="32"/>
      <c r="AL823" s="31"/>
      <c r="AP823" s="32"/>
      <c r="AQ823" s="31"/>
    </row>
    <row r="824">
      <c r="AA824" s="32"/>
      <c r="AB824" s="31"/>
      <c r="AF824" s="32"/>
      <c r="AG824" s="31"/>
      <c r="AK824" s="32"/>
      <c r="AL824" s="31"/>
      <c r="AP824" s="32"/>
      <c r="AQ824" s="31"/>
    </row>
    <row r="825">
      <c r="AA825" s="32"/>
      <c r="AB825" s="31"/>
      <c r="AF825" s="32"/>
      <c r="AG825" s="31"/>
      <c r="AK825" s="32"/>
      <c r="AL825" s="31"/>
      <c r="AP825" s="32"/>
      <c r="AQ825" s="31"/>
    </row>
    <row r="826">
      <c r="AA826" s="32"/>
      <c r="AB826" s="31"/>
      <c r="AF826" s="32"/>
      <c r="AG826" s="31"/>
      <c r="AK826" s="32"/>
      <c r="AL826" s="31"/>
      <c r="AP826" s="32"/>
      <c r="AQ826" s="31"/>
    </row>
    <row r="827">
      <c r="AA827" s="32"/>
      <c r="AB827" s="31"/>
      <c r="AF827" s="32"/>
      <c r="AG827" s="31"/>
      <c r="AK827" s="32"/>
      <c r="AL827" s="31"/>
      <c r="AP827" s="32"/>
      <c r="AQ827" s="31"/>
    </row>
    <row r="828">
      <c r="AA828" s="32"/>
      <c r="AB828" s="31"/>
      <c r="AF828" s="32"/>
      <c r="AG828" s="31"/>
      <c r="AK828" s="32"/>
      <c r="AL828" s="31"/>
      <c r="AP828" s="32"/>
      <c r="AQ828" s="31"/>
    </row>
    <row r="829">
      <c r="AA829" s="32"/>
      <c r="AB829" s="31"/>
      <c r="AF829" s="32"/>
      <c r="AG829" s="31"/>
      <c r="AK829" s="32"/>
      <c r="AL829" s="31"/>
      <c r="AP829" s="32"/>
      <c r="AQ829" s="31"/>
    </row>
    <row r="830">
      <c r="AA830" s="32"/>
      <c r="AB830" s="31"/>
      <c r="AF830" s="32"/>
      <c r="AG830" s="31"/>
      <c r="AK830" s="32"/>
      <c r="AL830" s="31"/>
      <c r="AP830" s="32"/>
      <c r="AQ830" s="31"/>
    </row>
    <row r="831">
      <c r="AA831" s="32"/>
      <c r="AB831" s="31"/>
      <c r="AF831" s="32"/>
      <c r="AG831" s="31"/>
      <c r="AK831" s="32"/>
      <c r="AL831" s="31"/>
      <c r="AP831" s="32"/>
      <c r="AQ831" s="31"/>
    </row>
    <row r="832">
      <c r="AA832" s="32"/>
      <c r="AB832" s="31"/>
      <c r="AF832" s="32"/>
      <c r="AG832" s="31"/>
      <c r="AK832" s="32"/>
      <c r="AL832" s="31"/>
      <c r="AP832" s="32"/>
      <c r="AQ832" s="31"/>
    </row>
    <row r="833">
      <c r="AA833" s="32"/>
      <c r="AB833" s="31"/>
      <c r="AF833" s="32"/>
      <c r="AG833" s="31"/>
      <c r="AK833" s="32"/>
      <c r="AL833" s="31"/>
      <c r="AP833" s="32"/>
      <c r="AQ833" s="31"/>
    </row>
    <row r="834">
      <c r="AA834" s="32"/>
      <c r="AB834" s="31"/>
      <c r="AF834" s="32"/>
      <c r="AG834" s="31"/>
      <c r="AK834" s="32"/>
      <c r="AL834" s="31"/>
      <c r="AP834" s="32"/>
      <c r="AQ834" s="31"/>
    </row>
    <row r="835">
      <c r="AA835" s="32"/>
      <c r="AB835" s="31"/>
      <c r="AF835" s="32"/>
      <c r="AG835" s="31"/>
      <c r="AK835" s="32"/>
      <c r="AL835" s="31"/>
      <c r="AP835" s="32"/>
      <c r="AQ835" s="31"/>
    </row>
    <row r="836">
      <c r="AA836" s="32"/>
      <c r="AB836" s="31"/>
      <c r="AF836" s="32"/>
      <c r="AG836" s="31"/>
      <c r="AK836" s="32"/>
      <c r="AL836" s="31"/>
      <c r="AP836" s="32"/>
      <c r="AQ836" s="31"/>
    </row>
    <row r="837">
      <c r="AA837" s="32"/>
      <c r="AB837" s="31"/>
      <c r="AF837" s="32"/>
      <c r="AG837" s="31"/>
      <c r="AK837" s="32"/>
      <c r="AL837" s="31"/>
      <c r="AP837" s="32"/>
      <c r="AQ837" s="31"/>
    </row>
    <row r="838">
      <c r="AA838" s="32"/>
      <c r="AB838" s="31"/>
      <c r="AF838" s="32"/>
      <c r="AG838" s="31"/>
      <c r="AK838" s="32"/>
      <c r="AL838" s="31"/>
      <c r="AP838" s="32"/>
      <c r="AQ838" s="31"/>
    </row>
    <row r="839">
      <c r="AA839" s="32"/>
      <c r="AB839" s="31"/>
      <c r="AF839" s="32"/>
      <c r="AG839" s="31"/>
      <c r="AK839" s="32"/>
      <c r="AL839" s="31"/>
      <c r="AP839" s="32"/>
      <c r="AQ839" s="31"/>
    </row>
    <row r="840">
      <c r="AA840" s="32"/>
      <c r="AB840" s="31"/>
      <c r="AF840" s="32"/>
      <c r="AG840" s="31"/>
      <c r="AK840" s="32"/>
      <c r="AL840" s="31"/>
      <c r="AP840" s="32"/>
      <c r="AQ840" s="31"/>
    </row>
    <row r="841">
      <c r="AA841" s="32"/>
      <c r="AB841" s="31"/>
      <c r="AF841" s="32"/>
      <c r="AG841" s="31"/>
      <c r="AK841" s="32"/>
      <c r="AL841" s="31"/>
      <c r="AP841" s="32"/>
      <c r="AQ841" s="31"/>
    </row>
    <row r="842">
      <c r="AA842" s="32"/>
      <c r="AB842" s="31"/>
      <c r="AF842" s="32"/>
      <c r="AG842" s="31"/>
      <c r="AK842" s="32"/>
      <c r="AL842" s="31"/>
      <c r="AP842" s="32"/>
      <c r="AQ842" s="31"/>
    </row>
    <row r="843">
      <c r="AA843" s="32"/>
      <c r="AB843" s="31"/>
      <c r="AF843" s="32"/>
      <c r="AG843" s="31"/>
      <c r="AK843" s="32"/>
      <c r="AL843" s="31"/>
      <c r="AP843" s="32"/>
      <c r="AQ843" s="31"/>
    </row>
    <row r="844">
      <c r="AA844" s="32"/>
      <c r="AB844" s="31"/>
      <c r="AF844" s="32"/>
      <c r="AG844" s="31"/>
      <c r="AK844" s="32"/>
      <c r="AL844" s="31"/>
      <c r="AP844" s="32"/>
      <c r="AQ844" s="31"/>
    </row>
    <row r="845">
      <c r="AA845" s="32"/>
      <c r="AB845" s="31"/>
      <c r="AF845" s="32"/>
      <c r="AG845" s="31"/>
      <c r="AK845" s="32"/>
      <c r="AL845" s="31"/>
      <c r="AP845" s="32"/>
      <c r="AQ845" s="31"/>
    </row>
    <row r="846">
      <c r="AA846" s="32"/>
      <c r="AB846" s="31"/>
      <c r="AF846" s="32"/>
      <c r="AG846" s="31"/>
      <c r="AK846" s="32"/>
      <c r="AL846" s="31"/>
      <c r="AP846" s="32"/>
      <c r="AQ846" s="31"/>
    </row>
    <row r="847">
      <c r="AA847" s="32"/>
      <c r="AB847" s="31"/>
      <c r="AF847" s="32"/>
      <c r="AG847" s="31"/>
      <c r="AK847" s="32"/>
      <c r="AL847" s="31"/>
      <c r="AP847" s="32"/>
      <c r="AQ847" s="31"/>
    </row>
    <row r="848">
      <c r="AA848" s="32"/>
      <c r="AB848" s="31"/>
      <c r="AF848" s="32"/>
      <c r="AG848" s="31"/>
      <c r="AK848" s="32"/>
      <c r="AL848" s="31"/>
      <c r="AP848" s="32"/>
      <c r="AQ848" s="31"/>
    </row>
    <row r="849">
      <c r="AA849" s="32"/>
      <c r="AB849" s="31"/>
      <c r="AF849" s="32"/>
      <c r="AG849" s="31"/>
      <c r="AK849" s="32"/>
      <c r="AL849" s="31"/>
      <c r="AP849" s="32"/>
      <c r="AQ849" s="31"/>
    </row>
    <row r="850">
      <c r="AA850" s="32"/>
      <c r="AB850" s="31"/>
      <c r="AF850" s="32"/>
      <c r="AG850" s="31"/>
      <c r="AK850" s="32"/>
      <c r="AL850" s="31"/>
      <c r="AP850" s="32"/>
      <c r="AQ850" s="31"/>
    </row>
    <row r="851">
      <c r="AA851" s="32"/>
      <c r="AB851" s="31"/>
      <c r="AF851" s="32"/>
      <c r="AG851" s="31"/>
      <c r="AK851" s="32"/>
      <c r="AL851" s="31"/>
      <c r="AP851" s="32"/>
      <c r="AQ851" s="31"/>
    </row>
    <row r="852">
      <c r="AA852" s="32"/>
      <c r="AB852" s="31"/>
      <c r="AF852" s="32"/>
      <c r="AG852" s="31"/>
      <c r="AK852" s="32"/>
      <c r="AL852" s="31"/>
      <c r="AP852" s="32"/>
      <c r="AQ852" s="31"/>
    </row>
    <row r="853">
      <c r="AA853" s="32"/>
      <c r="AB853" s="31"/>
      <c r="AF853" s="32"/>
      <c r="AG853" s="31"/>
      <c r="AK853" s="32"/>
      <c r="AL853" s="31"/>
      <c r="AP853" s="32"/>
      <c r="AQ853" s="31"/>
    </row>
    <row r="854">
      <c r="AA854" s="32"/>
      <c r="AB854" s="31"/>
      <c r="AF854" s="32"/>
      <c r="AG854" s="31"/>
      <c r="AK854" s="32"/>
      <c r="AL854" s="31"/>
      <c r="AP854" s="32"/>
      <c r="AQ854" s="31"/>
    </row>
    <row r="855">
      <c r="AA855" s="32"/>
      <c r="AB855" s="31"/>
      <c r="AF855" s="32"/>
      <c r="AG855" s="31"/>
      <c r="AK855" s="32"/>
      <c r="AL855" s="31"/>
      <c r="AP855" s="32"/>
      <c r="AQ855" s="31"/>
    </row>
    <row r="856">
      <c r="AA856" s="32"/>
      <c r="AB856" s="31"/>
      <c r="AF856" s="32"/>
      <c r="AG856" s="31"/>
      <c r="AK856" s="32"/>
      <c r="AL856" s="31"/>
      <c r="AP856" s="32"/>
      <c r="AQ856" s="31"/>
    </row>
    <row r="857">
      <c r="AA857" s="32"/>
      <c r="AB857" s="31"/>
      <c r="AF857" s="32"/>
      <c r="AG857" s="31"/>
      <c r="AK857" s="32"/>
      <c r="AL857" s="31"/>
      <c r="AP857" s="32"/>
      <c r="AQ857" s="31"/>
    </row>
    <row r="858">
      <c r="AA858" s="32"/>
      <c r="AB858" s="31"/>
      <c r="AF858" s="32"/>
      <c r="AG858" s="31"/>
      <c r="AK858" s="32"/>
      <c r="AL858" s="31"/>
      <c r="AP858" s="32"/>
      <c r="AQ858" s="31"/>
    </row>
    <row r="859">
      <c r="AA859" s="32"/>
      <c r="AB859" s="31"/>
      <c r="AF859" s="32"/>
      <c r="AG859" s="31"/>
      <c r="AK859" s="32"/>
      <c r="AL859" s="31"/>
      <c r="AP859" s="32"/>
      <c r="AQ859" s="31"/>
    </row>
    <row r="860">
      <c r="AA860" s="32"/>
      <c r="AB860" s="31"/>
      <c r="AF860" s="32"/>
      <c r="AG860" s="31"/>
      <c r="AK860" s="32"/>
      <c r="AL860" s="31"/>
      <c r="AP860" s="32"/>
      <c r="AQ860" s="31"/>
    </row>
    <row r="861">
      <c r="AA861" s="32"/>
      <c r="AB861" s="31"/>
      <c r="AF861" s="32"/>
      <c r="AG861" s="31"/>
      <c r="AK861" s="32"/>
      <c r="AL861" s="31"/>
      <c r="AP861" s="32"/>
      <c r="AQ861" s="31"/>
    </row>
    <row r="862">
      <c r="AA862" s="32"/>
      <c r="AB862" s="31"/>
      <c r="AF862" s="32"/>
      <c r="AG862" s="31"/>
      <c r="AK862" s="32"/>
      <c r="AL862" s="31"/>
      <c r="AP862" s="32"/>
      <c r="AQ862" s="31"/>
    </row>
    <row r="863">
      <c r="AA863" s="32"/>
      <c r="AB863" s="31"/>
      <c r="AF863" s="32"/>
      <c r="AG863" s="31"/>
      <c r="AK863" s="32"/>
      <c r="AL863" s="31"/>
      <c r="AP863" s="32"/>
      <c r="AQ863" s="31"/>
    </row>
    <row r="864">
      <c r="AA864" s="32"/>
      <c r="AB864" s="31"/>
      <c r="AF864" s="32"/>
      <c r="AG864" s="31"/>
      <c r="AK864" s="32"/>
      <c r="AL864" s="31"/>
      <c r="AP864" s="32"/>
      <c r="AQ864" s="31"/>
    </row>
    <row r="865">
      <c r="AA865" s="32"/>
      <c r="AB865" s="31"/>
      <c r="AF865" s="32"/>
      <c r="AG865" s="31"/>
      <c r="AK865" s="32"/>
      <c r="AL865" s="31"/>
      <c r="AP865" s="32"/>
      <c r="AQ865" s="31"/>
    </row>
    <row r="866">
      <c r="AA866" s="32"/>
      <c r="AB866" s="31"/>
      <c r="AF866" s="32"/>
      <c r="AG866" s="31"/>
      <c r="AK866" s="32"/>
      <c r="AL866" s="31"/>
      <c r="AP866" s="32"/>
      <c r="AQ866" s="31"/>
    </row>
    <row r="867">
      <c r="AA867" s="32"/>
      <c r="AB867" s="31"/>
      <c r="AF867" s="32"/>
      <c r="AG867" s="31"/>
      <c r="AK867" s="32"/>
      <c r="AL867" s="31"/>
      <c r="AP867" s="32"/>
      <c r="AQ867" s="31"/>
    </row>
    <row r="868">
      <c r="AA868" s="32"/>
      <c r="AB868" s="31"/>
      <c r="AF868" s="32"/>
      <c r="AG868" s="31"/>
      <c r="AK868" s="32"/>
      <c r="AL868" s="31"/>
      <c r="AP868" s="32"/>
      <c r="AQ868" s="31"/>
    </row>
    <row r="869">
      <c r="AA869" s="32"/>
      <c r="AB869" s="31"/>
      <c r="AF869" s="32"/>
      <c r="AG869" s="31"/>
      <c r="AK869" s="32"/>
      <c r="AL869" s="31"/>
      <c r="AP869" s="32"/>
      <c r="AQ869" s="31"/>
    </row>
    <row r="870">
      <c r="AA870" s="32"/>
      <c r="AB870" s="31"/>
      <c r="AF870" s="32"/>
      <c r="AG870" s="31"/>
      <c r="AK870" s="32"/>
      <c r="AL870" s="31"/>
      <c r="AP870" s="32"/>
      <c r="AQ870" s="31"/>
    </row>
    <row r="871">
      <c r="AA871" s="32"/>
      <c r="AB871" s="31"/>
      <c r="AF871" s="32"/>
      <c r="AG871" s="31"/>
      <c r="AK871" s="32"/>
      <c r="AL871" s="31"/>
      <c r="AP871" s="32"/>
      <c r="AQ871" s="31"/>
    </row>
    <row r="872">
      <c r="AA872" s="32"/>
      <c r="AB872" s="31"/>
      <c r="AF872" s="32"/>
      <c r="AG872" s="31"/>
      <c r="AK872" s="32"/>
      <c r="AL872" s="31"/>
      <c r="AP872" s="32"/>
      <c r="AQ872" s="31"/>
    </row>
    <row r="873">
      <c r="AA873" s="32"/>
      <c r="AB873" s="31"/>
      <c r="AF873" s="32"/>
      <c r="AG873" s="31"/>
      <c r="AK873" s="32"/>
      <c r="AL873" s="31"/>
      <c r="AP873" s="32"/>
      <c r="AQ873" s="31"/>
    </row>
    <row r="874">
      <c r="AA874" s="32"/>
      <c r="AB874" s="31"/>
      <c r="AF874" s="32"/>
      <c r="AG874" s="31"/>
      <c r="AK874" s="32"/>
      <c r="AL874" s="31"/>
      <c r="AP874" s="32"/>
      <c r="AQ874" s="31"/>
    </row>
    <row r="875">
      <c r="AA875" s="32"/>
      <c r="AB875" s="31"/>
      <c r="AF875" s="32"/>
      <c r="AG875" s="31"/>
      <c r="AK875" s="32"/>
      <c r="AL875" s="31"/>
      <c r="AP875" s="32"/>
      <c r="AQ875" s="31"/>
    </row>
    <row r="876">
      <c r="AA876" s="32"/>
      <c r="AB876" s="31"/>
      <c r="AF876" s="32"/>
      <c r="AG876" s="31"/>
      <c r="AK876" s="32"/>
      <c r="AL876" s="31"/>
      <c r="AP876" s="32"/>
      <c r="AQ876" s="31"/>
    </row>
    <row r="877">
      <c r="AA877" s="32"/>
      <c r="AB877" s="31"/>
      <c r="AF877" s="32"/>
      <c r="AG877" s="31"/>
      <c r="AK877" s="32"/>
      <c r="AL877" s="31"/>
      <c r="AP877" s="32"/>
      <c r="AQ877" s="31"/>
    </row>
    <row r="878">
      <c r="AA878" s="32"/>
      <c r="AB878" s="31"/>
      <c r="AF878" s="32"/>
      <c r="AG878" s="31"/>
      <c r="AK878" s="32"/>
      <c r="AL878" s="31"/>
      <c r="AP878" s="32"/>
      <c r="AQ878" s="31"/>
    </row>
    <row r="879">
      <c r="AA879" s="32"/>
      <c r="AB879" s="31"/>
      <c r="AF879" s="32"/>
      <c r="AG879" s="31"/>
      <c r="AK879" s="32"/>
      <c r="AL879" s="31"/>
      <c r="AP879" s="32"/>
      <c r="AQ879" s="31"/>
    </row>
    <row r="880">
      <c r="AA880" s="32"/>
      <c r="AB880" s="31"/>
      <c r="AF880" s="32"/>
      <c r="AG880" s="31"/>
      <c r="AK880" s="32"/>
      <c r="AL880" s="31"/>
      <c r="AP880" s="32"/>
      <c r="AQ880" s="31"/>
    </row>
    <row r="881">
      <c r="AA881" s="32"/>
      <c r="AB881" s="31"/>
      <c r="AF881" s="32"/>
      <c r="AG881" s="31"/>
      <c r="AK881" s="32"/>
      <c r="AL881" s="31"/>
      <c r="AP881" s="32"/>
      <c r="AQ881" s="31"/>
    </row>
    <row r="882">
      <c r="AA882" s="32"/>
      <c r="AB882" s="31"/>
      <c r="AF882" s="32"/>
      <c r="AG882" s="31"/>
      <c r="AK882" s="32"/>
      <c r="AL882" s="31"/>
      <c r="AP882" s="32"/>
      <c r="AQ882" s="31"/>
    </row>
    <row r="883">
      <c r="AA883" s="32"/>
      <c r="AB883" s="31"/>
      <c r="AF883" s="32"/>
      <c r="AG883" s="31"/>
      <c r="AK883" s="32"/>
      <c r="AL883" s="31"/>
      <c r="AP883" s="32"/>
      <c r="AQ883" s="31"/>
    </row>
    <row r="884">
      <c r="AA884" s="32"/>
      <c r="AB884" s="31"/>
      <c r="AF884" s="32"/>
      <c r="AG884" s="31"/>
      <c r="AK884" s="32"/>
      <c r="AL884" s="31"/>
      <c r="AP884" s="32"/>
      <c r="AQ884" s="31"/>
    </row>
    <row r="885">
      <c r="AA885" s="32"/>
      <c r="AB885" s="31"/>
      <c r="AF885" s="32"/>
      <c r="AG885" s="31"/>
      <c r="AK885" s="32"/>
      <c r="AL885" s="31"/>
      <c r="AP885" s="32"/>
      <c r="AQ885" s="31"/>
    </row>
    <row r="886">
      <c r="AA886" s="32"/>
      <c r="AB886" s="31"/>
      <c r="AF886" s="32"/>
      <c r="AG886" s="31"/>
      <c r="AK886" s="32"/>
      <c r="AL886" s="31"/>
      <c r="AP886" s="32"/>
      <c r="AQ886" s="31"/>
    </row>
    <row r="887">
      <c r="AA887" s="32"/>
      <c r="AB887" s="31"/>
      <c r="AF887" s="32"/>
      <c r="AG887" s="31"/>
      <c r="AK887" s="32"/>
      <c r="AL887" s="31"/>
      <c r="AP887" s="32"/>
      <c r="AQ887" s="31"/>
    </row>
    <row r="888">
      <c r="AA888" s="32"/>
      <c r="AB888" s="31"/>
      <c r="AF888" s="32"/>
      <c r="AG888" s="31"/>
      <c r="AK888" s="32"/>
      <c r="AL888" s="31"/>
      <c r="AP888" s="32"/>
      <c r="AQ888" s="31"/>
    </row>
    <row r="889">
      <c r="AA889" s="32"/>
      <c r="AB889" s="31"/>
      <c r="AF889" s="32"/>
      <c r="AG889" s="31"/>
      <c r="AK889" s="32"/>
      <c r="AL889" s="31"/>
      <c r="AP889" s="32"/>
      <c r="AQ889" s="31"/>
    </row>
    <row r="890">
      <c r="AA890" s="32"/>
      <c r="AB890" s="31"/>
      <c r="AF890" s="32"/>
      <c r="AG890" s="31"/>
      <c r="AK890" s="32"/>
      <c r="AL890" s="31"/>
      <c r="AP890" s="32"/>
      <c r="AQ890" s="31"/>
    </row>
    <row r="891">
      <c r="AA891" s="32"/>
      <c r="AB891" s="31"/>
      <c r="AF891" s="32"/>
      <c r="AG891" s="31"/>
      <c r="AK891" s="32"/>
      <c r="AL891" s="31"/>
      <c r="AP891" s="32"/>
      <c r="AQ891" s="31"/>
    </row>
    <row r="892">
      <c r="AA892" s="32"/>
      <c r="AB892" s="31"/>
      <c r="AF892" s="32"/>
      <c r="AG892" s="31"/>
      <c r="AK892" s="32"/>
      <c r="AL892" s="31"/>
      <c r="AP892" s="32"/>
      <c r="AQ892" s="31"/>
    </row>
    <row r="893">
      <c r="AA893" s="32"/>
      <c r="AB893" s="31"/>
      <c r="AF893" s="32"/>
      <c r="AG893" s="31"/>
      <c r="AK893" s="32"/>
      <c r="AL893" s="31"/>
      <c r="AP893" s="32"/>
      <c r="AQ893" s="31"/>
    </row>
    <row r="894">
      <c r="AA894" s="32"/>
      <c r="AB894" s="31"/>
      <c r="AF894" s="32"/>
      <c r="AG894" s="31"/>
      <c r="AK894" s="32"/>
      <c r="AL894" s="31"/>
      <c r="AP894" s="32"/>
      <c r="AQ894" s="31"/>
    </row>
    <row r="895">
      <c r="AA895" s="32"/>
      <c r="AB895" s="31"/>
      <c r="AF895" s="32"/>
      <c r="AG895" s="31"/>
      <c r="AK895" s="32"/>
      <c r="AL895" s="31"/>
      <c r="AP895" s="32"/>
      <c r="AQ895" s="31"/>
    </row>
    <row r="896">
      <c r="AA896" s="32"/>
      <c r="AB896" s="31"/>
      <c r="AF896" s="32"/>
      <c r="AG896" s="31"/>
      <c r="AK896" s="32"/>
      <c r="AL896" s="31"/>
      <c r="AP896" s="32"/>
      <c r="AQ896" s="31"/>
    </row>
    <row r="897">
      <c r="AA897" s="32"/>
      <c r="AB897" s="31"/>
      <c r="AF897" s="32"/>
      <c r="AG897" s="31"/>
      <c r="AK897" s="32"/>
      <c r="AL897" s="31"/>
      <c r="AP897" s="32"/>
      <c r="AQ897" s="31"/>
    </row>
    <row r="898">
      <c r="AA898" s="32"/>
      <c r="AB898" s="31"/>
      <c r="AF898" s="32"/>
      <c r="AG898" s="31"/>
      <c r="AK898" s="32"/>
      <c r="AL898" s="31"/>
      <c r="AP898" s="32"/>
      <c r="AQ898" s="31"/>
    </row>
    <row r="899">
      <c r="AA899" s="32"/>
      <c r="AB899" s="31"/>
      <c r="AF899" s="32"/>
      <c r="AG899" s="31"/>
      <c r="AK899" s="32"/>
      <c r="AL899" s="31"/>
      <c r="AP899" s="32"/>
      <c r="AQ899" s="31"/>
    </row>
    <row r="900">
      <c r="AA900" s="32"/>
      <c r="AB900" s="31"/>
      <c r="AF900" s="32"/>
      <c r="AG900" s="31"/>
      <c r="AK900" s="32"/>
      <c r="AL900" s="31"/>
      <c r="AP900" s="32"/>
      <c r="AQ900" s="31"/>
    </row>
    <row r="901">
      <c r="AA901" s="32"/>
      <c r="AB901" s="31"/>
      <c r="AF901" s="32"/>
      <c r="AG901" s="31"/>
      <c r="AK901" s="32"/>
      <c r="AL901" s="31"/>
      <c r="AP901" s="32"/>
      <c r="AQ901" s="31"/>
    </row>
    <row r="902">
      <c r="AA902" s="32"/>
      <c r="AB902" s="31"/>
      <c r="AF902" s="32"/>
      <c r="AG902" s="31"/>
      <c r="AK902" s="32"/>
      <c r="AL902" s="31"/>
      <c r="AP902" s="32"/>
      <c r="AQ902" s="31"/>
    </row>
    <row r="903">
      <c r="AA903" s="32"/>
      <c r="AB903" s="31"/>
      <c r="AF903" s="32"/>
      <c r="AG903" s="31"/>
      <c r="AK903" s="32"/>
      <c r="AL903" s="31"/>
      <c r="AP903" s="32"/>
      <c r="AQ903" s="31"/>
    </row>
    <row r="904">
      <c r="AA904" s="32"/>
      <c r="AB904" s="31"/>
      <c r="AF904" s="32"/>
      <c r="AG904" s="31"/>
      <c r="AK904" s="32"/>
      <c r="AL904" s="31"/>
      <c r="AP904" s="32"/>
      <c r="AQ904" s="31"/>
    </row>
    <row r="905">
      <c r="AA905" s="32"/>
      <c r="AB905" s="31"/>
      <c r="AF905" s="32"/>
      <c r="AG905" s="31"/>
      <c r="AK905" s="32"/>
      <c r="AL905" s="31"/>
      <c r="AP905" s="32"/>
      <c r="AQ905" s="31"/>
    </row>
    <row r="906">
      <c r="AA906" s="32"/>
      <c r="AB906" s="31"/>
      <c r="AF906" s="32"/>
      <c r="AG906" s="31"/>
      <c r="AK906" s="32"/>
      <c r="AL906" s="31"/>
      <c r="AP906" s="32"/>
      <c r="AQ906" s="31"/>
    </row>
    <row r="907">
      <c r="AA907" s="32"/>
      <c r="AB907" s="31"/>
      <c r="AF907" s="32"/>
      <c r="AG907" s="31"/>
      <c r="AK907" s="32"/>
      <c r="AL907" s="31"/>
      <c r="AP907" s="32"/>
      <c r="AQ907" s="31"/>
    </row>
    <row r="908">
      <c r="AA908" s="32"/>
      <c r="AB908" s="31"/>
      <c r="AF908" s="32"/>
      <c r="AG908" s="31"/>
      <c r="AK908" s="32"/>
      <c r="AL908" s="31"/>
      <c r="AP908" s="32"/>
      <c r="AQ908" s="31"/>
    </row>
    <row r="909">
      <c r="AA909" s="32"/>
      <c r="AB909" s="31"/>
      <c r="AF909" s="32"/>
      <c r="AG909" s="31"/>
      <c r="AK909" s="32"/>
      <c r="AL909" s="31"/>
      <c r="AP909" s="32"/>
      <c r="AQ909" s="31"/>
    </row>
    <row r="910">
      <c r="AA910" s="32"/>
      <c r="AB910" s="31"/>
      <c r="AF910" s="32"/>
      <c r="AG910" s="31"/>
      <c r="AK910" s="32"/>
      <c r="AL910" s="31"/>
      <c r="AP910" s="32"/>
      <c r="AQ910" s="31"/>
    </row>
    <row r="911">
      <c r="AA911" s="32"/>
      <c r="AB911" s="31"/>
      <c r="AF911" s="32"/>
      <c r="AG911" s="31"/>
      <c r="AK911" s="32"/>
      <c r="AL911" s="31"/>
      <c r="AP911" s="32"/>
      <c r="AQ911" s="31"/>
    </row>
    <row r="912">
      <c r="AA912" s="32"/>
      <c r="AB912" s="31"/>
      <c r="AF912" s="32"/>
      <c r="AG912" s="31"/>
      <c r="AK912" s="32"/>
      <c r="AL912" s="31"/>
      <c r="AP912" s="32"/>
      <c r="AQ912" s="31"/>
    </row>
    <row r="913">
      <c r="AA913" s="32"/>
      <c r="AB913" s="31"/>
      <c r="AF913" s="32"/>
      <c r="AG913" s="31"/>
      <c r="AK913" s="32"/>
      <c r="AL913" s="31"/>
      <c r="AP913" s="32"/>
      <c r="AQ913" s="31"/>
    </row>
    <row r="914">
      <c r="AA914" s="32"/>
      <c r="AB914" s="31"/>
      <c r="AF914" s="32"/>
      <c r="AG914" s="31"/>
      <c r="AK914" s="32"/>
      <c r="AL914" s="31"/>
      <c r="AP914" s="32"/>
      <c r="AQ914" s="31"/>
    </row>
    <row r="915">
      <c r="AA915" s="32"/>
      <c r="AB915" s="31"/>
      <c r="AF915" s="32"/>
      <c r="AG915" s="31"/>
      <c r="AK915" s="32"/>
      <c r="AL915" s="31"/>
      <c r="AP915" s="32"/>
      <c r="AQ915" s="31"/>
    </row>
    <row r="916">
      <c r="AA916" s="32"/>
      <c r="AB916" s="31"/>
      <c r="AF916" s="32"/>
      <c r="AG916" s="31"/>
      <c r="AK916" s="32"/>
      <c r="AL916" s="31"/>
      <c r="AP916" s="32"/>
      <c r="AQ916" s="31"/>
    </row>
    <row r="917">
      <c r="AA917" s="32"/>
      <c r="AB917" s="31"/>
      <c r="AF917" s="32"/>
      <c r="AG917" s="31"/>
      <c r="AK917" s="32"/>
      <c r="AL917" s="31"/>
      <c r="AP917" s="32"/>
      <c r="AQ917" s="31"/>
    </row>
    <row r="918">
      <c r="AA918" s="32"/>
      <c r="AB918" s="31"/>
      <c r="AF918" s="32"/>
      <c r="AG918" s="31"/>
      <c r="AK918" s="32"/>
      <c r="AL918" s="31"/>
      <c r="AP918" s="32"/>
      <c r="AQ918" s="31"/>
    </row>
    <row r="919">
      <c r="AA919" s="32"/>
      <c r="AB919" s="31"/>
      <c r="AF919" s="32"/>
      <c r="AG919" s="31"/>
      <c r="AK919" s="32"/>
      <c r="AL919" s="31"/>
      <c r="AP919" s="32"/>
      <c r="AQ919" s="31"/>
    </row>
    <row r="920">
      <c r="AA920" s="32"/>
      <c r="AB920" s="31"/>
      <c r="AF920" s="32"/>
      <c r="AG920" s="31"/>
      <c r="AK920" s="32"/>
      <c r="AL920" s="31"/>
      <c r="AP920" s="32"/>
      <c r="AQ920" s="31"/>
    </row>
    <row r="921">
      <c r="AA921" s="32"/>
      <c r="AB921" s="31"/>
      <c r="AF921" s="32"/>
      <c r="AG921" s="31"/>
      <c r="AK921" s="32"/>
      <c r="AL921" s="31"/>
      <c r="AP921" s="32"/>
      <c r="AQ921" s="31"/>
    </row>
    <row r="922">
      <c r="AA922" s="32"/>
      <c r="AB922" s="31"/>
      <c r="AF922" s="32"/>
      <c r="AG922" s="31"/>
      <c r="AK922" s="32"/>
      <c r="AL922" s="31"/>
      <c r="AP922" s="32"/>
      <c r="AQ922" s="31"/>
    </row>
    <row r="923">
      <c r="AA923" s="32"/>
      <c r="AB923" s="31"/>
      <c r="AF923" s="32"/>
      <c r="AG923" s="31"/>
      <c r="AK923" s="32"/>
      <c r="AL923" s="31"/>
      <c r="AP923" s="32"/>
      <c r="AQ923" s="31"/>
    </row>
    <row r="924">
      <c r="AA924" s="32"/>
      <c r="AB924" s="31"/>
      <c r="AF924" s="32"/>
      <c r="AG924" s="31"/>
      <c r="AK924" s="32"/>
      <c r="AL924" s="31"/>
      <c r="AP924" s="32"/>
      <c r="AQ924" s="31"/>
    </row>
    <row r="925">
      <c r="AA925" s="32"/>
      <c r="AB925" s="31"/>
      <c r="AF925" s="32"/>
      <c r="AG925" s="31"/>
      <c r="AK925" s="32"/>
      <c r="AL925" s="31"/>
      <c r="AP925" s="32"/>
      <c r="AQ925" s="31"/>
    </row>
    <row r="926">
      <c r="AA926" s="32"/>
      <c r="AB926" s="31"/>
      <c r="AF926" s="32"/>
      <c r="AG926" s="31"/>
      <c r="AK926" s="32"/>
      <c r="AL926" s="31"/>
      <c r="AP926" s="32"/>
      <c r="AQ926" s="31"/>
    </row>
    <row r="927">
      <c r="AA927" s="32"/>
      <c r="AB927" s="31"/>
      <c r="AF927" s="32"/>
      <c r="AG927" s="31"/>
      <c r="AK927" s="32"/>
      <c r="AL927" s="31"/>
      <c r="AP927" s="32"/>
      <c r="AQ927" s="31"/>
    </row>
    <row r="928">
      <c r="AA928" s="32"/>
      <c r="AB928" s="31"/>
      <c r="AF928" s="32"/>
      <c r="AG928" s="31"/>
      <c r="AK928" s="32"/>
      <c r="AL928" s="31"/>
      <c r="AP928" s="32"/>
      <c r="AQ928" s="31"/>
    </row>
    <row r="929">
      <c r="AA929" s="32"/>
      <c r="AB929" s="31"/>
      <c r="AF929" s="32"/>
      <c r="AG929" s="31"/>
      <c r="AK929" s="32"/>
      <c r="AL929" s="31"/>
      <c r="AP929" s="32"/>
      <c r="AQ929" s="31"/>
    </row>
    <row r="930">
      <c r="AA930" s="32"/>
      <c r="AB930" s="31"/>
      <c r="AF930" s="32"/>
      <c r="AG930" s="31"/>
      <c r="AK930" s="32"/>
      <c r="AL930" s="31"/>
      <c r="AP930" s="32"/>
      <c r="AQ930" s="31"/>
    </row>
    <row r="931">
      <c r="AA931" s="32"/>
      <c r="AB931" s="31"/>
      <c r="AF931" s="32"/>
      <c r="AG931" s="31"/>
      <c r="AK931" s="32"/>
      <c r="AL931" s="31"/>
      <c r="AP931" s="32"/>
      <c r="AQ931" s="31"/>
    </row>
    <row r="932">
      <c r="AA932" s="32"/>
      <c r="AB932" s="31"/>
      <c r="AF932" s="32"/>
      <c r="AG932" s="31"/>
      <c r="AK932" s="32"/>
      <c r="AL932" s="31"/>
      <c r="AP932" s="32"/>
      <c r="AQ932" s="31"/>
    </row>
    <row r="933">
      <c r="AA933" s="32"/>
      <c r="AB933" s="31"/>
      <c r="AF933" s="32"/>
      <c r="AG933" s="31"/>
      <c r="AK933" s="32"/>
      <c r="AL933" s="31"/>
      <c r="AP933" s="32"/>
      <c r="AQ933" s="31"/>
    </row>
    <row r="934">
      <c r="AA934" s="32"/>
      <c r="AB934" s="31"/>
      <c r="AF934" s="32"/>
      <c r="AG934" s="31"/>
      <c r="AK934" s="32"/>
      <c r="AL934" s="31"/>
      <c r="AP934" s="32"/>
      <c r="AQ934" s="31"/>
    </row>
    <row r="935">
      <c r="AA935" s="32"/>
      <c r="AB935" s="31"/>
      <c r="AF935" s="32"/>
      <c r="AG935" s="31"/>
      <c r="AK935" s="32"/>
      <c r="AL935" s="31"/>
      <c r="AP935" s="32"/>
      <c r="AQ935" s="31"/>
    </row>
    <row r="936">
      <c r="AA936" s="32"/>
      <c r="AB936" s="31"/>
      <c r="AF936" s="32"/>
      <c r="AG936" s="31"/>
      <c r="AK936" s="32"/>
      <c r="AL936" s="31"/>
      <c r="AP936" s="32"/>
      <c r="AQ936" s="31"/>
    </row>
    <row r="937">
      <c r="AA937" s="32"/>
      <c r="AB937" s="31"/>
      <c r="AF937" s="32"/>
      <c r="AG937" s="31"/>
      <c r="AK937" s="32"/>
      <c r="AL937" s="31"/>
      <c r="AP937" s="32"/>
      <c r="AQ937" s="31"/>
    </row>
    <row r="938">
      <c r="AA938" s="32"/>
      <c r="AB938" s="31"/>
      <c r="AF938" s="32"/>
      <c r="AG938" s="31"/>
      <c r="AK938" s="32"/>
      <c r="AL938" s="31"/>
      <c r="AP938" s="32"/>
      <c r="AQ938" s="31"/>
    </row>
    <row r="939">
      <c r="AA939" s="32"/>
      <c r="AB939" s="31"/>
      <c r="AF939" s="32"/>
      <c r="AG939" s="31"/>
      <c r="AK939" s="32"/>
      <c r="AL939" s="31"/>
      <c r="AP939" s="32"/>
      <c r="AQ939" s="31"/>
    </row>
    <row r="940">
      <c r="AA940" s="32"/>
      <c r="AB940" s="31"/>
      <c r="AF940" s="32"/>
      <c r="AG940" s="31"/>
      <c r="AK940" s="32"/>
      <c r="AL940" s="31"/>
      <c r="AP940" s="32"/>
      <c r="AQ940" s="31"/>
    </row>
    <row r="941">
      <c r="AA941" s="32"/>
      <c r="AB941" s="31"/>
      <c r="AF941" s="32"/>
      <c r="AG941" s="31"/>
      <c r="AK941" s="32"/>
      <c r="AL941" s="31"/>
      <c r="AP941" s="32"/>
      <c r="AQ941" s="31"/>
    </row>
    <row r="942">
      <c r="AA942" s="32"/>
      <c r="AB942" s="31"/>
      <c r="AF942" s="32"/>
      <c r="AG942" s="31"/>
      <c r="AK942" s="32"/>
      <c r="AL942" s="31"/>
      <c r="AP942" s="32"/>
      <c r="AQ942" s="31"/>
    </row>
    <row r="943">
      <c r="AA943" s="32"/>
      <c r="AB943" s="31"/>
      <c r="AF943" s="32"/>
      <c r="AG943" s="31"/>
      <c r="AK943" s="32"/>
      <c r="AL943" s="31"/>
      <c r="AP943" s="32"/>
      <c r="AQ943" s="31"/>
    </row>
    <row r="944">
      <c r="AA944" s="32"/>
      <c r="AB944" s="31"/>
      <c r="AF944" s="32"/>
      <c r="AG944" s="31"/>
      <c r="AK944" s="32"/>
      <c r="AL944" s="31"/>
      <c r="AP944" s="32"/>
      <c r="AQ944" s="31"/>
    </row>
    <row r="945">
      <c r="AA945" s="32"/>
      <c r="AB945" s="31"/>
      <c r="AF945" s="32"/>
      <c r="AG945" s="31"/>
      <c r="AK945" s="32"/>
      <c r="AL945" s="31"/>
      <c r="AP945" s="32"/>
      <c r="AQ945" s="31"/>
    </row>
    <row r="946">
      <c r="AA946" s="32"/>
      <c r="AB946" s="31"/>
      <c r="AF946" s="32"/>
      <c r="AG946" s="31"/>
      <c r="AK946" s="32"/>
      <c r="AL946" s="31"/>
      <c r="AP946" s="32"/>
      <c r="AQ946" s="31"/>
    </row>
    <row r="947">
      <c r="AA947" s="32"/>
      <c r="AB947" s="31"/>
      <c r="AF947" s="32"/>
      <c r="AG947" s="31"/>
      <c r="AK947" s="32"/>
      <c r="AL947" s="31"/>
      <c r="AP947" s="32"/>
      <c r="AQ947" s="31"/>
    </row>
    <row r="948">
      <c r="AA948" s="32"/>
      <c r="AB948" s="31"/>
      <c r="AF948" s="32"/>
      <c r="AG948" s="31"/>
      <c r="AK948" s="32"/>
      <c r="AL948" s="31"/>
      <c r="AP948" s="32"/>
      <c r="AQ948" s="31"/>
    </row>
    <row r="949">
      <c r="AA949" s="32"/>
      <c r="AB949" s="31"/>
      <c r="AF949" s="32"/>
      <c r="AG949" s="31"/>
      <c r="AK949" s="32"/>
      <c r="AL949" s="31"/>
      <c r="AP949" s="32"/>
      <c r="AQ949" s="31"/>
    </row>
    <row r="950">
      <c r="AA950" s="32"/>
      <c r="AB950" s="31"/>
      <c r="AF950" s="32"/>
      <c r="AG950" s="31"/>
      <c r="AK950" s="32"/>
      <c r="AL950" s="31"/>
      <c r="AP950" s="32"/>
      <c r="AQ950" s="31"/>
    </row>
    <row r="951">
      <c r="AA951" s="32"/>
      <c r="AB951" s="31"/>
      <c r="AF951" s="32"/>
      <c r="AG951" s="31"/>
      <c r="AK951" s="32"/>
      <c r="AL951" s="31"/>
      <c r="AP951" s="32"/>
      <c r="AQ951" s="31"/>
    </row>
    <row r="952">
      <c r="AA952" s="32"/>
      <c r="AB952" s="31"/>
      <c r="AF952" s="32"/>
      <c r="AG952" s="31"/>
      <c r="AK952" s="32"/>
      <c r="AL952" s="31"/>
      <c r="AP952" s="32"/>
      <c r="AQ952" s="31"/>
    </row>
    <row r="953">
      <c r="AA953" s="32"/>
      <c r="AB953" s="31"/>
      <c r="AF953" s="32"/>
      <c r="AG953" s="31"/>
      <c r="AK953" s="32"/>
      <c r="AL953" s="31"/>
      <c r="AP953" s="32"/>
      <c r="AQ953" s="31"/>
    </row>
    <row r="954">
      <c r="AA954" s="32"/>
      <c r="AB954" s="31"/>
      <c r="AF954" s="32"/>
      <c r="AG954" s="31"/>
      <c r="AK954" s="32"/>
      <c r="AL954" s="31"/>
      <c r="AP954" s="32"/>
      <c r="AQ954" s="31"/>
    </row>
    <row r="955">
      <c r="AA955" s="32"/>
      <c r="AB955" s="31"/>
      <c r="AF955" s="32"/>
      <c r="AG955" s="31"/>
      <c r="AK955" s="32"/>
      <c r="AL955" s="31"/>
      <c r="AP955" s="32"/>
      <c r="AQ955" s="31"/>
    </row>
    <row r="956">
      <c r="AA956" s="32"/>
      <c r="AB956" s="31"/>
      <c r="AF956" s="32"/>
      <c r="AG956" s="31"/>
      <c r="AK956" s="32"/>
      <c r="AL956" s="31"/>
      <c r="AP956" s="32"/>
      <c r="AQ956" s="31"/>
    </row>
    <row r="957">
      <c r="AA957" s="32"/>
      <c r="AB957" s="31"/>
      <c r="AF957" s="32"/>
      <c r="AG957" s="31"/>
      <c r="AK957" s="32"/>
      <c r="AL957" s="31"/>
      <c r="AP957" s="32"/>
      <c r="AQ957" s="31"/>
    </row>
    <row r="958">
      <c r="AA958" s="32"/>
      <c r="AB958" s="31"/>
      <c r="AF958" s="32"/>
      <c r="AG958" s="31"/>
      <c r="AK958" s="32"/>
      <c r="AL958" s="31"/>
      <c r="AP958" s="32"/>
      <c r="AQ958" s="31"/>
    </row>
    <row r="959">
      <c r="AA959" s="32"/>
      <c r="AB959" s="31"/>
      <c r="AF959" s="32"/>
      <c r="AG959" s="31"/>
      <c r="AK959" s="32"/>
      <c r="AL959" s="31"/>
      <c r="AP959" s="32"/>
      <c r="AQ959" s="31"/>
    </row>
    <row r="960">
      <c r="AA960" s="32"/>
      <c r="AB960" s="31"/>
      <c r="AF960" s="32"/>
      <c r="AG960" s="31"/>
      <c r="AK960" s="32"/>
      <c r="AL960" s="31"/>
      <c r="AP960" s="32"/>
      <c r="AQ960" s="31"/>
    </row>
    <row r="961">
      <c r="AA961" s="32"/>
      <c r="AB961" s="31"/>
      <c r="AF961" s="32"/>
      <c r="AG961" s="31"/>
      <c r="AK961" s="32"/>
      <c r="AL961" s="31"/>
      <c r="AP961" s="32"/>
      <c r="AQ961" s="31"/>
    </row>
    <row r="962">
      <c r="AA962" s="32"/>
      <c r="AB962" s="31"/>
      <c r="AF962" s="32"/>
      <c r="AG962" s="31"/>
      <c r="AK962" s="32"/>
      <c r="AL962" s="31"/>
      <c r="AP962" s="32"/>
      <c r="AQ962" s="31"/>
    </row>
  </sheetData>
  <conditionalFormatting sqref="DE2:DE362">
    <cfRule type="expression" dxfId="3" priority="1">
      <formula>AND($DE2 = 0, $DC2 &gt;= -$DX2)</formula>
    </cfRule>
  </conditionalFormatting>
  <conditionalFormatting sqref="DE2:DE362">
    <cfRule type="expression" dxfId="0" priority="2">
      <formula>AND($DE2 = 0, $DC2 &lt; -$DX2)</formula>
    </cfRule>
  </conditionalFormatting>
  <conditionalFormatting sqref="DE2:DE362">
    <cfRule type="expression" dxfId="1" priority="3">
      <formula>$DE2 &lt; $DC2</formula>
    </cfRule>
  </conditionalFormatting>
  <conditionalFormatting sqref="DE2:DE362">
    <cfRule type="expression" dxfId="2" priority="4">
      <formula>$DE2=$DC2</formula>
    </cfRule>
  </conditionalFormatting>
  <conditionalFormatting sqref="DX1:DZ1013">
    <cfRule type="cellIs" dxfId="2" priority="5" operator="greaterThan">
      <formula>0</formula>
    </cfRule>
  </conditionalFormatting>
  <conditionalFormatting sqref="DX1:DZ1013">
    <cfRule type="cellIs" dxfId="0" priority="6" operator="lessThan">
      <formula>0</formula>
    </cfRule>
  </conditionalFormatting>
  <conditionalFormatting sqref="DX1:DZ1013">
    <cfRule type="cellIs" dxfId="1" priority="7" operator="equal">
      <formula>0</formula>
    </cfRule>
  </conditionalFormatting>
  <dataValidations>
    <dataValidation type="list" allowBlank="1" showInputMessage="1" showErrorMessage="1" prompt="Invalid value" sqref="ED2:ED341">
      <formula1>"Master Dealer,Self"</formula1>
    </dataValidation>
    <dataValidation type="list" allowBlank="1" showErrorMessage="1" sqref="E2:E341 J2:J341 O2:O341 T2:T341 Y2:Y341 AD2:AD341 AN2:AN341 AS2:AS341 AX2:AX341 BC2:BC341 BH2:BH341 AI2:AI342">
      <formula1>"Base Pay,Cut &amp; Pay,Full Pay"</formula1>
    </dataValidation>
    <dataValidation type="list" allowBlank="1" showErrorMessage="1" sqref="G2:G175 L2:L175 Q2:Q175 V2:V175 AA2:AA175 AF2:AF175 AK2:AK175 AP2:AP175 AU2:AU175 AZ2:AZ175 BE2:BE175 BJ2:BJ175 G178:G179 L178:L179 Q178:Q179 V178:V179 AA178:AA179 AF178:AF179 AK178:AK179 AP178:AP179 AU178:AU179 AZ178:AZ179 BE178:BE179 BJ178:BJ179 G197:G202 L197:L202 Q197:Q202 V197:V202 AA197:AA202 AF197:AF202 AK197:AK202 AP197:AP202 AU197:AU202 AZ197:AZ202 BE197:BE202 BJ197:BJ202 G210:G211 L210:L211 Q210:Q211 V210:V211 AA210:AA211 AF210:AF211 AK210:AK211 AP210:AP211 AU210:AU211 AZ210:AZ211 BE210:BE211 BJ210:BJ211 G213 L213 Q213 V213 AA213 AF213 AK213 AP213 AU213 AZ213 BE213 BJ213 G219 L219 Q219 V219 AA219 AF219 AK219 AP219 AU219 AZ219 BE219 BJ219 G222 L222 Q222 V222 AA222 AF222 AK222 AP222 AU222 AZ222 BE222 BJ222 G224:G228 L224:L228 Q224:Q228 V224:V228 AA224:AA228 AF224:AF228 AK224:AK228 AP224:AP228 AU224:AU228 AZ224:AZ228 BE224:BE228 BJ224:BJ228 G296:G300 L296:L300 Q296:Q300 V296:V300 AA296:AA300 AF296:AF300 AK296:AK300 AP296:AP300 AU296:AU300 AZ296:AZ300 BE296:BE300 BJ296:BJ300 G303:G304 L303:L304 Q303:Q304 V303:V304 AA303:AA304 AF303:AF304 AK303:AK304 AP303:AP304 AU303:AU304 AZ303:AZ304 BE303:BE304 BJ303:BJ304 G310 L310 Q310 V310 AA310 AF310 AK310 AP310 AU310 AZ310 BE310 BJ310 G312 L312 Q312 V312 AA312 AF312 AK312 AP312 AU312 AZ312 BE312 BJ312 G314:G316 L314:L316 Q314:Q316 V314:V316 AA314:AA316 AF314:AF316 AK314:AK316 AP314:AP316 AU314:AU316 AZ314:AZ316 BE314:BE316 BJ314:BJ316 G318:G320 L318:L320 Q318:Q320 V318:V320 AA318:AA320 AF318:AF320 AK318:AK320 AP318:AP320 AU318:AU320 AZ318:AZ320 BE318:BE320 BJ318:BJ320 G327 L327 Q327 V327 AA327 AF327 AK327 AP327 AU327 AZ327 BE327 BJ327 G329 L329 Q329 V329 AA329 AF329 AK329 AP329 AU329 AZ329 BE329 BJ329">
      <formula1>"Percentage (%),Rupees (₹)"</formula1>
    </dataValidation>
    <dataValidation type="list" allowBlank="1" showErrorMessage="1" sqref="C2:C341">
      <formula1>"Master Dealer,Self"</formula1>
    </dataValidation>
    <dataValidation type="list" allowBlank="1" sqref="D2:D175 D178:D179 D197:D202 D210:D211 D213 D219 D222 D224:D228 D296:D300 D303:D304 D310 D312 D314:D316 D318:D320 D327 D329">
      <formula1>"Yes,No"</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2" width="14.63"/>
    <col customWidth="1" min="3" max="3" width="19.88"/>
    <col customWidth="1" min="4" max="4" width="26.38"/>
    <col customWidth="1" min="5" max="5" width="32.0"/>
    <col customWidth="1" min="6" max="6" width="26.75"/>
    <col customWidth="1" min="7" max="7" width="33.13"/>
    <col customWidth="1" min="8" max="8" width="31.13"/>
    <col customWidth="1" min="9" max="9" width="17.63"/>
    <col customWidth="1" min="10" max="10" width="26.88"/>
    <col customWidth="1" min="11" max="11" width="25.88"/>
    <col customWidth="1" hidden="1" min="12" max="17" width="14.13"/>
    <col customWidth="1" min="18" max="18" width="10.75"/>
    <col customWidth="1" min="19" max="19" width="16.5"/>
    <col customWidth="1" min="20" max="20" width="20.75"/>
    <col customWidth="1" min="21" max="21" width="26.0"/>
    <col customWidth="1" min="22" max="22" width="9.63"/>
    <col customWidth="1" min="23" max="23" width="9.5"/>
    <col customWidth="1" min="24" max="24" width="8.88"/>
    <col customWidth="1" min="25" max="25" width="16.5"/>
    <col customWidth="1" min="26" max="26" width="13.25"/>
    <col customWidth="1" min="27" max="27" width="12.25"/>
    <col customWidth="1" min="28" max="28" width="19.13"/>
    <col customWidth="1" min="29" max="29" width="30.5"/>
    <col customWidth="1" min="30" max="30" width="12.25"/>
    <col customWidth="1" min="31" max="31" width="16.88"/>
  </cols>
  <sheetData>
    <row r="1">
      <c r="A1" s="44" t="str">
        <f>IFERROR(__xludf.DUMMYFUNCTION("IMPORTRANGE(""1rk-204bbetV74zvTztMJf1b6Zj8rMtkYT6HU-XLK26Y"", ""Calculations!A:AE"")"),"Total CPA Policies")</f>
        <v>Total CPA Policies</v>
      </c>
      <c r="B1" s="44" t="str">
        <f>IFERROR(__xludf.DUMMYFUNCTION("""COMPUTED_VALUE"""),"Total RSA Policies")</f>
        <v>Total RSA Policies</v>
      </c>
      <c r="C1" s="44" t="str">
        <f>IFERROR(__xludf.DUMMYFUNCTION("""COMPUTED_VALUE"""),"Total CPA + RSA Policies")</f>
        <v>Total CPA + RSA Policies</v>
      </c>
      <c r="D1" s="44" t="str">
        <f>IFERROR(__xludf.DUMMYFUNCTION("""COMPUTED_VALUE"""),"Total CPA + RSA + AHDC Policies")</f>
        <v>Total CPA + RSA + AHDC Policies</v>
      </c>
      <c r="E1" s="44" t="str">
        <f>IFERROR(__xludf.DUMMYFUNCTION("""COMPUTED_VALUE"""),"Total CPA + RSA + AHDC + DOC Policies")</f>
        <v>Total CPA + RSA + AHDC + DOC Policies</v>
      </c>
      <c r="F1" s="44" t="str">
        <f>IFERROR(__xludf.DUMMYFUNCTION("""COMPUTED_VALUE"""),"Total CPA + RSA : 5 Years Policies")</f>
        <v>Total CPA + RSA : 5 Years Policies</v>
      </c>
      <c r="G1" s="44" t="str">
        <f>IFERROR(__xludf.DUMMYFUNCTION("""COMPUTED_VALUE"""),"Total Assistance + CPA + AHDC2X Policies")</f>
        <v>Total Assistance + CPA + AHDC2X Policies</v>
      </c>
      <c r="H1" s="44" t="str">
        <f>IFERROR(__xludf.DUMMYFUNCTION("""COMPUTED_VALUE"""),"Total Assistance + CPA + AHDC Policies")</f>
        <v>Total Assistance + CPA + AHDC Policies</v>
      </c>
      <c r="I1" s="44" t="str">
        <f>IFERROR(__xludf.DUMMYFUNCTION("""COMPUTED_VALUE"""),"Total ACPA5Y Policies")</f>
        <v>Total ACPA5Y Policies</v>
      </c>
      <c r="J1" s="44" t="str">
        <f>IFERROR(__xludf.DUMMYFUNCTION("""COMPUTED_VALUE"""),"Total RSA + AHDC + DOC Policies")</f>
        <v>Total RSA + AHDC + DOC Policies</v>
      </c>
      <c r="K1" s="44" t="str">
        <f>IFERROR(__xludf.DUMMYFUNCTION("""COMPUTED_VALUE"""),"Total Assistance + AHDC Policies")</f>
        <v>Total Assistance + AHDC Policies</v>
      </c>
      <c r="L1" s="44" t="str">
        <f>IFERROR(__xludf.DUMMYFUNCTION("""COMPUTED_VALUE"""),"Total RSA - EV Policies")</f>
        <v>Total RSA - EV Policies</v>
      </c>
      <c r="M1" s="44" t="str">
        <f>IFERROR(__xludf.DUMMYFUNCTION("""COMPUTED_VALUE"""),"&lt;For Future Use&gt;")</f>
        <v>&lt;For Future Use&gt;</v>
      </c>
      <c r="N1" s="44" t="str">
        <f>IFERROR(__xludf.DUMMYFUNCTION("""COMPUTED_VALUE"""),"&lt;For Future Use&gt;")</f>
        <v>&lt;For Future Use&gt;</v>
      </c>
      <c r="O1" s="44" t="str">
        <f>IFERROR(__xludf.DUMMYFUNCTION("""COMPUTED_VALUE"""),"&lt;For Future Use&gt;")</f>
        <v>&lt;For Future Use&gt;</v>
      </c>
      <c r="P1" s="44" t="str">
        <f>IFERROR(__xludf.DUMMYFUNCTION("""COMPUTED_VALUE"""),"&lt;For Future Use&gt;")</f>
        <v>&lt;For Future Use&gt;</v>
      </c>
      <c r="Q1" s="44" t="str">
        <f>IFERROR(__xludf.DUMMYFUNCTION("""COMPUTED_VALUE"""),"&lt;For Future Use&gt;")</f>
        <v>&lt;For Future Use&gt;</v>
      </c>
      <c r="R1" s="44" t="str">
        <f>IFERROR(__xludf.DUMMYFUNCTION("""COMPUTED_VALUE"""),"Total Policies")</f>
        <v>Total Policies</v>
      </c>
      <c r="S1" s="44" t="str">
        <f>IFERROR(__xludf.DUMMYFUNCTION("""COMPUTED_VALUE"""),"Total Invoice Amount")</f>
        <v>Total Invoice Amount</v>
      </c>
      <c r="T1" s="44" t="str">
        <f>IFERROR(__xludf.DUMMYFUNCTION("""COMPUTED_VALUE"""),"Total Base Cost of Policies")</f>
        <v>Total Base Cost of Policies</v>
      </c>
      <c r="U1" s="44" t="str">
        <f>IFERROR(__xludf.DUMMYFUNCTION("""COMPUTED_VALUE"""),"Total Costing of Policies with GST")</f>
        <v>Total Costing of Policies with GST</v>
      </c>
      <c r="V1" s="44" t="str">
        <f>IFERROR(__xludf.DUMMYFUNCTION("""COMPUTED_VALUE"""),"Total CGST")</f>
        <v>Total CGST</v>
      </c>
      <c r="W1" s="44" t="str">
        <f>IFERROR(__xludf.DUMMYFUNCTION("""COMPUTED_VALUE"""),"Total SGST")</f>
        <v>Total SGST</v>
      </c>
      <c r="X1" s="44" t="str">
        <f>IFERROR(__xludf.DUMMYFUNCTION("""COMPUTED_VALUE"""),"Total IGST")</f>
        <v>Total IGST</v>
      </c>
      <c r="Y1" s="44" t="str">
        <f>IFERROR(__xludf.DUMMYFUNCTION("""COMPUTED_VALUE"""),"Total Combined GST")</f>
        <v>Total Combined GST</v>
      </c>
      <c r="Z1" s="44" t="str">
        <f>IFERROR(__xludf.DUMMYFUNCTION("""COMPUTED_VALUE"""),"Total Receivable")</f>
        <v>Total Receivable</v>
      </c>
      <c r="AA1" s="44" t="str">
        <f>IFERROR(__xludf.DUMMYFUNCTION("""COMPUTED_VALUE"""),"Net Receivable")</f>
        <v>Net Receivable</v>
      </c>
      <c r="AB1" s="44" t="str">
        <f>IFERROR(__xludf.DUMMYFUNCTION("""COMPUTED_VALUE"""),"Total Payout before TDS")</f>
        <v>Total Payout before TDS</v>
      </c>
      <c r="AC1" s="44" t="str">
        <f>IFERROR(__xludf.DUMMYFUNCTION("""COMPUTED_VALUE"""),"Payout Adjusted in Balance (Cut &amp; Pay)")</f>
        <v>Payout Adjusted in Balance (Cut &amp; Pay)</v>
      </c>
      <c r="AD1" s="44" t="str">
        <f>IFERROR(__xludf.DUMMYFUNCTION("""COMPUTED_VALUE"""),"TDS on Payout")</f>
        <v>TDS on Payout</v>
      </c>
      <c r="AE1" s="44" t="str">
        <f>IFERROR(__xludf.DUMMYFUNCTION("""COMPUTED_VALUE"""),"Net Payout after TDS")</f>
        <v>Net Payout after TDS</v>
      </c>
    </row>
    <row r="2">
      <c r="A2" s="26">
        <f>IFERROR(__xludf.DUMMYFUNCTION("""COMPUTED_VALUE"""),0.0)</f>
        <v>0</v>
      </c>
      <c r="B2" s="26">
        <f>IFERROR(__xludf.DUMMYFUNCTION("""COMPUTED_VALUE"""),0.0)</f>
        <v>0</v>
      </c>
      <c r="C2" s="26">
        <f>IFERROR(__xludf.DUMMYFUNCTION("""COMPUTED_VALUE"""),1.0)</f>
        <v>1</v>
      </c>
      <c r="D2" s="26">
        <f>IFERROR(__xludf.DUMMYFUNCTION("""COMPUTED_VALUE"""),0.0)</f>
        <v>0</v>
      </c>
      <c r="E2" s="26">
        <f>IFERROR(__xludf.DUMMYFUNCTION("""COMPUTED_VALUE"""),0.0)</f>
        <v>0</v>
      </c>
      <c r="F2" s="26">
        <f>IFERROR(__xludf.DUMMYFUNCTION("""COMPUTED_VALUE"""),0.0)</f>
        <v>0</v>
      </c>
      <c r="G2" s="26">
        <f>IFERROR(__xludf.DUMMYFUNCTION("""COMPUTED_VALUE"""),0.0)</f>
        <v>0</v>
      </c>
      <c r="H2" s="26">
        <f>IFERROR(__xludf.DUMMYFUNCTION("""COMPUTED_VALUE"""),0.0)</f>
        <v>0</v>
      </c>
      <c r="I2" s="26">
        <f>IFERROR(__xludf.DUMMYFUNCTION("""COMPUTED_VALUE"""),0.0)</f>
        <v>0</v>
      </c>
      <c r="J2" s="26">
        <f>IFERROR(__xludf.DUMMYFUNCTION("""COMPUTED_VALUE"""),0.0)</f>
        <v>0</v>
      </c>
      <c r="K2" s="26">
        <f>IFERROR(__xludf.DUMMYFUNCTION("""COMPUTED_VALUE"""),0.0)</f>
        <v>0</v>
      </c>
      <c r="L2" s="26">
        <f>IFERROR(__xludf.DUMMYFUNCTION("""COMPUTED_VALUE"""),1.0)</f>
        <v>1</v>
      </c>
      <c r="M2" s="26"/>
      <c r="N2" s="26"/>
      <c r="O2" s="26"/>
      <c r="P2" s="26"/>
      <c r="Q2" s="26"/>
      <c r="R2" s="26">
        <f>IFERROR(__xludf.DUMMYFUNCTION("""COMPUTED_VALUE"""),1.0)</f>
        <v>1</v>
      </c>
      <c r="S2" s="26">
        <f>IFERROR(__xludf.DUMMYFUNCTION("""COMPUTED_VALUE"""),942.0)</f>
        <v>942</v>
      </c>
      <c r="T2" s="26">
        <f>IFERROR(__xludf.DUMMYFUNCTION("""COMPUTED_VALUE"""),410.0)</f>
        <v>410</v>
      </c>
      <c r="U2" s="26">
        <f>IFERROR(__xludf.DUMMYFUNCTION("""COMPUTED_VALUE"""),553.7)</f>
        <v>553.7</v>
      </c>
      <c r="V2" s="26">
        <f>IFERROR(__xludf.DUMMYFUNCTION("""COMPUTED_VALUE"""),71.85)</f>
        <v>71.85</v>
      </c>
      <c r="W2" s="26">
        <f>IFERROR(__xludf.DUMMYFUNCTION("""COMPUTED_VALUE"""),71.85)</f>
        <v>71.85</v>
      </c>
      <c r="X2" s="26">
        <f>IFERROR(__xludf.DUMMYFUNCTION("""COMPUTED_VALUE"""),0.0)</f>
        <v>0</v>
      </c>
      <c r="Y2" s="26">
        <f>IFERROR(__xludf.DUMMYFUNCTION("""COMPUTED_VALUE"""),143.7)</f>
        <v>143.7</v>
      </c>
      <c r="Z2" s="26">
        <f>IFERROR(__xludf.DUMMYFUNCTION("""COMPUTED_VALUE"""),780.9)</f>
        <v>780.9</v>
      </c>
      <c r="AA2" s="26">
        <f>IFERROR(__xludf.DUMMYFUNCTION("""COMPUTED_VALUE"""),573.12)</f>
        <v>573.12</v>
      </c>
      <c r="AB2" s="26">
        <f>IFERROR(__xludf.DUMMYFUNCTION("""COMPUTED_VALUE"""),388.3)</f>
        <v>388.3</v>
      </c>
      <c r="AC2" s="26">
        <f>IFERROR(__xludf.DUMMYFUNCTION("""COMPUTED_VALUE"""),161.1)</f>
        <v>161.1</v>
      </c>
      <c r="AD2" s="26">
        <f>IFERROR(__xludf.DUMMYFUNCTION("""COMPUTED_VALUE"""),19.42)</f>
        <v>19.42</v>
      </c>
      <c r="AE2" s="26">
        <f>IFERROR(__xludf.DUMMYFUNCTION("""COMPUTED_VALUE"""),207.78)</f>
        <v>207.78</v>
      </c>
    </row>
    <row r="3">
      <c r="A3" s="26">
        <f>IFERROR(__xludf.DUMMYFUNCTION("""COMPUTED_VALUE"""),0.0)</f>
        <v>0</v>
      </c>
      <c r="B3" s="26">
        <f>IFERROR(__xludf.DUMMYFUNCTION("""COMPUTED_VALUE"""),0.0)</f>
        <v>0</v>
      </c>
      <c r="C3" s="26">
        <f>IFERROR(__xludf.DUMMYFUNCTION("""COMPUTED_VALUE"""),0.0)</f>
        <v>0</v>
      </c>
      <c r="D3" s="26">
        <f>IFERROR(__xludf.DUMMYFUNCTION("""COMPUTED_VALUE"""),0.0)</f>
        <v>0</v>
      </c>
      <c r="E3" s="26">
        <f>IFERROR(__xludf.DUMMYFUNCTION("""COMPUTED_VALUE"""),0.0)</f>
        <v>0</v>
      </c>
      <c r="F3" s="26">
        <f>IFERROR(__xludf.DUMMYFUNCTION("""COMPUTED_VALUE"""),0.0)</f>
        <v>0</v>
      </c>
      <c r="G3" s="26">
        <f>IFERROR(__xludf.DUMMYFUNCTION("""COMPUTED_VALUE"""),0.0)</f>
        <v>0</v>
      </c>
      <c r="H3" s="26">
        <f>IFERROR(__xludf.DUMMYFUNCTION("""COMPUTED_VALUE"""),0.0)</f>
        <v>0</v>
      </c>
      <c r="I3" s="26">
        <f>IFERROR(__xludf.DUMMYFUNCTION("""COMPUTED_VALUE"""),0.0)</f>
        <v>0</v>
      </c>
      <c r="J3" s="26">
        <f>IFERROR(__xludf.DUMMYFUNCTION("""COMPUTED_VALUE"""),0.0)</f>
        <v>0</v>
      </c>
      <c r="K3" s="26">
        <f>IFERROR(__xludf.DUMMYFUNCTION("""COMPUTED_VALUE"""),0.0)</f>
        <v>0</v>
      </c>
      <c r="L3" s="26">
        <f>IFERROR(__xludf.DUMMYFUNCTION("""COMPUTED_VALUE"""),0.0)</f>
        <v>0</v>
      </c>
      <c r="M3" s="26"/>
      <c r="N3" s="26"/>
      <c r="O3" s="26"/>
      <c r="P3" s="26"/>
      <c r="Q3" s="26"/>
      <c r="R3" s="26">
        <f>IFERROR(__xludf.DUMMYFUNCTION("""COMPUTED_VALUE"""),0.0)</f>
        <v>0</v>
      </c>
      <c r="S3" s="26">
        <f>IFERROR(__xludf.DUMMYFUNCTION("""COMPUTED_VALUE"""),0.0)</f>
        <v>0</v>
      </c>
      <c r="T3" s="26">
        <f>IFERROR(__xludf.DUMMYFUNCTION("""COMPUTED_VALUE"""),0.0)</f>
        <v>0</v>
      </c>
      <c r="U3" s="26">
        <f>IFERROR(__xludf.DUMMYFUNCTION("""COMPUTED_VALUE"""),0.0)</f>
        <v>0</v>
      </c>
      <c r="V3" s="26">
        <f>IFERROR(__xludf.DUMMYFUNCTION("""COMPUTED_VALUE"""),0.0)</f>
        <v>0</v>
      </c>
      <c r="W3" s="26">
        <f>IFERROR(__xludf.DUMMYFUNCTION("""COMPUTED_VALUE"""),0.0)</f>
        <v>0</v>
      </c>
      <c r="X3" s="26">
        <f>IFERROR(__xludf.DUMMYFUNCTION("""COMPUTED_VALUE"""),0.0)</f>
        <v>0</v>
      </c>
      <c r="Y3" s="26">
        <f>IFERROR(__xludf.DUMMYFUNCTION("""COMPUTED_VALUE"""),0.0)</f>
        <v>0</v>
      </c>
      <c r="Z3" s="26">
        <f>IFERROR(__xludf.DUMMYFUNCTION("""COMPUTED_VALUE"""),0.0)</f>
        <v>0</v>
      </c>
      <c r="AA3" s="26">
        <f>IFERROR(__xludf.DUMMYFUNCTION("""COMPUTED_VALUE"""),0.0)</f>
        <v>0</v>
      </c>
      <c r="AB3" s="26">
        <f>IFERROR(__xludf.DUMMYFUNCTION("""COMPUTED_VALUE"""),0.0)</f>
        <v>0</v>
      </c>
      <c r="AC3" s="26">
        <f>IFERROR(__xludf.DUMMYFUNCTION("""COMPUTED_VALUE"""),0.0)</f>
        <v>0</v>
      </c>
      <c r="AD3" s="26">
        <f>IFERROR(__xludf.DUMMYFUNCTION("""COMPUTED_VALUE"""),0.0)</f>
        <v>0</v>
      </c>
      <c r="AE3" s="26">
        <f>IFERROR(__xludf.DUMMYFUNCTION("""COMPUTED_VALUE"""),0.0)</f>
        <v>0</v>
      </c>
    </row>
    <row r="4">
      <c r="A4" s="26">
        <f>IFERROR(__xludf.DUMMYFUNCTION("""COMPUTED_VALUE"""),97.0)</f>
        <v>97</v>
      </c>
      <c r="B4" s="26">
        <f>IFERROR(__xludf.DUMMYFUNCTION("""COMPUTED_VALUE"""),0.0)</f>
        <v>0</v>
      </c>
      <c r="C4" s="26">
        <f>IFERROR(__xludf.DUMMYFUNCTION("""COMPUTED_VALUE"""),0.0)</f>
        <v>0</v>
      </c>
      <c r="D4" s="26">
        <f>IFERROR(__xludf.DUMMYFUNCTION("""COMPUTED_VALUE"""),0.0)</f>
        <v>0</v>
      </c>
      <c r="E4" s="26">
        <f>IFERROR(__xludf.DUMMYFUNCTION("""COMPUTED_VALUE"""),526.0)</f>
        <v>526</v>
      </c>
      <c r="F4" s="26">
        <f>IFERROR(__xludf.DUMMYFUNCTION("""COMPUTED_VALUE"""),0.0)</f>
        <v>0</v>
      </c>
      <c r="G4" s="26">
        <f>IFERROR(__xludf.DUMMYFUNCTION("""COMPUTED_VALUE"""),0.0)</f>
        <v>0</v>
      </c>
      <c r="H4" s="26">
        <f>IFERROR(__xludf.DUMMYFUNCTION("""COMPUTED_VALUE"""),0.0)</f>
        <v>0</v>
      </c>
      <c r="I4" s="26">
        <f>IFERROR(__xludf.DUMMYFUNCTION("""COMPUTED_VALUE"""),0.0)</f>
        <v>0</v>
      </c>
      <c r="J4" s="26">
        <f>IFERROR(__xludf.DUMMYFUNCTION("""COMPUTED_VALUE"""),0.0)</f>
        <v>0</v>
      </c>
      <c r="K4" s="26">
        <f>IFERROR(__xludf.DUMMYFUNCTION("""COMPUTED_VALUE"""),0.0)</f>
        <v>0</v>
      </c>
      <c r="L4" s="26">
        <f>IFERROR(__xludf.DUMMYFUNCTION("""COMPUTED_VALUE"""),0.0)</f>
        <v>0</v>
      </c>
      <c r="M4" s="26"/>
      <c r="N4" s="26"/>
      <c r="O4" s="26"/>
      <c r="P4" s="26"/>
      <c r="Q4" s="26"/>
      <c r="R4" s="26">
        <f>IFERROR(__xludf.DUMMYFUNCTION("""COMPUTED_VALUE"""),623.0)</f>
        <v>623</v>
      </c>
      <c r="S4" s="26">
        <f>IFERROR(__xludf.DUMMYFUNCTION("""COMPUTED_VALUE"""),695760.0)</f>
        <v>695760</v>
      </c>
      <c r="T4" s="26">
        <f>IFERROR(__xludf.DUMMYFUNCTION("""COMPUTED_VALUE"""),99680.0)</f>
        <v>99680</v>
      </c>
      <c r="U4" s="26">
        <f>IFERROR(__xludf.DUMMYFUNCTION("""COMPUTED_VALUE"""),205813.81999999878)</f>
        <v>205813.82</v>
      </c>
      <c r="V4" s="26">
        <f>IFERROR(__xludf.DUMMYFUNCTION("""COMPUTED_VALUE"""),95.34)</f>
        <v>95.34</v>
      </c>
      <c r="W4" s="26">
        <f>IFERROR(__xludf.DUMMYFUNCTION("""COMPUTED_VALUE"""),95.34)</f>
        <v>95.34</v>
      </c>
      <c r="X4" s="26">
        <f>IFERROR(__xludf.DUMMYFUNCTION("""COMPUTED_VALUE"""),105943.1399999988)</f>
        <v>105943.14</v>
      </c>
      <c r="Y4" s="26">
        <f>IFERROR(__xludf.DUMMYFUNCTION("""COMPUTED_VALUE"""),106133.8199999988)</f>
        <v>106133.82</v>
      </c>
      <c r="Z4" s="26">
        <f>IFERROR(__xludf.DUMMYFUNCTION("""COMPUTED_VALUE"""),846230.0)</f>
        <v>846230</v>
      </c>
      <c r="AA4" s="26">
        <f>IFERROR(__xludf.DUMMYFUNCTION("""COMPUTED_VALUE"""),308739.140000001)</f>
        <v>308739.14</v>
      </c>
      <c r="AB4" s="26">
        <f>IFERROR(__xludf.DUMMYFUNCTION("""COMPUTED_VALUE"""),565782.2200000024)</f>
        <v>565782.22</v>
      </c>
      <c r="AC4" s="26">
        <f>IFERROR(__xludf.DUMMYFUNCTION("""COMPUTED_VALUE"""),0.0)</f>
        <v>0</v>
      </c>
      <c r="AD4" s="26">
        <f>IFERROR(__xludf.DUMMYFUNCTION("""COMPUTED_VALUE"""),28291.35999999994)</f>
        <v>28291.36</v>
      </c>
      <c r="AE4" s="26">
        <f>IFERROR(__xludf.DUMMYFUNCTION("""COMPUTED_VALUE"""),537490.8599999921)</f>
        <v>537490.86</v>
      </c>
    </row>
    <row r="5">
      <c r="A5" s="26">
        <f>IFERROR(__xludf.DUMMYFUNCTION("""COMPUTED_VALUE"""),0.0)</f>
        <v>0</v>
      </c>
      <c r="B5" s="26">
        <f>IFERROR(__xludf.DUMMYFUNCTION("""COMPUTED_VALUE"""),0.0)</f>
        <v>0</v>
      </c>
      <c r="C5" s="26">
        <f>IFERROR(__xludf.DUMMYFUNCTION("""COMPUTED_VALUE"""),0.0)</f>
        <v>0</v>
      </c>
      <c r="D5" s="26">
        <f>IFERROR(__xludf.DUMMYFUNCTION("""COMPUTED_VALUE"""),0.0)</f>
        <v>0</v>
      </c>
      <c r="E5" s="26">
        <f>IFERROR(__xludf.DUMMYFUNCTION("""COMPUTED_VALUE"""),0.0)</f>
        <v>0</v>
      </c>
      <c r="F5" s="26">
        <f>IFERROR(__xludf.DUMMYFUNCTION("""COMPUTED_VALUE"""),0.0)</f>
        <v>0</v>
      </c>
      <c r="G5" s="26">
        <f>IFERROR(__xludf.DUMMYFUNCTION("""COMPUTED_VALUE"""),0.0)</f>
        <v>0</v>
      </c>
      <c r="H5" s="26">
        <f>IFERROR(__xludf.DUMMYFUNCTION("""COMPUTED_VALUE"""),0.0)</f>
        <v>0</v>
      </c>
      <c r="I5" s="26">
        <f>IFERROR(__xludf.DUMMYFUNCTION("""COMPUTED_VALUE"""),0.0)</f>
        <v>0</v>
      </c>
      <c r="J5" s="26">
        <f>IFERROR(__xludf.DUMMYFUNCTION("""COMPUTED_VALUE"""),0.0)</f>
        <v>0</v>
      </c>
      <c r="K5" s="26">
        <f>IFERROR(__xludf.DUMMYFUNCTION("""COMPUTED_VALUE"""),0.0)</f>
        <v>0</v>
      </c>
      <c r="L5" s="26">
        <f>IFERROR(__xludf.DUMMYFUNCTION("""COMPUTED_VALUE"""),0.0)</f>
        <v>0</v>
      </c>
      <c r="M5" s="26"/>
      <c r="N5" s="26"/>
      <c r="O5" s="26"/>
      <c r="P5" s="26"/>
      <c r="Q5" s="26"/>
      <c r="R5" s="26">
        <f>IFERROR(__xludf.DUMMYFUNCTION("""COMPUTED_VALUE"""),0.0)</f>
        <v>0</v>
      </c>
      <c r="S5" s="26">
        <f>IFERROR(__xludf.DUMMYFUNCTION("""COMPUTED_VALUE"""),0.0)</f>
        <v>0</v>
      </c>
      <c r="T5" s="26">
        <f>IFERROR(__xludf.DUMMYFUNCTION("""COMPUTED_VALUE"""),0.0)</f>
        <v>0</v>
      </c>
      <c r="U5" s="26">
        <f>IFERROR(__xludf.DUMMYFUNCTION("""COMPUTED_VALUE"""),0.0)</f>
        <v>0</v>
      </c>
      <c r="V5" s="26">
        <f>IFERROR(__xludf.DUMMYFUNCTION("""COMPUTED_VALUE"""),0.0)</f>
        <v>0</v>
      </c>
      <c r="W5" s="26">
        <f>IFERROR(__xludf.DUMMYFUNCTION("""COMPUTED_VALUE"""),0.0)</f>
        <v>0</v>
      </c>
      <c r="X5" s="26">
        <f>IFERROR(__xludf.DUMMYFUNCTION("""COMPUTED_VALUE"""),0.0)</f>
        <v>0</v>
      </c>
      <c r="Y5" s="26">
        <f>IFERROR(__xludf.DUMMYFUNCTION("""COMPUTED_VALUE"""),0.0)</f>
        <v>0</v>
      </c>
      <c r="Z5" s="26">
        <f>IFERROR(__xludf.DUMMYFUNCTION("""COMPUTED_VALUE"""),0.0)</f>
        <v>0</v>
      </c>
      <c r="AA5" s="26">
        <f>IFERROR(__xludf.DUMMYFUNCTION("""COMPUTED_VALUE"""),0.0)</f>
        <v>0</v>
      </c>
      <c r="AB5" s="26">
        <f>IFERROR(__xludf.DUMMYFUNCTION("""COMPUTED_VALUE"""),0.0)</f>
        <v>0</v>
      </c>
      <c r="AC5" s="26">
        <f>IFERROR(__xludf.DUMMYFUNCTION("""COMPUTED_VALUE"""),0.0)</f>
        <v>0</v>
      </c>
      <c r="AD5" s="26">
        <f>IFERROR(__xludf.DUMMYFUNCTION("""COMPUTED_VALUE"""),0.0)</f>
        <v>0</v>
      </c>
      <c r="AE5" s="26">
        <f>IFERROR(__xludf.DUMMYFUNCTION("""COMPUTED_VALUE"""),0.0)</f>
        <v>0</v>
      </c>
    </row>
    <row r="6">
      <c r="A6" s="26">
        <f>IFERROR(__xludf.DUMMYFUNCTION("""COMPUTED_VALUE"""),0.0)</f>
        <v>0</v>
      </c>
      <c r="B6" s="26">
        <f>IFERROR(__xludf.DUMMYFUNCTION("""COMPUTED_VALUE"""),0.0)</f>
        <v>0</v>
      </c>
      <c r="C6" s="26">
        <f>IFERROR(__xludf.DUMMYFUNCTION("""COMPUTED_VALUE"""),0.0)</f>
        <v>0</v>
      </c>
      <c r="D6" s="26">
        <f>IFERROR(__xludf.DUMMYFUNCTION("""COMPUTED_VALUE"""),0.0)</f>
        <v>0</v>
      </c>
      <c r="E6" s="26">
        <f>IFERROR(__xludf.DUMMYFUNCTION("""COMPUTED_VALUE"""),0.0)</f>
        <v>0</v>
      </c>
      <c r="F6" s="26">
        <f>IFERROR(__xludf.DUMMYFUNCTION("""COMPUTED_VALUE"""),0.0)</f>
        <v>0</v>
      </c>
      <c r="G6" s="26">
        <f>IFERROR(__xludf.DUMMYFUNCTION("""COMPUTED_VALUE"""),0.0)</f>
        <v>0</v>
      </c>
      <c r="H6" s="26">
        <f>IFERROR(__xludf.DUMMYFUNCTION("""COMPUTED_VALUE"""),0.0)</f>
        <v>0</v>
      </c>
      <c r="I6" s="26">
        <f>IFERROR(__xludf.DUMMYFUNCTION("""COMPUTED_VALUE"""),0.0)</f>
        <v>0</v>
      </c>
      <c r="J6" s="26">
        <f>IFERROR(__xludf.DUMMYFUNCTION("""COMPUTED_VALUE"""),0.0)</f>
        <v>0</v>
      </c>
      <c r="K6" s="26">
        <f>IFERROR(__xludf.DUMMYFUNCTION("""COMPUTED_VALUE"""),0.0)</f>
        <v>0</v>
      </c>
      <c r="L6" s="26">
        <f>IFERROR(__xludf.DUMMYFUNCTION("""COMPUTED_VALUE"""),0.0)</f>
        <v>0</v>
      </c>
      <c r="M6" s="26"/>
      <c r="N6" s="26"/>
      <c r="O6" s="26"/>
      <c r="P6" s="26"/>
      <c r="Q6" s="26"/>
      <c r="R6" s="26">
        <f>IFERROR(__xludf.DUMMYFUNCTION("""COMPUTED_VALUE"""),0.0)</f>
        <v>0</v>
      </c>
      <c r="S6" s="26">
        <f>IFERROR(__xludf.DUMMYFUNCTION("""COMPUTED_VALUE"""),0.0)</f>
        <v>0</v>
      </c>
      <c r="T6" s="26">
        <f>IFERROR(__xludf.DUMMYFUNCTION("""COMPUTED_VALUE"""),0.0)</f>
        <v>0</v>
      </c>
      <c r="U6" s="26">
        <f>IFERROR(__xludf.DUMMYFUNCTION("""COMPUTED_VALUE"""),0.0)</f>
        <v>0</v>
      </c>
      <c r="V6" s="26">
        <f>IFERROR(__xludf.DUMMYFUNCTION("""COMPUTED_VALUE"""),0.0)</f>
        <v>0</v>
      </c>
      <c r="W6" s="26">
        <f>IFERROR(__xludf.DUMMYFUNCTION("""COMPUTED_VALUE"""),0.0)</f>
        <v>0</v>
      </c>
      <c r="X6" s="26">
        <f>IFERROR(__xludf.DUMMYFUNCTION("""COMPUTED_VALUE"""),0.0)</f>
        <v>0</v>
      </c>
      <c r="Y6" s="26">
        <f>IFERROR(__xludf.DUMMYFUNCTION("""COMPUTED_VALUE"""),0.0)</f>
        <v>0</v>
      </c>
      <c r="Z6" s="26">
        <f>IFERROR(__xludf.DUMMYFUNCTION("""COMPUTED_VALUE"""),0.0)</f>
        <v>0</v>
      </c>
      <c r="AA6" s="26">
        <f>IFERROR(__xludf.DUMMYFUNCTION("""COMPUTED_VALUE"""),0.0)</f>
        <v>0</v>
      </c>
      <c r="AB6" s="26">
        <f>IFERROR(__xludf.DUMMYFUNCTION("""COMPUTED_VALUE"""),0.0)</f>
        <v>0</v>
      </c>
      <c r="AC6" s="26">
        <f>IFERROR(__xludf.DUMMYFUNCTION("""COMPUTED_VALUE"""),0.0)</f>
        <v>0</v>
      </c>
      <c r="AD6" s="26">
        <f>IFERROR(__xludf.DUMMYFUNCTION("""COMPUTED_VALUE"""),0.0)</f>
        <v>0</v>
      </c>
      <c r="AE6" s="26">
        <f>IFERROR(__xludf.DUMMYFUNCTION("""COMPUTED_VALUE"""),0.0)</f>
        <v>0</v>
      </c>
    </row>
    <row r="7">
      <c r="A7" s="26">
        <f>IFERROR(__xludf.DUMMYFUNCTION("""COMPUTED_VALUE"""),40.0)</f>
        <v>40</v>
      </c>
      <c r="B7" s="26">
        <f>IFERROR(__xludf.DUMMYFUNCTION("""COMPUTED_VALUE"""),0.0)</f>
        <v>0</v>
      </c>
      <c r="C7" s="26">
        <f>IFERROR(__xludf.DUMMYFUNCTION("""COMPUTED_VALUE"""),0.0)</f>
        <v>0</v>
      </c>
      <c r="D7" s="26">
        <f>IFERROR(__xludf.DUMMYFUNCTION("""COMPUTED_VALUE"""),0.0)</f>
        <v>0</v>
      </c>
      <c r="E7" s="26">
        <f>IFERROR(__xludf.DUMMYFUNCTION("""COMPUTED_VALUE"""),365.0)</f>
        <v>365</v>
      </c>
      <c r="F7" s="26">
        <f>IFERROR(__xludf.DUMMYFUNCTION("""COMPUTED_VALUE"""),0.0)</f>
        <v>0</v>
      </c>
      <c r="G7" s="26">
        <f>IFERROR(__xludf.DUMMYFUNCTION("""COMPUTED_VALUE"""),0.0)</f>
        <v>0</v>
      </c>
      <c r="H7" s="26">
        <f>IFERROR(__xludf.DUMMYFUNCTION("""COMPUTED_VALUE"""),0.0)</f>
        <v>0</v>
      </c>
      <c r="I7" s="26">
        <f>IFERROR(__xludf.DUMMYFUNCTION("""COMPUTED_VALUE"""),0.0)</f>
        <v>0</v>
      </c>
      <c r="J7" s="26">
        <f>IFERROR(__xludf.DUMMYFUNCTION("""COMPUTED_VALUE"""),0.0)</f>
        <v>0</v>
      </c>
      <c r="K7" s="26">
        <f>IFERROR(__xludf.DUMMYFUNCTION("""COMPUTED_VALUE"""),0.0)</f>
        <v>0</v>
      </c>
      <c r="L7" s="26">
        <f>IFERROR(__xludf.DUMMYFUNCTION("""COMPUTED_VALUE"""),0.0)</f>
        <v>0</v>
      </c>
      <c r="M7" s="26"/>
      <c r="N7" s="26"/>
      <c r="O7" s="26"/>
      <c r="P7" s="26"/>
      <c r="Q7" s="26"/>
      <c r="R7" s="26">
        <f>IFERROR(__xludf.DUMMYFUNCTION("""COMPUTED_VALUE"""),405.0)</f>
        <v>405</v>
      </c>
      <c r="S7" s="26">
        <f>IFERROR(__xludf.DUMMYFUNCTION("""COMPUTED_VALUE"""),694850.0)</f>
        <v>694850</v>
      </c>
      <c r="T7" s="26">
        <f>IFERROR(__xludf.DUMMYFUNCTION("""COMPUTED_VALUE"""),68850.0)</f>
        <v>68850</v>
      </c>
      <c r="U7" s="26">
        <f>IFERROR(__xludf.DUMMYFUNCTION("""COMPUTED_VALUE"""),174842.99999999933)</f>
        <v>174843</v>
      </c>
      <c r="V7" s="26">
        <f>IFERROR(__xludf.DUMMYFUNCTION("""COMPUTED_VALUE"""),0.0)</f>
        <v>0</v>
      </c>
      <c r="W7" s="26">
        <f>IFERROR(__xludf.DUMMYFUNCTION("""COMPUTED_VALUE"""),0.0)</f>
        <v>0</v>
      </c>
      <c r="X7" s="26">
        <f>IFERROR(__xludf.DUMMYFUNCTION("""COMPUTED_VALUE"""),105992.99999999933)</f>
        <v>105993</v>
      </c>
      <c r="Y7" s="26">
        <f>IFERROR(__xludf.DUMMYFUNCTION("""COMPUTED_VALUE"""),105992.99999999933)</f>
        <v>105993</v>
      </c>
      <c r="Z7" s="26">
        <f>IFERROR(__xludf.DUMMYFUNCTION("""COMPUTED_VALUE"""),2002020.0)</f>
        <v>2002020</v>
      </c>
      <c r="AA7" s="26">
        <f>IFERROR(__xludf.DUMMYFUNCTION("""COMPUTED_VALUE"""),573684.9300000084)</f>
        <v>573684.93</v>
      </c>
      <c r="AB7" s="26">
        <f>IFERROR(__xludf.DUMMYFUNCTION("""COMPUTED_VALUE"""),1503510.4300000293)</f>
        <v>1503510.43</v>
      </c>
      <c r="AC7" s="26">
        <f>IFERROR(__xludf.DUMMYFUNCTION("""COMPUTED_VALUE"""),0.0)</f>
        <v>0</v>
      </c>
      <c r="AD7" s="26">
        <f>IFERROR(__xludf.DUMMYFUNCTION("""COMPUTED_VALUE"""),75175.35999999946)</f>
        <v>75175.36</v>
      </c>
      <c r="AE7" s="26">
        <f>IFERROR(__xludf.DUMMYFUNCTION("""COMPUTED_VALUE"""),1428335.069999984)</f>
        <v>1428335.07</v>
      </c>
    </row>
    <row r="8">
      <c r="A8" s="26">
        <f>IFERROR(__xludf.DUMMYFUNCTION("""COMPUTED_VALUE"""),0.0)</f>
        <v>0</v>
      </c>
      <c r="B8" s="26">
        <f>IFERROR(__xludf.DUMMYFUNCTION("""COMPUTED_VALUE"""),0.0)</f>
        <v>0</v>
      </c>
      <c r="C8" s="26">
        <f>IFERROR(__xludf.DUMMYFUNCTION("""COMPUTED_VALUE"""),0.0)</f>
        <v>0</v>
      </c>
      <c r="D8" s="26">
        <f>IFERROR(__xludf.DUMMYFUNCTION("""COMPUTED_VALUE"""),0.0)</f>
        <v>0</v>
      </c>
      <c r="E8" s="26">
        <f>IFERROR(__xludf.DUMMYFUNCTION("""COMPUTED_VALUE"""),0.0)</f>
        <v>0</v>
      </c>
      <c r="F8" s="26">
        <f>IFERROR(__xludf.DUMMYFUNCTION("""COMPUTED_VALUE"""),0.0)</f>
        <v>0</v>
      </c>
      <c r="G8" s="26">
        <f>IFERROR(__xludf.DUMMYFUNCTION("""COMPUTED_VALUE"""),0.0)</f>
        <v>0</v>
      </c>
      <c r="H8" s="26">
        <f>IFERROR(__xludf.DUMMYFUNCTION("""COMPUTED_VALUE"""),0.0)</f>
        <v>0</v>
      </c>
      <c r="I8" s="26">
        <f>IFERROR(__xludf.DUMMYFUNCTION("""COMPUTED_VALUE"""),0.0)</f>
        <v>0</v>
      </c>
      <c r="J8" s="26">
        <f>IFERROR(__xludf.DUMMYFUNCTION("""COMPUTED_VALUE"""),0.0)</f>
        <v>0</v>
      </c>
      <c r="K8" s="26">
        <f>IFERROR(__xludf.DUMMYFUNCTION("""COMPUTED_VALUE"""),0.0)</f>
        <v>0</v>
      </c>
      <c r="L8" s="26">
        <f>IFERROR(__xludf.DUMMYFUNCTION("""COMPUTED_VALUE"""),0.0)</f>
        <v>0</v>
      </c>
      <c r="M8" s="26"/>
      <c r="N8" s="26"/>
      <c r="O8" s="26"/>
      <c r="P8" s="26"/>
      <c r="Q8" s="26"/>
      <c r="R8" s="26">
        <f>IFERROR(__xludf.DUMMYFUNCTION("""COMPUTED_VALUE"""),0.0)</f>
        <v>0</v>
      </c>
      <c r="S8" s="26">
        <f>IFERROR(__xludf.DUMMYFUNCTION("""COMPUTED_VALUE"""),0.0)</f>
        <v>0</v>
      </c>
      <c r="T8" s="26">
        <f>IFERROR(__xludf.DUMMYFUNCTION("""COMPUTED_VALUE"""),0.0)</f>
        <v>0</v>
      </c>
      <c r="U8" s="26">
        <f>IFERROR(__xludf.DUMMYFUNCTION("""COMPUTED_VALUE"""),0.0)</f>
        <v>0</v>
      </c>
      <c r="V8" s="26">
        <f>IFERROR(__xludf.DUMMYFUNCTION("""COMPUTED_VALUE"""),0.0)</f>
        <v>0</v>
      </c>
      <c r="W8" s="26">
        <f>IFERROR(__xludf.DUMMYFUNCTION("""COMPUTED_VALUE"""),0.0)</f>
        <v>0</v>
      </c>
      <c r="X8" s="26">
        <f>IFERROR(__xludf.DUMMYFUNCTION("""COMPUTED_VALUE"""),0.0)</f>
        <v>0</v>
      </c>
      <c r="Y8" s="26">
        <f>IFERROR(__xludf.DUMMYFUNCTION("""COMPUTED_VALUE"""),0.0)</f>
        <v>0</v>
      </c>
      <c r="Z8" s="26">
        <f>IFERROR(__xludf.DUMMYFUNCTION("""COMPUTED_VALUE"""),0.0)</f>
        <v>0</v>
      </c>
      <c r="AA8" s="26">
        <f>IFERROR(__xludf.DUMMYFUNCTION("""COMPUTED_VALUE"""),0.0)</f>
        <v>0</v>
      </c>
      <c r="AB8" s="26">
        <f>IFERROR(__xludf.DUMMYFUNCTION("""COMPUTED_VALUE"""),0.0)</f>
        <v>0</v>
      </c>
      <c r="AC8" s="26">
        <f>IFERROR(__xludf.DUMMYFUNCTION("""COMPUTED_VALUE"""),0.0)</f>
        <v>0</v>
      </c>
      <c r="AD8" s="26">
        <f>IFERROR(__xludf.DUMMYFUNCTION("""COMPUTED_VALUE"""),0.0)</f>
        <v>0</v>
      </c>
      <c r="AE8" s="26">
        <f>IFERROR(__xludf.DUMMYFUNCTION("""COMPUTED_VALUE"""),0.0)</f>
        <v>0</v>
      </c>
    </row>
    <row r="9">
      <c r="A9" s="26">
        <f>IFERROR(__xludf.DUMMYFUNCTION("""COMPUTED_VALUE"""),0.0)</f>
        <v>0</v>
      </c>
      <c r="B9" s="26">
        <f>IFERROR(__xludf.DUMMYFUNCTION("""COMPUTED_VALUE"""),0.0)</f>
        <v>0</v>
      </c>
      <c r="C9" s="26">
        <f>IFERROR(__xludf.DUMMYFUNCTION("""COMPUTED_VALUE"""),0.0)</f>
        <v>0</v>
      </c>
      <c r="D9" s="26">
        <f>IFERROR(__xludf.DUMMYFUNCTION("""COMPUTED_VALUE"""),0.0)</f>
        <v>0</v>
      </c>
      <c r="E9" s="26">
        <f>IFERROR(__xludf.DUMMYFUNCTION("""COMPUTED_VALUE"""),0.0)</f>
        <v>0</v>
      </c>
      <c r="F9" s="26">
        <f>IFERROR(__xludf.DUMMYFUNCTION("""COMPUTED_VALUE"""),0.0)</f>
        <v>0</v>
      </c>
      <c r="G9" s="26">
        <f>IFERROR(__xludf.DUMMYFUNCTION("""COMPUTED_VALUE"""),0.0)</f>
        <v>0</v>
      </c>
      <c r="H9" s="26">
        <f>IFERROR(__xludf.DUMMYFUNCTION("""COMPUTED_VALUE"""),0.0)</f>
        <v>0</v>
      </c>
      <c r="I9" s="26">
        <f>IFERROR(__xludf.DUMMYFUNCTION("""COMPUTED_VALUE"""),0.0)</f>
        <v>0</v>
      </c>
      <c r="J9" s="26">
        <f>IFERROR(__xludf.DUMMYFUNCTION("""COMPUTED_VALUE"""),0.0)</f>
        <v>0</v>
      </c>
      <c r="K9" s="26">
        <f>IFERROR(__xludf.DUMMYFUNCTION("""COMPUTED_VALUE"""),0.0)</f>
        <v>0</v>
      </c>
      <c r="L9" s="26">
        <f>IFERROR(__xludf.DUMMYFUNCTION("""COMPUTED_VALUE"""),0.0)</f>
        <v>0</v>
      </c>
      <c r="M9" s="26"/>
      <c r="N9" s="26"/>
      <c r="O9" s="26"/>
      <c r="P9" s="26"/>
      <c r="Q9" s="26"/>
      <c r="R9" s="26">
        <f>IFERROR(__xludf.DUMMYFUNCTION("""COMPUTED_VALUE"""),0.0)</f>
        <v>0</v>
      </c>
      <c r="S9" s="26">
        <f>IFERROR(__xludf.DUMMYFUNCTION("""COMPUTED_VALUE"""),0.0)</f>
        <v>0</v>
      </c>
      <c r="T9" s="26">
        <f>IFERROR(__xludf.DUMMYFUNCTION("""COMPUTED_VALUE"""),0.0)</f>
        <v>0</v>
      </c>
      <c r="U9" s="26">
        <f>IFERROR(__xludf.DUMMYFUNCTION("""COMPUTED_VALUE"""),0.0)</f>
        <v>0</v>
      </c>
      <c r="V9" s="26">
        <f>IFERROR(__xludf.DUMMYFUNCTION("""COMPUTED_VALUE"""),0.0)</f>
        <v>0</v>
      </c>
      <c r="W9" s="26">
        <f>IFERROR(__xludf.DUMMYFUNCTION("""COMPUTED_VALUE"""),0.0)</f>
        <v>0</v>
      </c>
      <c r="X9" s="26">
        <f>IFERROR(__xludf.DUMMYFUNCTION("""COMPUTED_VALUE"""),0.0)</f>
        <v>0</v>
      </c>
      <c r="Y9" s="26">
        <f>IFERROR(__xludf.DUMMYFUNCTION("""COMPUTED_VALUE"""),0.0)</f>
        <v>0</v>
      </c>
      <c r="Z9" s="26">
        <f>IFERROR(__xludf.DUMMYFUNCTION("""COMPUTED_VALUE"""),0.0)</f>
        <v>0</v>
      </c>
      <c r="AA9" s="26">
        <f>IFERROR(__xludf.DUMMYFUNCTION("""COMPUTED_VALUE"""),0.0)</f>
        <v>0</v>
      </c>
      <c r="AB9" s="26">
        <f>IFERROR(__xludf.DUMMYFUNCTION("""COMPUTED_VALUE"""),0.0)</f>
        <v>0</v>
      </c>
      <c r="AC9" s="26">
        <f>IFERROR(__xludf.DUMMYFUNCTION("""COMPUTED_VALUE"""),0.0)</f>
        <v>0</v>
      </c>
      <c r="AD9" s="26">
        <f>IFERROR(__xludf.DUMMYFUNCTION("""COMPUTED_VALUE"""),0.0)</f>
        <v>0</v>
      </c>
      <c r="AE9" s="26">
        <f>IFERROR(__xludf.DUMMYFUNCTION("""COMPUTED_VALUE"""),0.0)</f>
        <v>0</v>
      </c>
    </row>
    <row r="10">
      <c r="A10" s="26">
        <f>IFERROR(__xludf.DUMMYFUNCTION("""COMPUTED_VALUE"""),0.0)</f>
        <v>0</v>
      </c>
      <c r="B10" s="26">
        <f>IFERROR(__xludf.DUMMYFUNCTION("""COMPUTED_VALUE"""),0.0)</f>
        <v>0</v>
      </c>
      <c r="C10" s="26">
        <f>IFERROR(__xludf.DUMMYFUNCTION("""COMPUTED_VALUE"""),0.0)</f>
        <v>0</v>
      </c>
      <c r="D10" s="26">
        <f>IFERROR(__xludf.DUMMYFUNCTION("""COMPUTED_VALUE"""),0.0)</f>
        <v>0</v>
      </c>
      <c r="E10" s="26">
        <f>IFERROR(__xludf.DUMMYFUNCTION("""COMPUTED_VALUE"""),0.0)</f>
        <v>0</v>
      </c>
      <c r="F10" s="26">
        <f>IFERROR(__xludf.DUMMYFUNCTION("""COMPUTED_VALUE"""),0.0)</f>
        <v>0</v>
      </c>
      <c r="G10" s="26">
        <f>IFERROR(__xludf.DUMMYFUNCTION("""COMPUTED_VALUE"""),0.0)</f>
        <v>0</v>
      </c>
      <c r="H10" s="26">
        <f>IFERROR(__xludf.DUMMYFUNCTION("""COMPUTED_VALUE"""),0.0)</f>
        <v>0</v>
      </c>
      <c r="I10" s="26">
        <f>IFERROR(__xludf.DUMMYFUNCTION("""COMPUTED_VALUE"""),0.0)</f>
        <v>0</v>
      </c>
      <c r="J10" s="26">
        <f>IFERROR(__xludf.DUMMYFUNCTION("""COMPUTED_VALUE"""),0.0)</f>
        <v>0</v>
      </c>
      <c r="K10" s="26">
        <f>IFERROR(__xludf.DUMMYFUNCTION("""COMPUTED_VALUE"""),0.0)</f>
        <v>0</v>
      </c>
      <c r="L10" s="26">
        <f>IFERROR(__xludf.DUMMYFUNCTION("""COMPUTED_VALUE"""),0.0)</f>
        <v>0</v>
      </c>
      <c r="M10" s="26"/>
      <c r="N10" s="26"/>
      <c r="O10" s="26"/>
      <c r="P10" s="26"/>
      <c r="Q10" s="26"/>
      <c r="R10" s="26">
        <f>IFERROR(__xludf.DUMMYFUNCTION("""COMPUTED_VALUE"""),0.0)</f>
        <v>0</v>
      </c>
      <c r="S10" s="26">
        <f>IFERROR(__xludf.DUMMYFUNCTION("""COMPUTED_VALUE"""),0.0)</f>
        <v>0</v>
      </c>
      <c r="T10" s="26">
        <f>IFERROR(__xludf.DUMMYFUNCTION("""COMPUTED_VALUE"""),0.0)</f>
        <v>0</v>
      </c>
      <c r="U10" s="26">
        <f>IFERROR(__xludf.DUMMYFUNCTION("""COMPUTED_VALUE"""),0.0)</f>
        <v>0</v>
      </c>
      <c r="V10" s="26">
        <f>IFERROR(__xludf.DUMMYFUNCTION("""COMPUTED_VALUE"""),0.0)</f>
        <v>0</v>
      </c>
      <c r="W10" s="26">
        <f>IFERROR(__xludf.DUMMYFUNCTION("""COMPUTED_VALUE"""),0.0)</f>
        <v>0</v>
      </c>
      <c r="X10" s="26">
        <f>IFERROR(__xludf.DUMMYFUNCTION("""COMPUTED_VALUE"""),0.0)</f>
        <v>0</v>
      </c>
      <c r="Y10" s="26">
        <f>IFERROR(__xludf.DUMMYFUNCTION("""COMPUTED_VALUE"""),0.0)</f>
        <v>0</v>
      </c>
      <c r="Z10" s="26">
        <f>IFERROR(__xludf.DUMMYFUNCTION("""COMPUTED_VALUE"""),0.0)</f>
        <v>0</v>
      </c>
      <c r="AA10" s="26">
        <f>IFERROR(__xludf.DUMMYFUNCTION("""COMPUTED_VALUE"""),0.0)</f>
        <v>0</v>
      </c>
      <c r="AB10" s="26">
        <f>IFERROR(__xludf.DUMMYFUNCTION("""COMPUTED_VALUE"""),0.0)</f>
        <v>0</v>
      </c>
      <c r="AC10" s="26">
        <f>IFERROR(__xludf.DUMMYFUNCTION("""COMPUTED_VALUE"""),0.0)</f>
        <v>0</v>
      </c>
      <c r="AD10" s="26">
        <f>IFERROR(__xludf.DUMMYFUNCTION("""COMPUTED_VALUE"""),0.0)</f>
        <v>0</v>
      </c>
      <c r="AE10" s="26">
        <f>IFERROR(__xludf.DUMMYFUNCTION("""COMPUTED_VALUE"""),0.0)</f>
        <v>0</v>
      </c>
    </row>
    <row r="11">
      <c r="A11" s="26">
        <f>IFERROR(__xludf.DUMMYFUNCTION("""COMPUTED_VALUE"""),0.0)</f>
        <v>0</v>
      </c>
      <c r="B11" s="26">
        <f>IFERROR(__xludf.DUMMYFUNCTION("""COMPUTED_VALUE"""),0.0)</f>
        <v>0</v>
      </c>
      <c r="C11" s="26">
        <f>IFERROR(__xludf.DUMMYFUNCTION("""COMPUTED_VALUE"""),0.0)</f>
        <v>0</v>
      </c>
      <c r="D11" s="26">
        <f>IFERROR(__xludf.DUMMYFUNCTION("""COMPUTED_VALUE"""),0.0)</f>
        <v>0</v>
      </c>
      <c r="E11" s="26">
        <f>IFERROR(__xludf.DUMMYFUNCTION("""COMPUTED_VALUE"""),0.0)</f>
        <v>0</v>
      </c>
      <c r="F11" s="26">
        <f>IFERROR(__xludf.DUMMYFUNCTION("""COMPUTED_VALUE"""),0.0)</f>
        <v>0</v>
      </c>
      <c r="G11" s="26">
        <f>IFERROR(__xludf.DUMMYFUNCTION("""COMPUTED_VALUE"""),0.0)</f>
        <v>0</v>
      </c>
      <c r="H11" s="26">
        <f>IFERROR(__xludf.DUMMYFUNCTION("""COMPUTED_VALUE"""),0.0)</f>
        <v>0</v>
      </c>
      <c r="I11" s="26">
        <f>IFERROR(__xludf.DUMMYFUNCTION("""COMPUTED_VALUE"""),0.0)</f>
        <v>0</v>
      </c>
      <c r="J11" s="26">
        <f>IFERROR(__xludf.DUMMYFUNCTION("""COMPUTED_VALUE"""),0.0)</f>
        <v>0</v>
      </c>
      <c r="K11" s="26">
        <f>IFERROR(__xludf.DUMMYFUNCTION("""COMPUTED_VALUE"""),0.0)</f>
        <v>0</v>
      </c>
      <c r="L11" s="26">
        <f>IFERROR(__xludf.DUMMYFUNCTION("""COMPUTED_VALUE"""),0.0)</f>
        <v>0</v>
      </c>
      <c r="M11" s="26"/>
      <c r="N11" s="26"/>
      <c r="O11" s="26"/>
      <c r="P11" s="26"/>
      <c r="Q11" s="26"/>
      <c r="R11" s="26">
        <f>IFERROR(__xludf.DUMMYFUNCTION("""COMPUTED_VALUE"""),0.0)</f>
        <v>0</v>
      </c>
      <c r="S11" s="26">
        <f>IFERROR(__xludf.DUMMYFUNCTION("""COMPUTED_VALUE"""),0.0)</f>
        <v>0</v>
      </c>
      <c r="T11" s="26">
        <f>IFERROR(__xludf.DUMMYFUNCTION("""COMPUTED_VALUE"""),0.0)</f>
        <v>0</v>
      </c>
      <c r="U11" s="26">
        <f>IFERROR(__xludf.DUMMYFUNCTION("""COMPUTED_VALUE"""),0.0)</f>
        <v>0</v>
      </c>
      <c r="V11" s="26">
        <f>IFERROR(__xludf.DUMMYFUNCTION("""COMPUTED_VALUE"""),0.0)</f>
        <v>0</v>
      </c>
      <c r="W11" s="26">
        <f>IFERROR(__xludf.DUMMYFUNCTION("""COMPUTED_VALUE"""),0.0)</f>
        <v>0</v>
      </c>
      <c r="X11" s="26">
        <f>IFERROR(__xludf.DUMMYFUNCTION("""COMPUTED_VALUE"""),0.0)</f>
        <v>0</v>
      </c>
      <c r="Y11" s="26">
        <f>IFERROR(__xludf.DUMMYFUNCTION("""COMPUTED_VALUE"""),0.0)</f>
        <v>0</v>
      </c>
      <c r="Z11" s="26">
        <f>IFERROR(__xludf.DUMMYFUNCTION("""COMPUTED_VALUE"""),0.0)</f>
        <v>0</v>
      </c>
      <c r="AA11" s="26">
        <f>IFERROR(__xludf.DUMMYFUNCTION("""COMPUTED_VALUE"""),0.0)</f>
        <v>0</v>
      </c>
      <c r="AB11" s="26">
        <f>IFERROR(__xludf.DUMMYFUNCTION("""COMPUTED_VALUE"""),0.0)</f>
        <v>0</v>
      </c>
      <c r="AC11" s="26">
        <f>IFERROR(__xludf.DUMMYFUNCTION("""COMPUTED_VALUE"""),0.0)</f>
        <v>0</v>
      </c>
      <c r="AD11" s="26">
        <f>IFERROR(__xludf.DUMMYFUNCTION("""COMPUTED_VALUE"""),0.0)</f>
        <v>0</v>
      </c>
      <c r="AE11" s="26">
        <f>IFERROR(__xludf.DUMMYFUNCTION("""COMPUTED_VALUE"""),0.0)</f>
        <v>0</v>
      </c>
    </row>
    <row r="12">
      <c r="A12" s="26">
        <f>IFERROR(__xludf.DUMMYFUNCTION("""COMPUTED_VALUE"""),0.0)</f>
        <v>0</v>
      </c>
      <c r="B12" s="26">
        <f>IFERROR(__xludf.DUMMYFUNCTION("""COMPUTED_VALUE"""),0.0)</f>
        <v>0</v>
      </c>
      <c r="C12" s="26">
        <f>IFERROR(__xludf.DUMMYFUNCTION("""COMPUTED_VALUE"""),0.0)</f>
        <v>0</v>
      </c>
      <c r="D12" s="26">
        <f>IFERROR(__xludf.DUMMYFUNCTION("""COMPUTED_VALUE"""),0.0)</f>
        <v>0</v>
      </c>
      <c r="E12" s="26">
        <f>IFERROR(__xludf.DUMMYFUNCTION("""COMPUTED_VALUE"""),0.0)</f>
        <v>0</v>
      </c>
      <c r="F12" s="26">
        <f>IFERROR(__xludf.DUMMYFUNCTION("""COMPUTED_VALUE"""),0.0)</f>
        <v>0</v>
      </c>
      <c r="G12" s="26">
        <f>IFERROR(__xludf.DUMMYFUNCTION("""COMPUTED_VALUE"""),0.0)</f>
        <v>0</v>
      </c>
      <c r="H12" s="26">
        <f>IFERROR(__xludf.DUMMYFUNCTION("""COMPUTED_VALUE"""),0.0)</f>
        <v>0</v>
      </c>
      <c r="I12" s="26">
        <f>IFERROR(__xludf.DUMMYFUNCTION("""COMPUTED_VALUE"""),0.0)</f>
        <v>0</v>
      </c>
      <c r="J12" s="26">
        <f>IFERROR(__xludf.DUMMYFUNCTION("""COMPUTED_VALUE"""),0.0)</f>
        <v>0</v>
      </c>
      <c r="K12" s="26">
        <f>IFERROR(__xludf.DUMMYFUNCTION("""COMPUTED_VALUE"""),0.0)</f>
        <v>0</v>
      </c>
      <c r="L12" s="26">
        <f>IFERROR(__xludf.DUMMYFUNCTION("""COMPUTED_VALUE"""),0.0)</f>
        <v>0</v>
      </c>
      <c r="M12" s="26"/>
      <c r="N12" s="26"/>
      <c r="O12" s="26"/>
      <c r="P12" s="26"/>
      <c r="Q12" s="26"/>
      <c r="R12" s="26">
        <f>IFERROR(__xludf.DUMMYFUNCTION("""COMPUTED_VALUE"""),0.0)</f>
        <v>0</v>
      </c>
      <c r="S12" s="26">
        <f>IFERROR(__xludf.DUMMYFUNCTION("""COMPUTED_VALUE"""),0.0)</f>
        <v>0</v>
      </c>
      <c r="T12" s="26">
        <f>IFERROR(__xludf.DUMMYFUNCTION("""COMPUTED_VALUE"""),0.0)</f>
        <v>0</v>
      </c>
      <c r="U12" s="26">
        <f>IFERROR(__xludf.DUMMYFUNCTION("""COMPUTED_VALUE"""),0.0)</f>
        <v>0</v>
      </c>
      <c r="V12" s="26">
        <f>IFERROR(__xludf.DUMMYFUNCTION("""COMPUTED_VALUE"""),0.0)</f>
        <v>0</v>
      </c>
      <c r="W12" s="26">
        <f>IFERROR(__xludf.DUMMYFUNCTION("""COMPUTED_VALUE"""),0.0)</f>
        <v>0</v>
      </c>
      <c r="X12" s="26">
        <f>IFERROR(__xludf.DUMMYFUNCTION("""COMPUTED_VALUE"""),0.0)</f>
        <v>0</v>
      </c>
      <c r="Y12" s="26">
        <f>IFERROR(__xludf.DUMMYFUNCTION("""COMPUTED_VALUE"""),0.0)</f>
        <v>0</v>
      </c>
      <c r="Z12" s="26">
        <f>IFERROR(__xludf.DUMMYFUNCTION("""COMPUTED_VALUE"""),0.0)</f>
        <v>0</v>
      </c>
      <c r="AA12" s="26">
        <f>IFERROR(__xludf.DUMMYFUNCTION("""COMPUTED_VALUE"""),0.0)</f>
        <v>0</v>
      </c>
      <c r="AB12" s="26">
        <f>IFERROR(__xludf.DUMMYFUNCTION("""COMPUTED_VALUE"""),0.0)</f>
        <v>0</v>
      </c>
      <c r="AC12" s="26">
        <f>IFERROR(__xludf.DUMMYFUNCTION("""COMPUTED_VALUE"""),0.0)</f>
        <v>0</v>
      </c>
      <c r="AD12" s="26">
        <f>IFERROR(__xludf.DUMMYFUNCTION("""COMPUTED_VALUE"""),0.0)</f>
        <v>0</v>
      </c>
      <c r="AE12" s="26">
        <f>IFERROR(__xludf.DUMMYFUNCTION("""COMPUTED_VALUE"""),0.0)</f>
        <v>0</v>
      </c>
    </row>
    <row r="13">
      <c r="A13" s="26">
        <f>IFERROR(__xludf.DUMMYFUNCTION("""COMPUTED_VALUE"""),0.0)</f>
        <v>0</v>
      </c>
      <c r="B13" s="26">
        <f>IFERROR(__xludf.DUMMYFUNCTION("""COMPUTED_VALUE"""),0.0)</f>
        <v>0</v>
      </c>
      <c r="C13" s="26">
        <f>IFERROR(__xludf.DUMMYFUNCTION("""COMPUTED_VALUE"""),0.0)</f>
        <v>0</v>
      </c>
      <c r="D13" s="26">
        <f>IFERROR(__xludf.DUMMYFUNCTION("""COMPUTED_VALUE"""),0.0)</f>
        <v>0</v>
      </c>
      <c r="E13" s="26">
        <f>IFERROR(__xludf.DUMMYFUNCTION("""COMPUTED_VALUE"""),0.0)</f>
        <v>0</v>
      </c>
      <c r="F13" s="26">
        <f>IFERROR(__xludf.DUMMYFUNCTION("""COMPUTED_VALUE"""),0.0)</f>
        <v>0</v>
      </c>
      <c r="G13" s="26">
        <f>IFERROR(__xludf.DUMMYFUNCTION("""COMPUTED_VALUE"""),0.0)</f>
        <v>0</v>
      </c>
      <c r="H13" s="26">
        <f>IFERROR(__xludf.DUMMYFUNCTION("""COMPUTED_VALUE"""),0.0)</f>
        <v>0</v>
      </c>
      <c r="I13" s="26">
        <f>IFERROR(__xludf.DUMMYFUNCTION("""COMPUTED_VALUE"""),0.0)</f>
        <v>0</v>
      </c>
      <c r="J13" s="26">
        <f>IFERROR(__xludf.DUMMYFUNCTION("""COMPUTED_VALUE"""),0.0)</f>
        <v>0</v>
      </c>
      <c r="K13" s="26">
        <f>IFERROR(__xludf.DUMMYFUNCTION("""COMPUTED_VALUE"""),0.0)</f>
        <v>0</v>
      </c>
      <c r="L13" s="26">
        <f>IFERROR(__xludf.DUMMYFUNCTION("""COMPUTED_VALUE"""),0.0)</f>
        <v>0</v>
      </c>
      <c r="M13" s="26"/>
      <c r="N13" s="26"/>
      <c r="O13" s="26"/>
      <c r="P13" s="26"/>
      <c r="Q13" s="26"/>
      <c r="R13" s="26">
        <f>IFERROR(__xludf.DUMMYFUNCTION("""COMPUTED_VALUE"""),0.0)</f>
        <v>0</v>
      </c>
      <c r="S13" s="26">
        <f>IFERROR(__xludf.DUMMYFUNCTION("""COMPUTED_VALUE"""),0.0)</f>
        <v>0</v>
      </c>
      <c r="T13" s="26">
        <f>IFERROR(__xludf.DUMMYFUNCTION("""COMPUTED_VALUE"""),0.0)</f>
        <v>0</v>
      </c>
      <c r="U13" s="26">
        <f>IFERROR(__xludf.DUMMYFUNCTION("""COMPUTED_VALUE"""),0.0)</f>
        <v>0</v>
      </c>
      <c r="V13" s="26">
        <f>IFERROR(__xludf.DUMMYFUNCTION("""COMPUTED_VALUE"""),0.0)</f>
        <v>0</v>
      </c>
      <c r="W13" s="26">
        <f>IFERROR(__xludf.DUMMYFUNCTION("""COMPUTED_VALUE"""),0.0)</f>
        <v>0</v>
      </c>
      <c r="X13" s="26">
        <f>IFERROR(__xludf.DUMMYFUNCTION("""COMPUTED_VALUE"""),0.0)</f>
        <v>0</v>
      </c>
      <c r="Y13" s="26">
        <f>IFERROR(__xludf.DUMMYFUNCTION("""COMPUTED_VALUE"""),0.0)</f>
        <v>0</v>
      </c>
      <c r="Z13" s="26">
        <f>IFERROR(__xludf.DUMMYFUNCTION("""COMPUTED_VALUE"""),0.0)</f>
        <v>0</v>
      </c>
      <c r="AA13" s="26">
        <f>IFERROR(__xludf.DUMMYFUNCTION("""COMPUTED_VALUE"""),0.0)</f>
        <v>0</v>
      </c>
      <c r="AB13" s="26">
        <f>IFERROR(__xludf.DUMMYFUNCTION("""COMPUTED_VALUE"""),0.0)</f>
        <v>0</v>
      </c>
      <c r="AC13" s="26">
        <f>IFERROR(__xludf.DUMMYFUNCTION("""COMPUTED_VALUE"""),0.0)</f>
        <v>0</v>
      </c>
      <c r="AD13" s="26">
        <f>IFERROR(__xludf.DUMMYFUNCTION("""COMPUTED_VALUE"""),0.0)</f>
        <v>0</v>
      </c>
      <c r="AE13" s="26">
        <f>IFERROR(__xludf.DUMMYFUNCTION("""COMPUTED_VALUE"""),0.0)</f>
        <v>0</v>
      </c>
    </row>
    <row r="14">
      <c r="A14" s="26">
        <f>IFERROR(__xludf.DUMMYFUNCTION("""COMPUTED_VALUE"""),0.0)</f>
        <v>0</v>
      </c>
      <c r="B14" s="26">
        <f>IFERROR(__xludf.DUMMYFUNCTION("""COMPUTED_VALUE"""),0.0)</f>
        <v>0</v>
      </c>
      <c r="C14" s="26">
        <f>IFERROR(__xludf.DUMMYFUNCTION("""COMPUTED_VALUE"""),0.0)</f>
        <v>0</v>
      </c>
      <c r="D14" s="26">
        <f>IFERROR(__xludf.DUMMYFUNCTION("""COMPUTED_VALUE"""),0.0)</f>
        <v>0</v>
      </c>
      <c r="E14" s="26">
        <f>IFERROR(__xludf.DUMMYFUNCTION("""COMPUTED_VALUE"""),0.0)</f>
        <v>0</v>
      </c>
      <c r="F14" s="26">
        <f>IFERROR(__xludf.DUMMYFUNCTION("""COMPUTED_VALUE"""),0.0)</f>
        <v>0</v>
      </c>
      <c r="G14" s="26">
        <f>IFERROR(__xludf.DUMMYFUNCTION("""COMPUTED_VALUE"""),0.0)</f>
        <v>0</v>
      </c>
      <c r="H14" s="26">
        <f>IFERROR(__xludf.DUMMYFUNCTION("""COMPUTED_VALUE"""),0.0)</f>
        <v>0</v>
      </c>
      <c r="I14" s="26">
        <f>IFERROR(__xludf.DUMMYFUNCTION("""COMPUTED_VALUE"""),0.0)</f>
        <v>0</v>
      </c>
      <c r="J14" s="26">
        <f>IFERROR(__xludf.DUMMYFUNCTION("""COMPUTED_VALUE"""),0.0)</f>
        <v>0</v>
      </c>
      <c r="K14" s="26">
        <f>IFERROR(__xludf.DUMMYFUNCTION("""COMPUTED_VALUE"""),0.0)</f>
        <v>0</v>
      </c>
      <c r="L14" s="26">
        <f>IFERROR(__xludf.DUMMYFUNCTION("""COMPUTED_VALUE"""),0.0)</f>
        <v>0</v>
      </c>
      <c r="M14" s="26"/>
      <c r="N14" s="26"/>
      <c r="O14" s="26"/>
      <c r="P14" s="26"/>
      <c r="Q14" s="26"/>
      <c r="R14" s="26">
        <f>IFERROR(__xludf.DUMMYFUNCTION("""COMPUTED_VALUE"""),0.0)</f>
        <v>0</v>
      </c>
      <c r="S14" s="26">
        <f>IFERROR(__xludf.DUMMYFUNCTION("""COMPUTED_VALUE"""),0.0)</f>
        <v>0</v>
      </c>
      <c r="T14" s="26">
        <f>IFERROR(__xludf.DUMMYFUNCTION("""COMPUTED_VALUE"""),0.0)</f>
        <v>0</v>
      </c>
      <c r="U14" s="26">
        <f>IFERROR(__xludf.DUMMYFUNCTION("""COMPUTED_VALUE"""),0.0)</f>
        <v>0</v>
      </c>
      <c r="V14" s="26">
        <f>IFERROR(__xludf.DUMMYFUNCTION("""COMPUTED_VALUE"""),0.0)</f>
        <v>0</v>
      </c>
      <c r="W14" s="26">
        <f>IFERROR(__xludf.DUMMYFUNCTION("""COMPUTED_VALUE"""),0.0)</f>
        <v>0</v>
      </c>
      <c r="X14" s="26">
        <f>IFERROR(__xludf.DUMMYFUNCTION("""COMPUTED_VALUE"""),0.0)</f>
        <v>0</v>
      </c>
      <c r="Y14" s="26">
        <f>IFERROR(__xludf.DUMMYFUNCTION("""COMPUTED_VALUE"""),0.0)</f>
        <v>0</v>
      </c>
      <c r="Z14" s="26">
        <f>IFERROR(__xludf.DUMMYFUNCTION("""COMPUTED_VALUE"""),0.0)</f>
        <v>0</v>
      </c>
      <c r="AA14" s="26">
        <f>IFERROR(__xludf.DUMMYFUNCTION("""COMPUTED_VALUE"""),0.0)</f>
        <v>0</v>
      </c>
      <c r="AB14" s="26">
        <f>IFERROR(__xludf.DUMMYFUNCTION("""COMPUTED_VALUE"""),0.0)</f>
        <v>0</v>
      </c>
      <c r="AC14" s="26">
        <f>IFERROR(__xludf.DUMMYFUNCTION("""COMPUTED_VALUE"""),0.0)</f>
        <v>0</v>
      </c>
      <c r="AD14" s="26">
        <f>IFERROR(__xludf.DUMMYFUNCTION("""COMPUTED_VALUE"""),0.0)</f>
        <v>0</v>
      </c>
      <c r="AE14" s="26">
        <f>IFERROR(__xludf.DUMMYFUNCTION("""COMPUTED_VALUE"""),0.0)</f>
        <v>0</v>
      </c>
    </row>
    <row r="15">
      <c r="A15" s="26">
        <f>IFERROR(__xludf.DUMMYFUNCTION("""COMPUTED_VALUE"""),0.0)</f>
        <v>0</v>
      </c>
      <c r="B15" s="26">
        <f>IFERROR(__xludf.DUMMYFUNCTION("""COMPUTED_VALUE"""),0.0)</f>
        <v>0</v>
      </c>
      <c r="C15" s="26">
        <f>IFERROR(__xludf.DUMMYFUNCTION("""COMPUTED_VALUE"""),0.0)</f>
        <v>0</v>
      </c>
      <c r="D15" s="26">
        <f>IFERROR(__xludf.DUMMYFUNCTION("""COMPUTED_VALUE"""),0.0)</f>
        <v>0</v>
      </c>
      <c r="E15" s="26">
        <f>IFERROR(__xludf.DUMMYFUNCTION("""COMPUTED_VALUE"""),0.0)</f>
        <v>0</v>
      </c>
      <c r="F15" s="26">
        <f>IFERROR(__xludf.DUMMYFUNCTION("""COMPUTED_VALUE"""),0.0)</f>
        <v>0</v>
      </c>
      <c r="G15" s="26">
        <f>IFERROR(__xludf.DUMMYFUNCTION("""COMPUTED_VALUE"""),0.0)</f>
        <v>0</v>
      </c>
      <c r="H15" s="26">
        <f>IFERROR(__xludf.DUMMYFUNCTION("""COMPUTED_VALUE"""),0.0)</f>
        <v>0</v>
      </c>
      <c r="I15" s="26">
        <f>IFERROR(__xludf.DUMMYFUNCTION("""COMPUTED_VALUE"""),0.0)</f>
        <v>0</v>
      </c>
      <c r="J15" s="26">
        <f>IFERROR(__xludf.DUMMYFUNCTION("""COMPUTED_VALUE"""),0.0)</f>
        <v>0</v>
      </c>
      <c r="K15" s="26">
        <f>IFERROR(__xludf.DUMMYFUNCTION("""COMPUTED_VALUE"""),0.0)</f>
        <v>0</v>
      </c>
      <c r="L15" s="26">
        <f>IFERROR(__xludf.DUMMYFUNCTION("""COMPUTED_VALUE"""),0.0)</f>
        <v>0</v>
      </c>
      <c r="M15" s="26"/>
      <c r="N15" s="26"/>
      <c r="O15" s="26"/>
      <c r="P15" s="26"/>
      <c r="Q15" s="26"/>
      <c r="R15" s="26">
        <f>IFERROR(__xludf.DUMMYFUNCTION("""COMPUTED_VALUE"""),0.0)</f>
        <v>0</v>
      </c>
      <c r="S15" s="26">
        <f>IFERROR(__xludf.DUMMYFUNCTION("""COMPUTED_VALUE"""),0.0)</f>
        <v>0</v>
      </c>
      <c r="T15" s="26">
        <f>IFERROR(__xludf.DUMMYFUNCTION("""COMPUTED_VALUE"""),0.0)</f>
        <v>0</v>
      </c>
      <c r="U15" s="26">
        <f>IFERROR(__xludf.DUMMYFUNCTION("""COMPUTED_VALUE"""),0.0)</f>
        <v>0</v>
      </c>
      <c r="V15" s="26">
        <f>IFERROR(__xludf.DUMMYFUNCTION("""COMPUTED_VALUE"""),0.0)</f>
        <v>0</v>
      </c>
      <c r="W15" s="26">
        <f>IFERROR(__xludf.DUMMYFUNCTION("""COMPUTED_VALUE"""),0.0)</f>
        <v>0</v>
      </c>
      <c r="X15" s="26">
        <f>IFERROR(__xludf.DUMMYFUNCTION("""COMPUTED_VALUE"""),0.0)</f>
        <v>0</v>
      </c>
      <c r="Y15" s="26">
        <f>IFERROR(__xludf.DUMMYFUNCTION("""COMPUTED_VALUE"""),0.0)</f>
        <v>0</v>
      </c>
      <c r="Z15" s="26">
        <f>IFERROR(__xludf.DUMMYFUNCTION("""COMPUTED_VALUE"""),0.0)</f>
        <v>0</v>
      </c>
      <c r="AA15" s="26">
        <f>IFERROR(__xludf.DUMMYFUNCTION("""COMPUTED_VALUE"""),0.0)</f>
        <v>0</v>
      </c>
      <c r="AB15" s="26">
        <f>IFERROR(__xludf.DUMMYFUNCTION("""COMPUTED_VALUE"""),0.0)</f>
        <v>0</v>
      </c>
      <c r="AC15" s="26">
        <f>IFERROR(__xludf.DUMMYFUNCTION("""COMPUTED_VALUE"""),0.0)</f>
        <v>0</v>
      </c>
      <c r="AD15" s="26">
        <f>IFERROR(__xludf.DUMMYFUNCTION("""COMPUTED_VALUE"""),0.0)</f>
        <v>0</v>
      </c>
      <c r="AE15" s="26">
        <f>IFERROR(__xludf.DUMMYFUNCTION("""COMPUTED_VALUE"""),0.0)</f>
        <v>0</v>
      </c>
    </row>
    <row r="16">
      <c r="A16" s="26">
        <f>IFERROR(__xludf.DUMMYFUNCTION("""COMPUTED_VALUE"""),0.0)</f>
        <v>0</v>
      </c>
      <c r="B16" s="26">
        <f>IFERROR(__xludf.DUMMYFUNCTION("""COMPUTED_VALUE"""),0.0)</f>
        <v>0</v>
      </c>
      <c r="C16" s="26">
        <f>IFERROR(__xludf.DUMMYFUNCTION("""COMPUTED_VALUE"""),0.0)</f>
        <v>0</v>
      </c>
      <c r="D16" s="26">
        <f>IFERROR(__xludf.DUMMYFUNCTION("""COMPUTED_VALUE"""),0.0)</f>
        <v>0</v>
      </c>
      <c r="E16" s="26">
        <f>IFERROR(__xludf.DUMMYFUNCTION("""COMPUTED_VALUE"""),0.0)</f>
        <v>0</v>
      </c>
      <c r="F16" s="26">
        <f>IFERROR(__xludf.DUMMYFUNCTION("""COMPUTED_VALUE"""),0.0)</f>
        <v>0</v>
      </c>
      <c r="G16" s="26">
        <f>IFERROR(__xludf.DUMMYFUNCTION("""COMPUTED_VALUE"""),0.0)</f>
        <v>0</v>
      </c>
      <c r="H16" s="26">
        <f>IFERROR(__xludf.DUMMYFUNCTION("""COMPUTED_VALUE"""),0.0)</f>
        <v>0</v>
      </c>
      <c r="I16" s="26">
        <f>IFERROR(__xludf.DUMMYFUNCTION("""COMPUTED_VALUE"""),0.0)</f>
        <v>0</v>
      </c>
      <c r="J16" s="26">
        <f>IFERROR(__xludf.DUMMYFUNCTION("""COMPUTED_VALUE"""),0.0)</f>
        <v>0</v>
      </c>
      <c r="K16" s="26">
        <f>IFERROR(__xludf.DUMMYFUNCTION("""COMPUTED_VALUE"""),0.0)</f>
        <v>0</v>
      </c>
      <c r="L16" s="26">
        <f>IFERROR(__xludf.DUMMYFUNCTION("""COMPUTED_VALUE"""),0.0)</f>
        <v>0</v>
      </c>
      <c r="M16" s="26"/>
      <c r="N16" s="26"/>
      <c r="O16" s="26"/>
      <c r="P16" s="26"/>
      <c r="Q16" s="26"/>
      <c r="R16" s="26">
        <f>IFERROR(__xludf.DUMMYFUNCTION("""COMPUTED_VALUE"""),0.0)</f>
        <v>0</v>
      </c>
      <c r="S16" s="26">
        <f>IFERROR(__xludf.DUMMYFUNCTION("""COMPUTED_VALUE"""),0.0)</f>
        <v>0</v>
      </c>
      <c r="T16" s="26">
        <f>IFERROR(__xludf.DUMMYFUNCTION("""COMPUTED_VALUE"""),0.0)</f>
        <v>0</v>
      </c>
      <c r="U16" s="26">
        <f>IFERROR(__xludf.DUMMYFUNCTION("""COMPUTED_VALUE"""),0.0)</f>
        <v>0</v>
      </c>
      <c r="V16" s="26">
        <f>IFERROR(__xludf.DUMMYFUNCTION("""COMPUTED_VALUE"""),0.0)</f>
        <v>0</v>
      </c>
      <c r="W16" s="26">
        <f>IFERROR(__xludf.DUMMYFUNCTION("""COMPUTED_VALUE"""),0.0)</f>
        <v>0</v>
      </c>
      <c r="X16" s="26">
        <f>IFERROR(__xludf.DUMMYFUNCTION("""COMPUTED_VALUE"""),0.0)</f>
        <v>0</v>
      </c>
      <c r="Y16" s="26">
        <f>IFERROR(__xludf.DUMMYFUNCTION("""COMPUTED_VALUE"""),0.0)</f>
        <v>0</v>
      </c>
      <c r="Z16" s="26">
        <f>IFERROR(__xludf.DUMMYFUNCTION("""COMPUTED_VALUE"""),0.0)</f>
        <v>0</v>
      </c>
      <c r="AA16" s="26">
        <f>IFERROR(__xludf.DUMMYFUNCTION("""COMPUTED_VALUE"""),0.0)</f>
        <v>0</v>
      </c>
      <c r="AB16" s="26">
        <f>IFERROR(__xludf.DUMMYFUNCTION("""COMPUTED_VALUE"""),0.0)</f>
        <v>0</v>
      </c>
      <c r="AC16" s="26">
        <f>IFERROR(__xludf.DUMMYFUNCTION("""COMPUTED_VALUE"""),0.0)</f>
        <v>0</v>
      </c>
      <c r="AD16" s="26">
        <f>IFERROR(__xludf.DUMMYFUNCTION("""COMPUTED_VALUE"""),0.0)</f>
        <v>0</v>
      </c>
      <c r="AE16" s="26">
        <f>IFERROR(__xludf.DUMMYFUNCTION("""COMPUTED_VALUE"""),0.0)</f>
        <v>0</v>
      </c>
    </row>
    <row r="17">
      <c r="A17" s="26">
        <f>IFERROR(__xludf.DUMMYFUNCTION("""COMPUTED_VALUE"""),0.0)</f>
        <v>0</v>
      </c>
      <c r="B17" s="26">
        <f>IFERROR(__xludf.DUMMYFUNCTION("""COMPUTED_VALUE"""),0.0)</f>
        <v>0</v>
      </c>
      <c r="C17" s="26">
        <f>IFERROR(__xludf.DUMMYFUNCTION("""COMPUTED_VALUE"""),0.0)</f>
        <v>0</v>
      </c>
      <c r="D17" s="26">
        <f>IFERROR(__xludf.DUMMYFUNCTION("""COMPUTED_VALUE"""),0.0)</f>
        <v>0</v>
      </c>
      <c r="E17" s="26">
        <f>IFERROR(__xludf.DUMMYFUNCTION("""COMPUTED_VALUE"""),0.0)</f>
        <v>0</v>
      </c>
      <c r="F17" s="26">
        <f>IFERROR(__xludf.DUMMYFUNCTION("""COMPUTED_VALUE"""),0.0)</f>
        <v>0</v>
      </c>
      <c r="G17" s="26">
        <f>IFERROR(__xludf.DUMMYFUNCTION("""COMPUTED_VALUE"""),0.0)</f>
        <v>0</v>
      </c>
      <c r="H17" s="26">
        <f>IFERROR(__xludf.DUMMYFUNCTION("""COMPUTED_VALUE"""),0.0)</f>
        <v>0</v>
      </c>
      <c r="I17" s="26">
        <f>IFERROR(__xludf.DUMMYFUNCTION("""COMPUTED_VALUE"""),0.0)</f>
        <v>0</v>
      </c>
      <c r="J17" s="26">
        <f>IFERROR(__xludf.DUMMYFUNCTION("""COMPUTED_VALUE"""),0.0)</f>
        <v>0</v>
      </c>
      <c r="K17" s="26">
        <f>IFERROR(__xludf.DUMMYFUNCTION("""COMPUTED_VALUE"""),0.0)</f>
        <v>0</v>
      </c>
      <c r="L17" s="26">
        <f>IFERROR(__xludf.DUMMYFUNCTION("""COMPUTED_VALUE"""),0.0)</f>
        <v>0</v>
      </c>
      <c r="M17" s="26"/>
      <c r="N17" s="26"/>
      <c r="O17" s="26"/>
      <c r="P17" s="26"/>
      <c r="Q17" s="26"/>
      <c r="R17" s="26">
        <f>IFERROR(__xludf.DUMMYFUNCTION("""COMPUTED_VALUE"""),0.0)</f>
        <v>0</v>
      </c>
      <c r="S17" s="26">
        <f>IFERROR(__xludf.DUMMYFUNCTION("""COMPUTED_VALUE"""),0.0)</f>
        <v>0</v>
      </c>
      <c r="T17" s="26">
        <f>IFERROR(__xludf.DUMMYFUNCTION("""COMPUTED_VALUE"""),0.0)</f>
        <v>0</v>
      </c>
      <c r="U17" s="26">
        <f>IFERROR(__xludf.DUMMYFUNCTION("""COMPUTED_VALUE"""),0.0)</f>
        <v>0</v>
      </c>
      <c r="V17" s="26">
        <f>IFERROR(__xludf.DUMMYFUNCTION("""COMPUTED_VALUE"""),0.0)</f>
        <v>0</v>
      </c>
      <c r="W17" s="26">
        <f>IFERROR(__xludf.DUMMYFUNCTION("""COMPUTED_VALUE"""),0.0)</f>
        <v>0</v>
      </c>
      <c r="X17" s="26">
        <f>IFERROR(__xludf.DUMMYFUNCTION("""COMPUTED_VALUE"""),0.0)</f>
        <v>0</v>
      </c>
      <c r="Y17" s="26">
        <f>IFERROR(__xludf.DUMMYFUNCTION("""COMPUTED_VALUE"""),0.0)</f>
        <v>0</v>
      </c>
      <c r="Z17" s="26">
        <f>IFERROR(__xludf.DUMMYFUNCTION("""COMPUTED_VALUE"""),0.0)</f>
        <v>0</v>
      </c>
      <c r="AA17" s="26">
        <f>IFERROR(__xludf.DUMMYFUNCTION("""COMPUTED_VALUE"""),0.0)</f>
        <v>0</v>
      </c>
      <c r="AB17" s="26">
        <f>IFERROR(__xludf.DUMMYFUNCTION("""COMPUTED_VALUE"""),0.0)</f>
        <v>0</v>
      </c>
      <c r="AC17" s="26">
        <f>IFERROR(__xludf.DUMMYFUNCTION("""COMPUTED_VALUE"""),0.0)</f>
        <v>0</v>
      </c>
      <c r="AD17" s="26">
        <f>IFERROR(__xludf.DUMMYFUNCTION("""COMPUTED_VALUE"""),0.0)</f>
        <v>0</v>
      </c>
      <c r="AE17" s="26">
        <f>IFERROR(__xludf.DUMMYFUNCTION("""COMPUTED_VALUE"""),0.0)</f>
        <v>0</v>
      </c>
    </row>
    <row r="18">
      <c r="A18" s="26">
        <f>IFERROR(__xludf.DUMMYFUNCTION("""COMPUTED_VALUE"""),0.0)</f>
        <v>0</v>
      </c>
      <c r="B18" s="26">
        <f>IFERROR(__xludf.DUMMYFUNCTION("""COMPUTED_VALUE"""),0.0)</f>
        <v>0</v>
      </c>
      <c r="C18" s="26">
        <f>IFERROR(__xludf.DUMMYFUNCTION("""COMPUTED_VALUE"""),0.0)</f>
        <v>0</v>
      </c>
      <c r="D18" s="26">
        <f>IFERROR(__xludf.DUMMYFUNCTION("""COMPUTED_VALUE"""),0.0)</f>
        <v>0</v>
      </c>
      <c r="E18" s="26">
        <f>IFERROR(__xludf.DUMMYFUNCTION("""COMPUTED_VALUE"""),0.0)</f>
        <v>0</v>
      </c>
      <c r="F18" s="26">
        <f>IFERROR(__xludf.DUMMYFUNCTION("""COMPUTED_VALUE"""),0.0)</f>
        <v>0</v>
      </c>
      <c r="G18" s="26">
        <f>IFERROR(__xludf.DUMMYFUNCTION("""COMPUTED_VALUE"""),0.0)</f>
        <v>0</v>
      </c>
      <c r="H18" s="26">
        <f>IFERROR(__xludf.DUMMYFUNCTION("""COMPUTED_VALUE"""),0.0)</f>
        <v>0</v>
      </c>
      <c r="I18" s="26">
        <f>IFERROR(__xludf.DUMMYFUNCTION("""COMPUTED_VALUE"""),0.0)</f>
        <v>0</v>
      </c>
      <c r="J18" s="26">
        <f>IFERROR(__xludf.DUMMYFUNCTION("""COMPUTED_VALUE"""),0.0)</f>
        <v>0</v>
      </c>
      <c r="K18" s="26">
        <f>IFERROR(__xludf.DUMMYFUNCTION("""COMPUTED_VALUE"""),0.0)</f>
        <v>0</v>
      </c>
      <c r="L18" s="26">
        <f>IFERROR(__xludf.DUMMYFUNCTION("""COMPUTED_VALUE"""),0.0)</f>
        <v>0</v>
      </c>
      <c r="M18" s="26"/>
      <c r="N18" s="26"/>
      <c r="O18" s="26"/>
      <c r="P18" s="26"/>
      <c r="Q18" s="26"/>
      <c r="R18" s="26">
        <f>IFERROR(__xludf.DUMMYFUNCTION("""COMPUTED_VALUE"""),0.0)</f>
        <v>0</v>
      </c>
      <c r="S18" s="26">
        <f>IFERROR(__xludf.DUMMYFUNCTION("""COMPUTED_VALUE"""),0.0)</f>
        <v>0</v>
      </c>
      <c r="T18" s="26">
        <f>IFERROR(__xludf.DUMMYFUNCTION("""COMPUTED_VALUE"""),0.0)</f>
        <v>0</v>
      </c>
      <c r="U18" s="26">
        <f>IFERROR(__xludf.DUMMYFUNCTION("""COMPUTED_VALUE"""),0.0)</f>
        <v>0</v>
      </c>
      <c r="V18" s="26">
        <f>IFERROR(__xludf.DUMMYFUNCTION("""COMPUTED_VALUE"""),0.0)</f>
        <v>0</v>
      </c>
      <c r="W18" s="26">
        <f>IFERROR(__xludf.DUMMYFUNCTION("""COMPUTED_VALUE"""),0.0)</f>
        <v>0</v>
      </c>
      <c r="X18" s="26">
        <f>IFERROR(__xludf.DUMMYFUNCTION("""COMPUTED_VALUE"""),0.0)</f>
        <v>0</v>
      </c>
      <c r="Y18" s="26">
        <f>IFERROR(__xludf.DUMMYFUNCTION("""COMPUTED_VALUE"""),0.0)</f>
        <v>0</v>
      </c>
      <c r="Z18" s="26">
        <f>IFERROR(__xludf.DUMMYFUNCTION("""COMPUTED_VALUE"""),0.0)</f>
        <v>0</v>
      </c>
      <c r="AA18" s="26">
        <f>IFERROR(__xludf.DUMMYFUNCTION("""COMPUTED_VALUE"""),0.0)</f>
        <v>0</v>
      </c>
      <c r="AB18" s="26">
        <f>IFERROR(__xludf.DUMMYFUNCTION("""COMPUTED_VALUE"""),0.0)</f>
        <v>0</v>
      </c>
      <c r="AC18" s="26">
        <f>IFERROR(__xludf.DUMMYFUNCTION("""COMPUTED_VALUE"""),0.0)</f>
        <v>0</v>
      </c>
      <c r="AD18" s="26">
        <f>IFERROR(__xludf.DUMMYFUNCTION("""COMPUTED_VALUE"""),0.0)</f>
        <v>0</v>
      </c>
      <c r="AE18" s="26">
        <f>IFERROR(__xludf.DUMMYFUNCTION("""COMPUTED_VALUE"""),0.0)</f>
        <v>0</v>
      </c>
    </row>
    <row r="19">
      <c r="A19" s="26">
        <f>IFERROR(__xludf.DUMMYFUNCTION("""COMPUTED_VALUE"""),0.0)</f>
        <v>0</v>
      </c>
      <c r="B19" s="26">
        <f>IFERROR(__xludf.DUMMYFUNCTION("""COMPUTED_VALUE"""),0.0)</f>
        <v>0</v>
      </c>
      <c r="C19" s="26">
        <f>IFERROR(__xludf.DUMMYFUNCTION("""COMPUTED_VALUE"""),0.0)</f>
        <v>0</v>
      </c>
      <c r="D19" s="26">
        <f>IFERROR(__xludf.DUMMYFUNCTION("""COMPUTED_VALUE"""),0.0)</f>
        <v>0</v>
      </c>
      <c r="E19" s="26">
        <f>IFERROR(__xludf.DUMMYFUNCTION("""COMPUTED_VALUE"""),0.0)</f>
        <v>0</v>
      </c>
      <c r="F19" s="26">
        <f>IFERROR(__xludf.DUMMYFUNCTION("""COMPUTED_VALUE"""),0.0)</f>
        <v>0</v>
      </c>
      <c r="G19" s="26">
        <f>IFERROR(__xludf.DUMMYFUNCTION("""COMPUTED_VALUE"""),0.0)</f>
        <v>0</v>
      </c>
      <c r="H19" s="26">
        <f>IFERROR(__xludf.DUMMYFUNCTION("""COMPUTED_VALUE"""),0.0)</f>
        <v>0</v>
      </c>
      <c r="I19" s="26">
        <f>IFERROR(__xludf.DUMMYFUNCTION("""COMPUTED_VALUE"""),0.0)</f>
        <v>0</v>
      </c>
      <c r="J19" s="26">
        <f>IFERROR(__xludf.DUMMYFUNCTION("""COMPUTED_VALUE"""),0.0)</f>
        <v>0</v>
      </c>
      <c r="K19" s="26">
        <f>IFERROR(__xludf.DUMMYFUNCTION("""COMPUTED_VALUE"""),0.0)</f>
        <v>0</v>
      </c>
      <c r="L19" s="26">
        <f>IFERROR(__xludf.DUMMYFUNCTION("""COMPUTED_VALUE"""),0.0)</f>
        <v>0</v>
      </c>
      <c r="M19" s="26"/>
      <c r="N19" s="26"/>
      <c r="O19" s="26"/>
      <c r="P19" s="26"/>
      <c r="Q19" s="26"/>
      <c r="R19" s="26">
        <f>IFERROR(__xludf.DUMMYFUNCTION("""COMPUTED_VALUE"""),0.0)</f>
        <v>0</v>
      </c>
      <c r="S19" s="26">
        <f>IFERROR(__xludf.DUMMYFUNCTION("""COMPUTED_VALUE"""),0.0)</f>
        <v>0</v>
      </c>
      <c r="T19" s="26">
        <f>IFERROR(__xludf.DUMMYFUNCTION("""COMPUTED_VALUE"""),0.0)</f>
        <v>0</v>
      </c>
      <c r="U19" s="26">
        <f>IFERROR(__xludf.DUMMYFUNCTION("""COMPUTED_VALUE"""),0.0)</f>
        <v>0</v>
      </c>
      <c r="V19" s="26">
        <f>IFERROR(__xludf.DUMMYFUNCTION("""COMPUTED_VALUE"""),0.0)</f>
        <v>0</v>
      </c>
      <c r="W19" s="26">
        <f>IFERROR(__xludf.DUMMYFUNCTION("""COMPUTED_VALUE"""),0.0)</f>
        <v>0</v>
      </c>
      <c r="X19" s="26">
        <f>IFERROR(__xludf.DUMMYFUNCTION("""COMPUTED_VALUE"""),0.0)</f>
        <v>0</v>
      </c>
      <c r="Y19" s="26">
        <f>IFERROR(__xludf.DUMMYFUNCTION("""COMPUTED_VALUE"""),0.0)</f>
        <v>0</v>
      </c>
      <c r="Z19" s="26">
        <f>IFERROR(__xludf.DUMMYFUNCTION("""COMPUTED_VALUE"""),0.0)</f>
        <v>0</v>
      </c>
      <c r="AA19" s="26">
        <f>IFERROR(__xludf.DUMMYFUNCTION("""COMPUTED_VALUE"""),0.0)</f>
        <v>0</v>
      </c>
      <c r="AB19" s="26">
        <f>IFERROR(__xludf.DUMMYFUNCTION("""COMPUTED_VALUE"""),0.0)</f>
        <v>0</v>
      </c>
      <c r="AC19" s="26">
        <f>IFERROR(__xludf.DUMMYFUNCTION("""COMPUTED_VALUE"""),0.0)</f>
        <v>0</v>
      </c>
      <c r="AD19" s="26">
        <f>IFERROR(__xludf.DUMMYFUNCTION("""COMPUTED_VALUE"""),0.0)</f>
        <v>0</v>
      </c>
      <c r="AE19" s="26">
        <f>IFERROR(__xludf.DUMMYFUNCTION("""COMPUTED_VALUE"""),0.0)</f>
        <v>0</v>
      </c>
    </row>
    <row r="20">
      <c r="A20" s="26">
        <f>IFERROR(__xludf.DUMMYFUNCTION("""COMPUTED_VALUE"""),0.0)</f>
        <v>0</v>
      </c>
      <c r="B20" s="26">
        <f>IFERROR(__xludf.DUMMYFUNCTION("""COMPUTED_VALUE"""),0.0)</f>
        <v>0</v>
      </c>
      <c r="C20" s="26">
        <f>IFERROR(__xludf.DUMMYFUNCTION("""COMPUTED_VALUE"""),0.0)</f>
        <v>0</v>
      </c>
      <c r="D20" s="26">
        <f>IFERROR(__xludf.DUMMYFUNCTION("""COMPUTED_VALUE"""),0.0)</f>
        <v>0</v>
      </c>
      <c r="E20" s="26">
        <f>IFERROR(__xludf.DUMMYFUNCTION("""COMPUTED_VALUE"""),0.0)</f>
        <v>0</v>
      </c>
      <c r="F20" s="26">
        <f>IFERROR(__xludf.DUMMYFUNCTION("""COMPUTED_VALUE"""),0.0)</f>
        <v>0</v>
      </c>
      <c r="G20" s="26">
        <f>IFERROR(__xludf.DUMMYFUNCTION("""COMPUTED_VALUE"""),0.0)</f>
        <v>0</v>
      </c>
      <c r="H20" s="26">
        <f>IFERROR(__xludf.DUMMYFUNCTION("""COMPUTED_VALUE"""),0.0)</f>
        <v>0</v>
      </c>
      <c r="I20" s="26">
        <f>IFERROR(__xludf.DUMMYFUNCTION("""COMPUTED_VALUE"""),0.0)</f>
        <v>0</v>
      </c>
      <c r="J20" s="26">
        <f>IFERROR(__xludf.DUMMYFUNCTION("""COMPUTED_VALUE"""),0.0)</f>
        <v>0</v>
      </c>
      <c r="K20" s="26">
        <f>IFERROR(__xludf.DUMMYFUNCTION("""COMPUTED_VALUE"""),0.0)</f>
        <v>0</v>
      </c>
      <c r="L20" s="26">
        <f>IFERROR(__xludf.DUMMYFUNCTION("""COMPUTED_VALUE"""),0.0)</f>
        <v>0</v>
      </c>
      <c r="M20" s="26"/>
      <c r="N20" s="26"/>
      <c r="O20" s="26"/>
      <c r="P20" s="26"/>
      <c r="Q20" s="26"/>
      <c r="R20" s="26">
        <f>IFERROR(__xludf.DUMMYFUNCTION("""COMPUTED_VALUE"""),0.0)</f>
        <v>0</v>
      </c>
      <c r="S20" s="26">
        <f>IFERROR(__xludf.DUMMYFUNCTION("""COMPUTED_VALUE"""),0.0)</f>
        <v>0</v>
      </c>
      <c r="T20" s="26">
        <f>IFERROR(__xludf.DUMMYFUNCTION("""COMPUTED_VALUE"""),0.0)</f>
        <v>0</v>
      </c>
      <c r="U20" s="26">
        <f>IFERROR(__xludf.DUMMYFUNCTION("""COMPUTED_VALUE"""),0.0)</f>
        <v>0</v>
      </c>
      <c r="V20" s="26">
        <f>IFERROR(__xludf.DUMMYFUNCTION("""COMPUTED_VALUE"""),0.0)</f>
        <v>0</v>
      </c>
      <c r="W20" s="26">
        <f>IFERROR(__xludf.DUMMYFUNCTION("""COMPUTED_VALUE"""),0.0)</f>
        <v>0</v>
      </c>
      <c r="X20" s="26">
        <f>IFERROR(__xludf.DUMMYFUNCTION("""COMPUTED_VALUE"""),0.0)</f>
        <v>0</v>
      </c>
      <c r="Y20" s="26">
        <f>IFERROR(__xludf.DUMMYFUNCTION("""COMPUTED_VALUE"""),0.0)</f>
        <v>0</v>
      </c>
      <c r="Z20" s="26">
        <f>IFERROR(__xludf.DUMMYFUNCTION("""COMPUTED_VALUE"""),0.0)</f>
        <v>0</v>
      </c>
      <c r="AA20" s="26">
        <f>IFERROR(__xludf.DUMMYFUNCTION("""COMPUTED_VALUE"""),0.0)</f>
        <v>0</v>
      </c>
      <c r="AB20" s="26">
        <f>IFERROR(__xludf.DUMMYFUNCTION("""COMPUTED_VALUE"""),0.0)</f>
        <v>0</v>
      </c>
      <c r="AC20" s="26">
        <f>IFERROR(__xludf.DUMMYFUNCTION("""COMPUTED_VALUE"""),0.0)</f>
        <v>0</v>
      </c>
      <c r="AD20" s="26">
        <f>IFERROR(__xludf.DUMMYFUNCTION("""COMPUTED_VALUE"""),0.0)</f>
        <v>0</v>
      </c>
      <c r="AE20" s="26">
        <f>IFERROR(__xludf.DUMMYFUNCTION("""COMPUTED_VALUE"""),0.0)</f>
        <v>0</v>
      </c>
    </row>
    <row r="21">
      <c r="A21" s="26">
        <f>IFERROR(__xludf.DUMMYFUNCTION("""COMPUTED_VALUE"""),0.0)</f>
        <v>0</v>
      </c>
      <c r="B21" s="26">
        <f>IFERROR(__xludf.DUMMYFUNCTION("""COMPUTED_VALUE"""),0.0)</f>
        <v>0</v>
      </c>
      <c r="C21" s="26">
        <f>IFERROR(__xludf.DUMMYFUNCTION("""COMPUTED_VALUE"""),0.0)</f>
        <v>0</v>
      </c>
      <c r="D21" s="26">
        <f>IFERROR(__xludf.DUMMYFUNCTION("""COMPUTED_VALUE"""),0.0)</f>
        <v>0</v>
      </c>
      <c r="E21" s="26">
        <f>IFERROR(__xludf.DUMMYFUNCTION("""COMPUTED_VALUE"""),0.0)</f>
        <v>0</v>
      </c>
      <c r="F21" s="26">
        <f>IFERROR(__xludf.DUMMYFUNCTION("""COMPUTED_VALUE"""),0.0)</f>
        <v>0</v>
      </c>
      <c r="G21" s="26">
        <f>IFERROR(__xludf.DUMMYFUNCTION("""COMPUTED_VALUE"""),0.0)</f>
        <v>0</v>
      </c>
      <c r="H21" s="26">
        <f>IFERROR(__xludf.DUMMYFUNCTION("""COMPUTED_VALUE"""),0.0)</f>
        <v>0</v>
      </c>
      <c r="I21" s="26">
        <f>IFERROR(__xludf.DUMMYFUNCTION("""COMPUTED_VALUE"""),0.0)</f>
        <v>0</v>
      </c>
      <c r="J21" s="26">
        <f>IFERROR(__xludf.DUMMYFUNCTION("""COMPUTED_VALUE"""),0.0)</f>
        <v>0</v>
      </c>
      <c r="K21" s="26">
        <f>IFERROR(__xludf.DUMMYFUNCTION("""COMPUTED_VALUE"""),0.0)</f>
        <v>0</v>
      </c>
      <c r="L21" s="26">
        <f>IFERROR(__xludf.DUMMYFUNCTION("""COMPUTED_VALUE"""),0.0)</f>
        <v>0</v>
      </c>
      <c r="M21" s="26"/>
      <c r="N21" s="26"/>
      <c r="O21" s="26"/>
      <c r="P21" s="26"/>
      <c r="Q21" s="26"/>
      <c r="R21" s="26">
        <f>IFERROR(__xludf.DUMMYFUNCTION("""COMPUTED_VALUE"""),0.0)</f>
        <v>0</v>
      </c>
      <c r="S21" s="26">
        <f>IFERROR(__xludf.DUMMYFUNCTION("""COMPUTED_VALUE"""),0.0)</f>
        <v>0</v>
      </c>
      <c r="T21" s="26">
        <f>IFERROR(__xludf.DUMMYFUNCTION("""COMPUTED_VALUE"""),0.0)</f>
        <v>0</v>
      </c>
      <c r="U21" s="26">
        <f>IFERROR(__xludf.DUMMYFUNCTION("""COMPUTED_VALUE"""),0.0)</f>
        <v>0</v>
      </c>
      <c r="V21" s="26">
        <f>IFERROR(__xludf.DUMMYFUNCTION("""COMPUTED_VALUE"""),0.0)</f>
        <v>0</v>
      </c>
      <c r="W21" s="26">
        <f>IFERROR(__xludf.DUMMYFUNCTION("""COMPUTED_VALUE"""),0.0)</f>
        <v>0</v>
      </c>
      <c r="X21" s="26">
        <f>IFERROR(__xludf.DUMMYFUNCTION("""COMPUTED_VALUE"""),0.0)</f>
        <v>0</v>
      </c>
      <c r="Y21" s="26">
        <f>IFERROR(__xludf.DUMMYFUNCTION("""COMPUTED_VALUE"""),0.0)</f>
        <v>0</v>
      </c>
      <c r="Z21" s="26">
        <f>IFERROR(__xludf.DUMMYFUNCTION("""COMPUTED_VALUE"""),0.0)</f>
        <v>0</v>
      </c>
      <c r="AA21" s="26">
        <f>IFERROR(__xludf.DUMMYFUNCTION("""COMPUTED_VALUE"""),0.0)</f>
        <v>0</v>
      </c>
      <c r="AB21" s="26">
        <f>IFERROR(__xludf.DUMMYFUNCTION("""COMPUTED_VALUE"""),0.0)</f>
        <v>0</v>
      </c>
      <c r="AC21" s="26">
        <f>IFERROR(__xludf.DUMMYFUNCTION("""COMPUTED_VALUE"""),0.0)</f>
        <v>0</v>
      </c>
      <c r="AD21" s="26">
        <f>IFERROR(__xludf.DUMMYFUNCTION("""COMPUTED_VALUE"""),0.0)</f>
        <v>0</v>
      </c>
      <c r="AE21" s="26">
        <f>IFERROR(__xludf.DUMMYFUNCTION("""COMPUTED_VALUE"""),0.0)</f>
        <v>0</v>
      </c>
    </row>
    <row r="22">
      <c r="A22" s="26">
        <f>IFERROR(__xludf.DUMMYFUNCTION("""COMPUTED_VALUE"""),0.0)</f>
        <v>0</v>
      </c>
      <c r="B22" s="26">
        <f>IFERROR(__xludf.DUMMYFUNCTION("""COMPUTED_VALUE"""),0.0)</f>
        <v>0</v>
      </c>
      <c r="C22" s="26">
        <f>IFERROR(__xludf.DUMMYFUNCTION("""COMPUTED_VALUE"""),0.0)</f>
        <v>0</v>
      </c>
      <c r="D22" s="26">
        <f>IFERROR(__xludf.DUMMYFUNCTION("""COMPUTED_VALUE"""),0.0)</f>
        <v>0</v>
      </c>
      <c r="E22" s="26">
        <f>IFERROR(__xludf.DUMMYFUNCTION("""COMPUTED_VALUE"""),0.0)</f>
        <v>0</v>
      </c>
      <c r="F22" s="26">
        <f>IFERROR(__xludf.DUMMYFUNCTION("""COMPUTED_VALUE"""),0.0)</f>
        <v>0</v>
      </c>
      <c r="G22" s="26">
        <f>IFERROR(__xludf.DUMMYFUNCTION("""COMPUTED_VALUE"""),0.0)</f>
        <v>0</v>
      </c>
      <c r="H22" s="26">
        <f>IFERROR(__xludf.DUMMYFUNCTION("""COMPUTED_VALUE"""),0.0)</f>
        <v>0</v>
      </c>
      <c r="I22" s="26">
        <f>IFERROR(__xludf.DUMMYFUNCTION("""COMPUTED_VALUE"""),0.0)</f>
        <v>0</v>
      </c>
      <c r="J22" s="26">
        <f>IFERROR(__xludf.DUMMYFUNCTION("""COMPUTED_VALUE"""),0.0)</f>
        <v>0</v>
      </c>
      <c r="K22" s="26">
        <f>IFERROR(__xludf.DUMMYFUNCTION("""COMPUTED_VALUE"""),0.0)</f>
        <v>0</v>
      </c>
      <c r="L22" s="26">
        <f>IFERROR(__xludf.DUMMYFUNCTION("""COMPUTED_VALUE"""),0.0)</f>
        <v>0</v>
      </c>
      <c r="M22" s="26"/>
      <c r="N22" s="26"/>
      <c r="O22" s="26"/>
      <c r="P22" s="26"/>
      <c r="Q22" s="26"/>
      <c r="R22" s="26">
        <f>IFERROR(__xludf.DUMMYFUNCTION("""COMPUTED_VALUE"""),0.0)</f>
        <v>0</v>
      </c>
      <c r="S22" s="26">
        <f>IFERROR(__xludf.DUMMYFUNCTION("""COMPUTED_VALUE"""),0.0)</f>
        <v>0</v>
      </c>
      <c r="T22" s="26">
        <f>IFERROR(__xludf.DUMMYFUNCTION("""COMPUTED_VALUE"""),0.0)</f>
        <v>0</v>
      </c>
      <c r="U22" s="26">
        <f>IFERROR(__xludf.DUMMYFUNCTION("""COMPUTED_VALUE"""),0.0)</f>
        <v>0</v>
      </c>
      <c r="V22" s="26">
        <f>IFERROR(__xludf.DUMMYFUNCTION("""COMPUTED_VALUE"""),0.0)</f>
        <v>0</v>
      </c>
      <c r="W22" s="26">
        <f>IFERROR(__xludf.DUMMYFUNCTION("""COMPUTED_VALUE"""),0.0)</f>
        <v>0</v>
      </c>
      <c r="X22" s="26">
        <f>IFERROR(__xludf.DUMMYFUNCTION("""COMPUTED_VALUE"""),0.0)</f>
        <v>0</v>
      </c>
      <c r="Y22" s="26">
        <f>IFERROR(__xludf.DUMMYFUNCTION("""COMPUTED_VALUE"""),0.0)</f>
        <v>0</v>
      </c>
      <c r="Z22" s="26">
        <f>IFERROR(__xludf.DUMMYFUNCTION("""COMPUTED_VALUE"""),0.0)</f>
        <v>0</v>
      </c>
      <c r="AA22" s="26">
        <f>IFERROR(__xludf.DUMMYFUNCTION("""COMPUTED_VALUE"""),0.0)</f>
        <v>0</v>
      </c>
      <c r="AB22" s="26">
        <f>IFERROR(__xludf.DUMMYFUNCTION("""COMPUTED_VALUE"""),0.0)</f>
        <v>0</v>
      </c>
      <c r="AC22" s="26">
        <f>IFERROR(__xludf.DUMMYFUNCTION("""COMPUTED_VALUE"""),0.0)</f>
        <v>0</v>
      </c>
      <c r="AD22" s="26">
        <f>IFERROR(__xludf.DUMMYFUNCTION("""COMPUTED_VALUE"""),0.0)</f>
        <v>0</v>
      </c>
      <c r="AE22" s="26">
        <f>IFERROR(__xludf.DUMMYFUNCTION("""COMPUTED_VALUE"""),0.0)</f>
        <v>0</v>
      </c>
    </row>
    <row r="23">
      <c r="A23" s="26">
        <f>IFERROR(__xludf.DUMMYFUNCTION("""COMPUTED_VALUE"""),262.0)</f>
        <v>262</v>
      </c>
      <c r="B23" s="26">
        <f>IFERROR(__xludf.DUMMYFUNCTION("""COMPUTED_VALUE"""),0.0)</f>
        <v>0</v>
      </c>
      <c r="C23" s="26">
        <f>IFERROR(__xludf.DUMMYFUNCTION("""COMPUTED_VALUE"""),1.0)</f>
        <v>1</v>
      </c>
      <c r="D23" s="26">
        <f>IFERROR(__xludf.DUMMYFUNCTION("""COMPUTED_VALUE"""),0.0)</f>
        <v>0</v>
      </c>
      <c r="E23" s="26">
        <f>IFERROR(__xludf.DUMMYFUNCTION("""COMPUTED_VALUE"""),102.0)</f>
        <v>102</v>
      </c>
      <c r="F23" s="26">
        <f>IFERROR(__xludf.DUMMYFUNCTION("""COMPUTED_VALUE"""),0.0)</f>
        <v>0</v>
      </c>
      <c r="G23" s="26">
        <f>IFERROR(__xludf.DUMMYFUNCTION("""COMPUTED_VALUE"""),0.0)</f>
        <v>0</v>
      </c>
      <c r="H23" s="26">
        <f>IFERROR(__xludf.DUMMYFUNCTION("""COMPUTED_VALUE"""),0.0)</f>
        <v>0</v>
      </c>
      <c r="I23" s="26">
        <f>IFERROR(__xludf.DUMMYFUNCTION("""COMPUTED_VALUE"""),0.0)</f>
        <v>0</v>
      </c>
      <c r="J23" s="26">
        <f>IFERROR(__xludf.DUMMYFUNCTION("""COMPUTED_VALUE"""),0.0)</f>
        <v>0</v>
      </c>
      <c r="K23" s="26">
        <f>IFERROR(__xludf.DUMMYFUNCTION("""COMPUTED_VALUE"""),0.0)</f>
        <v>0</v>
      </c>
      <c r="L23" s="26">
        <f>IFERROR(__xludf.DUMMYFUNCTION("""COMPUTED_VALUE"""),0.0)</f>
        <v>0</v>
      </c>
      <c r="M23" s="26"/>
      <c r="N23" s="26"/>
      <c r="O23" s="26"/>
      <c r="P23" s="26"/>
      <c r="Q23" s="26"/>
      <c r="R23" s="26">
        <f>IFERROR(__xludf.DUMMYFUNCTION("""COMPUTED_VALUE"""),365.0)</f>
        <v>365</v>
      </c>
      <c r="S23" s="26">
        <f>IFERROR(__xludf.DUMMYFUNCTION("""COMPUTED_VALUE"""),242950.0)</f>
        <v>242950</v>
      </c>
      <c r="T23" s="26">
        <f>IFERROR(__xludf.DUMMYFUNCTION("""COMPUTED_VALUE"""),65740.0)</f>
        <v>65740</v>
      </c>
      <c r="U23" s="26">
        <f>IFERROR(__xludf.DUMMYFUNCTION("""COMPUTED_VALUE"""),102799.95000000016)</f>
        <v>102799.95</v>
      </c>
      <c r="V23" s="26">
        <f>IFERROR(__xludf.DUMMYFUNCTION("""COMPUTED_VALUE"""),0.0)</f>
        <v>0</v>
      </c>
      <c r="W23" s="26">
        <f>IFERROR(__xludf.DUMMYFUNCTION("""COMPUTED_VALUE"""),0.0)</f>
        <v>0</v>
      </c>
      <c r="X23" s="26">
        <f>IFERROR(__xludf.DUMMYFUNCTION("""COMPUTED_VALUE"""),37059.950000000164)</f>
        <v>37059.95</v>
      </c>
      <c r="Y23" s="26">
        <f>IFERROR(__xludf.DUMMYFUNCTION("""COMPUTED_VALUE"""),37059.950000000164)</f>
        <v>37059.95</v>
      </c>
      <c r="Z23" s="26">
        <f>IFERROR(__xludf.DUMMYFUNCTION("""COMPUTED_VALUE"""),242950.0)</f>
        <v>242950</v>
      </c>
      <c r="AA23" s="26">
        <f>IFERROR(__xludf.DUMMYFUNCTION("""COMPUTED_VALUE"""),109808.76999999996)</f>
        <v>109808.77</v>
      </c>
      <c r="AB23" s="26">
        <f>IFERROR(__xludf.DUMMYFUNCTION("""COMPUTED_VALUE"""),140150.04999999993)</f>
        <v>140150.05</v>
      </c>
      <c r="AC23" s="26">
        <f>IFERROR(__xludf.DUMMYFUNCTION("""COMPUTED_VALUE"""),0.0)</f>
        <v>0</v>
      </c>
      <c r="AD23" s="26">
        <f>IFERROR(__xludf.DUMMYFUNCTION("""COMPUTED_VALUE"""),7009.159999999999)</f>
        <v>7009.16</v>
      </c>
      <c r="AE23" s="26">
        <f>IFERROR(__xludf.DUMMYFUNCTION("""COMPUTED_VALUE"""),133141.2300000001)</f>
        <v>133141.23</v>
      </c>
    </row>
    <row r="24">
      <c r="A24" s="26">
        <f>IFERROR(__xludf.DUMMYFUNCTION("""COMPUTED_VALUE"""),64.0)</f>
        <v>64</v>
      </c>
      <c r="B24" s="26">
        <f>IFERROR(__xludf.DUMMYFUNCTION("""COMPUTED_VALUE"""),0.0)</f>
        <v>0</v>
      </c>
      <c r="C24" s="26">
        <f>IFERROR(__xludf.DUMMYFUNCTION("""COMPUTED_VALUE"""),0.0)</f>
        <v>0</v>
      </c>
      <c r="D24" s="26">
        <f>IFERROR(__xludf.DUMMYFUNCTION("""COMPUTED_VALUE"""),0.0)</f>
        <v>0</v>
      </c>
      <c r="E24" s="26">
        <f>IFERROR(__xludf.DUMMYFUNCTION("""COMPUTED_VALUE"""),286.0)</f>
        <v>286</v>
      </c>
      <c r="F24" s="26">
        <f>IFERROR(__xludf.DUMMYFUNCTION("""COMPUTED_VALUE"""),0.0)</f>
        <v>0</v>
      </c>
      <c r="G24" s="26">
        <f>IFERROR(__xludf.DUMMYFUNCTION("""COMPUTED_VALUE"""),0.0)</f>
        <v>0</v>
      </c>
      <c r="H24" s="26">
        <f>IFERROR(__xludf.DUMMYFUNCTION("""COMPUTED_VALUE"""),0.0)</f>
        <v>0</v>
      </c>
      <c r="I24" s="26">
        <f>IFERROR(__xludf.DUMMYFUNCTION("""COMPUTED_VALUE"""),0.0)</f>
        <v>0</v>
      </c>
      <c r="J24" s="26">
        <f>IFERROR(__xludf.DUMMYFUNCTION("""COMPUTED_VALUE"""),0.0)</f>
        <v>0</v>
      </c>
      <c r="K24" s="26">
        <f>IFERROR(__xludf.DUMMYFUNCTION("""COMPUTED_VALUE"""),0.0)</f>
        <v>0</v>
      </c>
      <c r="L24" s="26">
        <f>IFERROR(__xludf.DUMMYFUNCTION("""COMPUTED_VALUE"""),0.0)</f>
        <v>0</v>
      </c>
      <c r="M24" s="26"/>
      <c r="N24" s="26"/>
      <c r="O24" s="26"/>
      <c r="P24" s="26"/>
      <c r="Q24" s="26"/>
      <c r="R24" s="26">
        <f>IFERROR(__xludf.DUMMYFUNCTION("""COMPUTED_VALUE"""),350.0)</f>
        <v>350</v>
      </c>
      <c r="S24" s="26">
        <f>IFERROR(__xludf.DUMMYFUNCTION("""COMPUTED_VALUE"""),570081.0)</f>
        <v>570081</v>
      </c>
      <c r="T24" s="26">
        <f>IFERROR(__xludf.DUMMYFUNCTION("""COMPUTED_VALUE"""),59500.0)</f>
        <v>59500</v>
      </c>
      <c r="U24" s="26">
        <f>IFERROR(__xludf.DUMMYFUNCTION("""COMPUTED_VALUE"""),146461.17000000007)</f>
        <v>146461.17</v>
      </c>
      <c r="V24" s="26">
        <f>IFERROR(__xludf.DUMMYFUNCTION("""COMPUTED_VALUE"""),0.0)</f>
        <v>0</v>
      </c>
      <c r="W24" s="26">
        <f>IFERROR(__xludf.DUMMYFUNCTION("""COMPUTED_VALUE"""),0.0)</f>
        <v>0</v>
      </c>
      <c r="X24" s="26">
        <f>IFERROR(__xludf.DUMMYFUNCTION("""COMPUTED_VALUE"""),86961.17000000007)</f>
        <v>86961.17</v>
      </c>
      <c r="Y24" s="26">
        <f>IFERROR(__xludf.DUMMYFUNCTION("""COMPUTED_VALUE"""),86961.17000000007)</f>
        <v>86961.17</v>
      </c>
      <c r="Z24" s="26">
        <f>IFERROR(__xludf.DUMMYFUNCTION("""COMPUTED_VALUE"""),766081.0)</f>
        <v>766081</v>
      </c>
      <c r="AA24" s="26">
        <f>IFERROR(__xludf.DUMMYFUNCTION("""COMPUTED_VALUE"""),223933.62000000034)</f>
        <v>223933.62</v>
      </c>
      <c r="AB24" s="26">
        <f>IFERROR(__xludf.DUMMYFUNCTION("""COMPUTED_VALUE"""),570681.4299999992)</f>
        <v>570681.43</v>
      </c>
      <c r="AC24" s="26">
        <f>IFERROR(__xludf.DUMMYFUNCTION("""COMPUTED_VALUE"""),0.0)</f>
        <v>0</v>
      </c>
      <c r="AD24" s="26">
        <f>IFERROR(__xludf.DUMMYFUNCTION("""COMPUTED_VALUE"""),28534.13999999995)</f>
        <v>28534.14</v>
      </c>
      <c r="AE24" s="26">
        <f>IFERROR(__xludf.DUMMYFUNCTION("""COMPUTED_VALUE"""),542147.379999999)</f>
        <v>542147.38</v>
      </c>
    </row>
    <row r="25">
      <c r="A25" s="26">
        <f>IFERROR(__xludf.DUMMYFUNCTION("""COMPUTED_VALUE"""),0.0)</f>
        <v>0</v>
      </c>
      <c r="B25" s="26">
        <f>IFERROR(__xludf.DUMMYFUNCTION("""COMPUTED_VALUE"""),0.0)</f>
        <v>0</v>
      </c>
      <c r="C25" s="26">
        <f>IFERROR(__xludf.DUMMYFUNCTION("""COMPUTED_VALUE"""),0.0)</f>
        <v>0</v>
      </c>
      <c r="D25" s="26">
        <f>IFERROR(__xludf.DUMMYFUNCTION("""COMPUTED_VALUE"""),0.0)</f>
        <v>0</v>
      </c>
      <c r="E25" s="26">
        <f>IFERROR(__xludf.DUMMYFUNCTION("""COMPUTED_VALUE"""),0.0)</f>
        <v>0</v>
      </c>
      <c r="F25" s="26">
        <f>IFERROR(__xludf.DUMMYFUNCTION("""COMPUTED_VALUE"""),0.0)</f>
        <v>0</v>
      </c>
      <c r="G25" s="26">
        <f>IFERROR(__xludf.DUMMYFUNCTION("""COMPUTED_VALUE"""),0.0)</f>
        <v>0</v>
      </c>
      <c r="H25" s="26">
        <f>IFERROR(__xludf.DUMMYFUNCTION("""COMPUTED_VALUE"""),0.0)</f>
        <v>0</v>
      </c>
      <c r="I25" s="26">
        <f>IFERROR(__xludf.DUMMYFUNCTION("""COMPUTED_VALUE"""),0.0)</f>
        <v>0</v>
      </c>
      <c r="J25" s="26">
        <f>IFERROR(__xludf.DUMMYFUNCTION("""COMPUTED_VALUE"""),0.0)</f>
        <v>0</v>
      </c>
      <c r="K25" s="26">
        <f>IFERROR(__xludf.DUMMYFUNCTION("""COMPUTED_VALUE"""),0.0)</f>
        <v>0</v>
      </c>
      <c r="L25" s="26">
        <f>IFERROR(__xludf.DUMMYFUNCTION("""COMPUTED_VALUE"""),0.0)</f>
        <v>0</v>
      </c>
      <c r="M25" s="26"/>
      <c r="N25" s="26"/>
      <c r="O25" s="26"/>
      <c r="P25" s="26"/>
      <c r="Q25" s="26"/>
      <c r="R25" s="26">
        <f>IFERROR(__xludf.DUMMYFUNCTION("""COMPUTED_VALUE"""),0.0)</f>
        <v>0</v>
      </c>
      <c r="S25" s="26">
        <f>IFERROR(__xludf.DUMMYFUNCTION("""COMPUTED_VALUE"""),0.0)</f>
        <v>0</v>
      </c>
      <c r="T25" s="26">
        <f>IFERROR(__xludf.DUMMYFUNCTION("""COMPUTED_VALUE"""),0.0)</f>
        <v>0</v>
      </c>
      <c r="U25" s="26">
        <f>IFERROR(__xludf.DUMMYFUNCTION("""COMPUTED_VALUE"""),0.0)</f>
        <v>0</v>
      </c>
      <c r="V25" s="26">
        <f>IFERROR(__xludf.DUMMYFUNCTION("""COMPUTED_VALUE"""),0.0)</f>
        <v>0</v>
      </c>
      <c r="W25" s="26">
        <f>IFERROR(__xludf.DUMMYFUNCTION("""COMPUTED_VALUE"""),0.0)</f>
        <v>0</v>
      </c>
      <c r="X25" s="26">
        <f>IFERROR(__xludf.DUMMYFUNCTION("""COMPUTED_VALUE"""),0.0)</f>
        <v>0</v>
      </c>
      <c r="Y25" s="26">
        <f>IFERROR(__xludf.DUMMYFUNCTION("""COMPUTED_VALUE"""),0.0)</f>
        <v>0</v>
      </c>
      <c r="Z25" s="26">
        <f>IFERROR(__xludf.DUMMYFUNCTION("""COMPUTED_VALUE"""),0.0)</f>
        <v>0</v>
      </c>
      <c r="AA25" s="26">
        <f>IFERROR(__xludf.DUMMYFUNCTION("""COMPUTED_VALUE"""),0.0)</f>
        <v>0</v>
      </c>
      <c r="AB25" s="26">
        <f>IFERROR(__xludf.DUMMYFUNCTION("""COMPUTED_VALUE"""),0.0)</f>
        <v>0</v>
      </c>
      <c r="AC25" s="26">
        <f>IFERROR(__xludf.DUMMYFUNCTION("""COMPUTED_VALUE"""),0.0)</f>
        <v>0</v>
      </c>
      <c r="AD25" s="26">
        <f>IFERROR(__xludf.DUMMYFUNCTION("""COMPUTED_VALUE"""),0.0)</f>
        <v>0</v>
      </c>
      <c r="AE25" s="26">
        <f>IFERROR(__xludf.DUMMYFUNCTION("""COMPUTED_VALUE"""),0.0)</f>
        <v>0</v>
      </c>
    </row>
    <row r="26">
      <c r="A26" s="26">
        <f>IFERROR(__xludf.DUMMYFUNCTION("""COMPUTED_VALUE"""),0.0)</f>
        <v>0</v>
      </c>
      <c r="B26" s="26">
        <f>IFERROR(__xludf.DUMMYFUNCTION("""COMPUTED_VALUE"""),0.0)</f>
        <v>0</v>
      </c>
      <c r="C26" s="26">
        <f>IFERROR(__xludf.DUMMYFUNCTION("""COMPUTED_VALUE"""),0.0)</f>
        <v>0</v>
      </c>
      <c r="D26" s="26">
        <f>IFERROR(__xludf.DUMMYFUNCTION("""COMPUTED_VALUE"""),0.0)</f>
        <v>0</v>
      </c>
      <c r="E26" s="26">
        <f>IFERROR(__xludf.DUMMYFUNCTION("""COMPUTED_VALUE"""),62.0)</f>
        <v>62</v>
      </c>
      <c r="F26" s="26">
        <f>IFERROR(__xludf.DUMMYFUNCTION("""COMPUTED_VALUE"""),0.0)</f>
        <v>0</v>
      </c>
      <c r="G26" s="26">
        <f>IFERROR(__xludf.DUMMYFUNCTION("""COMPUTED_VALUE"""),0.0)</f>
        <v>0</v>
      </c>
      <c r="H26" s="26">
        <f>IFERROR(__xludf.DUMMYFUNCTION("""COMPUTED_VALUE"""),0.0)</f>
        <v>0</v>
      </c>
      <c r="I26" s="26">
        <f>IFERROR(__xludf.DUMMYFUNCTION("""COMPUTED_VALUE"""),0.0)</f>
        <v>0</v>
      </c>
      <c r="J26" s="26">
        <f>IFERROR(__xludf.DUMMYFUNCTION("""COMPUTED_VALUE"""),0.0)</f>
        <v>0</v>
      </c>
      <c r="K26" s="26">
        <f>IFERROR(__xludf.DUMMYFUNCTION("""COMPUTED_VALUE"""),0.0)</f>
        <v>0</v>
      </c>
      <c r="L26" s="26">
        <f>IFERROR(__xludf.DUMMYFUNCTION("""COMPUTED_VALUE"""),0.0)</f>
        <v>0</v>
      </c>
      <c r="M26" s="26"/>
      <c r="N26" s="26"/>
      <c r="O26" s="26"/>
      <c r="P26" s="26"/>
      <c r="Q26" s="26"/>
      <c r="R26" s="26">
        <f>IFERROR(__xludf.DUMMYFUNCTION("""COMPUTED_VALUE"""),62.0)</f>
        <v>62</v>
      </c>
      <c r="S26" s="26">
        <f>IFERROR(__xludf.DUMMYFUNCTION("""COMPUTED_VALUE"""),92380.0)</f>
        <v>92380</v>
      </c>
      <c r="T26" s="26">
        <f>IFERROR(__xludf.DUMMYFUNCTION("""COMPUTED_VALUE"""),28520.0)</f>
        <v>28520</v>
      </c>
      <c r="U26" s="26">
        <f>IFERROR(__xludf.DUMMYFUNCTION("""COMPUTED_VALUE"""),42611.980000000025)</f>
        <v>42611.98</v>
      </c>
      <c r="V26" s="26">
        <f>IFERROR(__xludf.DUMMYFUNCTION("""COMPUTED_VALUE"""),0.0)</f>
        <v>0</v>
      </c>
      <c r="W26" s="26">
        <f>IFERROR(__xludf.DUMMYFUNCTION("""COMPUTED_VALUE"""),0.0)</f>
        <v>0</v>
      </c>
      <c r="X26" s="26">
        <f>IFERROR(__xludf.DUMMYFUNCTION("""COMPUTED_VALUE"""),14091.980000000021)</f>
        <v>14091.98</v>
      </c>
      <c r="Y26" s="26">
        <f>IFERROR(__xludf.DUMMYFUNCTION("""COMPUTED_VALUE"""),14091.980000000021)</f>
        <v>14091.98</v>
      </c>
      <c r="Z26" s="26">
        <f>IFERROR(__xludf.DUMMYFUNCTION("""COMPUTED_VALUE"""),45100.66000000001)</f>
        <v>45100.66</v>
      </c>
      <c r="AA26" s="26">
        <f>IFERROR(__xludf.DUMMYFUNCTION("""COMPUTED_VALUE"""),45100.66000000001)</f>
        <v>45100.66</v>
      </c>
      <c r="AB26" s="26">
        <f>IFERROR(__xludf.DUMMYFUNCTION("""COMPUTED_VALUE"""),49768.01999999996)</f>
        <v>49768.02</v>
      </c>
      <c r="AC26" s="26">
        <f>IFERROR(__xludf.DUMMYFUNCTION("""COMPUTED_VALUE"""),47279.33999999999)</f>
        <v>47279.34</v>
      </c>
      <c r="AD26" s="26">
        <f>IFERROR(__xludf.DUMMYFUNCTION("""COMPUTED_VALUE"""),2488.680000000001)</f>
        <v>2488.68</v>
      </c>
      <c r="AE26" s="26">
        <f>IFERROR(__xludf.DUMMYFUNCTION("""COMPUTED_VALUE"""),0.0)</f>
        <v>0</v>
      </c>
    </row>
    <row r="27">
      <c r="A27" s="26">
        <f>IFERROR(__xludf.DUMMYFUNCTION("""COMPUTED_VALUE"""),249.0)</f>
        <v>249</v>
      </c>
      <c r="B27" s="26">
        <f>IFERROR(__xludf.DUMMYFUNCTION("""COMPUTED_VALUE"""),0.0)</f>
        <v>0</v>
      </c>
      <c r="C27" s="26">
        <f>IFERROR(__xludf.DUMMYFUNCTION("""COMPUTED_VALUE"""),0.0)</f>
        <v>0</v>
      </c>
      <c r="D27" s="26">
        <f>IFERROR(__xludf.DUMMYFUNCTION("""COMPUTED_VALUE"""),0.0)</f>
        <v>0</v>
      </c>
      <c r="E27" s="26">
        <f>IFERROR(__xludf.DUMMYFUNCTION("""COMPUTED_VALUE"""),0.0)</f>
        <v>0</v>
      </c>
      <c r="F27" s="26">
        <f>IFERROR(__xludf.DUMMYFUNCTION("""COMPUTED_VALUE"""),0.0)</f>
        <v>0</v>
      </c>
      <c r="G27" s="26">
        <f>IFERROR(__xludf.DUMMYFUNCTION("""COMPUTED_VALUE"""),0.0)</f>
        <v>0</v>
      </c>
      <c r="H27" s="26">
        <f>IFERROR(__xludf.DUMMYFUNCTION("""COMPUTED_VALUE"""),0.0)</f>
        <v>0</v>
      </c>
      <c r="I27" s="26">
        <f>IFERROR(__xludf.DUMMYFUNCTION("""COMPUTED_VALUE"""),0.0)</f>
        <v>0</v>
      </c>
      <c r="J27" s="26">
        <f>IFERROR(__xludf.DUMMYFUNCTION("""COMPUTED_VALUE"""),0.0)</f>
        <v>0</v>
      </c>
      <c r="K27" s="26">
        <f>IFERROR(__xludf.DUMMYFUNCTION("""COMPUTED_VALUE"""),0.0)</f>
        <v>0</v>
      </c>
      <c r="L27" s="26">
        <f>IFERROR(__xludf.DUMMYFUNCTION("""COMPUTED_VALUE"""),0.0)</f>
        <v>0</v>
      </c>
      <c r="M27" s="26"/>
      <c r="N27" s="26"/>
      <c r="O27" s="26"/>
      <c r="P27" s="26"/>
      <c r="Q27" s="26"/>
      <c r="R27" s="26">
        <f>IFERROR(__xludf.DUMMYFUNCTION("""COMPUTED_VALUE"""),249.0)</f>
        <v>249</v>
      </c>
      <c r="S27" s="26">
        <f>IFERROR(__xludf.DUMMYFUNCTION("""COMPUTED_VALUE"""),122010.0)</f>
        <v>122010</v>
      </c>
      <c r="T27" s="26">
        <f>IFERROR(__xludf.DUMMYFUNCTION("""COMPUTED_VALUE"""),46285.0)</f>
        <v>46285</v>
      </c>
      <c r="U27" s="26">
        <f>IFERROR(__xludf.DUMMYFUNCTION("""COMPUTED_VALUE"""),64897.75)</f>
        <v>64897.75</v>
      </c>
      <c r="V27" s="26">
        <f>IFERROR(__xludf.DUMMYFUNCTION("""COMPUTED_VALUE"""),0.0)</f>
        <v>0</v>
      </c>
      <c r="W27" s="26">
        <f>IFERROR(__xludf.DUMMYFUNCTION("""COMPUTED_VALUE"""),0.0)</f>
        <v>0</v>
      </c>
      <c r="X27" s="26">
        <f>IFERROR(__xludf.DUMMYFUNCTION("""COMPUTED_VALUE"""),18612.75)</f>
        <v>18612.75</v>
      </c>
      <c r="Y27" s="26">
        <f>IFERROR(__xludf.DUMMYFUNCTION("""COMPUTED_VALUE"""),18612.75)</f>
        <v>18612.75</v>
      </c>
      <c r="Z27" s="26">
        <f>IFERROR(__xludf.DUMMYFUNCTION("""COMPUTED_VALUE"""),131810.0)</f>
        <v>131810</v>
      </c>
      <c r="AA27" s="26">
        <f>IFERROR(__xludf.DUMMYFUNCTION("""COMPUTED_VALUE"""),73557.94000000002)</f>
        <v>73557.94</v>
      </c>
      <c r="AB27" s="26">
        <f>IFERROR(__xludf.DUMMYFUNCTION("""COMPUTED_VALUE"""),61317.25)</f>
        <v>61317.25</v>
      </c>
      <c r="AC27" s="26">
        <f>IFERROR(__xludf.DUMMYFUNCTION("""COMPUTED_VALUE"""),0.0)</f>
        <v>0</v>
      </c>
      <c r="AD27" s="26">
        <f>IFERROR(__xludf.DUMMYFUNCTION("""COMPUTED_VALUE"""),3065.1900000000164)</f>
        <v>3065.19</v>
      </c>
      <c r="AE27" s="26">
        <f>IFERROR(__xludf.DUMMYFUNCTION("""COMPUTED_VALUE"""),58252.05999999989)</f>
        <v>58252.06</v>
      </c>
    </row>
    <row r="28">
      <c r="A28" s="26">
        <f>IFERROR(__xludf.DUMMYFUNCTION("""COMPUTED_VALUE"""),0.0)</f>
        <v>0</v>
      </c>
      <c r="B28" s="26">
        <f>IFERROR(__xludf.DUMMYFUNCTION("""COMPUTED_VALUE"""),0.0)</f>
        <v>0</v>
      </c>
      <c r="C28" s="26">
        <f>IFERROR(__xludf.DUMMYFUNCTION("""COMPUTED_VALUE"""),0.0)</f>
        <v>0</v>
      </c>
      <c r="D28" s="26">
        <f>IFERROR(__xludf.DUMMYFUNCTION("""COMPUTED_VALUE"""),0.0)</f>
        <v>0</v>
      </c>
      <c r="E28" s="26">
        <f>IFERROR(__xludf.DUMMYFUNCTION("""COMPUTED_VALUE"""),0.0)</f>
        <v>0</v>
      </c>
      <c r="F28" s="26">
        <f>IFERROR(__xludf.DUMMYFUNCTION("""COMPUTED_VALUE"""),0.0)</f>
        <v>0</v>
      </c>
      <c r="G28" s="26">
        <f>IFERROR(__xludf.DUMMYFUNCTION("""COMPUTED_VALUE"""),0.0)</f>
        <v>0</v>
      </c>
      <c r="H28" s="26">
        <f>IFERROR(__xludf.DUMMYFUNCTION("""COMPUTED_VALUE"""),0.0)</f>
        <v>0</v>
      </c>
      <c r="I28" s="26">
        <f>IFERROR(__xludf.DUMMYFUNCTION("""COMPUTED_VALUE"""),0.0)</f>
        <v>0</v>
      </c>
      <c r="J28" s="26">
        <f>IFERROR(__xludf.DUMMYFUNCTION("""COMPUTED_VALUE"""),0.0)</f>
        <v>0</v>
      </c>
      <c r="K28" s="26">
        <f>IFERROR(__xludf.DUMMYFUNCTION("""COMPUTED_VALUE"""),0.0)</f>
        <v>0</v>
      </c>
      <c r="L28" s="26">
        <f>IFERROR(__xludf.DUMMYFUNCTION("""COMPUTED_VALUE"""),0.0)</f>
        <v>0</v>
      </c>
      <c r="M28" s="26"/>
      <c r="N28" s="26"/>
      <c r="O28" s="26"/>
      <c r="P28" s="26"/>
      <c r="Q28" s="26"/>
      <c r="R28" s="26">
        <f>IFERROR(__xludf.DUMMYFUNCTION("""COMPUTED_VALUE"""),0.0)</f>
        <v>0</v>
      </c>
      <c r="S28" s="26">
        <f>IFERROR(__xludf.DUMMYFUNCTION("""COMPUTED_VALUE"""),0.0)</f>
        <v>0</v>
      </c>
      <c r="T28" s="26">
        <f>IFERROR(__xludf.DUMMYFUNCTION("""COMPUTED_VALUE"""),0.0)</f>
        <v>0</v>
      </c>
      <c r="U28" s="26">
        <f>IFERROR(__xludf.DUMMYFUNCTION("""COMPUTED_VALUE"""),0.0)</f>
        <v>0</v>
      </c>
      <c r="V28" s="26">
        <f>IFERROR(__xludf.DUMMYFUNCTION("""COMPUTED_VALUE"""),0.0)</f>
        <v>0</v>
      </c>
      <c r="W28" s="26">
        <f>IFERROR(__xludf.DUMMYFUNCTION("""COMPUTED_VALUE"""),0.0)</f>
        <v>0</v>
      </c>
      <c r="X28" s="26">
        <f>IFERROR(__xludf.DUMMYFUNCTION("""COMPUTED_VALUE"""),0.0)</f>
        <v>0</v>
      </c>
      <c r="Y28" s="26">
        <f>IFERROR(__xludf.DUMMYFUNCTION("""COMPUTED_VALUE"""),0.0)</f>
        <v>0</v>
      </c>
      <c r="Z28" s="26">
        <f>IFERROR(__xludf.DUMMYFUNCTION("""COMPUTED_VALUE"""),0.0)</f>
        <v>0</v>
      </c>
      <c r="AA28" s="26">
        <f>IFERROR(__xludf.DUMMYFUNCTION("""COMPUTED_VALUE"""),0.0)</f>
        <v>0</v>
      </c>
      <c r="AB28" s="26">
        <f>IFERROR(__xludf.DUMMYFUNCTION("""COMPUTED_VALUE"""),0.0)</f>
        <v>0</v>
      </c>
      <c r="AC28" s="26">
        <f>IFERROR(__xludf.DUMMYFUNCTION("""COMPUTED_VALUE"""),0.0)</f>
        <v>0</v>
      </c>
      <c r="AD28" s="26">
        <f>IFERROR(__xludf.DUMMYFUNCTION("""COMPUTED_VALUE"""),0.0)</f>
        <v>0</v>
      </c>
      <c r="AE28" s="26">
        <f>IFERROR(__xludf.DUMMYFUNCTION("""COMPUTED_VALUE"""),0.0)</f>
        <v>0</v>
      </c>
    </row>
    <row r="29">
      <c r="A29" s="26">
        <f>IFERROR(__xludf.DUMMYFUNCTION("""COMPUTED_VALUE"""),2.0)</f>
        <v>2</v>
      </c>
      <c r="B29" s="26">
        <f>IFERROR(__xludf.DUMMYFUNCTION("""COMPUTED_VALUE"""),0.0)</f>
        <v>0</v>
      </c>
      <c r="C29" s="26">
        <f>IFERROR(__xludf.DUMMYFUNCTION("""COMPUTED_VALUE"""),0.0)</f>
        <v>0</v>
      </c>
      <c r="D29" s="26">
        <f>IFERROR(__xludf.DUMMYFUNCTION("""COMPUTED_VALUE"""),0.0)</f>
        <v>0</v>
      </c>
      <c r="E29" s="26">
        <f>IFERROR(__xludf.DUMMYFUNCTION("""COMPUTED_VALUE"""),0.0)</f>
        <v>0</v>
      </c>
      <c r="F29" s="26">
        <f>IFERROR(__xludf.DUMMYFUNCTION("""COMPUTED_VALUE"""),0.0)</f>
        <v>0</v>
      </c>
      <c r="G29" s="26">
        <f>IFERROR(__xludf.DUMMYFUNCTION("""COMPUTED_VALUE"""),0.0)</f>
        <v>0</v>
      </c>
      <c r="H29" s="26">
        <f>IFERROR(__xludf.DUMMYFUNCTION("""COMPUTED_VALUE"""),0.0)</f>
        <v>0</v>
      </c>
      <c r="I29" s="26">
        <f>IFERROR(__xludf.DUMMYFUNCTION("""COMPUTED_VALUE"""),0.0)</f>
        <v>0</v>
      </c>
      <c r="J29" s="26">
        <f>IFERROR(__xludf.DUMMYFUNCTION("""COMPUTED_VALUE"""),0.0)</f>
        <v>0</v>
      </c>
      <c r="K29" s="26">
        <f>IFERROR(__xludf.DUMMYFUNCTION("""COMPUTED_VALUE"""),0.0)</f>
        <v>0</v>
      </c>
      <c r="L29" s="26">
        <f>IFERROR(__xludf.DUMMYFUNCTION("""COMPUTED_VALUE"""),0.0)</f>
        <v>0</v>
      </c>
      <c r="M29" s="26"/>
      <c r="N29" s="26"/>
      <c r="O29" s="26"/>
      <c r="P29" s="26"/>
      <c r="Q29" s="26"/>
      <c r="R29" s="26">
        <f>IFERROR(__xludf.DUMMYFUNCTION("""COMPUTED_VALUE"""),2.0)</f>
        <v>2</v>
      </c>
      <c r="S29" s="26">
        <f>IFERROR(__xludf.DUMMYFUNCTION("""COMPUTED_VALUE"""),780.0)</f>
        <v>780</v>
      </c>
      <c r="T29" s="26">
        <f>IFERROR(__xludf.DUMMYFUNCTION("""COMPUTED_VALUE"""),320.0)</f>
        <v>320</v>
      </c>
      <c r="U29" s="26">
        <f>IFERROR(__xludf.DUMMYFUNCTION("""COMPUTED_VALUE"""),438.98)</f>
        <v>438.98</v>
      </c>
      <c r="V29" s="26">
        <f>IFERROR(__xludf.DUMMYFUNCTION("""COMPUTED_VALUE"""),0.0)</f>
        <v>0</v>
      </c>
      <c r="W29" s="26">
        <f>IFERROR(__xludf.DUMMYFUNCTION("""COMPUTED_VALUE"""),0.0)</f>
        <v>0</v>
      </c>
      <c r="X29" s="26">
        <f>IFERROR(__xludf.DUMMYFUNCTION("""COMPUTED_VALUE"""),118.98)</f>
        <v>118.98</v>
      </c>
      <c r="Y29" s="26">
        <f>IFERROR(__xludf.DUMMYFUNCTION("""COMPUTED_VALUE"""),118.98)</f>
        <v>118.98</v>
      </c>
      <c r="Z29" s="26">
        <f>IFERROR(__xludf.DUMMYFUNCTION("""COMPUTED_VALUE"""),0.0)</f>
        <v>0</v>
      </c>
      <c r="AA29" s="26">
        <f>IFERROR(__xludf.DUMMYFUNCTION("""COMPUTED_VALUE"""),0.0)</f>
        <v>0</v>
      </c>
      <c r="AB29" s="26">
        <f>IFERROR(__xludf.DUMMYFUNCTION("""COMPUTED_VALUE"""),0.0)</f>
        <v>0</v>
      </c>
      <c r="AC29" s="26">
        <f>IFERROR(__xludf.DUMMYFUNCTION("""COMPUTED_VALUE"""),0.0)</f>
        <v>0</v>
      </c>
      <c r="AD29" s="26">
        <f>IFERROR(__xludf.DUMMYFUNCTION("""COMPUTED_VALUE"""),0.0)</f>
        <v>0</v>
      </c>
      <c r="AE29" s="26">
        <f>IFERROR(__xludf.DUMMYFUNCTION("""COMPUTED_VALUE"""),0.0)</f>
        <v>0</v>
      </c>
    </row>
    <row r="30">
      <c r="A30" s="26">
        <f>IFERROR(__xludf.DUMMYFUNCTION("""COMPUTED_VALUE"""),71.0)</f>
        <v>71</v>
      </c>
      <c r="B30" s="26">
        <f>IFERROR(__xludf.DUMMYFUNCTION("""COMPUTED_VALUE"""),0.0)</f>
        <v>0</v>
      </c>
      <c r="C30" s="26">
        <f>IFERROR(__xludf.DUMMYFUNCTION("""COMPUTED_VALUE"""),0.0)</f>
        <v>0</v>
      </c>
      <c r="D30" s="26">
        <f>IFERROR(__xludf.DUMMYFUNCTION("""COMPUTED_VALUE"""),0.0)</f>
        <v>0</v>
      </c>
      <c r="E30" s="26">
        <f>IFERROR(__xludf.DUMMYFUNCTION("""COMPUTED_VALUE"""),0.0)</f>
        <v>0</v>
      </c>
      <c r="F30" s="26">
        <f>IFERROR(__xludf.DUMMYFUNCTION("""COMPUTED_VALUE"""),0.0)</f>
        <v>0</v>
      </c>
      <c r="G30" s="26">
        <f>IFERROR(__xludf.DUMMYFUNCTION("""COMPUTED_VALUE"""),0.0)</f>
        <v>0</v>
      </c>
      <c r="H30" s="26">
        <f>IFERROR(__xludf.DUMMYFUNCTION("""COMPUTED_VALUE"""),0.0)</f>
        <v>0</v>
      </c>
      <c r="I30" s="26">
        <f>IFERROR(__xludf.DUMMYFUNCTION("""COMPUTED_VALUE"""),0.0)</f>
        <v>0</v>
      </c>
      <c r="J30" s="26">
        <f>IFERROR(__xludf.DUMMYFUNCTION("""COMPUTED_VALUE"""),0.0)</f>
        <v>0</v>
      </c>
      <c r="K30" s="26">
        <f>IFERROR(__xludf.DUMMYFUNCTION("""COMPUTED_VALUE"""),0.0)</f>
        <v>0</v>
      </c>
      <c r="L30" s="26">
        <f>IFERROR(__xludf.DUMMYFUNCTION("""COMPUTED_VALUE"""),0.0)</f>
        <v>0</v>
      </c>
      <c r="M30" s="26"/>
      <c r="N30" s="26"/>
      <c r="O30" s="26"/>
      <c r="P30" s="26"/>
      <c r="Q30" s="26"/>
      <c r="R30" s="26">
        <f>IFERROR(__xludf.DUMMYFUNCTION("""COMPUTED_VALUE"""),71.0)</f>
        <v>71</v>
      </c>
      <c r="S30" s="26">
        <f>IFERROR(__xludf.DUMMYFUNCTION("""COMPUTED_VALUE"""),27690.0)</f>
        <v>27690</v>
      </c>
      <c r="T30" s="26">
        <f>IFERROR(__xludf.DUMMYFUNCTION("""COMPUTED_VALUE"""),11360.0)</f>
        <v>11360</v>
      </c>
      <c r="U30" s="26">
        <f>IFERROR(__xludf.DUMMYFUNCTION("""COMPUTED_VALUE"""),15583.789999999994)</f>
        <v>15583.79</v>
      </c>
      <c r="V30" s="26">
        <f>IFERROR(__xludf.DUMMYFUNCTION("""COMPUTED_VALUE"""),0.0)</f>
        <v>0</v>
      </c>
      <c r="W30" s="26">
        <f>IFERROR(__xludf.DUMMYFUNCTION("""COMPUTED_VALUE"""),0.0)</f>
        <v>0</v>
      </c>
      <c r="X30" s="26">
        <f>IFERROR(__xludf.DUMMYFUNCTION("""COMPUTED_VALUE"""),4223.789999999993)</f>
        <v>4223.79</v>
      </c>
      <c r="Y30" s="26">
        <f>IFERROR(__xludf.DUMMYFUNCTION("""COMPUTED_VALUE"""),4223.789999999993)</f>
        <v>4223.79</v>
      </c>
      <c r="Z30" s="26">
        <f>IFERROR(__xludf.DUMMYFUNCTION("""COMPUTED_VALUE"""),0.0)</f>
        <v>0</v>
      </c>
      <c r="AA30" s="26">
        <f>IFERROR(__xludf.DUMMYFUNCTION("""COMPUTED_VALUE"""),0.0)</f>
        <v>0</v>
      </c>
      <c r="AB30" s="26">
        <f>IFERROR(__xludf.DUMMYFUNCTION("""COMPUTED_VALUE"""),0.0)</f>
        <v>0</v>
      </c>
      <c r="AC30" s="26">
        <f>IFERROR(__xludf.DUMMYFUNCTION("""COMPUTED_VALUE"""),0.0)</f>
        <v>0</v>
      </c>
      <c r="AD30" s="26">
        <f>IFERROR(__xludf.DUMMYFUNCTION("""COMPUTED_VALUE"""),0.0)</f>
        <v>0</v>
      </c>
      <c r="AE30" s="26">
        <f>IFERROR(__xludf.DUMMYFUNCTION("""COMPUTED_VALUE"""),0.0)</f>
        <v>0</v>
      </c>
    </row>
    <row r="31">
      <c r="A31" s="26">
        <f>IFERROR(__xludf.DUMMYFUNCTION("""COMPUTED_VALUE"""),37.0)</f>
        <v>37</v>
      </c>
      <c r="B31" s="26">
        <f>IFERROR(__xludf.DUMMYFUNCTION("""COMPUTED_VALUE"""),0.0)</f>
        <v>0</v>
      </c>
      <c r="C31" s="26">
        <f>IFERROR(__xludf.DUMMYFUNCTION("""COMPUTED_VALUE"""),0.0)</f>
        <v>0</v>
      </c>
      <c r="D31" s="26">
        <f>IFERROR(__xludf.DUMMYFUNCTION("""COMPUTED_VALUE"""),0.0)</f>
        <v>0</v>
      </c>
      <c r="E31" s="26">
        <f>IFERROR(__xludf.DUMMYFUNCTION("""COMPUTED_VALUE"""),0.0)</f>
        <v>0</v>
      </c>
      <c r="F31" s="26">
        <f>IFERROR(__xludf.DUMMYFUNCTION("""COMPUTED_VALUE"""),0.0)</f>
        <v>0</v>
      </c>
      <c r="G31" s="26">
        <f>IFERROR(__xludf.DUMMYFUNCTION("""COMPUTED_VALUE"""),0.0)</f>
        <v>0</v>
      </c>
      <c r="H31" s="26">
        <f>IFERROR(__xludf.DUMMYFUNCTION("""COMPUTED_VALUE"""),0.0)</f>
        <v>0</v>
      </c>
      <c r="I31" s="26">
        <f>IFERROR(__xludf.DUMMYFUNCTION("""COMPUTED_VALUE"""),0.0)</f>
        <v>0</v>
      </c>
      <c r="J31" s="26">
        <f>IFERROR(__xludf.DUMMYFUNCTION("""COMPUTED_VALUE"""),0.0)</f>
        <v>0</v>
      </c>
      <c r="K31" s="26">
        <f>IFERROR(__xludf.DUMMYFUNCTION("""COMPUTED_VALUE"""),0.0)</f>
        <v>0</v>
      </c>
      <c r="L31" s="26">
        <f>IFERROR(__xludf.DUMMYFUNCTION("""COMPUTED_VALUE"""),0.0)</f>
        <v>0</v>
      </c>
      <c r="M31" s="26"/>
      <c r="N31" s="26"/>
      <c r="O31" s="26"/>
      <c r="P31" s="26"/>
      <c r="Q31" s="26"/>
      <c r="R31" s="26">
        <f>IFERROR(__xludf.DUMMYFUNCTION("""COMPUTED_VALUE"""),37.0)</f>
        <v>37</v>
      </c>
      <c r="S31" s="26">
        <f>IFERROR(__xludf.DUMMYFUNCTION("""COMPUTED_VALUE"""),17830.0)</f>
        <v>17830</v>
      </c>
      <c r="T31" s="26">
        <f>IFERROR(__xludf.DUMMYFUNCTION("""COMPUTED_VALUE"""),5920.0)</f>
        <v>5920</v>
      </c>
      <c r="U31" s="26">
        <f>IFERROR(__xludf.DUMMYFUNCTION("""COMPUTED_VALUE"""),8639.97)</f>
        <v>8639.97</v>
      </c>
      <c r="V31" s="26">
        <f>IFERROR(__xludf.DUMMYFUNCTION("""COMPUTED_VALUE"""),0.0)</f>
        <v>0</v>
      </c>
      <c r="W31" s="26">
        <f>IFERROR(__xludf.DUMMYFUNCTION("""COMPUTED_VALUE"""),0.0)</f>
        <v>0</v>
      </c>
      <c r="X31" s="26">
        <f>IFERROR(__xludf.DUMMYFUNCTION("""COMPUTED_VALUE"""),2719.97)</f>
        <v>2719.97</v>
      </c>
      <c r="Y31" s="26">
        <f>IFERROR(__xludf.DUMMYFUNCTION("""COMPUTED_VALUE"""),2719.97)</f>
        <v>2719.97</v>
      </c>
      <c r="Z31" s="26">
        <f>IFERROR(__xludf.DUMMYFUNCTION("""COMPUTED_VALUE"""),0.0)</f>
        <v>0</v>
      </c>
      <c r="AA31" s="26">
        <f>IFERROR(__xludf.DUMMYFUNCTION("""COMPUTED_VALUE"""),0.0)</f>
        <v>0</v>
      </c>
      <c r="AB31" s="26">
        <f>IFERROR(__xludf.DUMMYFUNCTION("""COMPUTED_VALUE"""),0.0)</f>
        <v>0</v>
      </c>
      <c r="AC31" s="26">
        <f>IFERROR(__xludf.DUMMYFUNCTION("""COMPUTED_VALUE"""),0.0)</f>
        <v>0</v>
      </c>
      <c r="AD31" s="26">
        <f>IFERROR(__xludf.DUMMYFUNCTION("""COMPUTED_VALUE"""),0.0)</f>
        <v>0</v>
      </c>
      <c r="AE31" s="26">
        <f>IFERROR(__xludf.DUMMYFUNCTION("""COMPUTED_VALUE"""),0.0)</f>
        <v>0</v>
      </c>
    </row>
    <row r="32">
      <c r="A32" s="26">
        <f>IFERROR(__xludf.DUMMYFUNCTION("""COMPUTED_VALUE"""),62.0)</f>
        <v>62</v>
      </c>
      <c r="B32" s="26">
        <f>IFERROR(__xludf.DUMMYFUNCTION("""COMPUTED_VALUE"""),0.0)</f>
        <v>0</v>
      </c>
      <c r="C32" s="45">
        <f>IFERROR(__xludf.DUMMYFUNCTION("""COMPUTED_VALUE"""),0.0)</f>
        <v>0</v>
      </c>
      <c r="D32" s="26">
        <f>IFERROR(__xludf.DUMMYFUNCTION("""COMPUTED_VALUE"""),0.0)</f>
        <v>0</v>
      </c>
      <c r="E32" s="26">
        <f>IFERROR(__xludf.DUMMYFUNCTION("""COMPUTED_VALUE"""),0.0)</f>
        <v>0</v>
      </c>
      <c r="F32" s="26">
        <f>IFERROR(__xludf.DUMMYFUNCTION("""COMPUTED_VALUE"""),0.0)</f>
        <v>0</v>
      </c>
      <c r="G32" s="26">
        <f>IFERROR(__xludf.DUMMYFUNCTION("""COMPUTED_VALUE"""),0.0)</f>
        <v>0</v>
      </c>
      <c r="H32" s="26">
        <f>IFERROR(__xludf.DUMMYFUNCTION("""COMPUTED_VALUE"""),0.0)</f>
        <v>0</v>
      </c>
      <c r="I32" s="26">
        <f>IFERROR(__xludf.DUMMYFUNCTION("""COMPUTED_VALUE"""),0.0)</f>
        <v>0</v>
      </c>
      <c r="J32" s="26">
        <f>IFERROR(__xludf.DUMMYFUNCTION("""COMPUTED_VALUE"""),0.0)</f>
        <v>0</v>
      </c>
      <c r="K32" s="26">
        <f>IFERROR(__xludf.DUMMYFUNCTION("""COMPUTED_VALUE"""),0.0)</f>
        <v>0</v>
      </c>
      <c r="L32" s="26">
        <f>IFERROR(__xludf.DUMMYFUNCTION("""COMPUTED_VALUE"""),0.0)</f>
        <v>0</v>
      </c>
      <c r="M32" s="26"/>
      <c r="N32" s="26"/>
      <c r="O32" s="26"/>
      <c r="P32" s="26"/>
      <c r="Q32" s="26"/>
      <c r="R32" s="45">
        <f>IFERROR(__xludf.DUMMYFUNCTION("""COMPUTED_VALUE"""),62.0)</f>
        <v>62</v>
      </c>
      <c r="S32" s="26">
        <f>IFERROR(__xludf.DUMMYFUNCTION("""COMPUTED_VALUE"""),30380.0)</f>
        <v>30380</v>
      </c>
      <c r="T32" s="26">
        <f>IFERROR(__xludf.DUMMYFUNCTION("""COMPUTED_VALUE"""),9920.0)</f>
        <v>9920</v>
      </c>
      <c r="U32" s="26">
        <f>IFERROR(__xludf.DUMMYFUNCTION("""COMPUTED_VALUE"""),14554.5)</f>
        <v>14554.5</v>
      </c>
      <c r="V32" s="26">
        <f>IFERROR(__xludf.DUMMYFUNCTION("""COMPUTED_VALUE"""),0.0)</f>
        <v>0</v>
      </c>
      <c r="W32" s="26">
        <f>IFERROR(__xludf.DUMMYFUNCTION("""COMPUTED_VALUE"""),0.0)</f>
        <v>0</v>
      </c>
      <c r="X32" s="26">
        <f>IFERROR(__xludf.DUMMYFUNCTION("""COMPUTED_VALUE"""),4634.5)</f>
        <v>4634.5</v>
      </c>
      <c r="Y32" s="26">
        <f>IFERROR(__xludf.DUMMYFUNCTION("""COMPUTED_VALUE"""),4634.5)</f>
        <v>4634.5</v>
      </c>
      <c r="Z32" s="26">
        <f>IFERROR(__xludf.DUMMYFUNCTION("""COMPUTED_VALUE"""),0.0)</f>
        <v>0</v>
      </c>
      <c r="AA32" s="26">
        <f>IFERROR(__xludf.DUMMYFUNCTION("""COMPUTED_VALUE"""),0.0)</f>
        <v>0</v>
      </c>
      <c r="AB32" s="26">
        <f>IFERROR(__xludf.DUMMYFUNCTION("""COMPUTED_VALUE"""),0.0)</f>
        <v>0</v>
      </c>
      <c r="AC32" s="26">
        <f>IFERROR(__xludf.DUMMYFUNCTION("""COMPUTED_VALUE"""),0.0)</f>
        <v>0</v>
      </c>
      <c r="AD32" s="26">
        <f>IFERROR(__xludf.DUMMYFUNCTION("""COMPUTED_VALUE"""),0.0)</f>
        <v>0</v>
      </c>
      <c r="AE32" s="26">
        <f>IFERROR(__xludf.DUMMYFUNCTION("""COMPUTED_VALUE"""),0.0)</f>
        <v>0</v>
      </c>
    </row>
    <row r="33">
      <c r="A33" s="26">
        <f>IFERROR(__xludf.DUMMYFUNCTION("""COMPUTED_VALUE"""),49.0)</f>
        <v>49</v>
      </c>
      <c r="B33" s="26">
        <f>IFERROR(__xludf.DUMMYFUNCTION("""COMPUTED_VALUE"""),0.0)</f>
        <v>0</v>
      </c>
      <c r="C33" s="26">
        <f>IFERROR(__xludf.DUMMYFUNCTION("""COMPUTED_VALUE"""),0.0)</f>
        <v>0</v>
      </c>
      <c r="D33" s="26">
        <f>IFERROR(__xludf.DUMMYFUNCTION("""COMPUTED_VALUE"""),0.0)</f>
        <v>0</v>
      </c>
      <c r="E33" s="26">
        <f>IFERROR(__xludf.DUMMYFUNCTION("""COMPUTED_VALUE"""),0.0)</f>
        <v>0</v>
      </c>
      <c r="F33" s="26">
        <f>IFERROR(__xludf.DUMMYFUNCTION("""COMPUTED_VALUE"""),0.0)</f>
        <v>0</v>
      </c>
      <c r="G33" s="26">
        <f>IFERROR(__xludf.DUMMYFUNCTION("""COMPUTED_VALUE"""),0.0)</f>
        <v>0</v>
      </c>
      <c r="H33" s="26">
        <f>IFERROR(__xludf.DUMMYFUNCTION("""COMPUTED_VALUE"""),0.0)</f>
        <v>0</v>
      </c>
      <c r="I33" s="26">
        <f>IFERROR(__xludf.DUMMYFUNCTION("""COMPUTED_VALUE"""),0.0)</f>
        <v>0</v>
      </c>
      <c r="J33" s="26">
        <f>IFERROR(__xludf.DUMMYFUNCTION("""COMPUTED_VALUE"""),0.0)</f>
        <v>0</v>
      </c>
      <c r="K33" s="26">
        <f>IFERROR(__xludf.DUMMYFUNCTION("""COMPUTED_VALUE"""),0.0)</f>
        <v>0</v>
      </c>
      <c r="L33" s="26">
        <f>IFERROR(__xludf.DUMMYFUNCTION("""COMPUTED_VALUE"""),0.0)</f>
        <v>0</v>
      </c>
      <c r="M33" s="26"/>
      <c r="N33" s="26"/>
      <c r="O33" s="26"/>
      <c r="P33" s="26"/>
      <c r="Q33" s="26"/>
      <c r="R33" s="26">
        <f>IFERROR(__xludf.DUMMYFUNCTION("""COMPUTED_VALUE"""),49.0)</f>
        <v>49</v>
      </c>
      <c r="S33" s="26">
        <f>IFERROR(__xludf.DUMMYFUNCTION("""COMPUTED_VALUE"""),24010.0)</f>
        <v>24010</v>
      </c>
      <c r="T33" s="26">
        <f>IFERROR(__xludf.DUMMYFUNCTION("""COMPUTED_VALUE"""),7840.0)</f>
        <v>7840</v>
      </c>
      <c r="U33" s="26">
        <f>IFERROR(__xludf.DUMMYFUNCTION("""COMPUTED_VALUE"""),11502.75)</f>
        <v>11502.75</v>
      </c>
      <c r="V33" s="26">
        <f>IFERROR(__xludf.DUMMYFUNCTION("""COMPUTED_VALUE"""),0.0)</f>
        <v>0</v>
      </c>
      <c r="W33" s="26">
        <f>IFERROR(__xludf.DUMMYFUNCTION("""COMPUTED_VALUE"""),0.0)</f>
        <v>0</v>
      </c>
      <c r="X33" s="26">
        <f>IFERROR(__xludf.DUMMYFUNCTION("""COMPUTED_VALUE"""),3662.75)</f>
        <v>3662.75</v>
      </c>
      <c r="Y33" s="26">
        <f>IFERROR(__xludf.DUMMYFUNCTION("""COMPUTED_VALUE"""),3662.75)</f>
        <v>3662.75</v>
      </c>
      <c r="Z33" s="26">
        <f>IFERROR(__xludf.DUMMYFUNCTION("""COMPUTED_VALUE"""),0.0)</f>
        <v>0</v>
      </c>
      <c r="AA33" s="26">
        <f>IFERROR(__xludf.DUMMYFUNCTION("""COMPUTED_VALUE"""),0.0)</f>
        <v>0</v>
      </c>
      <c r="AB33" s="26">
        <f>IFERROR(__xludf.DUMMYFUNCTION("""COMPUTED_VALUE"""),0.0)</f>
        <v>0</v>
      </c>
      <c r="AC33" s="26">
        <f>IFERROR(__xludf.DUMMYFUNCTION("""COMPUTED_VALUE"""),0.0)</f>
        <v>0</v>
      </c>
      <c r="AD33" s="26">
        <f>IFERROR(__xludf.DUMMYFUNCTION("""COMPUTED_VALUE"""),0.0)</f>
        <v>0</v>
      </c>
      <c r="AE33" s="26">
        <f>IFERROR(__xludf.DUMMYFUNCTION("""COMPUTED_VALUE"""),0.0)</f>
        <v>0</v>
      </c>
    </row>
    <row r="34">
      <c r="A34" s="26">
        <f>IFERROR(__xludf.DUMMYFUNCTION("""COMPUTED_VALUE"""),41.0)</f>
        <v>41</v>
      </c>
      <c r="B34" s="26">
        <f>IFERROR(__xludf.DUMMYFUNCTION("""COMPUTED_VALUE"""),0.0)</f>
        <v>0</v>
      </c>
      <c r="C34" s="26">
        <f>IFERROR(__xludf.DUMMYFUNCTION("""COMPUTED_VALUE"""),0.0)</f>
        <v>0</v>
      </c>
      <c r="D34" s="26">
        <f>IFERROR(__xludf.DUMMYFUNCTION("""COMPUTED_VALUE"""),0.0)</f>
        <v>0</v>
      </c>
      <c r="E34" s="26">
        <f>IFERROR(__xludf.DUMMYFUNCTION("""COMPUTED_VALUE"""),0.0)</f>
        <v>0</v>
      </c>
      <c r="F34" s="26">
        <f>IFERROR(__xludf.DUMMYFUNCTION("""COMPUTED_VALUE"""),0.0)</f>
        <v>0</v>
      </c>
      <c r="G34" s="26">
        <f>IFERROR(__xludf.DUMMYFUNCTION("""COMPUTED_VALUE"""),0.0)</f>
        <v>0</v>
      </c>
      <c r="H34" s="26">
        <f>IFERROR(__xludf.DUMMYFUNCTION("""COMPUTED_VALUE"""),0.0)</f>
        <v>0</v>
      </c>
      <c r="I34" s="26">
        <f>IFERROR(__xludf.DUMMYFUNCTION("""COMPUTED_VALUE"""),0.0)</f>
        <v>0</v>
      </c>
      <c r="J34" s="26">
        <f>IFERROR(__xludf.DUMMYFUNCTION("""COMPUTED_VALUE"""),0.0)</f>
        <v>0</v>
      </c>
      <c r="K34" s="26">
        <f>IFERROR(__xludf.DUMMYFUNCTION("""COMPUTED_VALUE"""),0.0)</f>
        <v>0</v>
      </c>
      <c r="L34" s="26">
        <f>IFERROR(__xludf.DUMMYFUNCTION("""COMPUTED_VALUE"""),0.0)</f>
        <v>0</v>
      </c>
      <c r="M34" s="26"/>
      <c r="N34" s="26"/>
      <c r="O34" s="26"/>
      <c r="P34" s="26"/>
      <c r="Q34" s="26"/>
      <c r="R34" s="26">
        <f>IFERROR(__xludf.DUMMYFUNCTION("""COMPUTED_VALUE"""),41.0)</f>
        <v>41</v>
      </c>
      <c r="S34" s="26">
        <f>IFERROR(__xludf.DUMMYFUNCTION("""COMPUTED_VALUE"""),20090.0)</f>
        <v>20090</v>
      </c>
      <c r="T34" s="26">
        <f>IFERROR(__xludf.DUMMYFUNCTION("""COMPUTED_VALUE"""),6560.0)</f>
        <v>6560</v>
      </c>
      <c r="U34" s="26">
        <f>IFERROR(__xludf.DUMMYFUNCTION("""COMPUTED_VALUE"""),9624.74)</f>
        <v>9624.74</v>
      </c>
      <c r="V34" s="26">
        <f>IFERROR(__xludf.DUMMYFUNCTION("""COMPUTED_VALUE"""),37.37)</f>
        <v>37.37</v>
      </c>
      <c r="W34" s="26">
        <f>IFERROR(__xludf.DUMMYFUNCTION("""COMPUTED_VALUE"""),37.37)</f>
        <v>37.37</v>
      </c>
      <c r="X34" s="26">
        <f>IFERROR(__xludf.DUMMYFUNCTION("""COMPUTED_VALUE"""),2990.0)</f>
        <v>2990</v>
      </c>
      <c r="Y34" s="26">
        <f>IFERROR(__xludf.DUMMYFUNCTION("""COMPUTED_VALUE"""),3064.74)</f>
        <v>3064.74</v>
      </c>
      <c r="Z34" s="26">
        <f>IFERROR(__xludf.DUMMYFUNCTION("""COMPUTED_VALUE"""),0.0)</f>
        <v>0</v>
      </c>
      <c r="AA34" s="26">
        <f>IFERROR(__xludf.DUMMYFUNCTION("""COMPUTED_VALUE"""),0.0)</f>
        <v>0</v>
      </c>
      <c r="AB34" s="26">
        <f>IFERROR(__xludf.DUMMYFUNCTION("""COMPUTED_VALUE"""),0.0)</f>
        <v>0</v>
      </c>
      <c r="AC34" s="26">
        <f>IFERROR(__xludf.DUMMYFUNCTION("""COMPUTED_VALUE"""),0.0)</f>
        <v>0</v>
      </c>
      <c r="AD34" s="26">
        <f>IFERROR(__xludf.DUMMYFUNCTION("""COMPUTED_VALUE"""),0.0)</f>
        <v>0</v>
      </c>
      <c r="AE34" s="26">
        <f>IFERROR(__xludf.DUMMYFUNCTION("""COMPUTED_VALUE"""),0.0)</f>
        <v>0</v>
      </c>
    </row>
    <row r="35">
      <c r="A35" s="26">
        <f>IFERROR(__xludf.DUMMYFUNCTION("""COMPUTED_VALUE"""),0.0)</f>
        <v>0</v>
      </c>
      <c r="B35" s="26">
        <f>IFERROR(__xludf.DUMMYFUNCTION("""COMPUTED_VALUE"""),0.0)</f>
        <v>0</v>
      </c>
      <c r="C35" s="26">
        <f>IFERROR(__xludf.DUMMYFUNCTION("""COMPUTED_VALUE"""),0.0)</f>
        <v>0</v>
      </c>
      <c r="D35" s="26">
        <f>IFERROR(__xludf.DUMMYFUNCTION("""COMPUTED_VALUE"""),0.0)</f>
        <v>0</v>
      </c>
      <c r="E35" s="26">
        <f>IFERROR(__xludf.DUMMYFUNCTION("""COMPUTED_VALUE"""),0.0)</f>
        <v>0</v>
      </c>
      <c r="F35" s="26">
        <f>IFERROR(__xludf.DUMMYFUNCTION("""COMPUTED_VALUE"""),0.0)</f>
        <v>0</v>
      </c>
      <c r="G35" s="26">
        <f>IFERROR(__xludf.DUMMYFUNCTION("""COMPUTED_VALUE"""),0.0)</f>
        <v>0</v>
      </c>
      <c r="H35" s="26">
        <f>IFERROR(__xludf.DUMMYFUNCTION("""COMPUTED_VALUE"""),0.0)</f>
        <v>0</v>
      </c>
      <c r="I35" s="26">
        <f>IFERROR(__xludf.DUMMYFUNCTION("""COMPUTED_VALUE"""),0.0)</f>
        <v>0</v>
      </c>
      <c r="J35" s="26">
        <f>IFERROR(__xludf.DUMMYFUNCTION("""COMPUTED_VALUE"""),0.0)</f>
        <v>0</v>
      </c>
      <c r="K35" s="26">
        <f>IFERROR(__xludf.DUMMYFUNCTION("""COMPUTED_VALUE"""),0.0)</f>
        <v>0</v>
      </c>
      <c r="L35" s="26">
        <f>IFERROR(__xludf.DUMMYFUNCTION("""COMPUTED_VALUE"""),0.0)</f>
        <v>0</v>
      </c>
      <c r="M35" s="26"/>
      <c r="N35" s="26"/>
      <c r="O35" s="26"/>
      <c r="P35" s="26"/>
      <c r="Q35" s="26"/>
      <c r="R35" s="26">
        <f>IFERROR(__xludf.DUMMYFUNCTION("""COMPUTED_VALUE"""),0.0)</f>
        <v>0</v>
      </c>
      <c r="S35" s="26">
        <f>IFERROR(__xludf.DUMMYFUNCTION("""COMPUTED_VALUE"""),0.0)</f>
        <v>0</v>
      </c>
      <c r="T35" s="26">
        <f>IFERROR(__xludf.DUMMYFUNCTION("""COMPUTED_VALUE"""),0.0)</f>
        <v>0</v>
      </c>
      <c r="U35" s="26">
        <f>IFERROR(__xludf.DUMMYFUNCTION("""COMPUTED_VALUE"""),0.0)</f>
        <v>0</v>
      </c>
      <c r="V35" s="26">
        <f>IFERROR(__xludf.DUMMYFUNCTION("""COMPUTED_VALUE"""),0.0)</f>
        <v>0</v>
      </c>
      <c r="W35" s="26">
        <f>IFERROR(__xludf.DUMMYFUNCTION("""COMPUTED_VALUE"""),0.0)</f>
        <v>0</v>
      </c>
      <c r="X35" s="26">
        <f>IFERROR(__xludf.DUMMYFUNCTION("""COMPUTED_VALUE"""),0.0)</f>
        <v>0</v>
      </c>
      <c r="Y35" s="26">
        <f>IFERROR(__xludf.DUMMYFUNCTION("""COMPUTED_VALUE"""),0.0)</f>
        <v>0</v>
      </c>
      <c r="Z35" s="26">
        <f>IFERROR(__xludf.DUMMYFUNCTION("""COMPUTED_VALUE"""),0.0)</f>
        <v>0</v>
      </c>
      <c r="AA35" s="26">
        <f>IFERROR(__xludf.DUMMYFUNCTION("""COMPUTED_VALUE"""),0.0)</f>
        <v>0</v>
      </c>
      <c r="AB35" s="26">
        <f>IFERROR(__xludf.DUMMYFUNCTION("""COMPUTED_VALUE"""),0.0)</f>
        <v>0</v>
      </c>
      <c r="AC35" s="26">
        <f>IFERROR(__xludf.DUMMYFUNCTION("""COMPUTED_VALUE"""),0.0)</f>
        <v>0</v>
      </c>
      <c r="AD35" s="26">
        <f>IFERROR(__xludf.DUMMYFUNCTION("""COMPUTED_VALUE"""),0.0)</f>
        <v>0</v>
      </c>
      <c r="AE35" s="26">
        <f>IFERROR(__xludf.DUMMYFUNCTION("""COMPUTED_VALUE"""),0.0)</f>
        <v>0</v>
      </c>
    </row>
    <row r="36">
      <c r="A36" s="26">
        <f>IFERROR(__xludf.DUMMYFUNCTION("""COMPUTED_VALUE"""),2.0)</f>
        <v>2</v>
      </c>
      <c r="B36" s="26">
        <f>IFERROR(__xludf.DUMMYFUNCTION("""COMPUTED_VALUE"""),0.0)</f>
        <v>0</v>
      </c>
      <c r="C36" s="26">
        <f>IFERROR(__xludf.DUMMYFUNCTION("""COMPUTED_VALUE"""),85.0)</f>
        <v>85</v>
      </c>
      <c r="D36" s="26">
        <f>IFERROR(__xludf.DUMMYFUNCTION("""COMPUTED_VALUE"""),0.0)</f>
        <v>0</v>
      </c>
      <c r="E36" s="26">
        <f>IFERROR(__xludf.DUMMYFUNCTION("""COMPUTED_VALUE"""),242.0)</f>
        <v>242</v>
      </c>
      <c r="F36" s="26">
        <f>IFERROR(__xludf.DUMMYFUNCTION("""COMPUTED_VALUE"""),0.0)</f>
        <v>0</v>
      </c>
      <c r="G36" s="26">
        <f>IFERROR(__xludf.DUMMYFUNCTION("""COMPUTED_VALUE"""),0.0)</f>
        <v>0</v>
      </c>
      <c r="H36" s="26">
        <f>IFERROR(__xludf.DUMMYFUNCTION("""COMPUTED_VALUE"""),0.0)</f>
        <v>0</v>
      </c>
      <c r="I36" s="26">
        <f>IFERROR(__xludf.DUMMYFUNCTION("""COMPUTED_VALUE"""),0.0)</f>
        <v>0</v>
      </c>
      <c r="J36" s="26">
        <f>IFERROR(__xludf.DUMMYFUNCTION("""COMPUTED_VALUE"""),0.0)</f>
        <v>0</v>
      </c>
      <c r="K36" s="26">
        <f>IFERROR(__xludf.DUMMYFUNCTION("""COMPUTED_VALUE"""),0.0)</f>
        <v>0</v>
      </c>
      <c r="L36" s="26">
        <f>IFERROR(__xludf.DUMMYFUNCTION("""COMPUTED_VALUE"""),0.0)</f>
        <v>0</v>
      </c>
      <c r="M36" s="26"/>
      <c r="N36" s="26"/>
      <c r="O36" s="26"/>
      <c r="P36" s="26"/>
      <c r="Q36" s="26"/>
      <c r="R36" s="26">
        <f>IFERROR(__xludf.DUMMYFUNCTION("""COMPUTED_VALUE"""),329.0)</f>
        <v>329</v>
      </c>
      <c r="S36" s="26">
        <f>IFERROR(__xludf.DUMMYFUNCTION("""COMPUTED_VALUE"""),60174.100000000326)</f>
        <v>60174.1</v>
      </c>
      <c r="T36" s="26">
        <f>IFERROR(__xludf.DUMMYFUNCTION("""COMPUTED_VALUE"""),50995.0)</f>
        <v>50995</v>
      </c>
      <c r="U36" s="26">
        <f>IFERROR(__xludf.DUMMYFUNCTION("""COMPUTED_VALUE"""),60174.09999999995)</f>
        <v>60174.1</v>
      </c>
      <c r="V36" s="26">
        <f>IFERROR(__xludf.DUMMYFUNCTION("""COMPUTED_VALUE"""),0.0)</f>
        <v>0</v>
      </c>
      <c r="W36" s="26">
        <f>IFERROR(__xludf.DUMMYFUNCTION("""COMPUTED_VALUE"""),0.0)</f>
        <v>0</v>
      </c>
      <c r="X36" s="26">
        <f>IFERROR(__xludf.DUMMYFUNCTION("""COMPUTED_VALUE"""),9179.099999999944)</f>
        <v>9179.1</v>
      </c>
      <c r="Y36" s="26">
        <f>IFERROR(__xludf.DUMMYFUNCTION("""COMPUTED_VALUE"""),9179.099999999944)</f>
        <v>9179.1</v>
      </c>
      <c r="Z36" s="26">
        <f>IFERROR(__xludf.DUMMYFUNCTION("""COMPUTED_VALUE"""),130956.39999999829)</f>
        <v>130956.4</v>
      </c>
      <c r="AA36" s="26">
        <f>IFERROR(__xludf.DUMMYFUNCTION("""COMPUTED_VALUE"""),130956.39999999829)</f>
        <v>130956.4</v>
      </c>
      <c r="AB36" s="26">
        <f>IFERROR(__xludf.DUMMYFUNCTION("""COMPUTED_VALUE"""),0.0)</f>
        <v>0</v>
      </c>
      <c r="AC36" s="26">
        <f>IFERROR(__xludf.DUMMYFUNCTION("""COMPUTED_VALUE"""),0.0)</f>
        <v>0</v>
      </c>
      <c r="AD36" s="26">
        <f>IFERROR(__xludf.DUMMYFUNCTION("""COMPUTED_VALUE"""),0.0)</f>
        <v>0</v>
      </c>
      <c r="AE36" s="26">
        <f>IFERROR(__xludf.DUMMYFUNCTION("""COMPUTED_VALUE"""),0.0)</f>
        <v>0</v>
      </c>
    </row>
    <row r="37">
      <c r="A37" s="26">
        <f>IFERROR(__xludf.DUMMYFUNCTION("""COMPUTED_VALUE"""),0.0)</f>
        <v>0</v>
      </c>
      <c r="B37" s="26">
        <f>IFERROR(__xludf.DUMMYFUNCTION("""COMPUTED_VALUE"""),0.0)</f>
        <v>0</v>
      </c>
      <c r="C37" s="26">
        <f>IFERROR(__xludf.DUMMYFUNCTION("""COMPUTED_VALUE"""),0.0)</f>
        <v>0</v>
      </c>
      <c r="D37" s="26">
        <f>IFERROR(__xludf.DUMMYFUNCTION("""COMPUTED_VALUE"""),0.0)</f>
        <v>0</v>
      </c>
      <c r="E37" s="26">
        <f>IFERROR(__xludf.DUMMYFUNCTION("""COMPUTED_VALUE"""),0.0)</f>
        <v>0</v>
      </c>
      <c r="F37" s="26">
        <f>IFERROR(__xludf.DUMMYFUNCTION("""COMPUTED_VALUE"""),0.0)</f>
        <v>0</v>
      </c>
      <c r="G37" s="26">
        <f>IFERROR(__xludf.DUMMYFUNCTION("""COMPUTED_VALUE"""),0.0)</f>
        <v>0</v>
      </c>
      <c r="H37" s="26">
        <f>IFERROR(__xludf.DUMMYFUNCTION("""COMPUTED_VALUE"""),0.0)</f>
        <v>0</v>
      </c>
      <c r="I37" s="26">
        <f>IFERROR(__xludf.DUMMYFUNCTION("""COMPUTED_VALUE"""),0.0)</f>
        <v>0</v>
      </c>
      <c r="J37" s="26">
        <f>IFERROR(__xludf.DUMMYFUNCTION("""COMPUTED_VALUE"""),0.0)</f>
        <v>0</v>
      </c>
      <c r="K37" s="26">
        <f>IFERROR(__xludf.DUMMYFUNCTION("""COMPUTED_VALUE"""),0.0)</f>
        <v>0</v>
      </c>
      <c r="L37" s="26">
        <f>IFERROR(__xludf.DUMMYFUNCTION("""COMPUTED_VALUE"""),0.0)</f>
        <v>0</v>
      </c>
      <c r="M37" s="26"/>
      <c r="N37" s="26"/>
      <c r="O37" s="26"/>
      <c r="P37" s="26"/>
      <c r="Q37" s="26"/>
      <c r="R37" s="26">
        <f>IFERROR(__xludf.DUMMYFUNCTION("""COMPUTED_VALUE"""),0.0)</f>
        <v>0</v>
      </c>
      <c r="S37" s="26">
        <f>IFERROR(__xludf.DUMMYFUNCTION("""COMPUTED_VALUE"""),0.0)</f>
        <v>0</v>
      </c>
      <c r="T37" s="26">
        <f>IFERROR(__xludf.DUMMYFUNCTION("""COMPUTED_VALUE"""),0.0)</f>
        <v>0</v>
      </c>
      <c r="U37" s="26">
        <f>IFERROR(__xludf.DUMMYFUNCTION("""COMPUTED_VALUE"""),0.0)</f>
        <v>0</v>
      </c>
      <c r="V37" s="26">
        <f>IFERROR(__xludf.DUMMYFUNCTION("""COMPUTED_VALUE"""),0.0)</f>
        <v>0</v>
      </c>
      <c r="W37" s="26">
        <f>IFERROR(__xludf.DUMMYFUNCTION("""COMPUTED_VALUE"""),0.0)</f>
        <v>0</v>
      </c>
      <c r="X37" s="26">
        <f>IFERROR(__xludf.DUMMYFUNCTION("""COMPUTED_VALUE"""),0.0)</f>
        <v>0</v>
      </c>
      <c r="Y37" s="26">
        <f>IFERROR(__xludf.DUMMYFUNCTION("""COMPUTED_VALUE"""),0.0)</f>
        <v>0</v>
      </c>
      <c r="Z37" s="26">
        <f>IFERROR(__xludf.DUMMYFUNCTION("""COMPUTED_VALUE"""),0.0)</f>
        <v>0</v>
      </c>
      <c r="AA37" s="26">
        <f>IFERROR(__xludf.DUMMYFUNCTION("""COMPUTED_VALUE"""),0.0)</f>
        <v>0</v>
      </c>
      <c r="AB37" s="26">
        <f>IFERROR(__xludf.DUMMYFUNCTION("""COMPUTED_VALUE"""),0.0)</f>
        <v>0</v>
      </c>
      <c r="AC37" s="26">
        <f>IFERROR(__xludf.DUMMYFUNCTION("""COMPUTED_VALUE"""),0.0)</f>
        <v>0</v>
      </c>
      <c r="AD37" s="26">
        <f>IFERROR(__xludf.DUMMYFUNCTION("""COMPUTED_VALUE"""),0.0)</f>
        <v>0</v>
      </c>
      <c r="AE37" s="26">
        <f>IFERROR(__xludf.DUMMYFUNCTION("""COMPUTED_VALUE"""),0.0)</f>
        <v>0</v>
      </c>
    </row>
    <row r="38">
      <c r="A38" s="26">
        <f>IFERROR(__xludf.DUMMYFUNCTION("""COMPUTED_VALUE"""),0.0)</f>
        <v>0</v>
      </c>
      <c r="B38" s="26">
        <f>IFERROR(__xludf.DUMMYFUNCTION("""COMPUTED_VALUE"""),0.0)</f>
        <v>0</v>
      </c>
      <c r="C38" s="26">
        <f>IFERROR(__xludf.DUMMYFUNCTION("""COMPUTED_VALUE"""),0.0)</f>
        <v>0</v>
      </c>
      <c r="D38" s="26">
        <f>IFERROR(__xludf.DUMMYFUNCTION("""COMPUTED_VALUE"""),0.0)</f>
        <v>0</v>
      </c>
      <c r="E38" s="26">
        <f>IFERROR(__xludf.DUMMYFUNCTION("""COMPUTED_VALUE"""),0.0)</f>
        <v>0</v>
      </c>
      <c r="F38" s="26">
        <f>IFERROR(__xludf.DUMMYFUNCTION("""COMPUTED_VALUE"""),0.0)</f>
        <v>0</v>
      </c>
      <c r="G38" s="26">
        <f>IFERROR(__xludf.DUMMYFUNCTION("""COMPUTED_VALUE"""),0.0)</f>
        <v>0</v>
      </c>
      <c r="H38" s="26">
        <f>IFERROR(__xludf.DUMMYFUNCTION("""COMPUTED_VALUE"""),0.0)</f>
        <v>0</v>
      </c>
      <c r="I38" s="26">
        <f>IFERROR(__xludf.DUMMYFUNCTION("""COMPUTED_VALUE"""),0.0)</f>
        <v>0</v>
      </c>
      <c r="J38" s="26">
        <f>IFERROR(__xludf.DUMMYFUNCTION("""COMPUTED_VALUE"""),0.0)</f>
        <v>0</v>
      </c>
      <c r="K38" s="26">
        <f>IFERROR(__xludf.DUMMYFUNCTION("""COMPUTED_VALUE"""),0.0)</f>
        <v>0</v>
      </c>
      <c r="L38" s="26">
        <f>IFERROR(__xludf.DUMMYFUNCTION("""COMPUTED_VALUE"""),0.0)</f>
        <v>0</v>
      </c>
      <c r="M38" s="26"/>
      <c r="N38" s="26"/>
      <c r="O38" s="26"/>
      <c r="P38" s="26"/>
      <c r="Q38" s="26"/>
      <c r="R38" s="26">
        <f>IFERROR(__xludf.DUMMYFUNCTION("""COMPUTED_VALUE"""),0.0)</f>
        <v>0</v>
      </c>
      <c r="S38" s="26">
        <f>IFERROR(__xludf.DUMMYFUNCTION("""COMPUTED_VALUE"""),0.0)</f>
        <v>0</v>
      </c>
      <c r="T38" s="26">
        <f>IFERROR(__xludf.DUMMYFUNCTION("""COMPUTED_VALUE"""),0.0)</f>
        <v>0</v>
      </c>
      <c r="U38" s="26">
        <f>IFERROR(__xludf.DUMMYFUNCTION("""COMPUTED_VALUE"""),0.0)</f>
        <v>0</v>
      </c>
      <c r="V38" s="26">
        <f>IFERROR(__xludf.DUMMYFUNCTION("""COMPUTED_VALUE"""),0.0)</f>
        <v>0</v>
      </c>
      <c r="W38" s="26">
        <f>IFERROR(__xludf.DUMMYFUNCTION("""COMPUTED_VALUE"""),0.0)</f>
        <v>0</v>
      </c>
      <c r="X38" s="26">
        <f>IFERROR(__xludf.DUMMYFUNCTION("""COMPUTED_VALUE"""),0.0)</f>
        <v>0</v>
      </c>
      <c r="Y38" s="26">
        <f>IFERROR(__xludf.DUMMYFUNCTION("""COMPUTED_VALUE"""),0.0)</f>
        <v>0</v>
      </c>
      <c r="Z38" s="26">
        <f>IFERROR(__xludf.DUMMYFUNCTION("""COMPUTED_VALUE"""),0.0)</f>
        <v>0</v>
      </c>
      <c r="AA38" s="26">
        <f>IFERROR(__xludf.DUMMYFUNCTION("""COMPUTED_VALUE"""),0.0)</f>
        <v>0</v>
      </c>
      <c r="AB38" s="26">
        <f>IFERROR(__xludf.DUMMYFUNCTION("""COMPUTED_VALUE"""),0.0)</f>
        <v>0</v>
      </c>
      <c r="AC38" s="26">
        <f>IFERROR(__xludf.DUMMYFUNCTION("""COMPUTED_VALUE"""),0.0)</f>
        <v>0</v>
      </c>
      <c r="AD38" s="26">
        <f>IFERROR(__xludf.DUMMYFUNCTION("""COMPUTED_VALUE"""),0.0)</f>
        <v>0</v>
      </c>
      <c r="AE38" s="26">
        <f>IFERROR(__xludf.DUMMYFUNCTION("""COMPUTED_VALUE"""),0.0)</f>
        <v>0</v>
      </c>
    </row>
    <row r="39">
      <c r="A39" s="26">
        <f>IFERROR(__xludf.DUMMYFUNCTION("""COMPUTED_VALUE"""),0.0)</f>
        <v>0</v>
      </c>
      <c r="B39" s="26">
        <f>IFERROR(__xludf.DUMMYFUNCTION("""COMPUTED_VALUE"""),0.0)</f>
        <v>0</v>
      </c>
      <c r="C39" s="26">
        <f>IFERROR(__xludf.DUMMYFUNCTION("""COMPUTED_VALUE"""),0.0)</f>
        <v>0</v>
      </c>
      <c r="D39" s="26">
        <f>IFERROR(__xludf.DUMMYFUNCTION("""COMPUTED_VALUE"""),0.0)</f>
        <v>0</v>
      </c>
      <c r="E39" s="26">
        <f>IFERROR(__xludf.DUMMYFUNCTION("""COMPUTED_VALUE"""),0.0)</f>
        <v>0</v>
      </c>
      <c r="F39" s="26">
        <f>IFERROR(__xludf.DUMMYFUNCTION("""COMPUTED_VALUE"""),0.0)</f>
        <v>0</v>
      </c>
      <c r="G39" s="26">
        <f>IFERROR(__xludf.DUMMYFUNCTION("""COMPUTED_VALUE"""),0.0)</f>
        <v>0</v>
      </c>
      <c r="H39" s="26">
        <f>IFERROR(__xludf.DUMMYFUNCTION("""COMPUTED_VALUE"""),0.0)</f>
        <v>0</v>
      </c>
      <c r="I39" s="26">
        <f>IFERROR(__xludf.DUMMYFUNCTION("""COMPUTED_VALUE"""),0.0)</f>
        <v>0</v>
      </c>
      <c r="J39" s="26">
        <f>IFERROR(__xludf.DUMMYFUNCTION("""COMPUTED_VALUE"""),0.0)</f>
        <v>0</v>
      </c>
      <c r="K39" s="26">
        <f>IFERROR(__xludf.DUMMYFUNCTION("""COMPUTED_VALUE"""),0.0)</f>
        <v>0</v>
      </c>
      <c r="L39" s="26">
        <f>IFERROR(__xludf.DUMMYFUNCTION("""COMPUTED_VALUE"""),0.0)</f>
        <v>0</v>
      </c>
      <c r="M39" s="26"/>
      <c r="N39" s="26"/>
      <c r="O39" s="26"/>
      <c r="P39" s="26"/>
      <c r="Q39" s="26"/>
      <c r="R39" s="26">
        <f>IFERROR(__xludf.DUMMYFUNCTION("""COMPUTED_VALUE"""),0.0)</f>
        <v>0</v>
      </c>
      <c r="S39" s="26">
        <f>IFERROR(__xludf.DUMMYFUNCTION("""COMPUTED_VALUE"""),0.0)</f>
        <v>0</v>
      </c>
      <c r="T39" s="26">
        <f>IFERROR(__xludf.DUMMYFUNCTION("""COMPUTED_VALUE"""),0.0)</f>
        <v>0</v>
      </c>
      <c r="U39" s="26">
        <f>IFERROR(__xludf.DUMMYFUNCTION("""COMPUTED_VALUE"""),0.0)</f>
        <v>0</v>
      </c>
      <c r="V39" s="26">
        <f>IFERROR(__xludf.DUMMYFUNCTION("""COMPUTED_VALUE"""),0.0)</f>
        <v>0</v>
      </c>
      <c r="W39" s="26">
        <f>IFERROR(__xludf.DUMMYFUNCTION("""COMPUTED_VALUE"""),0.0)</f>
        <v>0</v>
      </c>
      <c r="X39" s="26">
        <f>IFERROR(__xludf.DUMMYFUNCTION("""COMPUTED_VALUE"""),0.0)</f>
        <v>0</v>
      </c>
      <c r="Y39" s="26">
        <f>IFERROR(__xludf.DUMMYFUNCTION("""COMPUTED_VALUE"""),0.0)</f>
        <v>0</v>
      </c>
      <c r="Z39" s="26">
        <f>IFERROR(__xludf.DUMMYFUNCTION("""COMPUTED_VALUE"""),0.0)</f>
        <v>0</v>
      </c>
      <c r="AA39" s="26">
        <f>IFERROR(__xludf.DUMMYFUNCTION("""COMPUTED_VALUE"""),0.0)</f>
        <v>0</v>
      </c>
      <c r="AB39" s="26">
        <f>IFERROR(__xludf.DUMMYFUNCTION("""COMPUTED_VALUE"""),0.0)</f>
        <v>0</v>
      </c>
      <c r="AC39" s="26">
        <f>IFERROR(__xludf.DUMMYFUNCTION("""COMPUTED_VALUE"""),0.0)</f>
        <v>0</v>
      </c>
      <c r="AD39" s="26">
        <f>IFERROR(__xludf.DUMMYFUNCTION("""COMPUTED_VALUE"""),0.0)</f>
        <v>0</v>
      </c>
      <c r="AE39" s="26">
        <f>IFERROR(__xludf.DUMMYFUNCTION("""COMPUTED_VALUE"""),0.0)</f>
        <v>0</v>
      </c>
    </row>
    <row r="40">
      <c r="A40" s="26">
        <f>IFERROR(__xludf.DUMMYFUNCTION("""COMPUTED_VALUE"""),0.0)</f>
        <v>0</v>
      </c>
      <c r="B40" s="26">
        <f>IFERROR(__xludf.DUMMYFUNCTION("""COMPUTED_VALUE"""),0.0)</f>
        <v>0</v>
      </c>
      <c r="C40" s="26">
        <f>IFERROR(__xludf.DUMMYFUNCTION("""COMPUTED_VALUE"""),0.0)</f>
        <v>0</v>
      </c>
      <c r="D40" s="26">
        <f>IFERROR(__xludf.DUMMYFUNCTION("""COMPUTED_VALUE"""),0.0)</f>
        <v>0</v>
      </c>
      <c r="E40" s="26">
        <f>IFERROR(__xludf.DUMMYFUNCTION("""COMPUTED_VALUE"""),0.0)</f>
        <v>0</v>
      </c>
      <c r="F40" s="26">
        <f>IFERROR(__xludf.DUMMYFUNCTION("""COMPUTED_VALUE"""),0.0)</f>
        <v>0</v>
      </c>
      <c r="G40" s="26">
        <f>IFERROR(__xludf.DUMMYFUNCTION("""COMPUTED_VALUE"""),0.0)</f>
        <v>0</v>
      </c>
      <c r="H40" s="26">
        <f>IFERROR(__xludf.DUMMYFUNCTION("""COMPUTED_VALUE"""),0.0)</f>
        <v>0</v>
      </c>
      <c r="I40" s="26">
        <f>IFERROR(__xludf.DUMMYFUNCTION("""COMPUTED_VALUE"""),0.0)</f>
        <v>0</v>
      </c>
      <c r="J40" s="26">
        <f>IFERROR(__xludf.DUMMYFUNCTION("""COMPUTED_VALUE"""),0.0)</f>
        <v>0</v>
      </c>
      <c r="K40" s="26">
        <f>IFERROR(__xludf.DUMMYFUNCTION("""COMPUTED_VALUE"""),0.0)</f>
        <v>0</v>
      </c>
      <c r="L40" s="26">
        <f>IFERROR(__xludf.DUMMYFUNCTION("""COMPUTED_VALUE"""),0.0)</f>
        <v>0</v>
      </c>
      <c r="M40" s="26"/>
      <c r="N40" s="26"/>
      <c r="O40" s="26"/>
      <c r="P40" s="26"/>
      <c r="Q40" s="26"/>
      <c r="R40" s="26">
        <f>IFERROR(__xludf.DUMMYFUNCTION("""COMPUTED_VALUE"""),0.0)</f>
        <v>0</v>
      </c>
      <c r="S40" s="26">
        <f>IFERROR(__xludf.DUMMYFUNCTION("""COMPUTED_VALUE"""),0.0)</f>
        <v>0</v>
      </c>
      <c r="T40" s="26">
        <f>IFERROR(__xludf.DUMMYFUNCTION("""COMPUTED_VALUE"""),0.0)</f>
        <v>0</v>
      </c>
      <c r="U40" s="26">
        <f>IFERROR(__xludf.DUMMYFUNCTION("""COMPUTED_VALUE"""),0.0)</f>
        <v>0</v>
      </c>
      <c r="V40" s="26">
        <f>IFERROR(__xludf.DUMMYFUNCTION("""COMPUTED_VALUE"""),0.0)</f>
        <v>0</v>
      </c>
      <c r="W40" s="26">
        <f>IFERROR(__xludf.DUMMYFUNCTION("""COMPUTED_VALUE"""),0.0)</f>
        <v>0</v>
      </c>
      <c r="X40" s="26">
        <f>IFERROR(__xludf.DUMMYFUNCTION("""COMPUTED_VALUE"""),0.0)</f>
        <v>0</v>
      </c>
      <c r="Y40" s="26">
        <f>IFERROR(__xludf.DUMMYFUNCTION("""COMPUTED_VALUE"""),0.0)</f>
        <v>0</v>
      </c>
      <c r="Z40" s="26">
        <f>IFERROR(__xludf.DUMMYFUNCTION("""COMPUTED_VALUE"""),0.0)</f>
        <v>0</v>
      </c>
      <c r="AA40" s="26">
        <f>IFERROR(__xludf.DUMMYFUNCTION("""COMPUTED_VALUE"""),0.0)</f>
        <v>0</v>
      </c>
      <c r="AB40" s="26">
        <f>IFERROR(__xludf.DUMMYFUNCTION("""COMPUTED_VALUE"""),0.0)</f>
        <v>0</v>
      </c>
      <c r="AC40" s="26">
        <f>IFERROR(__xludf.DUMMYFUNCTION("""COMPUTED_VALUE"""),0.0)</f>
        <v>0</v>
      </c>
      <c r="AD40" s="26">
        <f>IFERROR(__xludf.DUMMYFUNCTION("""COMPUTED_VALUE"""),0.0)</f>
        <v>0</v>
      </c>
      <c r="AE40" s="26">
        <f>IFERROR(__xludf.DUMMYFUNCTION("""COMPUTED_VALUE"""),0.0)</f>
        <v>0</v>
      </c>
    </row>
    <row r="41">
      <c r="A41" s="26">
        <f>IFERROR(__xludf.DUMMYFUNCTION("""COMPUTED_VALUE"""),0.0)</f>
        <v>0</v>
      </c>
      <c r="B41" s="26">
        <f>IFERROR(__xludf.DUMMYFUNCTION("""COMPUTED_VALUE"""),0.0)</f>
        <v>0</v>
      </c>
      <c r="C41" s="26">
        <f>IFERROR(__xludf.DUMMYFUNCTION("""COMPUTED_VALUE"""),0.0)</f>
        <v>0</v>
      </c>
      <c r="D41" s="26">
        <f>IFERROR(__xludf.DUMMYFUNCTION("""COMPUTED_VALUE"""),0.0)</f>
        <v>0</v>
      </c>
      <c r="E41" s="26">
        <f>IFERROR(__xludf.DUMMYFUNCTION("""COMPUTED_VALUE"""),0.0)</f>
        <v>0</v>
      </c>
      <c r="F41" s="26">
        <f>IFERROR(__xludf.DUMMYFUNCTION("""COMPUTED_VALUE"""),0.0)</f>
        <v>0</v>
      </c>
      <c r="G41" s="26">
        <f>IFERROR(__xludf.DUMMYFUNCTION("""COMPUTED_VALUE"""),0.0)</f>
        <v>0</v>
      </c>
      <c r="H41" s="26">
        <f>IFERROR(__xludf.DUMMYFUNCTION("""COMPUTED_VALUE"""),0.0)</f>
        <v>0</v>
      </c>
      <c r="I41" s="26">
        <f>IFERROR(__xludf.DUMMYFUNCTION("""COMPUTED_VALUE"""),0.0)</f>
        <v>0</v>
      </c>
      <c r="J41" s="26">
        <f>IFERROR(__xludf.DUMMYFUNCTION("""COMPUTED_VALUE"""),0.0)</f>
        <v>0</v>
      </c>
      <c r="K41" s="26">
        <f>IFERROR(__xludf.DUMMYFUNCTION("""COMPUTED_VALUE"""),0.0)</f>
        <v>0</v>
      </c>
      <c r="L41" s="26">
        <f>IFERROR(__xludf.DUMMYFUNCTION("""COMPUTED_VALUE"""),0.0)</f>
        <v>0</v>
      </c>
      <c r="M41" s="26"/>
      <c r="N41" s="26"/>
      <c r="O41" s="26"/>
      <c r="P41" s="26"/>
      <c r="Q41" s="26"/>
      <c r="R41" s="26">
        <f>IFERROR(__xludf.DUMMYFUNCTION("""COMPUTED_VALUE"""),0.0)</f>
        <v>0</v>
      </c>
      <c r="S41" s="26">
        <f>IFERROR(__xludf.DUMMYFUNCTION("""COMPUTED_VALUE"""),0.0)</f>
        <v>0</v>
      </c>
      <c r="T41" s="26">
        <f>IFERROR(__xludf.DUMMYFUNCTION("""COMPUTED_VALUE"""),0.0)</f>
        <v>0</v>
      </c>
      <c r="U41" s="26">
        <f>IFERROR(__xludf.DUMMYFUNCTION("""COMPUTED_VALUE"""),0.0)</f>
        <v>0</v>
      </c>
      <c r="V41" s="26">
        <f>IFERROR(__xludf.DUMMYFUNCTION("""COMPUTED_VALUE"""),0.0)</f>
        <v>0</v>
      </c>
      <c r="W41" s="26">
        <f>IFERROR(__xludf.DUMMYFUNCTION("""COMPUTED_VALUE"""),0.0)</f>
        <v>0</v>
      </c>
      <c r="X41" s="26">
        <f>IFERROR(__xludf.DUMMYFUNCTION("""COMPUTED_VALUE"""),0.0)</f>
        <v>0</v>
      </c>
      <c r="Y41" s="26">
        <f>IFERROR(__xludf.DUMMYFUNCTION("""COMPUTED_VALUE"""),0.0)</f>
        <v>0</v>
      </c>
      <c r="Z41" s="26">
        <f>IFERROR(__xludf.DUMMYFUNCTION("""COMPUTED_VALUE"""),0.0)</f>
        <v>0</v>
      </c>
      <c r="AA41" s="26">
        <f>IFERROR(__xludf.DUMMYFUNCTION("""COMPUTED_VALUE"""),0.0)</f>
        <v>0</v>
      </c>
      <c r="AB41" s="26">
        <f>IFERROR(__xludf.DUMMYFUNCTION("""COMPUTED_VALUE"""),0.0)</f>
        <v>0</v>
      </c>
      <c r="AC41" s="26">
        <f>IFERROR(__xludf.DUMMYFUNCTION("""COMPUTED_VALUE"""),0.0)</f>
        <v>0</v>
      </c>
      <c r="AD41" s="26">
        <f>IFERROR(__xludf.DUMMYFUNCTION("""COMPUTED_VALUE"""),0.0)</f>
        <v>0</v>
      </c>
      <c r="AE41" s="26">
        <f>IFERROR(__xludf.DUMMYFUNCTION("""COMPUTED_VALUE"""),0.0)</f>
        <v>0</v>
      </c>
    </row>
    <row r="42">
      <c r="A42" s="26">
        <f>IFERROR(__xludf.DUMMYFUNCTION("""COMPUTED_VALUE"""),0.0)</f>
        <v>0</v>
      </c>
      <c r="B42" s="26">
        <f>IFERROR(__xludf.DUMMYFUNCTION("""COMPUTED_VALUE"""),0.0)</f>
        <v>0</v>
      </c>
      <c r="C42" s="26">
        <f>IFERROR(__xludf.DUMMYFUNCTION("""COMPUTED_VALUE"""),0.0)</f>
        <v>0</v>
      </c>
      <c r="D42" s="26">
        <f>IFERROR(__xludf.DUMMYFUNCTION("""COMPUTED_VALUE"""),0.0)</f>
        <v>0</v>
      </c>
      <c r="E42" s="26">
        <f>IFERROR(__xludf.DUMMYFUNCTION("""COMPUTED_VALUE"""),0.0)</f>
        <v>0</v>
      </c>
      <c r="F42" s="26">
        <f>IFERROR(__xludf.DUMMYFUNCTION("""COMPUTED_VALUE"""),0.0)</f>
        <v>0</v>
      </c>
      <c r="G42" s="26">
        <f>IFERROR(__xludf.DUMMYFUNCTION("""COMPUTED_VALUE"""),0.0)</f>
        <v>0</v>
      </c>
      <c r="H42" s="26">
        <f>IFERROR(__xludf.DUMMYFUNCTION("""COMPUTED_VALUE"""),0.0)</f>
        <v>0</v>
      </c>
      <c r="I42" s="26">
        <f>IFERROR(__xludf.DUMMYFUNCTION("""COMPUTED_VALUE"""),0.0)</f>
        <v>0</v>
      </c>
      <c r="J42" s="26">
        <f>IFERROR(__xludf.DUMMYFUNCTION("""COMPUTED_VALUE"""),0.0)</f>
        <v>0</v>
      </c>
      <c r="K42" s="26">
        <f>IFERROR(__xludf.DUMMYFUNCTION("""COMPUTED_VALUE"""),0.0)</f>
        <v>0</v>
      </c>
      <c r="L42" s="26">
        <f>IFERROR(__xludf.DUMMYFUNCTION("""COMPUTED_VALUE"""),0.0)</f>
        <v>0</v>
      </c>
      <c r="M42" s="26"/>
      <c r="N42" s="26"/>
      <c r="O42" s="26"/>
      <c r="P42" s="26"/>
      <c r="Q42" s="26"/>
      <c r="R42" s="26">
        <f>IFERROR(__xludf.DUMMYFUNCTION("""COMPUTED_VALUE"""),0.0)</f>
        <v>0</v>
      </c>
      <c r="S42" s="26">
        <f>IFERROR(__xludf.DUMMYFUNCTION("""COMPUTED_VALUE"""),0.0)</f>
        <v>0</v>
      </c>
      <c r="T42" s="26">
        <f>IFERROR(__xludf.DUMMYFUNCTION("""COMPUTED_VALUE"""),0.0)</f>
        <v>0</v>
      </c>
      <c r="U42" s="26">
        <f>IFERROR(__xludf.DUMMYFUNCTION("""COMPUTED_VALUE"""),0.0)</f>
        <v>0</v>
      </c>
      <c r="V42" s="26">
        <f>IFERROR(__xludf.DUMMYFUNCTION("""COMPUTED_VALUE"""),0.0)</f>
        <v>0</v>
      </c>
      <c r="W42" s="26">
        <f>IFERROR(__xludf.DUMMYFUNCTION("""COMPUTED_VALUE"""),0.0)</f>
        <v>0</v>
      </c>
      <c r="X42" s="26">
        <f>IFERROR(__xludf.DUMMYFUNCTION("""COMPUTED_VALUE"""),0.0)</f>
        <v>0</v>
      </c>
      <c r="Y42" s="26">
        <f>IFERROR(__xludf.DUMMYFUNCTION("""COMPUTED_VALUE"""),0.0)</f>
        <v>0</v>
      </c>
      <c r="Z42" s="26">
        <f>IFERROR(__xludf.DUMMYFUNCTION("""COMPUTED_VALUE"""),0.0)</f>
        <v>0</v>
      </c>
      <c r="AA42" s="26">
        <f>IFERROR(__xludf.DUMMYFUNCTION("""COMPUTED_VALUE"""),0.0)</f>
        <v>0</v>
      </c>
      <c r="AB42" s="26">
        <f>IFERROR(__xludf.DUMMYFUNCTION("""COMPUTED_VALUE"""),0.0)</f>
        <v>0</v>
      </c>
      <c r="AC42" s="26">
        <f>IFERROR(__xludf.DUMMYFUNCTION("""COMPUTED_VALUE"""),0.0)</f>
        <v>0</v>
      </c>
      <c r="AD42" s="26">
        <f>IFERROR(__xludf.DUMMYFUNCTION("""COMPUTED_VALUE"""),0.0)</f>
        <v>0</v>
      </c>
      <c r="AE42" s="26">
        <f>IFERROR(__xludf.DUMMYFUNCTION("""COMPUTED_VALUE"""),0.0)</f>
        <v>0</v>
      </c>
    </row>
    <row r="43">
      <c r="A43" s="26">
        <f>IFERROR(__xludf.DUMMYFUNCTION("""COMPUTED_VALUE"""),0.0)</f>
        <v>0</v>
      </c>
      <c r="B43" s="26">
        <f>IFERROR(__xludf.DUMMYFUNCTION("""COMPUTED_VALUE"""),0.0)</f>
        <v>0</v>
      </c>
      <c r="C43" s="26">
        <f>IFERROR(__xludf.DUMMYFUNCTION("""COMPUTED_VALUE"""),0.0)</f>
        <v>0</v>
      </c>
      <c r="D43" s="26">
        <f>IFERROR(__xludf.DUMMYFUNCTION("""COMPUTED_VALUE"""),0.0)</f>
        <v>0</v>
      </c>
      <c r="E43" s="26">
        <f>IFERROR(__xludf.DUMMYFUNCTION("""COMPUTED_VALUE"""),0.0)</f>
        <v>0</v>
      </c>
      <c r="F43" s="26">
        <f>IFERROR(__xludf.DUMMYFUNCTION("""COMPUTED_VALUE"""),0.0)</f>
        <v>0</v>
      </c>
      <c r="G43" s="26">
        <f>IFERROR(__xludf.DUMMYFUNCTION("""COMPUTED_VALUE"""),0.0)</f>
        <v>0</v>
      </c>
      <c r="H43" s="26">
        <f>IFERROR(__xludf.DUMMYFUNCTION("""COMPUTED_VALUE"""),0.0)</f>
        <v>0</v>
      </c>
      <c r="I43" s="26">
        <f>IFERROR(__xludf.DUMMYFUNCTION("""COMPUTED_VALUE"""),0.0)</f>
        <v>0</v>
      </c>
      <c r="J43" s="26">
        <f>IFERROR(__xludf.DUMMYFUNCTION("""COMPUTED_VALUE"""),0.0)</f>
        <v>0</v>
      </c>
      <c r="K43" s="26">
        <f>IFERROR(__xludf.DUMMYFUNCTION("""COMPUTED_VALUE"""),0.0)</f>
        <v>0</v>
      </c>
      <c r="L43" s="26">
        <f>IFERROR(__xludf.DUMMYFUNCTION("""COMPUTED_VALUE"""),0.0)</f>
        <v>0</v>
      </c>
      <c r="M43" s="26"/>
      <c r="N43" s="26"/>
      <c r="O43" s="26"/>
      <c r="P43" s="26"/>
      <c r="Q43" s="26"/>
      <c r="R43" s="26">
        <f>IFERROR(__xludf.DUMMYFUNCTION("""COMPUTED_VALUE"""),0.0)</f>
        <v>0</v>
      </c>
      <c r="S43" s="26">
        <f>IFERROR(__xludf.DUMMYFUNCTION("""COMPUTED_VALUE"""),0.0)</f>
        <v>0</v>
      </c>
      <c r="T43" s="26">
        <f>IFERROR(__xludf.DUMMYFUNCTION("""COMPUTED_VALUE"""),0.0)</f>
        <v>0</v>
      </c>
      <c r="U43" s="26">
        <f>IFERROR(__xludf.DUMMYFUNCTION("""COMPUTED_VALUE"""),0.0)</f>
        <v>0</v>
      </c>
      <c r="V43" s="26">
        <f>IFERROR(__xludf.DUMMYFUNCTION("""COMPUTED_VALUE"""),0.0)</f>
        <v>0</v>
      </c>
      <c r="W43" s="26">
        <f>IFERROR(__xludf.DUMMYFUNCTION("""COMPUTED_VALUE"""),0.0)</f>
        <v>0</v>
      </c>
      <c r="X43" s="26">
        <f>IFERROR(__xludf.DUMMYFUNCTION("""COMPUTED_VALUE"""),0.0)</f>
        <v>0</v>
      </c>
      <c r="Y43" s="26">
        <f>IFERROR(__xludf.DUMMYFUNCTION("""COMPUTED_VALUE"""),0.0)</f>
        <v>0</v>
      </c>
      <c r="Z43" s="26">
        <f>IFERROR(__xludf.DUMMYFUNCTION("""COMPUTED_VALUE"""),0.0)</f>
        <v>0</v>
      </c>
      <c r="AA43" s="26">
        <f>IFERROR(__xludf.DUMMYFUNCTION("""COMPUTED_VALUE"""),0.0)</f>
        <v>0</v>
      </c>
      <c r="AB43" s="26">
        <f>IFERROR(__xludf.DUMMYFUNCTION("""COMPUTED_VALUE"""),0.0)</f>
        <v>0</v>
      </c>
      <c r="AC43" s="26">
        <f>IFERROR(__xludf.DUMMYFUNCTION("""COMPUTED_VALUE"""),0.0)</f>
        <v>0</v>
      </c>
      <c r="AD43" s="26">
        <f>IFERROR(__xludf.DUMMYFUNCTION("""COMPUTED_VALUE"""),0.0)</f>
        <v>0</v>
      </c>
      <c r="AE43" s="26">
        <f>IFERROR(__xludf.DUMMYFUNCTION("""COMPUTED_VALUE"""),0.0)</f>
        <v>0</v>
      </c>
    </row>
    <row r="44">
      <c r="A44" s="26">
        <f>IFERROR(__xludf.DUMMYFUNCTION("""COMPUTED_VALUE"""),20.0)</f>
        <v>20</v>
      </c>
      <c r="B44" s="26">
        <f>IFERROR(__xludf.DUMMYFUNCTION("""COMPUTED_VALUE"""),0.0)</f>
        <v>0</v>
      </c>
      <c r="C44" s="26">
        <f>IFERROR(__xludf.DUMMYFUNCTION("""COMPUTED_VALUE"""),0.0)</f>
        <v>0</v>
      </c>
      <c r="D44" s="26">
        <f>IFERROR(__xludf.DUMMYFUNCTION("""COMPUTED_VALUE"""),0.0)</f>
        <v>0</v>
      </c>
      <c r="E44" s="26">
        <f>IFERROR(__xludf.DUMMYFUNCTION("""COMPUTED_VALUE"""),0.0)</f>
        <v>0</v>
      </c>
      <c r="F44" s="26">
        <f>IFERROR(__xludf.DUMMYFUNCTION("""COMPUTED_VALUE"""),0.0)</f>
        <v>0</v>
      </c>
      <c r="G44" s="26">
        <f>IFERROR(__xludf.DUMMYFUNCTION("""COMPUTED_VALUE"""),0.0)</f>
        <v>0</v>
      </c>
      <c r="H44" s="26">
        <f>IFERROR(__xludf.DUMMYFUNCTION("""COMPUTED_VALUE"""),0.0)</f>
        <v>0</v>
      </c>
      <c r="I44" s="26">
        <f>IFERROR(__xludf.DUMMYFUNCTION("""COMPUTED_VALUE"""),0.0)</f>
        <v>0</v>
      </c>
      <c r="J44" s="26">
        <f>IFERROR(__xludf.DUMMYFUNCTION("""COMPUTED_VALUE"""),0.0)</f>
        <v>0</v>
      </c>
      <c r="K44" s="26">
        <f>IFERROR(__xludf.DUMMYFUNCTION("""COMPUTED_VALUE"""),0.0)</f>
        <v>0</v>
      </c>
      <c r="L44" s="26">
        <f>IFERROR(__xludf.DUMMYFUNCTION("""COMPUTED_VALUE"""),0.0)</f>
        <v>0</v>
      </c>
      <c r="M44" s="26"/>
      <c r="N44" s="26"/>
      <c r="O44" s="26"/>
      <c r="P44" s="26"/>
      <c r="Q44" s="26"/>
      <c r="R44" s="26">
        <f>IFERROR(__xludf.DUMMYFUNCTION("""COMPUTED_VALUE"""),20.0)</f>
        <v>20</v>
      </c>
      <c r="S44" s="26">
        <f>IFERROR(__xludf.DUMMYFUNCTION("""COMPUTED_VALUE"""),9800.0)</f>
        <v>9800</v>
      </c>
      <c r="T44" s="26">
        <f>IFERROR(__xludf.DUMMYFUNCTION("""COMPUTED_VALUE"""),4100.0)</f>
        <v>4100</v>
      </c>
      <c r="U44" s="26">
        <f>IFERROR(__xludf.DUMMYFUNCTION("""COMPUTED_VALUE"""),5595.0)</f>
        <v>5595</v>
      </c>
      <c r="V44" s="26">
        <f>IFERROR(__xludf.DUMMYFUNCTION("""COMPUTED_VALUE"""),0.0)</f>
        <v>0</v>
      </c>
      <c r="W44" s="26">
        <f>IFERROR(__xludf.DUMMYFUNCTION("""COMPUTED_VALUE"""),0.0)</f>
        <v>0</v>
      </c>
      <c r="X44" s="26">
        <f>IFERROR(__xludf.DUMMYFUNCTION("""COMPUTED_VALUE"""),1495.0)</f>
        <v>1495</v>
      </c>
      <c r="Y44" s="26">
        <f>IFERROR(__xludf.DUMMYFUNCTION("""COMPUTED_VALUE"""),1495.0)</f>
        <v>1495</v>
      </c>
      <c r="Z44" s="26">
        <f>IFERROR(__xludf.DUMMYFUNCTION("""COMPUTED_VALUE"""),0.0)</f>
        <v>0</v>
      </c>
      <c r="AA44" s="26">
        <f>IFERROR(__xludf.DUMMYFUNCTION("""COMPUTED_VALUE"""),0.0)</f>
        <v>0</v>
      </c>
      <c r="AB44" s="26">
        <f>IFERROR(__xludf.DUMMYFUNCTION("""COMPUTED_VALUE"""),0.0)</f>
        <v>0</v>
      </c>
      <c r="AC44" s="26">
        <f>IFERROR(__xludf.DUMMYFUNCTION("""COMPUTED_VALUE"""),0.0)</f>
        <v>0</v>
      </c>
      <c r="AD44" s="26">
        <f>IFERROR(__xludf.DUMMYFUNCTION("""COMPUTED_VALUE"""),0.0)</f>
        <v>0</v>
      </c>
      <c r="AE44" s="26">
        <f>IFERROR(__xludf.DUMMYFUNCTION("""COMPUTED_VALUE"""),0.0)</f>
        <v>0</v>
      </c>
    </row>
    <row r="45">
      <c r="A45" s="26">
        <f>IFERROR(__xludf.DUMMYFUNCTION("""COMPUTED_VALUE"""),0.0)</f>
        <v>0</v>
      </c>
      <c r="B45" s="26">
        <f>IFERROR(__xludf.DUMMYFUNCTION("""COMPUTED_VALUE"""),0.0)</f>
        <v>0</v>
      </c>
      <c r="C45" s="26">
        <f>IFERROR(__xludf.DUMMYFUNCTION("""COMPUTED_VALUE"""),0.0)</f>
        <v>0</v>
      </c>
      <c r="D45" s="26">
        <f>IFERROR(__xludf.DUMMYFUNCTION("""COMPUTED_VALUE"""),0.0)</f>
        <v>0</v>
      </c>
      <c r="E45" s="26">
        <f>IFERROR(__xludf.DUMMYFUNCTION("""COMPUTED_VALUE"""),0.0)</f>
        <v>0</v>
      </c>
      <c r="F45" s="26">
        <f>IFERROR(__xludf.DUMMYFUNCTION("""COMPUTED_VALUE"""),0.0)</f>
        <v>0</v>
      </c>
      <c r="G45" s="26">
        <f>IFERROR(__xludf.DUMMYFUNCTION("""COMPUTED_VALUE"""),0.0)</f>
        <v>0</v>
      </c>
      <c r="H45" s="26">
        <f>IFERROR(__xludf.DUMMYFUNCTION("""COMPUTED_VALUE"""),0.0)</f>
        <v>0</v>
      </c>
      <c r="I45" s="26">
        <f>IFERROR(__xludf.DUMMYFUNCTION("""COMPUTED_VALUE"""),0.0)</f>
        <v>0</v>
      </c>
      <c r="J45" s="26">
        <f>IFERROR(__xludf.DUMMYFUNCTION("""COMPUTED_VALUE"""),464.0)</f>
        <v>464</v>
      </c>
      <c r="K45" s="26">
        <f>IFERROR(__xludf.DUMMYFUNCTION("""COMPUTED_VALUE"""),0.0)</f>
        <v>0</v>
      </c>
      <c r="L45" s="26">
        <f>IFERROR(__xludf.DUMMYFUNCTION("""COMPUTED_VALUE"""),0.0)</f>
        <v>0</v>
      </c>
      <c r="M45" s="26"/>
      <c r="N45" s="26"/>
      <c r="O45" s="26"/>
      <c r="P45" s="26"/>
      <c r="Q45" s="26"/>
      <c r="R45" s="26">
        <f>IFERROR(__xludf.DUMMYFUNCTION("""COMPUTED_VALUE"""),464.0)</f>
        <v>464</v>
      </c>
      <c r="S45" s="26">
        <f>IFERROR(__xludf.DUMMYFUNCTION("""COMPUTED_VALUE"""),519197.0)</f>
        <v>519197</v>
      </c>
      <c r="T45" s="26">
        <f>IFERROR(__xludf.DUMMYFUNCTION("""COMPUTED_VALUE"""),107648.0)</f>
        <v>107648</v>
      </c>
      <c r="U45" s="26">
        <f>IFERROR(__xludf.DUMMYFUNCTION("""COMPUTED_VALUE"""),186846.7099999999)</f>
        <v>186846.71</v>
      </c>
      <c r="V45" s="26">
        <f>IFERROR(__xludf.DUMMYFUNCTION("""COMPUTED_VALUE"""),0.0)</f>
        <v>0</v>
      </c>
      <c r="W45" s="26">
        <f>IFERROR(__xludf.DUMMYFUNCTION("""COMPUTED_VALUE"""),0.0)</f>
        <v>0</v>
      </c>
      <c r="X45" s="26">
        <f>IFERROR(__xludf.DUMMYFUNCTION("""COMPUTED_VALUE"""),79198.7099999999)</f>
        <v>79198.71</v>
      </c>
      <c r="Y45" s="26">
        <f>IFERROR(__xludf.DUMMYFUNCTION("""COMPUTED_VALUE"""),79198.7099999999)</f>
        <v>79198.71</v>
      </c>
      <c r="Z45" s="26">
        <f>IFERROR(__xludf.DUMMYFUNCTION("""COMPUTED_VALUE"""),519197.0)</f>
        <v>519197</v>
      </c>
      <c r="AA45" s="26">
        <f>IFERROR(__xludf.DUMMYFUNCTION("""COMPUTED_VALUE"""),203463.90999999928)</f>
        <v>203463.91</v>
      </c>
      <c r="AB45" s="26">
        <f>IFERROR(__xludf.DUMMYFUNCTION("""COMPUTED_VALUE"""),332350.2899999997)</f>
        <v>332350.29</v>
      </c>
      <c r="AC45" s="26">
        <f>IFERROR(__xludf.DUMMYFUNCTION("""COMPUTED_VALUE"""),0.0)</f>
        <v>0</v>
      </c>
      <c r="AD45" s="26">
        <f>IFERROR(__xludf.DUMMYFUNCTION("""COMPUTED_VALUE"""),16617.270000000062)</f>
        <v>16617.27</v>
      </c>
      <c r="AE45" s="26">
        <f>IFERROR(__xludf.DUMMYFUNCTION("""COMPUTED_VALUE"""),315733.08999999944)</f>
        <v>315733.09</v>
      </c>
    </row>
    <row r="46">
      <c r="A46" s="26">
        <f>IFERROR(__xludf.DUMMYFUNCTION("""COMPUTED_VALUE"""),51.0)</f>
        <v>51</v>
      </c>
      <c r="B46" s="26">
        <f>IFERROR(__xludf.DUMMYFUNCTION("""COMPUTED_VALUE"""),0.0)</f>
        <v>0</v>
      </c>
      <c r="C46" s="26">
        <f>IFERROR(__xludf.DUMMYFUNCTION("""COMPUTED_VALUE"""),0.0)</f>
        <v>0</v>
      </c>
      <c r="D46" s="26">
        <f>IFERROR(__xludf.DUMMYFUNCTION("""COMPUTED_VALUE"""),0.0)</f>
        <v>0</v>
      </c>
      <c r="E46" s="26">
        <f>IFERROR(__xludf.DUMMYFUNCTION("""COMPUTED_VALUE"""),21.0)</f>
        <v>21</v>
      </c>
      <c r="F46" s="26">
        <f>IFERROR(__xludf.DUMMYFUNCTION("""COMPUTED_VALUE"""),0.0)</f>
        <v>0</v>
      </c>
      <c r="G46" s="26">
        <f>IFERROR(__xludf.DUMMYFUNCTION("""COMPUTED_VALUE"""),0.0)</f>
        <v>0</v>
      </c>
      <c r="H46" s="26">
        <f>IFERROR(__xludf.DUMMYFUNCTION("""COMPUTED_VALUE"""),0.0)</f>
        <v>0</v>
      </c>
      <c r="I46" s="26">
        <f>IFERROR(__xludf.DUMMYFUNCTION("""COMPUTED_VALUE"""),0.0)</f>
        <v>0</v>
      </c>
      <c r="J46" s="26">
        <f>IFERROR(__xludf.DUMMYFUNCTION("""COMPUTED_VALUE"""),0.0)</f>
        <v>0</v>
      </c>
      <c r="K46" s="26">
        <f>IFERROR(__xludf.DUMMYFUNCTION("""COMPUTED_VALUE"""),0.0)</f>
        <v>0</v>
      </c>
      <c r="L46" s="26">
        <f>IFERROR(__xludf.DUMMYFUNCTION("""COMPUTED_VALUE"""),0.0)</f>
        <v>0</v>
      </c>
      <c r="M46" s="26"/>
      <c r="N46" s="26"/>
      <c r="O46" s="26"/>
      <c r="P46" s="26"/>
      <c r="Q46" s="26"/>
      <c r="R46" s="26">
        <f>IFERROR(__xludf.DUMMYFUNCTION("""COMPUTED_VALUE"""),72.0)</f>
        <v>72</v>
      </c>
      <c r="S46" s="26">
        <f>IFERROR(__xludf.DUMMYFUNCTION("""COMPUTED_VALUE"""),18600.94)</f>
        <v>18600.94</v>
      </c>
      <c r="T46" s="26">
        <f>IFERROR(__xludf.DUMMYFUNCTION("""COMPUTED_VALUE"""),15763.5)</f>
        <v>15763.5</v>
      </c>
      <c r="U46" s="26">
        <f>IFERROR(__xludf.DUMMYFUNCTION("""COMPUTED_VALUE"""),18600.940000000002)</f>
        <v>18600.94</v>
      </c>
      <c r="V46" s="26">
        <f>IFERROR(__xludf.DUMMYFUNCTION("""COMPUTED_VALUE"""),76.28)</f>
        <v>76.28</v>
      </c>
      <c r="W46" s="26">
        <f>IFERROR(__xludf.DUMMYFUNCTION("""COMPUTED_VALUE"""),76.28)</f>
        <v>76.28</v>
      </c>
      <c r="X46" s="26">
        <f>IFERROR(__xludf.DUMMYFUNCTION("""COMPUTED_VALUE"""),2684.8800000000033)</f>
        <v>2684.88</v>
      </c>
      <c r="Y46" s="26">
        <f>IFERROR(__xludf.DUMMYFUNCTION("""COMPUTED_VALUE"""),2837.4400000000032)</f>
        <v>2837.44</v>
      </c>
      <c r="Z46" s="26">
        <f>IFERROR(__xludf.DUMMYFUNCTION("""COMPUTED_VALUE"""),53602.70000000002)</f>
        <v>53602.7</v>
      </c>
      <c r="AA46" s="26">
        <f>IFERROR(__xludf.DUMMYFUNCTION("""COMPUTED_VALUE"""),53602.70000000002)</f>
        <v>53602.7</v>
      </c>
      <c r="AB46" s="26">
        <f>IFERROR(__xludf.DUMMYFUNCTION("""COMPUTED_VALUE"""),0.0)</f>
        <v>0</v>
      </c>
      <c r="AC46" s="26">
        <f>IFERROR(__xludf.DUMMYFUNCTION("""COMPUTED_VALUE"""),0.0)</f>
        <v>0</v>
      </c>
      <c r="AD46" s="26">
        <f>IFERROR(__xludf.DUMMYFUNCTION("""COMPUTED_VALUE"""),0.0)</f>
        <v>0</v>
      </c>
      <c r="AE46" s="26">
        <f>IFERROR(__xludf.DUMMYFUNCTION("""COMPUTED_VALUE"""),0.0)</f>
        <v>0</v>
      </c>
    </row>
    <row r="47">
      <c r="A47" s="26">
        <f>IFERROR(__xludf.DUMMYFUNCTION("""COMPUTED_VALUE"""),0.0)</f>
        <v>0</v>
      </c>
      <c r="B47" s="26">
        <f>IFERROR(__xludf.DUMMYFUNCTION("""COMPUTED_VALUE"""),0.0)</f>
        <v>0</v>
      </c>
      <c r="C47" s="26">
        <f>IFERROR(__xludf.DUMMYFUNCTION("""COMPUTED_VALUE"""),0.0)</f>
        <v>0</v>
      </c>
      <c r="D47" s="26">
        <f>IFERROR(__xludf.DUMMYFUNCTION("""COMPUTED_VALUE"""),0.0)</f>
        <v>0</v>
      </c>
      <c r="E47" s="26">
        <f>IFERROR(__xludf.DUMMYFUNCTION("""COMPUTED_VALUE"""),0.0)</f>
        <v>0</v>
      </c>
      <c r="F47" s="26">
        <f>IFERROR(__xludf.DUMMYFUNCTION("""COMPUTED_VALUE"""),0.0)</f>
        <v>0</v>
      </c>
      <c r="G47" s="26">
        <f>IFERROR(__xludf.DUMMYFUNCTION("""COMPUTED_VALUE"""),0.0)</f>
        <v>0</v>
      </c>
      <c r="H47" s="26">
        <f>IFERROR(__xludf.DUMMYFUNCTION("""COMPUTED_VALUE"""),0.0)</f>
        <v>0</v>
      </c>
      <c r="I47" s="26">
        <f>IFERROR(__xludf.DUMMYFUNCTION("""COMPUTED_VALUE"""),0.0)</f>
        <v>0</v>
      </c>
      <c r="J47" s="26">
        <f>IFERROR(__xludf.DUMMYFUNCTION("""COMPUTED_VALUE"""),0.0)</f>
        <v>0</v>
      </c>
      <c r="K47" s="26">
        <f>IFERROR(__xludf.DUMMYFUNCTION("""COMPUTED_VALUE"""),0.0)</f>
        <v>0</v>
      </c>
      <c r="L47" s="26">
        <f>IFERROR(__xludf.DUMMYFUNCTION("""COMPUTED_VALUE"""),0.0)</f>
        <v>0</v>
      </c>
      <c r="M47" s="26"/>
      <c r="N47" s="26"/>
      <c r="O47" s="26"/>
      <c r="P47" s="26"/>
      <c r="Q47" s="26"/>
      <c r="R47" s="26">
        <f>IFERROR(__xludf.DUMMYFUNCTION("""COMPUTED_VALUE"""),0.0)</f>
        <v>0</v>
      </c>
      <c r="S47" s="26">
        <f>IFERROR(__xludf.DUMMYFUNCTION("""COMPUTED_VALUE"""),0.0)</f>
        <v>0</v>
      </c>
      <c r="T47" s="26">
        <f>IFERROR(__xludf.DUMMYFUNCTION("""COMPUTED_VALUE"""),0.0)</f>
        <v>0</v>
      </c>
      <c r="U47" s="26">
        <f>IFERROR(__xludf.DUMMYFUNCTION("""COMPUTED_VALUE"""),0.0)</f>
        <v>0</v>
      </c>
      <c r="V47" s="26">
        <f>IFERROR(__xludf.DUMMYFUNCTION("""COMPUTED_VALUE"""),0.0)</f>
        <v>0</v>
      </c>
      <c r="W47" s="26">
        <f>IFERROR(__xludf.DUMMYFUNCTION("""COMPUTED_VALUE"""),0.0)</f>
        <v>0</v>
      </c>
      <c r="X47" s="26">
        <f>IFERROR(__xludf.DUMMYFUNCTION("""COMPUTED_VALUE"""),0.0)</f>
        <v>0</v>
      </c>
      <c r="Y47" s="26">
        <f>IFERROR(__xludf.DUMMYFUNCTION("""COMPUTED_VALUE"""),0.0)</f>
        <v>0</v>
      </c>
      <c r="Z47" s="26">
        <f>IFERROR(__xludf.DUMMYFUNCTION("""COMPUTED_VALUE"""),0.0)</f>
        <v>0</v>
      </c>
      <c r="AA47" s="26">
        <f>IFERROR(__xludf.DUMMYFUNCTION("""COMPUTED_VALUE"""),0.0)</f>
        <v>0</v>
      </c>
      <c r="AB47" s="26">
        <f>IFERROR(__xludf.DUMMYFUNCTION("""COMPUTED_VALUE"""),0.0)</f>
        <v>0</v>
      </c>
      <c r="AC47" s="26">
        <f>IFERROR(__xludf.DUMMYFUNCTION("""COMPUTED_VALUE"""),0.0)</f>
        <v>0</v>
      </c>
      <c r="AD47" s="26">
        <f>IFERROR(__xludf.DUMMYFUNCTION("""COMPUTED_VALUE"""),0.0)</f>
        <v>0</v>
      </c>
      <c r="AE47" s="26">
        <f>IFERROR(__xludf.DUMMYFUNCTION("""COMPUTED_VALUE"""),0.0)</f>
        <v>0</v>
      </c>
    </row>
    <row r="48">
      <c r="A48" s="26">
        <f>IFERROR(__xludf.DUMMYFUNCTION("""COMPUTED_VALUE"""),63.0)</f>
        <v>63</v>
      </c>
      <c r="B48" s="26">
        <f>IFERROR(__xludf.DUMMYFUNCTION("""COMPUTED_VALUE"""),0.0)</f>
        <v>0</v>
      </c>
      <c r="C48" s="26">
        <f>IFERROR(__xludf.DUMMYFUNCTION("""COMPUTED_VALUE"""),4.0)</f>
        <v>4</v>
      </c>
      <c r="D48" s="26">
        <f>IFERROR(__xludf.DUMMYFUNCTION("""COMPUTED_VALUE"""),0.0)</f>
        <v>0</v>
      </c>
      <c r="E48" s="26">
        <f>IFERROR(__xludf.DUMMYFUNCTION("""COMPUTED_VALUE"""),192.0)</f>
        <v>192</v>
      </c>
      <c r="F48" s="26">
        <f>IFERROR(__xludf.DUMMYFUNCTION("""COMPUTED_VALUE"""),0.0)</f>
        <v>0</v>
      </c>
      <c r="G48" s="26">
        <f>IFERROR(__xludf.DUMMYFUNCTION("""COMPUTED_VALUE"""),0.0)</f>
        <v>0</v>
      </c>
      <c r="H48" s="26">
        <f>IFERROR(__xludf.DUMMYFUNCTION("""COMPUTED_VALUE"""),0.0)</f>
        <v>0</v>
      </c>
      <c r="I48" s="26">
        <f>IFERROR(__xludf.DUMMYFUNCTION("""COMPUTED_VALUE"""),0.0)</f>
        <v>0</v>
      </c>
      <c r="J48" s="26">
        <f>IFERROR(__xludf.DUMMYFUNCTION("""COMPUTED_VALUE"""),0.0)</f>
        <v>0</v>
      </c>
      <c r="K48" s="26">
        <f>IFERROR(__xludf.DUMMYFUNCTION("""COMPUTED_VALUE"""),0.0)</f>
        <v>0</v>
      </c>
      <c r="L48" s="26">
        <f>IFERROR(__xludf.DUMMYFUNCTION("""COMPUTED_VALUE"""),0.0)</f>
        <v>0</v>
      </c>
      <c r="M48" s="26"/>
      <c r="N48" s="26"/>
      <c r="O48" s="26"/>
      <c r="P48" s="26"/>
      <c r="Q48" s="26"/>
      <c r="R48" s="26">
        <f>IFERROR(__xludf.DUMMYFUNCTION("""COMPUTED_VALUE"""),259.0)</f>
        <v>259</v>
      </c>
      <c r="S48" s="26">
        <f>IFERROR(__xludf.DUMMYFUNCTION("""COMPUTED_VALUE"""),331708.5)</f>
        <v>331708.5</v>
      </c>
      <c r="T48" s="26">
        <f>IFERROR(__xludf.DUMMYFUNCTION("""COMPUTED_VALUE"""),61195.0)</f>
        <v>61195</v>
      </c>
      <c r="U48" s="26">
        <f>IFERROR(__xludf.DUMMYFUNCTION("""COMPUTED_VALUE"""),111794.51)</f>
        <v>111794.51</v>
      </c>
      <c r="V48" s="26">
        <f>IFERROR(__xludf.DUMMYFUNCTION("""COMPUTED_VALUE"""),0.0)</f>
        <v>0</v>
      </c>
      <c r="W48" s="26">
        <f>IFERROR(__xludf.DUMMYFUNCTION("""COMPUTED_VALUE"""),0.0)</f>
        <v>0</v>
      </c>
      <c r="X48" s="26">
        <f>IFERROR(__xludf.DUMMYFUNCTION("""COMPUTED_VALUE"""),50599.509999999995)</f>
        <v>50599.51</v>
      </c>
      <c r="Y48" s="26">
        <f>IFERROR(__xludf.DUMMYFUNCTION("""COMPUTED_VALUE"""),50599.509999999995)</f>
        <v>50599.51</v>
      </c>
      <c r="Z48" s="26">
        <f>IFERROR(__xludf.DUMMYFUNCTION("""COMPUTED_VALUE"""),331708.5)</f>
        <v>331708.5</v>
      </c>
      <c r="AA48" s="26">
        <f>IFERROR(__xludf.DUMMYFUNCTION("""COMPUTED_VALUE"""),122790.17999999998)</f>
        <v>122790.18</v>
      </c>
      <c r="AB48" s="26">
        <f>IFERROR(__xludf.DUMMYFUNCTION("""COMPUTED_VALUE"""),219913.9899999999)</f>
        <v>219913.99</v>
      </c>
      <c r="AC48" s="26">
        <f>IFERROR(__xludf.DUMMYFUNCTION("""COMPUTED_VALUE"""),0.0)</f>
        <v>0</v>
      </c>
      <c r="AD48" s="26">
        <f>IFERROR(__xludf.DUMMYFUNCTION("""COMPUTED_VALUE"""),10995.669999999996)</f>
        <v>10995.67</v>
      </c>
      <c r="AE48" s="26">
        <f>IFERROR(__xludf.DUMMYFUNCTION("""COMPUTED_VALUE"""),208918.32)</f>
        <v>208918.32</v>
      </c>
    </row>
    <row r="49">
      <c r="A49" s="26">
        <f>IFERROR(__xludf.DUMMYFUNCTION("""COMPUTED_VALUE"""),0.0)</f>
        <v>0</v>
      </c>
      <c r="B49" s="26">
        <f>IFERROR(__xludf.DUMMYFUNCTION("""COMPUTED_VALUE"""),0.0)</f>
        <v>0</v>
      </c>
      <c r="C49" s="26">
        <f>IFERROR(__xludf.DUMMYFUNCTION("""COMPUTED_VALUE"""),0.0)</f>
        <v>0</v>
      </c>
      <c r="D49" s="26">
        <f>IFERROR(__xludf.DUMMYFUNCTION("""COMPUTED_VALUE"""),0.0)</f>
        <v>0</v>
      </c>
      <c r="E49" s="26">
        <f>IFERROR(__xludf.DUMMYFUNCTION("""COMPUTED_VALUE"""),122.0)</f>
        <v>122</v>
      </c>
      <c r="F49" s="26">
        <f>IFERROR(__xludf.DUMMYFUNCTION("""COMPUTED_VALUE"""),0.0)</f>
        <v>0</v>
      </c>
      <c r="G49" s="26">
        <f>IFERROR(__xludf.DUMMYFUNCTION("""COMPUTED_VALUE"""),0.0)</f>
        <v>0</v>
      </c>
      <c r="H49" s="26">
        <f>IFERROR(__xludf.DUMMYFUNCTION("""COMPUTED_VALUE"""),0.0)</f>
        <v>0</v>
      </c>
      <c r="I49" s="26">
        <f>IFERROR(__xludf.DUMMYFUNCTION("""COMPUTED_VALUE"""),0.0)</f>
        <v>0</v>
      </c>
      <c r="J49" s="26">
        <f>IFERROR(__xludf.DUMMYFUNCTION("""COMPUTED_VALUE"""),0.0)</f>
        <v>0</v>
      </c>
      <c r="K49" s="26">
        <f>IFERROR(__xludf.DUMMYFUNCTION("""COMPUTED_VALUE"""),0.0)</f>
        <v>0</v>
      </c>
      <c r="L49" s="26">
        <f>IFERROR(__xludf.DUMMYFUNCTION("""COMPUTED_VALUE"""),0.0)</f>
        <v>0</v>
      </c>
      <c r="M49" s="26"/>
      <c r="N49" s="26"/>
      <c r="O49" s="26"/>
      <c r="P49" s="26"/>
      <c r="Q49" s="26"/>
      <c r="R49" s="26">
        <f>IFERROR(__xludf.DUMMYFUNCTION("""COMPUTED_VALUE"""),122.0)</f>
        <v>122</v>
      </c>
      <c r="S49" s="26">
        <f>IFERROR(__xludf.DUMMYFUNCTION("""COMPUTED_VALUE"""),181780.0)</f>
        <v>181780</v>
      </c>
      <c r="T49" s="26">
        <f>IFERROR(__xludf.DUMMYFUNCTION("""COMPUTED_VALUE"""),43920.0)</f>
        <v>43920</v>
      </c>
      <c r="U49" s="26">
        <f>IFERROR(__xludf.DUMMYFUNCTION("""COMPUTED_VALUE"""),71649.38000000008)</f>
        <v>71649.38</v>
      </c>
      <c r="V49" s="26">
        <f>IFERROR(__xludf.DUMMYFUNCTION("""COMPUTED_VALUE"""),0.0)</f>
        <v>0</v>
      </c>
      <c r="W49" s="26">
        <f>IFERROR(__xludf.DUMMYFUNCTION("""COMPUTED_VALUE"""),0.0)</f>
        <v>0</v>
      </c>
      <c r="X49" s="26">
        <f>IFERROR(__xludf.DUMMYFUNCTION("""COMPUTED_VALUE"""),27729.380000000074)</f>
        <v>27729.38</v>
      </c>
      <c r="Y49" s="26">
        <f>IFERROR(__xludf.DUMMYFUNCTION("""COMPUTED_VALUE"""),27729.380000000074)</f>
        <v>27729.38</v>
      </c>
      <c r="Z49" s="26">
        <f>IFERROR(__xludf.DUMMYFUNCTION("""COMPUTED_VALUE"""),181780.0)</f>
        <v>181780</v>
      </c>
      <c r="AA49" s="26">
        <f>IFERROR(__xludf.DUMMYFUNCTION("""COMPUTED_VALUE"""),77156.45999999989)</f>
        <v>77156.46</v>
      </c>
      <c r="AB49" s="26">
        <f>IFERROR(__xludf.DUMMYFUNCTION("""COMPUTED_VALUE"""),110130.62000000027)</f>
        <v>110130.62</v>
      </c>
      <c r="AC49" s="26">
        <f>IFERROR(__xludf.DUMMYFUNCTION("""COMPUTED_VALUE"""),0.0)</f>
        <v>0</v>
      </c>
      <c r="AD49" s="26">
        <f>IFERROR(__xludf.DUMMYFUNCTION("""COMPUTED_VALUE"""),5507.080000000006)</f>
        <v>5507.08</v>
      </c>
      <c r="AE49" s="26">
        <f>IFERROR(__xludf.DUMMYFUNCTION("""COMPUTED_VALUE"""),104623.5400000003)</f>
        <v>104623.54</v>
      </c>
    </row>
    <row r="50">
      <c r="A50" s="26">
        <f>IFERROR(__xludf.DUMMYFUNCTION("""COMPUTED_VALUE"""),0.0)</f>
        <v>0</v>
      </c>
      <c r="B50" s="26">
        <f>IFERROR(__xludf.DUMMYFUNCTION("""COMPUTED_VALUE"""),0.0)</f>
        <v>0</v>
      </c>
      <c r="C50" s="26">
        <f>IFERROR(__xludf.DUMMYFUNCTION("""COMPUTED_VALUE"""),0.0)</f>
        <v>0</v>
      </c>
      <c r="D50" s="26">
        <f>IFERROR(__xludf.DUMMYFUNCTION("""COMPUTED_VALUE"""),0.0)</f>
        <v>0</v>
      </c>
      <c r="E50" s="26">
        <f>IFERROR(__xludf.DUMMYFUNCTION("""COMPUTED_VALUE"""),0.0)</f>
        <v>0</v>
      </c>
      <c r="F50" s="26">
        <f>IFERROR(__xludf.DUMMYFUNCTION("""COMPUTED_VALUE"""),0.0)</f>
        <v>0</v>
      </c>
      <c r="G50" s="26">
        <f>IFERROR(__xludf.DUMMYFUNCTION("""COMPUTED_VALUE"""),0.0)</f>
        <v>0</v>
      </c>
      <c r="H50" s="26">
        <f>IFERROR(__xludf.DUMMYFUNCTION("""COMPUTED_VALUE"""),0.0)</f>
        <v>0</v>
      </c>
      <c r="I50" s="26">
        <f>IFERROR(__xludf.DUMMYFUNCTION("""COMPUTED_VALUE"""),0.0)</f>
        <v>0</v>
      </c>
      <c r="J50" s="26">
        <f>IFERROR(__xludf.DUMMYFUNCTION("""COMPUTED_VALUE"""),0.0)</f>
        <v>0</v>
      </c>
      <c r="K50" s="26">
        <f>IFERROR(__xludf.DUMMYFUNCTION("""COMPUTED_VALUE"""),0.0)</f>
        <v>0</v>
      </c>
      <c r="L50" s="26">
        <f>IFERROR(__xludf.DUMMYFUNCTION("""COMPUTED_VALUE"""),0.0)</f>
        <v>0</v>
      </c>
      <c r="M50" s="26"/>
      <c r="N50" s="26"/>
      <c r="O50" s="26"/>
      <c r="P50" s="26"/>
      <c r="Q50" s="26"/>
      <c r="R50" s="26">
        <f>IFERROR(__xludf.DUMMYFUNCTION("""COMPUTED_VALUE"""),0.0)</f>
        <v>0</v>
      </c>
      <c r="S50" s="26">
        <f>IFERROR(__xludf.DUMMYFUNCTION("""COMPUTED_VALUE"""),0.0)</f>
        <v>0</v>
      </c>
      <c r="T50" s="26">
        <f>IFERROR(__xludf.DUMMYFUNCTION("""COMPUTED_VALUE"""),0.0)</f>
        <v>0</v>
      </c>
      <c r="U50" s="26">
        <f>IFERROR(__xludf.DUMMYFUNCTION("""COMPUTED_VALUE"""),0.0)</f>
        <v>0</v>
      </c>
      <c r="V50" s="26">
        <f>IFERROR(__xludf.DUMMYFUNCTION("""COMPUTED_VALUE"""),0.0)</f>
        <v>0</v>
      </c>
      <c r="W50" s="26">
        <f>IFERROR(__xludf.DUMMYFUNCTION("""COMPUTED_VALUE"""),0.0)</f>
        <v>0</v>
      </c>
      <c r="X50" s="26">
        <f>IFERROR(__xludf.DUMMYFUNCTION("""COMPUTED_VALUE"""),0.0)</f>
        <v>0</v>
      </c>
      <c r="Y50" s="26">
        <f>IFERROR(__xludf.DUMMYFUNCTION("""COMPUTED_VALUE"""),0.0)</f>
        <v>0</v>
      </c>
      <c r="Z50" s="26">
        <f>IFERROR(__xludf.DUMMYFUNCTION("""COMPUTED_VALUE"""),0.0)</f>
        <v>0</v>
      </c>
      <c r="AA50" s="26">
        <f>IFERROR(__xludf.DUMMYFUNCTION("""COMPUTED_VALUE"""),0.0)</f>
        <v>0</v>
      </c>
      <c r="AB50" s="26">
        <f>IFERROR(__xludf.DUMMYFUNCTION("""COMPUTED_VALUE"""),0.0)</f>
        <v>0</v>
      </c>
      <c r="AC50" s="26">
        <f>IFERROR(__xludf.DUMMYFUNCTION("""COMPUTED_VALUE"""),0.0)</f>
        <v>0</v>
      </c>
      <c r="AD50" s="26">
        <f>IFERROR(__xludf.DUMMYFUNCTION("""COMPUTED_VALUE"""),0.0)</f>
        <v>0</v>
      </c>
      <c r="AE50" s="26">
        <f>IFERROR(__xludf.DUMMYFUNCTION("""COMPUTED_VALUE"""),0.0)</f>
        <v>0</v>
      </c>
    </row>
    <row r="51">
      <c r="A51" s="26">
        <f>IFERROR(__xludf.DUMMYFUNCTION("""COMPUTED_VALUE"""),61.0)</f>
        <v>61</v>
      </c>
      <c r="B51" s="26">
        <f>IFERROR(__xludf.DUMMYFUNCTION("""COMPUTED_VALUE"""),0.0)</f>
        <v>0</v>
      </c>
      <c r="C51" s="26">
        <f>IFERROR(__xludf.DUMMYFUNCTION("""COMPUTED_VALUE"""),0.0)</f>
        <v>0</v>
      </c>
      <c r="D51" s="26">
        <f>IFERROR(__xludf.DUMMYFUNCTION("""COMPUTED_VALUE"""),0.0)</f>
        <v>0</v>
      </c>
      <c r="E51" s="26">
        <f>IFERROR(__xludf.DUMMYFUNCTION("""COMPUTED_VALUE"""),0.0)</f>
        <v>0</v>
      </c>
      <c r="F51" s="26">
        <f>IFERROR(__xludf.DUMMYFUNCTION("""COMPUTED_VALUE"""),0.0)</f>
        <v>0</v>
      </c>
      <c r="G51" s="26">
        <f>IFERROR(__xludf.DUMMYFUNCTION("""COMPUTED_VALUE"""),0.0)</f>
        <v>0</v>
      </c>
      <c r="H51" s="26">
        <f>IFERROR(__xludf.DUMMYFUNCTION("""COMPUTED_VALUE"""),0.0)</f>
        <v>0</v>
      </c>
      <c r="I51" s="26">
        <f>IFERROR(__xludf.DUMMYFUNCTION("""COMPUTED_VALUE"""),0.0)</f>
        <v>0</v>
      </c>
      <c r="J51" s="26">
        <f>IFERROR(__xludf.DUMMYFUNCTION("""COMPUTED_VALUE"""),0.0)</f>
        <v>0</v>
      </c>
      <c r="K51" s="26">
        <f>IFERROR(__xludf.DUMMYFUNCTION("""COMPUTED_VALUE"""),0.0)</f>
        <v>0</v>
      </c>
      <c r="L51" s="26">
        <f>IFERROR(__xludf.DUMMYFUNCTION("""COMPUTED_VALUE"""),0.0)</f>
        <v>0</v>
      </c>
      <c r="M51" s="26"/>
      <c r="N51" s="26"/>
      <c r="O51" s="26"/>
      <c r="P51" s="26"/>
      <c r="Q51" s="26"/>
      <c r="R51" s="26">
        <f>IFERROR(__xludf.DUMMYFUNCTION("""COMPUTED_VALUE"""),61.0)</f>
        <v>61</v>
      </c>
      <c r="S51" s="26">
        <f>IFERROR(__xludf.DUMMYFUNCTION("""COMPUTED_VALUE"""),29690.0)</f>
        <v>29690</v>
      </c>
      <c r="T51" s="26">
        <f>IFERROR(__xludf.DUMMYFUNCTION("""COMPUTED_VALUE"""),9760.0)</f>
        <v>9760</v>
      </c>
      <c r="U51" s="26">
        <f>IFERROR(__xludf.DUMMYFUNCTION("""COMPUTED_VALUE"""),14289.23)</f>
        <v>14289.23</v>
      </c>
      <c r="V51" s="26">
        <f>IFERROR(__xludf.DUMMYFUNCTION("""COMPUTED_VALUE"""),0.0)</f>
        <v>0</v>
      </c>
      <c r="W51" s="26">
        <f>IFERROR(__xludf.DUMMYFUNCTION("""COMPUTED_VALUE"""),0.0)</f>
        <v>0</v>
      </c>
      <c r="X51" s="26">
        <f>IFERROR(__xludf.DUMMYFUNCTION("""COMPUTED_VALUE"""),4529.23)</f>
        <v>4529.23</v>
      </c>
      <c r="Y51" s="26">
        <f>IFERROR(__xludf.DUMMYFUNCTION("""COMPUTED_VALUE"""),4529.23)</f>
        <v>4529.23</v>
      </c>
      <c r="Z51" s="26">
        <f>IFERROR(__xludf.DUMMYFUNCTION("""COMPUTED_VALUE"""),0.0)</f>
        <v>0</v>
      </c>
      <c r="AA51" s="26">
        <f>IFERROR(__xludf.DUMMYFUNCTION("""COMPUTED_VALUE"""),0.0)</f>
        <v>0</v>
      </c>
      <c r="AB51" s="26">
        <f>IFERROR(__xludf.DUMMYFUNCTION("""COMPUTED_VALUE"""),0.0)</f>
        <v>0</v>
      </c>
      <c r="AC51" s="26">
        <f>IFERROR(__xludf.DUMMYFUNCTION("""COMPUTED_VALUE"""),0.0)</f>
        <v>0</v>
      </c>
      <c r="AD51" s="26">
        <f>IFERROR(__xludf.DUMMYFUNCTION("""COMPUTED_VALUE"""),0.0)</f>
        <v>0</v>
      </c>
      <c r="AE51" s="26">
        <f>IFERROR(__xludf.DUMMYFUNCTION("""COMPUTED_VALUE"""),0.0)</f>
        <v>0</v>
      </c>
    </row>
    <row r="52">
      <c r="A52" s="26">
        <f>IFERROR(__xludf.DUMMYFUNCTION("""COMPUTED_VALUE"""),0.0)</f>
        <v>0</v>
      </c>
      <c r="B52" s="26">
        <f>IFERROR(__xludf.DUMMYFUNCTION("""COMPUTED_VALUE"""),0.0)</f>
        <v>0</v>
      </c>
      <c r="C52" s="26">
        <f>IFERROR(__xludf.DUMMYFUNCTION("""COMPUTED_VALUE"""),0.0)</f>
        <v>0</v>
      </c>
      <c r="D52" s="26">
        <f>IFERROR(__xludf.DUMMYFUNCTION("""COMPUTED_VALUE"""),0.0)</f>
        <v>0</v>
      </c>
      <c r="E52" s="26">
        <f>IFERROR(__xludf.DUMMYFUNCTION("""COMPUTED_VALUE"""),0.0)</f>
        <v>0</v>
      </c>
      <c r="F52" s="26">
        <f>IFERROR(__xludf.DUMMYFUNCTION("""COMPUTED_VALUE"""),0.0)</f>
        <v>0</v>
      </c>
      <c r="G52" s="26">
        <f>IFERROR(__xludf.DUMMYFUNCTION("""COMPUTED_VALUE"""),0.0)</f>
        <v>0</v>
      </c>
      <c r="H52" s="26">
        <f>IFERROR(__xludf.DUMMYFUNCTION("""COMPUTED_VALUE"""),0.0)</f>
        <v>0</v>
      </c>
      <c r="I52" s="26">
        <f>IFERROR(__xludf.DUMMYFUNCTION("""COMPUTED_VALUE"""),0.0)</f>
        <v>0</v>
      </c>
      <c r="J52" s="26">
        <f>IFERROR(__xludf.DUMMYFUNCTION("""COMPUTED_VALUE"""),0.0)</f>
        <v>0</v>
      </c>
      <c r="K52" s="26">
        <f>IFERROR(__xludf.DUMMYFUNCTION("""COMPUTED_VALUE"""),0.0)</f>
        <v>0</v>
      </c>
      <c r="L52" s="26">
        <f>IFERROR(__xludf.DUMMYFUNCTION("""COMPUTED_VALUE"""),0.0)</f>
        <v>0</v>
      </c>
      <c r="M52" s="26"/>
      <c r="N52" s="26"/>
      <c r="O52" s="26"/>
      <c r="P52" s="26"/>
      <c r="Q52" s="26"/>
      <c r="R52" s="26">
        <f>IFERROR(__xludf.DUMMYFUNCTION("""COMPUTED_VALUE"""),0.0)</f>
        <v>0</v>
      </c>
      <c r="S52" s="26">
        <f>IFERROR(__xludf.DUMMYFUNCTION("""COMPUTED_VALUE"""),0.0)</f>
        <v>0</v>
      </c>
      <c r="T52" s="26">
        <f>IFERROR(__xludf.DUMMYFUNCTION("""COMPUTED_VALUE"""),0.0)</f>
        <v>0</v>
      </c>
      <c r="U52" s="26">
        <f>IFERROR(__xludf.DUMMYFUNCTION("""COMPUTED_VALUE"""),0.0)</f>
        <v>0</v>
      </c>
      <c r="V52" s="26">
        <f>IFERROR(__xludf.DUMMYFUNCTION("""COMPUTED_VALUE"""),0.0)</f>
        <v>0</v>
      </c>
      <c r="W52" s="26">
        <f>IFERROR(__xludf.DUMMYFUNCTION("""COMPUTED_VALUE"""),0.0)</f>
        <v>0</v>
      </c>
      <c r="X52" s="26">
        <f>IFERROR(__xludf.DUMMYFUNCTION("""COMPUTED_VALUE"""),0.0)</f>
        <v>0</v>
      </c>
      <c r="Y52" s="26">
        <f>IFERROR(__xludf.DUMMYFUNCTION("""COMPUTED_VALUE"""),0.0)</f>
        <v>0</v>
      </c>
      <c r="Z52" s="26">
        <f>IFERROR(__xludf.DUMMYFUNCTION("""COMPUTED_VALUE"""),0.0)</f>
        <v>0</v>
      </c>
      <c r="AA52" s="26">
        <f>IFERROR(__xludf.DUMMYFUNCTION("""COMPUTED_VALUE"""),0.0)</f>
        <v>0</v>
      </c>
      <c r="AB52" s="26">
        <f>IFERROR(__xludf.DUMMYFUNCTION("""COMPUTED_VALUE"""),0.0)</f>
        <v>0</v>
      </c>
      <c r="AC52" s="26">
        <f>IFERROR(__xludf.DUMMYFUNCTION("""COMPUTED_VALUE"""),0.0)</f>
        <v>0</v>
      </c>
      <c r="AD52" s="26">
        <f>IFERROR(__xludf.DUMMYFUNCTION("""COMPUTED_VALUE"""),0.0)</f>
        <v>0</v>
      </c>
      <c r="AE52" s="26">
        <f>IFERROR(__xludf.DUMMYFUNCTION("""COMPUTED_VALUE"""),0.0)</f>
        <v>0</v>
      </c>
    </row>
    <row r="53">
      <c r="A53" s="26">
        <f>IFERROR(__xludf.DUMMYFUNCTION("""COMPUTED_VALUE"""),0.0)</f>
        <v>0</v>
      </c>
      <c r="B53" s="26">
        <f>IFERROR(__xludf.DUMMYFUNCTION("""COMPUTED_VALUE"""),0.0)</f>
        <v>0</v>
      </c>
      <c r="C53" s="26">
        <f>IFERROR(__xludf.DUMMYFUNCTION("""COMPUTED_VALUE"""),0.0)</f>
        <v>0</v>
      </c>
      <c r="D53" s="26">
        <f>IFERROR(__xludf.DUMMYFUNCTION("""COMPUTED_VALUE"""),0.0)</f>
        <v>0</v>
      </c>
      <c r="E53" s="26">
        <f>IFERROR(__xludf.DUMMYFUNCTION("""COMPUTED_VALUE"""),0.0)</f>
        <v>0</v>
      </c>
      <c r="F53" s="26">
        <f>IFERROR(__xludf.DUMMYFUNCTION("""COMPUTED_VALUE"""),0.0)</f>
        <v>0</v>
      </c>
      <c r="G53" s="26">
        <f>IFERROR(__xludf.DUMMYFUNCTION("""COMPUTED_VALUE"""),0.0)</f>
        <v>0</v>
      </c>
      <c r="H53" s="26">
        <f>IFERROR(__xludf.DUMMYFUNCTION("""COMPUTED_VALUE"""),0.0)</f>
        <v>0</v>
      </c>
      <c r="I53" s="26">
        <f>IFERROR(__xludf.DUMMYFUNCTION("""COMPUTED_VALUE"""),0.0)</f>
        <v>0</v>
      </c>
      <c r="J53" s="26">
        <f>IFERROR(__xludf.DUMMYFUNCTION("""COMPUTED_VALUE"""),0.0)</f>
        <v>0</v>
      </c>
      <c r="K53" s="26">
        <f>IFERROR(__xludf.DUMMYFUNCTION("""COMPUTED_VALUE"""),0.0)</f>
        <v>0</v>
      </c>
      <c r="L53" s="26">
        <f>IFERROR(__xludf.DUMMYFUNCTION("""COMPUTED_VALUE"""),0.0)</f>
        <v>0</v>
      </c>
      <c r="M53" s="26"/>
      <c r="N53" s="26"/>
      <c r="O53" s="26"/>
      <c r="P53" s="26"/>
      <c r="Q53" s="26"/>
      <c r="R53" s="26">
        <f>IFERROR(__xludf.DUMMYFUNCTION("""COMPUTED_VALUE"""),0.0)</f>
        <v>0</v>
      </c>
      <c r="S53" s="26">
        <f>IFERROR(__xludf.DUMMYFUNCTION("""COMPUTED_VALUE"""),0.0)</f>
        <v>0</v>
      </c>
      <c r="T53" s="26">
        <f>IFERROR(__xludf.DUMMYFUNCTION("""COMPUTED_VALUE"""),0.0)</f>
        <v>0</v>
      </c>
      <c r="U53" s="26">
        <f>IFERROR(__xludf.DUMMYFUNCTION("""COMPUTED_VALUE"""),0.0)</f>
        <v>0</v>
      </c>
      <c r="V53" s="26">
        <f>IFERROR(__xludf.DUMMYFUNCTION("""COMPUTED_VALUE"""),0.0)</f>
        <v>0</v>
      </c>
      <c r="W53" s="26">
        <f>IFERROR(__xludf.DUMMYFUNCTION("""COMPUTED_VALUE"""),0.0)</f>
        <v>0</v>
      </c>
      <c r="X53" s="26">
        <f>IFERROR(__xludf.DUMMYFUNCTION("""COMPUTED_VALUE"""),0.0)</f>
        <v>0</v>
      </c>
      <c r="Y53" s="26">
        <f>IFERROR(__xludf.DUMMYFUNCTION("""COMPUTED_VALUE"""),0.0)</f>
        <v>0</v>
      </c>
      <c r="Z53" s="26">
        <f>IFERROR(__xludf.DUMMYFUNCTION("""COMPUTED_VALUE"""),0.0)</f>
        <v>0</v>
      </c>
      <c r="AA53" s="26">
        <f>IFERROR(__xludf.DUMMYFUNCTION("""COMPUTED_VALUE"""),0.0)</f>
        <v>0</v>
      </c>
      <c r="AB53" s="26">
        <f>IFERROR(__xludf.DUMMYFUNCTION("""COMPUTED_VALUE"""),0.0)</f>
        <v>0</v>
      </c>
      <c r="AC53" s="26">
        <f>IFERROR(__xludf.DUMMYFUNCTION("""COMPUTED_VALUE"""),0.0)</f>
        <v>0</v>
      </c>
      <c r="AD53" s="26">
        <f>IFERROR(__xludf.DUMMYFUNCTION("""COMPUTED_VALUE"""),0.0)</f>
        <v>0</v>
      </c>
      <c r="AE53" s="26">
        <f>IFERROR(__xludf.DUMMYFUNCTION("""COMPUTED_VALUE"""),0.0)</f>
        <v>0</v>
      </c>
    </row>
    <row r="54">
      <c r="A54" s="26">
        <f>IFERROR(__xludf.DUMMYFUNCTION("""COMPUTED_VALUE"""),0.0)</f>
        <v>0</v>
      </c>
      <c r="B54" s="26">
        <f>IFERROR(__xludf.DUMMYFUNCTION("""COMPUTED_VALUE"""),0.0)</f>
        <v>0</v>
      </c>
      <c r="C54" s="26">
        <f>IFERROR(__xludf.DUMMYFUNCTION("""COMPUTED_VALUE"""),0.0)</f>
        <v>0</v>
      </c>
      <c r="D54" s="26">
        <f>IFERROR(__xludf.DUMMYFUNCTION("""COMPUTED_VALUE"""),0.0)</f>
        <v>0</v>
      </c>
      <c r="E54" s="26">
        <f>IFERROR(__xludf.DUMMYFUNCTION("""COMPUTED_VALUE"""),0.0)</f>
        <v>0</v>
      </c>
      <c r="F54" s="26">
        <f>IFERROR(__xludf.DUMMYFUNCTION("""COMPUTED_VALUE"""),0.0)</f>
        <v>0</v>
      </c>
      <c r="G54" s="26">
        <f>IFERROR(__xludf.DUMMYFUNCTION("""COMPUTED_VALUE"""),0.0)</f>
        <v>0</v>
      </c>
      <c r="H54" s="26">
        <f>IFERROR(__xludf.DUMMYFUNCTION("""COMPUTED_VALUE"""),0.0)</f>
        <v>0</v>
      </c>
      <c r="I54" s="26">
        <f>IFERROR(__xludf.DUMMYFUNCTION("""COMPUTED_VALUE"""),0.0)</f>
        <v>0</v>
      </c>
      <c r="J54" s="26">
        <f>IFERROR(__xludf.DUMMYFUNCTION("""COMPUTED_VALUE"""),0.0)</f>
        <v>0</v>
      </c>
      <c r="K54" s="26">
        <f>IFERROR(__xludf.DUMMYFUNCTION("""COMPUTED_VALUE"""),0.0)</f>
        <v>0</v>
      </c>
      <c r="L54" s="26">
        <f>IFERROR(__xludf.DUMMYFUNCTION("""COMPUTED_VALUE"""),0.0)</f>
        <v>0</v>
      </c>
      <c r="M54" s="26"/>
      <c r="N54" s="26"/>
      <c r="O54" s="26"/>
      <c r="P54" s="26"/>
      <c r="Q54" s="26"/>
      <c r="R54" s="26">
        <f>IFERROR(__xludf.DUMMYFUNCTION("""COMPUTED_VALUE"""),0.0)</f>
        <v>0</v>
      </c>
      <c r="S54" s="26">
        <f>IFERROR(__xludf.DUMMYFUNCTION("""COMPUTED_VALUE"""),0.0)</f>
        <v>0</v>
      </c>
      <c r="T54" s="26">
        <f>IFERROR(__xludf.DUMMYFUNCTION("""COMPUTED_VALUE"""),0.0)</f>
        <v>0</v>
      </c>
      <c r="U54" s="26">
        <f>IFERROR(__xludf.DUMMYFUNCTION("""COMPUTED_VALUE"""),0.0)</f>
        <v>0</v>
      </c>
      <c r="V54" s="26">
        <f>IFERROR(__xludf.DUMMYFUNCTION("""COMPUTED_VALUE"""),0.0)</f>
        <v>0</v>
      </c>
      <c r="W54" s="26">
        <f>IFERROR(__xludf.DUMMYFUNCTION("""COMPUTED_VALUE"""),0.0)</f>
        <v>0</v>
      </c>
      <c r="X54" s="26">
        <f>IFERROR(__xludf.DUMMYFUNCTION("""COMPUTED_VALUE"""),0.0)</f>
        <v>0</v>
      </c>
      <c r="Y54" s="26">
        <f>IFERROR(__xludf.DUMMYFUNCTION("""COMPUTED_VALUE"""),0.0)</f>
        <v>0</v>
      </c>
      <c r="Z54" s="26">
        <f>IFERROR(__xludf.DUMMYFUNCTION("""COMPUTED_VALUE"""),0.0)</f>
        <v>0</v>
      </c>
      <c r="AA54" s="26">
        <f>IFERROR(__xludf.DUMMYFUNCTION("""COMPUTED_VALUE"""),0.0)</f>
        <v>0</v>
      </c>
      <c r="AB54" s="26">
        <f>IFERROR(__xludf.DUMMYFUNCTION("""COMPUTED_VALUE"""),0.0)</f>
        <v>0</v>
      </c>
      <c r="AC54" s="26">
        <f>IFERROR(__xludf.DUMMYFUNCTION("""COMPUTED_VALUE"""),0.0)</f>
        <v>0</v>
      </c>
      <c r="AD54" s="26">
        <f>IFERROR(__xludf.DUMMYFUNCTION("""COMPUTED_VALUE"""),0.0)</f>
        <v>0</v>
      </c>
      <c r="AE54" s="26">
        <f>IFERROR(__xludf.DUMMYFUNCTION("""COMPUTED_VALUE"""),0.0)</f>
        <v>0</v>
      </c>
    </row>
    <row r="55">
      <c r="A55" s="26">
        <f>IFERROR(__xludf.DUMMYFUNCTION("""COMPUTED_VALUE"""),112.0)</f>
        <v>112</v>
      </c>
      <c r="B55" s="26">
        <f>IFERROR(__xludf.DUMMYFUNCTION("""COMPUTED_VALUE"""),0.0)</f>
        <v>0</v>
      </c>
      <c r="C55" s="26">
        <f>IFERROR(__xludf.DUMMYFUNCTION("""COMPUTED_VALUE"""),0.0)</f>
        <v>0</v>
      </c>
      <c r="D55" s="26">
        <f>IFERROR(__xludf.DUMMYFUNCTION("""COMPUTED_VALUE"""),0.0)</f>
        <v>0</v>
      </c>
      <c r="E55" s="26">
        <f>IFERROR(__xludf.DUMMYFUNCTION("""COMPUTED_VALUE"""),195.0)</f>
        <v>195</v>
      </c>
      <c r="F55" s="26">
        <f>IFERROR(__xludf.DUMMYFUNCTION("""COMPUTED_VALUE"""),0.0)</f>
        <v>0</v>
      </c>
      <c r="G55" s="26">
        <f>IFERROR(__xludf.DUMMYFUNCTION("""COMPUTED_VALUE"""),0.0)</f>
        <v>0</v>
      </c>
      <c r="H55" s="26">
        <f>IFERROR(__xludf.DUMMYFUNCTION("""COMPUTED_VALUE"""),0.0)</f>
        <v>0</v>
      </c>
      <c r="I55" s="26">
        <f>IFERROR(__xludf.DUMMYFUNCTION("""COMPUTED_VALUE"""),0.0)</f>
        <v>0</v>
      </c>
      <c r="J55" s="26">
        <f>IFERROR(__xludf.DUMMYFUNCTION("""COMPUTED_VALUE"""),0.0)</f>
        <v>0</v>
      </c>
      <c r="K55" s="26">
        <f>IFERROR(__xludf.DUMMYFUNCTION("""COMPUTED_VALUE"""),0.0)</f>
        <v>0</v>
      </c>
      <c r="L55" s="26">
        <f>IFERROR(__xludf.DUMMYFUNCTION("""COMPUTED_VALUE"""),0.0)</f>
        <v>0</v>
      </c>
      <c r="M55" s="26"/>
      <c r="N55" s="26"/>
      <c r="O55" s="26"/>
      <c r="P55" s="26"/>
      <c r="Q55" s="26"/>
      <c r="R55" s="26">
        <f>IFERROR(__xludf.DUMMYFUNCTION("""COMPUTED_VALUE"""),307.0)</f>
        <v>307</v>
      </c>
      <c r="S55" s="26">
        <f>IFERROR(__xludf.DUMMYFUNCTION("""COMPUTED_VALUE"""),56150.300000000294)</f>
        <v>56150.3</v>
      </c>
      <c r="T55" s="26">
        <f>IFERROR(__xludf.DUMMYFUNCTION("""COMPUTED_VALUE"""),47585.0)</f>
        <v>47585</v>
      </c>
      <c r="U55" s="26">
        <f>IFERROR(__xludf.DUMMYFUNCTION("""COMPUTED_VALUE"""),56150.29999999995)</f>
        <v>56150.3</v>
      </c>
      <c r="V55" s="26">
        <f>IFERROR(__xludf.DUMMYFUNCTION("""COMPUTED_VALUE"""),0.0)</f>
        <v>0</v>
      </c>
      <c r="W55" s="26">
        <f>IFERROR(__xludf.DUMMYFUNCTION("""COMPUTED_VALUE"""),0.0)</f>
        <v>0</v>
      </c>
      <c r="X55" s="26">
        <f>IFERROR(__xludf.DUMMYFUNCTION("""COMPUTED_VALUE"""),8565.299999999952)</f>
        <v>8565.3</v>
      </c>
      <c r="Y55" s="26">
        <f>IFERROR(__xludf.DUMMYFUNCTION("""COMPUTED_VALUE"""),8565.299999999952)</f>
        <v>8565.3</v>
      </c>
      <c r="Z55" s="26">
        <f>IFERROR(__xludf.DUMMYFUNCTION("""COMPUTED_VALUE"""),114495.39999999882)</f>
        <v>114495.4</v>
      </c>
      <c r="AA55" s="26">
        <f>IFERROR(__xludf.DUMMYFUNCTION("""COMPUTED_VALUE"""),114495.39999999882)</f>
        <v>114495.4</v>
      </c>
      <c r="AB55" s="26">
        <f>IFERROR(__xludf.DUMMYFUNCTION("""COMPUTED_VALUE"""),0.0)</f>
        <v>0</v>
      </c>
      <c r="AC55" s="26">
        <f>IFERROR(__xludf.DUMMYFUNCTION("""COMPUTED_VALUE"""),0.0)</f>
        <v>0</v>
      </c>
      <c r="AD55" s="26">
        <f>IFERROR(__xludf.DUMMYFUNCTION("""COMPUTED_VALUE"""),0.0)</f>
        <v>0</v>
      </c>
      <c r="AE55" s="26">
        <f>IFERROR(__xludf.DUMMYFUNCTION("""COMPUTED_VALUE"""),0.0)</f>
        <v>0</v>
      </c>
    </row>
    <row r="56">
      <c r="A56" s="26">
        <f>IFERROR(__xludf.DUMMYFUNCTION("""COMPUTED_VALUE"""),0.0)</f>
        <v>0</v>
      </c>
      <c r="B56" s="26">
        <f>IFERROR(__xludf.DUMMYFUNCTION("""COMPUTED_VALUE"""),0.0)</f>
        <v>0</v>
      </c>
      <c r="C56" s="26">
        <f>IFERROR(__xludf.DUMMYFUNCTION("""COMPUTED_VALUE"""),0.0)</f>
        <v>0</v>
      </c>
      <c r="D56" s="26">
        <f>IFERROR(__xludf.DUMMYFUNCTION("""COMPUTED_VALUE"""),0.0)</f>
        <v>0</v>
      </c>
      <c r="E56" s="26">
        <f>IFERROR(__xludf.DUMMYFUNCTION("""COMPUTED_VALUE"""),0.0)</f>
        <v>0</v>
      </c>
      <c r="F56" s="26">
        <f>IFERROR(__xludf.DUMMYFUNCTION("""COMPUTED_VALUE"""),0.0)</f>
        <v>0</v>
      </c>
      <c r="G56" s="26">
        <f>IFERROR(__xludf.DUMMYFUNCTION("""COMPUTED_VALUE"""),0.0)</f>
        <v>0</v>
      </c>
      <c r="H56" s="26">
        <f>IFERROR(__xludf.DUMMYFUNCTION("""COMPUTED_VALUE"""),0.0)</f>
        <v>0</v>
      </c>
      <c r="I56" s="26">
        <f>IFERROR(__xludf.DUMMYFUNCTION("""COMPUTED_VALUE"""),0.0)</f>
        <v>0</v>
      </c>
      <c r="J56" s="26">
        <f>IFERROR(__xludf.DUMMYFUNCTION("""COMPUTED_VALUE"""),0.0)</f>
        <v>0</v>
      </c>
      <c r="K56" s="26">
        <f>IFERROR(__xludf.DUMMYFUNCTION("""COMPUTED_VALUE"""),0.0)</f>
        <v>0</v>
      </c>
      <c r="L56" s="26">
        <f>IFERROR(__xludf.DUMMYFUNCTION("""COMPUTED_VALUE"""),0.0)</f>
        <v>0</v>
      </c>
      <c r="M56" s="26"/>
      <c r="N56" s="26"/>
      <c r="O56" s="26"/>
      <c r="P56" s="26"/>
      <c r="Q56" s="26"/>
      <c r="R56" s="26">
        <f>IFERROR(__xludf.DUMMYFUNCTION("""COMPUTED_VALUE"""),0.0)</f>
        <v>0</v>
      </c>
      <c r="S56" s="26">
        <f>IFERROR(__xludf.DUMMYFUNCTION("""COMPUTED_VALUE"""),0.0)</f>
        <v>0</v>
      </c>
      <c r="T56" s="26">
        <f>IFERROR(__xludf.DUMMYFUNCTION("""COMPUTED_VALUE"""),0.0)</f>
        <v>0</v>
      </c>
      <c r="U56" s="26">
        <f>IFERROR(__xludf.DUMMYFUNCTION("""COMPUTED_VALUE"""),0.0)</f>
        <v>0</v>
      </c>
      <c r="V56" s="26">
        <f>IFERROR(__xludf.DUMMYFUNCTION("""COMPUTED_VALUE"""),0.0)</f>
        <v>0</v>
      </c>
      <c r="W56" s="26">
        <f>IFERROR(__xludf.DUMMYFUNCTION("""COMPUTED_VALUE"""),0.0)</f>
        <v>0</v>
      </c>
      <c r="X56" s="26">
        <f>IFERROR(__xludf.DUMMYFUNCTION("""COMPUTED_VALUE"""),0.0)</f>
        <v>0</v>
      </c>
      <c r="Y56" s="26">
        <f>IFERROR(__xludf.DUMMYFUNCTION("""COMPUTED_VALUE"""),0.0)</f>
        <v>0</v>
      </c>
      <c r="Z56" s="26">
        <f>IFERROR(__xludf.DUMMYFUNCTION("""COMPUTED_VALUE"""),0.0)</f>
        <v>0</v>
      </c>
      <c r="AA56" s="26">
        <f>IFERROR(__xludf.DUMMYFUNCTION("""COMPUTED_VALUE"""),0.0)</f>
        <v>0</v>
      </c>
      <c r="AB56" s="26">
        <f>IFERROR(__xludf.DUMMYFUNCTION("""COMPUTED_VALUE"""),0.0)</f>
        <v>0</v>
      </c>
      <c r="AC56" s="26">
        <f>IFERROR(__xludf.DUMMYFUNCTION("""COMPUTED_VALUE"""),0.0)</f>
        <v>0</v>
      </c>
      <c r="AD56" s="26">
        <f>IFERROR(__xludf.DUMMYFUNCTION("""COMPUTED_VALUE"""),0.0)</f>
        <v>0</v>
      </c>
      <c r="AE56" s="26">
        <f>IFERROR(__xludf.DUMMYFUNCTION("""COMPUTED_VALUE"""),0.0)</f>
        <v>0</v>
      </c>
    </row>
    <row r="57">
      <c r="A57" s="26">
        <f>IFERROR(__xludf.DUMMYFUNCTION("""COMPUTED_VALUE"""),0.0)</f>
        <v>0</v>
      </c>
      <c r="B57" s="26">
        <f>IFERROR(__xludf.DUMMYFUNCTION("""COMPUTED_VALUE"""),0.0)</f>
        <v>0</v>
      </c>
      <c r="C57" s="26">
        <f>IFERROR(__xludf.DUMMYFUNCTION("""COMPUTED_VALUE"""),0.0)</f>
        <v>0</v>
      </c>
      <c r="D57" s="26">
        <f>IFERROR(__xludf.DUMMYFUNCTION("""COMPUTED_VALUE"""),0.0)</f>
        <v>0</v>
      </c>
      <c r="E57" s="26">
        <f>IFERROR(__xludf.DUMMYFUNCTION("""COMPUTED_VALUE"""),132.0)</f>
        <v>132</v>
      </c>
      <c r="F57" s="26">
        <f>IFERROR(__xludf.DUMMYFUNCTION("""COMPUTED_VALUE"""),0.0)</f>
        <v>0</v>
      </c>
      <c r="G57" s="26">
        <f>IFERROR(__xludf.DUMMYFUNCTION("""COMPUTED_VALUE"""),0.0)</f>
        <v>0</v>
      </c>
      <c r="H57" s="26">
        <f>IFERROR(__xludf.DUMMYFUNCTION("""COMPUTED_VALUE"""),0.0)</f>
        <v>0</v>
      </c>
      <c r="I57" s="26">
        <f>IFERROR(__xludf.DUMMYFUNCTION("""COMPUTED_VALUE"""),0.0)</f>
        <v>0</v>
      </c>
      <c r="J57" s="26">
        <f>IFERROR(__xludf.DUMMYFUNCTION("""COMPUTED_VALUE"""),0.0)</f>
        <v>0</v>
      </c>
      <c r="K57" s="26">
        <f>IFERROR(__xludf.DUMMYFUNCTION("""COMPUTED_VALUE"""),0.0)</f>
        <v>0</v>
      </c>
      <c r="L57" s="26">
        <f>IFERROR(__xludf.DUMMYFUNCTION("""COMPUTED_VALUE"""),0.0)</f>
        <v>0</v>
      </c>
      <c r="M57" s="26"/>
      <c r="N57" s="26"/>
      <c r="O57" s="26"/>
      <c r="P57" s="26"/>
      <c r="Q57" s="26"/>
      <c r="R57" s="26">
        <f>IFERROR(__xludf.DUMMYFUNCTION("""COMPUTED_VALUE"""),132.0)</f>
        <v>132</v>
      </c>
      <c r="S57" s="26">
        <f>IFERROR(__xludf.DUMMYFUNCTION("""COMPUTED_VALUE"""),244200.0)</f>
        <v>244200</v>
      </c>
      <c r="T57" s="26">
        <f>IFERROR(__xludf.DUMMYFUNCTION("""COMPUTED_VALUE"""),22440.0)</f>
        <v>22440</v>
      </c>
      <c r="U57" s="26">
        <f>IFERROR(__xludf.DUMMYFUNCTION("""COMPUTED_VALUE"""),59690.400000000016)</f>
        <v>59690.4</v>
      </c>
      <c r="V57" s="26">
        <f>IFERROR(__xludf.DUMMYFUNCTION("""COMPUTED_VALUE"""),0.0)</f>
        <v>0</v>
      </c>
      <c r="W57" s="26">
        <f>IFERROR(__xludf.DUMMYFUNCTION("""COMPUTED_VALUE"""),0.0)</f>
        <v>0</v>
      </c>
      <c r="X57" s="26">
        <f>IFERROR(__xludf.DUMMYFUNCTION("""COMPUTED_VALUE"""),37250.400000000016)</f>
        <v>37250.4</v>
      </c>
      <c r="Y57" s="26">
        <f>IFERROR(__xludf.DUMMYFUNCTION("""COMPUTED_VALUE"""),37250.400000000016)</f>
        <v>37250.4</v>
      </c>
      <c r="Z57" s="26">
        <f>IFERROR(__xludf.DUMMYFUNCTION("""COMPUTED_VALUE"""),0.0)</f>
        <v>0</v>
      </c>
      <c r="AA57" s="26">
        <f>IFERROR(__xludf.DUMMYFUNCTION("""COMPUTED_VALUE"""),0.0)</f>
        <v>0</v>
      </c>
      <c r="AB57" s="26">
        <f>IFERROR(__xludf.DUMMYFUNCTION("""COMPUTED_VALUE"""),0.0)</f>
        <v>0</v>
      </c>
      <c r="AC57" s="26">
        <f>IFERROR(__xludf.DUMMYFUNCTION("""COMPUTED_VALUE"""),0.0)</f>
        <v>0</v>
      </c>
      <c r="AD57" s="26">
        <f>IFERROR(__xludf.DUMMYFUNCTION("""COMPUTED_VALUE"""),0.0)</f>
        <v>0</v>
      </c>
      <c r="AE57" s="26">
        <f>IFERROR(__xludf.DUMMYFUNCTION("""COMPUTED_VALUE"""),0.0)</f>
        <v>0</v>
      </c>
    </row>
    <row r="58">
      <c r="A58" s="26">
        <f>IFERROR(__xludf.DUMMYFUNCTION("""COMPUTED_VALUE"""),0.0)</f>
        <v>0</v>
      </c>
      <c r="B58" s="26">
        <f>IFERROR(__xludf.DUMMYFUNCTION("""COMPUTED_VALUE"""),0.0)</f>
        <v>0</v>
      </c>
      <c r="C58" s="26">
        <f>IFERROR(__xludf.DUMMYFUNCTION("""COMPUTED_VALUE"""),0.0)</f>
        <v>0</v>
      </c>
      <c r="D58" s="26">
        <f>IFERROR(__xludf.DUMMYFUNCTION("""COMPUTED_VALUE"""),0.0)</f>
        <v>0</v>
      </c>
      <c r="E58" s="26">
        <f>IFERROR(__xludf.DUMMYFUNCTION("""COMPUTED_VALUE"""),0.0)</f>
        <v>0</v>
      </c>
      <c r="F58" s="26">
        <f>IFERROR(__xludf.DUMMYFUNCTION("""COMPUTED_VALUE"""),0.0)</f>
        <v>0</v>
      </c>
      <c r="G58" s="26">
        <f>IFERROR(__xludf.DUMMYFUNCTION("""COMPUTED_VALUE"""),0.0)</f>
        <v>0</v>
      </c>
      <c r="H58" s="26">
        <f>IFERROR(__xludf.DUMMYFUNCTION("""COMPUTED_VALUE"""),0.0)</f>
        <v>0</v>
      </c>
      <c r="I58" s="26">
        <f>IFERROR(__xludf.DUMMYFUNCTION("""COMPUTED_VALUE"""),0.0)</f>
        <v>0</v>
      </c>
      <c r="J58" s="26">
        <f>IFERROR(__xludf.DUMMYFUNCTION("""COMPUTED_VALUE"""),0.0)</f>
        <v>0</v>
      </c>
      <c r="K58" s="26">
        <f>IFERROR(__xludf.DUMMYFUNCTION("""COMPUTED_VALUE"""),0.0)</f>
        <v>0</v>
      </c>
      <c r="L58" s="26">
        <f>IFERROR(__xludf.DUMMYFUNCTION("""COMPUTED_VALUE"""),0.0)</f>
        <v>0</v>
      </c>
      <c r="M58" s="26"/>
      <c r="N58" s="26"/>
      <c r="O58" s="26"/>
      <c r="P58" s="26"/>
      <c r="Q58" s="26"/>
      <c r="R58" s="26">
        <f>IFERROR(__xludf.DUMMYFUNCTION("""COMPUTED_VALUE"""),0.0)</f>
        <v>0</v>
      </c>
      <c r="S58" s="26">
        <f>IFERROR(__xludf.DUMMYFUNCTION("""COMPUTED_VALUE"""),0.0)</f>
        <v>0</v>
      </c>
      <c r="T58" s="26">
        <f>IFERROR(__xludf.DUMMYFUNCTION("""COMPUTED_VALUE"""),0.0)</f>
        <v>0</v>
      </c>
      <c r="U58" s="26">
        <f>IFERROR(__xludf.DUMMYFUNCTION("""COMPUTED_VALUE"""),0.0)</f>
        <v>0</v>
      </c>
      <c r="V58" s="26">
        <f>IFERROR(__xludf.DUMMYFUNCTION("""COMPUTED_VALUE"""),0.0)</f>
        <v>0</v>
      </c>
      <c r="W58" s="26">
        <f>IFERROR(__xludf.DUMMYFUNCTION("""COMPUTED_VALUE"""),0.0)</f>
        <v>0</v>
      </c>
      <c r="X58" s="26">
        <f>IFERROR(__xludf.DUMMYFUNCTION("""COMPUTED_VALUE"""),0.0)</f>
        <v>0</v>
      </c>
      <c r="Y58" s="26">
        <f>IFERROR(__xludf.DUMMYFUNCTION("""COMPUTED_VALUE"""),0.0)</f>
        <v>0</v>
      </c>
      <c r="Z58" s="26">
        <f>IFERROR(__xludf.DUMMYFUNCTION("""COMPUTED_VALUE"""),0.0)</f>
        <v>0</v>
      </c>
      <c r="AA58" s="26">
        <f>IFERROR(__xludf.DUMMYFUNCTION("""COMPUTED_VALUE"""),0.0)</f>
        <v>0</v>
      </c>
      <c r="AB58" s="26">
        <f>IFERROR(__xludf.DUMMYFUNCTION("""COMPUTED_VALUE"""),0.0)</f>
        <v>0</v>
      </c>
      <c r="AC58" s="26">
        <f>IFERROR(__xludf.DUMMYFUNCTION("""COMPUTED_VALUE"""),0.0)</f>
        <v>0</v>
      </c>
      <c r="AD58" s="26">
        <f>IFERROR(__xludf.DUMMYFUNCTION("""COMPUTED_VALUE"""),0.0)</f>
        <v>0</v>
      </c>
      <c r="AE58" s="26">
        <f>IFERROR(__xludf.DUMMYFUNCTION("""COMPUTED_VALUE"""),0.0)</f>
        <v>0</v>
      </c>
    </row>
    <row r="59">
      <c r="A59" s="26">
        <f>IFERROR(__xludf.DUMMYFUNCTION("""COMPUTED_VALUE"""),0.0)</f>
        <v>0</v>
      </c>
      <c r="B59" s="26">
        <f>IFERROR(__xludf.DUMMYFUNCTION("""COMPUTED_VALUE"""),0.0)</f>
        <v>0</v>
      </c>
      <c r="C59" s="26">
        <f>IFERROR(__xludf.DUMMYFUNCTION("""COMPUTED_VALUE"""),2.0)</f>
        <v>2</v>
      </c>
      <c r="D59" s="26">
        <f>IFERROR(__xludf.DUMMYFUNCTION("""COMPUTED_VALUE"""),0.0)</f>
        <v>0</v>
      </c>
      <c r="E59" s="26">
        <f>IFERROR(__xludf.DUMMYFUNCTION("""COMPUTED_VALUE"""),111.0)</f>
        <v>111</v>
      </c>
      <c r="F59" s="26">
        <f>IFERROR(__xludf.DUMMYFUNCTION("""COMPUTED_VALUE"""),0.0)</f>
        <v>0</v>
      </c>
      <c r="G59" s="26">
        <f>IFERROR(__xludf.DUMMYFUNCTION("""COMPUTED_VALUE"""),0.0)</f>
        <v>0</v>
      </c>
      <c r="H59" s="26">
        <f>IFERROR(__xludf.DUMMYFUNCTION("""COMPUTED_VALUE"""),0.0)</f>
        <v>0</v>
      </c>
      <c r="I59" s="26">
        <f>IFERROR(__xludf.DUMMYFUNCTION("""COMPUTED_VALUE"""),0.0)</f>
        <v>0</v>
      </c>
      <c r="J59" s="26">
        <f>IFERROR(__xludf.DUMMYFUNCTION("""COMPUTED_VALUE"""),0.0)</f>
        <v>0</v>
      </c>
      <c r="K59" s="26">
        <f>IFERROR(__xludf.DUMMYFUNCTION("""COMPUTED_VALUE"""),0.0)</f>
        <v>0</v>
      </c>
      <c r="L59" s="26">
        <f>IFERROR(__xludf.DUMMYFUNCTION("""COMPUTED_VALUE"""),0.0)</f>
        <v>0</v>
      </c>
      <c r="M59" s="26"/>
      <c r="N59" s="26"/>
      <c r="O59" s="26"/>
      <c r="P59" s="26"/>
      <c r="Q59" s="26"/>
      <c r="R59" s="26">
        <f>IFERROR(__xludf.DUMMYFUNCTION("""COMPUTED_VALUE"""),113.0)</f>
        <v>113</v>
      </c>
      <c r="S59" s="26">
        <f>IFERROR(__xludf.DUMMYFUNCTION("""COMPUTED_VALUE"""),20667.70000000001)</f>
        <v>20667.7</v>
      </c>
      <c r="T59" s="26">
        <f>IFERROR(__xludf.DUMMYFUNCTION("""COMPUTED_VALUE"""),17515.0)</f>
        <v>17515</v>
      </c>
      <c r="U59" s="26">
        <f>IFERROR(__xludf.DUMMYFUNCTION("""COMPUTED_VALUE"""),20667.700000000004)</f>
        <v>20667.7</v>
      </c>
      <c r="V59" s="26">
        <f>IFERROR(__xludf.DUMMYFUNCTION("""COMPUTED_VALUE"""),0.0)</f>
        <v>0</v>
      </c>
      <c r="W59" s="26">
        <f>IFERROR(__xludf.DUMMYFUNCTION("""COMPUTED_VALUE"""),0.0)</f>
        <v>0</v>
      </c>
      <c r="X59" s="26">
        <f>IFERROR(__xludf.DUMMYFUNCTION("""COMPUTED_VALUE"""),3152.700000000006)</f>
        <v>3152.7</v>
      </c>
      <c r="Y59" s="26">
        <f>IFERROR(__xludf.DUMMYFUNCTION("""COMPUTED_VALUE"""),3152.700000000006)</f>
        <v>3152.7</v>
      </c>
      <c r="Z59" s="26">
        <f>IFERROR(__xludf.DUMMYFUNCTION("""COMPUTED_VALUE"""),0.0)</f>
        <v>0</v>
      </c>
      <c r="AA59" s="26">
        <f>IFERROR(__xludf.DUMMYFUNCTION("""COMPUTED_VALUE"""),0.0)</f>
        <v>0</v>
      </c>
      <c r="AB59" s="26">
        <f>IFERROR(__xludf.DUMMYFUNCTION("""COMPUTED_VALUE"""),0.0)</f>
        <v>0</v>
      </c>
      <c r="AC59" s="26">
        <f>IFERROR(__xludf.DUMMYFUNCTION("""COMPUTED_VALUE"""),0.0)</f>
        <v>0</v>
      </c>
      <c r="AD59" s="26">
        <f>IFERROR(__xludf.DUMMYFUNCTION("""COMPUTED_VALUE"""),0.0)</f>
        <v>0</v>
      </c>
      <c r="AE59" s="26">
        <f>IFERROR(__xludf.DUMMYFUNCTION("""COMPUTED_VALUE"""),0.0)</f>
        <v>0</v>
      </c>
    </row>
    <row r="60">
      <c r="A60" s="26">
        <f>IFERROR(__xludf.DUMMYFUNCTION("""COMPUTED_VALUE"""),0.0)</f>
        <v>0</v>
      </c>
      <c r="B60" s="26">
        <f>IFERROR(__xludf.DUMMYFUNCTION("""COMPUTED_VALUE"""),0.0)</f>
        <v>0</v>
      </c>
      <c r="C60" s="26">
        <f>IFERROR(__xludf.DUMMYFUNCTION("""COMPUTED_VALUE"""),0.0)</f>
        <v>0</v>
      </c>
      <c r="D60" s="26">
        <f>IFERROR(__xludf.DUMMYFUNCTION("""COMPUTED_VALUE"""),0.0)</f>
        <v>0</v>
      </c>
      <c r="E60" s="26">
        <f>IFERROR(__xludf.DUMMYFUNCTION("""COMPUTED_VALUE"""),15.0)</f>
        <v>15</v>
      </c>
      <c r="F60" s="26">
        <f>IFERROR(__xludf.DUMMYFUNCTION("""COMPUTED_VALUE"""),0.0)</f>
        <v>0</v>
      </c>
      <c r="G60" s="26">
        <f>IFERROR(__xludf.DUMMYFUNCTION("""COMPUTED_VALUE"""),0.0)</f>
        <v>0</v>
      </c>
      <c r="H60" s="26">
        <f>IFERROR(__xludf.DUMMYFUNCTION("""COMPUTED_VALUE"""),0.0)</f>
        <v>0</v>
      </c>
      <c r="I60" s="26">
        <f>IFERROR(__xludf.DUMMYFUNCTION("""COMPUTED_VALUE"""),0.0)</f>
        <v>0</v>
      </c>
      <c r="J60" s="26">
        <f>IFERROR(__xludf.DUMMYFUNCTION("""COMPUTED_VALUE"""),0.0)</f>
        <v>0</v>
      </c>
      <c r="K60" s="26">
        <f>IFERROR(__xludf.DUMMYFUNCTION("""COMPUTED_VALUE"""),0.0)</f>
        <v>0</v>
      </c>
      <c r="L60" s="26">
        <f>IFERROR(__xludf.DUMMYFUNCTION("""COMPUTED_VALUE"""),0.0)</f>
        <v>0</v>
      </c>
      <c r="M60" s="26"/>
      <c r="N60" s="26"/>
      <c r="O60" s="26"/>
      <c r="P60" s="26"/>
      <c r="Q60" s="26"/>
      <c r="R60" s="26">
        <f>IFERROR(__xludf.DUMMYFUNCTION("""COMPUTED_VALUE"""),15.0)</f>
        <v>15</v>
      </c>
      <c r="S60" s="26">
        <f>IFERROR(__xludf.DUMMYFUNCTION("""COMPUTED_VALUE"""),26250.0)</f>
        <v>26250</v>
      </c>
      <c r="T60" s="26">
        <f>IFERROR(__xludf.DUMMYFUNCTION("""COMPUTED_VALUE"""),2550.0)</f>
        <v>2550</v>
      </c>
      <c r="U60" s="26">
        <f>IFERROR(__xludf.DUMMYFUNCTION("""COMPUTED_VALUE"""),6554.249999999998)</f>
        <v>6554.25</v>
      </c>
      <c r="V60" s="26">
        <f>IFERROR(__xludf.DUMMYFUNCTION("""COMPUTED_VALUE"""),0.0)</f>
        <v>0</v>
      </c>
      <c r="W60" s="26">
        <f>IFERROR(__xludf.DUMMYFUNCTION("""COMPUTED_VALUE"""),0.0)</f>
        <v>0</v>
      </c>
      <c r="X60" s="26">
        <f>IFERROR(__xludf.DUMMYFUNCTION("""COMPUTED_VALUE"""),4004.2499999999986)</f>
        <v>4004.25</v>
      </c>
      <c r="Y60" s="26">
        <f>IFERROR(__xludf.DUMMYFUNCTION("""COMPUTED_VALUE"""),4004.2499999999986)</f>
        <v>4004.25</v>
      </c>
      <c r="Z60" s="26">
        <f>IFERROR(__xludf.DUMMYFUNCTION("""COMPUTED_VALUE"""),0.0)</f>
        <v>0</v>
      </c>
      <c r="AA60" s="26">
        <f>IFERROR(__xludf.DUMMYFUNCTION("""COMPUTED_VALUE"""),0.0)</f>
        <v>0</v>
      </c>
      <c r="AB60" s="26">
        <f>IFERROR(__xludf.DUMMYFUNCTION("""COMPUTED_VALUE"""),0.0)</f>
        <v>0</v>
      </c>
      <c r="AC60" s="26">
        <f>IFERROR(__xludf.DUMMYFUNCTION("""COMPUTED_VALUE"""),0.0)</f>
        <v>0</v>
      </c>
      <c r="AD60" s="26">
        <f>IFERROR(__xludf.DUMMYFUNCTION("""COMPUTED_VALUE"""),0.0)</f>
        <v>0</v>
      </c>
      <c r="AE60" s="26">
        <f>IFERROR(__xludf.DUMMYFUNCTION("""COMPUTED_VALUE"""),0.0)</f>
        <v>0</v>
      </c>
    </row>
    <row r="61">
      <c r="A61" s="26">
        <f>IFERROR(__xludf.DUMMYFUNCTION("""COMPUTED_VALUE"""),28.0)</f>
        <v>28</v>
      </c>
      <c r="B61" s="26">
        <f>IFERROR(__xludf.DUMMYFUNCTION("""COMPUTED_VALUE"""),0.0)</f>
        <v>0</v>
      </c>
      <c r="C61" s="26">
        <f>IFERROR(__xludf.DUMMYFUNCTION("""COMPUTED_VALUE"""),0.0)</f>
        <v>0</v>
      </c>
      <c r="D61" s="26">
        <f>IFERROR(__xludf.DUMMYFUNCTION("""COMPUTED_VALUE"""),0.0)</f>
        <v>0</v>
      </c>
      <c r="E61" s="26">
        <f>IFERROR(__xludf.DUMMYFUNCTION("""COMPUTED_VALUE"""),1.0)</f>
        <v>1</v>
      </c>
      <c r="F61" s="26">
        <f>IFERROR(__xludf.DUMMYFUNCTION("""COMPUTED_VALUE"""),0.0)</f>
        <v>0</v>
      </c>
      <c r="G61" s="26">
        <f>IFERROR(__xludf.DUMMYFUNCTION("""COMPUTED_VALUE"""),0.0)</f>
        <v>0</v>
      </c>
      <c r="H61" s="26">
        <f>IFERROR(__xludf.DUMMYFUNCTION("""COMPUTED_VALUE"""),0.0)</f>
        <v>0</v>
      </c>
      <c r="I61" s="26">
        <f>IFERROR(__xludf.DUMMYFUNCTION("""COMPUTED_VALUE"""),0.0)</f>
        <v>0</v>
      </c>
      <c r="J61" s="26">
        <f>IFERROR(__xludf.DUMMYFUNCTION("""COMPUTED_VALUE"""),0.0)</f>
        <v>0</v>
      </c>
      <c r="K61" s="26">
        <f>IFERROR(__xludf.DUMMYFUNCTION("""COMPUTED_VALUE"""),0.0)</f>
        <v>0</v>
      </c>
      <c r="L61" s="26">
        <f>IFERROR(__xludf.DUMMYFUNCTION("""COMPUTED_VALUE"""),0.0)</f>
        <v>0</v>
      </c>
      <c r="M61" s="26"/>
      <c r="N61" s="26"/>
      <c r="O61" s="26"/>
      <c r="P61" s="26"/>
      <c r="Q61" s="26"/>
      <c r="R61" s="26">
        <f>IFERROR(__xludf.DUMMYFUNCTION("""COMPUTED_VALUE"""),29.0)</f>
        <v>29</v>
      </c>
      <c r="S61" s="26">
        <f>IFERROR(__xludf.DUMMYFUNCTION("""COMPUTED_VALUE"""),6000.300000000004)</f>
        <v>6000.3</v>
      </c>
      <c r="T61" s="26">
        <f>IFERROR(__xludf.DUMMYFUNCTION("""COMPUTED_VALUE"""),5085.0)</f>
        <v>5085</v>
      </c>
      <c r="U61" s="26">
        <f>IFERROR(__xludf.DUMMYFUNCTION("""COMPUTED_VALUE"""),6000.3)</f>
        <v>6000.3</v>
      </c>
      <c r="V61" s="26">
        <f>IFERROR(__xludf.DUMMYFUNCTION("""COMPUTED_VALUE"""),0.0)</f>
        <v>0</v>
      </c>
      <c r="W61" s="26">
        <f>IFERROR(__xludf.DUMMYFUNCTION("""COMPUTED_VALUE"""),0.0)</f>
        <v>0</v>
      </c>
      <c r="X61" s="26">
        <f>IFERROR(__xludf.DUMMYFUNCTION("""COMPUTED_VALUE"""),915.2999999999998)</f>
        <v>915.3</v>
      </c>
      <c r="Y61" s="26">
        <f>IFERROR(__xludf.DUMMYFUNCTION("""COMPUTED_VALUE"""),915.2999999999998)</f>
        <v>915.3</v>
      </c>
      <c r="Z61" s="26">
        <f>IFERROR(__xludf.DUMMYFUNCTION("""COMPUTED_VALUE"""),0.0)</f>
        <v>0</v>
      </c>
      <c r="AA61" s="26">
        <f>IFERROR(__xludf.DUMMYFUNCTION("""COMPUTED_VALUE"""),0.0)</f>
        <v>0</v>
      </c>
      <c r="AB61" s="26">
        <f>IFERROR(__xludf.DUMMYFUNCTION("""COMPUTED_VALUE"""),0.0)</f>
        <v>0</v>
      </c>
      <c r="AC61" s="26">
        <f>IFERROR(__xludf.DUMMYFUNCTION("""COMPUTED_VALUE"""),0.0)</f>
        <v>0</v>
      </c>
      <c r="AD61" s="26">
        <f>IFERROR(__xludf.DUMMYFUNCTION("""COMPUTED_VALUE"""),0.0)</f>
        <v>0</v>
      </c>
      <c r="AE61" s="26">
        <f>IFERROR(__xludf.DUMMYFUNCTION("""COMPUTED_VALUE"""),0.0)</f>
        <v>0</v>
      </c>
    </row>
    <row r="62">
      <c r="A62" s="26">
        <f>IFERROR(__xludf.DUMMYFUNCTION("""COMPUTED_VALUE"""),0.0)</f>
        <v>0</v>
      </c>
      <c r="B62" s="26">
        <f>IFERROR(__xludf.DUMMYFUNCTION("""COMPUTED_VALUE"""),0.0)</f>
        <v>0</v>
      </c>
      <c r="C62" s="26">
        <f>IFERROR(__xludf.DUMMYFUNCTION("""COMPUTED_VALUE"""),0.0)</f>
        <v>0</v>
      </c>
      <c r="D62" s="26">
        <f>IFERROR(__xludf.DUMMYFUNCTION("""COMPUTED_VALUE"""),0.0)</f>
        <v>0</v>
      </c>
      <c r="E62" s="26">
        <f>IFERROR(__xludf.DUMMYFUNCTION("""COMPUTED_VALUE"""),0.0)</f>
        <v>0</v>
      </c>
      <c r="F62" s="26">
        <f>IFERROR(__xludf.DUMMYFUNCTION("""COMPUTED_VALUE"""),0.0)</f>
        <v>0</v>
      </c>
      <c r="G62" s="26">
        <f>IFERROR(__xludf.DUMMYFUNCTION("""COMPUTED_VALUE"""),0.0)</f>
        <v>0</v>
      </c>
      <c r="H62" s="26">
        <f>IFERROR(__xludf.DUMMYFUNCTION("""COMPUTED_VALUE"""),0.0)</f>
        <v>0</v>
      </c>
      <c r="I62" s="26">
        <f>IFERROR(__xludf.DUMMYFUNCTION("""COMPUTED_VALUE"""),0.0)</f>
        <v>0</v>
      </c>
      <c r="J62" s="26">
        <f>IFERROR(__xludf.DUMMYFUNCTION("""COMPUTED_VALUE"""),0.0)</f>
        <v>0</v>
      </c>
      <c r="K62" s="26">
        <f>IFERROR(__xludf.DUMMYFUNCTION("""COMPUTED_VALUE"""),0.0)</f>
        <v>0</v>
      </c>
      <c r="L62" s="26">
        <f>IFERROR(__xludf.DUMMYFUNCTION("""COMPUTED_VALUE"""),0.0)</f>
        <v>0</v>
      </c>
      <c r="M62" s="26"/>
      <c r="N62" s="26"/>
      <c r="O62" s="26"/>
      <c r="P62" s="26"/>
      <c r="Q62" s="26"/>
      <c r="R62" s="26">
        <f>IFERROR(__xludf.DUMMYFUNCTION("""COMPUTED_VALUE"""),0.0)</f>
        <v>0</v>
      </c>
      <c r="S62" s="26">
        <f>IFERROR(__xludf.DUMMYFUNCTION("""COMPUTED_VALUE"""),0.0)</f>
        <v>0</v>
      </c>
      <c r="T62" s="26">
        <f>IFERROR(__xludf.DUMMYFUNCTION("""COMPUTED_VALUE"""),0.0)</f>
        <v>0</v>
      </c>
      <c r="U62" s="26">
        <f>IFERROR(__xludf.DUMMYFUNCTION("""COMPUTED_VALUE"""),0.0)</f>
        <v>0</v>
      </c>
      <c r="V62" s="26">
        <f>IFERROR(__xludf.DUMMYFUNCTION("""COMPUTED_VALUE"""),0.0)</f>
        <v>0</v>
      </c>
      <c r="W62" s="26">
        <f>IFERROR(__xludf.DUMMYFUNCTION("""COMPUTED_VALUE"""),0.0)</f>
        <v>0</v>
      </c>
      <c r="X62" s="26">
        <f>IFERROR(__xludf.DUMMYFUNCTION("""COMPUTED_VALUE"""),0.0)</f>
        <v>0</v>
      </c>
      <c r="Y62" s="26">
        <f>IFERROR(__xludf.DUMMYFUNCTION("""COMPUTED_VALUE"""),0.0)</f>
        <v>0</v>
      </c>
      <c r="Z62" s="26">
        <f>IFERROR(__xludf.DUMMYFUNCTION("""COMPUTED_VALUE"""),0.0)</f>
        <v>0</v>
      </c>
      <c r="AA62" s="26">
        <f>IFERROR(__xludf.DUMMYFUNCTION("""COMPUTED_VALUE"""),0.0)</f>
        <v>0</v>
      </c>
      <c r="AB62" s="26">
        <f>IFERROR(__xludf.DUMMYFUNCTION("""COMPUTED_VALUE"""),0.0)</f>
        <v>0</v>
      </c>
      <c r="AC62" s="26">
        <f>IFERROR(__xludf.DUMMYFUNCTION("""COMPUTED_VALUE"""),0.0)</f>
        <v>0</v>
      </c>
      <c r="AD62" s="26">
        <f>IFERROR(__xludf.DUMMYFUNCTION("""COMPUTED_VALUE"""),0.0)</f>
        <v>0</v>
      </c>
      <c r="AE62" s="26">
        <f>IFERROR(__xludf.DUMMYFUNCTION("""COMPUTED_VALUE"""),0.0)</f>
        <v>0</v>
      </c>
    </row>
    <row r="63">
      <c r="A63" s="26">
        <f>IFERROR(__xludf.DUMMYFUNCTION("""COMPUTED_VALUE"""),0.0)</f>
        <v>0</v>
      </c>
      <c r="B63" s="26">
        <f>IFERROR(__xludf.DUMMYFUNCTION("""COMPUTED_VALUE"""),0.0)</f>
        <v>0</v>
      </c>
      <c r="C63" s="26">
        <f>IFERROR(__xludf.DUMMYFUNCTION("""COMPUTED_VALUE"""),0.0)</f>
        <v>0</v>
      </c>
      <c r="D63" s="26">
        <f>IFERROR(__xludf.DUMMYFUNCTION("""COMPUTED_VALUE"""),0.0)</f>
        <v>0</v>
      </c>
      <c r="E63" s="26">
        <f>IFERROR(__xludf.DUMMYFUNCTION("""COMPUTED_VALUE"""),0.0)</f>
        <v>0</v>
      </c>
      <c r="F63" s="26">
        <f>IFERROR(__xludf.DUMMYFUNCTION("""COMPUTED_VALUE"""),0.0)</f>
        <v>0</v>
      </c>
      <c r="G63" s="26">
        <f>IFERROR(__xludf.DUMMYFUNCTION("""COMPUTED_VALUE"""),0.0)</f>
        <v>0</v>
      </c>
      <c r="H63" s="26">
        <f>IFERROR(__xludf.DUMMYFUNCTION("""COMPUTED_VALUE"""),0.0)</f>
        <v>0</v>
      </c>
      <c r="I63" s="26">
        <f>IFERROR(__xludf.DUMMYFUNCTION("""COMPUTED_VALUE"""),0.0)</f>
        <v>0</v>
      </c>
      <c r="J63" s="26">
        <f>IFERROR(__xludf.DUMMYFUNCTION("""COMPUTED_VALUE"""),0.0)</f>
        <v>0</v>
      </c>
      <c r="K63" s="26">
        <f>IFERROR(__xludf.DUMMYFUNCTION("""COMPUTED_VALUE"""),0.0)</f>
        <v>0</v>
      </c>
      <c r="L63" s="26">
        <f>IFERROR(__xludf.DUMMYFUNCTION("""COMPUTED_VALUE"""),0.0)</f>
        <v>0</v>
      </c>
      <c r="M63" s="26"/>
      <c r="N63" s="26"/>
      <c r="O63" s="26"/>
      <c r="P63" s="26"/>
      <c r="Q63" s="26"/>
      <c r="R63" s="26">
        <f>IFERROR(__xludf.DUMMYFUNCTION("""COMPUTED_VALUE"""),0.0)</f>
        <v>0</v>
      </c>
      <c r="S63" s="26">
        <f>IFERROR(__xludf.DUMMYFUNCTION("""COMPUTED_VALUE"""),0.0)</f>
        <v>0</v>
      </c>
      <c r="T63" s="26">
        <f>IFERROR(__xludf.DUMMYFUNCTION("""COMPUTED_VALUE"""),0.0)</f>
        <v>0</v>
      </c>
      <c r="U63" s="26">
        <f>IFERROR(__xludf.DUMMYFUNCTION("""COMPUTED_VALUE"""),0.0)</f>
        <v>0</v>
      </c>
      <c r="V63" s="26">
        <f>IFERROR(__xludf.DUMMYFUNCTION("""COMPUTED_VALUE"""),0.0)</f>
        <v>0</v>
      </c>
      <c r="W63" s="26">
        <f>IFERROR(__xludf.DUMMYFUNCTION("""COMPUTED_VALUE"""),0.0)</f>
        <v>0</v>
      </c>
      <c r="X63" s="26">
        <f>IFERROR(__xludf.DUMMYFUNCTION("""COMPUTED_VALUE"""),0.0)</f>
        <v>0</v>
      </c>
      <c r="Y63" s="26">
        <f>IFERROR(__xludf.DUMMYFUNCTION("""COMPUTED_VALUE"""),0.0)</f>
        <v>0</v>
      </c>
      <c r="Z63" s="26">
        <f>IFERROR(__xludf.DUMMYFUNCTION("""COMPUTED_VALUE"""),0.0)</f>
        <v>0</v>
      </c>
      <c r="AA63" s="26">
        <f>IFERROR(__xludf.DUMMYFUNCTION("""COMPUTED_VALUE"""),0.0)</f>
        <v>0</v>
      </c>
      <c r="AB63" s="26">
        <f>IFERROR(__xludf.DUMMYFUNCTION("""COMPUTED_VALUE"""),0.0)</f>
        <v>0</v>
      </c>
      <c r="AC63" s="26">
        <f>IFERROR(__xludf.DUMMYFUNCTION("""COMPUTED_VALUE"""),0.0)</f>
        <v>0</v>
      </c>
      <c r="AD63" s="26">
        <f>IFERROR(__xludf.DUMMYFUNCTION("""COMPUTED_VALUE"""),0.0)</f>
        <v>0</v>
      </c>
      <c r="AE63" s="26">
        <f>IFERROR(__xludf.DUMMYFUNCTION("""COMPUTED_VALUE"""),0.0)</f>
        <v>0</v>
      </c>
    </row>
    <row r="64">
      <c r="A64" s="26">
        <f>IFERROR(__xludf.DUMMYFUNCTION("""COMPUTED_VALUE"""),0.0)</f>
        <v>0</v>
      </c>
      <c r="B64" s="26">
        <f>IFERROR(__xludf.DUMMYFUNCTION("""COMPUTED_VALUE"""),0.0)</f>
        <v>0</v>
      </c>
      <c r="C64" s="26">
        <f>IFERROR(__xludf.DUMMYFUNCTION("""COMPUTED_VALUE"""),0.0)</f>
        <v>0</v>
      </c>
      <c r="D64" s="26">
        <f>IFERROR(__xludf.DUMMYFUNCTION("""COMPUTED_VALUE"""),0.0)</f>
        <v>0</v>
      </c>
      <c r="E64" s="26">
        <f>IFERROR(__xludf.DUMMYFUNCTION("""COMPUTED_VALUE"""),0.0)</f>
        <v>0</v>
      </c>
      <c r="F64" s="26">
        <f>IFERROR(__xludf.DUMMYFUNCTION("""COMPUTED_VALUE"""),0.0)</f>
        <v>0</v>
      </c>
      <c r="G64" s="26">
        <f>IFERROR(__xludf.DUMMYFUNCTION("""COMPUTED_VALUE"""),0.0)</f>
        <v>0</v>
      </c>
      <c r="H64" s="26">
        <f>IFERROR(__xludf.DUMMYFUNCTION("""COMPUTED_VALUE"""),0.0)</f>
        <v>0</v>
      </c>
      <c r="I64" s="26">
        <f>IFERROR(__xludf.DUMMYFUNCTION("""COMPUTED_VALUE"""),0.0)</f>
        <v>0</v>
      </c>
      <c r="J64" s="26">
        <f>IFERROR(__xludf.DUMMYFUNCTION("""COMPUTED_VALUE"""),0.0)</f>
        <v>0</v>
      </c>
      <c r="K64" s="26">
        <f>IFERROR(__xludf.DUMMYFUNCTION("""COMPUTED_VALUE"""),0.0)</f>
        <v>0</v>
      </c>
      <c r="L64" s="26">
        <f>IFERROR(__xludf.DUMMYFUNCTION("""COMPUTED_VALUE"""),0.0)</f>
        <v>0</v>
      </c>
      <c r="M64" s="26"/>
      <c r="N64" s="26"/>
      <c r="O64" s="26"/>
      <c r="P64" s="26"/>
      <c r="Q64" s="26"/>
      <c r="R64" s="26">
        <f>IFERROR(__xludf.DUMMYFUNCTION("""COMPUTED_VALUE"""),0.0)</f>
        <v>0</v>
      </c>
      <c r="S64" s="26">
        <f>IFERROR(__xludf.DUMMYFUNCTION("""COMPUTED_VALUE"""),0.0)</f>
        <v>0</v>
      </c>
      <c r="T64" s="26">
        <f>IFERROR(__xludf.DUMMYFUNCTION("""COMPUTED_VALUE"""),0.0)</f>
        <v>0</v>
      </c>
      <c r="U64" s="26">
        <f>IFERROR(__xludf.DUMMYFUNCTION("""COMPUTED_VALUE"""),0.0)</f>
        <v>0</v>
      </c>
      <c r="V64" s="26">
        <f>IFERROR(__xludf.DUMMYFUNCTION("""COMPUTED_VALUE"""),0.0)</f>
        <v>0</v>
      </c>
      <c r="W64" s="26">
        <f>IFERROR(__xludf.DUMMYFUNCTION("""COMPUTED_VALUE"""),0.0)</f>
        <v>0</v>
      </c>
      <c r="X64" s="26">
        <f>IFERROR(__xludf.DUMMYFUNCTION("""COMPUTED_VALUE"""),0.0)</f>
        <v>0</v>
      </c>
      <c r="Y64" s="26">
        <f>IFERROR(__xludf.DUMMYFUNCTION("""COMPUTED_VALUE"""),0.0)</f>
        <v>0</v>
      </c>
      <c r="Z64" s="26">
        <f>IFERROR(__xludf.DUMMYFUNCTION("""COMPUTED_VALUE"""),0.0)</f>
        <v>0</v>
      </c>
      <c r="AA64" s="26">
        <f>IFERROR(__xludf.DUMMYFUNCTION("""COMPUTED_VALUE"""),0.0)</f>
        <v>0</v>
      </c>
      <c r="AB64" s="26">
        <f>IFERROR(__xludf.DUMMYFUNCTION("""COMPUTED_VALUE"""),0.0)</f>
        <v>0</v>
      </c>
      <c r="AC64" s="26">
        <f>IFERROR(__xludf.DUMMYFUNCTION("""COMPUTED_VALUE"""),0.0)</f>
        <v>0</v>
      </c>
      <c r="AD64" s="26">
        <f>IFERROR(__xludf.DUMMYFUNCTION("""COMPUTED_VALUE"""),0.0)</f>
        <v>0</v>
      </c>
      <c r="AE64" s="26">
        <f>IFERROR(__xludf.DUMMYFUNCTION("""COMPUTED_VALUE"""),0.0)</f>
        <v>0</v>
      </c>
    </row>
    <row r="65">
      <c r="A65" s="26">
        <f>IFERROR(__xludf.DUMMYFUNCTION("""COMPUTED_VALUE"""),0.0)</f>
        <v>0</v>
      </c>
      <c r="B65" s="26">
        <f>IFERROR(__xludf.DUMMYFUNCTION("""COMPUTED_VALUE"""),0.0)</f>
        <v>0</v>
      </c>
      <c r="C65" s="26">
        <f>IFERROR(__xludf.DUMMYFUNCTION("""COMPUTED_VALUE"""),0.0)</f>
        <v>0</v>
      </c>
      <c r="D65" s="26">
        <f>IFERROR(__xludf.DUMMYFUNCTION("""COMPUTED_VALUE"""),0.0)</f>
        <v>0</v>
      </c>
      <c r="E65" s="26">
        <f>IFERROR(__xludf.DUMMYFUNCTION("""COMPUTED_VALUE"""),0.0)</f>
        <v>0</v>
      </c>
      <c r="F65" s="26">
        <f>IFERROR(__xludf.DUMMYFUNCTION("""COMPUTED_VALUE"""),0.0)</f>
        <v>0</v>
      </c>
      <c r="G65" s="26">
        <f>IFERROR(__xludf.DUMMYFUNCTION("""COMPUTED_VALUE"""),0.0)</f>
        <v>0</v>
      </c>
      <c r="H65" s="26">
        <f>IFERROR(__xludf.DUMMYFUNCTION("""COMPUTED_VALUE"""),0.0)</f>
        <v>0</v>
      </c>
      <c r="I65" s="26">
        <f>IFERROR(__xludf.DUMMYFUNCTION("""COMPUTED_VALUE"""),0.0)</f>
        <v>0</v>
      </c>
      <c r="J65" s="26">
        <f>IFERROR(__xludf.DUMMYFUNCTION("""COMPUTED_VALUE"""),0.0)</f>
        <v>0</v>
      </c>
      <c r="K65" s="26">
        <f>IFERROR(__xludf.DUMMYFUNCTION("""COMPUTED_VALUE"""),0.0)</f>
        <v>0</v>
      </c>
      <c r="L65" s="26">
        <f>IFERROR(__xludf.DUMMYFUNCTION("""COMPUTED_VALUE"""),0.0)</f>
        <v>0</v>
      </c>
      <c r="M65" s="26"/>
      <c r="N65" s="26"/>
      <c r="O65" s="26"/>
      <c r="P65" s="26"/>
      <c r="Q65" s="26"/>
      <c r="R65" s="26">
        <f>IFERROR(__xludf.DUMMYFUNCTION("""COMPUTED_VALUE"""),0.0)</f>
        <v>0</v>
      </c>
      <c r="S65" s="26">
        <f>IFERROR(__xludf.DUMMYFUNCTION("""COMPUTED_VALUE"""),0.0)</f>
        <v>0</v>
      </c>
      <c r="T65" s="26">
        <f>IFERROR(__xludf.DUMMYFUNCTION("""COMPUTED_VALUE"""),0.0)</f>
        <v>0</v>
      </c>
      <c r="U65" s="26">
        <f>IFERROR(__xludf.DUMMYFUNCTION("""COMPUTED_VALUE"""),0.0)</f>
        <v>0</v>
      </c>
      <c r="V65" s="26">
        <f>IFERROR(__xludf.DUMMYFUNCTION("""COMPUTED_VALUE"""),0.0)</f>
        <v>0</v>
      </c>
      <c r="W65" s="26">
        <f>IFERROR(__xludf.DUMMYFUNCTION("""COMPUTED_VALUE"""),0.0)</f>
        <v>0</v>
      </c>
      <c r="X65" s="26">
        <f>IFERROR(__xludf.DUMMYFUNCTION("""COMPUTED_VALUE"""),0.0)</f>
        <v>0</v>
      </c>
      <c r="Y65" s="26">
        <f>IFERROR(__xludf.DUMMYFUNCTION("""COMPUTED_VALUE"""),0.0)</f>
        <v>0</v>
      </c>
      <c r="Z65" s="26">
        <f>IFERROR(__xludf.DUMMYFUNCTION("""COMPUTED_VALUE"""),0.0)</f>
        <v>0</v>
      </c>
      <c r="AA65" s="26">
        <f>IFERROR(__xludf.DUMMYFUNCTION("""COMPUTED_VALUE"""),0.0)</f>
        <v>0</v>
      </c>
      <c r="AB65" s="26">
        <f>IFERROR(__xludf.DUMMYFUNCTION("""COMPUTED_VALUE"""),0.0)</f>
        <v>0</v>
      </c>
      <c r="AC65" s="26">
        <f>IFERROR(__xludf.DUMMYFUNCTION("""COMPUTED_VALUE"""),0.0)</f>
        <v>0</v>
      </c>
      <c r="AD65" s="26">
        <f>IFERROR(__xludf.DUMMYFUNCTION("""COMPUTED_VALUE"""),0.0)</f>
        <v>0</v>
      </c>
      <c r="AE65" s="26">
        <f>IFERROR(__xludf.DUMMYFUNCTION("""COMPUTED_VALUE"""),0.0)</f>
        <v>0</v>
      </c>
    </row>
    <row r="66">
      <c r="A66" s="26">
        <f>IFERROR(__xludf.DUMMYFUNCTION("""COMPUTED_VALUE"""),0.0)</f>
        <v>0</v>
      </c>
      <c r="B66" s="26">
        <f>IFERROR(__xludf.DUMMYFUNCTION("""COMPUTED_VALUE"""),0.0)</f>
        <v>0</v>
      </c>
      <c r="C66" s="26">
        <f>IFERROR(__xludf.DUMMYFUNCTION("""COMPUTED_VALUE"""),0.0)</f>
        <v>0</v>
      </c>
      <c r="D66" s="26">
        <f>IFERROR(__xludf.DUMMYFUNCTION("""COMPUTED_VALUE"""),0.0)</f>
        <v>0</v>
      </c>
      <c r="E66" s="26">
        <f>IFERROR(__xludf.DUMMYFUNCTION("""COMPUTED_VALUE"""),0.0)</f>
        <v>0</v>
      </c>
      <c r="F66" s="26">
        <f>IFERROR(__xludf.DUMMYFUNCTION("""COMPUTED_VALUE"""),0.0)</f>
        <v>0</v>
      </c>
      <c r="G66" s="26">
        <f>IFERROR(__xludf.DUMMYFUNCTION("""COMPUTED_VALUE"""),0.0)</f>
        <v>0</v>
      </c>
      <c r="H66" s="26">
        <f>IFERROR(__xludf.DUMMYFUNCTION("""COMPUTED_VALUE"""),0.0)</f>
        <v>0</v>
      </c>
      <c r="I66" s="26">
        <f>IFERROR(__xludf.DUMMYFUNCTION("""COMPUTED_VALUE"""),0.0)</f>
        <v>0</v>
      </c>
      <c r="J66" s="26">
        <f>IFERROR(__xludf.DUMMYFUNCTION("""COMPUTED_VALUE"""),0.0)</f>
        <v>0</v>
      </c>
      <c r="K66" s="26">
        <f>IFERROR(__xludf.DUMMYFUNCTION("""COMPUTED_VALUE"""),0.0)</f>
        <v>0</v>
      </c>
      <c r="L66" s="26">
        <f>IFERROR(__xludf.DUMMYFUNCTION("""COMPUTED_VALUE"""),0.0)</f>
        <v>0</v>
      </c>
      <c r="M66" s="26"/>
      <c r="N66" s="26"/>
      <c r="O66" s="26"/>
      <c r="P66" s="26"/>
      <c r="Q66" s="26"/>
      <c r="R66" s="26">
        <f>IFERROR(__xludf.DUMMYFUNCTION("""COMPUTED_VALUE"""),0.0)</f>
        <v>0</v>
      </c>
      <c r="S66" s="26">
        <f>IFERROR(__xludf.DUMMYFUNCTION("""COMPUTED_VALUE"""),0.0)</f>
        <v>0</v>
      </c>
      <c r="T66" s="26">
        <f>IFERROR(__xludf.DUMMYFUNCTION("""COMPUTED_VALUE"""),0.0)</f>
        <v>0</v>
      </c>
      <c r="U66" s="26">
        <f>IFERROR(__xludf.DUMMYFUNCTION("""COMPUTED_VALUE"""),0.0)</f>
        <v>0</v>
      </c>
      <c r="V66" s="26">
        <f>IFERROR(__xludf.DUMMYFUNCTION("""COMPUTED_VALUE"""),0.0)</f>
        <v>0</v>
      </c>
      <c r="W66" s="26">
        <f>IFERROR(__xludf.DUMMYFUNCTION("""COMPUTED_VALUE"""),0.0)</f>
        <v>0</v>
      </c>
      <c r="X66" s="26">
        <f>IFERROR(__xludf.DUMMYFUNCTION("""COMPUTED_VALUE"""),0.0)</f>
        <v>0</v>
      </c>
      <c r="Y66" s="26">
        <f>IFERROR(__xludf.DUMMYFUNCTION("""COMPUTED_VALUE"""),0.0)</f>
        <v>0</v>
      </c>
      <c r="Z66" s="26">
        <f>IFERROR(__xludf.DUMMYFUNCTION("""COMPUTED_VALUE"""),0.0)</f>
        <v>0</v>
      </c>
      <c r="AA66" s="26">
        <f>IFERROR(__xludf.DUMMYFUNCTION("""COMPUTED_VALUE"""),0.0)</f>
        <v>0</v>
      </c>
      <c r="AB66" s="26">
        <f>IFERROR(__xludf.DUMMYFUNCTION("""COMPUTED_VALUE"""),0.0)</f>
        <v>0</v>
      </c>
      <c r="AC66" s="26">
        <f>IFERROR(__xludf.DUMMYFUNCTION("""COMPUTED_VALUE"""),0.0)</f>
        <v>0</v>
      </c>
      <c r="AD66" s="26">
        <f>IFERROR(__xludf.DUMMYFUNCTION("""COMPUTED_VALUE"""),0.0)</f>
        <v>0</v>
      </c>
      <c r="AE66" s="26">
        <f>IFERROR(__xludf.DUMMYFUNCTION("""COMPUTED_VALUE"""),0.0)</f>
        <v>0</v>
      </c>
    </row>
    <row r="67">
      <c r="A67" s="26">
        <f>IFERROR(__xludf.DUMMYFUNCTION("""COMPUTED_VALUE"""),0.0)</f>
        <v>0</v>
      </c>
      <c r="B67" s="26">
        <f>IFERROR(__xludf.DUMMYFUNCTION("""COMPUTED_VALUE"""),0.0)</f>
        <v>0</v>
      </c>
      <c r="C67" s="26">
        <f>IFERROR(__xludf.DUMMYFUNCTION("""COMPUTED_VALUE"""),0.0)</f>
        <v>0</v>
      </c>
      <c r="D67" s="26">
        <f>IFERROR(__xludf.DUMMYFUNCTION("""COMPUTED_VALUE"""),0.0)</f>
        <v>0</v>
      </c>
      <c r="E67" s="26">
        <f>IFERROR(__xludf.DUMMYFUNCTION("""COMPUTED_VALUE"""),0.0)</f>
        <v>0</v>
      </c>
      <c r="F67" s="26">
        <f>IFERROR(__xludf.DUMMYFUNCTION("""COMPUTED_VALUE"""),0.0)</f>
        <v>0</v>
      </c>
      <c r="G67" s="26">
        <f>IFERROR(__xludf.DUMMYFUNCTION("""COMPUTED_VALUE"""),0.0)</f>
        <v>0</v>
      </c>
      <c r="H67" s="26">
        <f>IFERROR(__xludf.DUMMYFUNCTION("""COMPUTED_VALUE"""),0.0)</f>
        <v>0</v>
      </c>
      <c r="I67" s="26">
        <f>IFERROR(__xludf.DUMMYFUNCTION("""COMPUTED_VALUE"""),0.0)</f>
        <v>0</v>
      </c>
      <c r="J67" s="26">
        <f>IFERROR(__xludf.DUMMYFUNCTION("""COMPUTED_VALUE"""),0.0)</f>
        <v>0</v>
      </c>
      <c r="K67" s="26">
        <f>IFERROR(__xludf.DUMMYFUNCTION("""COMPUTED_VALUE"""),0.0)</f>
        <v>0</v>
      </c>
      <c r="L67" s="26">
        <f>IFERROR(__xludf.DUMMYFUNCTION("""COMPUTED_VALUE"""),0.0)</f>
        <v>0</v>
      </c>
      <c r="M67" s="26"/>
      <c r="N67" s="26"/>
      <c r="O67" s="26"/>
      <c r="P67" s="26"/>
      <c r="Q67" s="26"/>
      <c r="R67" s="26">
        <f>IFERROR(__xludf.DUMMYFUNCTION("""COMPUTED_VALUE"""),0.0)</f>
        <v>0</v>
      </c>
      <c r="S67" s="26">
        <f>IFERROR(__xludf.DUMMYFUNCTION("""COMPUTED_VALUE"""),0.0)</f>
        <v>0</v>
      </c>
      <c r="T67" s="26">
        <f>IFERROR(__xludf.DUMMYFUNCTION("""COMPUTED_VALUE"""),0.0)</f>
        <v>0</v>
      </c>
      <c r="U67" s="26">
        <f>IFERROR(__xludf.DUMMYFUNCTION("""COMPUTED_VALUE"""),0.0)</f>
        <v>0</v>
      </c>
      <c r="V67" s="26">
        <f>IFERROR(__xludf.DUMMYFUNCTION("""COMPUTED_VALUE"""),0.0)</f>
        <v>0</v>
      </c>
      <c r="W67" s="26">
        <f>IFERROR(__xludf.DUMMYFUNCTION("""COMPUTED_VALUE"""),0.0)</f>
        <v>0</v>
      </c>
      <c r="X67" s="26">
        <f>IFERROR(__xludf.DUMMYFUNCTION("""COMPUTED_VALUE"""),0.0)</f>
        <v>0</v>
      </c>
      <c r="Y67" s="26">
        <f>IFERROR(__xludf.DUMMYFUNCTION("""COMPUTED_VALUE"""),0.0)</f>
        <v>0</v>
      </c>
      <c r="Z67" s="26">
        <f>IFERROR(__xludf.DUMMYFUNCTION("""COMPUTED_VALUE"""),0.0)</f>
        <v>0</v>
      </c>
      <c r="AA67" s="26">
        <f>IFERROR(__xludf.DUMMYFUNCTION("""COMPUTED_VALUE"""),0.0)</f>
        <v>0</v>
      </c>
      <c r="AB67" s="26">
        <f>IFERROR(__xludf.DUMMYFUNCTION("""COMPUTED_VALUE"""),0.0)</f>
        <v>0</v>
      </c>
      <c r="AC67" s="26">
        <f>IFERROR(__xludf.DUMMYFUNCTION("""COMPUTED_VALUE"""),0.0)</f>
        <v>0</v>
      </c>
      <c r="AD67" s="26">
        <f>IFERROR(__xludf.DUMMYFUNCTION("""COMPUTED_VALUE"""),0.0)</f>
        <v>0</v>
      </c>
      <c r="AE67" s="26">
        <f>IFERROR(__xludf.DUMMYFUNCTION("""COMPUTED_VALUE"""),0.0)</f>
        <v>0</v>
      </c>
    </row>
    <row r="68">
      <c r="A68" s="26">
        <f>IFERROR(__xludf.DUMMYFUNCTION("""COMPUTED_VALUE"""),0.0)</f>
        <v>0</v>
      </c>
      <c r="B68" s="26">
        <f>IFERROR(__xludf.DUMMYFUNCTION("""COMPUTED_VALUE"""),0.0)</f>
        <v>0</v>
      </c>
      <c r="C68" s="26">
        <f>IFERROR(__xludf.DUMMYFUNCTION("""COMPUTED_VALUE"""),0.0)</f>
        <v>0</v>
      </c>
      <c r="D68" s="26">
        <f>IFERROR(__xludf.DUMMYFUNCTION("""COMPUTED_VALUE"""),0.0)</f>
        <v>0</v>
      </c>
      <c r="E68" s="26">
        <f>IFERROR(__xludf.DUMMYFUNCTION("""COMPUTED_VALUE"""),0.0)</f>
        <v>0</v>
      </c>
      <c r="F68" s="26">
        <f>IFERROR(__xludf.DUMMYFUNCTION("""COMPUTED_VALUE"""),0.0)</f>
        <v>0</v>
      </c>
      <c r="G68" s="26">
        <f>IFERROR(__xludf.DUMMYFUNCTION("""COMPUTED_VALUE"""),0.0)</f>
        <v>0</v>
      </c>
      <c r="H68" s="26">
        <f>IFERROR(__xludf.DUMMYFUNCTION("""COMPUTED_VALUE"""),0.0)</f>
        <v>0</v>
      </c>
      <c r="I68" s="26">
        <f>IFERROR(__xludf.DUMMYFUNCTION("""COMPUTED_VALUE"""),0.0)</f>
        <v>0</v>
      </c>
      <c r="J68" s="26">
        <f>IFERROR(__xludf.DUMMYFUNCTION("""COMPUTED_VALUE"""),0.0)</f>
        <v>0</v>
      </c>
      <c r="K68" s="26">
        <f>IFERROR(__xludf.DUMMYFUNCTION("""COMPUTED_VALUE"""),0.0)</f>
        <v>0</v>
      </c>
      <c r="L68" s="26">
        <f>IFERROR(__xludf.DUMMYFUNCTION("""COMPUTED_VALUE"""),0.0)</f>
        <v>0</v>
      </c>
      <c r="M68" s="26"/>
      <c r="N68" s="26"/>
      <c r="O68" s="26"/>
      <c r="P68" s="26"/>
      <c r="Q68" s="26"/>
      <c r="R68" s="26">
        <f>IFERROR(__xludf.DUMMYFUNCTION("""COMPUTED_VALUE"""),0.0)</f>
        <v>0</v>
      </c>
      <c r="S68" s="26">
        <f>IFERROR(__xludf.DUMMYFUNCTION("""COMPUTED_VALUE"""),0.0)</f>
        <v>0</v>
      </c>
      <c r="T68" s="26">
        <f>IFERROR(__xludf.DUMMYFUNCTION("""COMPUTED_VALUE"""),0.0)</f>
        <v>0</v>
      </c>
      <c r="U68" s="26">
        <f>IFERROR(__xludf.DUMMYFUNCTION("""COMPUTED_VALUE"""),0.0)</f>
        <v>0</v>
      </c>
      <c r="V68" s="26">
        <f>IFERROR(__xludf.DUMMYFUNCTION("""COMPUTED_VALUE"""),0.0)</f>
        <v>0</v>
      </c>
      <c r="W68" s="26">
        <f>IFERROR(__xludf.DUMMYFUNCTION("""COMPUTED_VALUE"""),0.0)</f>
        <v>0</v>
      </c>
      <c r="X68" s="26">
        <f>IFERROR(__xludf.DUMMYFUNCTION("""COMPUTED_VALUE"""),0.0)</f>
        <v>0</v>
      </c>
      <c r="Y68" s="26">
        <f>IFERROR(__xludf.DUMMYFUNCTION("""COMPUTED_VALUE"""),0.0)</f>
        <v>0</v>
      </c>
      <c r="Z68" s="26">
        <f>IFERROR(__xludf.DUMMYFUNCTION("""COMPUTED_VALUE"""),0.0)</f>
        <v>0</v>
      </c>
      <c r="AA68" s="26">
        <f>IFERROR(__xludf.DUMMYFUNCTION("""COMPUTED_VALUE"""),0.0)</f>
        <v>0</v>
      </c>
      <c r="AB68" s="26">
        <f>IFERROR(__xludf.DUMMYFUNCTION("""COMPUTED_VALUE"""),0.0)</f>
        <v>0</v>
      </c>
      <c r="AC68" s="26">
        <f>IFERROR(__xludf.DUMMYFUNCTION("""COMPUTED_VALUE"""),0.0)</f>
        <v>0</v>
      </c>
      <c r="AD68" s="26">
        <f>IFERROR(__xludf.DUMMYFUNCTION("""COMPUTED_VALUE"""),0.0)</f>
        <v>0</v>
      </c>
      <c r="AE68" s="26">
        <f>IFERROR(__xludf.DUMMYFUNCTION("""COMPUTED_VALUE"""),0.0)</f>
        <v>0</v>
      </c>
    </row>
    <row r="69">
      <c r="A69" s="26">
        <f>IFERROR(__xludf.DUMMYFUNCTION("""COMPUTED_VALUE"""),0.0)</f>
        <v>0</v>
      </c>
      <c r="B69" s="26">
        <f>IFERROR(__xludf.DUMMYFUNCTION("""COMPUTED_VALUE"""),0.0)</f>
        <v>0</v>
      </c>
      <c r="C69" s="26">
        <f>IFERROR(__xludf.DUMMYFUNCTION("""COMPUTED_VALUE"""),0.0)</f>
        <v>0</v>
      </c>
      <c r="D69" s="26">
        <f>IFERROR(__xludf.DUMMYFUNCTION("""COMPUTED_VALUE"""),0.0)</f>
        <v>0</v>
      </c>
      <c r="E69" s="26">
        <f>IFERROR(__xludf.DUMMYFUNCTION("""COMPUTED_VALUE"""),56.0)</f>
        <v>56</v>
      </c>
      <c r="F69" s="26">
        <f>IFERROR(__xludf.DUMMYFUNCTION("""COMPUTED_VALUE"""),0.0)</f>
        <v>0</v>
      </c>
      <c r="G69" s="26">
        <f>IFERROR(__xludf.DUMMYFUNCTION("""COMPUTED_VALUE"""),0.0)</f>
        <v>0</v>
      </c>
      <c r="H69" s="26">
        <f>IFERROR(__xludf.DUMMYFUNCTION("""COMPUTED_VALUE"""),0.0)</f>
        <v>0</v>
      </c>
      <c r="I69" s="26">
        <f>IFERROR(__xludf.DUMMYFUNCTION("""COMPUTED_VALUE"""),0.0)</f>
        <v>0</v>
      </c>
      <c r="J69" s="26">
        <f>IFERROR(__xludf.DUMMYFUNCTION("""COMPUTED_VALUE"""),0.0)</f>
        <v>0</v>
      </c>
      <c r="K69" s="26">
        <f>IFERROR(__xludf.DUMMYFUNCTION("""COMPUTED_VALUE"""),0.0)</f>
        <v>0</v>
      </c>
      <c r="L69" s="26">
        <f>IFERROR(__xludf.DUMMYFUNCTION("""COMPUTED_VALUE"""),0.0)</f>
        <v>0</v>
      </c>
      <c r="M69" s="26"/>
      <c r="N69" s="26"/>
      <c r="O69" s="26"/>
      <c r="P69" s="26"/>
      <c r="Q69" s="26"/>
      <c r="R69" s="26">
        <f>IFERROR(__xludf.DUMMYFUNCTION("""COMPUTED_VALUE"""),56.0)</f>
        <v>56</v>
      </c>
      <c r="S69" s="26">
        <f>IFERROR(__xludf.DUMMYFUNCTION("""COMPUTED_VALUE"""),103600.0)</f>
        <v>103600</v>
      </c>
      <c r="T69" s="26">
        <f>IFERROR(__xludf.DUMMYFUNCTION("""COMPUTED_VALUE"""),9520.0)</f>
        <v>9520</v>
      </c>
      <c r="U69" s="26">
        <f>IFERROR(__xludf.DUMMYFUNCTION("""COMPUTED_VALUE"""),25323.200000000015)</f>
        <v>25323.2</v>
      </c>
      <c r="V69" s="26">
        <f>IFERROR(__xludf.DUMMYFUNCTION("""COMPUTED_VALUE"""),0.0)</f>
        <v>0</v>
      </c>
      <c r="W69" s="26">
        <f>IFERROR(__xludf.DUMMYFUNCTION("""COMPUTED_VALUE"""),0.0)</f>
        <v>0</v>
      </c>
      <c r="X69" s="26">
        <f>IFERROR(__xludf.DUMMYFUNCTION("""COMPUTED_VALUE"""),15803.200000000015)</f>
        <v>15803.2</v>
      </c>
      <c r="Y69" s="26">
        <f>IFERROR(__xludf.DUMMYFUNCTION("""COMPUTED_VALUE"""),15803.200000000015)</f>
        <v>15803.2</v>
      </c>
      <c r="Z69" s="26">
        <f>IFERROR(__xludf.DUMMYFUNCTION("""COMPUTED_VALUE"""),0.0)</f>
        <v>0</v>
      </c>
      <c r="AA69" s="26">
        <f>IFERROR(__xludf.DUMMYFUNCTION("""COMPUTED_VALUE"""),0.0)</f>
        <v>0</v>
      </c>
      <c r="AB69" s="26">
        <f>IFERROR(__xludf.DUMMYFUNCTION("""COMPUTED_VALUE"""),0.0)</f>
        <v>0</v>
      </c>
      <c r="AC69" s="26">
        <f>IFERROR(__xludf.DUMMYFUNCTION("""COMPUTED_VALUE"""),0.0)</f>
        <v>0</v>
      </c>
      <c r="AD69" s="26">
        <f>IFERROR(__xludf.DUMMYFUNCTION("""COMPUTED_VALUE"""),0.0)</f>
        <v>0</v>
      </c>
      <c r="AE69" s="26">
        <f>IFERROR(__xludf.DUMMYFUNCTION("""COMPUTED_VALUE"""),0.0)</f>
        <v>0</v>
      </c>
    </row>
    <row r="70">
      <c r="A70" s="26">
        <f>IFERROR(__xludf.DUMMYFUNCTION("""COMPUTED_VALUE"""),0.0)</f>
        <v>0</v>
      </c>
      <c r="B70" s="26">
        <f>IFERROR(__xludf.DUMMYFUNCTION("""COMPUTED_VALUE"""),0.0)</f>
        <v>0</v>
      </c>
      <c r="C70" s="26">
        <f>IFERROR(__xludf.DUMMYFUNCTION("""COMPUTED_VALUE"""),0.0)</f>
        <v>0</v>
      </c>
      <c r="D70" s="26">
        <f>IFERROR(__xludf.DUMMYFUNCTION("""COMPUTED_VALUE"""),0.0)</f>
        <v>0</v>
      </c>
      <c r="E70" s="26">
        <f>IFERROR(__xludf.DUMMYFUNCTION("""COMPUTED_VALUE"""),24.0)</f>
        <v>24</v>
      </c>
      <c r="F70" s="26">
        <f>IFERROR(__xludf.DUMMYFUNCTION("""COMPUTED_VALUE"""),0.0)</f>
        <v>0</v>
      </c>
      <c r="G70" s="26">
        <f>IFERROR(__xludf.DUMMYFUNCTION("""COMPUTED_VALUE"""),0.0)</f>
        <v>0</v>
      </c>
      <c r="H70" s="26">
        <f>IFERROR(__xludf.DUMMYFUNCTION("""COMPUTED_VALUE"""),0.0)</f>
        <v>0</v>
      </c>
      <c r="I70" s="26">
        <f>IFERROR(__xludf.DUMMYFUNCTION("""COMPUTED_VALUE"""),0.0)</f>
        <v>0</v>
      </c>
      <c r="J70" s="26">
        <f>IFERROR(__xludf.DUMMYFUNCTION("""COMPUTED_VALUE"""),0.0)</f>
        <v>0</v>
      </c>
      <c r="K70" s="26">
        <f>IFERROR(__xludf.DUMMYFUNCTION("""COMPUTED_VALUE"""),0.0)</f>
        <v>0</v>
      </c>
      <c r="L70" s="26">
        <f>IFERROR(__xludf.DUMMYFUNCTION("""COMPUTED_VALUE"""),0.0)</f>
        <v>0</v>
      </c>
      <c r="M70" s="26"/>
      <c r="N70" s="26"/>
      <c r="O70" s="26"/>
      <c r="P70" s="26"/>
      <c r="Q70" s="26"/>
      <c r="R70" s="26">
        <f>IFERROR(__xludf.DUMMYFUNCTION("""COMPUTED_VALUE"""),24.0)</f>
        <v>24</v>
      </c>
      <c r="S70" s="26">
        <f>IFERROR(__xludf.DUMMYFUNCTION("""COMPUTED_VALUE"""),44400.0)</f>
        <v>44400</v>
      </c>
      <c r="T70" s="26">
        <f>IFERROR(__xludf.DUMMYFUNCTION("""COMPUTED_VALUE"""),4080.0)</f>
        <v>4080</v>
      </c>
      <c r="U70" s="26">
        <f>IFERROR(__xludf.DUMMYFUNCTION("""COMPUTED_VALUE"""),10852.799999999997)</f>
        <v>10852.8</v>
      </c>
      <c r="V70" s="26">
        <f>IFERROR(__xludf.DUMMYFUNCTION("""COMPUTED_VALUE"""),0.0)</f>
        <v>0</v>
      </c>
      <c r="W70" s="26">
        <f>IFERROR(__xludf.DUMMYFUNCTION("""COMPUTED_VALUE"""),0.0)</f>
        <v>0</v>
      </c>
      <c r="X70" s="26">
        <f>IFERROR(__xludf.DUMMYFUNCTION("""COMPUTED_VALUE"""),6772.799999999997)</f>
        <v>6772.8</v>
      </c>
      <c r="Y70" s="26">
        <f>IFERROR(__xludf.DUMMYFUNCTION("""COMPUTED_VALUE"""),6772.799999999997)</f>
        <v>6772.8</v>
      </c>
      <c r="Z70" s="26">
        <f>IFERROR(__xludf.DUMMYFUNCTION("""COMPUTED_VALUE"""),0.0)</f>
        <v>0</v>
      </c>
      <c r="AA70" s="26">
        <f>IFERROR(__xludf.DUMMYFUNCTION("""COMPUTED_VALUE"""),0.0)</f>
        <v>0</v>
      </c>
      <c r="AB70" s="26">
        <f>IFERROR(__xludf.DUMMYFUNCTION("""COMPUTED_VALUE"""),0.0)</f>
        <v>0</v>
      </c>
      <c r="AC70" s="26">
        <f>IFERROR(__xludf.DUMMYFUNCTION("""COMPUTED_VALUE"""),0.0)</f>
        <v>0</v>
      </c>
      <c r="AD70" s="26">
        <f>IFERROR(__xludf.DUMMYFUNCTION("""COMPUTED_VALUE"""),0.0)</f>
        <v>0</v>
      </c>
      <c r="AE70" s="26">
        <f>IFERROR(__xludf.DUMMYFUNCTION("""COMPUTED_VALUE"""),0.0)</f>
        <v>0</v>
      </c>
    </row>
    <row r="71">
      <c r="A71" s="26">
        <f>IFERROR(__xludf.DUMMYFUNCTION("""COMPUTED_VALUE"""),0.0)</f>
        <v>0</v>
      </c>
      <c r="B71" s="26">
        <f>IFERROR(__xludf.DUMMYFUNCTION("""COMPUTED_VALUE"""),0.0)</f>
        <v>0</v>
      </c>
      <c r="C71" s="26">
        <f>IFERROR(__xludf.DUMMYFUNCTION("""COMPUTED_VALUE"""),0.0)</f>
        <v>0</v>
      </c>
      <c r="D71" s="26">
        <f>IFERROR(__xludf.DUMMYFUNCTION("""COMPUTED_VALUE"""),0.0)</f>
        <v>0</v>
      </c>
      <c r="E71" s="26">
        <f>IFERROR(__xludf.DUMMYFUNCTION("""COMPUTED_VALUE"""),0.0)</f>
        <v>0</v>
      </c>
      <c r="F71" s="26">
        <f>IFERROR(__xludf.DUMMYFUNCTION("""COMPUTED_VALUE"""),0.0)</f>
        <v>0</v>
      </c>
      <c r="G71" s="26">
        <f>IFERROR(__xludf.DUMMYFUNCTION("""COMPUTED_VALUE"""),0.0)</f>
        <v>0</v>
      </c>
      <c r="H71" s="26">
        <f>IFERROR(__xludf.DUMMYFUNCTION("""COMPUTED_VALUE"""),0.0)</f>
        <v>0</v>
      </c>
      <c r="I71" s="26">
        <f>IFERROR(__xludf.DUMMYFUNCTION("""COMPUTED_VALUE"""),0.0)</f>
        <v>0</v>
      </c>
      <c r="J71" s="26">
        <f>IFERROR(__xludf.DUMMYFUNCTION("""COMPUTED_VALUE"""),0.0)</f>
        <v>0</v>
      </c>
      <c r="K71" s="26">
        <f>IFERROR(__xludf.DUMMYFUNCTION("""COMPUTED_VALUE"""),0.0)</f>
        <v>0</v>
      </c>
      <c r="L71" s="26">
        <f>IFERROR(__xludf.DUMMYFUNCTION("""COMPUTED_VALUE"""),0.0)</f>
        <v>0</v>
      </c>
      <c r="M71" s="26"/>
      <c r="N71" s="26"/>
      <c r="O71" s="26"/>
      <c r="P71" s="26"/>
      <c r="Q71" s="26"/>
      <c r="R71" s="26">
        <f>IFERROR(__xludf.DUMMYFUNCTION("""COMPUTED_VALUE"""),0.0)</f>
        <v>0</v>
      </c>
      <c r="S71" s="26">
        <f>IFERROR(__xludf.DUMMYFUNCTION("""COMPUTED_VALUE"""),0.0)</f>
        <v>0</v>
      </c>
      <c r="T71" s="26">
        <f>IFERROR(__xludf.DUMMYFUNCTION("""COMPUTED_VALUE"""),0.0)</f>
        <v>0</v>
      </c>
      <c r="U71" s="26">
        <f>IFERROR(__xludf.DUMMYFUNCTION("""COMPUTED_VALUE"""),0.0)</f>
        <v>0</v>
      </c>
      <c r="V71" s="26">
        <f>IFERROR(__xludf.DUMMYFUNCTION("""COMPUTED_VALUE"""),0.0)</f>
        <v>0</v>
      </c>
      <c r="W71" s="26">
        <f>IFERROR(__xludf.DUMMYFUNCTION("""COMPUTED_VALUE"""),0.0)</f>
        <v>0</v>
      </c>
      <c r="X71" s="26">
        <f>IFERROR(__xludf.DUMMYFUNCTION("""COMPUTED_VALUE"""),0.0)</f>
        <v>0</v>
      </c>
      <c r="Y71" s="26">
        <f>IFERROR(__xludf.DUMMYFUNCTION("""COMPUTED_VALUE"""),0.0)</f>
        <v>0</v>
      </c>
      <c r="Z71" s="26">
        <f>IFERROR(__xludf.DUMMYFUNCTION("""COMPUTED_VALUE"""),0.0)</f>
        <v>0</v>
      </c>
      <c r="AA71" s="26">
        <f>IFERROR(__xludf.DUMMYFUNCTION("""COMPUTED_VALUE"""),0.0)</f>
        <v>0</v>
      </c>
      <c r="AB71" s="26">
        <f>IFERROR(__xludf.DUMMYFUNCTION("""COMPUTED_VALUE"""),0.0)</f>
        <v>0</v>
      </c>
      <c r="AC71" s="26">
        <f>IFERROR(__xludf.DUMMYFUNCTION("""COMPUTED_VALUE"""),0.0)</f>
        <v>0</v>
      </c>
      <c r="AD71" s="26">
        <f>IFERROR(__xludf.DUMMYFUNCTION("""COMPUTED_VALUE"""),0.0)</f>
        <v>0</v>
      </c>
      <c r="AE71" s="26">
        <f>IFERROR(__xludf.DUMMYFUNCTION("""COMPUTED_VALUE"""),0.0)</f>
        <v>0</v>
      </c>
    </row>
    <row r="72">
      <c r="A72" s="26">
        <f>IFERROR(__xludf.DUMMYFUNCTION("""COMPUTED_VALUE"""),0.0)</f>
        <v>0</v>
      </c>
      <c r="B72" s="26">
        <f>IFERROR(__xludf.DUMMYFUNCTION("""COMPUTED_VALUE"""),0.0)</f>
        <v>0</v>
      </c>
      <c r="C72" s="26">
        <f>IFERROR(__xludf.DUMMYFUNCTION("""COMPUTED_VALUE"""),0.0)</f>
        <v>0</v>
      </c>
      <c r="D72" s="26">
        <f>IFERROR(__xludf.DUMMYFUNCTION("""COMPUTED_VALUE"""),0.0)</f>
        <v>0</v>
      </c>
      <c r="E72" s="26">
        <f>IFERROR(__xludf.DUMMYFUNCTION("""COMPUTED_VALUE"""),0.0)</f>
        <v>0</v>
      </c>
      <c r="F72" s="26">
        <f>IFERROR(__xludf.DUMMYFUNCTION("""COMPUTED_VALUE"""),0.0)</f>
        <v>0</v>
      </c>
      <c r="G72" s="26">
        <f>IFERROR(__xludf.DUMMYFUNCTION("""COMPUTED_VALUE"""),0.0)</f>
        <v>0</v>
      </c>
      <c r="H72" s="26">
        <f>IFERROR(__xludf.DUMMYFUNCTION("""COMPUTED_VALUE"""),0.0)</f>
        <v>0</v>
      </c>
      <c r="I72" s="26">
        <f>IFERROR(__xludf.DUMMYFUNCTION("""COMPUTED_VALUE"""),0.0)</f>
        <v>0</v>
      </c>
      <c r="J72" s="26">
        <f>IFERROR(__xludf.DUMMYFUNCTION("""COMPUTED_VALUE"""),0.0)</f>
        <v>0</v>
      </c>
      <c r="K72" s="26">
        <f>IFERROR(__xludf.DUMMYFUNCTION("""COMPUTED_VALUE"""),0.0)</f>
        <v>0</v>
      </c>
      <c r="L72" s="26">
        <f>IFERROR(__xludf.DUMMYFUNCTION("""COMPUTED_VALUE"""),0.0)</f>
        <v>0</v>
      </c>
      <c r="M72" s="26"/>
      <c r="N72" s="26"/>
      <c r="O72" s="26"/>
      <c r="P72" s="26"/>
      <c r="Q72" s="26"/>
      <c r="R72" s="26">
        <f>IFERROR(__xludf.DUMMYFUNCTION("""COMPUTED_VALUE"""),0.0)</f>
        <v>0</v>
      </c>
      <c r="S72" s="26">
        <f>IFERROR(__xludf.DUMMYFUNCTION("""COMPUTED_VALUE"""),0.0)</f>
        <v>0</v>
      </c>
      <c r="T72" s="26">
        <f>IFERROR(__xludf.DUMMYFUNCTION("""COMPUTED_VALUE"""),0.0)</f>
        <v>0</v>
      </c>
      <c r="U72" s="26">
        <f>IFERROR(__xludf.DUMMYFUNCTION("""COMPUTED_VALUE"""),0.0)</f>
        <v>0</v>
      </c>
      <c r="V72" s="26">
        <f>IFERROR(__xludf.DUMMYFUNCTION("""COMPUTED_VALUE"""),0.0)</f>
        <v>0</v>
      </c>
      <c r="W72" s="26">
        <f>IFERROR(__xludf.DUMMYFUNCTION("""COMPUTED_VALUE"""),0.0)</f>
        <v>0</v>
      </c>
      <c r="X72" s="26">
        <f>IFERROR(__xludf.DUMMYFUNCTION("""COMPUTED_VALUE"""),0.0)</f>
        <v>0</v>
      </c>
      <c r="Y72" s="26">
        <f>IFERROR(__xludf.DUMMYFUNCTION("""COMPUTED_VALUE"""),0.0)</f>
        <v>0</v>
      </c>
      <c r="Z72" s="26">
        <f>IFERROR(__xludf.DUMMYFUNCTION("""COMPUTED_VALUE"""),0.0)</f>
        <v>0</v>
      </c>
      <c r="AA72" s="26">
        <f>IFERROR(__xludf.DUMMYFUNCTION("""COMPUTED_VALUE"""),0.0)</f>
        <v>0</v>
      </c>
      <c r="AB72" s="26">
        <f>IFERROR(__xludf.DUMMYFUNCTION("""COMPUTED_VALUE"""),0.0)</f>
        <v>0</v>
      </c>
      <c r="AC72" s="26">
        <f>IFERROR(__xludf.DUMMYFUNCTION("""COMPUTED_VALUE"""),0.0)</f>
        <v>0</v>
      </c>
      <c r="AD72" s="26">
        <f>IFERROR(__xludf.DUMMYFUNCTION("""COMPUTED_VALUE"""),0.0)</f>
        <v>0</v>
      </c>
      <c r="AE72" s="26">
        <f>IFERROR(__xludf.DUMMYFUNCTION("""COMPUTED_VALUE"""),0.0)</f>
        <v>0</v>
      </c>
    </row>
    <row r="73">
      <c r="A73" s="26">
        <f>IFERROR(__xludf.DUMMYFUNCTION("""COMPUTED_VALUE"""),0.0)</f>
        <v>0</v>
      </c>
      <c r="B73" s="26">
        <f>IFERROR(__xludf.DUMMYFUNCTION("""COMPUTED_VALUE"""),0.0)</f>
        <v>0</v>
      </c>
      <c r="C73" s="26">
        <f>IFERROR(__xludf.DUMMYFUNCTION("""COMPUTED_VALUE"""),0.0)</f>
        <v>0</v>
      </c>
      <c r="D73" s="26">
        <f>IFERROR(__xludf.DUMMYFUNCTION("""COMPUTED_VALUE"""),0.0)</f>
        <v>0</v>
      </c>
      <c r="E73" s="26">
        <f>IFERROR(__xludf.DUMMYFUNCTION("""COMPUTED_VALUE"""),0.0)</f>
        <v>0</v>
      </c>
      <c r="F73" s="26">
        <f>IFERROR(__xludf.DUMMYFUNCTION("""COMPUTED_VALUE"""),0.0)</f>
        <v>0</v>
      </c>
      <c r="G73" s="26">
        <f>IFERROR(__xludf.DUMMYFUNCTION("""COMPUTED_VALUE"""),0.0)</f>
        <v>0</v>
      </c>
      <c r="H73" s="26">
        <f>IFERROR(__xludf.DUMMYFUNCTION("""COMPUTED_VALUE"""),0.0)</f>
        <v>0</v>
      </c>
      <c r="I73" s="26">
        <f>IFERROR(__xludf.DUMMYFUNCTION("""COMPUTED_VALUE"""),0.0)</f>
        <v>0</v>
      </c>
      <c r="J73" s="26">
        <f>IFERROR(__xludf.DUMMYFUNCTION("""COMPUTED_VALUE"""),0.0)</f>
        <v>0</v>
      </c>
      <c r="K73" s="26">
        <f>IFERROR(__xludf.DUMMYFUNCTION("""COMPUTED_VALUE"""),0.0)</f>
        <v>0</v>
      </c>
      <c r="L73" s="26">
        <f>IFERROR(__xludf.DUMMYFUNCTION("""COMPUTED_VALUE"""),0.0)</f>
        <v>0</v>
      </c>
      <c r="M73" s="26"/>
      <c r="N73" s="26"/>
      <c r="O73" s="26"/>
      <c r="P73" s="26"/>
      <c r="Q73" s="26"/>
      <c r="R73" s="26">
        <f>IFERROR(__xludf.DUMMYFUNCTION("""COMPUTED_VALUE"""),0.0)</f>
        <v>0</v>
      </c>
      <c r="S73" s="26">
        <f>IFERROR(__xludf.DUMMYFUNCTION("""COMPUTED_VALUE"""),0.0)</f>
        <v>0</v>
      </c>
      <c r="T73" s="26">
        <f>IFERROR(__xludf.DUMMYFUNCTION("""COMPUTED_VALUE"""),0.0)</f>
        <v>0</v>
      </c>
      <c r="U73" s="26">
        <f>IFERROR(__xludf.DUMMYFUNCTION("""COMPUTED_VALUE"""),0.0)</f>
        <v>0</v>
      </c>
      <c r="V73" s="26">
        <f>IFERROR(__xludf.DUMMYFUNCTION("""COMPUTED_VALUE"""),0.0)</f>
        <v>0</v>
      </c>
      <c r="W73" s="26">
        <f>IFERROR(__xludf.DUMMYFUNCTION("""COMPUTED_VALUE"""),0.0)</f>
        <v>0</v>
      </c>
      <c r="X73" s="26">
        <f>IFERROR(__xludf.DUMMYFUNCTION("""COMPUTED_VALUE"""),0.0)</f>
        <v>0</v>
      </c>
      <c r="Y73" s="26">
        <f>IFERROR(__xludf.DUMMYFUNCTION("""COMPUTED_VALUE"""),0.0)</f>
        <v>0</v>
      </c>
      <c r="Z73" s="26">
        <f>IFERROR(__xludf.DUMMYFUNCTION("""COMPUTED_VALUE"""),0.0)</f>
        <v>0</v>
      </c>
      <c r="AA73" s="26">
        <f>IFERROR(__xludf.DUMMYFUNCTION("""COMPUTED_VALUE"""),0.0)</f>
        <v>0</v>
      </c>
      <c r="AB73" s="26">
        <f>IFERROR(__xludf.DUMMYFUNCTION("""COMPUTED_VALUE"""),0.0)</f>
        <v>0</v>
      </c>
      <c r="AC73" s="26">
        <f>IFERROR(__xludf.DUMMYFUNCTION("""COMPUTED_VALUE"""),0.0)</f>
        <v>0</v>
      </c>
      <c r="AD73" s="26">
        <f>IFERROR(__xludf.DUMMYFUNCTION("""COMPUTED_VALUE"""),0.0)</f>
        <v>0</v>
      </c>
      <c r="AE73" s="26">
        <f>IFERROR(__xludf.DUMMYFUNCTION("""COMPUTED_VALUE"""),0.0)</f>
        <v>0</v>
      </c>
    </row>
    <row r="74">
      <c r="A74" s="26">
        <f>IFERROR(__xludf.DUMMYFUNCTION("""COMPUTED_VALUE"""),0.0)</f>
        <v>0</v>
      </c>
      <c r="B74" s="26">
        <f>IFERROR(__xludf.DUMMYFUNCTION("""COMPUTED_VALUE"""),0.0)</f>
        <v>0</v>
      </c>
      <c r="C74" s="26">
        <f>IFERROR(__xludf.DUMMYFUNCTION("""COMPUTED_VALUE"""),0.0)</f>
        <v>0</v>
      </c>
      <c r="D74" s="26">
        <f>IFERROR(__xludf.DUMMYFUNCTION("""COMPUTED_VALUE"""),0.0)</f>
        <v>0</v>
      </c>
      <c r="E74" s="26">
        <f>IFERROR(__xludf.DUMMYFUNCTION("""COMPUTED_VALUE"""),41.0)</f>
        <v>41</v>
      </c>
      <c r="F74" s="26">
        <f>IFERROR(__xludf.DUMMYFUNCTION("""COMPUTED_VALUE"""),0.0)</f>
        <v>0</v>
      </c>
      <c r="G74" s="26">
        <f>IFERROR(__xludf.DUMMYFUNCTION("""COMPUTED_VALUE"""),0.0)</f>
        <v>0</v>
      </c>
      <c r="H74" s="26">
        <f>IFERROR(__xludf.DUMMYFUNCTION("""COMPUTED_VALUE"""),0.0)</f>
        <v>0</v>
      </c>
      <c r="I74" s="26">
        <f>IFERROR(__xludf.DUMMYFUNCTION("""COMPUTED_VALUE"""),0.0)</f>
        <v>0</v>
      </c>
      <c r="J74" s="26">
        <f>IFERROR(__xludf.DUMMYFUNCTION("""COMPUTED_VALUE"""),0.0)</f>
        <v>0</v>
      </c>
      <c r="K74" s="26">
        <f>IFERROR(__xludf.DUMMYFUNCTION("""COMPUTED_VALUE"""),0.0)</f>
        <v>0</v>
      </c>
      <c r="L74" s="26">
        <f>IFERROR(__xludf.DUMMYFUNCTION("""COMPUTED_VALUE"""),0.0)</f>
        <v>0</v>
      </c>
      <c r="M74" s="26"/>
      <c r="N74" s="26"/>
      <c r="O74" s="26"/>
      <c r="P74" s="26"/>
      <c r="Q74" s="26"/>
      <c r="R74" s="26">
        <f>IFERROR(__xludf.DUMMYFUNCTION("""COMPUTED_VALUE"""),41.0)</f>
        <v>41</v>
      </c>
      <c r="S74" s="26">
        <f>IFERROR(__xludf.DUMMYFUNCTION("""COMPUTED_VALUE"""),75850.0)</f>
        <v>75850</v>
      </c>
      <c r="T74" s="26">
        <f>IFERROR(__xludf.DUMMYFUNCTION("""COMPUTED_VALUE"""),6970.0)</f>
        <v>6970</v>
      </c>
      <c r="U74" s="26">
        <f>IFERROR(__xludf.DUMMYFUNCTION("""COMPUTED_VALUE"""),18540.200000000004)</f>
        <v>18540.2</v>
      </c>
      <c r="V74" s="26">
        <f>IFERROR(__xludf.DUMMYFUNCTION("""COMPUTED_VALUE"""),0.0)</f>
        <v>0</v>
      </c>
      <c r="W74" s="26">
        <f>IFERROR(__xludf.DUMMYFUNCTION("""COMPUTED_VALUE"""),0.0)</f>
        <v>0</v>
      </c>
      <c r="X74" s="26">
        <f>IFERROR(__xludf.DUMMYFUNCTION("""COMPUTED_VALUE"""),11570.200000000004)</f>
        <v>11570.2</v>
      </c>
      <c r="Y74" s="26">
        <f>IFERROR(__xludf.DUMMYFUNCTION("""COMPUTED_VALUE"""),11570.200000000004)</f>
        <v>11570.2</v>
      </c>
      <c r="Z74" s="26">
        <f>IFERROR(__xludf.DUMMYFUNCTION("""COMPUTED_VALUE"""),0.0)</f>
        <v>0</v>
      </c>
      <c r="AA74" s="26">
        <f>IFERROR(__xludf.DUMMYFUNCTION("""COMPUTED_VALUE"""),0.0)</f>
        <v>0</v>
      </c>
      <c r="AB74" s="26">
        <f>IFERROR(__xludf.DUMMYFUNCTION("""COMPUTED_VALUE"""),0.0)</f>
        <v>0</v>
      </c>
      <c r="AC74" s="26">
        <f>IFERROR(__xludf.DUMMYFUNCTION("""COMPUTED_VALUE"""),0.0)</f>
        <v>0</v>
      </c>
      <c r="AD74" s="26">
        <f>IFERROR(__xludf.DUMMYFUNCTION("""COMPUTED_VALUE"""),0.0)</f>
        <v>0</v>
      </c>
      <c r="AE74" s="26">
        <f>IFERROR(__xludf.DUMMYFUNCTION("""COMPUTED_VALUE"""),0.0)</f>
        <v>0</v>
      </c>
    </row>
    <row r="75">
      <c r="A75" s="26">
        <f>IFERROR(__xludf.DUMMYFUNCTION("""COMPUTED_VALUE"""),0.0)</f>
        <v>0</v>
      </c>
      <c r="B75" s="26">
        <f>IFERROR(__xludf.DUMMYFUNCTION("""COMPUTED_VALUE"""),0.0)</f>
        <v>0</v>
      </c>
      <c r="C75" s="26">
        <f>IFERROR(__xludf.DUMMYFUNCTION("""COMPUTED_VALUE"""),6.0)</f>
        <v>6</v>
      </c>
      <c r="D75" s="26">
        <f>IFERROR(__xludf.DUMMYFUNCTION("""COMPUTED_VALUE"""),0.0)</f>
        <v>0</v>
      </c>
      <c r="E75" s="26">
        <f>IFERROR(__xludf.DUMMYFUNCTION("""COMPUTED_VALUE"""),0.0)</f>
        <v>0</v>
      </c>
      <c r="F75" s="26">
        <f>IFERROR(__xludf.DUMMYFUNCTION("""COMPUTED_VALUE"""),0.0)</f>
        <v>0</v>
      </c>
      <c r="G75" s="26">
        <f>IFERROR(__xludf.DUMMYFUNCTION("""COMPUTED_VALUE"""),0.0)</f>
        <v>0</v>
      </c>
      <c r="H75" s="26">
        <f>IFERROR(__xludf.DUMMYFUNCTION("""COMPUTED_VALUE"""),0.0)</f>
        <v>0</v>
      </c>
      <c r="I75" s="26">
        <f>IFERROR(__xludf.DUMMYFUNCTION("""COMPUTED_VALUE"""),0.0)</f>
        <v>0</v>
      </c>
      <c r="J75" s="26">
        <f>IFERROR(__xludf.DUMMYFUNCTION("""COMPUTED_VALUE"""),0.0)</f>
        <v>0</v>
      </c>
      <c r="K75" s="26">
        <f>IFERROR(__xludf.DUMMYFUNCTION("""COMPUTED_VALUE"""),0.0)</f>
        <v>0</v>
      </c>
      <c r="L75" s="26">
        <f>IFERROR(__xludf.DUMMYFUNCTION("""COMPUTED_VALUE"""),0.0)</f>
        <v>0</v>
      </c>
      <c r="M75" s="26"/>
      <c r="N75" s="26"/>
      <c r="O75" s="26"/>
      <c r="P75" s="26"/>
      <c r="Q75" s="26"/>
      <c r="R75" s="26">
        <f>IFERROR(__xludf.DUMMYFUNCTION("""COMPUTED_VALUE"""),6.0)</f>
        <v>6</v>
      </c>
      <c r="S75" s="26">
        <f>IFERROR(__xludf.DUMMYFUNCTION("""COMPUTED_VALUE"""),2652.0)</f>
        <v>2652</v>
      </c>
      <c r="T75" s="26">
        <f>IFERROR(__xludf.DUMMYFUNCTION("""COMPUTED_VALUE"""),1230.0)</f>
        <v>1230</v>
      </c>
      <c r="U75" s="26">
        <f>IFERROR(__xludf.DUMMYFUNCTION("""COMPUTED_VALUE"""),1634.52)</f>
        <v>1634.52</v>
      </c>
      <c r="V75" s="26">
        <f>IFERROR(__xludf.DUMMYFUNCTION("""COMPUTED_VALUE"""),0.0)</f>
        <v>0</v>
      </c>
      <c r="W75" s="26">
        <f>IFERROR(__xludf.DUMMYFUNCTION("""COMPUTED_VALUE"""),0.0)</f>
        <v>0</v>
      </c>
      <c r="X75" s="26">
        <f>IFERROR(__xludf.DUMMYFUNCTION("""COMPUTED_VALUE"""),404.52000000000004)</f>
        <v>404.52</v>
      </c>
      <c r="Y75" s="26">
        <f>IFERROR(__xludf.DUMMYFUNCTION("""COMPUTED_VALUE"""),404.52000000000004)</f>
        <v>404.52</v>
      </c>
      <c r="Z75" s="26">
        <f>IFERROR(__xludf.DUMMYFUNCTION("""COMPUTED_VALUE"""),2652.0)</f>
        <v>2652</v>
      </c>
      <c r="AA75" s="26">
        <f>IFERROR(__xludf.DUMMYFUNCTION("""COMPUTED_VALUE"""),1685.4)</f>
        <v>1685.4</v>
      </c>
      <c r="AB75" s="26">
        <f>IFERROR(__xludf.DUMMYFUNCTION("""COMPUTED_VALUE"""),1017.4800000000001)</f>
        <v>1017.48</v>
      </c>
      <c r="AC75" s="26">
        <f>IFERROR(__xludf.DUMMYFUNCTION("""COMPUTED_VALUE"""),0.0)</f>
        <v>0</v>
      </c>
      <c r="AD75" s="26">
        <f>IFERROR(__xludf.DUMMYFUNCTION("""COMPUTED_VALUE"""),50.88000000000001)</f>
        <v>50.88</v>
      </c>
      <c r="AE75" s="26">
        <f>IFERROR(__xludf.DUMMYFUNCTION("""COMPUTED_VALUE"""),966.6)</f>
        <v>966.6</v>
      </c>
    </row>
    <row r="76">
      <c r="A76" s="26">
        <f>IFERROR(__xludf.DUMMYFUNCTION("""COMPUTED_VALUE"""),0.0)</f>
        <v>0</v>
      </c>
      <c r="B76" s="26">
        <f>IFERROR(__xludf.DUMMYFUNCTION("""COMPUTED_VALUE"""),0.0)</f>
        <v>0</v>
      </c>
      <c r="C76" s="26">
        <f>IFERROR(__xludf.DUMMYFUNCTION("""COMPUTED_VALUE"""),0.0)</f>
        <v>0</v>
      </c>
      <c r="D76" s="26">
        <f>IFERROR(__xludf.DUMMYFUNCTION("""COMPUTED_VALUE"""),0.0)</f>
        <v>0</v>
      </c>
      <c r="E76" s="26">
        <f>IFERROR(__xludf.DUMMYFUNCTION("""COMPUTED_VALUE"""),0.0)</f>
        <v>0</v>
      </c>
      <c r="F76" s="26">
        <f>IFERROR(__xludf.DUMMYFUNCTION("""COMPUTED_VALUE"""),0.0)</f>
        <v>0</v>
      </c>
      <c r="G76" s="26">
        <f>IFERROR(__xludf.DUMMYFUNCTION("""COMPUTED_VALUE"""),0.0)</f>
        <v>0</v>
      </c>
      <c r="H76" s="26">
        <f>IFERROR(__xludf.DUMMYFUNCTION("""COMPUTED_VALUE"""),0.0)</f>
        <v>0</v>
      </c>
      <c r="I76" s="26">
        <f>IFERROR(__xludf.DUMMYFUNCTION("""COMPUTED_VALUE"""),0.0)</f>
        <v>0</v>
      </c>
      <c r="J76" s="26">
        <f>IFERROR(__xludf.DUMMYFUNCTION("""COMPUTED_VALUE"""),0.0)</f>
        <v>0</v>
      </c>
      <c r="K76" s="26">
        <f>IFERROR(__xludf.DUMMYFUNCTION("""COMPUTED_VALUE"""),0.0)</f>
        <v>0</v>
      </c>
      <c r="L76" s="26">
        <f>IFERROR(__xludf.DUMMYFUNCTION("""COMPUTED_VALUE"""),0.0)</f>
        <v>0</v>
      </c>
      <c r="M76" s="26"/>
      <c r="N76" s="26"/>
      <c r="O76" s="26"/>
      <c r="P76" s="26"/>
      <c r="Q76" s="26"/>
      <c r="R76" s="26">
        <f>IFERROR(__xludf.DUMMYFUNCTION("""COMPUTED_VALUE"""),0.0)</f>
        <v>0</v>
      </c>
      <c r="S76" s="26">
        <f>IFERROR(__xludf.DUMMYFUNCTION("""COMPUTED_VALUE"""),0.0)</f>
        <v>0</v>
      </c>
      <c r="T76" s="26">
        <f>IFERROR(__xludf.DUMMYFUNCTION("""COMPUTED_VALUE"""),0.0)</f>
        <v>0</v>
      </c>
      <c r="U76" s="26">
        <f>IFERROR(__xludf.DUMMYFUNCTION("""COMPUTED_VALUE"""),0.0)</f>
        <v>0</v>
      </c>
      <c r="V76" s="26">
        <f>IFERROR(__xludf.DUMMYFUNCTION("""COMPUTED_VALUE"""),0.0)</f>
        <v>0</v>
      </c>
      <c r="W76" s="26">
        <f>IFERROR(__xludf.DUMMYFUNCTION("""COMPUTED_VALUE"""),0.0)</f>
        <v>0</v>
      </c>
      <c r="X76" s="26">
        <f>IFERROR(__xludf.DUMMYFUNCTION("""COMPUTED_VALUE"""),0.0)</f>
        <v>0</v>
      </c>
      <c r="Y76" s="26">
        <f>IFERROR(__xludf.DUMMYFUNCTION("""COMPUTED_VALUE"""),0.0)</f>
        <v>0</v>
      </c>
      <c r="Z76" s="26">
        <f>IFERROR(__xludf.DUMMYFUNCTION("""COMPUTED_VALUE"""),0.0)</f>
        <v>0</v>
      </c>
      <c r="AA76" s="26">
        <f>IFERROR(__xludf.DUMMYFUNCTION("""COMPUTED_VALUE"""),0.0)</f>
        <v>0</v>
      </c>
      <c r="AB76" s="26">
        <f>IFERROR(__xludf.DUMMYFUNCTION("""COMPUTED_VALUE"""),0.0)</f>
        <v>0</v>
      </c>
      <c r="AC76" s="26">
        <f>IFERROR(__xludf.DUMMYFUNCTION("""COMPUTED_VALUE"""),0.0)</f>
        <v>0</v>
      </c>
      <c r="AD76" s="26">
        <f>IFERROR(__xludf.DUMMYFUNCTION("""COMPUTED_VALUE"""),0.0)</f>
        <v>0</v>
      </c>
      <c r="AE76" s="26">
        <f>IFERROR(__xludf.DUMMYFUNCTION("""COMPUTED_VALUE"""),0.0)</f>
        <v>0</v>
      </c>
    </row>
    <row r="77">
      <c r="A77" s="26">
        <f>IFERROR(__xludf.DUMMYFUNCTION("""COMPUTED_VALUE"""),0.0)</f>
        <v>0</v>
      </c>
      <c r="B77" s="26">
        <f>IFERROR(__xludf.DUMMYFUNCTION("""COMPUTED_VALUE"""),0.0)</f>
        <v>0</v>
      </c>
      <c r="C77" s="26">
        <f>IFERROR(__xludf.DUMMYFUNCTION("""COMPUTED_VALUE"""),0.0)</f>
        <v>0</v>
      </c>
      <c r="D77" s="26">
        <f>IFERROR(__xludf.DUMMYFUNCTION("""COMPUTED_VALUE"""),0.0)</f>
        <v>0</v>
      </c>
      <c r="E77" s="26">
        <f>IFERROR(__xludf.DUMMYFUNCTION("""COMPUTED_VALUE"""),0.0)</f>
        <v>0</v>
      </c>
      <c r="F77" s="26">
        <f>IFERROR(__xludf.DUMMYFUNCTION("""COMPUTED_VALUE"""),0.0)</f>
        <v>0</v>
      </c>
      <c r="G77" s="26">
        <f>IFERROR(__xludf.DUMMYFUNCTION("""COMPUTED_VALUE"""),0.0)</f>
        <v>0</v>
      </c>
      <c r="H77" s="26">
        <f>IFERROR(__xludf.DUMMYFUNCTION("""COMPUTED_VALUE"""),0.0)</f>
        <v>0</v>
      </c>
      <c r="I77" s="26">
        <f>IFERROR(__xludf.DUMMYFUNCTION("""COMPUTED_VALUE"""),0.0)</f>
        <v>0</v>
      </c>
      <c r="J77" s="26">
        <f>IFERROR(__xludf.DUMMYFUNCTION("""COMPUTED_VALUE"""),0.0)</f>
        <v>0</v>
      </c>
      <c r="K77" s="26">
        <f>IFERROR(__xludf.DUMMYFUNCTION("""COMPUTED_VALUE"""),0.0)</f>
        <v>0</v>
      </c>
      <c r="L77" s="26">
        <f>IFERROR(__xludf.DUMMYFUNCTION("""COMPUTED_VALUE"""),0.0)</f>
        <v>0</v>
      </c>
      <c r="M77" s="26"/>
      <c r="N77" s="26"/>
      <c r="O77" s="26"/>
      <c r="P77" s="26"/>
      <c r="Q77" s="26"/>
      <c r="R77" s="26">
        <f>IFERROR(__xludf.DUMMYFUNCTION("""COMPUTED_VALUE"""),0.0)</f>
        <v>0</v>
      </c>
      <c r="S77" s="26">
        <f>IFERROR(__xludf.DUMMYFUNCTION("""COMPUTED_VALUE"""),0.0)</f>
        <v>0</v>
      </c>
      <c r="T77" s="26">
        <f>IFERROR(__xludf.DUMMYFUNCTION("""COMPUTED_VALUE"""),0.0)</f>
        <v>0</v>
      </c>
      <c r="U77" s="26">
        <f>IFERROR(__xludf.DUMMYFUNCTION("""COMPUTED_VALUE"""),0.0)</f>
        <v>0</v>
      </c>
      <c r="V77" s="26">
        <f>IFERROR(__xludf.DUMMYFUNCTION("""COMPUTED_VALUE"""),0.0)</f>
        <v>0</v>
      </c>
      <c r="W77" s="26">
        <f>IFERROR(__xludf.DUMMYFUNCTION("""COMPUTED_VALUE"""),0.0)</f>
        <v>0</v>
      </c>
      <c r="X77" s="26">
        <f>IFERROR(__xludf.DUMMYFUNCTION("""COMPUTED_VALUE"""),0.0)</f>
        <v>0</v>
      </c>
      <c r="Y77" s="26">
        <f>IFERROR(__xludf.DUMMYFUNCTION("""COMPUTED_VALUE"""),0.0)</f>
        <v>0</v>
      </c>
      <c r="Z77" s="26">
        <f>IFERROR(__xludf.DUMMYFUNCTION("""COMPUTED_VALUE"""),0.0)</f>
        <v>0</v>
      </c>
      <c r="AA77" s="26">
        <f>IFERROR(__xludf.DUMMYFUNCTION("""COMPUTED_VALUE"""),0.0)</f>
        <v>0</v>
      </c>
      <c r="AB77" s="26">
        <f>IFERROR(__xludf.DUMMYFUNCTION("""COMPUTED_VALUE"""),0.0)</f>
        <v>0</v>
      </c>
      <c r="AC77" s="26">
        <f>IFERROR(__xludf.DUMMYFUNCTION("""COMPUTED_VALUE"""),0.0)</f>
        <v>0</v>
      </c>
      <c r="AD77" s="26">
        <f>IFERROR(__xludf.DUMMYFUNCTION("""COMPUTED_VALUE"""),0.0)</f>
        <v>0</v>
      </c>
      <c r="AE77" s="26">
        <f>IFERROR(__xludf.DUMMYFUNCTION("""COMPUTED_VALUE"""),0.0)</f>
        <v>0</v>
      </c>
    </row>
    <row r="78">
      <c r="A78" s="26">
        <f>IFERROR(__xludf.DUMMYFUNCTION("""COMPUTED_VALUE"""),0.0)</f>
        <v>0</v>
      </c>
      <c r="B78" s="26">
        <f>IFERROR(__xludf.DUMMYFUNCTION("""COMPUTED_VALUE"""),0.0)</f>
        <v>0</v>
      </c>
      <c r="C78" s="26">
        <f>IFERROR(__xludf.DUMMYFUNCTION("""COMPUTED_VALUE"""),0.0)</f>
        <v>0</v>
      </c>
      <c r="D78" s="26">
        <f>IFERROR(__xludf.DUMMYFUNCTION("""COMPUTED_VALUE"""),0.0)</f>
        <v>0</v>
      </c>
      <c r="E78" s="26">
        <f>IFERROR(__xludf.DUMMYFUNCTION("""COMPUTED_VALUE"""),0.0)</f>
        <v>0</v>
      </c>
      <c r="F78" s="26">
        <f>IFERROR(__xludf.DUMMYFUNCTION("""COMPUTED_VALUE"""),0.0)</f>
        <v>0</v>
      </c>
      <c r="G78" s="26">
        <f>IFERROR(__xludf.DUMMYFUNCTION("""COMPUTED_VALUE"""),0.0)</f>
        <v>0</v>
      </c>
      <c r="H78" s="26">
        <f>IFERROR(__xludf.DUMMYFUNCTION("""COMPUTED_VALUE"""),0.0)</f>
        <v>0</v>
      </c>
      <c r="I78" s="26">
        <f>IFERROR(__xludf.DUMMYFUNCTION("""COMPUTED_VALUE"""),0.0)</f>
        <v>0</v>
      </c>
      <c r="J78" s="26">
        <f>IFERROR(__xludf.DUMMYFUNCTION("""COMPUTED_VALUE"""),0.0)</f>
        <v>0</v>
      </c>
      <c r="K78" s="26">
        <f>IFERROR(__xludf.DUMMYFUNCTION("""COMPUTED_VALUE"""),0.0)</f>
        <v>0</v>
      </c>
      <c r="L78" s="26">
        <f>IFERROR(__xludf.DUMMYFUNCTION("""COMPUTED_VALUE"""),0.0)</f>
        <v>0</v>
      </c>
      <c r="M78" s="26"/>
      <c r="N78" s="26"/>
      <c r="O78" s="26"/>
      <c r="P78" s="26"/>
      <c r="Q78" s="26"/>
      <c r="R78" s="26">
        <f>IFERROR(__xludf.DUMMYFUNCTION("""COMPUTED_VALUE"""),0.0)</f>
        <v>0</v>
      </c>
      <c r="S78" s="26">
        <f>IFERROR(__xludf.DUMMYFUNCTION("""COMPUTED_VALUE"""),0.0)</f>
        <v>0</v>
      </c>
      <c r="T78" s="26">
        <f>IFERROR(__xludf.DUMMYFUNCTION("""COMPUTED_VALUE"""),0.0)</f>
        <v>0</v>
      </c>
      <c r="U78" s="26">
        <f>IFERROR(__xludf.DUMMYFUNCTION("""COMPUTED_VALUE"""),0.0)</f>
        <v>0</v>
      </c>
      <c r="V78" s="26">
        <f>IFERROR(__xludf.DUMMYFUNCTION("""COMPUTED_VALUE"""),0.0)</f>
        <v>0</v>
      </c>
      <c r="W78" s="26">
        <f>IFERROR(__xludf.DUMMYFUNCTION("""COMPUTED_VALUE"""),0.0)</f>
        <v>0</v>
      </c>
      <c r="X78" s="26">
        <f>IFERROR(__xludf.DUMMYFUNCTION("""COMPUTED_VALUE"""),0.0)</f>
        <v>0</v>
      </c>
      <c r="Y78" s="26">
        <f>IFERROR(__xludf.DUMMYFUNCTION("""COMPUTED_VALUE"""),0.0)</f>
        <v>0</v>
      </c>
      <c r="Z78" s="26">
        <f>IFERROR(__xludf.DUMMYFUNCTION("""COMPUTED_VALUE"""),0.0)</f>
        <v>0</v>
      </c>
      <c r="AA78" s="26">
        <f>IFERROR(__xludf.DUMMYFUNCTION("""COMPUTED_VALUE"""),0.0)</f>
        <v>0</v>
      </c>
      <c r="AB78" s="26">
        <f>IFERROR(__xludf.DUMMYFUNCTION("""COMPUTED_VALUE"""),0.0)</f>
        <v>0</v>
      </c>
      <c r="AC78" s="26">
        <f>IFERROR(__xludf.DUMMYFUNCTION("""COMPUTED_VALUE"""),0.0)</f>
        <v>0</v>
      </c>
      <c r="AD78" s="26">
        <f>IFERROR(__xludf.DUMMYFUNCTION("""COMPUTED_VALUE"""),0.0)</f>
        <v>0</v>
      </c>
      <c r="AE78" s="26">
        <f>IFERROR(__xludf.DUMMYFUNCTION("""COMPUTED_VALUE"""),0.0)</f>
        <v>0</v>
      </c>
    </row>
    <row r="79">
      <c r="A79" s="26">
        <f>IFERROR(__xludf.DUMMYFUNCTION("""COMPUTED_VALUE"""),0.0)</f>
        <v>0</v>
      </c>
      <c r="B79" s="26">
        <f>IFERROR(__xludf.DUMMYFUNCTION("""COMPUTED_VALUE"""),0.0)</f>
        <v>0</v>
      </c>
      <c r="C79" s="26">
        <f>IFERROR(__xludf.DUMMYFUNCTION("""COMPUTED_VALUE"""),0.0)</f>
        <v>0</v>
      </c>
      <c r="D79" s="26">
        <f>IFERROR(__xludf.DUMMYFUNCTION("""COMPUTED_VALUE"""),0.0)</f>
        <v>0</v>
      </c>
      <c r="E79" s="26">
        <f>IFERROR(__xludf.DUMMYFUNCTION("""COMPUTED_VALUE"""),0.0)</f>
        <v>0</v>
      </c>
      <c r="F79" s="26">
        <f>IFERROR(__xludf.DUMMYFUNCTION("""COMPUTED_VALUE"""),0.0)</f>
        <v>0</v>
      </c>
      <c r="G79" s="26">
        <f>IFERROR(__xludf.DUMMYFUNCTION("""COMPUTED_VALUE"""),0.0)</f>
        <v>0</v>
      </c>
      <c r="H79" s="26">
        <f>IFERROR(__xludf.DUMMYFUNCTION("""COMPUTED_VALUE"""),0.0)</f>
        <v>0</v>
      </c>
      <c r="I79" s="26">
        <f>IFERROR(__xludf.DUMMYFUNCTION("""COMPUTED_VALUE"""),0.0)</f>
        <v>0</v>
      </c>
      <c r="J79" s="26">
        <f>IFERROR(__xludf.DUMMYFUNCTION("""COMPUTED_VALUE"""),0.0)</f>
        <v>0</v>
      </c>
      <c r="K79" s="26">
        <f>IFERROR(__xludf.DUMMYFUNCTION("""COMPUTED_VALUE"""),0.0)</f>
        <v>0</v>
      </c>
      <c r="L79" s="26">
        <f>IFERROR(__xludf.DUMMYFUNCTION("""COMPUTED_VALUE"""),0.0)</f>
        <v>0</v>
      </c>
      <c r="M79" s="26"/>
      <c r="N79" s="26"/>
      <c r="O79" s="26"/>
      <c r="P79" s="26"/>
      <c r="Q79" s="26"/>
      <c r="R79" s="26">
        <f>IFERROR(__xludf.DUMMYFUNCTION("""COMPUTED_VALUE"""),0.0)</f>
        <v>0</v>
      </c>
      <c r="S79" s="26">
        <f>IFERROR(__xludf.DUMMYFUNCTION("""COMPUTED_VALUE"""),0.0)</f>
        <v>0</v>
      </c>
      <c r="T79" s="26">
        <f>IFERROR(__xludf.DUMMYFUNCTION("""COMPUTED_VALUE"""),0.0)</f>
        <v>0</v>
      </c>
      <c r="U79" s="26">
        <f>IFERROR(__xludf.DUMMYFUNCTION("""COMPUTED_VALUE"""),0.0)</f>
        <v>0</v>
      </c>
      <c r="V79" s="26">
        <f>IFERROR(__xludf.DUMMYFUNCTION("""COMPUTED_VALUE"""),0.0)</f>
        <v>0</v>
      </c>
      <c r="W79" s="26">
        <f>IFERROR(__xludf.DUMMYFUNCTION("""COMPUTED_VALUE"""),0.0)</f>
        <v>0</v>
      </c>
      <c r="X79" s="26">
        <f>IFERROR(__xludf.DUMMYFUNCTION("""COMPUTED_VALUE"""),0.0)</f>
        <v>0</v>
      </c>
      <c r="Y79" s="26">
        <f>IFERROR(__xludf.DUMMYFUNCTION("""COMPUTED_VALUE"""),0.0)</f>
        <v>0</v>
      </c>
      <c r="Z79" s="26">
        <f>IFERROR(__xludf.DUMMYFUNCTION("""COMPUTED_VALUE"""),0.0)</f>
        <v>0</v>
      </c>
      <c r="AA79" s="26">
        <f>IFERROR(__xludf.DUMMYFUNCTION("""COMPUTED_VALUE"""),0.0)</f>
        <v>0</v>
      </c>
      <c r="AB79" s="26">
        <f>IFERROR(__xludf.DUMMYFUNCTION("""COMPUTED_VALUE"""),0.0)</f>
        <v>0</v>
      </c>
      <c r="AC79" s="26">
        <f>IFERROR(__xludf.DUMMYFUNCTION("""COMPUTED_VALUE"""),0.0)</f>
        <v>0</v>
      </c>
      <c r="AD79" s="26">
        <f>IFERROR(__xludf.DUMMYFUNCTION("""COMPUTED_VALUE"""),0.0)</f>
        <v>0</v>
      </c>
      <c r="AE79" s="26">
        <f>IFERROR(__xludf.DUMMYFUNCTION("""COMPUTED_VALUE"""),0.0)</f>
        <v>0</v>
      </c>
    </row>
    <row r="80">
      <c r="A80" s="26">
        <f>IFERROR(__xludf.DUMMYFUNCTION("""COMPUTED_VALUE"""),0.0)</f>
        <v>0</v>
      </c>
      <c r="B80" s="26">
        <f>IFERROR(__xludf.DUMMYFUNCTION("""COMPUTED_VALUE"""),0.0)</f>
        <v>0</v>
      </c>
      <c r="C80" s="26">
        <f>IFERROR(__xludf.DUMMYFUNCTION("""COMPUTED_VALUE"""),0.0)</f>
        <v>0</v>
      </c>
      <c r="D80" s="26">
        <f>IFERROR(__xludf.DUMMYFUNCTION("""COMPUTED_VALUE"""),0.0)</f>
        <v>0</v>
      </c>
      <c r="E80" s="26">
        <f>IFERROR(__xludf.DUMMYFUNCTION("""COMPUTED_VALUE"""),0.0)</f>
        <v>0</v>
      </c>
      <c r="F80" s="26">
        <f>IFERROR(__xludf.DUMMYFUNCTION("""COMPUTED_VALUE"""),0.0)</f>
        <v>0</v>
      </c>
      <c r="G80" s="26">
        <f>IFERROR(__xludf.DUMMYFUNCTION("""COMPUTED_VALUE"""),0.0)</f>
        <v>0</v>
      </c>
      <c r="H80" s="26">
        <f>IFERROR(__xludf.DUMMYFUNCTION("""COMPUTED_VALUE"""),0.0)</f>
        <v>0</v>
      </c>
      <c r="I80" s="26">
        <f>IFERROR(__xludf.DUMMYFUNCTION("""COMPUTED_VALUE"""),0.0)</f>
        <v>0</v>
      </c>
      <c r="J80" s="26">
        <f>IFERROR(__xludf.DUMMYFUNCTION("""COMPUTED_VALUE"""),0.0)</f>
        <v>0</v>
      </c>
      <c r="K80" s="26">
        <f>IFERROR(__xludf.DUMMYFUNCTION("""COMPUTED_VALUE"""),0.0)</f>
        <v>0</v>
      </c>
      <c r="L80" s="26">
        <f>IFERROR(__xludf.DUMMYFUNCTION("""COMPUTED_VALUE"""),0.0)</f>
        <v>0</v>
      </c>
      <c r="M80" s="26"/>
      <c r="N80" s="26"/>
      <c r="O80" s="26"/>
      <c r="P80" s="26"/>
      <c r="Q80" s="26"/>
      <c r="R80" s="26">
        <f>IFERROR(__xludf.DUMMYFUNCTION("""COMPUTED_VALUE"""),0.0)</f>
        <v>0</v>
      </c>
      <c r="S80" s="26">
        <f>IFERROR(__xludf.DUMMYFUNCTION("""COMPUTED_VALUE"""),0.0)</f>
        <v>0</v>
      </c>
      <c r="T80" s="26">
        <f>IFERROR(__xludf.DUMMYFUNCTION("""COMPUTED_VALUE"""),0.0)</f>
        <v>0</v>
      </c>
      <c r="U80" s="26">
        <f>IFERROR(__xludf.DUMMYFUNCTION("""COMPUTED_VALUE"""),0.0)</f>
        <v>0</v>
      </c>
      <c r="V80" s="26">
        <f>IFERROR(__xludf.DUMMYFUNCTION("""COMPUTED_VALUE"""),0.0)</f>
        <v>0</v>
      </c>
      <c r="W80" s="26">
        <f>IFERROR(__xludf.DUMMYFUNCTION("""COMPUTED_VALUE"""),0.0)</f>
        <v>0</v>
      </c>
      <c r="X80" s="26">
        <f>IFERROR(__xludf.DUMMYFUNCTION("""COMPUTED_VALUE"""),0.0)</f>
        <v>0</v>
      </c>
      <c r="Y80" s="26">
        <f>IFERROR(__xludf.DUMMYFUNCTION("""COMPUTED_VALUE"""),0.0)</f>
        <v>0</v>
      </c>
      <c r="Z80" s="26">
        <f>IFERROR(__xludf.DUMMYFUNCTION("""COMPUTED_VALUE"""),0.0)</f>
        <v>0</v>
      </c>
      <c r="AA80" s="26">
        <f>IFERROR(__xludf.DUMMYFUNCTION("""COMPUTED_VALUE"""),0.0)</f>
        <v>0</v>
      </c>
      <c r="AB80" s="26">
        <f>IFERROR(__xludf.DUMMYFUNCTION("""COMPUTED_VALUE"""),0.0)</f>
        <v>0</v>
      </c>
      <c r="AC80" s="26">
        <f>IFERROR(__xludf.DUMMYFUNCTION("""COMPUTED_VALUE"""),0.0)</f>
        <v>0</v>
      </c>
      <c r="AD80" s="26">
        <f>IFERROR(__xludf.DUMMYFUNCTION("""COMPUTED_VALUE"""),0.0)</f>
        <v>0</v>
      </c>
      <c r="AE80" s="26">
        <f>IFERROR(__xludf.DUMMYFUNCTION("""COMPUTED_VALUE"""),0.0)</f>
        <v>0</v>
      </c>
    </row>
    <row r="81">
      <c r="A81" s="26">
        <f>IFERROR(__xludf.DUMMYFUNCTION("""COMPUTED_VALUE"""),0.0)</f>
        <v>0</v>
      </c>
      <c r="B81" s="26">
        <f>IFERROR(__xludf.DUMMYFUNCTION("""COMPUTED_VALUE"""),0.0)</f>
        <v>0</v>
      </c>
      <c r="C81" s="26">
        <f>IFERROR(__xludf.DUMMYFUNCTION("""COMPUTED_VALUE"""),0.0)</f>
        <v>0</v>
      </c>
      <c r="D81" s="26">
        <f>IFERROR(__xludf.DUMMYFUNCTION("""COMPUTED_VALUE"""),0.0)</f>
        <v>0</v>
      </c>
      <c r="E81" s="26">
        <f>IFERROR(__xludf.DUMMYFUNCTION("""COMPUTED_VALUE"""),0.0)</f>
        <v>0</v>
      </c>
      <c r="F81" s="26">
        <f>IFERROR(__xludf.DUMMYFUNCTION("""COMPUTED_VALUE"""),0.0)</f>
        <v>0</v>
      </c>
      <c r="G81" s="26">
        <f>IFERROR(__xludf.DUMMYFUNCTION("""COMPUTED_VALUE"""),0.0)</f>
        <v>0</v>
      </c>
      <c r="H81" s="26">
        <f>IFERROR(__xludf.DUMMYFUNCTION("""COMPUTED_VALUE"""),0.0)</f>
        <v>0</v>
      </c>
      <c r="I81" s="26">
        <f>IFERROR(__xludf.DUMMYFUNCTION("""COMPUTED_VALUE"""),0.0)</f>
        <v>0</v>
      </c>
      <c r="J81" s="26">
        <f>IFERROR(__xludf.DUMMYFUNCTION("""COMPUTED_VALUE"""),0.0)</f>
        <v>0</v>
      </c>
      <c r="K81" s="26">
        <f>IFERROR(__xludf.DUMMYFUNCTION("""COMPUTED_VALUE"""),0.0)</f>
        <v>0</v>
      </c>
      <c r="L81" s="26">
        <f>IFERROR(__xludf.DUMMYFUNCTION("""COMPUTED_VALUE"""),0.0)</f>
        <v>0</v>
      </c>
      <c r="M81" s="26"/>
      <c r="N81" s="26"/>
      <c r="O81" s="26"/>
      <c r="P81" s="26"/>
      <c r="Q81" s="26"/>
      <c r="R81" s="26">
        <f>IFERROR(__xludf.DUMMYFUNCTION("""COMPUTED_VALUE"""),0.0)</f>
        <v>0</v>
      </c>
      <c r="S81" s="26">
        <f>IFERROR(__xludf.DUMMYFUNCTION("""COMPUTED_VALUE"""),0.0)</f>
        <v>0</v>
      </c>
      <c r="T81" s="26">
        <f>IFERROR(__xludf.DUMMYFUNCTION("""COMPUTED_VALUE"""),0.0)</f>
        <v>0</v>
      </c>
      <c r="U81" s="26">
        <f>IFERROR(__xludf.DUMMYFUNCTION("""COMPUTED_VALUE"""),0.0)</f>
        <v>0</v>
      </c>
      <c r="V81" s="26">
        <f>IFERROR(__xludf.DUMMYFUNCTION("""COMPUTED_VALUE"""),0.0)</f>
        <v>0</v>
      </c>
      <c r="W81" s="26">
        <f>IFERROR(__xludf.DUMMYFUNCTION("""COMPUTED_VALUE"""),0.0)</f>
        <v>0</v>
      </c>
      <c r="X81" s="26">
        <f>IFERROR(__xludf.DUMMYFUNCTION("""COMPUTED_VALUE"""),0.0)</f>
        <v>0</v>
      </c>
      <c r="Y81" s="26">
        <f>IFERROR(__xludf.DUMMYFUNCTION("""COMPUTED_VALUE"""),0.0)</f>
        <v>0</v>
      </c>
      <c r="Z81" s="26">
        <f>IFERROR(__xludf.DUMMYFUNCTION("""COMPUTED_VALUE"""),0.0)</f>
        <v>0</v>
      </c>
      <c r="AA81" s="26">
        <f>IFERROR(__xludf.DUMMYFUNCTION("""COMPUTED_VALUE"""),0.0)</f>
        <v>0</v>
      </c>
      <c r="AB81" s="26">
        <f>IFERROR(__xludf.DUMMYFUNCTION("""COMPUTED_VALUE"""),0.0)</f>
        <v>0</v>
      </c>
      <c r="AC81" s="26">
        <f>IFERROR(__xludf.DUMMYFUNCTION("""COMPUTED_VALUE"""),0.0)</f>
        <v>0</v>
      </c>
      <c r="AD81" s="26">
        <f>IFERROR(__xludf.DUMMYFUNCTION("""COMPUTED_VALUE"""),0.0)</f>
        <v>0</v>
      </c>
      <c r="AE81" s="26">
        <f>IFERROR(__xludf.DUMMYFUNCTION("""COMPUTED_VALUE"""),0.0)</f>
        <v>0</v>
      </c>
    </row>
    <row r="82">
      <c r="A82" s="26">
        <f>IFERROR(__xludf.DUMMYFUNCTION("""COMPUTED_VALUE"""),0.0)</f>
        <v>0</v>
      </c>
      <c r="B82" s="26">
        <f>IFERROR(__xludf.DUMMYFUNCTION("""COMPUTED_VALUE"""),0.0)</f>
        <v>0</v>
      </c>
      <c r="C82" s="26">
        <f>IFERROR(__xludf.DUMMYFUNCTION("""COMPUTED_VALUE"""),0.0)</f>
        <v>0</v>
      </c>
      <c r="D82" s="26">
        <f>IFERROR(__xludf.DUMMYFUNCTION("""COMPUTED_VALUE"""),0.0)</f>
        <v>0</v>
      </c>
      <c r="E82" s="26">
        <f>IFERROR(__xludf.DUMMYFUNCTION("""COMPUTED_VALUE"""),0.0)</f>
        <v>0</v>
      </c>
      <c r="F82" s="26">
        <f>IFERROR(__xludf.DUMMYFUNCTION("""COMPUTED_VALUE"""),0.0)</f>
        <v>0</v>
      </c>
      <c r="G82" s="26">
        <f>IFERROR(__xludf.DUMMYFUNCTION("""COMPUTED_VALUE"""),0.0)</f>
        <v>0</v>
      </c>
      <c r="H82" s="26">
        <f>IFERROR(__xludf.DUMMYFUNCTION("""COMPUTED_VALUE"""),0.0)</f>
        <v>0</v>
      </c>
      <c r="I82" s="26">
        <f>IFERROR(__xludf.DUMMYFUNCTION("""COMPUTED_VALUE"""),0.0)</f>
        <v>0</v>
      </c>
      <c r="J82" s="26">
        <f>IFERROR(__xludf.DUMMYFUNCTION("""COMPUTED_VALUE"""),0.0)</f>
        <v>0</v>
      </c>
      <c r="K82" s="26">
        <f>IFERROR(__xludf.DUMMYFUNCTION("""COMPUTED_VALUE"""),0.0)</f>
        <v>0</v>
      </c>
      <c r="L82" s="26">
        <f>IFERROR(__xludf.DUMMYFUNCTION("""COMPUTED_VALUE"""),0.0)</f>
        <v>0</v>
      </c>
      <c r="M82" s="26"/>
      <c r="N82" s="26"/>
      <c r="O82" s="26"/>
      <c r="P82" s="26"/>
      <c r="Q82" s="26"/>
      <c r="R82" s="26">
        <f>IFERROR(__xludf.DUMMYFUNCTION("""COMPUTED_VALUE"""),0.0)</f>
        <v>0</v>
      </c>
      <c r="S82" s="26">
        <f>IFERROR(__xludf.DUMMYFUNCTION("""COMPUTED_VALUE"""),0.0)</f>
        <v>0</v>
      </c>
      <c r="T82" s="26">
        <f>IFERROR(__xludf.DUMMYFUNCTION("""COMPUTED_VALUE"""),0.0)</f>
        <v>0</v>
      </c>
      <c r="U82" s="26">
        <f>IFERROR(__xludf.DUMMYFUNCTION("""COMPUTED_VALUE"""),0.0)</f>
        <v>0</v>
      </c>
      <c r="V82" s="26">
        <f>IFERROR(__xludf.DUMMYFUNCTION("""COMPUTED_VALUE"""),0.0)</f>
        <v>0</v>
      </c>
      <c r="W82" s="26">
        <f>IFERROR(__xludf.DUMMYFUNCTION("""COMPUTED_VALUE"""),0.0)</f>
        <v>0</v>
      </c>
      <c r="X82" s="26">
        <f>IFERROR(__xludf.DUMMYFUNCTION("""COMPUTED_VALUE"""),0.0)</f>
        <v>0</v>
      </c>
      <c r="Y82" s="26">
        <f>IFERROR(__xludf.DUMMYFUNCTION("""COMPUTED_VALUE"""),0.0)</f>
        <v>0</v>
      </c>
      <c r="Z82" s="26">
        <f>IFERROR(__xludf.DUMMYFUNCTION("""COMPUTED_VALUE"""),0.0)</f>
        <v>0</v>
      </c>
      <c r="AA82" s="26">
        <f>IFERROR(__xludf.DUMMYFUNCTION("""COMPUTED_VALUE"""),0.0)</f>
        <v>0</v>
      </c>
      <c r="AB82" s="26">
        <f>IFERROR(__xludf.DUMMYFUNCTION("""COMPUTED_VALUE"""),0.0)</f>
        <v>0</v>
      </c>
      <c r="AC82" s="26">
        <f>IFERROR(__xludf.DUMMYFUNCTION("""COMPUTED_VALUE"""),0.0)</f>
        <v>0</v>
      </c>
      <c r="AD82" s="26">
        <f>IFERROR(__xludf.DUMMYFUNCTION("""COMPUTED_VALUE"""),0.0)</f>
        <v>0</v>
      </c>
      <c r="AE82" s="26">
        <f>IFERROR(__xludf.DUMMYFUNCTION("""COMPUTED_VALUE"""),0.0)</f>
        <v>0</v>
      </c>
    </row>
    <row r="83">
      <c r="A83" s="26">
        <f>IFERROR(__xludf.DUMMYFUNCTION("""COMPUTED_VALUE"""),0.0)</f>
        <v>0</v>
      </c>
      <c r="B83" s="26">
        <f>IFERROR(__xludf.DUMMYFUNCTION("""COMPUTED_VALUE"""),0.0)</f>
        <v>0</v>
      </c>
      <c r="C83" s="26">
        <f>IFERROR(__xludf.DUMMYFUNCTION("""COMPUTED_VALUE"""),0.0)</f>
        <v>0</v>
      </c>
      <c r="D83" s="26">
        <f>IFERROR(__xludf.DUMMYFUNCTION("""COMPUTED_VALUE"""),0.0)</f>
        <v>0</v>
      </c>
      <c r="E83" s="26">
        <f>IFERROR(__xludf.DUMMYFUNCTION("""COMPUTED_VALUE"""),0.0)</f>
        <v>0</v>
      </c>
      <c r="F83" s="26">
        <f>IFERROR(__xludf.DUMMYFUNCTION("""COMPUTED_VALUE"""),0.0)</f>
        <v>0</v>
      </c>
      <c r="G83" s="26">
        <f>IFERROR(__xludf.DUMMYFUNCTION("""COMPUTED_VALUE"""),0.0)</f>
        <v>0</v>
      </c>
      <c r="H83" s="26">
        <f>IFERROR(__xludf.DUMMYFUNCTION("""COMPUTED_VALUE"""),0.0)</f>
        <v>0</v>
      </c>
      <c r="I83" s="26">
        <f>IFERROR(__xludf.DUMMYFUNCTION("""COMPUTED_VALUE"""),0.0)</f>
        <v>0</v>
      </c>
      <c r="J83" s="26">
        <f>IFERROR(__xludf.DUMMYFUNCTION("""COMPUTED_VALUE"""),0.0)</f>
        <v>0</v>
      </c>
      <c r="K83" s="26">
        <f>IFERROR(__xludf.DUMMYFUNCTION("""COMPUTED_VALUE"""),0.0)</f>
        <v>0</v>
      </c>
      <c r="L83" s="26">
        <f>IFERROR(__xludf.DUMMYFUNCTION("""COMPUTED_VALUE"""),0.0)</f>
        <v>0</v>
      </c>
      <c r="M83" s="26"/>
      <c r="N83" s="26"/>
      <c r="O83" s="26"/>
      <c r="P83" s="26"/>
      <c r="Q83" s="26"/>
      <c r="R83" s="26">
        <f>IFERROR(__xludf.DUMMYFUNCTION("""COMPUTED_VALUE"""),0.0)</f>
        <v>0</v>
      </c>
      <c r="S83" s="26">
        <f>IFERROR(__xludf.DUMMYFUNCTION("""COMPUTED_VALUE"""),0.0)</f>
        <v>0</v>
      </c>
      <c r="T83" s="26">
        <f>IFERROR(__xludf.DUMMYFUNCTION("""COMPUTED_VALUE"""),0.0)</f>
        <v>0</v>
      </c>
      <c r="U83" s="26">
        <f>IFERROR(__xludf.DUMMYFUNCTION("""COMPUTED_VALUE"""),0.0)</f>
        <v>0</v>
      </c>
      <c r="V83" s="26">
        <f>IFERROR(__xludf.DUMMYFUNCTION("""COMPUTED_VALUE"""),0.0)</f>
        <v>0</v>
      </c>
      <c r="W83" s="26">
        <f>IFERROR(__xludf.DUMMYFUNCTION("""COMPUTED_VALUE"""),0.0)</f>
        <v>0</v>
      </c>
      <c r="X83" s="26">
        <f>IFERROR(__xludf.DUMMYFUNCTION("""COMPUTED_VALUE"""),0.0)</f>
        <v>0</v>
      </c>
      <c r="Y83" s="26">
        <f>IFERROR(__xludf.DUMMYFUNCTION("""COMPUTED_VALUE"""),0.0)</f>
        <v>0</v>
      </c>
      <c r="Z83" s="26">
        <f>IFERROR(__xludf.DUMMYFUNCTION("""COMPUTED_VALUE"""),0.0)</f>
        <v>0</v>
      </c>
      <c r="AA83" s="26">
        <f>IFERROR(__xludf.DUMMYFUNCTION("""COMPUTED_VALUE"""),0.0)</f>
        <v>0</v>
      </c>
      <c r="AB83" s="26">
        <f>IFERROR(__xludf.DUMMYFUNCTION("""COMPUTED_VALUE"""),0.0)</f>
        <v>0</v>
      </c>
      <c r="AC83" s="26">
        <f>IFERROR(__xludf.DUMMYFUNCTION("""COMPUTED_VALUE"""),0.0)</f>
        <v>0</v>
      </c>
      <c r="AD83" s="26">
        <f>IFERROR(__xludf.DUMMYFUNCTION("""COMPUTED_VALUE"""),0.0)</f>
        <v>0</v>
      </c>
      <c r="AE83" s="26">
        <f>IFERROR(__xludf.DUMMYFUNCTION("""COMPUTED_VALUE"""),0.0)</f>
        <v>0</v>
      </c>
    </row>
    <row r="84">
      <c r="A84" s="26">
        <f>IFERROR(__xludf.DUMMYFUNCTION("""COMPUTED_VALUE"""),0.0)</f>
        <v>0</v>
      </c>
      <c r="B84" s="26">
        <f>IFERROR(__xludf.DUMMYFUNCTION("""COMPUTED_VALUE"""),0.0)</f>
        <v>0</v>
      </c>
      <c r="C84" s="26">
        <f>IFERROR(__xludf.DUMMYFUNCTION("""COMPUTED_VALUE"""),0.0)</f>
        <v>0</v>
      </c>
      <c r="D84" s="26">
        <f>IFERROR(__xludf.DUMMYFUNCTION("""COMPUTED_VALUE"""),0.0)</f>
        <v>0</v>
      </c>
      <c r="E84" s="26">
        <f>IFERROR(__xludf.DUMMYFUNCTION("""COMPUTED_VALUE"""),0.0)</f>
        <v>0</v>
      </c>
      <c r="F84" s="26">
        <f>IFERROR(__xludf.DUMMYFUNCTION("""COMPUTED_VALUE"""),0.0)</f>
        <v>0</v>
      </c>
      <c r="G84" s="26">
        <f>IFERROR(__xludf.DUMMYFUNCTION("""COMPUTED_VALUE"""),0.0)</f>
        <v>0</v>
      </c>
      <c r="H84" s="26">
        <f>IFERROR(__xludf.DUMMYFUNCTION("""COMPUTED_VALUE"""),0.0)</f>
        <v>0</v>
      </c>
      <c r="I84" s="26">
        <f>IFERROR(__xludf.DUMMYFUNCTION("""COMPUTED_VALUE"""),0.0)</f>
        <v>0</v>
      </c>
      <c r="J84" s="26">
        <f>IFERROR(__xludf.DUMMYFUNCTION("""COMPUTED_VALUE"""),0.0)</f>
        <v>0</v>
      </c>
      <c r="K84" s="26">
        <f>IFERROR(__xludf.DUMMYFUNCTION("""COMPUTED_VALUE"""),0.0)</f>
        <v>0</v>
      </c>
      <c r="L84" s="26">
        <f>IFERROR(__xludf.DUMMYFUNCTION("""COMPUTED_VALUE"""),0.0)</f>
        <v>0</v>
      </c>
      <c r="M84" s="26"/>
      <c r="N84" s="26"/>
      <c r="O84" s="26"/>
      <c r="P84" s="26"/>
      <c r="Q84" s="26"/>
      <c r="R84" s="26">
        <f>IFERROR(__xludf.DUMMYFUNCTION("""COMPUTED_VALUE"""),0.0)</f>
        <v>0</v>
      </c>
      <c r="S84" s="26">
        <f>IFERROR(__xludf.DUMMYFUNCTION("""COMPUTED_VALUE"""),0.0)</f>
        <v>0</v>
      </c>
      <c r="T84" s="26">
        <f>IFERROR(__xludf.DUMMYFUNCTION("""COMPUTED_VALUE"""),0.0)</f>
        <v>0</v>
      </c>
      <c r="U84" s="26">
        <f>IFERROR(__xludf.DUMMYFUNCTION("""COMPUTED_VALUE"""),0.0)</f>
        <v>0</v>
      </c>
      <c r="V84" s="26">
        <f>IFERROR(__xludf.DUMMYFUNCTION("""COMPUTED_VALUE"""),0.0)</f>
        <v>0</v>
      </c>
      <c r="W84" s="26">
        <f>IFERROR(__xludf.DUMMYFUNCTION("""COMPUTED_VALUE"""),0.0)</f>
        <v>0</v>
      </c>
      <c r="X84" s="26">
        <f>IFERROR(__xludf.DUMMYFUNCTION("""COMPUTED_VALUE"""),0.0)</f>
        <v>0</v>
      </c>
      <c r="Y84" s="26">
        <f>IFERROR(__xludf.DUMMYFUNCTION("""COMPUTED_VALUE"""),0.0)</f>
        <v>0</v>
      </c>
      <c r="Z84" s="26">
        <f>IFERROR(__xludf.DUMMYFUNCTION("""COMPUTED_VALUE"""),0.0)</f>
        <v>0</v>
      </c>
      <c r="AA84" s="26">
        <f>IFERROR(__xludf.DUMMYFUNCTION("""COMPUTED_VALUE"""),0.0)</f>
        <v>0</v>
      </c>
      <c r="AB84" s="26">
        <f>IFERROR(__xludf.DUMMYFUNCTION("""COMPUTED_VALUE"""),0.0)</f>
        <v>0</v>
      </c>
      <c r="AC84" s="26">
        <f>IFERROR(__xludf.DUMMYFUNCTION("""COMPUTED_VALUE"""),0.0)</f>
        <v>0</v>
      </c>
      <c r="AD84" s="26">
        <f>IFERROR(__xludf.DUMMYFUNCTION("""COMPUTED_VALUE"""),0.0)</f>
        <v>0</v>
      </c>
      <c r="AE84" s="26">
        <f>IFERROR(__xludf.DUMMYFUNCTION("""COMPUTED_VALUE"""),0.0)</f>
        <v>0</v>
      </c>
    </row>
    <row r="85">
      <c r="A85" s="26">
        <f>IFERROR(__xludf.DUMMYFUNCTION("""COMPUTED_VALUE"""),0.0)</f>
        <v>0</v>
      </c>
      <c r="B85" s="26">
        <f>IFERROR(__xludf.DUMMYFUNCTION("""COMPUTED_VALUE"""),0.0)</f>
        <v>0</v>
      </c>
      <c r="C85" s="26">
        <f>IFERROR(__xludf.DUMMYFUNCTION("""COMPUTED_VALUE"""),0.0)</f>
        <v>0</v>
      </c>
      <c r="D85" s="26">
        <f>IFERROR(__xludf.DUMMYFUNCTION("""COMPUTED_VALUE"""),0.0)</f>
        <v>0</v>
      </c>
      <c r="E85" s="26">
        <f>IFERROR(__xludf.DUMMYFUNCTION("""COMPUTED_VALUE"""),0.0)</f>
        <v>0</v>
      </c>
      <c r="F85" s="26">
        <f>IFERROR(__xludf.DUMMYFUNCTION("""COMPUTED_VALUE"""),0.0)</f>
        <v>0</v>
      </c>
      <c r="G85" s="26">
        <f>IFERROR(__xludf.DUMMYFUNCTION("""COMPUTED_VALUE"""),0.0)</f>
        <v>0</v>
      </c>
      <c r="H85" s="26">
        <f>IFERROR(__xludf.DUMMYFUNCTION("""COMPUTED_VALUE"""),0.0)</f>
        <v>0</v>
      </c>
      <c r="I85" s="26">
        <f>IFERROR(__xludf.DUMMYFUNCTION("""COMPUTED_VALUE"""),0.0)</f>
        <v>0</v>
      </c>
      <c r="J85" s="26">
        <f>IFERROR(__xludf.DUMMYFUNCTION("""COMPUTED_VALUE"""),0.0)</f>
        <v>0</v>
      </c>
      <c r="K85" s="26">
        <f>IFERROR(__xludf.DUMMYFUNCTION("""COMPUTED_VALUE"""),0.0)</f>
        <v>0</v>
      </c>
      <c r="L85" s="26">
        <f>IFERROR(__xludf.DUMMYFUNCTION("""COMPUTED_VALUE"""),0.0)</f>
        <v>0</v>
      </c>
      <c r="M85" s="26"/>
      <c r="N85" s="26"/>
      <c r="O85" s="26"/>
      <c r="P85" s="26"/>
      <c r="Q85" s="26"/>
      <c r="R85" s="26">
        <f>IFERROR(__xludf.DUMMYFUNCTION("""COMPUTED_VALUE"""),0.0)</f>
        <v>0</v>
      </c>
      <c r="S85" s="26">
        <f>IFERROR(__xludf.DUMMYFUNCTION("""COMPUTED_VALUE"""),0.0)</f>
        <v>0</v>
      </c>
      <c r="T85" s="26">
        <f>IFERROR(__xludf.DUMMYFUNCTION("""COMPUTED_VALUE"""),0.0)</f>
        <v>0</v>
      </c>
      <c r="U85" s="26">
        <f>IFERROR(__xludf.DUMMYFUNCTION("""COMPUTED_VALUE"""),0.0)</f>
        <v>0</v>
      </c>
      <c r="V85" s="26">
        <f>IFERROR(__xludf.DUMMYFUNCTION("""COMPUTED_VALUE"""),0.0)</f>
        <v>0</v>
      </c>
      <c r="W85" s="26">
        <f>IFERROR(__xludf.DUMMYFUNCTION("""COMPUTED_VALUE"""),0.0)</f>
        <v>0</v>
      </c>
      <c r="X85" s="26">
        <f>IFERROR(__xludf.DUMMYFUNCTION("""COMPUTED_VALUE"""),0.0)</f>
        <v>0</v>
      </c>
      <c r="Y85" s="26">
        <f>IFERROR(__xludf.DUMMYFUNCTION("""COMPUTED_VALUE"""),0.0)</f>
        <v>0</v>
      </c>
      <c r="Z85" s="26">
        <f>IFERROR(__xludf.DUMMYFUNCTION("""COMPUTED_VALUE"""),0.0)</f>
        <v>0</v>
      </c>
      <c r="AA85" s="26">
        <f>IFERROR(__xludf.DUMMYFUNCTION("""COMPUTED_VALUE"""),0.0)</f>
        <v>0</v>
      </c>
      <c r="AB85" s="26">
        <f>IFERROR(__xludf.DUMMYFUNCTION("""COMPUTED_VALUE"""),0.0)</f>
        <v>0</v>
      </c>
      <c r="AC85" s="26">
        <f>IFERROR(__xludf.DUMMYFUNCTION("""COMPUTED_VALUE"""),0.0)</f>
        <v>0</v>
      </c>
      <c r="AD85" s="26">
        <f>IFERROR(__xludf.DUMMYFUNCTION("""COMPUTED_VALUE"""),0.0)</f>
        <v>0</v>
      </c>
      <c r="AE85" s="26">
        <f>IFERROR(__xludf.DUMMYFUNCTION("""COMPUTED_VALUE"""),0.0)</f>
        <v>0</v>
      </c>
    </row>
    <row r="86">
      <c r="A86" s="26">
        <f>IFERROR(__xludf.DUMMYFUNCTION("""COMPUTED_VALUE"""),0.0)</f>
        <v>0</v>
      </c>
      <c r="B86" s="26">
        <f>IFERROR(__xludf.DUMMYFUNCTION("""COMPUTED_VALUE"""),0.0)</f>
        <v>0</v>
      </c>
      <c r="C86" s="26">
        <f>IFERROR(__xludf.DUMMYFUNCTION("""COMPUTED_VALUE"""),0.0)</f>
        <v>0</v>
      </c>
      <c r="D86" s="26">
        <f>IFERROR(__xludf.DUMMYFUNCTION("""COMPUTED_VALUE"""),0.0)</f>
        <v>0</v>
      </c>
      <c r="E86" s="26">
        <f>IFERROR(__xludf.DUMMYFUNCTION("""COMPUTED_VALUE"""),0.0)</f>
        <v>0</v>
      </c>
      <c r="F86" s="26">
        <f>IFERROR(__xludf.DUMMYFUNCTION("""COMPUTED_VALUE"""),0.0)</f>
        <v>0</v>
      </c>
      <c r="G86" s="26">
        <f>IFERROR(__xludf.DUMMYFUNCTION("""COMPUTED_VALUE"""),0.0)</f>
        <v>0</v>
      </c>
      <c r="H86" s="26">
        <f>IFERROR(__xludf.DUMMYFUNCTION("""COMPUTED_VALUE"""),0.0)</f>
        <v>0</v>
      </c>
      <c r="I86" s="26">
        <f>IFERROR(__xludf.DUMMYFUNCTION("""COMPUTED_VALUE"""),0.0)</f>
        <v>0</v>
      </c>
      <c r="J86" s="26">
        <f>IFERROR(__xludf.DUMMYFUNCTION("""COMPUTED_VALUE"""),0.0)</f>
        <v>0</v>
      </c>
      <c r="K86" s="26">
        <f>IFERROR(__xludf.DUMMYFUNCTION("""COMPUTED_VALUE"""),0.0)</f>
        <v>0</v>
      </c>
      <c r="L86" s="26">
        <f>IFERROR(__xludf.DUMMYFUNCTION("""COMPUTED_VALUE"""),0.0)</f>
        <v>0</v>
      </c>
      <c r="M86" s="26"/>
      <c r="N86" s="26"/>
      <c r="O86" s="26"/>
      <c r="P86" s="26"/>
      <c r="Q86" s="26"/>
      <c r="R86" s="26">
        <f>IFERROR(__xludf.DUMMYFUNCTION("""COMPUTED_VALUE"""),0.0)</f>
        <v>0</v>
      </c>
      <c r="S86" s="26">
        <f>IFERROR(__xludf.DUMMYFUNCTION("""COMPUTED_VALUE"""),0.0)</f>
        <v>0</v>
      </c>
      <c r="T86" s="26">
        <f>IFERROR(__xludf.DUMMYFUNCTION("""COMPUTED_VALUE"""),0.0)</f>
        <v>0</v>
      </c>
      <c r="U86" s="26">
        <f>IFERROR(__xludf.DUMMYFUNCTION("""COMPUTED_VALUE"""),0.0)</f>
        <v>0</v>
      </c>
      <c r="V86" s="26">
        <f>IFERROR(__xludf.DUMMYFUNCTION("""COMPUTED_VALUE"""),0.0)</f>
        <v>0</v>
      </c>
      <c r="W86" s="26">
        <f>IFERROR(__xludf.DUMMYFUNCTION("""COMPUTED_VALUE"""),0.0)</f>
        <v>0</v>
      </c>
      <c r="X86" s="26">
        <f>IFERROR(__xludf.DUMMYFUNCTION("""COMPUTED_VALUE"""),0.0)</f>
        <v>0</v>
      </c>
      <c r="Y86" s="26">
        <f>IFERROR(__xludf.DUMMYFUNCTION("""COMPUTED_VALUE"""),0.0)</f>
        <v>0</v>
      </c>
      <c r="Z86" s="26">
        <f>IFERROR(__xludf.DUMMYFUNCTION("""COMPUTED_VALUE"""),0.0)</f>
        <v>0</v>
      </c>
      <c r="AA86" s="26">
        <f>IFERROR(__xludf.DUMMYFUNCTION("""COMPUTED_VALUE"""),0.0)</f>
        <v>0</v>
      </c>
      <c r="AB86" s="26">
        <f>IFERROR(__xludf.DUMMYFUNCTION("""COMPUTED_VALUE"""),0.0)</f>
        <v>0</v>
      </c>
      <c r="AC86" s="26">
        <f>IFERROR(__xludf.DUMMYFUNCTION("""COMPUTED_VALUE"""),0.0)</f>
        <v>0</v>
      </c>
      <c r="AD86" s="26">
        <f>IFERROR(__xludf.DUMMYFUNCTION("""COMPUTED_VALUE"""),0.0)</f>
        <v>0</v>
      </c>
      <c r="AE86" s="26">
        <f>IFERROR(__xludf.DUMMYFUNCTION("""COMPUTED_VALUE"""),0.0)</f>
        <v>0</v>
      </c>
    </row>
    <row r="87">
      <c r="A87" s="26">
        <f>IFERROR(__xludf.DUMMYFUNCTION("""COMPUTED_VALUE"""),0.0)</f>
        <v>0</v>
      </c>
      <c r="B87" s="26">
        <f>IFERROR(__xludf.DUMMYFUNCTION("""COMPUTED_VALUE"""),0.0)</f>
        <v>0</v>
      </c>
      <c r="C87" s="26">
        <f>IFERROR(__xludf.DUMMYFUNCTION("""COMPUTED_VALUE"""),0.0)</f>
        <v>0</v>
      </c>
      <c r="D87" s="26">
        <f>IFERROR(__xludf.DUMMYFUNCTION("""COMPUTED_VALUE"""),0.0)</f>
        <v>0</v>
      </c>
      <c r="E87" s="26">
        <f>IFERROR(__xludf.DUMMYFUNCTION("""COMPUTED_VALUE"""),0.0)</f>
        <v>0</v>
      </c>
      <c r="F87" s="26">
        <f>IFERROR(__xludf.DUMMYFUNCTION("""COMPUTED_VALUE"""),0.0)</f>
        <v>0</v>
      </c>
      <c r="G87" s="26">
        <f>IFERROR(__xludf.DUMMYFUNCTION("""COMPUTED_VALUE"""),0.0)</f>
        <v>0</v>
      </c>
      <c r="H87" s="26">
        <f>IFERROR(__xludf.DUMMYFUNCTION("""COMPUTED_VALUE"""),0.0)</f>
        <v>0</v>
      </c>
      <c r="I87" s="26">
        <f>IFERROR(__xludf.DUMMYFUNCTION("""COMPUTED_VALUE"""),0.0)</f>
        <v>0</v>
      </c>
      <c r="J87" s="26">
        <f>IFERROR(__xludf.DUMMYFUNCTION("""COMPUTED_VALUE"""),0.0)</f>
        <v>0</v>
      </c>
      <c r="K87" s="26">
        <f>IFERROR(__xludf.DUMMYFUNCTION("""COMPUTED_VALUE"""),0.0)</f>
        <v>0</v>
      </c>
      <c r="L87" s="26">
        <f>IFERROR(__xludf.DUMMYFUNCTION("""COMPUTED_VALUE"""),0.0)</f>
        <v>0</v>
      </c>
      <c r="M87" s="26"/>
      <c r="N87" s="26"/>
      <c r="O87" s="26"/>
      <c r="P87" s="26"/>
      <c r="Q87" s="26"/>
      <c r="R87" s="26">
        <f>IFERROR(__xludf.DUMMYFUNCTION("""COMPUTED_VALUE"""),0.0)</f>
        <v>0</v>
      </c>
      <c r="S87" s="26">
        <f>IFERROR(__xludf.DUMMYFUNCTION("""COMPUTED_VALUE"""),0.0)</f>
        <v>0</v>
      </c>
      <c r="T87" s="26">
        <f>IFERROR(__xludf.DUMMYFUNCTION("""COMPUTED_VALUE"""),0.0)</f>
        <v>0</v>
      </c>
      <c r="U87" s="26">
        <f>IFERROR(__xludf.DUMMYFUNCTION("""COMPUTED_VALUE"""),0.0)</f>
        <v>0</v>
      </c>
      <c r="V87" s="26">
        <f>IFERROR(__xludf.DUMMYFUNCTION("""COMPUTED_VALUE"""),0.0)</f>
        <v>0</v>
      </c>
      <c r="W87" s="26">
        <f>IFERROR(__xludf.DUMMYFUNCTION("""COMPUTED_VALUE"""),0.0)</f>
        <v>0</v>
      </c>
      <c r="X87" s="26">
        <f>IFERROR(__xludf.DUMMYFUNCTION("""COMPUTED_VALUE"""),0.0)</f>
        <v>0</v>
      </c>
      <c r="Y87" s="26">
        <f>IFERROR(__xludf.DUMMYFUNCTION("""COMPUTED_VALUE"""),0.0)</f>
        <v>0</v>
      </c>
      <c r="Z87" s="26">
        <f>IFERROR(__xludf.DUMMYFUNCTION("""COMPUTED_VALUE"""),0.0)</f>
        <v>0</v>
      </c>
      <c r="AA87" s="26">
        <f>IFERROR(__xludf.DUMMYFUNCTION("""COMPUTED_VALUE"""),0.0)</f>
        <v>0</v>
      </c>
      <c r="AB87" s="26">
        <f>IFERROR(__xludf.DUMMYFUNCTION("""COMPUTED_VALUE"""),0.0)</f>
        <v>0</v>
      </c>
      <c r="AC87" s="26">
        <f>IFERROR(__xludf.DUMMYFUNCTION("""COMPUTED_VALUE"""),0.0)</f>
        <v>0</v>
      </c>
      <c r="AD87" s="26">
        <f>IFERROR(__xludf.DUMMYFUNCTION("""COMPUTED_VALUE"""),0.0)</f>
        <v>0</v>
      </c>
      <c r="AE87" s="26">
        <f>IFERROR(__xludf.DUMMYFUNCTION("""COMPUTED_VALUE"""),0.0)</f>
        <v>0</v>
      </c>
    </row>
    <row r="88">
      <c r="A88" s="26">
        <f>IFERROR(__xludf.DUMMYFUNCTION("""COMPUTED_VALUE"""),0.0)</f>
        <v>0</v>
      </c>
      <c r="B88" s="26">
        <f>IFERROR(__xludf.DUMMYFUNCTION("""COMPUTED_VALUE"""),0.0)</f>
        <v>0</v>
      </c>
      <c r="C88" s="26">
        <f>IFERROR(__xludf.DUMMYFUNCTION("""COMPUTED_VALUE"""),0.0)</f>
        <v>0</v>
      </c>
      <c r="D88" s="26">
        <f>IFERROR(__xludf.DUMMYFUNCTION("""COMPUTED_VALUE"""),0.0)</f>
        <v>0</v>
      </c>
      <c r="E88" s="26">
        <f>IFERROR(__xludf.DUMMYFUNCTION("""COMPUTED_VALUE"""),0.0)</f>
        <v>0</v>
      </c>
      <c r="F88" s="26">
        <f>IFERROR(__xludf.DUMMYFUNCTION("""COMPUTED_VALUE"""),0.0)</f>
        <v>0</v>
      </c>
      <c r="G88" s="26">
        <f>IFERROR(__xludf.DUMMYFUNCTION("""COMPUTED_VALUE"""),0.0)</f>
        <v>0</v>
      </c>
      <c r="H88" s="26">
        <f>IFERROR(__xludf.DUMMYFUNCTION("""COMPUTED_VALUE"""),0.0)</f>
        <v>0</v>
      </c>
      <c r="I88" s="26">
        <f>IFERROR(__xludf.DUMMYFUNCTION("""COMPUTED_VALUE"""),0.0)</f>
        <v>0</v>
      </c>
      <c r="J88" s="26">
        <f>IFERROR(__xludf.DUMMYFUNCTION("""COMPUTED_VALUE"""),0.0)</f>
        <v>0</v>
      </c>
      <c r="K88" s="26">
        <f>IFERROR(__xludf.DUMMYFUNCTION("""COMPUTED_VALUE"""),0.0)</f>
        <v>0</v>
      </c>
      <c r="L88" s="26">
        <f>IFERROR(__xludf.DUMMYFUNCTION("""COMPUTED_VALUE"""),0.0)</f>
        <v>0</v>
      </c>
      <c r="M88" s="26"/>
      <c r="N88" s="26"/>
      <c r="O88" s="26"/>
      <c r="P88" s="26"/>
      <c r="Q88" s="26"/>
      <c r="R88" s="26">
        <f>IFERROR(__xludf.DUMMYFUNCTION("""COMPUTED_VALUE"""),0.0)</f>
        <v>0</v>
      </c>
      <c r="S88" s="26">
        <f>IFERROR(__xludf.DUMMYFUNCTION("""COMPUTED_VALUE"""),0.0)</f>
        <v>0</v>
      </c>
      <c r="T88" s="26">
        <f>IFERROR(__xludf.DUMMYFUNCTION("""COMPUTED_VALUE"""),0.0)</f>
        <v>0</v>
      </c>
      <c r="U88" s="26">
        <f>IFERROR(__xludf.DUMMYFUNCTION("""COMPUTED_VALUE"""),0.0)</f>
        <v>0</v>
      </c>
      <c r="V88" s="26">
        <f>IFERROR(__xludf.DUMMYFUNCTION("""COMPUTED_VALUE"""),0.0)</f>
        <v>0</v>
      </c>
      <c r="W88" s="26">
        <f>IFERROR(__xludf.DUMMYFUNCTION("""COMPUTED_VALUE"""),0.0)</f>
        <v>0</v>
      </c>
      <c r="X88" s="26">
        <f>IFERROR(__xludf.DUMMYFUNCTION("""COMPUTED_VALUE"""),0.0)</f>
        <v>0</v>
      </c>
      <c r="Y88" s="26">
        <f>IFERROR(__xludf.DUMMYFUNCTION("""COMPUTED_VALUE"""),0.0)</f>
        <v>0</v>
      </c>
      <c r="Z88" s="26">
        <f>IFERROR(__xludf.DUMMYFUNCTION("""COMPUTED_VALUE"""),0.0)</f>
        <v>0</v>
      </c>
      <c r="AA88" s="26">
        <f>IFERROR(__xludf.DUMMYFUNCTION("""COMPUTED_VALUE"""),0.0)</f>
        <v>0</v>
      </c>
      <c r="AB88" s="26">
        <f>IFERROR(__xludf.DUMMYFUNCTION("""COMPUTED_VALUE"""),0.0)</f>
        <v>0</v>
      </c>
      <c r="AC88" s="26">
        <f>IFERROR(__xludf.DUMMYFUNCTION("""COMPUTED_VALUE"""),0.0)</f>
        <v>0</v>
      </c>
      <c r="AD88" s="26">
        <f>IFERROR(__xludf.DUMMYFUNCTION("""COMPUTED_VALUE"""),0.0)</f>
        <v>0</v>
      </c>
      <c r="AE88" s="26">
        <f>IFERROR(__xludf.DUMMYFUNCTION("""COMPUTED_VALUE"""),0.0)</f>
        <v>0</v>
      </c>
    </row>
    <row r="89">
      <c r="A89" s="26">
        <f>IFERROR(__xludf.DUMMYFUNCTION("""COMPUTED_VALUE"""),0.0)</f>
        <v>0</v>
      </c>
      <c r="B89" s="26">
        <f>IFERROR(__xludf.DUMMYFUNCTION("""COMPUTED_VALUE"""),0.0)</f>
        <v>0</v>
      </c>
      <c r="C89" s="26">
        <f>IFERROR(__xludf.DUMMYFUNCTION("""COMPUTED_VALUE"""),0.0)</f>
        <v>0</v>
      </c>
      <c r="D89" s="26">
        <f>IFERROR(__xludf.DUMMYFUNCTION("""COMPUTED_VALUE"""),0.0)</f>
        <v>0</v>
      </c>
      <c r="E89" s="26">
        <f>IFERROR(__xludf.DUMMYFUNCTION("""COMPUTED_VALUE"""),0.0)</f>
        <v>0</v>
      </c>
      <c r="F89" s="26">
        <f>IFERROR(__xludf.DUMMYFUNCTION("""COMPUTED_VALUE"""),0.0)</f>
        <v>0</v>
      </c>
      <c r="G89" s="26">
        <f>IFERROR(__xludf.DUMMYFUNCTION("""COMPUTED_VALUE"""),0.0)</f>
        <v>0</v>
      </c>
      <c r="H89" s="26">
        <f>IFERROR(__xludf.DUMMYFUNCTION("""COMPUTED_VALUE"""),0.0)</f>
        <v>0</v>
      </c>
      <c r="I89" s="26">
        <f>IFERROR(__xludf.DUMMYFUNCTION("""COMPUTED_VALUE"""),0.0)</f>
        <v>0</v>
      </c>
      <c r="J89" s="26">
        <f>IFERROR(__xludf.DUMMYFUNCTION("""COMPUTED_VALUE"""),0.0)</f>
        <v>0</v>
      </c>
      <c r="K89" s="26">
        <f>IFERROR(__xludf.DUMMYFUNCTION("""COMPUTED_VALUE"""),0.0)</f>
        <v>0</v>
      </c>
      <c r="L89" s="26">
        <f>IFERROR(__xludf.DUMMYFUNCTION("""COMPUTED_VALUE"""),0.0)</f>
        <v>0</v>
      </c>
      <c r="M89" s="26"/>
      <c r="N89" s="26"/>
      <c r="O89" s="26"/>
      <c r="P89" s="26"/>
      <c r="Q89" s="26"/>
      <c r="R89" s="26">
        <f>IFERROR(__xludf.DUMMYFUNCTION("""COMPUTED_VALUE"""),0.0)</f>
        <v>0</v>
      </c>
      <c r="S89" s="26">
        <f>IFERROR(__xludf.DUMMYFUNCTION("""COMPUTED_VALUE"""),0.0)</f>
        <v>0</v>
      </c>
      <c r="T89" s="26">
        <f>IFERROR(__xludf.DUMMYFUNCTION("""COMPUTED_VALUE"""),0.0)</f>
        <v>0</v>
      </c>
      <c r="U89" s="26">
        <f>IFERROR(__xludf.DUMMYFUNCTION("""COMPUTED_VALUE"""),0.0)</f>
        <v>0</v>
      </c>
      <c r="V89" s="26">
        <f>IFERROR(__xludf.DUMMYFUNCTION("""COMPUTED_VALUE"""),0.0)</f>
        <v>0</v>
      </c>
      <c r="W89" s="26">
        <f>IFERROR(__xludf.DUMMYFUNCTION("""COMPUTED_VALUE"""),0.0)</f>
        <v>0</v>
      </c>
      <c r="X89" s="26">
        <f>IFERROR(__xludf.DUMMYFUNCTION("""COMPUTED_VALUE"""),0.0)</f>
        <v>0</v>
      </c>
      <c r="Y89" s="26">
        <f>IFERROR(__xludf.DUMMYFUNCTION("""COMPUTED_VALUE"""),0.0)</f>
        <v>0</v>
      </c>
      <c r="Z89" s="26">
        <f>IFERROR(__xludf.DUMMYFUNCTION("""COMPUTED_VALUE"""),0.0)</f>
        <v>0</v>
      </c>
      <c r="AA89" s="26">
        <f>IFERROR(__xludf.DUMMYFUNCTION("""COMPUTED_VALUE"""),0.0)</f>
        <v>0</v>
      </c>
      <c r="AB89" s="26">
        <f>IFERROR(__xludf.DUMMYFUNCTION("""COMPUTED_VALUE"""),0.0)</f>
        <v>0</v>
      </c>
      <c r="AC89" s="26">
        <f>IFERROR(__xludf.DUMMYFUNCTION("""COMPUTED_VALUE"""),0.0)</f>
        <v>0</v>
      </c>
      <c r="AD89" s="26">
        <f>IFERROR(__xludf.DUMMYFUNCTION("""COMPUTED_VALUE"""),0.0)</f>
        <v>0</v>
      </c>
      <c r="AE89" s="26">
        <f>IFERROR(__xludf.DUMMYFUNCTION("""COMPUTED_VALUE"""),0.0)</f>
        <v>0</v>
      </c>
    </row>
    <row r="90">
      <c r="A90" s="26">
        <f>IFERROR(__xludf.DUMMYFUNCTION("""COMPUTED_VALUE"""),0.0)</f>
        <v>0</v>
      </c>
      <c r="B90" s="26">
        <f>IFERROR(__xludf.DUMMYFUNCTION("""COMPUTED_VALUE"""),0.0)</f>
        <v>0</v>
      </c>
      <c r="C90" s="26">
        <f>IFERROR(__xludf.DUMMYFUNCTION("""COMPUTED_VALUE"""),0.0)</f>
        <v>0</v>
      </c>
      <c r="D90" s="26">
        <f>IFERROR(__xludf.DUMMYFUNCTION("""COMPUTED_VALUE"""),0.0)</f>
        <v>0</v>
      </c>
      <c r="E90" s="26">
        <f>IFERROR(__xludf.DUMMYFUNCTION("""COMPUTED_VALUE"""),0.0)</f>
        <v>0</v>
      </c>
      <c r="F90" s="26">
        <f>IFERROR(__xludf.DUMMYFUNCTION("""COMPUTED_VALUE"""),0.0)</f>
        <v>0</v>
      </c>
      <c r="G90" s="26">
        <f>IFERROR(__xludf.DUMMYFUNCTION("""COMPUTED_VALUE"""),0.0)</f>
        <v>0</v>
      </c>
      <c r="H90" s="26">
        <f>IFERROR(__xludf.DUMMYFUNCTION("""COMPUTED_VALUE"""),0.0)</f>
        <v>0</v>
      </c>
      <c r="I90" s="26">
        <f>IFERROR(__xludf.DUMMYFUNCTION("""COMPUTED_VALUE"""),0.0)</f>
        <v>0</v>
      </c>
      <c r="J90" s="26">
        <f>IFERROR(__xludf.DUMMYFUNCTION("""COMPUTED_VALUE"""),0.0)</f>
        <v>0</v>
      </c>
      <c r="K90" s="26">
        <f>IFERROR(__xludf.DUMMYFUNCTION("""COMPUTED_VALUE"""),0.0)</f>
        <v>0</v>
      </c>
      <c r="L90" s="26">
        <f>IFERROR(__xludf.DUMMYFUNCTION("""COMPUTED_VALUE"""),0.0)</f>
        <v>0</v>
      </c>
      <c r="M90" s="26"/>
      <c r="N90" s="26"/>
      <c r="O90" s="26"/>
      <c r="P90" s="26"/>
      <c r="Q90" s="26"/>
      <c r="R90" s="26">
        <f>IFERROR(__xludf.DUMMYFUNCTION("""COMPUTED_VALUE"""),0.0)</f>
        <v>0</v>
      </c>
      <c r="S90" s="26">
        <f>IFERROR(__xludf.DUMMYFUNCTION("""COMPUTED_VALUE"""),0.0)</f>
        <v>0</v>
      </c>
      <c r="T90" s="26">
        <f>IFERROR(__xludf.DUMMYFUNCTION("""COMPUTED_VALUE"""),0.0)</f>
        <v>0</v>
      </c>
      <c r="U90" s="26">
        <f>IFERROR(__xludf.DUMMYFUNCTION("""COMPUTED_VALUE"""),0.0)</f>
        <v>0</v>
      </c>
      <c r="V90" s="26">
        <f>IFERROR(__xludf.DUMMYFUNCTION("""COMPUTED_VALUE"""),0.0)</f>
        <v>0</v>
      </c>
      <c r="W90" s="26">
        <f>IFERROR(__xludf.DUMMYFUNCTION("""COMPUTED_VALUE"""),0.0)</f>
        <v>0</v>
      </c>
      <c r="X90" s="26">
        <f>IFERROR(__xludf.DUMMYFUNCTION("""COMPUTED_VALUE"""),0.0)</f>
        <v>0</v>
      </c>
      <c r="Y90" s="26">
        <f>IFERROR(__xludf.DUMMYFUNCTION("""COMPUTED_VALUE"""),0.0)</f>
        <v>0</v>
      </c>
      <c r="Z90" s="26">
        <f>IFERROR(__xludf.DUMMYFUNCTION("""COMPUTED_VALUE"""),0.0)</f>
        <v>0</v>
      </c>
      <c r="AA90" s="26">
        <f>IFERROR(__xludf.DUMMYFUNCTION("""COMPUTED_VALUE"""),0.0)</f>
        <v>0</v>
      </c>
      <c r="AB90" s="26">
        <f>IFERROR(__xludf.DUMMYFUNCTION("""COMPUTED_VALUE"""),0.0)</f>
        <v>0</v>
      </c>
      <c r="AC90" s="26">
        <f>IFERROR(__xludf.DUMMYFUNCTION("""COMPUTED_VALUE"""),0.0)</f>
        <v>0</v>
      </c>
      <c r="AD90" s="26">
        <f>IFERROR(__xludf.DUMMYFUNCTION("""COMPUTED_VALUE"""),0.0)</f>
        <v>0</v>
      </c>
      <c r="AE90" s="26">
        <f>IFERROR(__xludf.DUMMYFUNCTION("""COMPUTED_VALUE"""),0.0)</f>
        <v>0</v>
      </c>
    </row>
    <row r="91">
      <c r="A91" s="26">
        <f>IFERROR(__xludf.DUMMYFUNCTION("""COMPUTED_VALUE"""),0.0)</f>
        <v>0</v>
      </c>
      <c r="B91" s="26">
        <f>IFERROR(__xludf.DUMMYFUNCTION("""COMPUTED_VALUE"""),0.0)</f>
        <v>0</v>
      </c>
      <c r="C91" s="26">
        <f>IFERROR(__xludf.DUMMYFUNCTION("""COMPUTED_VALUE"""),0.0)</f>
        <v>0</v>
      </c>
      <c r="D91" s="26">
        <f>IFERROR(__xludf.DUMMYFUNCTION("""COMPUTED_VALUE"""),0.0)</f>
        <v>0</v>
      </c>
      <c r="E91" s="26">
        <f>IFERROR(__xludf.DUMMYFUNCTION("""COMPUTED_VALUE"""),0.0)</f>
        <v>0</v>
      </c>
      <c r="F91" s="26">
        <f>IFERROR(__xludf.DUMMYFUNCTION("""COMPUTED_VALUE"""),0.0)</f>
        <v>0</v>
      </c>
      <c r="G91" s="26">
        <f>IFERROR(__xludf.DUMMYFUNCTION("""COMPUTED_VALUE"""),0.0)</f>
        <v>0</v>
      </c>
      <c r="H91" s="26">
        <f>IFERROR(__xludf.DUMMYFUNCTION("""COMPUTED_VALUE"""),0.0)</f>
        <v>0</v>
      </c>
      <c r="I91" s="26">
        <f>IFERROR(__xludf.DUMMYFUNCTION("""COMPUTED_VALUE"""),0.0)</f>
        <v>0</v>
      </c>
      <c r="J91" s="26">
        <f>IFERROR(__xludf.DUMMYFUNCTION("""COMPUTED_VALUE"""),0.0)</f>
        <v>0</v>
      </c>
      <c r="K91" s="26">
        <f>IFERROR(__xludf.DUMMYFUNCTION("""COMPUTED_VALUE"""),0.0)</f>
        <v>0</v>
      </c>
      <c r="L91" s="26">
        <f>IFERROR(__xludf.DUMMYFUNCTION("""COMPUTED_VALUE"""),0.0)</f>
        <v>0</v>
      </c>
      <c r="M91" s="26"/>
      <c r="N91" s="26"/>
      <c r="O91" s="26"/>
      <c r="P91" s="26"/>
      <c r="Q91" s="26"/>
      <c r="R91" s="26">
        <f>IFERROR(__xludf.DUMMYFUNCTION("""COMPUTED_VALUE"""),0.0)</f>
        <v>0</v>
      </c>
      <c r="S91" s="26">
        <f>IFERROR(__xludf.DUMMYFUNCTION("""COMPUTED_VALUE"""),0.0)</f>
        <v>0</v>
      </c>
      <c r="T91" s="26">
        <f>IFERROR(__xludf.DUMMYFUNCTION("""COMPUTED_VALUE"""),0.0)</f>
        <v>0</v>
      </c>
      <c r="U91" s="26">
        <f>IFERROR(__xludf.DUMMYFUNCTION("""COMPUTED_VALUE"""),0.0)</f>
        <v>0</v>
      </c>
      <c r="V91" s="26">
        <f>IFERROR(__xludf.DUMMYFUNCTION("""COMPUTED_VALUE"""),0.0)</f>
        <v>0</v>
      </c>
      <c r="W91" s="26">
        <f>IFERROR(__xludf.DUMMYFUNCTION("""COMPUTED_VALUE"""),0.0)</f>
        <v>0</v>
      </c>
      <c r="X91" s="26">
        <f>IFERROR(__xludf.DUMMYFUNCTION("""COMPUTED_VALUE"""),0.0)</f>
        <v>0</v>
      </c>
      <c r="Y91" s="26">
        <f>IFERROR(__xludf.DUMMYFUNCTION("""COMPUTED_VALUE"""),0.0)</f>
        <v>0</v>
      </c>
      <c r="Z91" s="26">
        <f>IFERROR(__xludf.DUMMYFUNCTION("""COMPUTED_VALUE"""),0.0)</f>
        <v>0</v>
      </c>
      <c r="AA91" s="26">
        <f>IFERROR(__xludf.DUMMYFUNCTION("""COMPUTED_VALUE"""),0.0)</f>
        <v>0</v>
      </c>
      <c r="AB91" s="26">
        <f>IFERROR(__xludf.DUMMYFUNCTION("""COMPUTED_VALUE"""),0.0)</f>
        <v>0</v>
      </c>
      <c r="AC91" s="26">
        <f>IFERROR(__xludf.DUMMYFUNCTION("""COMPUTED_VALUE"""),0.0)</f>
        <v>0</v>
      </c>
      <c r="AD91" s="26">
        <f>IFERROR(__xludf.DUMMYFUNCTION("""COMPUTED_VALUE"""),0.0)</f>
        <v>0</v>
      </c>
      <c r="AE91" s="26">
        <f>IFERROR(__xludf.DUMMYFUNCTION("""COMPUTED_VALUE"""),0.0)</f>
        <v>0</v>
      </c>
    </row>
    <row r="92">
      <c r="A92" s="26">
        <f>IFERROR(__xludf.DUMMYFUNCTION("""COMPUTED_VALUE"""),0.0)</f>
        <v>0</v>
      </c>
      <c r="B92" s="26">
        <f>IFERROR(__xludf.DUMMYFUNCTION("""COMPUTED_VALUE"""),0.0)</f>
        <v>0</v>
      </c>
      <c r="C92" s="26">
        <f>IFERROR(__xludf.DUMMYFUNCTION("""COMPUTED_VALUE"""),0.0)</f>
        <v>0</v>
      </c>
      <c r="D92" s="26">
        <f>IFERROR(__xludf.DUMMYFUNCTION("""COMPUTED_VALUE"""),0.0)</f>
        <v>0</v>
      </c>
      <c r="E92" s="26">
        <f>IFERROR(__xludf.DUMMYFUNCTION("""COMPUTED_VALUE"""),0.0)</f>
        <v>0</v>
      </c>
      <c r="F92" s="26">
        <f>IFERROR(__xludf.DUMMYFUNCTION("""COMPUTED_VALUE"""),0.0)</f>
        <v>0</v>
      </c>
      <c r="G92" s="26">
        <f>IFERROR(__xludf.DUMMYFUNCTION("""COMPUTED_VALUE"""),0.0)</f>
        <v>0</v>
      </c>
      <c r="H92" s="26">
        <f>IFERROR(__xludf.DUMMYFUNCTION("""COMPUTED_VALUE"""),0.0)</f>
        <v>0</v>
      </c>
      <c r="I92" s="26">
        <f>IFERROR(__xludf.DUMMYFUNCTION("""COMPUTED_VALUE"""),0.0)</f>
        <v>0</v>
      </c>
      <c r="J92" s="26">
        <f>IFERROR(__xludf.DUMMYFUNCTION("""COMPUTED_VALUE"""),0.0)</f>
        <v>0</v>
      </c>
      <c r="K92" s="26">
        <f>IFERROR(__xludf.DUMMYFUNCTION("""COMPUTED_VALUE"""),0.0)</f>
        <v>0</v>
      </c>
      <c r="L92" s="26">
        <f>IFERROR(__xludf.DUMMYFUNCTION("""COMPUTED_VALUE"""),0.0)</f>
        <v>0</v>
      </c>
      <c r="M92" s="26"/>
      <c r="N92" s="26"/>
      <c r="O92" s="26"/>
      <c r="P92" s="26"/>
      <c r="Q92" s="26"/>
      <c r="R92" s="26">
        <f>IFERROR(__xludf.DUMMYFUNCTION("""COMPUTED_VALUE"""),0.0)</f>
        <v>0</v>
      </c>
      <c r="S92" s="26">
        <f>IFERROR(__xludf.DUMMYFUNCTION("""COMPUTED_VALUE"""),0.0)</f>
        <v>0</v>
      </c>
      <c r="T92" s="26">
        <f>IFERROR(__xludf.DUMMYFUNCTION("""COMPUTED_VALUE"""),0.0)</f>
        <v>0</v>
      </c>
      <c r="U92" s="26">
        <f>IFERROR(__xludf.DUMMYFUNCTION("""COMPUTED_VALUE"""),0.0)</f>
        <v>0</v>
      </c>
      <c r="V92" s="26">
        <f>IFERROR(__xludf.DUMMYFUNCTION("""COMPUTED_VALUE"""),0.0)</f>
        <v>0</v>
      </c>
      <c r="W92" s="26">
        <f>IFERROR(__xludf.DUMMYFUNCTION("""COMPUTED_VALUE"""),0.0)</f>
        <v>0</v>
      </c>
      <c r="X92" s="26">
        <f>IFERROR(__xludf.DUMMYFUNCTION("""COMPUTED_VALUE"""),0.0)</f>
        <v>0</v>
      </c>
      <c r="Y92" s="26">
        <f>IFERROR(__xludf.DUMMYFUNCTION("""COMPUTED_VALUE"""),0.0)</f>
        <v>0</v>
      </c>
      <c r="Z92" s="26">
        <f>IFERROR(__xludf.DUMMYFUNCTION("""COMPUTED_VALUE"""),0.0)</f>
        <v>0</v>
      </c>
      <c r="AA92" s="26">
        <f>IFERROR(__xludf.DUMMYFUNCTION("""COMPUTED_VALUE"""),0.0)</f>
        <v>0</v>
      </c>
      <c r="AB92" s="26">
        <f>IFERROR(__xludf.DUMMYFUNCTION("""COMPUTED_VALUE"""),0.0)</f>
        <v>0</v>
      </c>
      <c r="AC92" s="26">
        <f>IFERROR(__xludf.DUMMYFUNCTION("""COMPUTED_VALUE"""),0.0)</f>
        <v>0</v>
      </c>
      <c r="AD92" s="26">
        <f>IFERROR(__xludf.DUMMYFUNCTION("""COMPUTED_VALUE"""),0.0)</f>
        <v>0</v>
      </c>
      <c r="AE92" s="26">
        <f>IFERROR(__xludf.DUMMYFUNCTION("""COMPUTED_VALUE"""),0.0)</f>
        <v>0</v>
      </c>
    </row>
    <row r="93">
      <c r="A93" s="26">
        <f>IFERROR(__xludf.DUMMYFUNCTION("""COMPUTED_VALUE"""),0.0)</f>
        <v>0</v>
      </c>
      <c r="B93" s="26">
        <f>IFERROR(__xludf.DUMMYFUNCTION("""COMPUTED_VALUE"""),0.0)</f>
        <v>0</v>
      </c>
      <c r="C93" s="26">
        <f>IFERROR(__xludf.DUMMYFUNCTION("""COMPUTED_VALUE"""),0.0)</f>
        <v>0</v>
      </c>
      <c r="D93" s="26">
        <f>IFERROR(__xludf.DUMMYFUNCTION("""COMPUTED_VALUE"""),0.0)</f>
        <v>0</v>
      </c>
      <c r="E93" s="26">
        <f>IFERROR(__xludf.DUMMYFUNCTION("""COMPUTED_VALUE"""),0.0)</f>
        <v>0</v>
      </c>
      <c r="F93" s="26">
        <f>IFERROR(__xludf.DUMMYFUNCTION("""COMPUTED_VALUE"""),0.0)</f>
        <v>0</v>
      </c>
      <c r="G93" s="26">
        <f>IFERROR(__xludf.DUMMYFUNCTION("""COMPUTED_VALUE"""),0.0)</f>
        <v>0</v>
      </c>
      <c r="H93" s="26">
        <f>IFERROR(__xludf.DUMMYFUNCTION("""COMPUTED_VALUE"""),0.0)</f>
        <v>0</v>
      </c>
      <c r="I93" s="26">
        <f>IFERROR(__xludf.DUMMYFUNCTION("""COMPUTED_VALUE"""),0.0)</f>
        <v>0</v>
      </c>
      <c r="J93" s="26">
        <f>IFERROR(__xludf.DUMMYFUNCTION("""COMPUTED_VALUE"""),0.0)</f>
        <v>0</v>
      </c>
      <c r="K93" s="26">
        <f>IFERROR(__xludf.DUMMYFUNCTION("""COMPUTED_VALUE"""),0.0)</f>
        <v>0</v>
      </c>
      <c r="L93" s="26">
        <f>IFERROR(__xludf.DUMMYFUNCTION("""COMPUTED_VALUE"""),0.0)</f>
        <v>0</v>
      </c>
      <c r="M93" s="26"/>
      <c r="N93" s="26"/>
      <c r="O93" s="26"/>
      <c r="P93" s="26"/>
      <c r="Q93" s="26"/>
      <c r="R93" s="26">
        <f>IFERROR(__xludf.DUMMYFUNCTION("""COMPUTED_VALUE"""),0.0)</f>
        <v>0</v>
      </c>
      <c r="S93" s="26">
        <f>IFERROR(__xludf.DUMMYFUNCTION("""COMPUTED_VALUE"""),0.0)</f>
        <v>0</v>
      </c>
      <c r="T93" s="26">
        <f>IFERROR(__xludf.DUMMYFUNCTION("""COMPUTED_VALUE"""),0.0)</f>
        <v>0</v>
      </c>
      <c r="U93" s="26">
        <f>IFERROR(__xludf.DUMMYFUNCTION("""COMPUTED_VALUE"""),0.0)</f>
        <v>0</v>
      </c>
      <c r="V93" s="26">
        <f>IFERROR(__xludf.DUMMYFUNCTION("""COMPUTED_VALUE"""),0.0)</f>
        <v>0</v>
      </c>
      <c r="W93" s="26">
        <f>IFERROR(__xludf.DUMMYFUNCTION("""COMPUTED_VALUE"""),0.0)</f>
        <v>0</v>
      </c>
      <c r="X93" s="26">
        <f>IFERROR(__xludf.DUMMYFUNCTION("""COMPUTED_VALUE"""),0.0)</f>
        <v>0</v>
      </c>
      <c r="Y93" s="26">
        <f>IFERROR(__xludf.DUMMYFUNCTION("""COMPUTED_VALUE"""),0.0)</f>
        <v>0</v>
      </c>
      <c r="Z93" s="26">
        <f>IFERROR(__xludf.DUMMYFUNCTION("""COMPUTED_VALUE"""),0.0)</f>
        <v>0</v>
      </c>
      <c r="AA93" s="26">
        <f>IFERROR(__xludf.DUMMYFUNCTION("""COMPUTED_VALUE"""),0.0)</f>
        <v>0</v>
      </c>
      <c r="AB93" s="26">
        <f>IFERROR(__xludf.DUMMYFUNCTION("""COMPUTED_VALUE"""),0.0)</f>
        <v>0</v>
      </c>
      <c r="AC93" s="26">
        <f>IFERROR(__xludf.DUMMYFUNCTION("""COMPUTED_VALUE"""),0.0)</f>
        <v>0</v>
      </c>
      <c r="AD93" s="26">
        <f>IFERROR(__xludf.DUMMYFUNCTION("""COMPUTED_VALUE"""),0.0)</f>
        <v>0</v>
      </c>
      <c r="AE93" s="26">
        <f>IFERROR(__xludf.DUMMYFUNCTION("""COMPUTED_VALUE"""),0.0)</f>
        <v>0</v>
      </c>
    </row>
    <row r="94">
      <c r="A94" s="26">
        <f>IFERROR(__xludf.DUMMYFUNCTION("""COMPUTED_VALUE"""),0.0)</f>
        <v>0</v>
      </c>
      <c r="B94" s="26">
        <f>IFERROR(__xludf.DUMMYFUNCTION("""COMPUTED_VALUE"""),0.0)</f>
        <v>0</v>
      </c>
      <c r="C94" s="26">
        <f>IFERROR(__xludf.DUMMYFUNCTION("""COMPUTED_VALUE"""),0.0)</f>
        <v>0</v>
      </c>
      <c r="D94" s="26">
        <f>IFERROR(__xludf.DUMMYFUNCTION("""COMPUTED_VALUE"""),0.0)</f>
        <v>0</v>
      </c>
      <c r="E94" s="26">
        <f>IFERROR(__xludf.DUMMYFUNCTION("""COMPUTED_VALUE"""),0.0)</f>
        <v>0</v>
      </c>
      <c r="F94" s="26">
        <f>IFERROR(__xludf.DUMMYFUNCTION("""COMPUTED_VALUE"""),0.0)</f>
        <v>0</v>
      </c>
      <c r="G94" s="26">
        <f>IFERROR(__xludf.DUMMYFUNCTION("""COMPUTED_VALUE"""),0.0)</f>
        <v>0</v>
      </c>
      <c r="H94" s="26">
        <f>IFERROR(__xludf.DUMMYFUNCTION("""COMPUTED_VALUE"""),0.0)</f>
        <v>0</v>
      </c>
      <c r="I94" s="26">
        <f>IFERROR(__xludf.DUMMYFUNCTION("""COMPUTED_VALUE"""),0.0)</f>
        <v>0</v>
      </c>
      <c r="J94" s="26">
        <f>IFERROR(__xludf.DUMMYFUNCTION("""COMPUTED_VALUE"""),0.0)</f>
        <v>0</v>
      </c>
      <c r="K94" s="26">
        <f>IFERROR(__xludf.DUMMYFUNCTION("""COMPUTED_VALUE"""),0.0)</f>
        <v>0</v>
      </c>
      <c r="L94" s="26">
        <f>IFERROR(__xludf.DUMMYFUNCTION("""COMPUTED_VALUE"""),0.0)</f>
        <v>0</v>
      </c>
      <c r="M94" s="26"/>
      <c r="N94" s="26"/>
      <c r="O94" s="26"/>
      <c r="P94" s="26"/>
      <c r="Q94" s="26"/>
      <c r="R94" s="26">
        <f>IFERROR(__xludf.DUMMYFUNCTION("""COMPUTED_VALUE"""),0.0)</f>
        <v>0</v>
      </c>
      <c r="S94" s="26">
        <f>IFERROR(__xludf.DUMMYFUNCTION("""COMPUTED_VALUE"""),0.0)</f>
        <v>0</v>
      </c>
      <c r="T94" s="26">
        <f>IFERROR(__xludf.DUMMYFUNCTION("""COMPUTED_VALUE"""),0.0)</f>
        <v>0</v>
      </c>
      <c r="U94" s="26">
        <f>IFERROR(__xludf.DUMMYFUNCTION("""COMPUTED_VALUE"""),0.0)</f>
        <v>0</v>
      </c>
      <c r="V94" s="26">
        <f>IFERROR(__xludf.DUMMYFUNCTION("""COMPUTED_VALUE"""),0.0)</f>
        <v>0</v>
      </c>
      <c r="W94" s="26">
        <f>IFERROR(__xludf.DUMMYFUNCTION("""COMPUTED_VALUE"""),0.0)</f>
        <v>0</v>
      </c>
      <c r="X94" s="26">
        <f>IFERROR(__xludf.DUMMYFUNCTION("""COMPUTED_VALUE"""),0.0)</f>
        <v>0</v>
      </c>
      <c r="Y94" s="26">
        <f>IFERROR(__xludf.DUMMYFUNCTION("""COMPUTED_VALUE"""),0.0)</f>
        <v>0</v>
      </c>
      <c r="Z94" s="26">
        <f>IFERROR(__xludf.DUMMYFUNCTION("""COMPUTED_VALUE"""),0.0)</f>
        <v>0</v>
      </c>
      <c r="AA94" s="26">
        <f>IFERROR(__xludf.DUMMYFUNCTION("""COMPUTED_VALUE"""),0.0)</f>
        <v>0</v>
      </c>
      <c r="AB94" s="26">
        <f>IFERROR(__xludf.DUMMYFUNCTION("""COMPUTED_VALUE"""),0.0)</f>
        <v>0</v>
      </c>
      <c r="AC94" s="26">
        <f>IFERROR(__xludf.DUMMYFUNCTION("""COMPUTED_VALUE"""),0.0)</f>
        <v>0</v>
      </c>
      <c r="AD94" s="26">
        <f>IFERROR(__xludf.DUMMYFUNCTION("""COMPUTED_VALUE"""),0.0)</f>
        <v>0</v>
      </c>
      <c r="AE94" s="26">
        <f>IFERROR(__xludf.DUMMYFUNCTION("""COMPUTED_VALUE"""),0.0)</f>
        <v>0</v>
      </c>
    </row>
    <row r="95">
      <c r="A95" s="26">
        <f>IFERROR(__xludf.DUMMYFUNCTION("""COMPUTED_VALUE"""),0.0)</f>
        <v>0</v>
      </c>
      <c r="B95" s="26">
        <f>IFERROR(__xludf.DUMMYFUNCTION("""COMPUTED_VALUE"""),0.0)</f>
        <v>0</v>
      </c>
      <c r="C95" s="26">
        <f>IFERROR(__xludf.DUMMYFUNCTION("""COMPUTED_VALUE"""),0.0)</f>
        <v>0</v>
      </c>
      <c r="D95" s="26">
        <f>IFERROR(__xludf.DUMMYFUNCTION("""COMPUTED_VALUE"""),0.0)</f>
        <v>0</v>
      </c>
      <c r="E95" s="26">
        <f>IFERROR(__xludf.DUMMYFUNCTION("""COMPUTED_VALUE"""),0.0)</f>
        <v>0</v>
      </c>
      <c r="F95" s="26">
        <f>IFERROR(__xludf.DUMMYFUNCTION("""COMPUTED_VALUE"""),0.0)</f>
        <v>0</v>
      </c>
      <c r="G95" s="26">
        <f>IFERROR(__xludf.DUMMYFUNCTION("""COMPUTED_VALUE"""),0.0)</f>
        <v>0</v>
      </c>
      <c r="H95" s="26">
        <f>IFERROR(__xludf.DUMMYFUNCTION("""COMPUTED_VALUE"""),0.0)</f>
        <v>0</v>
      </c>
      <c r="I95" s="26">
        <f>IFERROR(__xludf.DUMMYFUNCTION("""COMPUTED_VALUE"""),0.0)</f>
        <v>0</v>
      </c>
      <c r="J95" s="26">
        <f>IFERROR(__xludf.DUMMYFUNCTION("""COMPUTED_VALUE"""),0.0)</f>
        <v>0</v>
      </c>
      <c r="K95" s="26">
        <f>IFERROR(__xludf.DUMMYFUNCTION("""COMPUTED_VALUE"""),0.0)</f>
        <v>0</v>
      </c>
      <c r="L95" s="26">
        <f>IFERROR(__xludf.DUMMYFUNCTION("""COMPUTED_VALUE"""),0.0)</f>
        <v>0</v>
      </c>
      <c r="M95" s="26"/>
      <c r="N95" s="26"/>
      <c r="O95" s="26"/>
      <c r="P95" s="26"/>
      <c r="Q95" s="26"/>
      <c r="R95" s="26">
        <f>IFERROR(__xludf.DUMMYFUNCTION("""COMPUTED_VALUE"""),0.0)</f>
        <v>0</v>
      </c>
      <c r="S95" s="26">
        <f>IFERROR(__xludf.DUMMYFUNCTION("""COMPUTED_VALUE"""),0.0)</f>
        <v>0</v>
      </c>
      <c r="T95" s="26">
        <f>IFERROR(__xludf.DUMMYFUNCTION("""COMPUTED_VALUE"""),0.0)</f>
        <v>0</v>
      </c>
      <c r="U95" s="26">
        <f>IFERROR(__xludf.DUMMYFUNCTION("""COMPUTED_VALUE"""),0.0)</f>
        <v>0</v>
      </c>
      <c r="V95" s="26">
        <f>IFERROR(__xludf.DUMMYFUNCTION("""COMPUTED_VALUE"""),0.0)</f>
        <v>0</v>
      </c>
      <c r="W95" s="26">
        <f>IFERROR(__xludf.DUMMYFUNCTION("""COMPUTED_VALUE"""),0.0)</f>
        <v>0</v>
      </c>
      <c r="X95" s="26">
        <f>IFERROR(__xludf.DUMMYFUNCTION("""COMPUTED_VALUE"""),0.0)</f>
        <v>0</v>
      </c>
      <c r="Y95" s="26">
        <f>IFERROR(__xludf.DUMMYFUNCTION("""COMPUTED_VALUE"""),0.0)</f>
        <v>0</v>
      </c>
      <c r="Z95" s="26">
        <f>IFERROR(__xludf.DUMMYFUNCTION("""COMPUTED_VALUE"""),0.0)</f>
        <v>0</v>
      </c>
      <c r="AA95" s="26">
        <f>IFERROR(__xludf.DUMMYFUNCTION("""COMPUTED_VALUE"""),0.0)</f>
        <v>0</v>
      </c>
      <c r="AB95" s="26">
        <f>IFERROR(__xludf.DUMMYFUNCTION("""COMPUTED_VALUE"""),0.0)</f>
        <v>0</v>
      </c>
      <c r="AC95" s="26">
        <f>IFERROR(__xludf.DUMMYFUNCTION("""COMPUTED_VALUE"""),0.0)</f>
        <v>0</v>
      </c>
      <c r="AD95" s="26">
        <f>IFERROR(__xludf.DUMMYFUNCTION("""COMPUTED_VALUE"""),0.0)</f>
        <v>0</v>
      </c>
      <c r="AE95" s="26">
        <f>IFERROR(__xludf.DUMMYFUNCTION("""COMPUTED_VALUE"""),0.0)</f>
        <v>0</v>
      </c>
    </row>
    <row r="96">
      <c r="A96" s="26">
        <f>IFERROR(__xludf.DUMMYFUNCTION("""COMPUTED_VALUE"""),0.0)</f>
        <v>0</v>
      </c>
      <c r="B96" s="26">
        <f>IFERROR(__xludf.DUMMYFUNCTION("""COMPUTED_VALUE"""),0.0)</f>
        <v>0</v>
      </c>
      <c r="C96" s="26">
        <f>IFERROR(__xludf.DUMMYFUNCTION("""COMPUTED_VALUE"""),0.0)</f>
        <v>0</v>
      </c>
      <c r="D96" s="26">
        <f>IFERROR(__xludf.DUMMYFUNCTION("""COMPUTED_VALUE"""),0.0)</f>
        <v>0</v>
      </c>
      <c r="E96" s="26">
        <f>IFERROR(__xludf.DUMMYFUNCTION("""COMPUTED_VALUE"""),0.0)</f>
        <v>0</v>
      </c>
      <c r="F96" s="26">
        <f>IFERROR(__xludf.DUMMYFUNCTION("""COMPUTED_VALUE"""),0.0)</f>
        <v>0</v>
      </c>
      <c r="G96" s="26">
        <f>IFERROR(__xludf.DUMMYFUNCTION("""COMPUTED_VALUE"""),0.0)</f>
        <v>0</v>
      </c>
      <c r="H96" s="26">
        <f>IFERROR(__xludf.DUMMYFUNCTION("""COMPUTED_VALUE"""),0.0)</f>
        <v>0</v>
      </c>
      <c r="I96" s="26">
        <f>IFERROR(__xludf.DUMMYFUNCTION("""COMPUTED_VALUE"""),0.0)</f>
        <v>0</v>
      </c>
      <c r="J96" s="26">
        <f>IFERROR(__xludf.DUMMYFUNCTION("""COMPUTED_VALUE"""),0.0)</f>
        <v>0</v>
      </c>
      <c r="K96" s="26">
        <f>IFERROR(__xludf.DUMMYFUNCTION("""COMPUTED_VALUE"""),0.0)</f>
        <v>0</v>
      </c>
      <c r="L96" s="26">
        <f>IFERROR(__xludf.DUMMYFUNCTION("""COMPUTED_VALUE"""),0.0)</f>
        <v>0</v>
      </c>
      <c r="M96" s="26"/>
      <c r="N96" s="26"/>
      <c r="O96" s="26"/>
      <c r="P96" s="26"/>
      <c r="Q96" s="26"/>
      <c r="R96" s="26">
        <f>IFERROR(__xludf.DUMMYFUNCTION("""COMPUTED_VALUE"""),0.0)</f>
        <v>0</v>
      </c>
      <c r="S96" s="26">
        <f>IFERROR(__xludf.DUMMYFUNCTION("""COMPUTED_VALUE"""),0.0)</f>
        <v>0</v>
      </c>
      <c r="T96" s="26">
        <f>IFERROR(__xludf.DUMMYFUNCTION("""COMPUTED_VALUE"""),0.0)</f>
        <v>0</v>
      </c>
      <c r="U96" s="26">
        <f>IFERROR(__xludf.DUMMYFUNCTION("""COMPUTED_VALUE"""),0.0)</f>
        <v>0</v>
      </c>
      <c r="V96" s="26">
        <f>IFERROR(__xludf.DUMMYFUNCTION("""COMPUTED_VALUE"""),0.0)</f>
        <v>0</v>
      </c>
      <c r="W96" s="26">
        <f>IFERROR(__xludf.DUMMYFUNCTION("""COMPUTED_VALUE"""),0.0)</f>
        <v>0</v>
      </c>
      <c r="X96" s="26">
        <f>IFERROR(__xludf.DUMMYFUNCTION("""COMPUTED_VALUE"""),0.0)</f>
        <v>0</v>
      </c>
      <c r="Y96" s="26">
        <f>IFERROR(__xludf.DUMMYFUNCTION("""COMPUTED_VALUE"""),0.0)</f>
        <v>0</v>
      </c>
      <c r="Z96" s="26">
        <f>IFERROR(__xludf.DUMMYFUNCTION("""COMPUTED_VALUE"""),0.0)</f>
        <v>0</v>
      </c>
      <c r="AA96" s="26">
        <f>IFERROR(__xludf.DUMMYFUNCTION("""COMPUTED_VALUE"""),0.0)</f>
        <v>0</v>
      </c>
      <c r="AB96" s="26">
        <f>IFERROR(__xludf.DUMMYFUNCTION("""COMPUTED_VALUE"""),0.0)</f>
        <v>0</v>
      </c>
      <c r="AC96" s="26">
        <f>IFERROR(__xludf.DUMMYFUNCTION("""COMPUTED_VALUE"""),0.0)</f>
        <v>0</v>
      </c>
      <c r="AD96" s="26">
        <f>IFERROR(__xludf.DUMMYFUNCTION("""COMPUTED_VALUE"""),0.0)</f>
        <v>0</v>
      </c>
      <c r="AE96" s="26">
        <f>IFERROR(__xludf.DUMMYFUNCTION("""COMPUTED_VALUE"""),0.0)</f>
        <v>0</v>
      </c>
    </row>
    <row r="97">
      <c r="A97" s="26">
        <f>IFERROR(__xludf.DUMMYFUNCTION("""COMPUTED_VALUE"""),0.0)</f>
        <v>0</v>
      </c>
      <c r="B97" s="26">
        <f>IFERROR(__xludf.DUMMYFUNCTION("""COMPUTED_VALUE"""),0.0)</f>
        <v>0</v>
      </c>
      <c r="C97" s="26">
        <f>IFERROR(__xludf.DUMMYFUNCTION("""COMPUTED_VALUE"""),0.0)</f>
        <v>0</v>
      </c>
      <c r="D97" s="26">
        <f>IFERROR(__xludf.DUMMYFUNCTION("""COMPUTED_VALUE"""),0.0)</f>
        <v>0</v>
      </c>
      <c r="E97" s="26">
        <f>IFERROR(__xludf.DUMMYFUNCTION("""COMPUTED_VALUE"""),0.0)</f>
        <v>0</v>
      </c>
      <c r="F97" s="26">
        <f>IFERROR(__xludf.DUMMYFUNCTION("""COMPUTED_VALUE"""),0.0)</f>
        <v>0</v>
      </c>
      <c r="G97" s="26">
        <f>IFERROR(__xludf.DUMMYFUNCTION("""COMPUTED_VALUE"""),0.0)</f>
        <v>0</v>
      </c>
      <c r="H97" s="26">
        <f>IFERROR(__xludf.DUMMYFUNCTION("""COMPUTED_VALUE"""),0.0)</f>
        <v>0</v>
      </c>
      <c r="I97" s="26">
        <f>IFERROR(__xludf.DUMMYFUNCTION("""COMPUTED_VALUE"""),0.0)</f>
        <v>0</v>
      </c>
      <c r="J97" s="26">
        <f>IFERROR(__xludf.DUMMYFUNCTION("""COMPUTED_VALUE"""),0.0)</f>
        <v>0</v>
      </c>
      <c r="K97" s="26">
        <f>IFERROR(__xludf.DUMMYFUNCTION("""COMPUTED_VALUE"""),0.0)</f>
        <v>0</v>
      </c>
      <c r="L97" s="26">
        <f>IFERROR(__xludf.DUMMYFUNCTION("""COMPUTED_VALUE"""),0.0)</f>
        <v>0</v>
      </c>
      <c r="M97" s="26"/>
      <c r="N97" s="26"/>
      <c r="O97" s="26"/>
      <c r="P97" s="26"/>
      <c r="Q97" s="26"/>
      <c r="R97" s="26">
        <f>IFERROR(__xludf.DUMMYFUNCTION("""COMPUTED_VALUE"""),0.0)</f>
        <v>0</v>
      </c>
      <c r="S97" s="26">
        <f>IFERROR(__xludf.DUMMYFUNCTION("""COMPUTED_VALUE"""),0.0)</f>
        <v>0</v>
      </c>
      <c r="T97" s="26">
        <f>IFERROR(__xludf.DUMMYFUNCTION("""COMPUTED_VALUE"""),0.0)</f>
        <v>0</v>
      </c>
      <c r="U97" s="26">
        <f>IFERROR(__xludf.DUMMYFUNCTION("""COMPUTED_VALUE"""),0.0)</f>
        <v>0</v>
      </c>
      <c r="V97" s="26">
        <f>IFERROR(__xludf.DUMMYFUNCTION("""COMPUTED_VALUE"""),0.0)</f>
        <v>0</v>
      </c>
      <c r="W97" s="26">
        <f>IFERROR(__xludf.DUMMYFUNCTION("""COMPUTED_VALUE"""),0.0)</f>
        <v>0</v>
      </c>
      <c r="X97" s="26">
        <f>IFERROR(__xludf.DUMMYFUNCTION("""COMPUTED_VALUE"""),0.0)</f>
        <v>0</v>
      </c>
      <c r="Y97" s="26">
        <f>IFERROR(__xludf.DUMMYFUNCTION("""COMPUTED_VALUE"""),0.0)</f>
        <v>0</v>
      </c>
      <c r="Z97" s="26">
        <f>IFERROR(__xludf.DUMMYFUNCTION("""COMPUTED_VALUE"""),0.0)</f>
        <v>0</v>
      </c>
      <c r="AA97" s="26">
        <f>IFERROR(__xludf.DUMMYFUNCTION("""COMPUTED_VALUE"""),0.0)</f>
        <v>0</v>
      </c>
      <c r="AB97" s="26">
        <f>IFERROR(__xludf.DUMMYFUNCTION("""COMPUTED_VALUE"""),0.0)</f>
        <v>0</v>
      </c>
      <c r="AC97" s="26">
        <f>IFERROR(__xludf.DUMMYFUNCTION("""COMPUTED_VALUE"""),0.0)</f>
        <v>0</v>
      </c>
      <c r="AD97" s="26">
        <f>IFERROR(__xludf.DUMMYFUNCTION("""COMPUTED_VALUE"""),0.0)</f>
        <v>0</v>
      </c>
      <c r="AE97" s="26">
        <f>IFERROR(__xludf.DUMMYFUNCTION("""COMPUTED_VALUE"""),0.0)</f>
        <v>0</v>
      </c>
    </row>
    <row r="98">
      <c r="A98" s="26">
        <f>IFERROR(__xludf.DUMMYFUNCTION("""COMPUTED_VALUE"""),0.0)</f>
        <v>0</v>
      </c>
      <c r="B98" s="26">
        <f>IFERROR(__xludf.DUMMYFUNCTION("""COMPUTED_VALUE"""),0.0)</f>
        <v>0</v>
      </c>
      <c r="C98" s="26">
        <f>IFERROR(__xludf.DUMMYFUNCTION("""COMPUTED_VALUE"""),0.0)</f>
        <v>0</v>
      </c>
      <c r="D98" s="26">
        <f>IFERROR(__xludf.DUMMYFUNCTION("""COMPUTED_VALUE"""),0.0)</f>
        <v>0</v>
      </c>
      <c r="E98" s="26">
        <f>IFERROR(__xludf.DUMMYFUNCTION("""COMPUTED_VALUE"""),0.0)</f>
        <v>0</v>
      </c>
      <c r="F98" s="26">
        <f>IFERROR(__xludf.DUMMYFUNCTION("""COMPUTED_VALUE"""),0.0)</f>
        <v>0</v>
      </c>
      <c r="G98" s="26">
        <f>IFERROR(__xludf.DUMMYFUNCTION("""COMPUTED_VALUE"""),0.0)</f>
        <v>0</v>
      </c>
      <c r="H98" s="26">
        <f>IFERROR(__xludf.DUMMYFUNCTION("""COMPUTED_VALUE"""),0.0)</f>
        <v>0</v>
      </c>
      <c r="I98" s="26">
        <f>IFERROR(__xludf.DUMMYFUNCTION("""COMPUTED_VALUE"""),0.0)</f>
        <v>0</v>
      </c>
      <c r="J98" s="26">
        <f>IFERROR(__xludf.DUMMYFUNCTION("""COMPUTED_VALUE"""),0.0)</f>
        <v>0</v>
      </c>
      <c r="K98" s="26">
        <f>IFERROR(__xludf.DUMMYFUNCTION("""COMPUTED_VALUE"""),0.0)</f>
        <v>0</v>
      </c>
      <c r="L98" s="26">
        <f>IFERROR(__xludf.DUMMYFUNCTION("""COMPUTED_VALUE"""),0.0)</f>
        <v>0</v>
      </c>
      <c r="M98" s="26"/>
      <c r="N98" s="26"/>
      <c r="O98" s="26"/>
      <c r="P98" s="26"/>
      <c r="Q98" s="26"/>
      <c r="R98" s="26">
        <f>IFERROR(__xludf.DUMMYFUNCTION("""COMPUTED_VALUE"""),0.0)</f>
        <v>0</v>
      </c>
      <c r="S98" s="26">
        <f>IFERROR(__xludf.DUMMYFUNCTION("""COMPUTED_VALUE"""),0.0)</f>
        <v>0</v>
      </c>
      <c r="T98" s="26">
        <f>IFERROR(__xludf.DUMMYFUNCTION("""COMPUTED_VALUE"""),0.0)</f>
        <v>0</v>
      </c>
      <c r="U98" s="26">
        <f>IFERROR(__xludf.DUMMYFUNCTION("""COMPUTED_VALUE"""),0.0)</f>
        <v>0</v>
      </c>
      <c r="V98" s="26">
        <f>IFERROR(__xludf.DUMMYFUNCTION("""COMPUTED_VALUE"""),0.0)</f>
        <v>0</v>
      </c>
      <c r="W98" s="26">
        <f>IFERROR(__xludf.DUMMYFUNCTION("""COMPUTED_VALUE"""),0.0)</f>
        <v>0</v>
      </c>
      <c r="X98" s="26">
        <f>IFERROR(__xludf.DUMMYFUNCTION("""COMPUTED_VALUE"""),0.0)</f>
        <v>0</v>
      </c>
      <c r="Y98" s="26">
        <f>IFERROR(__xludf.DUMMYFUNCTION("""COMPUTED_VALUE"""),0.0)</f>
        <v>0</v>
      </c>
      <c r="Z98" s="26">
        <f>IFERROR(__xludf.DUMMYFUNCTION("""COMPUTED_VALUE"""),0.0)</f>
        <v>0</v>
      </c>
      <c r="AA98" s="26">
        <f>IFERROR(__xludf.DUMMYFUNCTION("""COMPUTED_VALUE"""),0.0)</f>
        <v>0</v>
      </c>
      <c r="AB98" s="26">
        <f>IFERROR(__xludf.DUMMYFUNCTION("""COMPUTED_VALUE"""),0.0)</f>
        <v>0</v>
      </c>
      <c r="AC98" s="26">
        <f>IFERROR(__xludf.DUMMYFUNCTION("""COMPUTED_VALUE"""),0.0)</f>
        <v>0</v>
      </c>
      <c r="AD98" s="26">
        <f>IFERROR(__xludf.DUMMYFUNCTION("""COMPUTED_VALUE"""),0.0)</f>
        <v>0</v>
      </c>
      <c r="AE98" s="26">
        <f>IFERROR(__xludf.DUMMYFUNCTION("""COMPUTED_VALUE"""),0.0)</f>
        <v>0</v>
      </c>
    </row>
    <row r="99">
      <c r="A99" s="26">
        <f>IFERROR(__xludf.DUMMYFUNCTION("""COMPUTED_VALUE"""),0.0)</f>
        <v>0</v>
      </c>
      <c r="B99" s="26">
        <f>IFERROR(__xludf.DUMMYFUNCTION("""COMPUTED_VALUE"""),0.0)</f>
        <v>0</v>
      </c>
      <c r="C99" s="26">
        <f>IFERROR(__xludf.DUMMYFUNCTION("""COMPUTED_VALUE"""),0.0)</f>
        <v>0</v>
      </c>
      <c r="D99" s="26">
        <f>IFERROR(__xludf.DUMMYFUNCTION("""COMPUTED_VALUE"""),0.0)</f>
        <v>0</v>
      </c>
      <c r="E99" s="26">
        <f>IFERROR(__xludf.DUMMYFUNCTION("""COMPUTED_VALUE"""),0.0)</f>
        <v>0</v>
      </c>
      <c r="F99" s="26">
        <f>IFERROR(__xludf.DUMMYFUNCTION("""COMPUTED_VALUE"""),0.0)</f>
        <v>0</v>
      </c>
      <c r="G99" s="26">
        <f>IFERROR(__xludf.DUMMYFUNCTION("""COMPUTED_VALUE"""),0.0)</f>
        <v>0</v>
      </c>
      <c r="H99" s="26">
        <f>IFERROR(__xludf.DUMMYFUNCTION("""COMPUTED_VALUE"""),0.0)</f>
        <v>0</v>
      </c>
      <c r="I99" s="26">
        <f>IFERROR(__xludf.DUMMYFUNCTION("""COMPUTED_VALUE"""),0.0)</f>
        <v>0</v>
      </c>
      <c r="J99" s="26">
        <f>IFERROR(__xludf.DUMMYFUNCTION("""COMPUTED_VALUE"""),0.0)</f>
        <v>0</v>
      </c>
      <c r="K99" s="26">
        <f>IFERROR(__xludf.DUMMYFUNCTION("""COMPUTED_VALUE"""),0.0)</f>
        <v>0</v>
      </c>
      <c r="L99" s="26">
        <f>IFERROR(__xludf.DUMMYFUNCTION("""COMPUTED_VALUE"""),0.0)</f>
        <v>0</v>
      </c>
      <c r="M99" s="26"/>
      <c r="N99" s="26"/>
      <c r="O99" s="26"/>
      <c r="P99" s="26"/>
      <c r="Q99" s="26"/>
      <c r="R99" s="26">
        <f>IFERROR(__xludf.DUMMYFUNCTION("""COMPUTED_VALUE"""),0.0)</f>
        <v>0</v>
      </c>
      <c r="S99" s="26">
        <f>IFERROR(__xludf.DUMMYFUNCTION("""COMPUTED_VALUE"""),0.0)</f>
        <v>0</v>
      </c>
      <c r="T99" s="26">
        <f>IFERROR(__xludf.DUMMYFUNCTION("""COMPUTED_VALUE"""),0.0)</f>
        <v>0</v>
      </c>
      <c r="U99" s="26">
        <f>IFERROR(__xludf.DUMMYFUNCTION("""COMPUTED_VALUE"""),0.0)</f>
        <v>0</v>
      </c>
      <c r="V99" s="26">
        <f>IFERROR(__xludf.DUMMYFUNCTION("""COMPUTED_VALUE"""),0.0)</f>
        <v>0</v>
      </c>
      <c r="W99" s="26">
        <f>IFERROR(__xludf.DUMMYFUNCTION("""COMPUTED_VALUE"""),0.0)</f>
        <v>0</v>
      </c>
      <c r="X99" s="26">
        <f>IFERROR(__xludf.DUMMYFUNCTION("""COMPUTED_VALUE"""),0.0)</f>
        <v>0</v>
      </c>
      <c r="Y99" s="26">
        <f>IFERROR(__xludf.DUMMYFUNCTION("""COMPUTED_VALUE"""),0.0)</f>
        <v>0</v>
      </c>
      <c r="Z99" s="26">
        <f>IFERROR(__xludf.DUMMYFUNCTION("""COMPUTED_VALUE"""),0.0)</f>
        <v>0</v>
      </c>
      <c r="AA99" s="26">
        <f>IFERROR(__xludf.DUMMYFUNCTION("""COMPUTED_VALUE"""),0.0)</f>
        <v>0</v>
      </c>
      <c r="AB99" s="26">
        <f>IFERROR(__xludf.DUMMYFUNCTION("""COMPUTED_VALUE"""),0.0)</f>
        <v>0</v>
      </c>
      <c r="AC99" s="26">
        <f>IFERROR(__xludf.DUMMYFUNCTION("""COMPUTED_VALUE"""),0.0)</f>
        <v>0</v>
      </c>
      <c r="AD99" s="26">
        <f>IFERROR(__xludf.DUMMYFUNCTION("""COMPUTED_VALUE"""),0.0)</f>
        <v>0</v>
      </c>
      <c r="AE99" s="26">
        <f>IFERROR(__xludf.DUMMYFUNCTION("""COMPUTED_VALUE"""),0.0)</f>
        <v>0</v>
      </c>
    </row>
    <row r="100">
      <c r="A100" s="26">
        <f>IFERROR(__xludf.DUMMYFUNCTION("""COMPUTED_VALUE"""),0.0)</f>
        <v>0</v>
      </c>
      <c r="B100" s="26">
        <f>IFERROR(__xludf.DUMMYFUNCTION("""COMPUTED_VALUE"""),0.0)</f>
        <v>0</v>
      </c>
      <c r="C100" s="26">
        <f>IFERROR(__xludf.DUMMYFUNCTION("""COMPUTED_VALUE"""),0.0)</f>
        <v>0</v>
      </c>
      <c r="D100" s="26">
        <f>IFERROR(__xludf.DUMMYFUNCTION("""COMPUTED_VALUE"""),0.0)</f>
        <v>0</v>
      </c>
      <c r="E100" s="26">
        <f>IFERROR(__xludf.DUMMYFUNCTION("""COMPUTED_VALUE"""),0.0)</f>
        <v>0</v>
      </c>
      <c r="F100" s="26">
        <f>IFERROR(__xludf.DUMMYFUNCTION("""COMPUTED_VALUE"""),0.0)</f>
        <v>0</v>
      </c>
      <c r="G100" s="26">
        <f>IFERROR(__xludf.DUMMYFUNCTION("""COMPUTED_VALUE"""),0.0)</f>
        <v>0</v>
      </c>
      <c r="H100" s="26">
        <f>IFERROR(__xludf.DUMMYFUNCTION("""COMPUTED_VALUE"""),0.0)</f>
        <v>0</v>
      </c>
      <c r="I100" s="26">
        <f>IFERROR(__xludf.DUMMYFUNCTION("""COMPUTED_VALUE"""),0.0)</f>
        <v>0</v>
      </c>
      <c r="J100" s="26">
        <f>IFERROR(__xludf.DUMMYFUNCTION("""COMPUTED_VALUE"""),0.0)</f>
        <v>0</v>
      </c>
      <c r="K100" s="26">
        <f>IFERROR(__xludf.DUMMYFUNCTION("""COMPUTED_VALUE"""),0.0)</f>
        <v>0</v>
      </c>
      <c r="L100" s="26">
        <f>IFERROR(__xludf.DUMMYFUNCTION("""COMPUTED_VALUE"""),0.0)</f>
        <v>0</v>
      </c>
      <c r="M100" s="26"/>
      <c r="N100" s="26"/>
      <c r="O100" s="26"/>
      <c r="P100" s="26"/>
      <c r="Q100" s="26"/>
      <c r="R100" s="26">
        <f>IFERROR(__xludf.DUMMYFUNCTION("""COMPUTED_VALUE"""),0.0)</f>
        <v>0</v>
      </c>
      <c r="S100" s="26">
        <f>IFERROR(__xludf.DUMMYFUNCTION("""COMPUTED_VALUE"""),0.0)</f>
        <v>0</v>
      </c>
      <c r="T100" s="26">
        <f>IFERROR(__xludf.DUMMYFUNCTION("""COMPUTED_VALUE"""),0.0)</f>
        <v>0</v>
      </c>
      <c r="U100" s="26">
        <f>IFERROR(__xludf.DUMMYFUNCTION("""COMPUTED_VALUE"""),0.0)</f>
        <v>0</v>
      </c>
      <c r="V100" s="26">
        <f>IFERROR(__xludf.DUMMYFUNCTION("""COMPUTED_VALUE"""),0.0)</f>
        <v>0</v>
      </c>
      <c r="W100" s="26">
        <f>IFERROR(__xludf.DUMMYFUNCTION("""COMPUTED_VALUE"""),0.0)</f>
        <v>0</v>
      </c>
      <c r="X100" s="26">
        <f>IFERROR(__xludf.DUMMYFUNCTION("""COMPUTED_VALUE"""),0.0)</f>
        <v>0</v>
      </c>
      <c r="Y100" s="26">
        <f>IFERROR(__xludf.DUMMYFUNCTION("""COMPUTED_VALUE"""),0.0)</f>
        <v>0</v>
      </c>
      <c r="Z100" s="26">
        <f>IFERROR(__xludf.DUMMYFUNCTION("""COMPUTED_VALUE"""),0.0)</f>
        <v>0</v>
      </c>
      <c r="AA100" s="26">
        <f>IFERROR(__xludf.DUMMYFUNCTION("""COMPUTED_VALUE"""),0.0)</f>
        <v>0</v>
      </c>
      <c r="AB100" s="26">
        <f>IFERROR(__xludf.DUMMYFUNCTION("""COMPUTED_VALUE"""),0.0)</f>
        <v>0</v>
      </c>
      <c r="AC100" s="26">
        <f>IFERROR(__xludf.DUMMYFUNCTION("""COMPUTED_VALUE"""),0.0)</f>
        <v>0</v>
      </c>
      <c r="AD100" s="26">
        <f>IFERROR(__xludf.DUMMYFUNCTION("""COMPUTED_VALUE"""),0.0)</f>
        <v>0</v>
      </c>
      <c r="AE100" s="26">
        <f>IFERROR(__xludf.DUMMYFUNCTION("""COMPUTED_VALUE"""),0.0)</f>
        <v>0</v>
      </c>
    </row>
    <row r="101">
      <c r="A101" s="26">
        <f>IFERROR(__xludf.DUMMYFUNCTION("""COMPUTED_VALUE"""),0.0)</f>
        <v>0</v>
      </c>
      <c r="B101" s="26">
        <f>IFERROR(__xludf.DUMMYFUNCTION("""COMPUTED_VALUE"""),0.0)</f>
        <v>0</v>
      </c>
      <c r="C101" s="26">
        <f>IFERROR(__xludf.DUMMYFUNCTION("""COMPUTED_VALUE"""),0.0)</f>
        <v>0</v>
      </c>
      <c r="D101" s="26">
        <f>IFERROR(__xludf.DUMMYFUNCTION("""COMPUTED_VALUE"""),0.0)</f>
        <v>0</v>
      </c>
      <c r="E101" s="26">
        <f>IFERROR(__xludf.DUMMYFUNCTION("""COMPUTED_VALUE"""),0.0)</f>
        <v>0</v>
      </c>
      <c r="F101" s="26">
        <f>IFERROR(__xludf.DUMMYFUNCTION("""COMPUTED_VALUE"""),0.0)</f>
        <v>0</v>
      </c>
      <c r="G101" s="26">
        <f>IFERROR(__xludf.DUMMYFUNCTION("""COMPUTED_VALUE"""),0.0)</f>
        <v>0</v>
      </c>
      <c r="H101" s="26">
        <f>IFERROR(__xludf.DUMMYFUNCTION("""COMPUTED_VALUE"""),0.0)</f>
        <v>0</v>
      </c>
      <c r="I101" s="26">
        <f>IFERROR(__xludf.DUMMYFUNCTION("""COMPUTED_VALUE"""),0.0)</f>
        <v>0</v>
      </c>
      <c r="J101" s="26">
        <f>IFERROR(__xludf.DUMMYFUNCTION("""COMPUTED_VALUE"""),0.0)</f>
        <v>0</v>
      </c>
      <c r="K101" s="26">
        <f>IFERROR(__xludf.DUMMYFUNCTION("""COMPUTED_VALUE"""),0.0)</f>
        <v>0</v>
      </c>
      <c r="L101" s="26">
        <f>IFERROR(__xludf.DUMMYFUNCTION("""COMPUTED_VALUE"""),0.0)</f>
        <v>0</v>
      </c>
      <c r="M101" s="26"/>
      <c r="N101" s="26"/>
      <c r="O101" s="26"/>
      <c r="P101" s="26"/>
      <c r="Q101" s="26"/>
      <c r="R101" s="26">
        <f>IFERROR(__xludf.DUMMYFUNCTION("""COMPUTED_VALUE"""),0.0)</f>
        <v>0</v>
      </c>
      <c r="S101" s="26">
        <f>IFERROR(__xludf.DUMMYFUNCTION("""COMPUTED_VALUE"""),0.0)</f>
        <v>0</v>
      </c>
      <c r="T101" s="26">
        <f>IFERROR(__xludf.DUMMYFUNCTION("""COMPUTED_VALUE"""),0.0)</f>
        <v>0</v>
      </c>
      <c r="U101" s="26">
        <f>IFERROR(__xludf.DUMMYFUNCTION("""COMPUTED_VALUE"""),0.0)</f>
        <v>0</v>
      </c>
      <c r="V101" s="26">
        <f>IFERROR(__xludf.DUMMYFUNCTION("""COMPUTED_VALUE"""),0.0)</f>
        <v>0</v>
      </c>
      <c r="W101" s="26">
        <f>IFERROR(__xludf.DUMMYFUNCTION("""COMPUTED_VALUE"""),0.0)</f>
        <v>0</v>
      </c>
      <c r="X101" s="26">
        <f>IFERROR(__xludf.DUMMYFUNCTION("""COMPUTED_VALUE"""),0.0)</f>
        <v>0</v>
      </c>
      <c r="Y101" s="26">
        <f>IFERROR(__xludf.DUMMYFUNCTION("""COMPUTED_VALUE"""),0.0)</f>
        <v>0</v>
      </c>
      <c r="Z101" s="26">
        <f>IFERROR(__xludf.DUMMYFUNCTION("""COMPUTED_VALUE"""),0.0)</f>
        <v>0</v>
      </c>
      <c r="AA101" s="26">
        <f>IFERROR(__xludf.DUMMYFUNCTION("""COMPUTED_VALUE"""),0.0)</f>
        <v>0</v>
      </c>
      <c r="AB101" s="26">
        <f>IFERROR(__xludf.DUMMYFUNCTION("""COMPUTED_VALUE"""),0.0)</f>
        <v>0</v>
      </c>
      <c r="AC101" s="26">
        <f>IFERROR(__xludf.DUMMYFUNCTION("""COMPUTED_VALUE"""),0.0)</f>
        <v>0</v>
      </c>
      <c r="AD101" s="26">
        <f>IFERROR(__xludf.DUMMYFUNCTION("""COMPUTED_VALUE"""),0.0)</f>
        <v>0</v>
      </c>
      <c r="AE101" s="26">
        <f>IFERROR(__xludf.DUMMYFUNCTION("""COMPUTED_VALUE"""),0.0)</f>
        <v>0</v>
      </c>
    </row>
    <row r="102">
      <c r="A102" s="26">
        <f>IFERROR(__xludf.DUMMYFUNCTION("""COMPUTED_VALUE"""),0.0)</f>
        <v>0</v>
      </c>
      <c r="B102" s="26">
        <f>IFERROR(__xludf.DUMMYFUNCTION("""COMPUTED_VALUE"""),0.0)</f>
        <v>0</v>
      </c>
      <c r="C102" s="26">
        <f>IFERROR(__xludf.DUMMYFUNCTION("""COMPUTED_VALUE"""),0.0)</f>
        <v>0</v>
      </c>
      <c r="D102" s="26">
        <f>IFERROR(__xludf.DUMMYFUNCTION("""COMPUTED_VALUE"""),0.0)</f>
        <v>0</v>
      </c>
      <c r="E102" s="26">
        <f>IFERROR(__xludf.DUMMYFUNCTION("""COMPUTED_VALUE"""),0.0)</f>
        <v>0</v>
      </c>
      <c r="F102" s="26">
        <f>IFERROR(__xludf.DUMMYFUNCTION("""COMPUTED_VALUE"""),0.0)</f>
        <v>0</v>
      </c>
      <c r="G102" s="26">
        <f>IFERROR(__xludf.DUMMYFUNCTION("""COMPUTED_VALUE"""),0.0)</f>
        <v>0</v>
      </c>
      <c r="H102" s="26">
        <f>IFERROR(__xludf.DUMMYFUNCTION("""COMPUTED_VALUE"""),0.0)</f>
        <v>0</v>
      </c>
      <c r="I102" s="26">
        <f>IFERROR(__xludf.DUMMYFUNCTION("""COMPUTED_VALUE"""),0.0)</f>
        <v>0</v>
      </c>
      <c r="J102" s="26">
        <f>IFERROR(__xludf.DUMMYFUNCTION("""COMPUTED_VALUE"""),0.0)</f>
        <v>0</v>
      </c>
      <c r="K102" s="26">
        <f>IFERROR(__xludf.DUMMYFUNCTION("""COMPUTED_VALUE"""),0.0)</f>
        <v>0</v>
      </c>
      <c r="L102" s="26">
        <f>IFERROR(__xludf.DUMMYFUNCTION("""COMPUTED_VALUE"""),0.0)</f>
        <v>0</v>
      </c>
      <c r="M102" s="26"/>
      <c r="N102" s="26"/>
      <c r="O102" s="26"/>
      <c r="P102" s="26"/>
      <c r="Q102" s="26"/>
      <c r="R102" s="26">
        <f>IFERROR(__xludf.DUMMYFUNCTION("""COMPUTED_VALUE"""),0.0)</f>
        <v>0</v>
      </c>
      <c r="S102" s="26">
        <f>IFERROR(__xludf.DUMMYFUNCTION("""COMPUTED_VALUE"""),0.0)</f>
        <v>0</v>
      </c>
      <c r="T102" s="26">
        <f>IFERROR(__xludf.DUMMYFUNCTION("""COMPUTED_VALUE"""),0.0)</f>
        <v>0</v>
      </c>
      <c r="U102" s="26">
        <f>IFERROR(__xludf.DUMMYFUNCTION("""COMPUTED_VALUE"""),0.0)</f>
        <v>0</v>
      </c>
      <c r="V102" s="26">
        <f>IFERROR(__xludf.DUMMYFUNCTION("""COMPUTED_VALUE"""),0.0)</f>
        <v>0</v>
      </c>
      <c r="W102" s="26">
        <f>IFERROR(__xludf.DUMMYFUNCTION("""COMPUTED_VALUE"""),0.0)</f>
        <v>0</v>
      </c>
      <c r="X102" s="26">
        <f>IFERROR(__xludf.DUMMYFUNCTION("""COMPUTED_VALUE"""),0.0)</f>
        <v>0</v>
      </c>
      <c r="Y102" s="26">
        <f>IFERROR(__xludf.DUMMYFUNCTION("""COMPUTED_VALUE"""),0.0)</f>
        <v>0</v>
      </c>
      <c r="Z102" s="26">
        <f>IFERROR(__xludf.DUMMYFUNCTION("""COMPUTED_VALUE"""),0.0)</f>
        <v>0</v>
      </c>
      <c r="AA102" s="26">
        <f>IFERROR(__xludf.DUMMYFUNCTION("""COMPUTED_VALUE"""),0.0)</f>
        <v>0</v>
      </c>
      <c r="AB102" s="26">
        <f>IFERROR(__xludf.DUMMYFUNCTION("""COMPUTED_VALUE"""),0.0)</f>
        <v>0</v>
      </c>
      <c r="AC102" s="26">
        <f>IFERROR(__xludf.DUMMYFUNCTION("""COMPUTED_VALUE"""),0.0)</f>
        <v>0</v>
      </c>
      <c r="AD102" s="26">
        <f>IFERROR(__xludf.DUMMYFUNCTION("""COMPUTED_VALUE"""),0.0)</f>
        <v>0</v>
      </c>
      <c r="AE102" s="26">
        <f>IFERROR(__xludf.DUMMYFUNCTION("""COMPUTED_VALUE"""),0.0)</f>
        <v>0</v>
      </c>
    </row>
    <row r="103">
      <c r="A103" s="26">
        <f>IFERROR(__xludf.DUMMYFUNCTION("""COMPUTED_VALUE"""),0.0)</f>
        <v>0</v>
      </c>
      <c r="B103" s="26">
        <f>IFERROR(__xludf.DUMMYFUNCTION("""COMPUTED_VALUE"""),0.0)</f>
        <v>0</v>
      </c>
      <c r="C103" s="26">
        <f>IFERROR(__xludf.DUMMYFUNCTION("""COMPUTED_VALUE"""),0.0)</f>
        <v>0</v>
      </c>
      <c r="D103" s="26">
        <f>IFERROR(__xludf.DUMMYFUNCTION("""COMPUTED_VALUE"""),0.0)</f>
        <v>0</v>
      </c>
      <c r="E103" s="26">
        <f>IFERROR(__xludf.DUMMYFUNCTION("""COMPUTED_VALUE"""),0.0)</f>
        <v>0</v>
      </c>
      <c r="F103" s="26">
        <f>IFERROR(__xludf.DUMMYFUNCTION("""COMPUTED_VALUE"""),0.0)</f>
        <v>0</v>
      </c>
      <c r="G103" s="26">
        <f>IFERROR(__xludf.DUMMYFUNCTION("""COMPUTED_VALUE"""),0.0)</f>
        <v>0</v>
      </c>
      <c r="H103" s="26">
        <f>IFERROR(__xludf.DUMMYFUNCTION("""COMPUTED_VALUE"""),0.0)</f>
        <v>0</v>
      </c>
      <c r="I103" s="26">
        <f>IFERROR(__xludf.DUMMYFUNCTION("""COMPUTED_VALUE"""),0.0)</f>
        <v>0</v>
      </c>
      <c r="J103" s="26">
        <f>IFERROR(__xludf.DUMMYFUNCTION("""COMPUTED_VALUE"""),0.0)</f>
        <v>0</v>
      </c>
      <c r="K103" s="26">
        <f>IFERROR(__xludf.DUMMYFUNCTION("""COMPUTED_VALUE"""),0.0)</f>
        <v>0</v>
      </c>
      <c r="L103" s="26">
        <f>IFERROR(__xludf.DUMMYFUNCTION("""COMPUTED_VALUE"""),0.0)</f>
        <v>0</v>
      </c>
      <c r="M103" s="26"/>
      <c r="N103" s="26"/>
      <c r="O103" s="26"/>
      <c r="P103" s="26"/>
      <c r="Q103" s="26"/>
      <c r="R103" s="26">
        <f>IFERROR(__xludf.DUMMYFUNCTION("""COMPUTED_VALUE"""),0.0)</f>
        <v>0</v>
      </c>
      <c r="S103" s="26">
        <f>IFERROR(__xludf.DUMMYFUNCTION("""COMPUTED_VALUE"""),0.0)</f>
        <v>0</v>
      </c>
      <c r="T103" s="26">
        <f>IFERROR(__xludf.DUMMYFUNCTION("""COMPUTED_VALUE"""),0.0)</f>
        <v>0</v>
      </c>
      <c r="U103" s="26">
        <f>IFERROR(__xludf.DUMMYFUNCTION("""COMPUTED_VALUE"""),0.0)</f>
        <v>0</v>
      </c>
      <c r="V103" s="26">
        <f>IFERROR(__xludf.DUMMYFUNCTION("""COMPUTED_VALUE"""),0.0)</f>
        <v>0</v>
      </c>
      <c r="W103" s="26">
        <f>IFERROR(__xludf.DUMMYFUNCTION("""COMPUTED_VALUE"""),0.0)</f>
        <v>0</v>
      </c>
      <c r="X103" s="26">
        <f>IFERROR(__xludf.DUMMYFUNCTION("""COMPUTED_VALUE"""),0.0)</f>
        <v>0</v>
      </c>
      <c r="Y103" s="26">
        <f>IFERROR(__xludf.DUMMYFUNCTION("""COMPUTED_VALUE"""),0.0)</f>
        <v>0</v>
      </c>
      <c r="Z103" s="26">
        <f>IFERROR(__xludf.DUMMYFUNCTION("""COMPUTED_VALUE"""),0.0)</f>
        <v>0</v>
      </c>
      <c r="AA103" s="26">
        <f>IFERROR(__xludf.DUMMYFUNCTION("""COMPUTED_VALUE"""),0.0)</f>
        <v>0</v>
      </c>
      <c r="AB103" s="26">
        <f>IFERROR(__xludf.DUMMYFUNCTION("""COMPUTED_VALUE"""),0.0)</f>
        <v>0</v>
      </c>
      <c r="AC103" s="26">
        <f>IFERROR(__xludf.DUMMYFUNCTION("""COMPUTED_VALUE"""),0.0)</f>
        <v>0</v>
      </c>
      <c r="AD103" s="26">
        <f>IFERROR(__xludf.DUMMYFUNCTION("""COMPUTED_VALUE"""),0.0)</f>
        <v>0</v>
      </c>
      <c r="AE103" s="26">
        <f>IFERROR(__xludf.DUMMYFUNCTION("""COMPUTED_VALUE"""),0.0)</f>
        <v>0</v>
      </c>
    </row>
    <row r="104">
      <c r="A104" s="26">
        <f>IFERROR(__xludf.DUMMYFUNCTION("""COMPUTED_VALUE"""),0.0)</f>
        <v>0</v>
      </c>
      <c r="B104" s="26">
        <f>IFERROR(__xludf.DUMMYFUNCTION("""COMPUTED_VALUE"""),0.0)</f>
        <v>0</v>
      </c>
      <c r="C104" s="26">
        <f>IFERROR(__xludf.DUMMYFUNCTION("""COMPUTED_VALUE"""),0.0)</f>
        <v>0</v>
      </c>
      <c r="D104" s="26">
        <f>IFERROR(__xludf.DUMMYFUNCTION("""COMPUTED_VALUE"""),0.0)</f>
        <v>0</v>
      </c>
      <c r="E104" s="26">
        <f>IFERROR(__xludf.DUMMYFUNCTION("""COMPUTED_VALUE"""),0.0)</f>
        <v>0</v>
      </c>
      <c r="F104" s="26">
        <f>IFERROR(__xludf.DUMMYFUNCTION("""COMPUTED_VALUE"""),0.0)</f>
        <v>0</v>
      </c>
      <c r="G104" s="26">
        <f>IFERROR(__xludf.DUMMYFUNCTION("""COMPUTED_VALUE"""),0.0)</f>
        <v>0</v>
      </c>
      <c r="H104" s="26">
        <f>IFERROR(__xludf.DUMMYFUNCTION("""COMPUTED_VALUE"""),0.0)</f>
        <v>0</v>
      </c>
      <c r="I104" s="26">
        <f>IFERROR(__xludf.DUMMYFUNCTION("""COMPUTED_VALUE"""),0.0)</f>
        <v>0</v>
      </c>
      <c r="J104" s="26">
        <f>IFERROR(__xludf.DUMMYFUNCTION("""COMPUTED_VALUE"""),0.0)</f>
        <v>0</v>
      </c>
      <c r="K104" s="26">
        <f>IFERROR(__xludf.DUMMYFUNCTION("""COMPUTED_VALUE"""),0.0)</f>
        <v>0</v>
      </c>
      <c r="L104" s="26">
        <f>IFERROR(__xludf.DUMMYFUNCTION("""COMPUTED_VALUE"""),0.0)</f>
        <v>0</v>
      </c>
      <c r="M104" s="26"/>
      <c r="N104" s="26"/>
      <c r="O104" s="26"/>
      <c r="P104" s="26"/>
      <c r="Q104" s="26"/>
      <c r="R104" s="26">
        <f>IFERROR(__xludf.DUMMYFUNCTION("""COMPUTED_VALUE"""),0.0)</f>
        <v>0</v>
      </c>
      <c r="S104" s="26">
        <f>IFERROR(__xludf.DUMMYFUNCTION("""COMPUTED_VALUE"""),0.0)</f>
        <v>0</v>
      </c>
      <c r="T104" s="26">
        <f>IFERROR(__xludf.DUMMYFUNCTION("""COMPUTED_VALUE"""),0.0)</f>
        <v>0</v>
      </c>
      <c r="U104" s="26">
        <f>IFERROR(__xludf.DUMMYFUNCTION("""COMPUTED_VALUE"""),0.0)</f>
        <v>0</v>
      </c>
      <c r="V104" s="26">
        <f>IFERROR(__xludf.DUMMYFUNCTION("""COMPUTED_VALUE"""),0.0)</f>
        <v>0</v>
      </c>
      <c r="W104" s="26">
        <f>IFERROR(__xludf.DUMMYFUNCTION("""COMPUTED_VALUE"""),0.0)</f>
        <v>0</v>
      </c>
      <c r="X104" s="26">
        <f>IFERROR(__xludf.DUMMYFUNCTION("""COMPUTED_VALUE"""),0.0)</f>
        <v>0</v>
      </c>
      <c r="Y104" s="26">
        <f>IFERROR(__xludf.DUMMYFUNCTION("""COMPUTED_VALUE"""),0.0)</f>
        <v>0</v>
      </c>
      <c r="Z104" s="26">
        <f>IFERROR(__xludf.DUMMYFUNCTION("""COMPUTED_VALUE"""),0.0)</f>
        <v>0</v>
      </c>
      <c r="AA104" s="26">
        <f>IFERROR(__xludf.DUMMYFUNCTION("""COMPUTED_VALUE"""),0.0)</f>
        <v>0</v>
      </c>
      <c r="AB104" s="26">
        <f>IFERROR(__xludf.DUMMYFUNCTION("""COMPUTED_VALUE"""),0.0)</f>
        <v>0</v>
      </c>
      <c r="AC104" s="26">
        <f>IFERROR(__xludf.DUMMYFUNCTION("""COMPUTED_VALUE"""),0.0)</f>
        <v>0</v>
      </c>
      <c r="AD104" s="26">
        <f>IFERROR(__xludf.DUMMYFUNCTION("""COMPUTED_VALUE"""),0.0)</f>
        <v>0</v>
      </c>
      <c r="AE104" s="26">
        <f>IFERROR(__xludf.DUMMYFUNCTION("""COMPUTED_VALUE"""),0.0)</f>
        <v>0</v>
      </c>
    </row>
    <row r="105">
      <c r="A105" s="26">
        <f>IFERROR(__xludf.DUMMYFUNCTION("""COMPUTED_VALUE"""),0.0)</f>
        <v>0</v>
      </c>
      <c r="B105" s="26">
        <f>IFERROR(__xludf.DUMMYFUNCTION("""COMPUTED_VALUE"""),0.0)</f>
        <v>0</v>
      </c>
      <c r="C105" s="26">
        <f>IFERROR(__xludf.DUMMYFUNCTION("""COMPUTED_VALUE"""),0.0)</f>
        <v>0</v>
      </c>
      <c r="D105" s="26">
        <f>IFERROR(__xludf.DUMMYFUNCTION("""COMPUTED_VALUE"""),0.0)</f>
        <v>0</v>
      </c>
      <c r="E105" s="26">
        <f>IFERROR(__xludf.DUMMYFUNCTION("""COMPUTED_VALUE"""),0.0)</f>
        <v>0</v>
      </c>
      <c r="F105" s="26">
        <f>IFERROR(__xludf.DUMMYFUNCTION("""COMPUTED_VALUE"""),0.0)</f>
        <v>0</v>
      </c>
      <c r="G105" s="26">
        <f>IFERROR(__xludf.DUMMYFUNCTION("""COMPUTED_VALUE"""),0.0)</f>
        <v>0</v>
      </c>
      <c r="H105" s="26">
        <f>IFERROR(__xludf.DUMMYFUNCTION("""COMPUTED_VALUE"""),0.0)</f>
        <v>0</v>
      </c>
      <c r="I105" s="26">
        <f>IFERROR(__xludf.DUMMYFUNCTION("""COMPUTED_VALUE"""),0.0)</f>
        <v>0</v>
      </c>
      <c r="J105" s="26">
        <f>IFERROR(__xludf.DUMMYFUNCTION("""COMPUTED_VALUE"""),0.0)</f>
        <v>0</v>
      </c>
      <c r="K105" s="26">
        <f>IFERROR(__xludf.DUMMYFUNCTION("""COMPUTED_VALUE"""),0.0)</f>
        <v>0</v>
      </c>
      <c r="L105" s="26">
        <f>IFERROR(__xludf.DUMMYFUNCTION("""COMPUTED_VALUE"""),0.0)</f>
        <v>0</v>
      </c>
      <c r="M105" s="26"/>
      <c r="N105" s="26"/>
      <c r="O105" s="26"/>
      <c r="P105" s="26"/>
      <c r="Q105" s="26"/>
      <c r="R105" s="26">
        <f>IFERROR(__xludf.DUMMYFUNCTION("""COMPUTED_VALUE"""),0.0)</f>
        <v>0</v>
      </c>
      <c r="S105" s="26">
        <f>IFERROR(__xludf.DUMMYFUNCTION("""COMPUTED_VALUE"""),0.0)</f>
        <v>0</v>
      </c>
      <c r="T105" s="26">
        <f>IFERROR(__xludf.DUMMYFUNCTION("""COMPUTED_VALUE"""),0.0)</f>
        <v>0</v>
      </c>
      <c r="U105" s="26">
        <f>IFERROR(__xludf.DUMMYFUNCTION("""COMPUTED_VALUE"""),0.0)</f>
        <v>0</v>
      </c>
      <c r="V105" s="26">
        <f>IFERROR(__xludf.DUMMYFUNCTION("""COMPUTED_VALUE"""),0.0)</f>
        <v>0</v>
      </c>
      <c r="W105" s="26">
        <f>IFERROR(__xludf.DUMMYFUNCTION("""COMPUTED_VALUE"""),0.0)</f>
        <v>0</v>
      </c>
      <c r="X105" s="26">
        <f>IFERROR(__xludf.DUMMYFUNCTION("""COMPUTED_VALUE"""),0.0)</f>
        <v>0</v>
      </c>
      <c r="Y105" s="26">
        <f>IFERROR(__xludf.DUMMYFUNCTION("""COMPUTED_VALUE"""),0.0)</f>
        <v>0</v>
      </c>
      <c r="Z105" s="26">
        <f>IFERROR(__xludf.DUMMYFUNCTION("""COMPUTED_VALUE"""),0.0)</f>
        <v>0</v>
      </c>
      <c r="AA105" s="26">
        <f>IFERROR(__xludf.DUMMYFUNCTION("""COMPUTED_VALUE"""),0.0)</f>
        <v>0</v>
      </c>
      <c r="AB105" s="26">
        <f>IFERROR(__xludf.DUMMYFUNCTION("""COMPUTED_VALUE"""),0.0)</f>
        <v>0</v>
      </c>
      <c r="AC105" s="26">
        <f>IFERROR(__xludf.DUMMYFUNCTION("""COMPUTED_VALUE"""),0.0)</f>
        <v>0</v>
      </c>
      <c r="AD105" s="26">
        <f>IFERROR(__xludf.DUMMYFUNCTION("""COMPUTED_VALUE"""),0.0)</f>
        <v>0</v>
      </c>
      <c r="AE105" s="26">
        <f>IFERROR(__xludf.DUMMYFUNCTION("""COMPUTED_VALUE"""),0.0)</f>
        <v>0</v>
      </c>
    </row>
    <row r="106">
      <c r="A106" s="26">
        <f>IFERROR(__xludf.DUMMYFUNCTION("""COMPUTED_VALUE"""),0.0)</f>
        <v>0</v>
      </c>
      <c r="B106" s="26">
        <f>IFERROR(__xludf.DUMMYFUNCTION("""COMPUTED_VALUE"""),0.0)</f>
        <v>0</v>
      </c>
      <c r="C106" s="26">
        <f>IFERROR(__xludf.DUMMYFUNCTION("""COMPUTED_VALUE"""),0.0)</f>
        <v>0</v>
      </c>
      <c r="D106" s="26">
        <f>IFERROR(__xludf.DUMMYFUNCTION("""COMPUTED_VALUE"""),0.0)</f>
        <v>0</v>
      </c>
      <c r="E106" s="26">
        <f>IFERROR(__xludf.DUMMYFUNCTION("""COMPUTED_VALUE"""),0.0)</f>
        <v>0</v>
      </c>
      <c r="F106" s="26">
        <f>IFERROR(__xludf.DUMMYFUNCTION("""COMPUTED_VALUE"""),0.0)</f>
        <v>0</v>
      </c>
      <c r="G106" s="26">
        <f>IFERROR(__xludf.DUMMYFUNCTION("""COMPUTED_VALUE"""),0.0)</f>
        <v>0</v>
      </c>
      <c r="H106" s="26">
        <f>IFERROR(__xludf.DUMMYFUNCTION("""COMPUTED_VALUE"""),0.0)</f>
        <v>0</v>
      </c>
      <c r="I106" s="26">
        <f>IFERROR(__xludf.DUMMYFUNCTION("""COMPUTED_VALUE"""),0.0)</f>
        <v>0</v>
      </c>
      <c r="J106" s="26">
        <f>IFERROR(__xludf.DUMMYFUNCTION("""COMPUTED_VALUE"""),0.0)</f>
        <v>0</v>
      </c>
      <c r="K106" s="26">
        <f>IFERROR(__xludf.DUMMYFUNCTION("""COMPUTED_VALUE"""),0.0)</f>
        <v>0</v>
      </c>
      <c r="L106" s="26">
        <f>IFERROR(__xludf.DUMMYFUNCTION("""COMPUTED_VALUE"""),0.0)</f>
        <v>0</v>
      </c>
      <c r="M106" s="26"/>
      <c r="N106" s="26"/>
      <c r="O106" s="26"/>
      <c r="P106" s="26"/>
      <c r="Q106" s="26"/>
      <c r="R106" s="26">
        <f>IFERROR(__xludf.DUMMYFUNCTION("""COMPUTED_VALUE"""),0.0)</f>
        <v>0</v>
      </c>
      <c r="S106" s="26">
        <f>IFERROR(__xludf.DUMMYFUNCTION("""COMPUTED_VALUE"""),0.0)</f>
        <v>0</v>
      </c>
      <c r="T106" s="26">
        <f>IFERROR(__xludf.DUMMYFUNCTION("""COMPUTED_VALUE"""),0.0)</f>
        <v>0</v>
      </c>
      <c r="U106" s="26">
        <f>IFERROR(__xludf.DUMMYFUNCTION("""COMPUTED_VALUE"""),0.0)</f>
        <v>0</v>
      </c>
      <c r="V106" s="26">
        <f>IFERROR(__xludf.DUMMYFUNCTION("""COMPUTED_VALUE"""),0.0)</f>
        <v>0</v>
      </c>
      <c r="W106" s="26">
        <f>IFERROR(__xludf.DUMMYFUNCTION("""COMPUTED_VALUE"""),0.0)</f>
        <v>0</v>
      </c>
      <c r="X106" s="26">
        <f>IFERROR(__xludf.DUMMYFUNCTION("""COMPUTED_VALUE"""),0.0)</f>
        <v>0</v>
      </c>
      <c r="Y106" s="26">
        <f>IFERROR(__xludf.DUMMYFUNCTION("""COMPUTED_VALUE"""),0.0)</f>
        <v>0</v>
      </c>
      <c r="Z106" s="26">
        <f>IFERROR(__xludf.DUMMYFUNCTION("""COMPUTED_VALUE"""),0.0)</f>
        <v>0</v>
      </c>
      <c r="AA106" s="26">
        <f>IFERROR(__xludf.DUMMYFUNCTION("""COMPUTED_VALUE"""),0.0)</f>
        <v>0</v>
      </c>
      <c r="AB106" s="26">
        <f>IFERROR(__xludf.DUMMYFUNCTION("""COMPUTED_VALUE"""),0.0)</f>
        <v>0</v>
      </c>
      <c r="AC106" s="26">
        <f>IFERROR(__xludf.DUMMYFUNCTION("""COMPUTED_VALUE"""),0.0)</f>
        <v>0</v>
      </c>
      <c r="AD106" s="26">
        <f>IFERROR(__xludf.DUMMYFUNCTION("""COMPUTED_VALUE"""),0.0)</f>
        <v>0</v>
      </c>
      <c r="AE106" s="26">
        <f>IFERROR(__xludf.DUMMYFUNCTION("""COMPUTED_VALUE"""),0.0)</f>
        <v>0</v>
      </c>
    </row>
    <row r="107">
      <c r="A107" s="26">
        <f>IFERROR(__xludf.DUMMYFUNCTION("""COMPUTED_VALUE"""),0.0)</f>
        <v>0</v>
      </c>
      <c r="B107" s="26">
        <f>IFERROR(__xludf.DUMMYFUNCTION("""COMPUTED_VALUE"""),0.0)</f>
        <v>0</v>
      </c>
      <c r="C107" s="26">
        <f>IFERROR(__xludf.DUMMYFUNCTION("""COMPUTED_VALUE"""),0.0)</f>
        <v>0</v>
      </c>
      <c r="D107" s="26">
        <f>IFERROR(__xludf.DUMMYFUNCTION("""COMPUTED_VALUE"""),0.0)</f>
        <v>0</v>
      </c>
      <c r="E107" s="26">
        <f>IFERROR(__xludf.DUMMYFUNCTION("""COMPUTED_VALUE"""),0.0)</f>
        <v>0</v>
      </c>
      <c r="F107" s="26">
        <f>IFERROR(__xludf.DUMMYFUNCTION("""COMPUTED_VALUE"""),0.0)</f>
        <v>0</v>
      </c>
      <c r="G107" s="26">
        <f>IFERROR(__xludf.DUMMYFUNCTION("""COMPUTED_VALUE"""),0.0)</f>
        <v>0</v>
      </c>
      <c r="H107" s="26">
        <f>IFERROR(__xludf.DUMMYFUNCTION("""COMPUTED_VALUE"""),0.0)</f>
        <v>0</v>
      </c>
      <c r="I107" s="26">
        <f>IFERROR(__xludf.DUMMYFUNCTION("""COMPUTED_VALUE"""),0.0)</f>
        <v>0</v>
      </c>
      <c r="J107" s="26">
        <f>IFERROR(__xludf.DUMMYFUNCTION("""COMPUTED_VALUE"""),0.0)</f>
        <v>0</v>
      </c>
      <c r="K107" s="26">
        <f>IFERROR(__xludf.DUMMYFUNCTION("""COMPUTED_VALUE"""),0.0)</f>
        <v>0</v>
      </c>
      <c r="L107" s="26">
        <f>IFERROR(__xludf.DUMMYFUNCTION("""COMPUTED_VALUE"""),0.0)</f>
        <v>0</v>
      </c>
      <c r="M107" s="26"/>
      <c r="N107" s="26"/>
      <c r="O107" s="26"/>
      <c r="P107" s="26"/>
      <c r="Q107" s="26"/>
      <c r="R107" s="26">
        <f>IFERROR(__xludf.DUMMYFUNCTION("""COMPUTED_VALUE"""),0.0)</f>
        <v>0</v>
      </c>
      <c r="S107" s="26">
        <f>IFERROR(__xludf.DUMMYFUNCTION("""COMPUTED_VALUE"""),0.0)</f>
        <v>0</v>
      </c>
      <c r="T107" s="26">
        <f>IFERROR(__xludf.DUMMYFUNCTION("""COMPUTED_VALUE"""),0.0)</f>
        <v>0</v>
      </c>
      <c r="U107" s="26">
        <f>IFERROR(__xludf.DUMMYFUNCTION("""COMPUTED_VALUE"""),0.0)</f>
        <v>0</v>
      </c>
      <c r="V107" s="26">
        <f>IFERROR(__xludf.DUMMYFUNCTION("""COMPUTED_VALUE"""),0.0)</f>
        <v>0</v>
      </c>
      <c r="W107" s="26">
        <f>IFERROR(__xludf.DUMMYFUNCTION("""COMPUTED_VALUE"""),0.0)</f>
        <v>0</v>
      </c>
      <c r="X107" s="26">
        <f>IFERROR(__xludf.DUMMYFUNCTION("""COMPUTED_VALUE"""),0.0)</f>
        <v>0</v>
      </c>
      <c r="Y107" s="26">
        <f>IFERROR(__xludf.DUMMYFUNCTION("""COMPUTED_VALUE"""),0.0)</f>
        <v>0</v>
      </c>
      <c r="Z107" s="26">
        <f>IFERROR(__xludf.DUMMYFUNCTION("""COMPUTED_VALUE"""),0.0)</f>
        <v>0</v>
      </c>
      <c r="AA107" s="26">
        <f>IFERROR(__xludf.DUMMYFUNCTION("""COMPUTED_VALUE"""),0.0)</f>
        <v>0</v>
      </c>
      <c r="AB107" s="26">
        <f>IFERROR(__xludf.DUMMYFUNCTION("""COMPUTED_VALUE"""),0.0)</f>
        <v>0</v>
      </c>
      <c r="AC107" s="26">
        <f>IFERROR(__xludf.DUMMYFUNCTION("""COMPUTED_VALUE"""),0.0)</f>
        <v>0</v>
      </c>
      <c r="AD107" s="26">
        <f>IFERROR(__xludf.DUMMYFUNCTION("""COMPUTED_VALUE"""),0.0)</f>
        <v>0</v>
      </c>
      <c r="AE107" s="26">
        <f>IFERROR(__xludf.DUMMYFUNCTION("""COMPUTED_VALUE"""),0.0)</f>
        <v>0</v>
      </c>
    </row>
    <row r="108">
      <c r="A108" s="26">
        <f>IFERROR(__xludf.DUMMYFUNCTION("""COMPUTED_VALUE"""),0.0)</f>
        <v>0</v>
      </c>
      <c r="B108" s="26">
        <f>IFERROR(__xludf.DUMMYFUNCTION("""COMPUTED_VALUE"""),0.0)</f>
        <v>0</v>
      </c>
      <c r="C108" s="26">
        <f>IFERROR(__xludf.DUMMYFUNCTION("""COMPUTED_VALUE"""),0.0)</f>
        <v>0</v>
      </c>
      <c r="D108" s="26">
        <f>IFERROR(__xludf.DUMMYFUNCTION("""COMPUTED_VALUE"""),0.0)</f>
        <v>0</v>
      </c>
      <c r="E108" s="26">
        <f>IFERROR(__xludf.DUMMYFUNCTION("""COMPUTED_VALUE"""),0.0)</f>
        <v>0</v>
      </c>
      <c r="F108" s="26">
        <f>IFERROR(__xludf.DUMMYFUNCTION("""COMPUTED_VALUE"""),0.0)</f>
        <v>0</v>
      </c>
      <c r="G108" s="26">
        <f>IFERROR(__xludf.DUMMYFUNCTION("""COMPUTED_VALUE"""),0.0)</f>
        <v>0</v>
      </c>
      <c r="H108" s="26">
        <f>IFERROR(__xludf.DUMMYFUNCTION("""COMPUTED_VALUE"""),0.0)</f>
        <v>0</v>
      </c>
      <c r="I108" s="26">
        <f>IFERROR(__xludf.DUMMYFUNCTION("""COMPUTED_VALUE"""),0.0)</f>
        <v>0</v>
      </c>
      <c r="J108" s="26">
        <f>IFERROR(__xludf.DUMMYFUNCTION("""COMPUTED_VALUE"""),0.0)</f>
        <v>0</v>
      </c>
      <c r="K108" s="26">
        <f>IFERROR(__xludf.DUMMYFUNCTION("""COMPUTED_VALUE"""),0.0)</f>
        <v>0</v>
      </c>
      <c r="L108" s="26">
        <f>IFERROR(__xludf.DUMMYFUNCTION("""COMPUTED_VALUE"""),0.0)</f>
        <v>0</v>
      </c>
      <c r="M108" s="26"/>
      <c r="N108" s="26"/>
      <c r="O108" s="26"/>
      <c r="P108" s="26"/>
      <c r="Q108" s="26"/>
      <c r="R108" s="26">
        <f>IFERROR(__xludf.DUMMYFUNCTION("""COMPUTED_VALUE"""),0.0)</f>
        <v>0</v>
      </c>
      <c r="S108" s="26">
        <f>IFERROR(__xludf.DUMMYFUNCTION("""COMPUTED_VALUE"""),0.0)</f>
        <v>0</v>
      </c>
      <c r="T108" s="26">
        <f>IFERROR(__xludf.DUMMYFUNCTION("""COMPUTED_VALUE"""),0.0)</f>
        <v>0</v>
      </c>
      <c r="U108" s="26">
        <f>IFERROR(__xludf.DUMMYFUNCTION("""COMPUTED_VALUE"""),0.0)</f>
        <v>0</v>
      </c>
      <c r="V108" s="26">
        <f>IFERROR(__xludf.DUMMYFUNCTION("""COMPUTED_VALUE"""),0.0)</f>
        <v>0</v>
      </c>
      <c r="W108" s="26">
        <f>IFERROR(__xludf.DUMMYFUNCTION("""COMPUTED_VALUE"""),0.0)</f>
        <v>0</v>
      </c>
      <c r="X108" s="26">
        <f>IFERROR(__xludf.DUMMYFUNCTION("""COMPUTED_VALUE"""),0.0)</f>
        <v>0</v>
      </c>
      <c r="Y108" s="26">
        <f>IFERROR(__xludf.DUMMYFUNCTION("""COMPUTED_VALUE"""),0.0)</f>
        <v>0</v>
      </c>
      <c r="Z108" s="26">
        <f>IFERROR(__xludf.DUMMYFUNCTION("""COMPUTED_VALUE"""),0.0)</f>
        <v>0</v>
      </c>
      <c r="AA108" s="26">
        <f>IFERROR(__xludf.DUMMYFUNCTION("""COMPUTED_VALUE"""),0.0)</f>
        <v>0</v>
      </c>
      <c r="AB108" s="26">
        <f>IFERROR(__xludf.DUMMYFUNCTION("""COMPUTED_VALUE"""),0.0)</f>
        <v>0</v>
      </c>
      <c r="AC108" s="26">
        <f>IFERROR(__xludf.DUMMYFUNCTION("""COMPUTED_VALUE"""),0.0)</f>
        <v>0</v>
      </c>
      <c r="AD108" s="26">
        <f>IFERROR(__xludf.DUMMYFUNCTION("""COMPUTED_VALUE"""),0.0)</f>
        <v>0</v>
      </c>
      <c r="AE108" s="26">
        <f>IFERROR(__xludf.DUMMYFUNCTION("""COMPUTED_VALUE"""),0.0)</f>
        <v>0</v>
      </c>
    </row>
    <row r="109">
      <c r="A109" s="26">
        <f>IFERROR(__xludf.DUMMYFUNCTION("""COMPUTED_VALUE"""),0.0)</f>
        <v>0</v>
      </c>
      <c r="B109" s="26">
        <f>IFERROR(__xludf.DUMMYFUNCTION("""COMPUTED_VALUE"""),0.0)</f>
        <v>0</v>
      </c>
      <c r="C109" s="26">
        <f>IFERROR(__xludf.DUMMYFUNCTION("""COMPUTED_VALUE"""),0.0)</f>
        <v>0</v>
      </c>
      <c r="D109" s="26">
        <f>IFERROR(__xludf.DUMMYFUNCTION("""COMPUTED_VALUE"""),0.0)</f>
        <v>0</v>
      </c>
      <c r="E109" s="26">
        <f>IFERROR(__xludf.DUMMYFUNCTION("""COMPUTED_VALUE"""),0.0)</f>
        <v>0</v>
      </c>
      <c r="F109" s="26">
        <f>IFERROR(__xludf.DUMMYFUNCTION("""COMPUTED_VALUE"""),0.0)</f>
        <v>0</v>
      </c>
      <c r="G109" s="26">
        <f>IFERROR(__xludf.DUMMYFUNCTION("""COMPUTED_VALUE"""),0.0)</f>
        <v>0</v>
      </c>
      <c r="H109" s="26">
        <f>IFERROR(__xludf.DUMMYFUNCTION("""COMPUTED_VALUE"""),0.0)</f>
        <v>0</v>
      </c>
      <c r="I109" s="26">
        <f>IFERROR(__xludf.DUMMYFUNCTION("""COMPUTED_VALUE"""),0.0)</f>
        <v>0</v>
      </c>
      <c r="J109" s="26">
        <f>IFERROR(__xludf.DUMMYFUNCTION("""COMPUTED_VALUE"""),0.0)</f>
        <v>0</v>
      </c>
      <c r="K109" s="26">
        <f>IFERROR(__xludf.DUMMYFUNCTION("""COMPUTED_VALUE"""),0.0)</f>
        <v>0</v>
      </c>
      <c r="L109" s="26">
        <f>IFERROR(__xludf.DUMMYFUNCTION("""COMPUTED_VALUE"""),0.0)</f>
        <v>0</v>
      </c>
      <c r="M109" s="26"/>
      <c r="N109" s="26"/>
      <c r="O109" s="26"/>
      <c r="P109" s="26"/>
      <c r="Q109" s="26"/>
      <c r="R109" s="26">
        <f>IFERROR(__xludf.DUMMYFUNCTION("""COMPUTED_VALUE"""),0.0)</f>
        <v>0</v>
      </c>
      <c r="S109" s="26">
        <f>IFERROR(__xludf.DUMMYFUNCTION("""COMPUTED_VALUE"""),0.0)</f>
        <v>0</v>
      </c>
      <c r="T109" s="26">
        <f>IFERROR(__xludf.DUMMYFUNCTION("""COMPUTED_VALUE"""),0.0)</f>
        <v>0</v>
      </c>
      <c r="U109" s="26">
        <f>IFERROR(__xludf.DUMMYFUNCTION("""COMPUTED_VALUE"""),0.0)</f>
        <v>0</v>
      </c>
      <c r="V109" s="26">
        <f>IFERROR(__xludf.DUMMYFUNCTION("""COMPUTED_VALUE"""),0.0)</f>
        <v>0</v>
      </c>
      <c r="W109" s="26">
        <f>IFERROR(__xludf.DUMMYFUNCTION("""COMPUTED_VALUE"""),0.0)</f>
        <v>0</v>
      </c>
      <c r="X109" s="26">
        <f>IFERROR(__xludf.DUMMYFUNCTION("""COMPUTED_VALUE"""),0.0)</f>
        <v>0</v>
      </c>
      <c r="Y109" s="26">
        <f>IFERROR(__xludf.DUMMYFUNCTION("""COMPUTED_VALUE"""),0.0)</f>
        <v>0</v>
      </c>
      <c r="Z109" s="26">
        <f>IFERROR(__xludf.DUMMYFUNCTION("""COMPUTED_VALUE"""),0.0)</f>
        <v>0</v>
      </c>
      <c r="AA109" s="26">
        <f>IFERROR(__xludf.DUMMYFUNCTION("""COMPUTED_VALUE"""),0.0)</f>
        <v>0</v>
      </c>
      <c r="AB109" s="26">
        <f>IFERROR(__xludf.DUMMYFUNCTION("""COMPUTED_VALUE"""),0.0)</f>
        <v>0</v>
      </c>
      <c r="AC109" s="26">
        <f>IFERROR(__xludf.DUMMYFUNCTION("""COMPUTED_VALUE"""),0.0)</f>
        <v>0</v>
      </c>
      <c r="AD109" s="26">
        <f>IFERROR(__xludf.DUMMYFUNCTION("""COMPUTED_VALUE"""),0.0)</f>
        <v>0</v>
      </c>
      <c r="AE109" s="26">
        <f>IFERROR(__xludf.DUMMYFUNCTION("""COMPUTED_VALUE"""),0.0)</f>
        <v>0</v>
      </c>
    </row>
    <row r="110">
      <c r="A110" s="26">
        <f>IFERROR(__xludf.DUMMYFUNCTION("""COMPUTED_VALUE"""),0.0)</f>
        <v>0</v>
      </c>
      <c r="B110" s="26">
        <f>IFERROR(__xludf.DUMMYFUNCTION("""COMPUTED_VALUE"""),0.0)</f>
        <v>0</v>
      </c>
      <c r="C110" s="26">
        <f>IFERROR(__xludf.DUMMYFUNCTION("""COMPUTED_VALUE"""),0.0)</f>
        <v>0</v>
      </c>
      <c r="D110" s="26">
        <f>IFERROR(__xludf.DUMMYFUNCTION("""COMPUTED_VALUE"""),0.0)</f>
        <v>0</v>
      </c>
      <c r="E110" s="26">
        <f>IFERROR(__xludf.DUMMYFUNCTION("""COMPUTED_VALUE"""),0.0)</f>
        <v>0</v>
      </c>
      <c r="F110" s="26">
        <f>IFERROR(__xludf.DUMMYFUNCTION("""COMPUTED_VALUE"""),0.0)</f>
        <v>0</v>
      </c>
      <c r="G110" s="26">
        <f>IFERROR(__xludf.DUMMYFUNCTION("""COMPUTED_VALUE"""),0.0)</f>
        <v>0</v>
      </c>
      <c r="H110" s="26">
        <f>IFERROR(__xludf.DUMMYFUNCTION("""COMPUTED_VALUE"""),0.0)</f>
        <v>0</v>
      </c>
      <c r="I110" s="26">
        <f>IFERROR(__xludf.DUMMYFUNCTION("""COMPUTED_VALUE"""),0.0)</f>
        <v>0</v>
      </c>
      <c r="J110" s="26">
        <f>IFERROR(__xludf.DUMMYFUNCTION("""COMPUTED_VALUE"""),0.0)</f>
        <v>0</v>
      </c>
      <c r="K110" s="26">
        <f>IFERROR(__xludf.DUMMYFUNCTION("""COMPUTED_VALUE"""),0.0)</f>
        <v>0</v>
      </c>
      <c r="L110" s="26">
        <f>IFERROR(__xludf.DUMMYFUNCTION("""COMPUTED_VALUE"""),0.0)</f>
        <v>0</v>
      </c>
      <c r="M110" s="26"/>
      <c r="N110" s="26"/>
      <c r="O110" s="26"/>
      <c r="P110" s="26"/>
      <c r="Q110" s="26"/>
      <c r="R110" s="26">
        <f>IFERROR(__xludf.DUMMYFUNCTION("""COMPUTED_VALUE"""),0.0)</f>
        <v>0</v>
      </c>
      <c r="S110" s="26">
        <f>IFERROR(__xludf.DUMMYFUNCTION("""COMPUTED_VALUE"""),0.0)</f>
        <v>0</v>
      </c>
      <c r="T110" s="26">
        <f>IFERROR(__xludf.DUMMYFUNCTION("""COMPUTED_VALUE"""),0.0)</f>
        <v>0</v>
      </c>
      <c r="U110" s="26">
        <f>IFERROR(__xludf.DUMMYFUNCTION("""COMPUTED_VALUE"""),0.0)</f>
        <v>0</v>
      </c>
      <c r="V110" s="26">
        <f>IFERROR(__xludf.DUMMYFUNCTION("""COMPUTED_VALUE"""),0.0)</f>
        <v>0</v>
      </c>
      <c r="W110" s="26">
        <f>IFERROR(__xludf.DUMMYFUNCTION("""COMPUTED_VALUE"""),0.0)</f>
        <v>0</v>
      </c>
      <c r="X110" s="26">
        <f>IFERROR(__xludf.DUMMYFUNCTION("""COMPUTED_VALUE"""),0.0)</f>
        <v>0</v>
      </c>
      <c r="Y110" s="26">
        <f>IFERROR(__xludf.DUMMYFUNCTION("""COMPUTED_VALUE"""),0.0)</f>
        <v>0</v>
      </c>
      <c r="Z110" s="26">
        <f>IFERROR(__xludf.DUMMYFUNCTION("""COMPUTED_VALUE"""),0.0)</f>
        <v>0</v>
      </c>
      <c r="AA110" s="26">
        <f>IFERROR(__xludf.DUMMYFUNCTION("""COMPUTED_VALUE"""),0.0)</f>
        <v>0</v>
      </c>
      <c r="AB110" s="26">
        <f>IFERROR(__xludf.DUMMYFUNCTION("""COMPUTED_VALUE"""),0.0)</f>
        <v>0</v>
      </c>
      <c r="AC110" s="26">
        <f>IFERROR(__xludf.DUMMYFUNCTION("""COMPUTED_VALUE"""),0.0)</f>
        <v>0</v>
      </c>
      <c r="AD110" s="26">
        <f>IFERROR(__xludf.DUMMYFUNCTION("""COMPUTED_VALUE"""),0.0)</f>
        <v>0</v>
      </c>
      <c r="AE110" s="26">
        <f>IFERROR(__xludf.DUMMYFUNCTION("""COMPUTED_VALUE"""),0.0)</f>
        <v>0</v>
      </c>
    </row>
    <row r="111">
      <c r="A111" s="26">
        <f>IFERROR(__xludf.DUMMYFUNCTION("""COMPUTED_VALUE"""),0.0)</f>
        <v>0</v>
      </c>
      <c r="B111" s="26">
        <f>IFERROR(__xludf.DUMMYFUNCTION("""COMPUTED_VALUE"""),0.0)</f>
        <v>0</v>
      </c>
      <c r="C111" s="26">
        <f>IFERROR(__xludf.DUMMYFUNCTION("""COMPUTED_VALUE"""),0.0)</f>
        <v>0</v>
      </c>
      <c r="D111" s="26">
        <f>IFERROR(__xludf.DUMMYFUNCTION("""COMPUTED_VALUE"""),0.0)</f>
        <v>0</v>
      </c>
      <c r="E111" s="26">
        <f>IFERROR(__xludf.DUMMYFUNCTION("""COMPUTED_VALUE"""),0.0)</f>
        <v>0</v>
      </c>
      <c r="F111" s="26">
        <f>IFERROR(__xludf.DUMMYFUNCTION("""COMPUTED_VALUE"""),0.0)</f>
        <v>0</v>
      </c>
      <c r="G111" s="26">
        <f>IFERROR(__xludf.DUMMYFUNCTION("""COMPUTED_VALUE"""),0.0)</f>
        <v>0</v>
      </c>
      <c r="H111" s="26">
        <f>IFERROR(__xludf.DUMMYFUNCTION("""COMPUTED_VALUE"""),0.0)</f>
        <v>0</v>
      </c>
      <c r="I111" s="26">
        <f>IFERROR(__xludf.DUMMYFUNCTION("""COMPUTED_VALUE"""),0.0)</f>
        <v>0</v>
      </c>
      <c r="J111" s="26">
        <f>IFERROR(__xludf.DUMMYFUNCTION("""COMPUTED_VALUE"""),0.0)</f>
        <v>0</v>
      </c>
      <c r="K111" s="26">
        <f>IFERROR(__xludf.DUMMYFUNCTION("""COMPUTED_VALUE"""),0.0)</f>
        <v>0</v>
      </c>
      <c r="L111" s="26">
        <f>IFERROR(__xludf.DUMMYFUNCTION("""COMPUTED_VALUE"""),0.0)</f>
        <v>0</v>
      </c>
      <c r="M111" s="26"/>
      <c r="N111" s="26"/>
      <c r="O111" s="26"/>
      <c r="P111" s="26"/>
      <c r="Q111" s="26"/>
      <c r="R111" s="26">
        <f>IFERROR(__xludf.DUMMYFUNCTION("""COMPUTED_VALUE"""),0.0)</f>
        <v>0</v>
      </c>
      <c r="S111" s="26">
        <f>IFERROR(__xludf.DUMMYFUNCTION("""COMPUTED_VALUE"""),0.0)</f>
        <v>0</v>
      </c>
      <c r="T111" s="26">
        <f>IFERROR(__xludf.DUMMYFUNCTION("""COMPUTED_VALUE"""),0.0)</f>
        <v>0</v>
      </c>
      <c r="U111" s="26">
        <f>IFERROR(__xludf.DUMMYFUNCTION("""COMPUTED_VALUE"""),0.0)</f>
        <v>0</v>
      </c>
      <c r="V111" s="26">
        <f>IFERROR(__xludf.DUMMYFUNCTION("""COMPUTED_VALUE"""),0.0)</f>
        <v>0</v>
      </c>
      <c r="W111" s="26">
        <f>IFERROR(__xludf.DUMMYFUNCTION("""COMPUTED_VALUE"""),0.0)</f>
        <v>0</v>
      </c>
      <c r="X111" s="26">
        <f>IFERROR(__xludf.DUMMYFUNCTION("""COMPUTED_VALUE"""),0.0)</f>
        <v>0</v>
      </c>
      <c r="Y111" s="26">
        <f>IFERROR(__xludf.DUMMYFUNCTION("""COMPUTED_VALUE"""),0.0)</f>
        <v>0</v>
      </c>
      <c r="Z111" s="26">
        <f>IFERROR(__xludf.DUMMYFUNCTION("""COMPUTED_VALUE"""),0.0)</f>
        <v>0</v>
      </c>
      <c r="AA111" s="26">
        <f>IFERROR(__xludf.DUMMYFUNCTION("""COMPUTED_VALUE"""),0.0)</f>
        <v>0</v>
      </c>
      <c r="AB111" s="26">
        <f>IFERROR(__xludf.DUMMYFUNCTION("""COMPUTED_VALUE"""),0.0)</f>
        <v>0</v>
      </c>
      <c r="AC111" s="26">
        <f>IFERROR(__xludf.DUMMYFUNCTION("""COMPUTED_VALUE"""),0.0)</f>
        <v>0</v>
      </c>
      <c r="AD111" s="26">
        <f>IFERROR(__xludf.DUMMYFUNCTION("""COMPUTED_VALUE"""),0.0)</f>
        <v>0</v>
      </c>
      <c r="AE111" s="26">
        <f>IFERROR(__xludf.DUMMYFUNCTION("""COMPUTED_VALUE"""),0.0)</f>
        <v>0</v>
      </c>
    </row>
    <row r="112">
      <c r="A112" s="26">
        <f>IFERROR(__xludf.DUMMYFUNCTION("""COMPUTED_VALUE"""),0.0)</f>
        <v>0</v>
      </c>
      <c r="B112" s="26">
        <f>IFERROR(__xludf.DUMMYFUNCTION("""COMPUTED_VALUE"""),0.0)</f>
        <v>0</v>
      </c>
      <c r="C112" s="26">
        <f>IFERROR(__xludf.DUMMYFUNCTION("""COMPUTED_VALUE"""),0.0)</f>
        <v>0</v>
      </c>
      <c r="D112" s="26">
        <f>IFERROR(__xludf.DUMMYFUNCTION("""COMPUTED_VALUE"""),0.0)</f>
        <v>0</v>
      </c>
      <c r="E112" s="26">
        <f>IFERROR(__xludf.DUMMYFUNCTION("""COMPUTED_VALUE"""),73.0)</f>
        <v>73</v>
      </c>
      <c r="F112" s="26">
        <f>IFERROR(__xludf.DUMMYFUNCTION("""COMPUTED_VALUE"""),0.0)</f>
        <v>0</v>
      </c>
      <c r="G112" s="26">
        <f>IFERROR(__xludf.DUMMYFUNCTION("""COMPUTED_VALUE"""),0.0)</f>
        <v>0</v>
      </c>
      <c r="H112" s="26">
        <f>IFERROR(__xludf.DUMMYFUNCTION("""COMPUTED_VALUE"""),0.0)</f>
        <v>0</v>
      </c>
      <c r="I112" s="26">
        <f>IFERROR(__xludf.DUMMYFUNCTION("""COMPUTED_VALUE"""),0.0)</f>
        <v>0</v>
      </c>
      <c r="J112" s="26">
        <f>IFERROR(__xludf.DUMMYFUNCTION("""COMPUTED_VALUE"""),0.0)</f>
        <v>0</v>
      </c>
      <c r="K112" s="26">
        <f>IFERROR(__xludf.DUMMYFUNCTION("""COMPUTED_VALUE"""),0.0)</f>
        <v>0</v>
      </c>
      <c r="L112" s="26">
        <f>IFERROR(__xludf.DUMMYFUNCTION("""COMPUTED_VALUE"""),0.0)</f>
        <v>0</v>
      </c>
      <c r="M112" s="26"/>
      <c r="N112" s="26"/>
      <c r="O112" s="26"/>
      <c r="P112" s="26"/>
      <c r="Q112" s="26"/>
      <c r="R112" s="26">
        <f>IFERROR(__xludf.DUMMYFUNCTION("""COMPUTED_VALUE"""),73.0)</f>
        <v>73</v>
      </c>
      <c r="S112" s="26">
        <f>IFERROR(__xludf.DUMMYFUNCTION("""COMPUTED_VALUE"""),135050.0)</f>
        <v>135050</v>
      </c>
      <c r="T112" s="26">
        <f>IFERROR(__xludf.DUMMYFUNCTION("""COMPUTED_VALUE"""),12410.0)</f>
        <v>12410</v>
      </c>
      <c r="U112" s="26">
        <f>IFERROR(__xludf.DUMMYFUNCTION("""COMPUTED_VALUE"""),33010.60000000003)</f>
        <v>33010.6</v>
      </c>
      <c r="V112" s="26">
        <f>IFERROR(__xludf.DUMMYFUNCTION("""COMPUTED_VALUE"""),0.0)</f>
        <v>0</v>
      </c>
      <c r="W112" s="26">
        <f>IFERROR(__xludf.DUMMYFUNCTION("""COMPUTED_VALUE"""),0.0)</f>
        <v>0</v>
      </c>
      <c r="X112" s="26">
        <f>IFERROR(__xludf.DUMMYFUNCTION("""COMPUTED_VALUE"""),20600.600000000028)</f>
        <v>20600.6</v>
      </c>
      <c r="Y112" s="26">
        <f>IFERROR(__xludf.DUMMYFUNCTION("""COMPUTED_VALUE"""),20600.600000000028)</f>
        <v>20600.6</v>
      </c>
      <c r="Z112" s="26">
        <f>IFERROR(__xludf.DUMMYFUNCTION("""COMPUTED_VALUE"""),0.0)</f>
        <v>0</v>
      </c>
      <c r="AA112" s="26">
        <f>IFERROR(__xludf.DUMMYFUNCTION("""COMPUTED_VALUE"""),0.0)</f>
        <v>0</v>
      </c>
      <c r="AB112" s="26">
        <f>IFERROR(__xludf.DUMMYFUNCTION("""COMPUTED_VALUE"""),0.0)</f>
        <v>0</v>
      </c>
      <c r="AC112" s="26">
        <f>IFERROR(__xludf.DUMMYFUNCTION("""COMPUTED_VALUE"""),0.0)</f>
        <v>0</v>
      </c>
      <c r="AD112" s="26">
        <f>IFERROR(__xludf.DUMMYFUNCTION("""COMPUTED_VALUE"""),0.0)</f>
        <v>0</v>
      </c>
      <c r="AE112" s="26">
        <f>IFERROR(__xludf.DUMMYFUNCTION("""COMPUTED_VALUE"""),0.0)</f>
        <v>0</v>
      </c>
    </row>
    <row r="113">
      <c r="A113" s="26">
        <f>IFERROR(__xludf.DUMMYFUNCTION("""COMPUTED_VALUE"""),0.0)</f>
        <v>0</v>
      </c>
      <c r="B113" s="26">
        <f>IFERROR(__xludf.DUMMYFUNCTION("""COMPUTED_VALUE"""),0.0)</f>
        <v>0</v>
      </c>
      <c r="C113" s="26">
        <f>IFERROR(__xludf.DUMMYFUNCTION("""COMPUTED_VALUE"""),0.0)</f>
        <v>0</v>
      </c>
      <c r="D113" s="26">
        <f>IFERROR(__xludf.DUMMYFUNCTION("""COMPUTED_VALUE"""),0.0)</f>
        <v>0</v>
      </c>
      <c r="E113" s="26">
        <f>IFERROR(__xludf.DUMMYFUNCTION("""COMPUTED_VALUE"""),0.0)</f>
        <v>0</v>
      </c>
      <c r="F113" s="26">
        <f>IFERROR(__xludf.DUMMYFUNCTION("""COMPUTED_VALUE"""),0.0)</f>
        <v>0</v>
      </c>
      <c r="G113" s="26">
        <f>IFERROR(__xludf.DUMMYFUNCTION("""COMPUTED_VALUE"""),0.0)</f>
        <v>0</v>
      </c>
      <c r="H113" s="26">
        <f>IFERROR(__xludf.DUMMYFUNCTION("""COMPUTED_VALUE"""),0.0)</f>
        <v>0</v>
      </c>
      <c r="I113" s="26">
        <f>IFERROR(__xludf.DUMMYFUNCTION("""COMPUTED_VALUE"""),0.0)</f>
        <v>0</v>
      </c>
      <c r="J113" s="26">
        <f>IFERROR(__xludf.DUMMYFUNCTION("""COMPUTED_VALUE"""),0.0)</f>
        <v>0</v>
      </c>
      <c r="K113" s="26">
        <f>IFERROR(__xludf.DUMMYFUNCTION("""COMPUTED_VALUE"""),0.0)</f>
        <v>0</v>
      </c>
      <c r="L113" s="26">
        <f>IFERROR(__xludf.DUMMYFUNCTION("""COMPUTED_VALUE"""),0.0)</f>
        <v>0</v>
      </c>
      <c r="M113" s="26"/>
      <c r="N113" s="26"/>
      <c r="O113" s="26"/>
      <c r="P113" s="26"/>
      <c r="Q113" s="26"/>
      <c r="R113" s="26">
        <f>IFERROR(__xludf.DUMMYFUNCTION("""COMPUTED_VALUE"""),0.0)</f>
        <v>0</v>
      </c>
      <c r="S113" s="26">
        <f>IFERROR(__xludf.DUMMYFUNCTION("""COMPUTED_VALUE"""),0.0)</f>
        <v>0</v>
      </c>
      <c r="T113" s="26">
        <f>IFERROR(__xludf.DUMMYFUNCTION("""COMPUTED_VALUE"""),0.0)</f>
        <v>0</v>
      </c>
      <c r="U113" s="26">
        <f>IFERROR(__xludf.DUMMYFUNCTION("""COMPUTED_VALUE"""),0.0)</f>
        <v>0</v>
      </c>
      <c r="V113" s="26">
        <f>IFERROR(__xludf.DUMMYFUNCTION("""COMPUTED_VALUE"""),0.0)</f>
        <v>0</v>
      </c>
      <c r="W113" s="26">
        <f>IFERROR(__xludf.DUMMYFUNCTION("""COMPUTED_VALUE"""),0.0)</f>
        <v>0</v>
      </c>
      <c r="X113" s="26">
        <f>IFERROR(__xludf.DUMMYFUNCTION("""COMPUTED_VALUE"""),0.0)</f>
        <v>0</v>
      </c>
      <c r="Y113" s="26">
        <f>IFERROR(__xludf.DUMMYFUNCTION("""COMPUTED_VALUE"""),0.0)</f>
        <v>0</v>
      </c>
      <c r="Z113" s="26">
        <f>IFERROR(__xludf.DUMMYFUNCTION("""COMPUTED_VALUE"""),0.0)</f>
        <v>0</v>
      </c>
      <c r="AA113" s="26">
        <f>IFERROR(__xludf.DUMMYFUNCTION("""COMPUTED_VALUE"""),0.0)</f>
        <v>0</v>
      </c>
      <c r="AB113" s="26">
        <f>IFERROR(__xludf.DUMMYFUNCTION("""COMPUTED_VALUE"""),0.0)</f>
        <v>0</v>
      </c>
      <c r="AC113" s="26">
        <f>IFERROR(__xludf.DUMMYFUNCTION("""COMPUTED_VALUE"""),0.0)</f>
        <v>0</v>
      </c>
      <c r="AD113" s="26">
        <f>IFERROR(__xludf.DUMMYFUNCTION("""COMPUTED_VALUE"""),0.0)</f>
        <v>0</v>
      </c>
      <c r="AE113" s="26">
        <f>IFERROR(__xludf.DUMMYFUNCTION("""COMPUTED_VALUE"""),0.0)</f>
        <v>0</v>
      </c>
    </row>
    <row r="114">
      <c r="A114" s="26">
        <f>IFERROR(__xludf.DUMMYFUNCTION("""COMPUTED_VALUE"""),0.0)</f>
        <v>0</v>
      </c>
      <c r="B114" s="26">
        <f>IFERROR(__xludf.DUMMYFUNCTION("""COMPUTED_VALUE"""),0.0)</f>
        <v>0</v>
      </c>
      <c r="C114" s="26">
        <f>IFERROR(__xludf.DUMMYFUNCTION("""COMPUTED_VALUE"""),0.0)</f>
        <v>0</v>
      </c>
      <c r="D114" s="26">
        <f>IFERROR(__xludf.DUMMYFUNCTION("""COMPUTED_VALUE"""),0.0)</f>
        <v>0</v>
      </c>
      <c r="E114" s="26">
        <f>IFERROR(__xludf.DUMMYFUNCTION("""COMPUTED_VALUE"""),0.0)</f>
        <v>0</v>
      </c>
      <c r="F114" s="26">
        <f>IFERROR(__xludf.DUMMYFUNCTION("""COMPUTED_VALUE"""),0.0)</f>
        <v>0</v>
      </c>
      <c r="G114" s="26">
        <f>IFERROR(__xludf.DUMMYFUNCTION("""COMPUTED_VALUE"""),0.0)</f>
        <v>0</v>
      </c>
      <c r="H114" s="26">
        <f>IFERROR(__xludf.DUMMYFUNCTION("""COMPUTED_VALUE"""),0.0)</f>
        <v>0</v>
      </c>
      <c r="I114" s="26">
        <f>IFERROR(__xludf.DUMMYFUNCTION("""COMPUTED_VALUE"""),0.0)</f>
        <v>0</v>
      </c>
      <c r="J114" s="26">
        <f>IFERROR(__xludf.DUMMYFUNCTION("""COMPUTED_VALUE"""),0.0)</f>
        <v>0</v>
      </c>
      <c r="K114" s="26">
        <f>IFERROR(__xludf.DUMMYFUNCTION("""COMPUTED_VALUE"""),0.0)</f>
        <v>0</v>
      </c>
      <c r="L114" s="26">
        <f>IFERROR(__xludf.DUMMYFUNCTION("""COMPUTED_VALUE"""),0.0)</f>
        <v>0</v>
      </c>
      <c r="M114" s="26"/>
      <c r="N114" s="26"/>
      <c r="O114" s="26"/>
      <c r="P114" s="26"/>
      <c r="Q114" s="26"/>
      <c r="R114" s="26">
        <f>IFERROR(__xludf.DUMMYFUNCTION("""COMPUTED_VALUE"""),0.0)</f>
        <v>0</v>
      </c>
      <c r="S114" s="26">
        <f>IFERROR(__xludf.DUMMYFUNCTION("""COMPUTED_VALUE"""),0.0)</f>
        <v>0</v>
      </c>
      <c r="T114" s="26">
        <f>IFERROR(__xludf.DUMMYFUNCTION("""COMPUTED_VALUE"""),0.0)</f>
        <v>0</v>
      </c>
      <c r="U114" s="26">
        <f>IFERROR(__xludf.DUMMYFUNCTION("""COMPUTED_VALUE"""),0.0)</f>
        <v>0</v>
      </c>
      <c r="V114" s="26">
        <f>IFERROR(__xludf.DUMMYFUNCTION("""COMPUTED_VALUE"""),0.0)</f>
        <v>0</v>
      </c>
      <c r="W114" s="26">
        <f>IFERROR(__xludf.DUMMYFUNCTION("""COMPUTED_VALUE"""),0.0)</f>
        <v>0</v>
      </c>
      <c r="X114" s="26">
        <f>IFERROR(__xludf.DUMMYFUNCTION("""COMPUTED_VALUE"""),0.0)</f>
        <v>0</v>
      </c>
      <c r="Y114" s="26">
        <f>IFERROR(__xludf.DUMMYFUNCTION("""COMPUTED_VALUE"""),0.0)</f>
        <v>0</v>
      </c>
      <c r="Z114" s="26">
        <f>IFERROR(__xludf.DUMMYFUNCTION("""COMPUTED_VALUE"""),0.0)</f>
        <v>0</v>
      </c>
      <c r="AA114" s="26">
        <f>IFERROR(__xludf.DUMMYFUNCTION("""COMPUTED_VALUE"""),0.0)</f>
        <v>0</v>
      </c>
      <c r="AB114" s="26">
        <f>IFERROR(__xludf.DUMMYFUNCTION("""COMPUTED_VALUE"""),0.0)</f>
        <v>0</v>
      </c>
      <c r="AC114" s="26">
        <f>IFERROR(__xludf.DUMMYFUNCTION("""COMPUTED_VALUE"""),0.0)</f>
        <v>0</v>
      </c>
      <c r="AD114" s="26">
        <f>IFERROR(__xludf.DUMMYFUNCTION("""COMPUTED_VALUE"""),0.0)</f>
        <v>0</v>
      </c>
      <c r="AE114" s="26">
        <f>IFERROR(__xludf.DUMMYFUNCTION("""COMPUTED_VALUE"""),0.0)</f>
        <v>0</v>
      </c>
    </row>
    <row r="115">
      <c r="A115" s="26">
        <f>IFERROR(__xludf.DUMMYFUNCTION("""COMPUTED_VALUE"""),0.0)</f>
        <v>0</v>
      </c>
      <c r="B115" s="26">
        <f>IFERROR(__xludf.DUMMYFUNCTION("""COMPUTED_VALUE"""),0.0)</f>
        <v>0</v>
      </c>
      <c r="C115" s="26">
        <f>IFERROR(__xludf.DUMMYFUNCTION("""COMPUTED_VALUE"""),0.0)</f>
        <v>0</v>
      </c>
      <c r="D115" s="26">
        <f>IFERROR(__xludf.DUMMYFUNCTION("""COMPUTED_VALUE"""),0.0)</f>
        <v>0</v>
      </c>
      <c r="E115" s="26">
        <f>IFERROR(__xludf.DUMMYFUNCTION("""COMPUTED_VALUE"""),0.0)</f>
        <v>0</v>
      </c>
      <c r="F115" s="26">
        <f>IFERROR(__xludf.DUMMYFUNCTION("""COMPUTED_VALUE"""),0.0)</f>
        <v>0</v>
      </c>
      <c r="G115" s="26">
        <f>IFERROR(__xludf.DUMMYFUNCTION("""COMPUTED_VALUE"""),0.0)</f>
        <v>0</v>
      </c>
      <c r="H115" s="26">
        <f>IFERROR(__xludf.DUMMYFUNCTION("""COMPUTED_VALUE"""),0.0)</f>
        <v>0</v>
      </c>
      <c r="I115" s="26">
        <f>IFERROR(__xludf.DUMMYFUNCTION("""COMPUTED_VALUE"""),0.0)</f>
        <v>0</v>
      </c>
      <c r="J115" s="26">
        <f>IFERROR(__xludf.DUMMYFUNCTION("""COMPUTED_VALUE"""),0.0)</f>
        <v>0</v>
      </c>
      <c r="K115" s="26">
        <f>IFERROR(__xludf.DUMMYFUNCTION("""COMPUTED_VALUE"""),0.0)</f>
        <v>0</v>
      </c>
      <c r="L115" s="26">
        <f>IFERROR(__xludf.DUMMYFUNCTION("""COMPUTED_VALUE"""),0.0)</f>
        <v>0</v>
      </c>
      <c r="M115" s="26"/>
      <c r="N115" s="26"/>
      <c r="O115" s="26"/>
      <c r="P115" s="26"/>
      <c r="Q115" s="26"/>
      <c r="R115" s="26">
        <f>IFERROR(__xludf.DUMMYFUNCTION("""COMPUTED_VALUE"""),0.0)</f>
        <v>0</v>
      </c>
      <c r="S115" s="26">
        <f>IFERROR(__xludf.DUMMYFUNCTION("""COMPUTED_VALUE"""),0.0)</f>
        <v>0</v>
      </c>
      <c r="T115" s="26">
        <f>IFERROR(__xludf.DUMMYFUNCTION("""COMPUTED_VALUE"""),0.0)</f>
        <v>0</v>
      </c>
      <c r="U115" s="26">
        <f>IFERROR(__xludf.DUMMYFUNCTION("""COMPUTED_VALUE"""),0.0)</f>
        <v>0</v>
      </c>
      <c r="V115" s="26">
        <f>IFERROR(__xludf.DUMMYFUNCTION("""COMPUTED_VALUE"""),0.0)</f>
        <v>0</v>
      </c>
      <c r="W115" s="26">
        <f>IFERROR(__xludf.DUMMYFUNCTION("""COMPUTED_VALUE"""),0.0)</f>
        <v>0</v>
      </c>
      <c r="X115" s="26">
        <f>IFERROR(__xludf.DUMMYFUNCTION("""COMPUTED_VALUE"""),0.0)</f>
        <v>0</v>
      </c>
      <c r="Y115" s="26">
        <f>IFERROR(__xludf.DUMMYFUNCTION("""COMPUTED_VALUE"""),0.0)</f>
        <v>0</v>
      </c>
      <c r="Z115" s="26">
        <f>IFERROR(__xludf.DUMMYFUNCTION("""COMPUTED_VALUE"""),0.0)</f>
        <v>0</v>
      </c>
      <c r="AA115" s="26">
        <f>IFERROR(__xludf.DUMMYFUNCTION("""COMPUTED_VALUE"""),0.0)</f>
        <v>0</v>
      </c>
      <c r="AB115" s="26">
        <f>IFERROR(__xludf.DUMMYFUNCTION("""COMPUTED_VALUE"""),0.0)</f>
        <v>0</v>
      </c>
      <c r="AC115" s="26">
        <f>IFERROR(__xludf.DUMMYFUNCTION("""COMPUTED_VALUE"""),0.0)</f>
        <v>0</v>
      </c>
      <c r="AD115" s="26">
        <f>IFERROR(__xludf.DUMMYFUNCTION("""COMPUTED_VALUE"""),0.0)</f>
        <v>0</v>
      </c>
      <c r="AE115" s="26">
        <f>IFERROR(__xludf.DUMMYFUNCTION("""COMPUTED_VALUE"""),0.0)</f>
        <v>0</v>
      </c>
    </row>
    <row r="116">
      <c r="A116" s="26">
        <f>IFERROR(__xludf.DUMMYFUNCTION("""COMPUTED_VALUE"""),0.0)</f>
        <v>0</v>
      </c>
      <c r="B116" s="26">
        <f>IFERROR(__xludf.DUMMYFUNCTION("""COMPUTED_VALUE"""),0.0)</f>
        <v>0</v>
      </c>
      <c r="C116" s="26">
        <f>IFERROR(__xludf.DUMMYFUNCTION("""COMPUTED_VALUE"""),0.0)</f>
        <v>0</v>
      </c>
      <c r="D116" s="26">
        <f>IFERROR(__xludf.DUMMYFUNCTION("""COMPUTED_VALUE"""),0.0)</f>
        <v>0</v>
      </c>
      <c r="E116" s="26">
        <f>IFERROR(__xludf.DUMMYFUNCTION("""COMPUTED_VALUE"""),0.0)</f>
        <v>0</v>
      </c>
      <c r="F116" s="26">
        <f>IFERROR(__xludf.DUMMYFUNCTION("""COMPUTED_VALUE"""),0.0)</f>
        <v>0</v>
      </c>
      <c r="G116" s="26">
        <f>IFERROR(__xludf.DUMMYFUNCTION("""COMPUTED_VALUE"""),0.0)</f>
        <v>0</v>
      </c>
      <c r="H116" s="26">
        <f>IFERROR(__xludf.DUMMYFUNCTION("""COMPUTED_VALUE"""),0.0)</f>
        <v>0</v>
      </c>
      <c r="I116" s="26">
        <f>IFERROR(__xludf.DUMMYFUNCTION("""COMPUTED_VALUE"""),0.0)</f>
        <v>0</v>
      </c>
      <c r="J116" s="26">
        <f>IFERROR(__xludf.DUMMYFUNCTION("""COMPUTED_VALUE"""),0.0)</f>
        <v>0</v>
      </c>
      <c r="K116" s="26">
        <f>IFERROR(__xludf.DUMMYFUNCTION("""COMPUTED_VALUE"""),0.0)</f>
        <v>0</v>
      </c>
      <c r="L116" s="26">
        <f>IFERROR(__xludf.DUMMYFUNCTION("""COMPUTED_VALUE"""),0.0)</f>
        <v>0</v>
      </c>
      <c r="M116" s="26"/>
      <c r="N116" s="26"/>
      <c r="O116" s="26"/>
      <c r="P116" s="26"/>
      <c r="Q116" s="26"/>
      <c r="R116" s="26">
        <f>IFERROR(__xludf.DUMMYFUNCTION("""COMPUTED_VALUE"""),0.0)</f>
        <v>0</v>
      </c>
      <c r="S116" s="26">
        <f>IFERROR(__xludf.DUMMYFUNCTION("""COMPUTED_VALUE"""),0.0)</f>
        <v>0</v>
      </c>
      <c r="T116" s="26">
        <f>IFERROR(__xludf.DUMMYFUNCTION("""COMPUTED_VALUE"""),0.0)</f>
        <v>0</v>
      </c>
      <c r="U116" s="26">
        <f>IFERROR(__xludf.DUMMYFUNCTION("""COMPUTED_VALUE"""),0.0)</f>
        <v>0</v>
      </c>
      <c r="V116" s="26">
        <f>IFERROR(__xludf.DUMMYFUNCTION("""COMPUTED_VALUE"""),0.0)</f>
        <v>0</v>
      </c>
      <c r="W116" s="26">
        <f>IFERROR(__xludf.DUMMYFUNCTION("""COMPUTED_VALUE"""),0.0)</f>
        <v>0</v>
      </c>
      <c r="X116" s="26">
        <f>IFERROR(__xludf.DUMMYFUNCTION("""COMPUTED_VALUE"""),0.0)</f>
        <v>0</v>
      </c>
      <c r="Y116" s="26">
        <f>IFERROR(__xludf.DUMMYFUNCTION("""COMPUTED_VALUE"""),0.0)</f>
        <v>0</v>
      </c>
      <c r="Z116" s="26">
        <f>IFERROR(__xludf.DUMMYFUNCTION("""COMPUTED_VALUE"""),0.0)</f>
        <v>0</v>
      </c>
      <c r="AA116" s="26">
        <f>IFERROR(__xludf.DUMMYFUNCTION("""COMPUTED_VALUE"""),0.0)</f>
        <v>0</v>
      </c>
      <c r="AB116" s="26">
        <f>IFERROR(__xludf.DUMMYFUNCTION("""COMPUTED_VALUE"""),0.0)</f>
        <v>0</v>
      </c>
      <c r="AC116" s="26">
        <f>IFERROR(__xludf.DUMMYFUNCTION("""COMPUTED_VALUE"""),0.0)</f>
        <v>0</v>
      </c>
      <c r="AD116" s="26">
        <f>IFERROR(__xludf.DUMMYFUNCTION("""COMPUTED_VALUE"""),0.0)</f>
        <v>0</v>
      </c>
      <c r="AE116" s="26">
        <f>IFERROR(__xludf.DUMMYFUNCTION("""COMPUTED_VALUE"""),0.0)</f>
        <v>0</v>
      </c>
    </row>
    <row r="117">
      <c r="A117" s="26">
        <f>IFERROR(__xludf.DUMMYFUNCTION("""COMPUTED_VALUE"""),0.0)</f>
        <v>0</v>
      </c>
      <c r="B117" s="26">
        <f>IFERROR(__xludf.DUMMYFUNCTION("""COMPUTED_VALUE"""),0.0)</f>
        <v>0</v>
      </c>
      <c r="C117" s="26">
        <f>IFERROR(__xludf.DUMMYFUNCTION("""COMPUTED_VALUE"""),0.0)</f>
        <v>0</v>
      </c>
      <c r="D117" s="26">
        <f>IFERROR(__xludf.DUMMYFUNCTION("""COMPUTED_VALUE"""),0.0)</f>
        <v>0</v>
      </c>
      <c r="E117" s="26">
        <f>IFERROR(__xludf.DUMMYFUNCTION("""COMPUTED_VALUE"""),0.0)</f>
        <v>0</v>
      </c>
      <c r="F117" s="26">
        <f>IFERROR(__xludf.DUMMYFUNCTION("""COMPUTED_VALUE"""),0.0)</f>
        <v>0</v>
      </c>
      <c r="G117" s="26">
        <f>IFERROR(__xludf.DUMMYFUNCTION("""COMPUTED_VALUE"""),0.0)</f>
        <v>0</v>
      </c>
      <c r="H117" s="26">
        <f>IFERROR(__xludf.DUMMYFUNCTION("""COMPUTED_VALUE"""),0.0)</f>
        <v>0</v>
      </c>
      <c r="I117" s="26">
        <f>IFERROR(__xludf.DUMMYFUNCTION("""COMPUTED_VALUE"""),0.0)</f>
        <v>0</v>
      </c>
      <c r="J117" s="26">
        <f>IFERROR(__xludf.DUMMYFUNCTION("""COMPUTED_VALUE"""),0.0)</f>
        <v>0</v>
      </c>
      <c r="K117" s="26">
        <f>IFERROR(__xludf.DUMMYFUNCTION("""COMPUTED_VALUE"""),0.0)</f>
        <v>0</v>
      </c>
      <c r="L117" s="26">
        <f>IFERROR(__xludf.DUMMYFUNCTION("""COMPUTED_VALUE"""),0.0)</f>
        <v>0</v>
      </c>
      <c r="M117" s="26"/>
      <c r="N117" s="26"/>
      <c r="O117" s="26"/>
      <c r="P117" s="26"/>
      <c r="Q117" s="26"/>
      <c r="R117" s="26">
        <f>IFERROR(__xludf.DUMMYFUNCTION("""COMPUTED_VALUE"""),0.0)</f>
        <v>0</v>
      </c>
      <c r="S117" s="26">
        <f>IFERROR(__xludf.DUMMYFUNCTION("""COMPUTED_VALUE"""),0.0)</f>
        <v>0</v>
      </c>
      <c r="T117" s="26">
        <f>IFERROR(__xludf.DUMMYFUNCTION("""COMPUTED_VALUE"""),0.0)</f>
        <v>0</v>
      </c>
      <c r="U117" s="26">
        <f>IFERROR(__xludf.DUMMYFUNCTION("""COMPUTED_VALUE"""),0.0)</f>
        <v>0</v>
      </c>
      <c r="V117" s="26">
        <f>IFERROR(__xludf.DUMMYFUNCTION("""COMPUTED_VALUE"""),0.0)</f>
        <v>0</v>
      </c>
      <c r="W117" s="26">
        <f>IFERROR(__xludf.DUMMYFUNCTION("""COMPUTED_VALUE"""),0.0)</f>
        <v>0</v>
      </c>
      <c r="X117" s="26">
        <f>IFERROR(__xludf.DUMMYFUNCTION("""COMPUTED_VALUE"""),0.0)</f>
        <v>0</v>
      </c>
      <c r="Y117" s="26">
        <f>IFERROR(__xludf.DUMMYFUNCTION("""COMPUTED_VALUE"""),0.0)</f>
        <v>0</v>
      </c>
      <c r="Z117" s="26">
        <f>IFERROR(__xludf.DUMMYFUNCTION("""COMPUTED_VALUE"""),0.0)</f>
        <v>0</v>
      </c>
      <c r="AA117" s="26">
        <f>IFERROR(__xludf.DUMMYFUNCTION("""COMPUTED_VALUE"""),0.0)</f>
        <v>0</v>
      </c>
      <c r="AB117" s="26">
        <f>IFERROR(__xludf.DUMMYFUNCTION("""COMPUTED_VALUE"""),0.0)</f>
        <v>0</v>
      </c>
      <c r="AC117" s="26">
        <f>IFERROR(__xludf.DUMMYFUNCTION("""COMPUTED_VALUE"""),0.0)</f>
        <v>0</v>
      </c>
      <c r="AD117" s="26">
        <f>IFERROR(__xludf.DUMMYFUNCTION("""COMPUTED_VALUE"""),0.0)</f>
        <v>0</v>
      </c>
      <c r="AE117" s="26">
        <f>IFERROR(__xludf.DUMMYFUNCTION("""COMPUTED_VALUE"""),0.0)</f>
        <v>0</v>
      </c>
    </row>
    <row r="118">
      <c r="A118" s="26">
        <f>IFERROR(__xludf.DUMMYFUNCTION("""COMPUTED_VALUE"""),0.0)</f>
        <v>0</v>
      </c>
      <c r="B118" s="26">
        <f>IFERROR(__xludf.DUMMYFUNCTION("""COMPUTED_VALUE"""),0.0)</f>
        <v>0</v>
      </c>
      <c r="C118" s="26">
        <f>IFERROR(__xludf.DUMMYFUNCTION("""COMPUTED_VALUE"""),0.0)</f>
        <v>0</v>
      </c>
      <c r="D118" s="26">
        <f>IFERROR(__xludf.DUMMYFUNCTION("""COMPUTED_VALUE"""),0.0)</f>
        <v>0</v>
      </c>
      <c r="E118" s="26">
        <f>IFERROR(__xludf.DUMMYFUNCTION("""COMPUTED_VALUE"""),0.0)</f>
        <v>0</v>
      </c>
      <c r="F118" s="26">
        <f>IFERROR(__xludf.DUMMYFUNCTION("""COMPUTED_VALUE"""),0.0)</f>
        <v>0</v>
      </c>
      <c r="G118" s="26">
        <f>IFERROR(__xludf.DUMMYFUNCTION("""COMPUTED_VALUE"""),0.0)</f>
        <v>0</v>
      </c>
      <c r="H118" s="26">
        <f>IFERROR(__xludf.DUMMYFUNCTION("""COMPUTED_VALUE"""),0.0)</f>
        <v>0</v>
      </c>
      <c r="I118" s="26">
        <f>IFERROR(__xludf.DUMMYFUNCTION("""COMPUTED_VALUE"""),0.0)</f>
        <v>0</v>
      </c>
      <c r="J118" s="26">
        <f>IFERROR(__xludf.DUMMYFUNCTION("""COMPUTED_VALUE"""),0.0)</f>
        <v>0</v>
      </c>
      <c r="K118" s="26">
        <f>IFERROR(__xludf.DUMMYFUNCTION("""COMPUTED_VALUE"""),0.0)</f>
        <v>0</v>
      </c>
      <c r="L118" s="26">
        <f>IFERROR(__xludf.DUMMYFUNCTION("""COMPUTED_VALUE"""),0.0)</f>
        <v>0</v>
      </c>
      <c r="M118" s="26"/>
      <c r="N118" s="26"/>
      <c r="O118" s="26"/>
      <c r="P118" s="26"/>
      <c r="Q118" s="26"/>
      <c r="R118" s="26">
        <f>IFERROR(__xludf.DUMMYFUNCTION("""COMPUTED_VALUE"""),0.0)</f>
        <v>0</v>
      </c>
      <c r="S118" s="26">
        <f>IFERROR(__xludf.DUMMYFUNCTION("""COMPUTED_VALUE"""),0.0)</f>
        <v>0</v>
      </c>
      <c r="T118" s="26">
        <f>IFERROR(__xludf.DUMMYFUNCTION("""COMPUTED_VALUE"""),0.0)</f>
        <v>0</v>
      </c>
      <c r="U118" s="26">
        <f>IFERROR(__xludf.DUMMYFUNCTION("""COMPUTED_VALUE"""),0.0)</f>
        <v>0</v>
      </c>
      <c r="V118" s="26">
        <f>IFERROR(__xludf.DUMMYFUNCTION("""COMPUTED_VALUE"""),0.0)</f>
        <v>0</v>
      </c>
      <c r="W118" s="26">
        <f>IFERROR(__xludf.DUMMYFUNCTION("""COMPUTED_VALUE"""),0.0)</f>
        <v>0</v>
      </c>
      <c r="X118" s="26">
        <f>IFERROR(__xludf.DUMMYFUNCTION("""COMPUTED_VALUE"""),0.0)</f>
        <v>0</v>
      </c>
      <c r="Y118" s="26">
        <f>IFERROR(__xludf.DUMMYFUNCTION("""COMPUTED_VALUE"""),0.0)</f>
        <v>0</v>
      </c>
      <c r="Z118" s="26">
        <f>IFERROR(__xludf.DUMMYFUNCTION("""COMPUTED_VALUE"""),0.0)</f>
        <v>0</v>
      </c>
      <c r="AA118" s="26">
        <f>IFERROR(__xludf.DUMMYFUNCTION("""COMPUTED_VALUE"""),0.0)</f>
        <v>0</v>
      </c>
      <c r="AB118" s="26">
        <f>IFERROR(__xludf.DUMMYFUNCTION("""COMPUTED_VALUE"""),0.0)</f>
        <v>0</v>
      </c>
      <c r="AC118" s="26">
        <f>IFERROR(__xludf.DUMMYFUNCTION("""COMPUTED_VALUE"""),0.0)</f>
        <v>0</v>
      </c>
      <c r="AD118" s="26">
        <f>IFERROR(__xludf.DUMMYFUNCTION("""COMPUTED_VALUE"""),0.0)</f>
        <v>0</v>
      </c>
      <c r="AE118" s="26">
        <f>IFERROR(__xludf.DUMMYFUNCTION("""COMPUTED_VALUE"""),0.0)</f>
        <v>0</v>
      </c>
    </row>
    <row r="119">
      <c r="A119" s="26">
        <f>IFERROR(__xludf.DUMMYFUNCTION("""COMPUTED_VALUE"""),1.0)</f>
        <v>1</v>
      </c>
      <c r="B119" s="26">
        <f>IFERROR(__xludf.DUMMYFUNCTION("""COMPUTED_VALUE"""),0.0)</f>
        <v>0</v>
      </c>
      <c r="C119" s="26">
        <f>IFERROR(__xludf.DUMMYFUNCTION("""COMPUTED_VALUE"""),0.0)</f>
        <v>0</v>
      </c>
      <c r="D119" s="26">
        <f>IFERROR(__xludf.DUMMYFUNCTION("""COMPUTED_VALUE"""),0.0)</f>
        <v>0</v>
      </c>
      <c r="E119" s="26">
        <f>IFERROR(__xludf.DUMMYFUNCTION("""COMPUTED_VALUE"""),17.0)</f>
        <v>17</v>
      </c>
      <c r="F119" s="26">
        <f>IFERROR(__xludf.DUMMYFUNCTION("""COMPUTED_VALUE"""),0.0)</f>
        <v>0</v>
      </c>
      <c r="G119" s="26">
        <f>IFERROR(__xludf.DUMMYFUNCTION("""COMPUTED_VALUE"""),0.0)</f>
        <v>0</v>
      </c>
      <c r="H119" s="26">
        <f>IFERROR(__xludf.DUMMYFUNCTION("""COMPUTED_VALUE"""),0.0)</f>
        <v>0</v>
      </c>
      <c r="I119" s="26">
        <f>IFERROR(__xludf.DUMMYFUNCTION("""COMPUTED_VALUE"""),0.0)</f>
        <v>0</v>
      </c>
      <c r="J119" s="26">
        <f>IFERROR(__xludf.DUMMYFUNCTION("""COMPUTED_VALUE"""),0.0)</f>
        <v>0</v>
      </c>
      <c r="K119" s="26">
        <f>IFERROR(__xludf.DUMMYFUNCTION("""COMPUTED_VALUE"""),0.0)</f>
        <v>0</v>
      </c>
      <c r="L119" s="26">
        <f>IFERROR(__xludf.DUMMYFUNCTION("""COMPUTED_VALUE"""),0.0)</f>
        <v>0</v>
      </c>
      <c r="M119" s="26"/>
      <c r="N119" s="26"/>
      <c r="O119" s="26"/>
      <c r="P119" s="26"/>
      <c r="Q119" s="26"/>
      <c r="R119" s="26">
        <f>IFERROR(__xludf.DUMMYFUNCTION("""COMPUTED_VALUE"""),18.0)</f>
        <v>18</v>
      </c>
      <c r="S119" s="26">
        <f>IFERROR(__xludf.DUMMYFUNCTION("""COMPUTED_VALUE"""),22448.0)</f>
        <v>22448</v>
      </c>
      <c r="T119" s="26">
        <f>IFERROR(__xludf.DUMMYFUNCTION("""COMPUTED_VALUE"""),4420.0)</f>
        <v>4420</v>
      </c>
      <c r="U119" s="26">
        <f>IFERROR(__xludf.DUMMYFUNCTION("""COMPUTED_VALUE"""),7844.349999999999)</f>
        <v>7844.35</v>
      </c>
      <c r="V119" s="26">
        <f>IFERROR(__xludf.DUMMYFUNCTION("""COMPUTED_VALUE"""),0.0)</f>
        <v>0</v>
      </c>
      <c r="W119" s="26">
        <f>IFERROR(__xludf.DUMMYFUNCTION("""COMPUTED_VALUE"""),0.0)</f>
        <v>0</v>
      </c>
      <c r="X119" s="26">
        <f>IFERROR(__xludf.DUMMYFUNCTION("""COMPUTED_VALUE"""),3424.3499999999995)</f>
        <v>3424.35</v>
      </c>
      <c r="Y119" s="26">
        <f>IFERROR(__xludf.DUMMYFUNCTION("""COMPUTED_VALUE"""),3424.3499999999995)</f>
        <v>3424.35</v>
      </c>
      <c r="Z119" s="26">
        <f>IFERROR(__xludf.DUMMYFUNCTION("""COMPUTED_VALUE"""),8574.460000000003)</f>
        <v>8574.46</v>
      </c>
      <c r="AA119" s="26">
        <f>IFERROR(__xludf.DUMMYFUNCTION("""COMPUTED_VALUE"""),8574.460000000003)</f>
        <v>8574.46</v>
      </c>
      <c r="AB119" s="26">
        <f>IFERROR(__xludf.DUMMYFUNCTION("""COMPUTED_VALUE"""),14603.650000000007)</f>
        <v>14603.65</v>
      </c>
      <c r="AC119" s="26">
        <f>IFERROR(__xludf.DUMMYFUNCTION("""COMPUTED_VALUE"""),13873.540000000003)</f>
        <v>13873.54</v>
      </c>
      <c r="AD119" s="26">
        <f>IFERROR(__xludf.DUMMYFUNCTION("""COMPUTED_VALUE"""),730.1100000000001)</f>
        <v>730.11</v>
      </c>
      <c r="AE119" s="26">
        <f>IFERROR(__xludf.DUMMYFUNCTION("""COMPUTED_VALUE"""),0.0)</f>
        <v>0</v>
      </c>
    </row>
    <row r="120">
      <c r="A120" s="26">
        <f>IFERROR(__xludf.DUMMYFUNCTION("""COMPUTED_VALUE"""),0.0)</f>
        <v>0</v>
      </c>
      <c r="B120" s="26">
        <f>IFERROR(__xludf.DUMMYFUNCTION("""COMPUTED_VALUE"""),0.0)</f>
        <v>0</v>
      </c>
      <c r="C120" s="26">
        <f>IFERROR(__xludf.DUMMYFUNCTION("""COMPUTED_VALUE"""),0.0)</f>
        <v>0</v>
      </c>
      <c r="D120" s="26">
        <f>IFERROR(__xludf.DUMMYFUNCTION("""COMPUTED_VALUE"""),0.0)</f>
        <v>0</v>
      </c>
      <c r="E120" s="26">
        <f>IFERROR(__xludf.DUMMYFUNCTION("""COMPUTED_VALUE"""),0.0)</f>
        <v>0</v>
      </c>
      <c r="F120" s="26">
        <f>IFERROR(__xludf.DUMMYFUNCTION("""COMPUTED_VALUE"""),0.0)</f>
        <v>0</v>
      </c>
      <c r="G120" s="26">
        <f>IFERROR(__xludf.DUMMYFUNCTION("""COMPUTED_VALUE"""),0.0)</f>
        <v>0</v>
      </c>
      <c r="H120" s="26">
        <f>IFERROR(__xludf.DUMMYFUNCTION("""COMPUTED_VALUE"""),0.0)</f>
        <v>0</v>
      </c>
      <c r="I120" s="26">
        <f>IFERROR(__xludf.DUMMYFUNCTION("""COMPUTED_VALUE"""),0.0)</f>
        <v>0</v>
      </c>
      <c r="J120" s="26">
        <f>IFERROR(__xludf.DUMMYFUNCTION("""COMPUTED_VALUE"""),0.0)</f>
        <v>0</v>
      </c>
      <c r="K120" s="26">
        <f>IFERROR(__xludf.DUMMYFUNCTION("""COMPUTED_VALUE"""),0.0)</f>
        <v>0</v>
      </c>
      <c r="L120" s="26">
        <f>IFERROR(__xludf.DUMMYFUNCTION("""COMPUTED_VALUE"""),0.0)</f>
        <v>0</v>
      </c>
      <c r="M120" s="26"/>
      <c r="N120" s="26"/>
      <c r="O120" s="26"/>
      <c r="P120" s="26"/>
      <c r="Q120" s="26"/>
      <c r="R120" s="26">
        <f>IFERROR(__xludf.DUMMYFUNCTION("""COMPUTED_VALUE"""),0.0)</f>
        <v>0</v>
      </c>
      <c r="S120" s="26">
        <f>IFERROR(__xludf.DUMMYFUNCTION("""COMPUTED_VALUE"""),0.0)</f>
        <v>0</v>
      </c>
      <c r="T120" s="26">
        <f>IFERROR(__xludf.DUMMYFUNCTION("""COMPUTED_VALUE"""),0.0)</f>
        <v>0</v>
      </c>
      <c r="U120" s="26">
        <f>IFERROR(__xludf.DUMMYFUNCTION("""COMPUTED_VALUE"""),0.0)</f>
        <v>0</v>
      </c>
      <c r="V120" s="26">
        <f>IFERROR(__xludf.DUMMYFUNCTION("""COMPUTED_VALUE"""),0.0)</f>
        <v>0</v>
      </c>
      <c r="W120" s="26">
        <f>IFERROR(__xludf.DUMMYFUNCTION("""COMPUTED_VALUE"""),0.0)</f>
        <v>0</v>
      </c>
      <c r="X120" s="26">
        <f>IFERROR(__xludf.DUMMYFUNCTION("""COMPUTED_VALUE"""),0.0)</f>
        <v>0</v>
      </c>
      <c r="Y120" s="26">
        <f>IFERROR(__xludf.DUMMYFUNCTION("""COMPUTED_VALUE"""),0.0)</f>
        <v>0</v>
      </c>
      <c r="Z120" s="26">
        <f>IFERROR(__xludf.DUMMYFUNCTION("""COMPUTED_VALUE"""),0.0)</f>
        <v>0</v>
      </c>
      <c r="AA120" s="26">
        <f>IFERROR(__xludf.DUMMYFUNCTION("""COMPUTED_VALUE"""),0.0)</f>
        <v>0</v>
      </c>
      <c r="AB120" s="26">
        <f>IFERROR(__xludf.DUMMYFUNCTION("""COMPUTED_VALUE"""),0.0)</f>
        <v>0</v>
      </c>
      <c r="AC120" s="26">
        <f>IFERROR(__xludf.DUMMYFUNCTION("""COMPUTED_VALUE"""),0.0)</f>
        <v>0</v>
      </c>
      <c r="AD120" s="26">
        <f>IFERROR(__xludf.DUMMYFUNCTION("""COMPUTED_VALUE"""),0.0)</f>
        <v>0</v>
      </c>
      <c r="AE120" s="26">
        <f>IFERROR(__xludf.DUMMYFUNCTION("""COMPUTED_VALUE"""),0.0)</f>
        <v>0</v>
      </c>
    </row>
    <row r="121">
      <c r="A121" s="26">
        <f>IFERROR(__xludf.DUMMYFUNCTION("""COMPUTED_VALUE"""),3.0)</f>
        <v>3</v>
      </c>
      <c r="B121" s="26">
        <f>IFERROR(__xludf.DUMMYFUNCTION("""COMPUTED_VALUE"""),0.0)</f>
        <v>0</v>
      </c>
      <c r="C121" s="26">
        <f>IFERROR(__xludf.DUMMYFUNCTION("""COMPUTED_VALUE"""),0.0)</f>
        <v>0</v>
      </c>
      <c r="D121" s="26">
        <f>IFERROR(__xludf.DUMMYFUNCTION("""COMPUTED_VALUE"""),0.0)</f>
        <v>0</v>
      </c>
      <c r="E121" s="26">
        <f>IFERROR(__xludf.DUMMYFUNCTION("""COMPUTED_VALUE"""),246.0)</f>
        <v>246</v>
      </c>
      <c r="F121" s="26">
        <f>IFERROR(__xludf.DUMMYFUNCTION("""COMPUTED_VALUE"""),0.0)</f>
        <v>0</v>
      </c>
      <c r="G121" s="26">
        <f>IFERROR(__xludf.DUMMYFUNCTION("""COMPUTED_VALUE"""),0.0)</f>
        <v>0</v>
      </c>
      <c r="H121" s="26">
        <f>IFERROR(__xludf.DUMMYFUNCTION("""COMPUTED_VALUE"""),0.0)</f>
        <v>0</v>
      </c>
      <c r="I121" s="26">
        <f>IFERROR(__xludf.DUMMYFUNCTION("""COMPUTED_VALUE"""),0.0)</f>
        <v>0</v>
      </c>
      <c r="J121" s="26">
        <f>IFERROR(__xludf.DUMMYFUNCTION("""COMPUTED_VALUE"""),0.0)</f>
        <v>0</v>
      </c>
      <c r="K121" s="26">
        <f>IFERROR(__xludf.DUMMYFUNCTION("""COMPUTED_VALUE"""),0.0)</f>
        <v>0</v>
      </c>
      <c r="L121" s="26">
        <f>IFERROR(__xludf.DUMMYFUNCTION("""COMPUTED_VALUE"""),0.0)</f>
        <v>0</v>
      </c>
      <c r="M121" s="26"/>
      <c r="N121" s="26"/>
      <c r="O121" s="26"/>
      <c r="P121" s="26"/>
      <c r="Q121" s="26"/>
      <c r="R121" s="26">
        <f>IFERROR(__xludf.DUMMYFUNCTION("""COMPUTED_VALUE"""),249.0)</f>
        <v>249</v>
      </c>
      <c r="S121" s="26">
        <f>IFERROR(__xludf.DUMMYFUNCTION("""COMPUTED_VALUE"""),281663.0)</f>
        <v>281663</v>
      </c>
      <c r="T121" s="26">
        <f>IFERROR(__xludf.DUMMYFUNCTION("""COMPUTED_VALUE"""),98955.0)</f>
        <v>98955</v>
      </c>
      <c r="U121" s="26">
        <f>IFERROR(__xludf.DUMMYFUNCTION("""COMPUTED_VALUE"""),141920.18999999994)</f>
        <v>141920.19</v>
      </c>
      <c r="V121" s="26">
        <f>IFERROR(__xludf.DUMMYFUNCTION("""COMPUTED_VALUE"""),0.0)</f>
        <v>0</v>
      </c>
      <c r="W121" s="26">
        <f>IFERROR(__xludf.DUMMYFUNCTION("""COMPUTED_VALUE"""),0.0)</f>
        <v>0</v>
      </c>
      <c r="X121" s="26">
        <f>IFERROR(__xludf.DUMMYFUNCTION("""COMPUTED_VALUE"""),42965.18999999996)</f>
        <v>42965.19</v>
      </c>
      <c r="Y121" s="26">
        <f>IFERROR(__xludf.DUMMYFUNCTION("""COMPUTED_VALUE"""),42965.18999999996)</f>
        <v>42965.19</v>
      </c>
      <c r="Z121" s="26">
        <f>IFERROR(__xludf.DUMMYFUNCTION("""COMPUTED_VALUE"""),281663.0)</f>
        <v>281663</v>
      </c>
      <c r="AA121" s="26">
        <f>IFERROR(__xludf.DUMMYFUNCTION("""COMPUTED_VALUE"""),148907.27000000022)</f>
        <v>148907.27</v>
      </c>
      <c r="AB121" s="26">
        <f>IFERROR(__xludf.DUMMYFUNCTION("""COMPUTED_VALUE"""),139742.8100000001)</f>
        <v>139742.81</v>
      </c>
      <c r="AC121" s="26">
        <f>IFERROR(__xludf.DUMMYFUNCTION("""COMPUTED_VALUE"""),0.0)</f>
        <v>0</v>
      </c>
      <c r="AD121" s="26">
        <f>IFERROR(__xludf.DUMMYFUNCTION("""COMPUTED_VALUE"""),6987.089999999998)</f>
        <v>6987.09</v>
      </c>
      <c r="AE121" s="26">
        <f>IFERROR(__xludf.DUMMYFUNCTION("""COMPUTED_VALUE"""),132755.7299999997)</f>
        <v>132755.73</v>
      </c>
    </row>
    <row r="122">
      <c r="A122" s="26">
        <f>IFERROR(__xludf.DUMMYFUNCTION("""COMPUTED_VALUE"""),8.0)</f>
        <v>8</v>
      </c>
      <c r="B122" s="26">
        <f>IFERROR(__xludf.DUMMYFUNCTION("""COMPUTED_VALUE"""),0.0)</f>
        <v>0</v>
      </c>
      <c r="C122" s="26">
        <f>IFERROR(__xludf.DUMMYFUNCTION("""COMPUTED_VALUE"""),0.0)</f>
        <v>0</v>
      </c>
      <c r="D122" s="26">
        <f>IFERROR(__xludf.DUMMYFUNCTION("""COMPUTED_VALUE"""),0.0)</f>
        <v>0</v>
      </c>
      <c r="E122" s="26">
        <f>IFERROR(__xludf.DUMMYFUNCTION("""COMPUTED_VALUE"""),59.0)</f>
        <v>59</v>
      </c>
      <c r="F122" s="26">
        <f>IFERROR(__xludf.DUMMYFUNCTION("""COMPUTED_VALUE"""),0.0)</f>
        <v>0</v>
      </c>
      <c r="G122" s="26">
        <f>IFERROR(__xludf.DUMMYFUNCTION("""COMPUTED_VALUE"""),0.0)</f>
        <v>0</v>
      </c>
      <c r="H122" s="26">
        <f>IFERROR(__xludf.DUMMYFUNCTION("""COMPUTED_VALUE"""),0.0)</f>
        <v>0</v>
      </c>
      <c r="I122" s="26">
        <f>IFERROR(__xludf.DUMMYFUNCTION("""COMPUTED_VALUE"""),0.0)</f>
        <v>0</v>
      </c>
      <c r="J122" s="26">
        <f>IFERROR(__xludf.DUMMYFUNCTION("""COMPUTED_VALUE"""),0.0)</f>
        <v>0</v>
      </c>
      <c r="K122" s="26">
        <f>IFERROR(__xludf.DUMMYFUNCTION("""COMPUTED_VALUE"""),0.0)</f>
        <v>0</v>
      </c>
      <c r="L122" s="26">
        <f>IFERROR(__xludf.DUMMYFUNCTION("""COMPUTED_VALUE"""),0.0)</f>
        <v>0</v>
      </c>
      <c r="M122" s="26"/>
      <c r="N122" s="26"/>
      <c r="O122" s="26"/>
      <c r="P122" s="26"/>
      <c r="Q122" s="26"/>
      <c r="R122" s="26">
        <f>IFERROR(__xludf.DUMMYFUNCTION("""COMPUTED_VALUE"""),67.0)</f>
        <v>67</v>
      </c>
      <c r="S122" s="26">
        <f>IFERROR(__xludf.DUMMYFUNCTION("""COMPUTED_VALUE"""),112970.0)</f>
        <v>112970</v>
      </c>
      <c r="T122" s="26">
        <f>IFERROR(__xludf.DUMMYFUNCTION("""COMPUTED_VALUE"""),11390.0)</f>
        <v>11390</v>
      </c>
      <c r="U122" s="26">
        <f>IFERROR(__xludf.DUMMYFUNCTION("""COMPUTED_VALUE"""),28622.54000000002)</f>
        <v>28622.54</v>
      </c>
      <c r="V122" s="26">
        <f>IFERROR(__xludf.DUMMYFUNCTION("""COMPUTED_VALUE"""),0.0)</f>
        <v>0</v>
      </c>
      <c r="W122" s="26">
        <f>IFERROR(__xludf.DUMMYFUNCTION("""COMPUTED_VALUE"""),0.0)</f>
        <v>0</v>
      </c>
      <c r="X122" s="26">
        <f>IFERROR(__xludf.DUMMYFUNCTION("""COMPUTED_VALUE"""),17232.54000000002)</f>
        <v>17232.54</v>
      </c>
      <c r="Y122" s="26">
        <f>IFERROR(__xludf.DUMMYFUNCTION("""COMPUTED_VALUE"""),17232.54000000002)</f>
        <v>17232.54</v>
      </c>
      <c r="Z122" s="26">
        <f>IFERROR(__xludf.DUMMYFUNCTION("""COMPUTED_VALUE"""),0.0)</f>
        <v>0</v>
      </c>
      <c r="AA122" s="26">
        <f>IFERROR(__xludf.DUMMYFUNCTION("""COMPUTED_VALUE"""),0.0)</f>
        <v>0</v>
      </c>
      <c r="AB122" s="26">
        <f>IFERROR(__xludf.DUMMYFUNCTION("""COMPUTED_VALUE"""),0.0)</f>
        <v>0</v>
      </c>
      <c r="AC122" s="26">
        <f>IFERROR(__xludf.DUMMYFUNCTION("""COMPUTED_VALUE"""),0.0)</f>
        <v>0</v>
      </c>
      <c r="AD122" s="26">
        <f>IFERROR(__xludf.DUMMYFUNCTION("""COMPUTED_VALUE"""),0.0)</f>
        <v>0</v>
      </c>
      <c r="AE122" s="26">
        <f>IFERROR(__xludf.DUMMYFUNCTION("""COMPUTED_VALUE"""),0.0)</f>
        <v>0</v>
      </c>
    </row>
    <row r="123">
      <c r="A123" s="26">
        <f>IFERROR(__xludf.DUMMYFUNCTION("""COMPUTED_VALUE"""),2.0)</f>
        <v>2</v>
      </c>
      <c r="B123" s="26">
        <f>IFERROR(__xludf.DUMMYFUNCTION("""COMPUTED_VALUE"""),0.0)</f>
        <v>0</v>
      </c>
      <c r="C123" s="26">
        <f>IFERROR(__xludf.DUMMYFUNCTION("""COMPUTED_VALUE"""),0.0)</f>
        <v>0</v>
      </c>
      <c r="D123" s="26">
        <f>IFERROR(__xludf.DUMMYFUNCTION("""COMPUTED_VALUE"""),0.0)</f>
        <v>0</v>
      </c>
      <c r="E123" s="26">
        <f>IFERROR(__xludf.DUMMYFUNCTION("""COMPUTED_VALUE"""),24.0)</f>
        <v>24</v>
      </c>
      <c r="F123" s="26">
        <f>IFERROR(__xludf.DUMMYFUNCTION("""COMPUTED_VALUE"""),0.0)</f>
        <v>0</v>
      </c>
      <c r="G123" s="26">
        <f>IFERROR(__xludf.DUMMYFUNCTION("""COMPUTED_VALUE"""),0.0)</f>
        <v>0</v>
      </c>
      <c r="H123" s="26">
        <f>IFERROR(__xludf.DUMMYFUNCTION("""COMPUTED_VALUE"""),0.0)</f>
        <v>0</v>
      </c>
      <c r="I123" s="26">
        <f>IFERROR(__xludf.DUMMYFUNCTION("""COMPUTED_VALUE"""),0.0)</f>
        <v>0</v>
      </c>
      <c r="J123" s="26">
        <f>IFERROR(__xludf.DUMMYFUNCTION("""COMPUTED_VALUE"""),0.0)</f>
        <v>0</v>
      </c>
      <c r="K123" s="26">
        <f>IFERROR(__xludf.DUMMYFUNCTION("""COMPUTED_VALUE"""),0.0)</f>
        <v>0</v>
      </c>
      <c r="L123" s="26">
        <f>IFERROR(__xludf.DUMMYFUNCTION("""COMPUTED_VALUE"""),0.0)</f>
        <v>0</v>
      </c>
      <c r="M123" s="26"/>
      <c r="N123" s="26"/>
      <c r="O123" s="26"/>
      <c r="P123" s="26"/>
      <c r="Q123" s="26"/>
      <c r="R123" s="26">
        <f>IFERROR(__xludf.DUMMYFUNCTION("""COMPUTED_VALUE"""),26.0)</f>
        <v>26</v>
      </c>
      <c r="S123" s="26">
        <f>IFERROR(__xludf.DUMMYFUNCTION("""COMPUTED_VALUE"""),45380.0)</f>
        <v>45380</v>
      </c>
      <c r="T123" s="26">
        <f>IFERROR(__xludf.DUMMYFUNCTION("""COMPUTED_VALUE"""),4420.0)</f>
        <v>4420</v>
      </c>
      <c r="U123" s="26">
        <f>IFERROR(__xludf.DUMMYFUNCTION("""COMPUTED_VALUE"""),11342.299999999997)</f>
        <v>11342.3</v>
      </c>
      <c r="V123" s="26">
        <f>IFERROR(__xludf.DUMMYFUNCTION("""COMPUTED_VALUE"""),0.0)</f>
        <v>0</v>
      </c>
      <c r="W123" s="26">
        <f>IFERROR(__xludf.DUMMYFUNCTION("""COMPUTED_VALUE"""),0.0)</f>
        <v>0</v>
      </c>
      <c r="X123" s="26">
        <f>IFERROR(__xludf.DUMMYFUNCTION("""COMPUTED_VALUE"""),6922.299999999997)</f>
        <v>6922.3</v>
      </c>
      <c r="Y123" s="26">
        <f>IFERROR(__xludf.DUMMYFUNCTION("""COMPUTED_VALUE"""),6922.299999999997)</f>
        <v>6922.3</v>
      </c>
      <c r="Z123" s="26">
        <f>IFERROR(__xludf.DUMMYFUNCTION("""COMPUTED_VALUE"""),0.0)</f>
        <v>0</v>
      </c>
      <c r="AA123" s="26">
        <f>IFERROR(__xludf.DUMMYFUNCTION("""COMPUTED_VALUE"""),0.0)</f>
        <v>0</v>
      </c>
      <c r="AB123" s="26">
        <f>IFERROR(__xludf.DUMMYFUNCTION("""COMPUTED_VALUE"""),0.0)</f>
        <v>0</v>
      </c>
      <c r="AC123" s="26">
        <f>IFERROR(__xludf.DUMMYFUNCTION("""COMPUTED_VALUE"""),0.0)</f>
        <v>0</v>
      </c>
      <c r="AD123" s="26">
        <f>IFERROR(__xludf.DUMMYFUNCTION("""COMPUTED_VALUE"""),0.0)</f>
        <v>0</v>
      </c>
      <c r="AE123" s="26">
        <f>IFERROR(__xludf.DUMMYFUNCTION("""COMPUTED_VALUE"""),0.0)</f>
        <v>0</v>
      </c>
    </row>
    <row r="124">
      <c r="A124" s="26">
        <f>IFERROR(__xludf.DUMMYFUNCTION("""COMPUTED_VALUE"""),1.0)</f>
        <v>1</v>
      </c>
      <c r="B124" s="26">
        <f>IFERROR(__xludf.DUMMYFUNCTION("""COMPUTED_VALUE"""),0.0)</f>
        <v>0</v>
      </c>
      <c r="C124" s="26">
        <f>IFERROR(__xludf.DUMMYFUNCTION("""COMPUTED_VALUE"""),0.0)</f>
        <v>0</v>
      </c>
      <c r="D124" s="26">
        <f>IFERROR(__xludf.DUMMYFUNCTION("""COMPUTED_VALUE"""),0.0)</f>
        <v>0</v>
      </c>
      <c r="E124" s="26">
        <f>IFERROR(__xludf.DUMMYFUNCTION("""COMPUTED_VALUE"""),54.0)</f>
        <v>54</v>
      </c>
      <c r="F124" s="26">
        <f>IFERROR(__xludf.DUMMYFUNCTION("""COMPUTED_VALUE"""),0.0)</f>
        <v>0</v>
      </c>
      <c r="G124" s="26">
        <f>IFERROR(__xludf.DUMMYFUNCTION("""COMPUTED_VALUE"""),0.0)</f>
        <v>0</v>
      </c>
      <c r="H124" s="26">
        <f>IFERROR(__xludf.DUMMYFUNCTION("""COMPUTED_VALUE"""),0.0)</f>
        <v>0</v>
      </c>
      <c r="I124" s="26">
        <f>IFERROR(__xludf.DUMMYFUNCTION("""COMPUTED_VALUE"""),0.0)</f>
        <v>0</v>
      </c>
      <c r="J124" s="26">
        <f>IFERROR(__xludf.DUMMYFUNCTION("""COMPUTED_VALUE"""),0.0)</f>
        <v>0</v>
      </c>
      <c r="K124" s="26">
        <f>IFERROR(__xludf.DUMMYFUNCTION("""COMPUTED_VALUE"""),0.0)</f>
        <v>0</v>
      </c>
      <c r="L124" s="26">
        <f>IFERROR(__xludf.DUMMYFUNCTION("""COMPUTED_VALUE"""),0.0)</f>
        <v>0</v>
      </c>
      <c r="M124" s="26"/>
      <c r="N124" s="26"/>
      <c r="O124" s="26"/>
      <c r="P124" s="26"/>
      <c r="Q124" s="26"/>
      <c r="R124" s="26">
        <f>IFERROR(__xludf.DUMMYFUNCTION("""COMPUTED_VALUE"""),55.0)</f>
        <v>55</v>
      </c>
      <c r="S124" s="26">
        <f>IFERROR(__xludf.DUMMYFUNCTION("""COMPUTED_VALUE"""),100290.0)</f>
        <v>100290</v>
      </c>
      <c r="T124" s="26">
        <f>IFERROR(__xludf.DUMMYFUNCTION("""COMPUTED_VALUE"""),9350.0)</f>
        <v>9350</v>
      </c>
      <c r="U124" s="26">
        <f>IFERROR(__xludf.DUMMYFUNCTION("""COMPUTED_VALUE"""),24648.290000000015)</f>
        <v>24648.29</v>
      </c>
      <c r="V124" s="26">
        <f>IFERROR(__xludf.DUMMYFUNCTION("""COMPUTED_VALUE"""),0.0)</f>
        <v>0</v>
      </c>
      <c r="W124" s="26">
        <f>IFERROR(__xludf.DUMMYFUNCTION("""COMPUTED_VALUE"""),0.0)</f>
        <v>0</v>
      </c>
      <c r="X124" s="26">
        <f>IFERROR(__xludf.DUMMYFUNCTION("""COMPUTED_VALUE"""),15298.290000000015)</f>
        <v>15298.29</v>
      </c>
      <c r="Y124" s="26">
        <f>IFERROR(__xludf.DUMMYFUNCTION("""COMPUTED_VALUE"""),15298.290000000015)</f>
        <v>15298.29</v>
      </c>
      <c r="Z124" s="26">
        <f>IFERROR(__xludf.DUMMYFUNCTION("""COMPUTED_VALUE"""),0.0)</f>
        <v>0</v>
      </c>
      <c r="AA124" s="26">
        <f>IFERROR(__xludf.DUMMYFUNCTION("""COMPUTED_VALUE"""),0.0)</f>
        <v>0</v>
      </c>
      <c r="AB124" s="26">
        <f>IFERROR(__xludf.DUMMYFUNCTION("""COMPUTED_VALUE"""),0.0)</f>
        <v>0</v>
      </c>
      <c r="AC124" s="26">
        <f>IFERROR(__xludf.DUMMYFUNCTION("""COMPUTED_VALUE"""),0.0)</f>
        <v>0</v>
      </c>
      <c r="AD124" s="26">
        <f>IFERROR(__xludf.DUMMYFUNCTION("""COMPUTED_VALUE"""),0.0)</f>
        <v>0</v>
      </c>
      <c r="AE124" s="26">
        <f>IFERROR(__xludf.DUMMYFUNCTION("""COMPUTED_VALUE"""),0.0)</f>
        <v>0</v>
      </c>
    </row>
    <row r="125">
      <c r="A125" s="26">
        <f>IFERROR(__xludf.DUMMYFUNCTION("""COMPUTED_VALUE"""),22.0)</f>
        <v>22</v>
      </c>
      <c r="B125" s="26">
        <f>IFERROR(__xludf.DUMMYFUNCTION("""COMPUTED_VALUE"""),0.0)</f>
        <v>0</v>
      </c>
      <c r="C125" s="26">
        <f>IFERROR(__xludf.DUMMYFUNCTION("""COMPUTED_VALUE"""),0.0)</f>
        <v>0</v>
      </c>
      <c r="D125" s="26">
        <f>IFERROR(__xludf.DUMMYFUNCTION("""COMPUTED_VALUE"""),0.0)</f>
        <v>0</v>
      </c>
      <c r="E125" s="26">
        <f>IFERROR(__xludf.DUMMYFUNCTION("""COMPUTED_VALUE"""),100.0)</f>
        <v>100</v>
      </c>
      <c r="F125" s="26">
        <f>IFERROR(__xludf.DUMMYFUNCTION("""COMPUTED_VALUE"""),0.0)</f>
        <v>0</v>
      </c>
      <c r="G125" s="26">
        <f>IFERROR(__xludf.DUMMYFUNCTION("""COMPUTED_VALUE"""),0.0)</f>
        <v>0</v>
      </c>
      <c r="H125" s="26">
        <f>IFERROR(__xludf.DUMMYFUNCTION("""COMPUTED_VALUE"""),0.0)</f>
        <v>0</v>
      </c>
      <c r="I125" s="26">
        <f>IFERROR(__xludf.DUMMYFUNCTION("""COMPUTED_VALUE"""),0.0)</f>
        <v>0</v>
      </c>
      <c r="J125" s="26">
        <f>IFERROR(__xludf.DUMMYFUNCTION("""COMPUTED_VALUE"""),0.0)</f>
        <v>0</v>
      </c>
      <c r="K125" s="26">
        <f>IFERROR(__xludf.DUMMYFUNCTION("""COMPUTED_VALUE"""),0.0)</f>
        <v>0</v>
      </c>
      <c r="L125" s="26">
        <f>IFERROR(__xludf.DUMMYFUNCTION("""COMPUTED_VALUE"""),0.0)</f>
        <v>0</v>
      </c>
      <c r="M125" s="26"/>
      <c r="N125" s="26"/>
      <c r="O125" s="26"/>
      <c r="P125" s="26"/>
      <c r="Q125" s="26"/>
      <c r="R125" s="26">
        <f>IFERROR(__xludf.DUMMYFUNCTION("""COMPUTED_VALUE"""),122.0)</f>
        <v>122</v>
      </c>
      <c r="S125" s="26">
        <f>IFERROR(__xludf.DUMMYFUNCTION("""COMPUTED_VALUE"""),195680.0)</f>
        <v>195680</v>
      </c>
      <c r="T125" s="26">
        <f>IFERROR(__xludf.DUMMYFUNCTION("""COMPUTED_VALUE"""),20740.0)</f>
        <v>20740</v>
      </c>
      <c r="U125" s="26">
        <f>IFERROR(__xludf.DUMMYFUNCTION("""COMPUTED_VALUE"""),50589.24000000005)</f>
        <v>50589.24</v>
      </c>
      <c r="V125" s="26">
        <f>IFERROR(__xludf.DUMMYFUNCTION("""COMPUTED_VALUE"""),0.0)</f>
        <v>0</v>
      </c>
      <c r="W125" s="26">
        <f>IFERROR(__xludf.DUMMYFUNCTION("""COMPUTED_VALUE"""),0.0)</f>
        <v>0</v>
      </c>
      <c r="X125" s="26">
        <f>IFERROR(__xludf.DUMMYFUNCTION("""COMPUTED_VALUE"""),29849.24000000005)</f>
        <v>29849.24</v>
      </c>
      <c r="Y125" s="26">
        <f>IFERROR(__xludf.DUMMYFUNCTION("""COMPUTED_VALUE"""),29849.24000000005)</f>
        <v>29849.24</v>
      </c>
      <c r="Z125" s="26">
        <f>IFERROR(__xludf.DUMMYFUNCTION("""COMPUTED_VALUE"""),0.0)</f>
        <v>0</v>
      </c>
      <c r="AA125" s="26">
        <f>IFERROR(__xludf.DUMMYFUNCTION("""COMPUTED_VALUE"""),0.0)</f>
        <v>0</v>
      </c>
      <c r="AB125" s="26">
        <f>IFERROR(__xludf.DUMMYFUNCTION("""COMPUTED_VALUE"""),0.0)</f>
        <v>0</v>
      </c>
      <c r="AC125" s="26">
        <f>IFERROR(__xludf.DUMMYFUNCTION("""COMPUTED_VALUE"""),0.0)</f>
        <v>0</v>
      </c>
      <c r="AD125" s="26">
        <f>IFERROR(__xludf.DUMMYFUNCTION("""COMPUTED_VALUE"""),0.0)</f>
        <v>0</v>
      </c>
      <c r="AE125" s="26">
        <f>IFERROR(__xludf.DUMMYFUNCTION("""COMPUTED_VALUE"""),0.0)</f>
        <v>0</v>
      </c>
    </row>
    <row r="126">
      <c r="A126" s="26">
        <f>IFERROR(__xludf.DUMMYFUNCTION("""COMPUTED_VALUE"""),0.0)</f>
        <v>0</v>
      </c>
      <c r="B126" s="26">
        <f>IFERROR(__xludf.DUMMYFUNCTION("""COMPUTED_VALUE"""),0.0)</f>
        <v>0</v>
      </c>
      <c r="C126" s="26">
        <f>IFERROR(__xludf.DUMMYFUNCTION("""COMPUTED_VALUE"""),0.0)</f>
        <v>0</v>
      </c>
      <c r="D126" s="26">
        <f>IFERROR(__xludf.DUMMYFUNCTION("""COMPUTED_VALUE"""),0.0)</f>
        <v>0</v>
      </c>
      <c r="E126" s="26">
        <f>IFERROR(__xludf.DUMMYFUNCTION("""COMPUTED_VALUE"""),0.0)</f>
        <v>0</v>
      </c>
      <c r="F126" s="26">
        <f>IFERROR(__xludf.DUMMYFUNCTION("""COMPUTED_VALUE"""),0.0)</f>
        <v>0</v>
      </c>
      <c r="G126" s="26">
        <f>IFERROR(__xludf.DUMMYFUNCTION("""COMPUTED_VALUE"""),0.0)</f>
        <v>0</v>
      </c>
      <c r="H126" s="26">
        <f>IFERROR(__xludf.DUMMYFUNCTION("""COMPUTED_VALUE"""),0.0)</f>
        <v>0</v>
      </c>
      <c r="I126" s="26">
        <f>IFERROR(__xludf.DUMMYFUNCTION("""COMPUTED_VALUE"""),0.0)</f>
        <v>0</v>
      </c>
      <c r="J126" s="26">
        <f>IFERROR(__xludf.DUMMYFUNCTION("""COMPUTED_VALUE"""),0.0)</f>
        <v>0</v>
      </c>
      <c r="K126" s="26">
        <f>IFERROR(__xludf.DUMMYFUNCTION("""COMPUTED_VALUE"""),0.0)</f>
        <v>0</v>
      </c>
      <c r="L126" s="26">
        <f>IFERROR(__xludf.DUMMYFUNCTION("""COMPUTED_VALUE"""),0.0)</f>
        <v>0</v>
      </c>
      <c r="M126" s="26"/>
      <c r="N126" s="26"/>
      <c r="O126" s="26"/>
      <c r="P126" s="26"/>
      <c r="Q126" s="26"/>
      <c r="R126" s="26">
        <f>IFERROR(__xludf.DUMMYFUNCTION("""COMPUTED_VALUE"""),0.0)</f>
        <v>0</v>
      </c>
      <c r="S126" s="26">
        <f>IFERROR(__xludf.DUMMYFUNCTION("""COMPUTED_VALUE"""),0.0)</f>
        <v>0</v>
      </c>
      <c r="T126" s="26">
        <f>IFERROR(__xludf.DUMMYFUNCTION("""COMPUTED_VALUE"""),0.0)</f>
        <v>0</v>
      </c>
      <c r="U126" s="26">
        <f>IFERROR(__xludf.DUMMYFUNCTION("""COMPUTED_VALUE"""),0.0)</f>
        <v>0</v>
      </c>
      <c r="V126" s="26">
        <f>IFERROR(__xludf.DUMMYFUNCTION("""COMPUTED_VALUE"""),0.0)</f>
        <v>0</v>
      </c>
      <c r="W126" s="26">
        <f>IFERROR(__xludf.DUMMYFUNCTION("""COMPUTED_VALUE"""),0.0)</f>
        <v>0</v>
      </c>
      <c r="X126" s="26">
        <f>IFERROR(__xludf.DUMMYFUNCTION("""COMPUTED_VALUE"""),0.0)</f>
        <v>0</v>
      </c>
      <c r="Y126" s="26">
        <f>IFERROR(__xludf.DUMMYFUNCTION("""COMPUTED_VALUE"""),0.0)</f>
        <v>0</v>
      </c>
      <c r="Z126" s="26">
        <f>IFERROR(__xludf.DUMMYFUNCTION("""COMPUTED_VALUE"""),0.0)</f>
        <v>0</v>
      </c>
      <c r="AA126" s="26">
        <f>IFERROR(__xludf.DUMMYFUNCTION("""COMPUTED_VALUE"""),0.0)</f>
        <v>0</v>
      </c>
      <c r="AB126" s="26">
        <f>IFERROR(__xludf.DUMMYFUNCTION("""COMPUTED_VALUE"""),0.0)</f>
        <v>0</v>
      </c>
      <c r="AC126" s="26">
        <f>IFERROR(__xludf.DUMMYFUNCTION("""COMPUTED_VALUE"""),0.0)</f>
        <v>0</v>
      </c>
      <c r="AD126" s="26">
        <f>IFERROR(__xludf.DUMMYFUNCTION("""COMPUTED_VALUE"""),0.0)</f>
        <v>0</v>
      </c>
      <c r="AE126" s="26">
        <f>IFERROR(__xludf.DUMMYFUNCTION("""COMPUTED_VALUE"""),0.0)</f>
        <v>0</v>
      </c>
    </row>
    <row r="127">
      <c r="A127" s="26">
        <f>IFERROR(__xludf.DUMMYFUNCTION("""COMPUTED_VALUE"""),0.0)</f>
        <v>0</v>
      </c>
      <c r="B127" s="26">
        <f>IFERROR(__xludf.DUMMYFUNCTION("""COMPUTED_VALUE"""),0.0)</f>
        <v>0</v>
      </c>
      <c r="C127" s="26">
        <f>IFERROR(__xludf.DUMMYFUNCTION("""COMPUTED_VALUE"""),0.0)</f>
        <v>0</v>
      </c>
      <c r="D127" s="26">
        <f>IFERROR(__xludf.DUMMYFUNCTION("""COMPUTED_VALUE"""),0.0)</f>
        <v>0</v>
      </c>
      <c r="E127" s="26">
        <f>IFERROR(__xludf.DUMMYFUNCTION("""COMPUTED_VALUE"""),0.0)</f>
        <v>0</v>
      </c>
      <c r="F127" s="26">
        <f>IFERROR(__xludf.DUMMYFUNCTION("""COMPUTED_VALUE"""),0.0)</f>
        <v>0</v>
      </c>
      <c r="G127" s="26">
        <f>IFERROR(__xludf.DUMMYFUNCTION("""COMPUTED_VALUE"""),0.0)</f>
        <v>0</v>
      </c>
      <c r="H127" s="26">
        <f>IFERROR(__xludf.DUMMYFUNCTION("""COMPUTED_VALUE"""),0.0)</f>
        <v>0</v>
      </c>
      <c r="I127" s="26">
        <f>IFERROR(__xludf.DUMMYFUNCTION("""COMPUTED_VALUE"""),0.0)</f>
        <v>0</v>
      </c>
      <c r="J127" s="26">
        <f>IFERROR(__xludf.DUMMYFUNCTION("""COMPUTED_VALUE"""),0.0)</f>
        <v>0</v>
      </c>
      <c r="K127" s="26">
        <f>IFERROR(__xludf.DUMMYFUNCTION("""COMPUTED_VALUE"""),0.0)</f>
        <v>0</v>
      </c>
      <c r="L127" s="26">
        <f>IFERROR(__xludf.DUMMYFUNCTION("""COMPUTED_VALUE"""),0.0)</f>
        <v>0</v>
      </c>
      <c r="M127" s="26"/>
      <c r="N127" s="26"/>
      <c r="O127" s="26"/>
      <c r="P127" s="26"/>
      <c r="Q127" s="26"/>
      <c r="R127" s="26">
        <f>IFERROR(__xludf.DUMMYFUNCTION("""COMPUTED_VALUE"""),0.0)</f>
        <v>0</v>
      </c>
      <c r="S127" s="26">
        <f>IFERROR(__xludf.DUMMYFUNCTION("""COMPUTED_VALUE"""),0.0)</f>
        <v>0</v>
      </c>
      <c r="T127" s="26">
        <f>IFERROR(__xludf.DUMMYFUNCTION("""COMPUTED_VALUE"""),0.0)</f>
        <v>0</v>
      </c>
      <c r="U127" s="26">
        <f>IFERROR(__xludf.DUMMYFUNCTION("""COMPUTED_VALUE"""),0.0)</f>
        <v>0</v>
      </c>
      <c r="V127" s="26">
        <f>IFERROR(__xludf.DUMMYFUNCTION("""COMPUTED_VALUE"""),0.0)</f>
        <v>0</v>
      </c>
      <c r="W127" s="26">
        <f>IFERROR(__xludf.DUMMYFUNCTION("""COMPUTED_VALUE"""),0.0)</f>
        <v>0</v>
      </c>
      <c r="X127" s="26">
        <f>IFERROR(__xludf.DUMMYFUNCTION("""COMPUTED_VALUE"""),0.0)</f>
        <v>0</v>
      </c>
      <c r="Y127" s="26">
        <f>IFERROR(__xludf.DUMMYFUNCTION("""COMPUTED_VALUE"""),0.0)</f>
        <v>0</v>
      </c>
      <c r="Z127" s="26">
        <f>IFERROR(__xludf.DUMMYFUNCTION("""COMPUTED_VALUE"""),0.0)</f>
        <v>0</v>
      </c>
      <c r="AA127" s="26">
        <f>IFERROR(__xludf.DUMMYFUNCTION("""COMPUTED_VALUE"""),0.0)</f>
        <v>0</v>
      </c>
      <c r="AB127" s="26">
        <f>IFERROR(__xludf.DUMMYFUNCTION("""COMPUTED_VALUE"""),0.0)</f>
        <v>0</v>
      </c>
      <c r="AC127" s="26">
        <f>IFERROR(__xludf.DUMMYFUNCTION("""COMPUTED_VALUE"""),0.0)</f>
        <v>0</v>
      </c>
      <c r="AD127" s="26">
        <f>IFERROR(__xludf.DUMMYFUNCTION("""COMPUTED_VALUE"""),0.0)</f>
        <v>0</v>
      </c>
      <c r="AE127" s="26">
        <f>IFERROR(__xludf.DUMMYFUNCTION("""COMPUTED_VALUE"""),0.0)</f>
        <v>0</v>
      </c>
    </row>
    <row r="128">
      <c r="A128" s="26">
        <f>IFERROR(__xludf.DUMMYFUNCTION("""COMPUTED_VALUE"""),0.0)</f>
        <v>0</v>
      </c>
      <c r="B128" s="26">
        <f>IFERROR(__xludf.DUMMYFUNCTION("""COMPUTED_VALUE"""),0.0)</f>
        <v>0</v>
      </c>
      <c r="C128" s="26">
        <f>IFERROR(__xludf.DUMMYFUNCTION("""COMPUTED_VALUE"""),0.0)</f>
        <v>0</v>
      </c>
      <c r="D128" s="26">
        <f>IFERROR(__xludf.DUMMYFUNCTION("""COMPUTED_VALUE"""),0.0)</f>
        <v>0</v>
      </c>
      <c r="E128" s="26">
        <f>IFERROR(__xludf.DUMMYFUNCTION("""COMPUTED_VALUE"""),0.0)</f>
        <v>0</v>
      </c>
      <c r="F128" s="26">
        <f>IFERROR(__xludf.DUMMYFUNCTION("""COMPUTED_VALUE"""),0.0)</f>
        <v>0</v>
      </c>
      <c r="G128" s="26">
        <f>IFERROR(__xludf.DUMMYFUNCTION("""COMPUTED_VALUE"""),0.0)</f>
        <v>0</v>
      </c>
      <c r="H128" s="26">
        <f>IFERROR(__xludf.DUMMYFUNCTION("""COMPUTED_VALUE"""),0.0)</f>
        <v>0</v>
      </c>
      <c r="I128" s="26">
        <f>IFERROR(__xludf.DUMMYFUNCTION("""COMPUTED_VALUE"""),0.0)</f>
        <v>0</v>
      </c>
      <c r="J128" s="26">
        <f>IFERROR(__xludf.DUMMYFUNCTION("""COMPUTED_VALUE"""),0.0)</f>
        <v>0</v>
      </c>
      <c r="K128" s="26">
        <f>IFERROR(__xludf.DUMMYFUNCTION("""COMPUTED_VALUE"""),0.0)</f>
        <v>0</v>
      </c>
      <c r="L128" s="26">
        <f>IFERROR(__xludf.DUMMYFUNCTION("""COMPUTED_VALUE"""),0.0)</f>
        <v>0</v>
      </c>
      <c r="M128" s="26"/>
      <c r="N128" s="26"/>
      <c r="O128" s="26"/>
      <c r="P128" s="26"/>
      <c r="Q128" s="26"/>
      <c r="R128" s="26">
        <f>IFERROR(__xludf.DUMMYFUNCTION("""COMPUTED_VALUE"""),0.0)</f>
        <v>0</v>
      </c>
      <c r="S128" s="26">
        <f>IFERROR(__xludf.DUMMYFUNCTION("""COMPUTED_VALUE"""),0.0)</f>
        <v>0</v>
      </c>
      <c r="T128" s="26">
        <f>IFERROR(__xludf.DUMMYFUNCTION("""COMPUTED_VALUE"""),0.0)</f>
        <v>0</v>
      </c>
      <c r="U128" s="26">
        <f>IFERROR(__xludf.DUMMYFUNCTION("""COMPUTED_VALUE"""),0.0)</f>
        <v>0</v>
      </c>
      <c r="V128" s="26">
        <f>IFERROR(__xludf.DUMMYFUNCTION("""COMPUTED_VALUE"""),0.0)</f>
        <v>0</v>
      </c>
      <c r="W128" s="26">
        <f>IFERROR(__xludf.DUMMYFUNCTION("""COMPUTED_VALUE"""),0.0)</f>
        <v>0</v>
      </c>
      <c r="X128" s="26">
        <f>IFERROR(__xludf.DUMMYFUNCTION("""COMPUTED_VALUE"""),0.0)</f>
        <v>0</v>
      </c>
      <c r="Y128" s="26">
        <f>IFERROR(__xludf.DUMMYFUNCTION("""COMPUTED_VALUE"""),0.0)</f>
        <v>0</v>
      </c>
      <c r="Z128" s="26">
        <f>IFERROR(__xludf.DUMMYFUNCTION("""COMPUTED_VALUE"""),0.0)</f>
        <v>0</v>
      </c>
      <c r="AA128" s="26">
        <f>IFERROR(__xludf.DUMMYFUNCTION("""COMPUTED_VALUE"""),0.0)</f>
        <v>0</v>
      </c>
      <c r="AB128" s="26">
        <f>IFERROR(__xludf.DUMMYFUNCTION("""COMPUTED_VALUE"""),0.0)</f>
        <v>0</v>
      </c>
      <c r="AC128" s="26">
        <f>IFERROR(__xludf.DUMMYFUNCTION("""COMPUTED_VALUE"""),0.0)</f>
        <v>0</v>
      </c>
      <c r="AD128" s="26">
        <f>IFERROR(__xludf.DUMMYFUNCTION("""COMPUTED_VALUE"""),0.0)</f>
        <v>0</v>
      </c>
      <c r="AE128" s="26">
        <f>IFERROR(__xludf.DUMMYFUNCTION("""COMPUTED_VALUE"""),0.0)</f>
        <v>0</v>
      </c>
    </row>
    <row r="129">
      <c r="A129" s="26">
        <f>IFERROR(__xludf.DUMMYFUNCTION("""COMPUTED_VALUE"""),0.0)</f>
        <v>0</v>
      </c>
      <c r="B129" s="26">
        <f>IFERROR(__xludf.DUMMYFUNCTION("""COMPUTED_VALUE"""),0.0)</f>
        <v>0</v>
      </c>
      <c r="C129" s="26">
        <f>IFERROR(__xludf.DUMMYFUNCTION("""COMPUTED_VALUE"""),0.0)</f>
        <v>0</v>
      </c>
      <c r="D129" s="26">
        <f>IFERROR(__xludf.DUMMYFUNCTION("""COMPUTED_VALUE"""),0.0)</f>
        <v>0</v>
      </c>
      <c r="E129" s="26">
        <f>IFERROR(__xludf.DUMMYFUNCTION("""COMPUTED_VALUE"""),0.0)</f>
        <v>0</v>
      </c>
      <c r="F129" s="26">
        <f>IFERROR(__xludf.DUMMYFUNCTION("""COMPUTED_VALUE"""),0.0)</f>
        <v>0</v>
      </c>
      <c r="G129" s="26">
        <f>IFERROR(__xludf.DUMMYFUNCTION("""COMPUTED_VALUE"""),0.0)</f>
        <v>0</v>
      </c>
      <c r="H129" s="26">
        <f>IFERROR(__xludf.DUMMYFUNCTION("""COMPUTED_VALUE"""),0.0)</f>
        <v>0</v>
      </c>
      <c r="I129" s="26">
        <f>IFERROR(__xludf.DUMMYFUNCTION("""COMPUTED_VALUE"""),0.0)</f>
        <v>0</v>
      </c>
      <c r="J129" s="26">
        <f>IFERROR(__xludf.DUMMYFUNCTION("""COMPUTED_VALUE"""),0.0)</f>
        <v>0</v>
      </c>
      <c r="K129" s="26">
        <f>IFERROR(__xludf.DUMMYFUNCTION("""COMPUTED_VALUE"""),0.0)</f>
        <v>0</v>
      </c>
      <c r="L129" s="26">
        <f>IFERROR(__xludf.DUMMYFUNCTION("""COMPUTED_VALUE"""),0.0)</f>
        <v>0</v>
      </c>
      <c r="M129" s="26"/>
      <c r="N129" s="26"/>
      <c r="O129" s="26"/>
      <c r="P129" s="26"/>
      <c r="Q129" s="26"/>
      <c r="R129" s="26">
        <f>IFERROR(__xludf.DUMMYFUNCTION("""COMPUTED_VALUE"""),0.0)</f>
        <v>0</v>
      </c>
      <c r="S129" s="26">
        <f>IFERROR(__xludf.DUMMYFUNCTION("""COMPUTED_VALUE"""),0.0)</f>
        <v>0</v>
      </c>
      <c r="T129" s="26">
        <f>IFERROR(__xludf.DUMMYFUNCTION("""COMPUTED_VALUE"""),0.0)</f>
        <v>0</v>
      </c>
      <c r="U129" s="26">
        <f>IFERROR(__xludf.DUMMYFUNCTION("""COMPUTED_VALUE"""),0.0)</f>
        <v>0</v>
      </c>
      <c r="V129" s="26">
        <f>IFERROR(__xludf.DUMMYFUNCTION("""COMPUTED_VALUE"""),0.0)</f>
        <v>0</v>
      </c>
      <c r="W129" s="26">
        <f>IFERROR(__xludf.DUMMYFUNCTION("""COMPUTED_VALUE"""),0.0)</f>
        <v>0</v>
      </c>
      <c r="X129" s="26">
        <f>IFERROR(__xludf.DUMMYFUNCTION("""COMPUTED_VALUE"""),0.0)</f>
        <v>0</v>
      </c>
      <c r="Y129" s="26">
        <f>IFERROR(__xludf.DUMMYFUNCTION("""COMPUTED_VALUE"""),0.0)</f>
        <v>0</v>
      </c>
      <c r="Z129" s="26">
        <f>IFERROR(__xludf.DUMMYFUNCTION("""COMPUTED_VALUE"""),0.0)</f>
        <v>0</v>
      </c>
      <c r="AA129" s="26">
        <f>IFERROR(__xludf.DUMMYFUNCTION("""COMPUTED_VALUE"""),0.0)</f>
        <v>0</v>
      </c>
      <c r="AB129" s="26">
        <f>IFERROR(__xludf.DUMMYFUNCTION("""COMPUTED_VALUE"""),0.0)</f>
        <v>0</v>
      </c>
      <c r="AC129" s="26">
        <f>IFERROR(__xludf.DUMMYFUNCTION("""COMPUTED_VALUE"""),0.0)</f>
        <v>0</v>
      </c>
      <c r="AD129" s="26">
        <f>IFERROR(__xludf.DUMMYFUNCTION("""COMPUTED_VALUE"""),0.0)</f>
        <v>0</v>
      </c>
      <c r="AE129" s="26">
        <f>IFERROR(__xludf.DUMMYFUNCTION("""COMPUTED_VALUE"""),0.0)</f>
        <v>0</v>
      </c>
    </row>
    <row r="130">
      <c r="A130" s="26">
        <f>IFERROR(__xludf.DUMMYFUNCTION("""COMPUTED_VALUE"""),0.0)</f>
        <v>0</v>
      </c>
      <c r="B130" s="26">
        <f>IFERROR(__xludf.DUMMYFUNCTION("""COMPUTED_VALUE"""),0.0)</f>
        <v>0</v>
      </c>
      <c r="C130" s="26">
        <f>IFERROR(__xludf.DUMMYFUNCTION("""COMPUTED_VALUE"""),0.0)</f>
        <v>0</v>
      </c>
      <c r="D130" s="26">
        <f>IFERROR(__xludf.DUMMYFUNCTION("""COMPUTED_VALUE"""),0.0)</f>
        <v>0</v>
      </c>
      <c r="E130" s="26">
        <f>IFERROR(__xludf.DUMMYFUNCTION("""COMPUTED_VALUE"""),0.0)</f>
        <v>0</v>
      </c>
      <c r="F130" s="26">
        <f>IFERROR(__xludf.DUMMYFUNCTION("""COMPUTED_VALUE"""),0.0)</f>
        <v>0</v>
      </c>
      <c r="G130" s="26">
        <f>IFERROR(__xludf.DUMMYFUNCTION("""COMPUTED_VALUE"""),0.0)</f>
        <v>0</v>
      </c>
      <c r="H130" s="26">
        <f>IFERROR(__xludf.DUMMYFUNCTION("""COMPUTED_VALUE"""),0.0)</f>
        <v>0</v>
      </c>
      <c r="I130" s="26">
        <f>IFERROR(__xludf.DUMMYFUNCTION("""COMPUTED_VALUE"""),0.0)</f>
        <v>0</v>
      </c>
      <c r="J130" s="26">
        <f>IFERROR(__xludf.DUMMYFUNCTION("""COMPUTED_VALUE"""),0.0)</f>
        <v>0</v>
      </c>
      <c r="K130" s="26">
        <f>IFERROR(__xludf.DUMMYFUNCTION("""COMPUTED_VALUE"""),0.0)</f>
        <v>0</v>
      </c>
      <c r="L130" s="26">
        <f>IFERROR(__xludf.DUMMYFUNCTION("""COMPUTED_VALUE"""),0.0)</f>
        <v>0</v>
      </c>
      <c r="M130" s="26"/>
      <c r="N130" s="26"/>
      <c r="O130" s="26"/>
      <c r="P130" s="26"/>
      <c r="Q130" s="26"/>
      <c r="R130" s="26">
        <f>IFERROR(__xludf.DUMMYFUNCTION("""COMPUTED_VALUE"""),0.0)</f>
        <v>0</v>
      </c>
      <c r="S130" s="26">
        <f>IFERROR(__xludf.DUMMYFUNCTION("""COMPUTED_VALUE"""),0.0)</f>
        <v>0</v>
      </c>
      <c r="T130" s="26">
        <f>IFERROR(__xludf.DUMMYFUNCTION("""COMPUTED_VALUE"""),0.0)</f>
        <v>0</v>
      </c>
      <c r="U130" s="26">
        <f>IFERROR(__xludf.DUMMYFUNCTION("""COMPUTED_VALUE"""),0.0)</f>
        <v>0</v>
      </c>
      <c r="V130" s="26">
        <f>IFERROR(__xludf.DUMMYFUNCTION("""COMPUTED_VALUE"""),0.0)</f>
        <v>0</v>
      </c>
      <c r="W130" s="26">
        <f>IFERROR(__xludf.DUMMYFUNCTION("""COMPUTED_VALUE"""),0.0)</f>
        <v>0</v>
      </c>
      <c r="X130" s="26">
        <f>IFERROR(__xludf.DUMMYFUNCTION("""COMPUTED_VALUE"""),0.0)</f>
        <v>0</v>
      </c>
      <c r="Y130" s="26">
        <f>IFERROR(__xludf.DUMMYFUNCTION("""COMPUTED_VALUE"""),0.0)</f>
        <v>0</v>
      </c>
      <c r="Z130" s="26">
        <f>IFERROR(__xludf.DUMMYFUNCTION("""COMPUTED_VALUE"""),0.0)</f>
        <v>0</v>
      </c>
      <c r="AA130" s="26">
        <f>IFERROR(__xludf.DUMMYFUNCTION("""COMPUTED_VALUE"""),0.0)</f>
        <v>0</v>
      </c>
      <c r="AB130" s="26">
        <f>IFERROR(__xludf.DUMMYFUNCTION("""COMPUTED_VALUE"""),0.0)</f>
        <v>0</v>
      </c>
      <c r="AC130" s="26">
        <f>IFERROR(__xludf.DUMMYFUNCTION("""COMPUTED_VALUE"""),0.0)</f>
        <v>0</v>
      </c>
      <c r="AD130" s="26">
        <f>IFERROR(__xludf.DUMMYFUNCTION("""COMPUTED_VALUE"""),0.0)</f>
        <v>0</v>
      </c>
      <c r="AE130" s="26">
        <f>IFERROR(__xludf.DUMMYFUNCTION("""COMPUTED_VALUE"""),0.0)</f>
        <v>0</v>
      </c>
    </row>
    <row r="131">
      <c r="A131" s="26">
        <f>IFERROR(__xludf.DUMMYFUNCTION("""COMPUTED_VALUE"""),0.0)</f>
        <v>0</v>
      </c>
      <c r="B131" s="26">
        <f>IFERROR(__xludf.DUMMYFUNCTION("""COMPUTED_VALUE"""),0.0)</f>
        <v>0</v>
      </c>
      <c r="C131" s="26">
        <f>IFERROR(__xludf.DUMMYFUNCTION("""COMPUTED_VALUE"""),0.0)</f>
        <v>0</v>
      </c>
      <c r="D131" s="26">
        <f>IFERROR(__xludf.DUMMYFUNCTION("""COMPUTED_VALUE"""),0.0)</f>
        <v>0</v>
      </c>
      <c r="E131" s="26">
        <f>IFERROR(__xludf.DUMMYFUNCTION("""COMPUTED_VALUE"""),0.0)</f>
        <v>0</v>
      </c>
      <c r="F131" s="26">
        <f>IFERROR(__xludf.DUMMYFUNCTION("""COMPUTED_VALUE"""),0.0)</f>
        <v>0</v>
      </c>
      <c r="G131" s="26">
        <f>IFERROR(__xludf.DUMMYFUNCTION("""COMPUTED_VALUE"""),0.0)</f>
        <v>0</v>
      </c>
      <c r="H131" s="26">
        <f>IFERROR(__xludf.DUMMYFUNCTION("""COMPUTED_VALUE"""),0.0)</f>
        <v>0</v>
      </c>
      <c r="I131" s="26">
        <f>IFERROR(__xludf.DUMMYFUNCTION("""COMPUTED_VALUE"""),0.0)</f>
        <v>0</v>
      </c>
      <c r="J131" s="26">
        <f>IFERROR(__xludf.DUMMYFUNCTION("""COMPUTED_VALUE"""),0.0)</f>
        <v>0</v>
      </c>
      <c r="K131" s="26">
        <f>IFERROR(__xludf.DUMMYFUNCTION("""COMPUTED_VALUE"""),0.0)</f>
        <v>0</v>
      </c>
      <c r="L131" s="26">
        <f>IFERROR(__xludf.DUMMYFUNCTION("""COMPUTED_VALUE"""),0.0)</f>
        <v>0</v>
      </c>
      <c r="M131" s="26"/>
      <c r="N131" s="26"/>
      <c r="O131" s="26"/>
      <c r="P131" s="26"/>
      <c r="Q131" s="26"/>
      <c r="R131" s="26">
        <f>IFERROR(__xludf.DUMMYFUNCTION("""COMPUTED_VALUE"""),0.0)</f>
        <v>0</v>
      </c>
      <c r="S131" s="26">
        <f>IFERROR(__xludf.DUMMYFUNCTION("""COMPUTED_VALUE"""),0.0)</f>
        <v>0</v>
      </c>
      <c r="T131" s="26">
        <f>IFERROR(__xludf.DUMMYFUNCTION("""COMPUTED_VALUE"""),0.0)</f>
        <v>0</v>
      </c>
      <c r="U131" s="26">
        <f>IFERROR(__xludf.DUMMYFUNCTION("""COMPUTED_VALUE"""),0.0)</f>
        <v>0</v>
      </c>
      <c r="V131" s="26">
        <f>IFERROR(__xludf.DUMMYFUNCTION("""COMPUTED_VALUE"""),0.0)</f>
        <v>0</v>
      </c>
      <c r="W131" s="26">
        <f>IFERROR(__xludf.DUMMYFUNCTION("""COMPUTED_VALUE"""),0.0)</f>
        <v>0</v>
      </c>
      <c r="X131" s="26">
        <f>IFERROR(__xludf.DUMMYFUNCTION("""COMPUTED_VALUE"""),0.0)</f>
        <v>0</v>
      </c>
      <c r="Y131" s="26">
        <f>IFERROR(__xludf.DUMMYFUNCTION("""COMPUTED_VALUE"""),0.0)</f>
        <v>0</v>
      </c>
      <c r="Z131" s="26">
        <f>IFERROR(__xludf.DUMMYFUNCTION("""COMPUTED_VALUE"""),0.0)</f>
        <v>0</v>
      </c>
      <c r="AA131" s="26">
        <f>IFERROR(__xludf.DUMMYFUNCTION("""COMPUTED_VALUE"""),0.0)</f>
        <v>0</v>
      </c>
      <c r="AB131" s="26">
        <f>IFERROR(__xludf.DUMMYFUNCTION("""COMPUTED_VALUE"""),0.0)</f>
        <v>0</v>
      </c>
      <c r="AC131" s="26">
        <f>IFERROR(__xludf.DUMMYFUNCTION("""COMPUTED_VALUE"""),0.0)</f>
        <v>0</v>
      </c>
      <c r="AD131" s="26">
        <f>IFERROR(__xludf.DUMMYFUNCTION("""COMPUTED_VALUE"""),0.0)</f>
        <v>0</v>
      </c>
      <c r="AE131" s="26">
        <f>IFERROR(__xludf.DUMMYFUNCTION("""COMPUTED_VALUE"""),0.0)</f>
        <v>0</v>
      </c>
    </row>
    <row r="132">
      <c r="A132" s="26">
        <f>IFERROR(__xludf.DUMMYFUNCTION("""COMPUTED_VALUE"""),0.0)</f>
        <v>0</v>
      </c>
      <c r="B132" s="26">
        <f>IFERROR(__xludf.DUMMYFUNCTION("""COMPUTED_VALUE"""),0.0)</f>
        <v>0</v>
      </c>
      <c r="C132" s="26">
        <f>IFERROR(__xludf.DUMMYFUNCTION("""COMPUTED_VALUE"""),0.0)</f>
        <v>0</v>
      </c>
      <c r="D132" s="26">
        <f>IFERROR(__xludf.DUMMYFUNCTION("""COMPUTED_VALUE"""),0.0)</f>
        <v>0</v>
      </c>
      <c r="E132" s="26">
        <f>IFERROR(__xludf.DUMMYFUNCTION("""COMPUTED_VALUE"""),0.0)</f>
        <v>0</v>
      </c>
      <c r="F132" s="26">
        <f>IFERROR(__xludf.DUMMYFUNCTION("""COMPUTED_VALUE"""),0.0)</f>
        <v>0</v>
      </c>
      <c r="G132" s="26">
        <f>IFERROR(__xludf.DUMMYFUNCTION("""COMPUTED_VALUE"""),0.0)</f>
        <v>0</v>
      </c>
      <c r="H132" s="26">
        <f>IFERROR(__xludf.DUMMYFUNCTION("""COMPUTED_VALUE"""),0.0)</f>
        <v>0</v>
      </c>
      <c r="I132" s="26">
        <f>IFERROR(__xludf.DUMMYFUNCTION("""COMPUTED_VALUE"""),0.0)</f>
        <v>0</v>
      </c>
      <c r="J132" s="26">
        <f>IFERROR(__xludf.DUMMYFUNCTION("""COMPUTED_VALUE"""),0.0)</f>
        <v>0</v>
      </c>
      <c r="K132" s="26">
        <f>IFERROR(__xludf.DUMMYFUNCTION("""COMPUTED_VALUE"""),0.0)</f>
        <v>0</v>
      </c>
      <c r="L132" s="26">
        <f>IFERROR(__xludf.DUMMYFUNCTION("""COMPUTED_VALUE"""),0.0)</f>
        <v>0</v>
      </c>
      <c r="M132" s="26"/>
      <c r="N132" s="26"/>
      <c r="O132" s="26"/>
      <c r="P132" s="26"/>
      <c r="Q132" s="26"/>
      <c r="R132" s="26">
        <f>IFERROR(__xludf.DUMMYFUNCTION("""COMPUTED_VALUE"""),0.0)</f>
        <v>0</v>
      </c>
      <c r="S132" s="26">
        <f>IFERROR(__xludf.DUMMYFUNCTION("""COMPUTED_VALUE"""),0.0)</f>
        <v>0</v>
      </c>
      <c r="T132" s="26">
        <f>IFERROR(__xludf.DUMMYFUNCTION("""COMPUTED_VALUE"""),0.0)</f>
        <v>0</v>
      </c>
      <c r="U132" s="26">
        <f>IFERROR(__xludf.DUMMYFUNCTION("""COMPUTED_VALUE"""),0.0)</f>
        <v>0</v>
      </c>
      <c r="V132" s="26">
        <f>IFERROR(__xludf.DUMMYFUNCTION("""COMPUTED_VALUE"""),0.0)</f>
        <v>0</v>
      </c>
      <c r="W132" s="26">
        <f>IFERROR(__xludf.DUMMYFUNCTION("""COMPUTED_VALUE"""),0.0)</f>
        <v>0</v>
      </c>
      <c r="X132" s="26">
        <f>IFERROR(__xludf.DUMMYFUNCTION("""COMPUTED_VALUE"""),0.0)</f>
        <v>0</v>
      </c>
      <c r="Y132" s="26">
        <f>IFERROR(__xludf.DUMMYFUNCTION("""COMPUTED_VALUE"""),0.0)</f>
        <v>0</v>
      </c>
      <c r="Z132" s="26">
        <f>IFERROR(__xludf.DUMMYFUNCTION("""COMPUTED_VALUE"""),0.0)</f>
        <v>0</v>
      </c>
      <c r="AA132" s="26">
        <f>IFERROR(__xludf.DUMMYFUNCTION("""COMPUTED_VALUE"""),0.0)</f>
        <v>0</v>
      </c>
      <c r="AB132" s="26">
        <f>IFERROR(__xludf.DUMMYFUNCTION("""COMPUTED_VALUE"""),0.0)</f>
        <v>0</v>
      </c>
      <c r="AC132" s="26">
        <f>IFERROR(__xludf.DUMMYFUNCTION("""COMPUTED_VALUE"""),0.0)</f>
        <v>0</v>
      </c>
      <c r="AD132" s="26">
        <f>IFERROR(__xludf.DUMMYFUNCTION("""COMPUTED_VALUE"""),0.0)</f>
        <v>0</v>
      </c>
      <c r="AE132" s="26">
        <f>IFERROR(__xludf.DUMMYFUNCTION("""COMPUTED_VALUE"""),0.0)</f>
        <v>0</v>
      </c>
    </row>
    <row r="133">
      <c r="A133" s="26">
        <f>IFERROR(__xludf.DUMMYFUNCTION("""COMPUTED_VALUE"""),0.0)</f>
        <v>0</v>
      </c>
      <c r="B133" s="26">
        <f>IFERROR(__xludf.DUMMYFUNCTION("""COMPUTED_VALUE"""),0.0)</f>
        <v>0</v>
      </c>
      <c r="C133" s="26">
        <f>IFERROR(__xludf.DUMMYFUNCTION("""COMPUTED_VALUE"""),59.0)</f>
        <v>59</v>
      </c>
      <c r="D133" s="26">
        <f>IFERROR(__xludf.DUMMYFUNCTION("""COMPUTED_VALUE"""),0.0)</f>
        <v>0</v>
      </c>
      <c r="E133" s="26">
        <f>IFERROR(__xludf.DUMMYFUNCTION("""COMPUTED_VALUE"""),0.0)</f>
        <v>0</v>
      </c>
      <c r="F133" s="26">
        <f>IFERROR(__xludf.DUMMYFUNCTION("""COMPUTED_VALUE"""),0.0)</f>
        <v>0</v>
      </c>
      <c r="G133" s="26">
        <f>IFERROR(__xludf.DUMMYFUNCTION("""COMPUTED_VALUE"""),0.0)</f>
        <v>0</v>
      </c>
      <c r="H133" s="26">
        <f>IFERROR(__xludf.DUMMYFUNCTION("""COMPUTED_VALUE"""),0.0)</f>
        <v>0</v>
      </c>
      <c r="I133" s="26">
        <f>IFERROR(__xludf.DUMMYFUNCTION("""COMPUTED_VALUE"""),0.0)</f>
        <v>0</v>
      </c>
      <c r="J133" s="26">
        <f>IFERROR(__xludf.DUMMYFUNCTION("""COMPUTED_VALUE"""),0.0)</f>
        <v>0</v>
      </c>
      <c r="K133" s="26">
        <f>IFERROR(__xludf.DUMMYFUNCTION("""COMPUTED_VALUE"""),0.0)</f>
        <v>0</v>
      </c>
      <c r="L133" s="26">
        <f>IFERROR(__xludf.DUMMYFUNCTION("""COMPUTED_VALUE"""),0.0)</f>
        <v>0</v>
      </c>
      <c r="M133" s="26"/>
      <c r="N133" s="26"/>
      <c r="O133" s="26"/>
      <c r="P133" s="26"/>
      <c r="Q133" s="26"/>
      <c r="R133" s="26">
        <f>IFERROR(__xludf.DUMMYFUNCTION("""COMPUTED_VALUE"""),59.0)</f>
        <v>59</v>
      </c>
      <c r="S133" s="26">
        <f>IFERROR(__xludf.DUMMYFUNCTION("""COMPUTED_VALUE"""),26078.0)</f>
        <v>26078</v>
      </c>
      <c r="T133" s="26">
        <f>IFERROR(__xludf.DUMMYFUNCTION("""COMPUTED_VALUE"""),12095.0)</f>
        <v>12095</v>
      </c>
      <c r="U133" s="26">
        <f>IFERROR(__xludf.DUMMYFUNCTION("""COMPUTED_VALUE"""),16072.780000000002)</f>
        <v>16072.78</v>
      </c>
      <c r="V133" s="26">
        <f>IFERROR(__xludf.DUMMYFUNCTION("""COMPUTED_VALUE"""),0.0)</f>
        <v>0</v>
      </c>
      <c r="W133" s="26">
        <f>IFERROR(__xludf.DUMMYFUNCTION("""COMPUTED_VALUE"""),0.0)</f>
        <v>0</v>
      </c>
      <c r="X133" s="26">
        <f>IFERROR(__xludf.DUMMYFUNCTION("""COMPUTED_VALUE"""),3977.780000000003)</f>
        <v>3977.78</v>
      </c>
      <c r="Y133" s="26">
        <f>IFERROR(__xludf.DUMMYFUNCTION("""COMPUTED_VALUE"""),3977.780000000003)</f>
        <v>3977.78</v>
      </c>
      <c r="Z133" s="26">
        <f>IFERROR(__xludf.DUMMYFUNCTION("""COMPUTED_VALUE"""),16573.099999999988)</f>
        <v>16573.1</v>
      </c>
      <c r="AA133" s="26">
        <f>IFERROR(__xludf.DUMMYFUNCTION("""COMPUTED_VALUE"""),16573.099999999988)</f>
        <v>16573.1</v>
      </c>
      <c r="AB133" s="26">
        <f>IFERROR(__xludf.DUMMYFUNCTION("""COMPUTED_VALUE"""),10005.219999999998)</f>
        <v>10005.22</v>
      </c>
      <c r="AC133" s="26">
        <f>IFERROR(__xludf.DUMMYFUNCTION("""COMPUTED_VALUE"""),9504.90000000001)</f>
        <v>9504.9</v>
      </c>
      <c r="AD133" s="26">
        <f>IFERROR(__xludf.DUMMYFUNCTION("""COMPUTED_VALUE"""),500.3200000000004)</f>
        <v>500.32</v>
      </c>
      <c r="AE133" s="26">
        <f>IFERROR(__xludf.DUMMYFUNCTION("""COMPUTED_VALUE"""),0.0)</f>
        <v>0</v>
      </c>
    </row>
    <row r="134">
      <c r="A134" s="26">
        <f>IFERROR(__xludf.DUMMYFUNCTION("""COMPUTED_VALUE"""),0.0)</f>
        <v>0</v>
      </c>
      <c r="B134" s="26">
        <f>IFERROR(__xludf.DUMMYFUNCTION("""COMPUTED_VALUE"""),0.0)</f>
        <v>0</v>
      </c>
      <c r="C134" s="26">
        <f>IFERROR(__xludf.DUMMYFUNCTION("""COMPUTED_VALUE"""),0.0)</f>
        <v>0</v>
      </c>
      <c r="D134" s="26">
        <f>IFERROR(__xludf.DUMMYFUNCTION("""COMPUTED_VALUE"""),0.0)</f>
        <v>0</v>
      </c>
      <c r="E134" s="26">
        <f>IFERROR(__xludf.DUMMYFUNCTION("""COMPUTED_VALUE"""),0.0)</f>
        <v>0</v>
      </c>
      <c r="F134" s="26">
        <f>IFERROR(__xludf.DUMMYFUNCTION("""COMPUTED_VALUE"""),0.0)</f>
        <v>0</v>
      </c>
      <c r="G134" s="26">
        <f>IFERROR(__xludf.DUMMYFUNCTION("""COMPUTED_VALUE"""),0.0)</f>
        <v>0</v>
      </c>
      <c r="H134" s="26">
        <f>IFERROR(__xludf.DUMMYFUNCTION("""COMPUTED_VALUE"""),0.0)</f>
        <v>0</v>
      </c>
      <c r="I134" s="26">
        <f>IFERROR(__xludf.DUMMYFUNCTION("""COMPUTED_VALUE"""),0.0)</f>
        <v>0</v>
      </c>
      <c r="J134" s="26">
        <f>IFERROR(__xludf.DUMMYFUNCTION("""COMPUTED_VALUE"""),0.0)</f>
        <v>0</v>
      </c>
      <c r="K134" s="26">
        <f>IFERROR(__xludf.DUMMYFUNCTION("""COMPUTED_VALUE"""),0.0)</f>
        <v>0</v>
      </c>
      <c r="L134" s="26">
        <f>IFERROR(__xludf.DUMMYFUNCTION("""COMPUTED_VALUE"""),0.0)</f>
        <v>0</v>
      </c>
      <c r="M134" s="26"/>
      <c r="N134" s="26"/>
      <c r="O134" s="26"/>
      <c r="P134" s="26"/>
      <c r="Q134" s="26"/>
      <c r="R134" s="26">
        <f>IFERROR(__xludf.DUMMYFUNCTION("""COMPUTED_VALUE"""),0.0)</f>
        <v>0</v>
      </c>
      <c r="S134" s="26">
        <f>IFERROR(__xludf.DUMMYFUNCTION("""COMPUTED_VALUE"""),0.0)</f>
        <v>0</v>
      </c>
      <c r="T134" s="26">
        <f>IFERROR(__xludf.DUMMYFUNCTION("""COMPUTED_VALUE"""),0.0)</f>
        <v>0</v>
      </c>
      <c r="U134" s="26">
        <f>IFERROR(__xludf.DUMMYFUNCTION("""COMPUTED_VALUE"""),0.0)</f>
        <v>0</v>
      </c>
      <c r="V134" s="26">
        <f>IFERROR(__xludf.DUMMYFUNCTION("""COMPUTED_VALUE"""),0.0)</f>
        <v>0</v>
      </c>
      <c r="W134" s="26">
        <f>IFERROR(__xludf.DUMMYFUNCTION("""COMPUTED_VALUE"""),0.0)</f>
        <v>0</v>
      </c>
      <c r="X134" s="26">
        <f>IFERROR(__xludf.DUMMYFUNCTION("""COMPUTED_VALUE"""),0.0)</f>
        <v>0</v>
      </c>
      <c r="Y134" s="26">
        <f>IFERROR(__xludf.DUMMYFUNCTION("""COMPUTED_VALUE"""),0.0)</f>
        <v>0</v>
      </c>
      <c r="Z134" s="26">
        <f>IFERROR(__xludf.DUMMYFUNCTION("""COMPUTED_VALUE"""),0.0)</f>
        <v>0</v>
      </c>
      <c r="AA134" s="26">
        <f>IFERROR(__xludf.DUMMYFUNCTION("""COMPUTED_VALUE"""),0.0)</f>
        <v>0</v>
      </c>
      <c r="AB134" s="26">
        <f>IFERROR(__xludf.DUMMYFUNCTION("""COMPUTED_VALUE"""),0.0)</f>
        <v>0</v>
      </c>
      <c r="AC134" s="26">
        <f>IFERROR(__xludf.DUMMYFUNCTION("""COMPUTED_VALUE"""),0.0)</f>
        <v>0</v>
      </c>
      <c r="AD134" s="26">
        <f>IFERROR(__xludf.DUMMYFUNCTION("""COMPUTED_VALUE"""),0.0)</f>
        <v>0</v>
      </c>
      <c r="AE134" s="26">
        <f>IFERROR(__xludf.DUMMYFUNCTION("""COMPUTED_VALUE"""),0.0)</f>
        <v>0</v>
      </c>
    </row>
    <row r="135">
      <c r="A135" s="26">
        <f>IFERROR(__xludf.DUMMYFUNCTION("""COMPUTED_VALUE"""),4.0)</f>
        <v>4</v>
      </c>
      <c r="B135" s="26">
        <f>IFERROR(__xludf.DUMMYFUNCTION("""COMPUTED_VALUE"""),0.0)</f>
        <v>0</v>
      </c>
      <c r="C135" s="26">
        <f>IFERROR(__xludf.DUMMYFUNCTION("""COMPUTED_VALUE"""),0.0)</f>
        <v>0</v>
      </c>
      <c r="D135" s="26">
        <f>IFERROR(__xludf.DUMMYFUNCTION("""COMPUTED_VALUE"""),0.0)</f>
        <v>0</v>
      </c>
      <c r="E135" s="26">
        <f>IFERROR(__xludf.DUMMYFUNCTION("""COMPUTED_VALUE"""),94.0)</f>
        <v>94</v>
      </c>
      <c r="F135" s="26">
        <f>IFERROR(__xludf.DUMMYFUNCTION("""COMPUTED_VALUE"""),0.0)</f>
        <v>0</v>
      </c>
      <c r="G135" s="26">
        <f>IFERROR(__xludf.DUMMYFUNCTION("""COMPUTED_VALUE"""),0.0)</f>
        <v>0</v>
      </c>
      <c r="H135" s="26">
        <f>IFERROR(__xludf.DUMMYFUNCTION("""COMPUTED_VALUE"""),0.0)</f>
        <v>0</v>
      </c>
      <c r="I135" s="26">
        <f>IFERROR(__xludf.DUMMYFUNCTION("""COMPUTED_VALUE"""),0.0)</f>
        <v>0</v>
      </c>
      <c r="J135" s="26">
        <f>IFERROR(__xludf.DUMMYFUNCTION("""COMPUTED_VALUE"""),0.0)</f>
        <v>0</v>
      </c>
      <c r="K135" s="26">
        <f>IFERROR(__xludf.DUMMYFUNCTION("""COMPUTED_VALUE"""),0.0)</f>
        <v>0</v>
      </c>
      <c r="L135" s="26">
        <f>IFERROR(__xludf.DUMMYFUNCTION("""COMPUTED_VALUE"""),0.0)</f>
        <v>0</v>
      </c>
      <c r="M135" s="26"/>
      <c r="N135" s="26"/>
      <c r="O135" s="26"/>
      <c r="P135" s="26"/>
      <c r="Q135" s="26"/>
      <c r="R135" s="26">
        <f>IFERROR(__xludf.DUMMYFUNCTION("""COMPUTED_VALUE"""),98.0)</f>
        <v>98</v>
      </c>
      <c r="S135" s="26">
        <f>IFERROR(__xludf.DUMMYFUNCTION("""COMPUTED_VALUE"""),17924.19999999999)</f>
        <v>17924.2</v>
      </c>
      <c r="T135" s="26">
        <f>IFERROR(__xludf.DUMMYFUNCTION("""COMPUTED_VALUE"""),15190.0)</f>
        <v>15190</v>
      </c>
      <c r="U135" s="26">
        <f>IFERROR(__xludf.DUMMYFUNCTION("""COMPUTED_VALUE"""),17924.200000000004)</f>
        <v>17924.2</v>
      </c>
      <c r="V135" s="26">
        <f>IFERROR(__xludf.DUMMYFUNCTION("""COMPUTED_VALUE"""),0.0)</f>
        <v>0</v>
      </c>
      <c r="W135" s="26">
        <f>IFERROR(__xludf.DUMMYFUNCTION("""COMPUTED_VALUE"""),0.0)</f>
        <v>0</v>
      </c>
      <c r="X135" s="26">
        <f>IFERROR(__xludf.DUMMYFUNCTION("""COMPUTED_VALUE"""),2734.200000000005)</f>
        <v>2734.2</v>
      </c>
      <c r="Y135" s="26">
        <f>IFERROR(__xludf.DUMMYFUNCTION("""COMPUTED_VALUE"""),2734.200000000005)</f>
        <v>2734.2</v>
      </c>
      <c r="Z135" s="26">
        <f>IFERROR(__xludf.DUMMYFUNCTION("""COMPUTED_VALUE"""),0.0)</f>
        <v>0</v>
      </c>
      <c r="AA135" s="26">
        <f>IFERROR(__xludf.DUMMYFUNCTION("""COMPUTED_VALUE"""),0.0)</f>
        <v>0</v>
      </c>
      <c r="AB135" s="26">
        <f>IFERROR(__xludf.DUMMYFUNCTION("""COMPUTED_VALUE"""),0.0)</f>
        <v>0</v>
      </c>
      <c r="AC135" s="26">
        <f>IFERROR(__xludf.DUMMYFUNCTION("""COMPUTED_VALUE"""),0.0)</f>
        <v>0</v>
      </c>
      <c r="AD135" s="26">
        <f>IFERROR(__xludf.DUMMYFUNCTION("""COMPUTED_VALUE"""),0.0)</f>
        <v>0</v>
      </c>
      <c r="AE135" s="26">
        <f>IFERROR(__xludf.DUMMYFUNCTION("""COMPUTED_VALUE"""),0.0)</f>
        <v>0</v>
      </c>
    </row>
    <row r="136">
      <c r="A136" s="26">
        <f>IFERROR(__xludf.DUMMYFUNCTION("""COMPUTED_VALUE"""),0.0)</f>
        <v>0</v>
      </c>
      <c r="B136" s="26">
        <f>IFERROR(__xludf.DUMMYFUNCTION("""COMPUTED_VALUE"""),0.0)</f>
        <v>0</v>
      </c>
      <c r="C136" s="26">
        <f>IFERROR(__xludf.DUMMYFUNCTION("""COMPUTED_VALUE"""),0.0)</f>
        <v>0</v>
      </c>
      <c r="D136" s="26">
        <f>IFERROR(__xludf.DUMMYFUNCTION("""COMPUTED_VALUE"""),0.0)</f>
        <v>0</v>
      </c>
      <c r="E136" s="26">
        <f>IFERROR(__xludf.DUMMYFUNCTION("""COMPUTED_VALUE"""),0.0)</f>
        <v>0</v>
      </c>
      <c r="F136" s="26">
        <f>IFERROR(__xludf.DUMMYFUNCTION("""COMPUTED_VALUE"""),0.0)</f>
        <v>0</v>
      </c>
      <c r="G136" s="26">
        <f>IFERROR(__xludf.DUMMYFUNCTION("""COMPUTED_VALUE"""),0.0)</f>
        <v>0</v>
      </c>
      <c r="H136" s="26">
        <f>IFERROR(__xludf.DUMMYFUNCTION("""COMPUTED_VALUE"""),0.0)</f>
        <v>0</v>
      </c>
      <c r="I136" s="26">
        <f>IFERROR(__xludf.DUMMYFUNCTION("""COMPUTED_VALUE"""),0.0)</f>
        <v>0</v>
      </c>
      <c r="J136" s="26">
        <f>IFERROR(__xludf.DUMMYFUNCTION("""COMPUTED_VALUE"""),0.0)</f>
        <v>0</v>
      </c>
      <c r="K136" s="26">
        <f>IFERROR(__xludf.DUMMYFUNCTION("""COMPUTED_VALUE"""),0.0)</f>
        <v>0</v>
      </c>
      <c r="L136" s="26">
        <f>IFERROR(__xludf.DUMMYFUNCTION("""COMPUTED_VALUE"""),0.0)</f>
        <v>0</v>
      </c>
      <c r="M136" s="26"/>
      <c r="N136" s="26"/>
      <c r="O136" s="26"/>
      <c r="P136" s="26"/>
      <c r="Q136" s="26"/>
      <c r="R136" s="26">
        <f>IFERROR(__xludf.DUMMYFUNCTION("""COMPUTED_VALUE"""),0.0)</f>
        <v>0</v>
      </c>
      <c r="S136" s="26">
        <f>IFERROR(__xludf.DUMMYFUNCTION("""COMPUTED_VALUE"""),0.0)</f>
        <v>0</v>
      </c>
      <c r="T136" s="26">
        <f>IFERROR(__xludf.DUMMYFUNCTION("""COMPUTED_VALUE"""),0.0)</f>
        <v>0</v>
      </c>
      <c r="U136" s="26">
        <f>IFERROR(__xludf.DUMMYFUNCTION("""COMPUTED_VALUE"""),0.0)</f>
        <v>0</v>
      </c>
      <c r="V136" s="26">
        <f>IFERROR(__xludf.DUMMYFUNCTION("""COMPUTED_VALUE"""),0.0)</f>
        <v>0</v>
      </c>
      <c r="W136" s="26">
        <f>IFERROR(__xludf.DUMMYFUNCTION("""COMPUTED_VALUE"""),0.0)</f>
        <v>0</v>
      </c>
      <c r="X136" s="26">
        <f>IFERROR(__xludf.DUMMYFUNCTION("""COMPUTED_VALUE"""),0.0)</f>
        <v>0</v>
      </c>
      <c r="Y136" s="26">
        <f>IFERROR(__xludf.DUMMYFUNCTION("""COMPUTED_VALUE"""),0.0)</f>
        <v>0</v>
      </c>
      <c r="Z136" s="26">
        <f>IFERROR(__xludf.DUMMYFUNCTION("""COMPUTED_VALUE"""),0.0)</f>
        <v>0</v>
      </c>
      <c r="AA136" s="26">
        <f>IFERROR(__xludf.DUMMYFUNCTION("""COMPUTED_VALUE"""),0.0)</f>
        <v>0</v>
      </c>
      <c r="AB136" s="26">
        <f>IFERROR(__xludf.DUMMYFUNCTION("""COMPUTED_VALUE"""),0.0)</f>
        <v>0</v>
      </c>
      <c r="AC136" s="26">
        <f>IFERROR(__xludf.DUMMYFUNCTION("""COMPUTED_VALUE"""),0.0)</f>
        <v>0</v>
      </c>
      <c r="AD136" s="26">
        <f>IFERROR(__xludf.DUMMYFUNCTION("""COMPUTED_VALUE"""),0.0)</f>
        <v>0</v>
      </c>
      <c r="AE136" s="26">
        <f>IFERROR(__xludf.DUMMYFUNCTION("""COMPUTED_VALUE"""),0.0)</f>
        <v>0</v>
      </c>
    </row>
    <row r="137">
      <c r="A137" s="26">
        <f>IFERROR(__xludf.DUMMYFUNCTION("""COMPUTED_VALUE"""),0.0)</f>
        <v>0</v>
      </c>
      <c r="B137" s="26">
        <f>IFERROR(__xludf.DUMMYFUNCTION("""COMPUTED_VALUE"""),0.0)</f>
        <v>0</v>
      </c>
      <c r="C137" s="26">
        <f>IFERROR(__xludf.DUMMYFUNCTION("""COMPUTED_VALUE"""),0.0)</f>
        <v>0</v>
      </c>
      <c r="D137" s="26">
        <f>IFERROR(__xludf.DUMMYFUNCTION("""COMPUTED_VALUE"""),0.0)</f>
        <v>0</v>
      </c>
      <c r="E137" s="26">
        <f>IFERROR(__xludf.DUMMYFUNCTION("""COMPUTED_VALUE"""),23.0)</f>
        <v>23</v>
      </c>
      <c r="F137" s="26">
        <f>IFERROR(__xludf.DUMMYFUNCTION("""COMPUTED_VALUE"""),0.0)</f>
        <v>0</v>
      </c>
      <c r="G137" s="26">
        <f>IFERROR(__xludf.DUMMYFUNCTION("""COMPUTED_VALUE"""),0.0)</f>
        <v>0</v>
      </c>
      <c r="H137" s="26">
        <f>IFERROR(__xludf.DUMMYFUNCTION("""COMPUTED_VALUE"""),0.0)</f>
        <v>0</v>
      </c>
      <c r="I137" s="26">
        <f>IFERROR(__xludf.DUMMYFUNCTION("""COMPUTED_VALUE"""),0.0)</f>
        <v>0</v>
      </c>
      <c r="J137" s="26">
        <f>IFERROR(__xludf.DUMMYFUNCTION("""COMPUTED_VALUE"""),0.0)</f>
        <v>0</v>
      </c>
      <c r="K137" s="26">
        <f>IFERROR(__xludf.DUMMYFUNCTION("""COMPUTED_VALUE"""),0.0)</f>
        <v>0</v>
      </c>
      <c r="L137" s="26">
        <f>IFERROR(__xludf.DUMMYFUNCTION("""COMPUTED_VALUE"""),0.0)</f>
        <v>0</v>
      </c>
      <c r="M137" s="26"/>
      <c r="N137" s="26"/>
      <c r="O137" s="26"/>
      <c r="P137" s="26"/>
      <c r="Q137" s="26"/>
      <c r="R137" s="26">
        <f>IFERROR(__xludf.DUMMYFUNCTION("""COMPUTED_VALUE"""),23.0)</f>
        <v>23</v>
      </c>
      <c r="S137" s="26">
        <f>IFERROR(__xludf.DUMMYFUNCTION("""COMPUTED_VALUE"""),4206.700000000002)</f>
        <v>4206.7</v>
      </c>
      <c r="T137" s="26">
        <f>IFERROR(__xludf.DUMMYFUNCTION("""COMPUTED_VALUE"""),3565.0)</f>
        <v>3565</v>
      </c>
      <c r="U137" s="26">
        <f>IFERROR(__xludf.DUMMYFUNCTION("""COMPUTED_VALUE"""),4206.7)</f>
        <v>4206.7</v>
      </c>
      <c r="V137" s="26">
        <f>IFERROR(__xludf.DUMMYFUNCTION("""COMPUTED_VALUE"""),0.0)</f>
        <v>0</v>
      </c>
      <c r="W137" s="26">
        <f>IFERROR(__xludf.DUMMYFUNCTION("""COMPUTED_VALUE"""),0.0)</f>
        <v>0</v>
      </c>
      <c r="X137" s="26">
        <f>IFERROR(__xludf.DUMMYFUNCTION("""COMPUTED_VALUE"""),641.6999999999997)</f>
        <v>641.7</v>
      </c>
      <c r="Y137" s="26">
        <f>IFERROR(__xludf.DUMMYFUNCTION("""COMPUTED_VALUE"""),641.6999999999997)</f>
        <v>641.7</v>
      </c>
      <c r="Z137" s="26">
        <f>IFERROR(__xludf.DUMMYFUNCTION("""COMPUTED_VALUE"""),0.0)</f>
        <v>0</v>
      </c>
      <c r="AA137" s="26">
        <f>IFERROR(__xludf.DUMMYFUNCTION("""COMPUTED_VALUE"""),0.0)</f>
        <v>0</v>
      </c>
      <c r="AB137" s="26">
        <f>IFERROR(__xludf.DUMMYFUNCTION("""COMPUTED_VALUE"""),0.0)</f>
        <v>0</v>
      </c>
      <c r="AC137" s="26">
        <f>IFERROR(__xludf.DUMMYFUNCTION("""COMPUTED_VALUE"""),0.0)</f>
        <v>0</v>
      </c>
      <c r="AD137" s="26">
        <f>IFERROR(__xludf.DUMMYFUNCTION("""COMPUTED_VALUE"""),0.0)</f>
        <v>0</v>
      </c>
      <c r="AE137" s="26">
        <f>IFERROR(__xludf.DUMMYFUNCTION("""COMPUTED_VALUE"""),0.0)</f>
        <v>0</v>
      </c>
    </row>
    <row r="138">
      <c r="A138" s="26">
        <f>IFERROR(__xludf.DUMMYFUNCTION("""COMPUTED_VALUE"""),0.0)</f>
        <v>0</v>
      </c>
      <c r="B138" s="26">
        <f>IFERROR(__xludf.DUMMYFUNCTION("""COMPUTED_VALUE"""),0.0)</f>
        <v>0</v>
      </c>
      <c r="C138" s="26">
        <f>IFERROR(__xludf.DUMMYFUNCTION("""COMPUTED_VALUE"""),0.0)</f>
        <v>0</v>
      </c>
      <c r="D138" s="26">
        <f>IFERROR(__xludf.DUMMYFUNCTION("""COMPUTED_VALUE"""),0.0)</f>
        <v>0</v>
      </c>
      <c r="E138" s="26">
        <f>IFERROR(__xludf.DUMMYFUNCTION("""COMPUTED_VALUE"""),0.0)</f>
        <v>0</v>
      </c>
      <c r="F138" s="26">
        <f>IFERROR(__xludf.DUMMYFUNCTION("""COMPUTED_VALUE"""),0.0)</f>
        <v>0</v>
      </c>
      <c r="G138" s="26">
        <f>IFERROR(__xludf.DUMMYFUNCTION("""COMPUTED_VALUE"""),0.0)</f>
        <v>0</v>
      </c>
      <c r="H138" s="26">
        <f>IFERROR(__xludf.DUMMYFUNCTION("""COMPUTED_VALUE"""),0.0)</f>
        <v>0</v>
      </c>
      <c r="I138" s="26">
        <f>IFERROR(__xludf.DUMMYFUNCTION("""COMPUTED_VALUE"""),0.0)</f>
        <v>0</v>
      </c>
      <c r="J138" s="26">
        <f>IFERROR(__xludf.DUMMYFUNCTION("""COMPUTED_VALUE"""),0.0)</f>
        <v>0</v>
      </c>
      <c r="K138" s="26">
        <f>IFERROR(__xludf.DUMMYFUNCTION("""COMPUTED_VALUE"""),0.0)</f>
        <v>0</v>
      </c>
      <c r="L138" s="26">
        <f>IFERROR(__xludf.DUMMYFUNCTION("""COMPUTED_VALUE"""),0.0)</f>
        <v>0</v>
      </c>
      <c r="M138" s="26"/>
      <c r="N138" s="26"/>
      <c r="O138" s="26"/>
      <c r="P138" s="26"/>
      <c r="Q138" s="26"/>
      <c r="R138" s="26">
        <f>IFERROR(__xludf.DUMMYFUNCTION("""COMPUTED_VALUE"""),0.0)</f>
        <v>0</v>
      </c>
      <c r="S138" s="26">
        <f>IFERROR(__xludf.DUMMYFUNCTION("""COMPUTED_VALUE"""),0.0)</f>
        <v>0</v>
      </c>
      <c r="T138" s="26">
        <f>IFERROR(__xludf.DUMMYFUNCTION("""COMPUTED_VALUE"""),0.0)</f>
        <v>0</v>
      </c>
      <c r="U138" s="26">
        <f>IFERROR(__xludf.DUMMYFUNCTION("""COMPUTED_VALUE"""),0.0)</f>
        <v>0</v>
      </c>
      <c r="V138" s="26">
        <f>IFERROR(__xludf.DUMMYFUNCTION("""COMPUTED_VALUE"""),0.0)</f>
        <v>0</v>
      </c>
      <c r="W138" s="26">
        <f>IFERROR(__xludf.DUMMYFUNCTION("""COMPUTED_VALUE"""),0.0)</f>
        <v>0</v>
      </c>
      <c r="X138" s="26">
        <f>IFERROR(__xludf.DUMMYFUNCTION("""COMPUTED_VALUE"""),0.0)</f>
        <v>0</v>
      </c>
      <c r="Y138" s="26">
        <f>IFERROR(__xludf.DUMMYFUNCTION("""COMPUTED_VALUE"""),0.0)</f>
        <v>0</v>
      </c>
      <c r="Z138" s="26">
        <f>IFERROR(__xludf.DUMMYFUNCTION("""COMPUTED_VALUE"""),0.0)</f>
        <v>0</v>
      </c>
      <c r="AA138" s="26">
        <f>IFERROR(__xludf.DUMMYFUNCTION("""COMPUTED_VALUE"""),0.0)</f>
        <v>0</v>
      </c>
      <c r="AB138" s="26">
        <f>IFERROR(__xludf.DUMMYFUNCTION("""COMPUTED_VALUE"""),0.0)</f>
        <v>0</v>
      </c>
      <c r="AC138" s="26">
        <f>IFERROR(__xludf.DUMMYFUNCTION("""COMPUTED_VALUE"""),0.0)</f>
        <v>0</v>
      </c>
      <c r="AD138" s="26">
        <f>IFERROR(__xludf.DUMMYFUNCTION("""COMPUTED_VALUE"""),0.0)</f>
        <v>0</v>
      </c>
      <c r="AE138" s="26">
        <f>IFERROR(__xludf.DUMMYFUNCTION("""COMPUTED_VALUE"""),0.0)</f>
        <v>0</v>
      </c>
    </row>
    <row r="139">
      <c r="A139" s="26">
        <f>IFERROR(__xludf.DUMMYFUNCTION("""COMPUTED_VALUE"""),3.0)</f>
        <v>3</v>
      </c>
      <c r="B139" s="26">
        <f>IFERROR(__xludf.DUMMYFUNCTION("""COMPUTED_VALUE"""),0.0)</f>
        <v>0</v>
      </c>
      <c r="C139" s="26">
        <f>IFERROR(__xludf.DUMMYFUNCTION("""COMPUTED_VALUE"""),0.0)</f>
        <v>0</v>
      </c>
      <c r="D139" s="26">
        <f>IFERROR(__xludf.DUMMYFUNCTION("""COMPUTED_VALUE"""),0.0)</f>
        <v>0</v>
      </c>
      <c r="E139" s="26">
        <f>IFERROR(__xludf.DUMMYFUNCTION("""COMPUTED_VALUE"""),118.0)</f>
        <v>118</v>
      </c>
      <c r="F139" s="26">
        <f>IFERROR(__xludf.DUMMYFUNCTION("""COMPUTED_VALUE"""),0.0)</f>
        <v>0</v>
      </c>
      <c r="G139" s="26">
        <f>IFERROR(__xludf.DUMMYFUNCTION("""COMPUTED_VALUE"""),0.0)</f>
        <v>0</v>
      </c>
      <c r="H139" s="26">
        <f>IFERROR(__xludf.DUMMYFUNCTION("""COMPUTED_VALUE"""),0.0)</f>
        <v>0</v>
      </c>
      <c r="I139" s="26">
        <f>IFERROR(__xludf.DUMMYFUNCTION("""COMPUTED_VALUE"""),0.0)</f>
        <v>0</v>
      </c>
      <c r="J139" s="26">
        <f>IFERROR(__xludf.DUMMYFUNCTION("""COMPUTED_VALUE"""),0.0)</f>
        <v>0</v>
      </c>
      <c r="K139" s="26">
        <f>IFERROR(__xludf.DUMMYFUNCTION("""COMPUTED_VALUE"""),0.0)</f>
        <v>0</v>
      </c>
      <c r="L139" s="26">
        <f>IFERROR(__xludf.DUMMYFUNCTION("""COMPUTED_VALUE"""),0.0)</f>
        <v>0</v>
      </c>
      <c r="M139" s="26"/>
      <c r="N139" s="26"/>
      <c r="O139" s="26"/>
      <c r="P139" s="26"/>
      <c r="Q139" s="26"/>
      <c r="R139" s="26">
        <f>IFERROR(__xludf.DUMMYFUNCTION("""COMPUTED_VALUE"""),121.0)</f>
        <v>121</v>
      </c>
      <c r="S139" s="26">
        <f>IFERROR(__xludf.DUMMYFUNCTION("""COMPUTED_VALUE"""),22130.900000000023)</f>
        <v>22130.9</v>
      </c>
      <c r="T139" s="26">
        <f>IFERROR(__xludf.DUMMYFUNCTION("""COMPUTED_VALUE"""),18755.0)</f>
        <v>18755</v>
      </c>
      <c r="U139" s="26">
        <f>IFERROR(__xludf.DUMMYFUNCTION("""COMPUTED_VALUE"""),22130.90000000001)</f>
        <v>22130.9</v>
      </c>
      <c r="V139" s="26">
        <f>IFERROR(__xludf.DUMMYFUNCTION("""COMPUTED_VALUE"""),0.0)</f>
        <v>0</v>
      </c>
      <c r="W139" s="26">
        <f>IFERROR(__xludf.DUMMYFUNCTION("""COMPUTED_VALUE"""),0.0)</f>
        <v>0</v>
      </c>
      <c r="X139" s="26">
        <f>IFERROR(__xludf.DUMMYFUNCTION("""COMPUTED_VALUE"""),3375.900000000007)</f>
        <v>3375.9</v>
      </c>
      <c r="Y139" s="26">
        <f>IFERROR(__xludf.DUMMYFUNCTION("""COMPUTED_VALUE"""),3375.900000000007)</f>
        <v>3375.9</v>
      </c>
      <c r="Z139" s="26">
        <f>IFERROR(__xludf.DUMMYFUNCTION("""COMPUTED_VALUE"""),0.0)</f>
        <v>0</v>
      </c>
      <c r="AA139" s="26">
        <f>IFERROR(__xludf.DUMMYFUNCTION("""COMPUTED_VALUE"""),0.0)</f>
        <v>0</v>
      </c>
      <c r="AB139" s="26">
        <f>IFERROR(__xludf.DUMMYFUNCTION("""COMPUTED_VALUE"""),0.0)</f>
        <v>0</v>
      </c>
      <c r="AC139" s="26">
        <f>IFERROR(__xludf.DUMMYFUNCTION("""COMPUTED_VALUE"""),0.0)</f>
        <v>0</v>
      </c>
      <c r="AD139" s="26">
        <f>IFERROR(__xludf.DUMMYFUNCTION("""COMPUTED_VALUE"""),0.0)</f>
        <v>0</v>
      </c>
      <c r="AE139" s="26">
        <f>IFERROR(__xludf.DUMMYFUNCTION("""COMPUTED_VALUE"""),0.0)</f>
        <v>0</v>
      </c>
    </row>
    <row r="140">
      <c r="A140" s="26">
        <f>IFERROR(__xludf.DUMMYFUNCTION("""COMPUTED_VALUE"""),0.0)</f>
        <v>0</v>
      </c>
      <c r="B140" s="26">
        <f>IFERROR(__xludf.DUMMYFUNCTION("""COMPUTED_VALUE"""),0.0)</f>
        <v>0</v>
      </c>
      <c r="C140" s="26">
        <f>IFERROR(__xludf.DUMMYFUNCTION("""COMPUTED_VALUE"""),0.0)</f>
        <v>0</v>
      </c>
      <c r="D140" s="26">
        <f>IFERROR(__xludf.DUMMYFUNCTION("""COMPUTED_VALUE"""),0.0)</f>
        <v>0</v>
      </c>
      <c r="E140" s="26">
        <f>IFERROR(__xludf.DUMMYFUNCTION("""COMPUTED_VALUE"""),42.0)</f>
        <v>42</v>
      </c>
      <c r="F140" s="26">
        <f>IFERROR(__xludf.DUMMYFUNCTION("""COMPUTED_VALUE"""),0.0)</f>
        <v>0</v>
      </c>
      <c r="G140" s="26">
        <f>IFERROR(__xludf.DUMMYFUNCTION("""COMPUTED_VALUE"""),0.0)</f>
        <v>0</v>
      </c>
      <c r="H140" s="26">
        <f>IFERROR(__xludf.DUMMYFUNCTION("""COMPUTED_VALUE"""),0.0)</f>
        <v>0</v>
      </c>
      <c r="I140" s="26">
        <f>IFERROR(__xludf.DUMMYFUNCTION("""COMPUTED_VALUE"""),0.0)</f>
        <v>0</v>
      </c>
      <c r="J140" s="26">
        <f>IFERROR(__xludf.DUMMYFUNCTION("""COMPUTED_VALUE"""),0.0)</f>
        <v>0</v>
      </c>
      <c r="K140" s="26">
        <f>IFERROR(__xludf.DUMMYFUNCTION("""COMPUTED_VALUE"""),0.0)</f>
        <v>0</v>
      </c>
      <c r="L140" s="26">
        <f>IFERROR(__xludf.DUMMYFUNCTION("""COMPUTED_VALUE"""),0.0)</f>
        <v>0</v>
      </c>
      <c r="M140" s="26"/>
      <c r="N140" s="26"/>
      <c r="O140" s="26"/>
      <c r="P140" s="26"/>
      <c r="Q140" s="26"/>
      <c r="R140" s="26">
        <f>IFERROR(__xludf.DUMMYFUNCTION("""COMPUTED_VALUE"""),42.0)</f>
        <v>42</v>
      </c>
      <c r="S140" s="26">
        <f>IFERROR(__xludf.DUMMYFUNCTION("""COMPUTED_VALUE"""),7681.799999999995)</f>
        <v>7681.8</v>
      </c>
      <c r="T140" s="26">
        <f>IFERROR(__xludf.DUMMYFUNCTION("""COMPUTED_VALUE"""),6510.0)</f>
        <v>6510</v>
      </c>
      <c r="U140" s="26">
        <f>IFERROR(__xludf.DUMMYFUNCTION("""COMPUTED_VALUE"""),7681.8)</f>
        <v>7681.8</v>
      </c>
      <c r="V140" s="26">
        <f>IFERROR(__xludf.DUMMYFUNCTION("""COMPUTED_VALUE"""),0.0)</f>
        <v>0</v>
      </c>
      <c r="W140" s="26">
        <f>IFERROR(__xludf.DUMMYFUNCTION("""COMPUTED_VALUE"""),0.0)</f>
        <v>0</v>
      </c>
      <c r="X140" s="26">
        <f>IFERROR(__xludf.DUMMYFUNCTION("""COMPUTED_VALUE"""),1171.8)</f>
        <v>1171.8</v>
      </c>
      <c r="Y140" s="26">
        <f>IFERROR(__xludf.DUMMYFUNCTION("""COMPUTED_VALUE"""),1171.8)</f>
        <v>1171.8</v>
      </c>
      <c r="Z140" s="26">
        <f>IFERROR(__xludf.DUMMYFUNCTION("""COMPUTED_VALUE"""),0.0)</f>
        <v>0</v>
      </c>
      <c r="AA140" s="26">
        <f>IFERROR(__xludf.DUMMYFUNCTION("""COMPUTED_VALUE"""),0.0)</f>
        <v>0</v>
      </c>
      <c r="AB140" s="26">
        <f>IFERROR(__xludf.DUMMYFUNCTION("""COMPUTED_VALUE"""),0.0)</f>
        <v>0</v>
      </c>
      <c r="AC140" s="26">
        <f>IFERROR(__xludf.DUMMYFUNCTION("""COMPUTED_VALUE"""),0.0)</f>
        <v>0</v>
      </c>
      <c r="AD140" s="26">
        <f>IFERROR(__xludf.DUMMYFUNCTION("""COMPUTED_VALUE"""),0.0)</f>
        <v>0</v>
      </c>
      <c r="AE140" s="26">
        <f>IFERROR(__xludf.DUMMYFUNCTION("""COMPUTED_VALUE"""),0.0)</f>
        <v>0</v>
      </c>
    </row>
    <row r="141">
      <c r="A141" s="26">
        <f>IFERROR(__xludf.DUMMYFUNCTION("""COMPUTED_VALUE"""),0.0)</f>
        <v>0</v>
      </c>
      <c r="B141" s="26">
        <f>IFERROR(__xludf.DUMMYFUNCTION("""COMPUTED_VALUE"""),0.0)</f>
        <v>0</v>
      </c>
      <c r="C141" s="26">
        <f>IFERROR(__xludf.DUMMYFUNCTION("""COMPUTED_VALUE"""),0.0)</f>
        <v>0</v>
      </c>
      <c r="D141" s="26">
        <f>IFERROR(__xludf.DUMMYFUNCTION("""COMPUTED_VALUE"""),0.0)</f>
        <v>0</v>
      </c>
      <c r="E141" s="26">
        <f>IFERROR(__xludf.DUMMYFUNCTION("""COMPUTED_VALUE"""),0.0)</f>
        <v>0</v>
      </c>
      <c r="F141" s="26">
        <f>IFERROR(__xludf.DUMMYFUNCTION("""COMPUTED_VALUE"""),0.0)</f>
        <v>0</v>
      </c>
      <c r="G141" s="26">
        <f>IFERROR(__xludf.DUMMYFUNCTION("""COMPUTED_VALUE"""),0.0)</f>
        <v>0</v>
      </c>
      <c r="H141" s="26">
        <f>IFERROR(__xludf.DUMMYFUNCTION("""COMPUTED_VALUE"""),0.0)</f>
        <v>0</v>
      </c>
      <c r="I141" s="26">
        <f>IFERROR(__xludf.DUMMYFUNCTION("""COMPUTED_VALUE"""),0.0)</f>
        <v>0</v>
      </c>
      <c r="J141" s="26">
        <f>IFERROR(__xludf.DUMMYFUNCTION("""COMPUTED_VALUE"""),0.0)</f>
        <v>0</v>
      </c>
      <c r="K141" s="26">
        <f>IFERROR(__xludf.DUMMYFUNCTION("""COMPUTED_VALUE"""),0.0)</f>
        <v>0</v>
      </c>
      <c r="L141" s="26">
        <f>IFERROR(__xludf.DUMMYFUNCTION("""COMPUTED_VALUE"""),0.0)</f>
        <v>0</v>
      </c>
      <c r="M141" s="26"/>
      <c r="N141" s="26"/>
      <c r="O141" s="26"/>
      <c r="P141" s="26"/>
      <c r="Q141" s="26"/>
      <c r="R141" s="26">
        <f>IFERROR(__xludf.DUMMYFUNCTION("""COMPUTED_VALUE"""),0.0)</f>
        <v>0</v>
      </c>
      <c r="S141" s="26">
        <f>IFERROR(__xludf.DUMMYFUNCTION("""COMPUTED_VALUE"""),0.0)</f>
        <v>0</v>
      </c>
      <c r="T141" s="26">
        <f>IFERROR(__xludf.DUMMYFUNCTION("""COMPUTED_VALUE"""),0.0)</f>
        <v>0</v>
      </c>
      <c r="U141" s="26">
        <f>IFERROR(__xludf.DUMMYFUNCTION("""COMPUTED_VALUE"""),0.0)</f>
        <v>0</v>
      </c>
      <c r="V141" s="26">
        <f>IFERROR(__xludf.DUMMYFUNCTION("""COMPUTED_VALUE"""),0.0)</f>
        <v>0</v>
      </c>
      <c r="W141" s="26">
        <f>IFERROR(__xludf.DUMMYFUNCTION("""COMPUTED_VALUE"""),0.0)</f>
        <v>0</v>
      </c>
      <c r="X141" s="26">
        <f>IFERROR(__xludf.DUMMYFUNCTION("""COMPUTED_VALUE"""),0.0)</f>
        <v>0</v>
      </c>
      <c r="Y141" s="26">
        <f>IFERROR(__xludf.DUMMYFUNCTION("""COMPUTED_VALUE"""),0.0)</f>
        <v>0</v>
      </c>
      <c r="Z141" s="26">
        <f>IFERROR(__xludf.DUMMYFUNCTION("""COMPUTED_VALUE"""),0.0)</f>
        <v>0</v>
      </c>
      <c r="AA141" s="26">
        <f>IFERROR(__xludf.DUMMYFUNCTION("""COMPUTED_VALUE"""),0.0)</f>
        <v>0</v>
      </c>
      <c r="AB141" s="26">
        <f>IFERROR(__xludf.DUMMYFUNCTION("""COMPUTED_VALUE"""),0.0)</f>
        <v>0</v>
      </c>
      <c r="AC141" s="26">
        <f>IFERROR(__xludf.DUMMYFUNCTION("""COMPUTED_VALUE"""),0.0)</f>
        <v>0</v>
      </c>
      <c r="AD141" s="26">
        <f>IFERROR(__xludf.DUMMYFUNCTION("""COMPUTED_VALUE"""),0.0)</f>
        <v>0</v>
      </c>
      <c r="AE141" s="26">
        <f>IFERROR(__xludf.DUMMYFUNCTION("""COMPUTED_VALUE"""),0.0)</f>
        <v>0</v>
      </c>
    </row>
    <row r="142">
      <c r="A142" s="26">
        <f>IFERROR(__xludf.DUMMYFUNCTION("""COMPUTED_VALUE"""),0.0)</f>
        <v>0</v>
      </c>
      <c r="B142" s="26">
        <f>IFERROR(__xludf.DUMMYFUNCTION("""COMPUTED_VALUE"""),0.0)</f>
        <v>0</v>
      </c>
      <c r="C142" s="26">
        <f>IFERROR(__xludf.DUMMYFUNCTION("""COMPUTED_VALUE"""),0.0)</f>
        <v>0</v>
      </c>
      <c r="D142" s="26">
        <f>IFERROR(__xludf.DUMMYFUNCTION("""COMPUTED_VALUE"""),0.0)</f>
        <v>0</v>
      </c>
      <c r="E142" s="26">
        <f>IFERROR(__xludf.DUMMYFUNCTION("""COMPUTED_VALUE"""),0.0)</f>
        <v>0</v>
      </c>
      <c r="F142" s="26">
        <f>IFERROR(__xludf.DUMMYFUNCTION("""COMPUTED_VALUE"""),0.0)</f>
        <v>0</v>
      </c>
      <c r="G142" s="26">
        <f>IFERROR(__xludf.DUMMYFUNCTION("""COMPUTED_VALUE"""),0.0)</f>
        <v>0</v>
      </c>
      <c r="H142" s="26">
        <f>IFERROR(__xludf.DUMMYFUNCTION("""COMPUTED_VALUE"""),0.0)</f>
        <v>0</v>
      </c>
      <c r="I142" s="26">
        <f>IFERROR(__xludf.DUMMYFUNCTION("""COMPUTED_VALUE"""),0.0)</f>
        <v>0</v>
      </c>
      <c r="J142" s="26">
        <f>IFERROR(__xludf.DUMMYFUNCTION("""COMPUTED_VALUE"""),0.0)</f>
        <v>0</v>
      </c>
      <c r="K142" s="26">
        <f>IFERROR(__xludf.DUMMYFUNCTION("""COMPUTED_VALUE"""),0.0)</f>
        <v>0</v>
      </c>
      <c r="L142" s="26">
        <f>IFERROR(__xludf.DUMMYFUNCTION("""COMPUTED_VALUE"""),0.0)</f>
        <v>0</v>
      </c>
      <c r="M142" s="26"/>
      <c r="N142" s="26"/>
      <c r="O142" s="26"/>
      <c r="P142" s="26"/>
      <c r="Q142" s="26"/>
      <c r="R142" s="26">
        <f>IFERROR(__xludf.DUMMYFUNCTION("""COMPUTED_VALUE"""),0.0)</f>
        <v>0</v>
      </c>
      <c r="S142" s="26">
        <f>IFERROR(__xludf.DUMMYFUNCTION("""COMPUTED_VALUE"""),0.0)</f>
        <v>0</v>
      </c>
      <c r="T142" s="26">
        <f>IFERROR(__xludf.DUMMYFUNCTION("""COMPUTED_VALUE"""),0.0)</f>
        <v>0</v>
      </c>
      <c r="U142" s="26">
        <f>IFERROR(__xludf.DUMMYFUNCTION("""COMPUTED_VALUE"""),0.0)</f>
        <v>0</v>
      </c>
      <c r="V142" s="26">
        <f>IFERROR(__xludf.DUMMYFUNCTION("""COMPUTED_VALUE"""),0.0)</f>
        <v>0</v>
      </c>
      <c r="W142" s="26">
        <f>IFERROR(__xludf.DUMMYFUNCTION("""COMPUTED_VALUE"""),0.0)</f>
        <v>0</v>
      </c>
      <c r="X142" s="26">
        <f>IFERROR(__xludf.DUMMYFUNCTION("""COMPUTED_VALUE"""),0.0)</f>
        <v>0</v>
      </c>
      <c r="Y142" s="26">
        <f>IFERROR(__xludf.DUMMYFUNCTION("""COMPUTED_VALUE"""),0.0)</f>
        <v>0</v>
      </c>
      <c r="Z142" s="26">
        <f>IFERROR(__xludf.DUMMYFUNCTION("""COMPUTED_VALUE"""),0.0)</f>
        <v>0</v>
      </c>
      <c r="AA142" s="26">
        <f>IFERROR(__xludf.DUMMYFUNCTION("""COMPUTED_VALUE"""),0.0)</f>
        <v>0</v>
      </c>
      <c r="AB142" s="26">
        <f>IFERROR(__xludf.DUMMYFUNCTION("""COMPUTED_VALUE"""),0.0)</f>
        <v>0</v>
      </c>
      <c r="AC142" s="26">
        <f>IFERROR(__xludf.DUMMYFUNCTION("""COMPUTED_VALUE"""),0.0)</f>
        <v>0</v>
      </c>
      <c r="AD142" s="26">
        <f>IFERROR(__xludf.DUMMYFUNCTION("""COMPUTED_VALUE"""),0.0)</f>
        <v>0</v>
      </c>
      <c r="AE142" s="26">
        <f>IFERROR(__xludf.DUMMYFUNCTION("""COMPUTED_VALUE"""),0.0)</f>
        <v>0</v>
      </c>
    </row>
    <row r="143">
      <c r="A143" s="26">
        <f>IFERROR(__xludf.DUMMYFUNCTION("""COMPUTED_VALUE"""),0.0)</f>
        <v>0</v>
      </c>
      <c r="B143" s="26">
        <f>IFERROR(__xludf.DUMMYFUNCTION("""COMPUTED_VALUE"""),0.0)</f>
        <v>0</v>
      </c>
      <c r="C143" s="26">
        <f>IFERROR(__xludf.DUMMYFUNCTION("""COMPUTED_VALUE"""),0.0)</f>
        <v>0</v>
      </c>
      <c r="D143" s="26">
        <f>IFERROR(__xludf.DUMMYFUNCTION("""COMPUTED_VALUE"""),0.0)</f>
        <v>0</v>
      </c>
      <c r="E143" s="26">
        <f>IFERROR(__xludf.DUMMYFUNCTION("""COMPUTED_VALUE"""),0.0)</f>
        <v>0</v>
      </c>
      <c r="F143" s="26">
        <f>IFERROR(__xludf.DUMMYFUNCTION("""COMPUTED_VALUE"""),0.0)</f>
        <v>0</v>
      </c>
      <c r="G143" s="26">
        <f>IFERROR(__xludf.DUMMYFUNCTION("""COMPUTED_VALUE"""),0.0)</f>
        <v>0</v>
      </c>
      <c r="H143" s="26">
        <f>IFERROR(__xludf.DUMMYFUNCTION("""COMPUTED_VALUE"""),0.0)</f>
        <v>0</v>
      </c>
      <c r="I143" s="26">
        <f>IFERROR(__xludf.DUMMYFUNCTION("""COMPUTED_VALUE"""),0.0)</f>
        <v>0</v>
      </c>
      <c r="J143" s="26">
        <f>IFERROR(__xludf.DUMMYFUNCTION("""COMPUTED_VALUE"""),0.0)</f>
        <v>0</v>
      </c>
      <c r="K143" s="26">
        <f>IFERROR(__xludf.DUMMYFUNCTION("""COMPUTED_VALUE"""),0.0)</f>
        <v>0</v>
      </c>
      <c r="L143" s="26">
        <f>IFERROR(__xludf.DUMMYFUNCTION("""COMPUTED_VALUE"""),0.0)</f>
        <v>0</v>
      </c>
      <c r="M143" s="26"/>
      <c r="N143" s="26"/>
      <c r="O143" s="26"/>
      <c r="P143" s="26"/>
      <c r="Q143" s="26"/>
      <c r="R143" s="26">
        <f>IFERROR(__xludf.DUMMYFUNCTION("""COMPUTED_VALUE"""),0.0)</f>
        <v>0</v>
      </c>
      <c r="S143" s="26">
        <f>IFERROR(__xludf.DUMMYFUNCTION("""COMPUTED_VALUE"""),0.0)</f>
        <v>0</v>
      </c>
      <c r="T143" s="26">
        <f>IFERROR(__xludf.DUMMYFUNCTION("""COMPUTED_VALUE"""),0.0)</f>
        <v>0</v>
      </c>
      <c r="U143" s="26">
        <f>IFERROR(__xludf.DUMMYFUNCTION("""COMPUTED_VALUE"""),0.0)</f>
        <v>0</v>
      </c>
      <c r="V143" s="26">
        <f>IFERROR(__xludf.DUMMYFUNCTION("""COMPUTED_VALUE"""),0.0)</f>
        <v>0</v>
      </c>
      <c r="W143" s="26">
        <f>IFERROR(__xludf.DUMMYFUNCTION("""COMPUTED_VALUE"""),0.0)</f>
        <v>0</v>
      </c>
      <c r="X143" s="26">
        <f>IFERROR(__xludf.DUMMYFUNCTION("""COMPUTED_VALUE"""),0.0)</f>
        <v>0</v>
      </c>
      <c r="Y143" s="26">
        <f>IFERROR(__xludf.DUMMYFUNCTION("""COMPUTED_VALUE"""),0.0)</f>
        <v>0</v>
      </c>
      <c r="Z143" s="26">
        <f>IFERROR(__xludf.DUMMYFUNCTION("""COMPUTED_VALUE"""),0.0)</f>
        <v>0</v>
      </c>
      <c r="AA143" s="26">
        <f>IFERROR(__xludf.DUMMYFUNCTION("""COMPUTED_VALUE"""),0.0)</f>
        <v>0</v>
      </c>
      <c r="AB143" s="26">
        <f>IFERROR(__xludf.DUMMYFUNCTION("""COMPUTED_VALUE"""),0.0)</f>
        <v>0</v>
      </c>
      <c r="AC143" s="26">
        <f>IFERROR(__xludf.DUMMYFUNCTION("""COMPUTED_VALUE"""),0.0)</f>
        <v>0</v>
      </c>
      <c r="AD143" s="26">
        <f>IFERROR(__xludf.DUMMYFUNCTION("""COMPUTED_VALUE"""),0.0)</f>
        <v>0</v>
      </c>
      <c r="AE143" s="26">
        <f>IFERROR(__xludf.DUMMYFUNCTION("""COMPUTED_VALUE"""),0.0)</f>
        <v>0</v>
      </c>
    </row>
    <row r="144">
      <c r="A144" s="26">
        <f>IFERROR(__xludf.DUMMYFUNCTION("""COMPUTED_VALUE"""),0.0)</f>
        <v>0</v>
      </c>
      <c r="B144" s="26">
        <f>IFERROR(__xludf.DUMMYFUNCTION("""COMPUTED_VALUE"""),0.0)</f>
        <v>0</v>
      </c>
      <c r="C144" s="26">
        <f>IFERROR(__xludf.DUMMYFUNCTION("""COMPUTED_VALUE"""),0.0)</f>
        <v>0</v>
      </c>
      <c r="D144" s="26">
        <f>IFERROR(__xludf.DUMMYFUNCTION("""COMPUTED_VALUE"""),0.0)</f>
        <v>0</v>
      </c>
      <c r="E144" s="26">
        <f>IFERROR(__xludf.DUMMYFUNCTION("""COMPUTED_VALUE"""),0.0)</f>
        <v>0</v>
      </c>
      <c r="F144" s="26">
        <f>IFERROR(__xludf.DUMMYFUNCTION("""COMPUTED_VALUE"""),0.0)</f>
        <v>0</v>
      </c>
      <c r="G144" s="26">
        <f>IFERROR(__xludf.DUMMYFUNCTION("""COMPUTED_VALUE"""),0.0)</f>
        <v>0</v>
      </c>
      <c r="H144" s="26">
        <f>IFERROR(__xludf.DUMMYFUNCTION("""COMPUTED_VALUE"""),0.0)</f>
        <v>0</v>
      </c>
      <c r="I144" s="26">
        <f>IFERROR(__xludf.DUMMYFUNCTION("""COMPUTED_VALUE"""),0.0)</f>
        <v>0</v>
      </c>
      <c r="J144" s="26">
        <f>IFERROR(__xludf.DUMMYFUNCTION("""COMPUTED_VALUE"""),0.0)</f>
        <v>0</v>
      </c>
      <c r="K144" s="26">
        <f>IFERROR(__xludf.DUMMYFUNCTION("""COMPUTED_VALUE"""),0.0)</f>
        <v>0</v>
      </c>
      <c r="L144" s="26">
        <f>IFERROR(__xludf.DUMMYFUNCTION("""COMPUTED_VALUE"""),0.0)</f>
        <v>0</v>
      </c>
      <c r="M144" s="26"/>
      <c r="N144" s="26"/>
      <c r="O144" s="26"/>
      <c r="P144" s="26"/>
      <c r="Q144" s="26"/>
      <c r="R144" s="26">
        <f>IFERROR(__xludf.DUMMYFUNCTION("""COMPUTED_VALUE"""),0.0)</f>
        <v>0</v>
      </c>
      <c r="S144" s="26">
        <f>IFERROR(__xludf.DUMMYFUNCTION("""COMPUTED_VALUE"""),0.0)</f>
        <v>0</v>
      </c>
      <c r="T144" s="26">
        <f>IFERROR(__xludf.DUMMYFUNCTION("""COMPUTED_VALUE"""),0.0)</f>
        <v>0</v>
      </c>
      <c r="U144" s="26">
        <f>IFERROR(__xludf.DUMMYFUNCTION("""COMPUTED_VALUE"""),0.0)</f>
        <v>0</v>
      </c>
      <c r="V144" s="26">
        <f>IFERROR(__xludf.DUMMYFUNCTION("""COMPUTED_VALUE"""),0.0)</f>
        <v>0</v>
      </c>
      <c r="W144" s="26">
        <f>IFERROR(__xludf.DUMMYFUNCTION("""COMPUTED_VALUE"""),0.0)</f>
        <v>0</v>
      </c>
      <c r="X144" s="26">
        <f>IFERROR(__xludf.DUMMYFUNCTION("""COMPUTED_VALUE"""),0.0)</f>
        <v>0</v>
      </c>
      <c r="Y144" s="26">
        <f>IFERROR(__xludf.DUMMYFUNCTION("""COMPUTED_VALUE"""),0.0)</f>
        <v>0</v>
      </c>
      <c r="Z144" s="26">
        <f>IFERROR(__xludf.DUMMYFUNCTION("""COMPUTED_VALUE"""),0.0)</f>
        <v>0</v>
      </c>
      <c r="AA144" s="26">
        <f>IFERROR(__xludf.DUMMYFUNCTION("""COMPUTED_VALUE"""),0.0)</f>
        <v>0</v>
      </c>
      <c r="AB144" s="26">
        <f>IFERROR(__xludf.DUMMYFUNCTION("""COMPUTED_VALUE"""),0.0)</f>
        <v>0</v>
      </c>
      <c r="AC144" s="26">
        <f>IFERROR(__xludf.DUMMYFUNCTION("""COMPUTED_VALUE"""),0.0)</f>
        <v>0</v>
      </c>
      <c r="AD144" s="26">
        <f>IFERROR(__xludf.DUMMYFUNCTION("""COMPUTED_VALUE"""),0.0)</f>
        <v>0</v>
      </c>
      <c r="AE144" s="26">
        <f>IFERROR(__xludf.DUMMYFUNCTION("""COMPUTED_VALUE"""),0.0)</f>
        <v>0</v>
      </c>
    </row>
    <row r="145">
      <c r="A145" s="26">
        <f>IFERROR(__xludf.DUMMYFUNCTION("""COMPUTED_VALUE"""),0.0)</f>
        <v>0</v>
      </c>
      <c r="B145" s="26">
        <f>IFERROR(__xludf.DUMMYFUNCTION("""COMPUTED_VALUE"""),0.0)</f>
        <v>0</v>
      </c>
      <c r="C145" s="26">
        <f>IFERROR(__xludf.DUMMYFUNCTION("""COMPUTED_VALUE"""),0.0)</f>
        <v>0</v>
      </c>
      <c r="D145" s="26">
        <f>IFERROR(__xludf.DUMMYFUNCTION("""COMPUTED_VALUE"""),0.0)</f>
        <v>0</v>
      </c>
      <c r="E145" s="26">
        <f>IFERROR(__xludf.DUMMYFUNCTION("""COMPUTED_VALUE"""),0.0)</f>
        <v>0</v>
      </c>
      <c r="F145" s="26">
        <f>IFERROR(__xludf.DUMMYFUNCTION("""COMPUTED_VALUE"""),0.0)</f>
        <v>0</v>
      </c>
      <c r="G145" s="26">
        <f>IFERROR(__xludf.DUMMYFUNCTION("""COMPUTED_VALUE"""),0.0)</f>
        <v>0</v>
      </c>
      <c r="H145" s="26">
        <f>IFERROR(__xludf.DUMMYFUNCTION("""COMPUTED_VALUE"""),0.0)</f>
        <v>0</v>
      </c>
      <c r="I145" s="26">
        <f>IFERROR(__xludf.DUMMYFUNCTION("""COMPUTED_VALUE"""),0.0)</f>
        <v>0</v>
      </c>
      <c r="J145" s="26">
        <f>IFERROR(__xludf.DUMMYFUNCTION("""COMPUTED_VALUE"""),0.0)</f>
        <v>0</v>
      </c>
      <c r="K145" s="26">
        <f>IFERROR(__xludf.DUMMYFUNCTION("""COMPUTED_VALUE"""),0.0)</f>
        <v>0</v>
      </c>
      <c r="L145" s="26">
        <f>IFERROR(__xludf.DUMMYFUNCTION("""COMPUTED_VALUE"""),0.0)</f>
        <v>0</v>
      </c>
      <c r="M145" s="26"/>
      <c r="N145" s="26"/>
      <c r="O145" s="26"/>
      <c r="P145" s="26"/>
      <c r="Q145" s="26"/>
      <c r="R145" s="26">
        <f>IFERROR(__xludf.DUMMYFUNCTION("""COMPUTED_VALUE"""),0.0)</f>
        <v>0</v>
      </c>
      <c r="S145" s="26">
        <f>IFERROR(__xludf.DUMMYFUNCTION("""COMPUTED_VALUE"""),0.0)</f>
        <v>0</v>
      </c>
      <c r="T145" s="26">
        <f>IFERROR(__xludf.DUMMYFUNCTION("""COMPUTED_VALUE"""),0.0)</f>
        <v>0</v>
      </c>
      <c r="U145" s="26">
        <f>IFERROR(__xludf.DUMMYFUNCTION("""COMPUTED_VALUE"""),0.0)</f>
        <v>0</v>
      </c>
      <c r="V145" s="26">
        <f>IFERROR(__xludf.DUMMYFUNCTION("""COMPUTED_VALUE"""),0.0)</f>
        <v>0</v>
      </c>
      <c r="W145" s="26">
        <f>IFERROR(__xludf.DUMMYFUNCTION("""COMPUTED_VALUE"""),0.0)</f>
        <v>0</v>
      </c>
      <c r="X145" s="26">
        <f>IFERROR(__xludf.DUMMYFUNCTION("""COMPUTED_VALUE"""),0.0)</f>
        <v>0</v>
      </c>
      <c r="Y145" s="26">
        <f>IFERROR(__xludf.DUMMYFUNCTION("""COMPUTED_VALUE"""),0.0)</f>
        <v>0</v>
      </c>
      <c r="Z145" s="26">
        <f>IFERROR(__xludf.DUMMYFUNCTION("""COMPUTED_VALUE"""),0.0)</f>
        <v>0</v>
      </c>
      <c r="AA145" s="26">
        <f>IFERROR(__xludf.DUMMYFUNCTION("""COMPUTED_VALUE"""),0.0)</f>
        <v>0</v>
      </c>
      <c r="AB145" s="26">
        <f>IFERROR(__xludf.DUMMYFUNCTION("""COMPUTED_VALUE"""),0.0)</f>
        <v>0</v>
      </c>
      <c r="AC145" s="26">
        <f>IFERROR(__xludf.DUMMYFUNCTION("""COMPUTED_VALUE"""),0.0)</f>
        <v>0</v>
      </c>
      <c r="AD145" s="26">
        <f>IFERROR(__xludf.DUMMYFUNCTION("""COMPUTED_VALUE"""),0.0)</f>
        <v>0</v>
      </c>
      <c r="AE145" s="26">
        <f>IFERROR(__xludf.DUMMYFUNCTION("""COMPUTED_VALUE"""),0.0)</f>
        <v>0</v>
      </c>
    </row>
    <row r="146">
      <c r="A146" s="26">
        <f>IFERROR(__xludf.DUMMYFUNCTION("""COMPUTED_VALUE"""),0.0)</f>
        <v>0</v>
      </c>
      <c r="B146" s="26">
        <f>IFERROR(__xludf.DUMMYFUNCTION("""COMPUTED_VALUE"""),0.0)</f>
        <v>0</v>
      </c>
      <c r="C146" s="26">
        <f>IFERROR(__xludf.DUMMYFUNCTION("""COMPUTED_VALUE"""),0.0)</f>
        <v>0</v>
      </c>
      <c r="D146" s="26">
        <f>IFERROR(__xludf.DUMMYFUNCTION("""COMPUTED_VALUE"""),0.0)</f>
        <v>0</v>
      </c>
      <c r="E146" s="26">
        <f>IFERROR(__xludf.DUMMYFUNCTION("""COMPUTED_VALUE"""),0.0)</f>
        <v>0</v>
      </c>
      <c r="F146" s="26">
        <f>IFERROR(__xludf.DUMMYFUNCTION("""COMPUTED_VALUE"""),0.0)</f>
        <v>0</v>
      </c>
      <c r="G146" s="26">
        <f>IFERROR(__xludf.DUMMYFUNCTION("""COMPUTED_VALUE"""),0.0)</f>
        <v>0</v>
      </c>
      <c r="H146" s="26">
        <f>IFERROR(__xludf.DUMMYFUNCTION("""COMPUTED_VALUE"""),0.0)</f>
        <v>0</v>
      </c>
      <c r="I146" s="26">
        <f>IFERROR(__xludf.DUMMYFUNCTION("""COMPUTED_VALUE"""),0.0)</f>
        <v>0</v>
      </c>
      <c r="J146" s="26">
        <f>IFERROR(__xludf.DUMMYFUNCTION("""COMPUTED_VALUE"""),0.0)</f>
        <v>0</v>
      </c>
      <c r="K146" s="26">
        <f>IFERROR(__xludf.DUMMYFUNCTION("""COMPUTED_VALUE"""),0.0)</f>
        <v>0</v>
      </c>
      <c r="L146" s="26">
        <f>IFERROR(__xludf.DUMMYFUNCTION("""COMPUTED_VALUE"""),0.0)</f>
        <v>0</v>
      </c>
      <c r="M146" s="26"/>
      <c r="N146" s="26"/>
      <c r="O146" s="26"/>
      <c r="P146" s="26"/>
      <c r="Q146" s="26"/>
      <c r="R146" s="26">
        <f>IFERROR(__xludf.DUMMYFUNCTION("""COMPUTED_VALUE"""),0.0)</f>
        <v>0</v>
      </c>
      <c r="S146" s="26">
        <f>IFERROR(__xludf.DUMMYFUNCTION("""COMPUTED_VALUE"""),0.0)</f>
        <v>0</v>
      </c>
      <c r="T146" s="26">
        <f>IFERROR(__xludf.DUMMYFUNCTION("""COMPUTED_VALUE"""),0.0)</f>
        <v>0</v>
      </c>
      <c r="U146" s="26">
        <f>IFERROR(__xludf.DUMMYFUNCTION("""COMPUTED_VALUE"""),0.0)</f>
        <v>0</v>
      </c>
      <c r="V146" s="26">
        <f>IFERROR(__xludf.DUMMYFUNCTION("""COMPUTED_VALUE"""),0.0)</f>
        <v>0</v>
      </c>
      <c r="W146" s="26">
        <f>IFERROR(__xludf.DUMMYFUNCTION("""COMPUTED_VALUE"""),0.0)</f>
        <v>0</v>
      </c>
      <c r="X146" s="26">
        <f>IFERROR(__xludf.DUMMYFUNCTION("""COMPUTED_VALUE"""),0.0)</f>
        <v>0</v>
      </c>
      <c r="Y146" s="26">
        <f>IFERROR(__xludf.DUMMYFUNCTION("""COMPUTED_VALUE"""),0.0)</f>
        <v>0</v>
      </c>
      <c r="Z146" s="26">
        <f>IFERROR(__xludf.DUMMYFUNCTION("""COMPUTED_VALUE"""),0.0)</f>
        <v>0</v>
      </c>
      <c r="AA146" s="26">
        <f>IFERROR(__xludf.DUMMYFUNCTION("""COMPUTED_VALUE"""),0.0)</f>
        <v>0</v>
      </c>
      <c r="AB146" s="26">
        <f>IFERROR(__xludf.DUMMYFUNCTION("""COMPUTED_VALUE"""),0.0)</f>
        <v>0</v>
      </c>
      <c r="AC146" s="26">
        <f>IFERROR(__xludf.DUMMYFUNCTION("""COMPUTED_VALUE"""),0.0)</f>
        <v>0</v>
      </c>
      <c r="AD146" s="26">
        <f>IFERROR(__xludf.DUMMYFUNCTION("""COMPUTED_VALUE"""),0.0)</f>
        <v>0</v>
      </c>
      <c r="AE146" s="26">
        <f>IFERROR(__xludf.DUMMYFUNCTION("""COMPUTED_VALUE"""),0.0)</f>
        <v>0</v>
      </c>
    </row>
    <row r="147">
      <c r="A147" s="26">
        <f>IFERROR(__xludf.DUMMYFUNCTION("""COMPUTED_VALUE"""),377.0)</f>
        <v>377</v>
      </c>
      <c r="B147" s="26">
        <f>IFERROR(__xludf.DUMMYFUNCTION("""COMPUTED_VALUE"""),0.0)</f>
        <v>0</v>
      </c>
      <c r="C147" s="26">
        <f>IFERROR(__xludf.DUMMYFUNCTION("""COMPUTED_VALUE"""),0.0)</f>
        <v>0</v>
      </c>
      <c r="D147" s="26">
        <f>IFERROR(__xludf.DUMMYFUNCTION("""COMPUTED_VALUE"""),0.0)</f>
        <v>0</v>
      </c>
      <c r="E147" s="26">
        <f>IFERROR(__xludf.DUMMYFUNCTION("""COMPUTED_VALUE"""),0.0)</f>
        <v>0</v>
      </c>
      <c r="F147" s="26">
        <f>IFERROR(__xludf.DUMMYFUNCTION("""COMPUTED_VALUE"""),0.0)</f>
        <v>0</v>
      </c>
      <c r="G147" s="26">
        <f>IFERROR(__xludf.DUMMYFUNCTION("""COMPUTED_VALUE"""),0.0)</f>
        <v>0</v>
      </c>
      <c r="H147" s="26">
        <f>IFERROR(__xludf.DUMMYFUNCTION("""COMPUTED_VALUE"""),0.0)</f>
        <v>0</v>
      </c>
      <c r="I147" s="26">
        <f>IFERROR(__xludf.DUMMYFUNCTION("""COMPUTED_VALUE"""),0.0)</f>
        <v>0</v>
      </c>
      <c r="J147" s="26">
        <f>IFERROR(__xludf.DUMMYFUNCTION("""COMPUTED_VALUE"""),0.0)</f>
        <v>0</v>
      </c>
      <c r="K147" s="26">
        <f>IFERROR(__xludf.DUMMYFUNCTION("""COMPUTED_VALUE"""),0.0)</f>
        <v>0</v>
      </c>
      <c r="L147" s="26">
        <f>IFERROR(__xludf.DUMMYFUNCTION("""COMPUTED_VALUE"""),0.0)</f>
        <v>0</v>
      </c>
      <c r="M147" s="26"/>
      <c r="N147" s="26"/>
      <c r="O147" s="26"/>
      <c r="P147" s="26"/>
      <c r="Q147" s="26"/>
      <c r="R147" s="26">
        <f>IFERROR(__xludf.DUMMYFUNCTION("""COMPUTED_VALUE"""),377.0)</f>
        <v>377</v>
      </c>
      <c r="S147" s="26">
        <f>IFERROR(__xludf.DUMMYFUNCTION("""COMPUTED_VALUE"""),166634.0)</f>
        <v>166634</v>
      </c>
      <c r="T147" s="26">
        <f>IFERROR(__xludf.DUMMYFUNCTION("""COMPUTED_VALUE"""),58435.0)</f>
        <v>58435</v>
      </c>
      <c r="U147" s="26">
        <f>IFERROR(__xludf.DUMMYFUNCTION("""COMPUTED_VALUE"""),83852.33999999978)</f>
        <v>83852.34</v>
      </c>
      <c r="V147" s="26">
        <f>IFERROR(__xludf.DUMMYFUNCTION("""COMPUTED_VALUE"""),0.0)</f>
        <v>0</v>
      </c>
      <c r="W147" s="26">
        <f>IFERROR(__xludf.DUMMYFUNCTION("""COMPUTED_VALUE"""),0.0)</f>
        <v>0</v>
      </c>
      <c r="X147" s="26">
        <f>IFERROR(__xludf.DUMMYFUNCTION("""COMPUTED_VALUE"""),25417.339999999782)</f>
        <v>25417.34</v>
      </c>
      <c r="Y147" s="26">
        <f>IFERROR(__xludf.DUMMYFUNCTION("""COMPUTED_VALUE"""),25417.339999999782)</f>
        <v>25417.34</v>
      </c>
      <c r="Z147" s="26">
        <f>IFERROR(__xludf.DUMMYFUNCTION("""COMPUTED_VALUE"""),166634.0)</f>
        <v>166634</v>
      </c>
      <c r="AA147" s="26">
        <f>IFERROR(__xludf.DUMMYFUNCTION("""COMPUTED_VALUE"""),87991.79999999973)</f>
        <v>87991.8</v>
      </c>
      <c r="AB147" s="26">
        <f>IFERROR(__xludf.DUMMYFUNCTION("""COMPUTED_VALUE"""),82781.66000000051)</f>
        <v>82781.66</v>
      </c>
      <c r="AC147" s="26">
        <f>IFERROR(__xludf.DUMMYFUNCTION("""COMPUTED_VALUE"""),0.0)</f>
        <v>0</v>
      </c>
      <c r="AD147" s="26">
        <f>IFERROR(__xludf.DUMMYFUNCTION("""COMPUTED_VALUE"""),4139.460000000005)</f>
        <v>4139.46</v>
      </c>
      <c r="AE147" s="26">
        <f>IFERROR(__xludf.DUMMYFUNCTION("""COMPUTED_VALUE"""),78642.20000000004)</f>
        <v>78642.2</v>
      </c>
    </row>
    <row r="148">
      <c r="A148" s="26">
        <f>IFERROR(__xludf.DUMMYFUNCTION("""COMPUTED_VALUE"""),0.0)</f>
        <v>0</v>
      </c>
      <c r="B148" s="26">
        <f>IFERROR(__xludf.DUMMYFUNCTION("""COMPUTED_VALUE"""),0.0)</f>
        <v>0</v>
      </c>
      <c r="C148" s="26">
        <f>IFERROR(__xludf.DUMMYFUNCTION("""COMPUTED_VALUE"""),0.0)</f>
        <v>0</v>
      </c>
      <c r="D148" s="26">
        <f>IFERROR(__xludf.DUMMYFUNCTION("""COMPUTED_VALUE"""),0.0)</f>
        <v>0</v>
      </c>
      <c r="E148" s="26">
        <f>IFERROR(__xludf.DUMMYFUNCTION("""COMPUTED_VALUE"""),0.0)</f>
        <v>0</v>
      </c>
      <c r="F148" s="26">
        <f>IFERROR(__xludf.DUMMYFUNCTION("""COMPUTED_VALUE"""),0.0)</f>
        <v>0</v>
      </c>
      <c r="G148" s="26">
        <f>IFERROR(__xludf.DUMMYFUNCTION("""COMPUTED_VALUE"""),0.0)</f>
        <v>0</v>
      </c>
      <c r="H148" s="26">
        <f>IFERROR(__xludf.DUMMYFUNCTION("""COMPUTED_VALUE"""),0.0)</f>
        <v>0</v>
      </c>
      <c r="I148" s="26">
        <f>IFERROR(__xludf.DUMMYFUNCTION("""COMPUTED_VALUE"""),0.0)</f>
        <v>0</v>
      </c>
      <c r="J148" s="26">
        <f>IFERROR(__xludf.DUMMYFUNCTION("""COMPUTED_VALUE"""),0.0)</f>
        <v>0</v>
      </c>
      <c r="K148" s="26">
        <f>IFERROR(__xludf.DUMMYFUNCTION("""COMPUTED_VALUE"""),0.0)</f>
        <v>0</v>
      </c>
      <c r="L148" s="26">
        <f>IFERROR(__xludf.DUMMYFUNCTION("""COMPUTED_VALUE"""),0.0)</f>
        <v>0</v>
      </c>
      <c r="M148" s="26"/>
      <c r="N148" s="26"/>
      <c r="O148" s="26"/>
      <c r="P148" s="26"/>
      <c r="Q148" s="26"/>
      <c r="R148" s="26">
        <f>IFERROR(__xludf.DUMMYFUNCTION("""COMPUTED_VALUE"""),0.0)</f>
        <v>0</v>
      </c>
      <c r="S148" s="26">
        <f>IFERROR(__xludf.DUMMYFUNCTION("""COMPUTED_VALUE"""),0.0)</f>
        <v>0</v>
      </c>
      <c r="T148" s="26">
        <f>IFERROR(__xludf.DUMMYFUNCTION("""COMPUTED_VALUE"""),0.0)</f>
        <v>0</v>
      </c>
      <c r="U148" s="26">
        <f>IFERROR(__xludf.DUMMYFUNCTION("""COMPUTED_VALUE"""),0.0)</f>
        <v>0</v>
      </c>
      <c r="V148" s="26">
        <f>IFERROR(__xludf.DUMMYFUNCTION("""COMPUTED_VALUE"""),0.0)</f>
        <v>0</v>
      </c>
      <c r="W148" s="26">
        <f>IFERROR(__xludf.DUMMYFUNCTION("""COMPUTED_VALUE"""),0.0)</f>
        <v>0</v>
      </c>
      <c r="X148" s="26">
        <f>IFERROR(__xludf.DUMMYFUNCTION("""COMPUTED_VALUE"""),0.0)</f>
        <v>0</v>
      </c>
      <c r="Y148" s="26">
        <f>IFERROR(__xludf.DUMMYFUNCTION("""COMPUTED_VALUE"""),0.0)</f>
        <v>0</v>
      </c>
      <c r="Z148" s="26">
        <f>IFERROR(__xludf.DUMMYFUNCTION("""COMPUTED_VALUE"""),0.0)</f>
        <v>0</v>
      </c>
      <c r="AA148" s="26">
        <f>IFERROR(__xludf.DUMMYFUNCTION("""COMPUTED_VALUE"""),0.0)</f>
        <v>0</v>
      </c>
      <c r="AB148" s="26">
        <f>IFERROR(__xludf.DUMMYFUNCTION("""COMPUTED_VALUE"""),0.0)</f>
        <v>0</v>
      </c>
      <c r="AC148" s="26">
        <f>IFERROR(__xludf.DUMMYFUNCTION("""COMPUTED_VALUE"""),0.0)</f>
        <v>0</v>
      </c>
      <c r="AD148" s="26">
        <f>IFERROR(__xludf.DUMMYFUNCTION("""COMPUTED_VALUE"""),0.0)</f>
        <v>0</v>
      </c>
      <c r="AE148" s="26">
        <f>IFERROR(__xludf.DUMMYFUNCTION("""COMPUTED_VALUE"""),0.0)</f>
        <v>0</v>
      </c>
    </row>
    <row r="149">
      <c r="A149" s="26">
        <f>IFERROR(__xludf.DUMMYFUNCTION("""COMPUTED_VALUE"""),0.0)</f>
        <v>0</v>
      </c>
      <c r="B149" s="26">
        <f>IFERROR(__xludf.DUMMYFUNCTION("""COMPUTED_VALUE"""),0.0)</f>
        <v>0</v>
      </c>
      <c r="C149" s="26">
        <f>IFERROR(__xludf.DUMMYFUNCTION("""COMPUTED_VALUE"""),0.0)</f>
        <v>0</v>
      </c>
      <c r="D149" s="26">
        <f>IFERROR(__xludf.DUMMYFUNCTION("""COMPUTED_VALUE"""),0.0)</f>
        <v>0</v>
      </c>
      <c r="E149" s="26">
        <f>IFERROR(__xludf.DUMMYFUNCTION("""COMPUTED_VALUE"""),0.0)</f>
        <v>0</v>
      </c>
      <c r="F149" s="26">
        <f>IFERROR(__xludf.DUMMYFUNCTION("""COMPUTED_VALUE"""),0.0)</f>
        <v>0</v>
      </c>
      <c r="G149" s="26">
        <f>IFERROR(__xludf.DUMMYFUNCTION("""COMPUTED_VALUE"""),0.0)</f>
        <v>0</v>
      </c>
      <c r="H149" s="26">
        <f>IFERROR(__xludf.DUMMYFUNCTION("""COMPUTED_VALUE"""),0.0)</f>
        <v>0</v>
      </c>
      <c r="I149" s="26">
        <f>IFERROR(__xludf.DUMMYFUNCTION("""COMPUTED_VALUE"""),0.0)</f>
        <v>0</v>
      </c>
      <c r="J149" s="26">
        <f>IFERROR(__xludf.DUMMYFUNCTION("""COMPUTED_VALUE"""),0.0)</f>
        <v>0</v>
      </c>
      <c r="K149" s="26">
        <f>IFERROR(__xludf.DUMMYFUNCTION("""COMPUTED_VALUE"""),0.0)</f>
        <v>0</v>
      </c>
      <c r="L149" s="26">
        <f>IFERROR(__xludf.DUMMYFUNCTION("""COMPUTED_VALUE"""),0.0)</f>
        <v>0</v>
      </c>
      <c r="M149" s="26"/>
      <c r="N149" s="26"/>
      <c r="O149" s="26"/>
      <c r="P149" s="26"/>
      <c r="Q149" s="26"/>
      <c r="R149" s="26">
        <f>IFERROR(__xludf.DUMMYFUNCTION("""COMPUTED_VALUE"""),0.0)</f>
        <v>0</v>
      </c>
      <c r="S149" s="26">
        <f>IFERROR(__xludf.DUMMYFUNCTION("""COMPUTED_VALUE"""),0.0)</f>
        <v>0</v>
      </c>
      <c r="T149" s="26">
        <f>IFERROR(__xludf.DUMMYFUNCTION("""COMPUTED_VALUE"""),0.0)</f>
        <v>0</v>
      </c>
      <c r="U149" s="26">
        <f>IFERROR(__xludf.DUMMYFUNCTION("""COMPUTED_VALUE"""),0.0)</f>
        <v>0</v>
      </c>
      <c r="V149" s="26">
        <f>IFERROR(__xludf.DUMMYFUNCTION("""COMPUTED_VALUE"""),0.0)</f>
        <v>0</v>
      </c>
      <c r="W149" s="26">
        <f>IFERROR(__xludf.DUMMYFUNCTION("""COMPUTED_VALUE"""),0.0)</f>
        <v>0</v>
      </c>
      <c r="X149" s="26">
        <f>IFERROR(__xludf.DUMMYFUNCTION("""COMPUTED_VALUE"""),0.0)</f>
        <v>0</v>
      </c>
      <c r="Y149" s="26">
        <f>IFERROR(__xludf.DUMMYFUNCTION("""COMPUTED_VALUE"""),0.0)</f>
        <v>0</v>
      </c>
      <c r="Z149" s="26">
        <f>IFERROR(__xludf.DUMMYFUNCTION("""COMPUTED_VALUE"""),0.0)</f>
        <v>0</v>
      </c>
      <c r="AA149" s="26">
        <f>IFERROR(__xludf.DUMMYFUNCTION("""COMPUTED_VALUE"""),0.0)</f>
        <v>0</v>
      </c>
      <c r="AB149" s="26">
        <f>IFERROR(__xludf.DUMMYFUNCTION("""COMPUTED_VALUE"""),0.0)</f>
        <v>0</v>
      </c>
      <c r="AC149" s="26">
        <f>IFERROR(__xludf.DUMMYFUNCTION("""COMPUTED_VALUE"""),0.0)</f>
        <v>0</v>
      </c>
      <c r="AD149" s="26">
        <f>IFERROR(__xludf.DUMMYFUNCTION("""COMPUTED_VALUE"""),0.0)</f>
        <v>0</v>
      </c>
      <c r="AE149" s="26">
        <f>IFERROR(__xludf.DUMMYFUNCTION("""COMPUTED_VALUE"""),0.0)</f>
        <v>0</v>
      </c>
    </row>
    <row r="150">
      <c r="A150" s="26">
        <f>IFERROR(__xludf.DUMMYFUNCTION("""COMPUTED_VALUE"""),0.0)</f>
        <v>0</v>
      </c>
      <c r="B150" s="26">
        <f>IFERROR(__xludf.DUMMYFUNCTION("""COMPUTED_VALUE"""),0.0)</f>
        <v>0</v>
      </c>
      <c r="C150" s="26">
        <f>IFERROR(__xludf.DUMMYFUNCTION("""COMPUTED_VALUE"""),0.0)</f>
        <v>0</v>
      </c>
      <c r="D150" s="26">
        <f>IFERROR(__xludf.DUMMYFUNCTION("""COMPUTED_VALUE"""),0.0)</f>
        <v>0</v>
      </c>
      <c r="E150" s="26">
        <f>IFERROR(__xludf.DUMMYFUNCTION("""COMPUTED_VALUE"""),0.0)</f>
        <v>0</v>
      </c>
      <c r="F150" s="26">
        <f>IFERROR(__xludf.DUMMYFUNCTION("""COMPUTED_VALUE"""),0.0)</f>
        <v>0</v>
      </c>
      <c r="G150" s="26">
        <f>IFERROR(__xludf.DUMMYFUNCTION("""COMPUTED_VALUE"""),0.0)</f>
        <v>0</v>
      </c>
      <c r="H150" s="26">
        <f>IFERROR(__xludf.DUMMYFUNCTION("""COMPUTED_VALUE"""),0.0)</f>
        <v>0</v>
      </c>
      <c r="I150" s="26">
        <f>IFERROR(__xludf.DUMMYFUNCTION("""COMPUTED_VALUE"""),0.0)</f>
        <v>0</v>
      </c>
      <c r="J150" s="26">
        <f>IFERROR(__xludf.DUMMYFUNCTION("""COMPUTED_VALUE"""),0.0)</f>
        <v>0</v>
      </c>
      <c r="K150" s="26">
        <f>IFERROR(__xludf.DUMMYFUNCTION("""COMPUTED_VALUE"""),0.0)</f>
        <v>0</v>
      </c>
      <c r="L150" s="26">
        <f>IFERROR(__xludf.DUMMYFUNCTION("""COMPUTED_VALUE"""),0.0)</f>
        <v>0</v>
      </c>
      <c r="M150" s="26"/>
      <c r="N150" s="26"/>
      <c r="O150" s="26"/>
      <c r="P150" s="26"/>
      <c r="Q150" s="26"/>
      <c r="R150" s="26">
        <f>IFERROR(__xludf.DUMMYFUNCTION("""COMPUTED_VALUE"""),0.0)</f>
        <v>0</v>
      </c>
      <c r="S150" s="26">
        <f>IFERROR(__xludf.DUMMYFUNCTION("""COMPUTED_VALUE"""),0.0)</f>
        <v>0</v>
      </c>
      <c r="T150" s="26">
        <f>IFERROR(__xludf.DUMMYFUNCTION("""COMPUTED_VALUE"""),0.0)</f>
        <v>0</v>
      </c>
      <c r="U150" s="26">
        <f>IFERROR(__xludf.DUMMYFUNCTION("""COMPUTED_VALUE"""),0.0)</f>
        <v>0</v>
      </c>
      <c r="V150" s="26">
        <f>IFERROR(__xludf.DUMMYFUNCTION("""COMPUTED_VALUE"""),0.0)</f>
        <v>0</v>
      </c>
      <c r="W150" s="26">
        <f>IFERROR(__xludf.DUMMYFUNCTION("""COMPUTED_VALUE"""),0.0)</f>
        <v>0</v>
      </c>
      <c r="X150" s="26">
        <f>IFERROR(__xludf.DUMMYFUNCTION("""COMPUTED_VALUE"""),0.0)</f>
        <v>0</v>
      </c>
      <c r="Y150" s="26">
        <f>IFERROR(__xludf.DUMMYFUNCTION("""COMPUTED_VALUE"""),0.0)</f>
        <v>0</v>
      </c>
      <c r="Z150" s="26">
        <f>IFERROR(__xludf.DUMMYFUNCTION("""COMPUTED_VALUE"""),0.0)</f>
        <v>0</v>
      </c>
      <c r="AA150" s="26">
        <f>IFERROR(__xludf.DUMMYFUNCTION("""COMPUTED_VALUE"""),0.0)</f>
        <v>0</v>
      </c>
      <c r="AB150" s="26">
        <f>IFERROR(__xludf.DUMMYFUNCTION("""COMPUTED_VALUE"""),0.0)</f>
        <v>0</v>
      </c>
      <c r="AC150" s="26">
        <f>IFERROR(__xludf.DUMMYFUNCTION("""COMPUTED_VALUE"""),0.0)</f>
        <v>0</v>
      </c>
      <c r="AD150" s="26">
        <f>IFERROR(__xludf.DUMMYFUNCTION("""COMPUTED_VALUE"""),0.0)</f>
        <v>0</v>
      </c>
      <c r="AE150" s="26">
        <f>IFERROR(__xludf.DUMMYFUNCTION("""COMPUTED_VALUE"""),0.0)</f>
        <v>0</v>
      </c>
    </row>
    <row r="151">
      <c r="A151" s="26">
        <f>IFERROR(__xludf.DUMMYFUNCTION("""COMPUTED_VALUE"""),0.0)</f>
        <v>0</v>
      </c>
      <c r="B151" s="26">
        <f>IFERROR(__xludf.DUMMYFUNCTION("""COMPUTED_VALUE"""),0.0)</f>
        <v>0</v>
      </c>
      <c r="C151" s="26">
        <f>IFERROR(__xludf.DUMMYFUNCTION("""COMPUTED_VALUE"""),0.0)</f>
        <v>0</v>
      </c>
      <c r="D151" s="26">
        <f>IFERROR(__xludf.DUMMYFUNCTION("""COMPUTED_VALUE"""),0.0)</f>
        <v>0</v>
      </c>
      <c r="E151" s="26">
        <f>IFERROR(__xludf.DUMMYFUNCTION("""COMPUTED_VALUE"""),578.0)</f>
        <v>578</v>
      </c>
      <c r="F151" s="26">
        <f>IFERROR(__xludf.DUMMYFUNCTION("""COMPUTED_VALUE"""),0.0)</f>
        <v>0</v>
      </c>
      <c r="G151" s="26">
        <f>IFERROR(__xludf.DUMMYFUNCTION("""COMPUTED_VALUE"""),0.0)</f>
        <v>0</v>
      </c>
      <c r="H151" s="26">
        <f>IFERROR(__xludf.DUMMYFUNCTION("""COMPUTED_VALUE"""),0.0)</f>
        <v>0</v>
      </c>
      <c r="I151" s="26">
        <f>IFERROR(__xludf.DUMMYFUNCTION("""COMPUTED_VALUE"""),0.0)</f>
        <v>0</v>
      </c>
      <c r="J151" s="26">
        <f>IFERROR(__xludf.DUMMYFUNCTION("""COMPUTED_VALUE"""),0.0)</f>
        <v>0</v>
      </c>
      <c r="K151" s="26">
        <f>IFERROR(__xludf.DUMMYFUNCTION("""COMPUTED_VALUE"""),0.0)</f>
        <v>0</v>
      </c>
      <c r="L151" s="26">
        <f>IFERROR(__xludf.DUMMYFUNCTION("""COMPUTED_VALUE"""),0.0)</f>
        <v>0</v>
      </c>
      <c r="M151" s="26"/>
      <c r="N151" s="26"/>
      <c r="O151" s="26"/>
      <c r="P151" s="26"/>
      <c r="Q151" s="26"/>
      <c r="R151" s="26">
        <f>IFERROR(__xludf.DUMMYFUNCTION("""COMPUTED_VALUE"""),578.0)</f>
        <v>578</v>
      </c>
      <c r="S151" s="26">
        <f>IFERROR(__xludf.DUMMYFUNCTION("""COMPUTED_VALUE"""),839420.0)</f>
        <v>839420</v>
      </c>
      <c r="T151" s="26">
        <f>IFERROR(__xludf.DUMMYFUNCTION("""COMPUTED_VALUE"""),265880.0)</f>
        <v>265880</v>
      </c>
      <c r="U151" s="26">
        <f>IFERROR(__xludf.DUMMYFUNCTION("""COMPUTED_VALUE"""),393927.19000000134)</f>
        <v>393927.19</v>
      </c>
      <c r="V151" s="26">
        <f>IFERROR(__xludf.DUMMYFUNCTION("""COMPUTED_VALUE"""),0.0)</f>
        <v>0</v>
      </c>
      <c r="W151" s="26">
        <f>IFERROR(__xludf.DUMMYFUNCTION("""COMPUTED_VALUE"""),0.0)</f>
        <v>0</v>
      </c>
      <c r="X151" s="26">
        <f>IFERROR(__xludf.DUMMYFUNCTION("""COMPUTED_VALUE"""),128047.19000000131)</f>
        <v>128047.19</v>
      </c>
      <c r="Y151" s="26">
        <f>IFERROR(__xludf.DUMMYFUNCTION("""COMPUTED_VALUE"""),128047.19000000131)</f>
        <v>128047.19</v>
      </c>
      <c r="Z151" s="26">
        <f>IFERROR(__xludf.DUMMYFUNCTION("""COMPUTED_VALUE"""),839420.0)</f>
        <v>839420</v>
      </c>
      <c r="AA151" s="26">
        <f>IFERROR(__xludf.DUMMYFUNCTION("""COMPUTED_VALUE"""),416200.3400000034)</f>
        <v>416200.34</v>
      </c>
      <c r="AB151" s="26">
        <f>IFERROR(__xludf.DUMMYFUNCTION("""COMPUTED_VALUE"""),445492.8099999968)</f>
        <v>445492.81</v>
      </c>
      <c r="AC151" s="26">
        <f>IFERROR(__xludf.DUMMYFUNCTION("""COMPUTED_VALUE"""),0.0)</f>
        <v>0</v>
      </c>
      <c r="AD151" s="26">
        <f>IFERROR(__xludf.DUMMYFUNCTION("""COMPUTED_VALUE"""),22273.150000000125)</f>
        <v>22273.15</v>
      </c>
      <c r="AE151" s="26">
        <f>IFERROR(__xludf.DUMMYFUNCTION("""COMPUTED_VALUE"""),423219.6599999966)</f>
        <v>423219.66</v>
      </c>
    </row>
    <row r="152">
      <c r="A152" s="26">
        <f>IFERROR(__xludf.DUMMYFUNCTION("""COMPUTED_VALUE"""),0.0)</f>
        <v>0</v>
      </c>
      <c r="B152" s="26">
        <f>IFERROR(__xludf.DUMMYFUNCTION("""COMPUTED_VALUE"""),0.0)</f>
        <v>0</v>
      </c>
      <c r="C152" s="26">
        <f>IFERROR(__xludf.DUMMYFUNCTION("""COMPUTED_VALUE"""),0.0)</f>
        <v>0</v>
      </c>
      <c r="D152" s="26">
        <f>IFERROR(__xludf.DUMMYFUNCTION("""COMPUTED_VALUE"""),0.0)</f>
        <v>0</v>
      </c>
      <c r="E152" s="26">
        <f>IFERROR(__xludf.DUMMYFUNCTION("""COMPUTED_VALUE"""),0.0)</f>
        <v>0</v>
      </c>
      <c r="F152" s="26">
        <f>IFERROR(__xludf.DUMMYFUNCTION("""COMPUTED_VALUE"""),0.0)</f>
        <v>0</v>
      </c>
      <c r="G152" s="26">
        <f>IFERROR(__xludf.DUMMYFUNCTION("""COMPUTED_VALUE"""),0.0)</f>
        <v>0</v>
      </c>
      <c r="H152" s="26">
        <f>IFERROR(__xludf.DUMMYFUNCTION("""COMPUTED_VALUE"""),0.0)</f>
        <v>0</v>
      </c>
      <c r="I152" s="26">
        <f>IFERROR(__xludf.DUMMYFUNCTION("""COMPUTED_VALUE"""),0.0)</f>
        <v>0</v>
      </c>
      <c r="J152" s="26">
        <f>IFERROR(__xludf.DUMMYFUNCTION("""COMPUTED_VALUE"""),0.0)</f>
        <v>0</v>
      </c>
      <c r="K152" s="26">
        <f>IFERROR(__xludf.DUMMYFUNCTION("""COMPUTED_VALUE"""),0.0)</f>
        <v>0</v>
      </c>
      <c r="L152" s="26">
        <f>IFERROR(__xludf.DUMMYFUNCTION("""COMPUTED_VALUE"""),0.0)</f>
        <v>0</v>
      </c>
      <c r="M152" s="26"/>
      <c r="N152" s="26"/>
      <c r="O152" s="26"/>
      <c r="P152" s="26"/>
      <c r="Q152" s="26"/>
      <c r="R152" s="26">
        <f>IFERROR(__xludf.DUMMYFUNCTION("""COMPUTED_VALUE"""),0.0)</f>
        <v>0</v>
      </c>
      <c r="S152" s="26">
        <f>IFERROR(__xludf.DUMMYFUNCTION("""COMPUTED_VALUE"""),0.0)</f>
        <v>0</v>
      </c>
      <c r="T152" s="26">
        <f>IFERROR(__xludf.DUMMYFUNCTION("""COMPUTED_VALUE"""),0.0)</f>
        <v>0</v>
      </c>
      <c r="U152" s="26">
        <f>IFERROR(__xludf.DUMMYFUNCTION("""COMPUTED_VALUE"""),0.0)</f>
        <v>0</v>
      </c>
      <c r="V152" s="26">
        <f>IFERROR(__xludf.DUMMYFUNCTION("""COMPUTED_VALUE"""),0.0)</f>
        <v>0</v>
      </c>
      <c r="W152" s="26">
        <f>IFERROR(__xludf.DUMMYFUNCTION("""COMPUTED_VALUE"""),0.0)</f>
        <v>0</v>
      </c>
      <c r="X152" s="26">
        <f>IFERROR(__xludf.DUMMYFUNCTION("""COMPUTED_VALUE"""),0.0)</f>
        <v>0</v>
      </c>
      <c r="Y152" s="26">
        <f>IFERROR(__xludf.DUMMYFUNCTION("""COMPUTED_VALUE"""),0.0)</f>
        <v>0</v>
      </c>
      <c r="Z152" s="26">
        <f>IFERROR(__xludf.DUMMYFUNCTION("""COMPUTED_VALUE"""),0.0)</f>
        <v>0</v>
      </c>
      <c r="AA152" s="26">
        <f>IFERROR(__xludf.DUMMYFUNCTION("""COMPUTED_VALUE"""),0.0)</f>
        <v>0</v>
      </c>
      <c r="AB152" s="26">
        <f>IFERROR(__xludf.DUMMYFUNCTION("""COMPUTED_VALUE"""),0.0)</f>
        <v>0</v>
      </c>
      <c r="AC152" s="26">
        <f>IFERROR(__xludf.DUMMYFUNCTION("""COMPUTED_VALUE"""),0.0)</f>
        <v>0</v>
      </c>
      <c r="AD152" s="26">
        <f>IFERROR(__xludf.DUMMYFUNCTION("""COMPUTED_VALUE"""),0.0)</f>
        <v>0</v>
      </c>
      <c r="AE152" s="26">
        <f>IFERROR(__xludf.DUMMYFUNCTION("""COMPUTED_VALUE"""),0.0)</f>
        <v>0</v>
      </c>
    </row>
    <row r="153">
      <c r="A153" s="26">
        <f>IFERROR(__xludf.DUMMYFUNCTION("""COMPUTED_VALUE"""),0.0)</f>
        <v>0</v>
      </c>
      <c r="B153" s="26">
        <f>IFERROR(__xludf.DUMMYFUNCTION("""COMPUTED_VALUE"""),0.0)</f>
        <v>0</v>
      </c>
      <c r="C153" s="26">
        <f>IFERROR(__xludf.DUMMYFUNCTION("""COMPUTED_VALUE"""),0.0)</f>
        <v>0</v>
      </c>
      <c r="D153" s="26">
        <f>IFERROR(__xludf.DUMMYFUNCTION("""COMPUTED_VALUE"""),0.0)</f>
        <v>0</v>
      </c>
      <c r="E153" s="26">
        <f>IFERROR(__xludf.DUMMYFUNCTION("""COMPUTED_VALUE"""),0.0)</f>
        <v>0</v>
      </c>
      <c r="F153" s="26">
        <f>IFERROR(__xludf.DUMMYFUNCTION("""COMPUTED_VALUE"""),0.0)</f>
        <v>0</v>
      </c>
      <c r="G153" s="26">
        <f>IFERROR(__xludf.DUMMYFUNCTION("""COMPUTED_VALUE"""),0.0)</f>
        <v>0</v>
      </c>
      <c r="H153" s="26">
        <f>IFERROR(__xludf.DUMMYFUNCTION("""COMPUTED_VALUE"""),0.0)</f>
        <v>0</v>
      </c>
      <c r="I153" s="26">
        <f>IFERROR(__xludf.DUMMYFUNCTION("""COMPUTED_VALUE"""),0.0)</f>
        <v>0</v>
      </c>
      <c r="J153" s="26">
        <f>IFERROR(__xludf.DUMMYFUNCTION("""COMPUTED_VALUE"""),0.0)</f>
        <v>0</v>
      </c>
      <c r="K153" s="26">
        <f>IFERROR(__xludf.DUMMYFUNCTION("""COMPUTED_VALUE"""),0.0)</f>
        <v>0</v>
      </c>
      <c r="L153" s="26">
        <f>IFERROR(__xludf.DUMMYFUNCTION("""COMPUTED_VALUE"""),0.0)</f>
        <v>0</v>
      </c>
      <c r="M153" s="26"/>
      <c r="N153" s="26"/>
      <c r="O153" s="26"/>
      <c r="P153" s="26"/>
      <c r="Q153" s="26"/>
      <c r="R153" s="26">
        <f>IFERROR(__xludf.DUMMYFUNCTION("""COMPUTED_VALUE"""),0.0)</f>
        <v>0</v>
      </c>
      <c r="S153" s="26">
        <f>IFERROR(__xludf.DUMMYFUNCTION("""COMPUTED_VALUE"""),0.0)</f>
        <v>0</v>
      </c>
      <c r="T153" s="26">
        <f>IFERROR(__xludf.DUMMYFUNCTION("""COMPUTED_VALUE"""),0.0)</f>
        <v>0</v>
      </c>
      <c r="U153" s="26">
        <f>IFERROR(__xludf.DUMMYFUNCTION("""COMPUTED_VALUE"""),0.0)</f>
        <v>0</v>
      </c>
      <c r="V153" s="26">
        <f>IFERROR(__xludf.DUMMYFUNCTION("""COMPUTED_VALUE"""),0.0)</f>
        <v>0</v>
      </c>
      <c r="W153" s="26">
        <f>IFERROR(__xludf.DUMMYFUNCTION("""COMPUTED_VALUE"""),0.0)</f>
        <v>0</v>
      </c>
      <c r="X153" s="26">
        <f>IFERROR(__xludf.DUMMYFUNCTION("""COMPUTED_VALUE"""),0.0)</f>
        <v>0</v>
      </c>
      <c r="Y153" s="26">
        <f>IFERROR(__xludf.DUMMYFUNCTION("""COMPUTED_VALUE"""),0.0)</f>
        <v>0</v>
      </c>
      <c r="Z153" s="26">
        <f>IFERROR(__xludf.DUMMYFUNCTION("""COMPUTED_VALUE"""),0.0)</f>
        <v>0</v>
      </c>
      <c r="AA153" s="26">
        <f>IFERROR(__xludf.DUMMYFUNCTION("""COMPUTED_VALUE"""),0.0)</f>
        <v>0</v>
      </c>
      <c r="AB153" s="26">
        <f>IFERROR(__xludf.DUMMYFUNCTION("""COMPUTED_VALUE"""),0.0)</f>
        <v>0</v>
      </c>
      <c r="AC153" s="26">
        <f>IFERROR(__xludf.DUMMYFUNCTION("""COMPUTED_VALUE"""),0.0)</f>
        <v>0</v>
      </c>
      <c r="AD153" s="26">
        <f>IFERROR(__xludf.DUMMYFUNCTION("""COMPUTED_VALUE"""),0.0)</f>
        <v>0</v>
      </c>
      <c r="AE153" s="26">
        <f>IFERROR(__xludf.DUMMYFUNCTION("""COMPUTED_VALUE"""),0.0)</f>
        <v>0</v>
      </c>
    </row>
    <row r="154">
      <c r="A154" s="26">
        <f>IFERROR(__xludf.DUMMYFUNCTION("""COMPUTED_VALUE"""),0.0)</f>
        <v>0</v>
      </c>
      <c r="B154" s="26">
        <f>IFERROR(__xludf.DUMMYFUNCTION("""COMPUTED_VALUE"""),0.0)</f>
        <v>0</v>
      </c>
      <c r="C154" s="26">
        <f>IFERROR(__xludf.DUMMYFUNCTION("""COMPUTED_VALUE"""),0.0)</f>
        <v>0</v>
      </c>
      <c r="D154" s="26">
        <f>IFERROR(__xludf.DUMMYFUNCTION("""COMPUTED_VALUE"""),0.0)</f>
        <v>0</v>
      </c>
      <c r="E154" s="26">
        <f>IFERROR(__xludf.DUMMYFUNCTION("""COMPUTED_VALUE"""),0.0)</f>
        <v>0</v>
      </c>
      <c r="F154" s="26">
        <f>IFERROR(__xludf.DUMMYFUNCTION("""COMPUTED_VALUE"""),0.0)</f>
        <v>0</v>
      </c>
      <c r="G154" s="26">
        <f>IFERROR(__xludf.DUMMYFUNCTION("""COMPUTED_VALUE"""),0.0)</f>
        <v>0</v>
      </c>
      <c r="H154" s="26">
        <f>IFERROR(__xludf.DUMMYFUNCTION("""COMPUTED_VALUE"""),0.0)</f>
        <v>0</v>
      </c>
      <c r="I154" s="26">
        <f>IFERROR(__xludf.DUMMYFUNCTION("""COMPUTED_VALUE"""),0.0)</f>
        <v>0</v>
      </c>
      <c r="J154" s="26">
        <f>IFERROR(__xludf.DUMMYFUNCTION("""COMPUTED_VALUE"""),0.0)</f>
        <v>0</v>
      </c>
      <c r="K154" s="26">
        <f>IFERROR(__xludf.DUMMYFUNCTION("""COMPUTED_VALUE"""),0.0)</f>
        <v>0</v>
      </c>
      <c r="L154" s="26">
        <f>IFERROR(__xludf.DUMMYFUNCTION("""COMPUTED_VALUE"""),0.0)</f>
        <v>0</v>
      </c>
      <c r="M154" s="26"/>
      <c r="N154" s="26"/>
      <c r="O154" s="26"/>
      <c r="P154" s="26"/>
      <c r="Q154" s="26"/>
      <c r="R154" s="26">
        <f>IFERROR(__xludf.DUMMYFUNCTION("""COMPUTED_VALUE"""),0.0)</f>
        <v>0</v>
      </c>
      <c r="S154" s="26">
        <f>IFERROR(__xludf.DUMMYFUNCTION("""COMPUTED_VALUE"""),0.0)</f>
        <v>0</v>
      </c>
      <c r="T154" s="26">
        <f>IFERROR(__xludf.DUMMYFUNCTION("""COMPUTED_VALUE"""),0.0)</f>
        <v>0</v>
      </c>
      <c r="U154" s="26">
        <f>IFERROR(__xludf.DUMMYFUNCTION("""COMPUTED_VALUE"""),0.0)</f>
        <v>0</v>
      </c>
      <c r="V154" s="26">
        <f>IFERROR(__xludf.DUMMYFUNCTION("""COMPUTED_VALUE"""),0.0)</f>
        <v>0</v>
      </c>
      <c r="W154" s="26">
        <f>IFERROR(__xludf.DUMMYFUNCTION("""COMPUTED_VALUE"""),0.0)</f>
        <v>0</v>
      </c>
      <c r="X154" s="26">
        <f>IFERROR(__xludf.DUMMYFUNCTION("""COMPUTED_VALUE"""),0.0)</f>
        <v>0</v>
      </c>
      <c r="Y154" s="26">
        <f>IFERROR(__xludf.DUMMYFUNCTION("""COMPUTED_VALUE"""),0.0)</f>
        <v>0</v>
      </c>
      <c r="Z154" s="26">
        <f>IFERROR(__xludf.DUMMYFUNCTION("""COMPUTED_VALUE"""),0.0)</f>
        <v>0</v>
      </c>
      <c r="AA154" s="26">
        <f>IFERROR(__xludf.DUMMYFUNCTION("""COMPUTED_VALUE"""),0.0)</f>
        <v>0</v>
      </c>
      <c r="AB154" s="26">
        <f>IFERROR(__xludf.DUMMYFUNCTION("""COMPUTED_VALUE"""),0.0)</f>
        <v>0</v>
      </c>
      <c r="AC154" s="26">
        <f>IFERROR(__xludf.DUMMYFUNCTION("""COMPUTED_VALUE"""),0.0)</f>
        <v>0</v>
      </c>
      <c r="AD154" s="26">
        <f>IFERROR(__xludf.DUMMYFUNCTION("""COMPUTED_VALUE"""),0.0)</f>
        <v>0</v>
      </c>
      <c r="AE154" s="26">
        <f>IFERROR(__xludf.DUMMYFUNCTION("""COMPUTED_VALUE"""),0.0)</f>
        <v>0</v>
      </c>
    </row>
    <row r="155">
      <c r="A155" s="26">
        <f>IFERROR(__xludf.DUMMYFUNCTION("""COMPUTED_VALUE"""),429.0)</f>
        <v>429</v>
      </c>
      <c r="B155" s="26">
        <f>IFERROR(__xludf.DUMMYFUNCTION("""COMPUTED_VALUE"""),0.0)</f>
        <v>0</v>
      </c>
      <c r="C155" s="26">
        <f>IFERROR(__xludf.DUMMYFUNCTION("""COMPUTED_VALUE"""),1.0)</f>
        <v>1</v>
      </c>
      <c r="D155" s="26">
        <f>IFERROR(__xludf.DUMMYFUNCTION("""COMPUTED_VALUE"""),0.0)</f>
        <v>0</v>
      </c>
      <c r="E155" s="26">
        <f>IFERROR(__xludf.DUMMYFUNCTION("""COMPUTED_VALUE"""),0.0)</f>
        <v>0</v>
      </c>
      <c r="F155" s="26">
        <f>IFERROR(__xludf.DUMMYFUNCTION("""COMPUTED_VALUE"""),0.0)</f>
        <v>0</v>
      </c>
      <c r="G155" s="26">
        <f>IFERROR(__xludf.DUMMYFUNCTION("""COMPUTED_VALUE"""),0.0)</f>
        <v>0</v>
      </c>
      <c r="H155" s="26">
        <f>IFERROR(__xludf.DUMMYFUNCTION("""COMPUTED_VALUE"""),0.0)</f>
        <v>0</v>
      </c>
      <c r="I155" s="26">
        <f>IFERROR(__xludf.DUMMYFUNCTION("""COMPUTED_VALUE"""),0.0)</f>
        <v>0</v>
      </c>
      <c r="J155" s="26">
        <f>IFERROR(__xludf.DUMMYFUNCTION("""COMPUTED_VALUE"""),0.0)</f>
        <v>0</v>
      </c>
      <c r="K155" s="26">
        <f>IFERROR(__xludf.DUMMYFUNCTION("""COMPUTED_VALUE"""),0.0)</f>
        <v>0</v>
      </c>
      <c r="L155" s="26">
        <f>IFERROR(__xludf.DUMMYFUNCTION("""COMPUTED_VALUE"""),0.0)</f>
        <v>0</v>
      </c>
      <c r="M155" s="26"/>
      <c r="N155" s="26"/>
      <c r="O155" s="26"/>
      <c r="P155" s="26"/>
      <c r="Q155" s="26"/>
      <c r="R155" s="26">
        <f>IFERROR(__xludf.DUMMYFUNCTION("""COMPUTED_VALUE"""),430.0)</f>
        <v>430</v>
      </c>
      <c r="S155" s="26">
        <f>IFERROR(__xludf.DUMMYFUNCTION("""COMPUTED_VALUE"""),190060.0)</f>
        <v>190060</v>
      </c>
      <c r="T155" s="26">
        <f>IFERROR(__xludf.DUMMYFUNCTION("""COMPUTED_VALUE"""),66650.0)</f>
        <v>66650</v>
      </c>
      <c r="U155" s="26">
        <f>IFERROR(__xludf.DUMMYFUNCTION("""COMPUTED_VALUE"""),95640.59999999969)</f>
        <v>95640.6</v>
      </c>
      <c r="V155" s="26">
        <f>IFERROR(__xludf.DUMMYFUNCTION("""COMPUTED_VALUE"""),0.0)</f>
        <v>0</v>
      </c>
      <c r="W155" s="26">
        <f>IFERROR(__xludf.DUMMYFUNCTION("""COMPUTED_VALUE"""),0.0)</f>
        <v>0</v>
      </c>
      <c r="X155" s="26">
        <f>IFERROR(__xludf.DUMMYFUNCTION("""COMPUTED_VALUE"""),28990.59999999969)</f>
        <v>28990.6</v>
      </c>
      <c r="Y155" s="26">
        <f>IFERROR(__xludf.DUMMYFUNCTION("""COMPUTED_VALUE"""),28990.59999999969)</f>
        <v>28990.6</v>
      </c>
      <c r="Z155" s="26">
        <f>IFERROR(__xludf.DUMMYFUNCTION("""COMPUTED_VALUE"""),190060.0)</f>
        <v>190060</v>
      </c>
      <c r="AA155" s="26">
        <f>IFERROR(__xludf.DUMMYFUNCTION("""COMPUTED_VALUE"""),100361.99999999942)</f>
        <v>100362</v>
      </c>
      <c r="AB155" s="26">
        <f>IFERROR(__xludf.DUMMYFUNCTION("""COMPUTED_VALUE"""),94419.4000000006)</f>
        <v>94419.4</v>
      </c>
      <c r="AC155" s="26">
        <f>IFERROR(__xludf.DUMMYFUNCTION("""COMPUTED_VALUE"""),0.0)</f>
        <v>0</v>
      </c>
      <c r="AD155" s="26">
        <f>IFERROR(__xludf.DUMMYFUNCTION("""COMPUTED_VALUE"""),4721.399999999981)</f>
        <v>4721.4</v>
      </c>
      <c r="AE155" s="26">
        <f>IFERROR(__xludf.DUMMYFUNCTION("""COMPUTED_VALUE"""),89698.00000000035)</f>
        <v>89698</v>
      </c>
    </row>
    <row r="156">
      <c r="A156" s="26">
        <f>IFERROR(__xludf.DUMMYFUNCTION("""COMPUTED_VALUE"""),524.0)</f>
        <v>524</v>
      </c>
      <c r="B156" s="26">
        <f>IFERROR(__xludf.DUMMYFUNCTION("""COMPUTED_VALUE"""),0.0)</f>
        <v>0</v>
      </c>
      <c r="C156" s="26">
        <f>IFERROR(__xludf.DUMMYFUNCTION("""COMPUTED_VALUE"""),0.0)</f>
        <v>0</v>
      </c>
      <c r="D156" s="26">
        <f>IFERROR(__xludf.DUMMYFUNCTION("""COMPUTED_VALUE"""),0.0)</f>
        <v>0</v>
      </c>
      <c r="E156" s="26">
        <f>IFERROR(__xludf.DUMMYFUNCTION("""COMPUTED_VALUE"""),0.0)</f>
        <v>0</v>
      </c>
      <c r="F156" s="26">
        <f>IFERROR(__xludf.DUMMYFUNCTION("""COMPUTED_VALUE"""),0.0)</f>
        <v>0</v>
      </c>
      <c r="G156" s="26">
        <f>IFERROR(__xludf.DUMMYFUNCTION("""COMPUTED_VALUE"""),0.0)</f>
        <v>0</v>
      </c>
      <c r="H156" s="26">
        <f>IFERROR(__xludf.DUMMYFUNCTION("""COMPUTED_VALUE"""),0.0)</f>
        <v>0</v>
      </c>
      <c r="I156" s="26">
        <f>IFERROR(__xludf.DUMMYFUNCTION("""COMPUTED_VALUE"""),0.0)</f>
        <v>0</v>
      </c>
      <c r="J156" s="26">
        <f>IFERROR(__xludf.DUMMYFUNCTION("""COMPUTED_VALUE"""),0.0)</f>
        <v>0</v>
      </c>
      <c r="K156" s="26">
        <f>IFERROR(__xludf.DUMMYFUNCTION("""COMPUTED_VALUE"""),0.0)</f>
        <v>0</v>
      </c>
      <c r="L156" s="26">
        <f>IFERROR(__xludf.DUMMYFUNCTION("""COMPUTED_VALUE"""),0.0)</f>
        <v>0</v>
      </c>
      <c r="M156" s="26"/>
      <c r="N156" s="26"/>
      <c r="O156" s="26"/>
      <c r="P156" s="26"/>
      <c r="Q156" s="26"/>
      <c r="R156" s="26">
        <f>IFERROR(__xludf.DUMMYFUNCTION("""COMPUTED_VALUE"""),524.0)</f>
        <v>524</v>
      </c>
      <c r="S156" s="26">
        <f>IFERROR(__xludf.DUMMYFUNCTION("""COMPUTED_VALUE"""),231556.0)</f>
        <v>231556</v>
      </c>
      <c r="T156" s="26">
        <f>IFERROR(__xludf.DUMMYFUNCTION("""COMPUTED_VALUE"""),83840.0)</f>
        <v>83840</v>
      </c>
      <c r="U156" s="26">
        <f>IFERROR(__xludf.DUMMYFUNCTION("""COMPUTED_VALUE"""),119160.14999999953)</f>
        <v>119160.15</v>
      </c>
      <c r="V156" s="26">
        <f>IFERROR(__xludf.DUMMYFUNCTION("""COMPUTED_VALUE"""),0.0)</f>
        <v>0</v>
      </c>
      <c r="W156" s="26">
        <f>IFERROR(__xludf.DUMMYFUNCTION("""COMPUTED_VALUE"""),0.0)</f>
        <v>0</v>
      </c>
      <c r="X156" s="26">
        <f>IFERROR(__xludf.DUMMYFUNCTION("""COMPUTED_VALUE"""),35320.14999999953)</f>
        <v>35320.15</v>
      </c>
      <c r="Y156" s="26">
        <f>IFERROR(__xludf.DUMMYFUNCTION("""COMPUTED_VALUE"""),35320.14999999953)</f>
        <v>35320.15</v>
      </c>
      <c r="Z156" s="26">
        <f>IFERROR(__xludf.DUMMYFUNCTION("""COMPUTED_VALUE"""),231556.0)</f>
        <v>231556</v>
      </c>
      <c r="AA156" s="26">
        <f>IFERROR(__xludf.DUMMYFUNCTION("""COMPUTED_VALUE"""),124780.46999999884)</f>
        <v>124780.47</v>
      </c>
      <c r="AB156" s="26">
        <f>IFERROR(__xludf.DUMMYFUNCTION("""COMPUTED_VALUE"""),112395.85000000078)</f>
        <v>112395.85</v>
      </c>
      <c r="AC156" s="26">
        <f>IFERROR(__xludf.DUMMYFUNCTION("""COMPUTED_VALUE"""),0.0)</f>
        <v>0</v>
      </c>
      <c r="AD156" s="26">
        <f>IFERROR(__xludf.DUMMYFUNCTION("""COMPUTED_VALUE"""),5620.319999999944)</f>
        <v>5620.32</v>
      </c>
      <c r="AE156" s="26">
        <f>IFERROR(__xludf.DUMMYFUNCTION("""COMPUTED_VALUE"""),106775.53000000086)</f>
        <v>106775.53</v>
      </c>
    </row>
    <row r="157">
      <c r="A157" s="26">
        <f>IFERROR(__xludf.DUMMYFUNCTION("""COMPUTED_VALUE"""),0.0)</f>
        <v>0</v>
      </c>
      <c r="B157" s="26">
        <f>IFERROR(__xludf.DUMMYFUNCTION("""COMPUTED_VALUE"""),0.0)</f>
        <v>0</v>
      </c>
      <c r="C157" s="26">
        <f>IFERROR(__xludf.DUMMYFUNCTION("""COMPUTED_VALUE"""),0.0)</f>
        <v>0</v>
      </c>
      <c r="D157" s="26">
        <f>IFERROR(__xludf.DUMMYFUNCTION("""COMPUTED_VALUE"""),0.0)</f>
        <v>0</v>
      </c>
      <c r="E157" s="26">
        <f>IFERROR(__xludf.DUMMYFUNCTION("""COMPUTED_VALUE"""),0.0)</f>
        <v>0</v>
      </c>
      <c r="F157" s="26">
        <f>IFERROR(__xludf.DUMMYFUNCTION("""COMPUTED_VALUE"""),0.0)</f>
        <v>0</v>
      </c>
      <c r="G157" s="26">
        <f>IFERROR(__xludf.DUMMYFUNCTION("""COMPUTED_VALUE"""),0.0)</f>
        <v>0</v>
      </c>
      <c r="H157" s="26">
        <f>IFERROR(__xludf.DUMMYFUNCTION("""COMPUTED_VALUE"""),0.0)</f>
        <v>0</v>
      </c>
      <c r="I157" s="26">
        <f>IFERROR(__xludf.DUMMYFUNCTION("""COMPUTED_VALUE"""),0.0)</f>
        <v>0</v>
      </c>
      <c r="J157" s="26">
        <f>IFERROR(__xludf.DUMMYFUNCTION("""COMPUTED_VALUE"""),0.0)</f>
        <v>0</v>
      </c>
      <c r="K157" s="26">
        <f>IFERROR(__xludf.DUMMYFUNCTION("""COMPUTED_VALUE"""),0.0)</f>
        <v>0</v>
      </c>
      <c r="L157" s="26">
        <f>IFERROR(__xludf.DUMMYFUNCTION("""COMPUTED_VALUE"""),0.0)</f>
        <v>0</v>
      </c>
      <c r="M157" s="26"/>
      <c r="N157" s="26"/>
      <c r="O157" s="26"/>
      <c r="P157" s="26"/>
      <c r="Q157" s="26"/>
      <c r="R157" s="26">
        <f>IFERROR(__xludf.DUMMYFUNCTION("""COMPUTED_VALUE"""),0.0)</f>
        <v>0</v>
      </c>
      <c r="S157" s="26">
        <f>IFERROR(__xludf.DUMMYFUNCTION("""COMPUTED_VALUE"""),0.0)</f>
        <v>0</v>
      </c>
      <c r="T157" s="26">
        <f>IFERROR(__xludf.DUMMYFUNCTION("""COMPUTED_VALUE"""),0.0)</f>
        <v>0</v>
      </c>
      <c r="U157" s="26">
        <f>IFERROR(__xludf.DUMMYFUNCTION("""COMPUTED_VALUE"""),0.0)</f>
        <v>0</v>
      </c>
      <c r="V157" s="26">
        <f>IFERROR(__xludf.DUMMYFUNCTION("""COMPUTED_VALUE"""),0.0)</f>
        <v>0</v>
      </c>
      <c r="W157" s="26">
        <f>IFERROR(__xludf.DUMMYFUNCTION("""COMPUTED_VALUE"""),0.0)</f>
        <v>0</v>
      </c>
      <c r="X157" s="26">
        <f>IFERROR(__xludf.DUMMYFUNCTION("""COMPUTED_VALUE"""),0.0)</f>
        <v>0</v>
      </c>
      <c r="Y157" s="26">
        <f>IFERROR(__xludf.DUMMYFUNCTION("""COMPUTED_VALUE"""),0.0)</f>
        <v>0</v>
      </c>
      <c r="Z157" s="26">
        <f>IFERROR(__xludf.DUMMYFUNCTION("""COMPUTED_VALUE"""),0.0)</f>
        <v>0</v>
      </c>
      <c r="AA157" s="26">
        <f>IFERROR(__xludf.DUMMYFUNCTION("""COMPUTED_VALUE"""),0.0)</f>
        <v>0</v>
      </c>
      <c r="AB157" s="26">
        <f>IFERROR(__xludf.DUMMYFUNCTION("""COMPUTED_VALUE"""),0.0)</f>
        <v>0</v>
      </c>
      <c r="AC157" s="26">
        <f>IFERROR(__xludf.DUMMYFUNCTION("""COMPUTED_VALUE"""),0.0)</f>
        <v>0</v>
      </c>
      <c r="AD157" s="26">
        <f>IFERROR(__xludf.DUMMYFUNCTION("""COMPUTED_VALUE"""),0.0)</f>
        <v>0</v>
      </c>
      <c r="AE157" s="26">
        <f>IFERROR(__xludf.DUMMYFUNCTION("""COMPUTED_VALUE"""),0.0)</f>
        <v>0</v>
      </c>
    </row>
    <row r="158">
      <c r="A158" s="26">
        <f>IFERROR(__xludf.DUMMYFUNCTION("""COMPUTED_VALUE"""),317.0)</f>
        <v>317</v>
      </c>
      <c r="B158" s="26">
        <f>IFERROR(__xludf.DUMMYFUNCTION("""COMPUTED_VALUE"""),0.0)</f>
        <v>0</v>
      </c>
      <c r="C158" s="26">
        <f>IFERROR(__xludf.DUMMYFUNCTION("""COMPUTED_VALUE"""),0.0)</f>
        <v>0</v>
      </c>
      <c r="D158" s="26">
        <f>IFERROR(__xludf.DUMMYFUNCTION("""COMPUTED_VALUE"""),0.0)</f>
        <v>0</v>
      </c>
      <c r="E158" s="26">
        <f>IFERROR(__xludf.DUMMYFUNCTION("""COMPUTED_VALUE"""),0.0)</f>
        <v>0</v>
      </c>
      <c r="F158" s="26">
        <f>IFERROR(__xludf.DUMMYFUNCTION("""COMPUTED_VALUE"""),0.0)</f>
        <v>0</v>
      </c>
      <c r="G158" s="26">
        <f>IFERROR(__xludf.DUMMYFUNCTION("""COMPUTED_VALUE"""),0.0)</f>
        <v>0</v>
      </c>
      <c r="H158" s="26">
        <f>IFERROR(__xludf.DUMMYFUNCTION("""COMPUTED_VALUE"""),0.0)</f>
        <v>0</v>
      </c>
      <c r="I158" s="26">
        <f>IFERROR(__xludf.DUMMYFUNCTION("""COMPUTED_VALUE"""),0.0)</f>
        <v>0</v>
      </c>
      <c r="J158" s="26">
        <f>IFERROR(__xludf.DUMMYFUNCTION("""COMPUTED_VALUE"""),0.0)</f>
        <v>0</v>
      </c>
      <c r="K158" s="26">
        <f>IFERROR(__xludf.DUMMYFUNCTION("""COMPUTED_VALUE"""),0.0)</f>
        <v>0</v>
      </c>
      <c r="L158" s="26">
        <f>IFERROR(__xludf.DUMMYFUNCTION("""COMPUTED_VALUE"""),0.0)</f>
        <v>0</v>
      </c>
      <c r="M158" s="26"/>
      <c r="N158" s="26"/>
      <c r="O158" s="26"/>
      <c r="P158" s="26"/>
      <c r="Q158" s="26"/>
      <c r="R158" s="26">
        <f>IFERROR(__xludf.DUMMYFUNCTION("""COMPUTED_VALUE"""),317.0)</f>
        <v>317</v>
      </c>
      <c r="S158" s="26">
        <f>IFERROR(__xludf.DUMMYFUNCTION("""COMPUTED_VALUE"""),123630.0)</f>
        <v>123630</v>
      </c>
      <c r="T158" s="26">
        <f>IFERROR(__xludf.DUMMYFUNCTION("""COMPUTED_VALUE"""),49135.0)</f>
        <v>49135</v>
      </c>
      <c r="U158" s="26">
        <f>IFERROR(__xludf.DUMMYFUNCTION("""COMPUTED_VALUE"""),67993.33000000002)</f>
        <v>67993.33</v>
      </c>
      <c r="V158" s="26">
        <f>IFERROR(__xludf.DUMMYFUNCTION("""COMPUTED_VALUE"""),0.0)</f>
        <v>0</v>
      </c>
      <c r="W158" s="26">
        <f>IFERROR(__xludf.DUMMYFUNCTION("""COMPUTED_VALUE"""),0.0)</f>
        <v>0</v>
      </c>
      <c r="X158" s="26">
        <f>IFERROR(__xludf.DUMMYFUNCTION("""COMPUTED_VALUE"""),18858.330000000016)</f>
        <v>18858.33</v>
      </c>
      <c r="Y158" s="26">
        <f>IFERROR(__xludf.DUMMYFUNCTION("""COMPUTED_VALUE"""),18858.330000000016)</f>
        <v>18858.33</v>
      </c>
      <c r="Z158" s="26">
        <f>IFERROR(__xludf.DUMMYFUNCTION("""COMPUTED_VALUE"""),123630.0)</f>
        <v>123630</v>
      </c>
      <c r="AA158" s="26">
        <f>IFERROR(__xludf.DUMMYFUNCTION("""COMPUTED_VALUE"""),70776.58999999968)</f>
        <v>70776.59</v>
      </c>
      <c r="AB158" s="26">
        <f>IFERROR(__xludf.DUMMYFUNCTION("""COMPUTED_VALUE"""),55636.67000000014)</f>
        <v>55636.67</v>
      </c>
      <c r="AC158" s="26">
        <f>IFERROR(__xludf.DUMMYFUNCTION("""COMPUTED_VALUE"""),0.0)</f>
        <v>0</v>
      </c>
      <c r="AD158" s="26">
        <f>IFERROR(__xludf.DUMMYFUNCTION("""COMPUTED_VALUE"""),2783.260000000011)</f>
        <v>2783.26</v>
      </c>
      <c r="AE158" s="26">
        <f>IFERROR(__xludf.DUMMYFUNCTION("""COMPUTED_VALUE"""),52853.41000000031)</f>
        <v>52853.41</v>
      </c>
    </row>
    <row r="159">
      <c r="A159" s="26">
        <f>IFERROR(__xludf.DUMMYFUNCTION("""COMPUTED_VALUE"""),0.0)</f>
        <v>0</v>
      </c>
      <c r="B159" s="26">
        <f>IFERROR(__xludf.DUMMYFUNCTION("""COMPUTED_VALUE"""),0.0)</f>
        <v>0</v>
      </c>
      <c r="C159" s="26">
        <f>IFERROR(__xludf.DUMMYFUNCTION("""COMPUTED_VALUE"""),0.0)</f>
        <v>0</v>
      </c>
      <c r="D159" s="26">
        <f>IFERROR(__xludf.DUMMYFUNCTION("""COMPUTED_VALUE"""),0.0)</f>
        <v>0</v>
      </c>
      <c r="E159" s="26">
        <f>IFERROR(__xludf.DUMMYFUNCTION("""COMPUTED_VALUE"""),0.0)</f>
        <v>0</v>
      </c>
      <c r="F159" s="26">
        <f>IFERROR(__xludf.DUMMYFUNCTION("""COMPUTED_VALUE"""),0.0)</f>
        <v>0</v>
      </c>
      <c r="G159" s="26">
        <f>IFERROR(__xludf.DUMMYFUNCTION("""COMPUTED_VALUE"""),0.0)</f>
        <v>0</v>
      </c>
      <c r="H159" s="26">
        <f>IFERROR(__xludf.DUMMYFUNCTION("""COMPUTED_VALUE"""),0.0)</f>
        <v>0</v>
      </c>
      <c r="I159" s="26">
        <f>IFERROR(__xludf.DUMMYFUNCTION("""COMPUTED_VALUE"""),0.0)</f>
        <v>0</v>
      </c>
      <c r="J159" s="26">
        <f>IFERROR(__xludf.DUMMYFUNCTION("""COMPUTED_VALUE"""),0.0)</f>
        <v>0</v>
      </c>
      <c r="K159" s="26">
        <f>IFERROR(__xludf.DUMMYFUNCTION("""COMPUTED_VALUE"""),0.0)</f>
        <v>0</v>
      </c>
      <c r="L159" s="26">
        <f>IFERROR(__xludf.DUMMYFUNCTION("""COMPUTED_VALUE"""),0.0)</f>
        <v>0</v>
      </c>
      <c r="M159" s="26"/>
      <c r="N159" s="26"/>
      <c r="O159" s="26"/>
      <c r="P159" s="26"/>
      <c r="Q159" s="26"/>
      <c r="R159" s="26">
        <f>IFERROR(__xludf.DUMMYFUNCTION("""COMPUTED_VALUE"""),0.0)</f>
        <v>0</v>
      </c>
      <c r="S159" s="26">
        <f>IFERROR(__xludf.DUMMYFUNCTION("""COMPUTED_VALUE"""),0.0)</f>
        <v>0</v>
      </c>
      <c r="T159" s="26">
        <f>IFERROR(__xludf.DUMMYFUNCTION("""COMPUTED_VALUE"""),0.0)</f>
        <v>0</v>
      </c>
      <c r="U159" s="26">
        <f>IFERROR(__xludf.DUMMYFUNCTION("""COMPUTED_VALUE"""),0.0)</f>
        <v>0</v>
      </c>
      <c r="V159" s="26">
        <f>IFERROR(__xludf.DUMMYFUNCTION("""COMPUTED_VALUE"""),0.0)</f>
        <v>0</v>
      </c>
      <c r="W159" s="26">
        <f>IFERROR(__xludf.DUMMYFUNCTION("""COMPUTED_VALUE"""),0.0)</f>
        <v>0</v>
      </c>
      <c r="X159" s="26">
        <f>IFERROR(__xludf.DUMMYFUNCTION("""COMPUTED_VALUE"""),0.0)</f>
        <v>0</v>
      </c>
      <c r="Y159" s="26">
        <f>IFERROR(__xludf.DUMMYFUNCTION("""COMPUTED_VALUE"""),0.0)</f>
        <v>0</v>
      </c>
      <c r="Z159" s="26">
        <f>IFERROR(__xludf.DUMMYFUNCTION("""COMPUTED_VALUE"""),0.0)</f>
        <v>0</v>
      </c>
      <c r="AA159" s="26">
        <f>IFERROR(__xludf.DUMMYFUNCTION("""COMPUTED_VALUE"""),0.0)</f>
        <v>0</v>
      </c>
      <c r="AB159" s="26">
        <f>IFERROR(__xludf.DUMMYFUNCTION("""COMPUTED_VALUE"""),0.0)</f>
        <v>0</v>
      </c>
      <c r="AC159" s="26">
        <f>IFERROR(__xludf.DUMMYFUNCTION("""COMPUTED_VALUE"""),0.0)</f>
        <v>0</v>
      </c>
      <c r="AD159" s="26">
        <f>IFERROR(__xludf.DUMMYFUNCTION("""COMPUTED_VALUE"""),0.0)</f>
        <v>0</v>
      </c>
      <c r="AE159" s="26">
        <f>IFERROR(__xludf.DUMMYFUNCTION("""COMPUTED_VALUE"""),0.0)</f>
        <v>0</v>
      </c>
    </row>
    <row r="160">
      <c r="A160" s="26">
        <f>IFERROR(__xludf.DUMMYFUNCTION("""COMPUTED_VALUE"""),0.0)</f>
        <v>0</v>
      </c>
      <c r="B160" s="26">
        <f>IFERROR(__xludf.DUMMYFUNCTION("""COMPUTED_VALUE"""),0.0)</f>
        <v>0</v>
      </c>
      <c r="C160" s="26">
        <f>IFERROR(__xludf.DUMMYFUNCTION("""COMPUTED_VALUE"""),0.0)</f>
        <v>0</v>
      </c>
      <c r="D160" s="26">
        <f>IFERROR(__xludf.DUMMYFUNCTION("""COMPUTED_VALUE"""),0.0)</f>
        <v>0</v>
      </c>
      <c r="E160" s="26">
        <f>IFERROR(__xludf.DUMMYFUNCTION("""COMPUTED_VALUE"""),0.0)</f>
        <v>0</v>
      </c>
      <c r="F160" s="26">
        <f>IFERROR(__xludf.DUMMYFUNCTION("""COMPUTED_VALUE"""),0.0)</f>
        <v>0</v>
      </c>
      <c r="G160" s="26">
        <f>IFERROR(__xludf.DUMMYFUNCTION("""COMPUTED_VALUE"""),0.0)</f>
        <v>0</v>
      </c>
      <c r="H160" s="26">
        <f>IFERROR(__xludf.DUMMYFUNCTION("""COMPUTED_VALUE"""),0.0)</f>
        <v>0</v>
      </c>
      <c r="I160" s="26">
        <f>IFERROR(__xludf.DUMMYFUNCTION("""COMPUTED_VALUE"""),0.0)</f>
        <v>0</v>
      </c>
      <c r="J160" s="26">
        <f>IFERROR(__xludf.DUMMYFUNCTION("""COMPUTED_VALUE"""),0.0)</f>
        <v>0</v>
      </c>
      <c r="K160" s="26">
        <f>IFERROR(__xludf.DUMMYFUNCTION("""COMPUTED_VALUE"""),0.0)</f>
        <v>0</v>
      </c>
      <c r="L160" s="26">
        <f>IFERROR(__xludf.DUMMYFUNCTION("""COMPUTED_VALUE"""),0.0)</f>
        <v>0</v>
      </c>
      <c r="M160" s="26"/>
      <c r="N160" s="26"/>
      <c r="O160" s="26"/>
      <c r="P160" s="26"/>
      <c r="Q160" s="26"/>
      <c r="R160" s="26">
        <f>IFERROR(__xludf.DUMMYFUNCTION("""COMPUTED_VALUE"""),0.0)</f>
        <v>0</v>
      </c>
      <c r="S160" s="26">
        <f>IFERROR(__xludf.DUMMYFUNCTION("""COMPUTED_VALUE"""),0.0)</f>
        <v>0</v>
      </c>
      <c r="T160" s="26">
        <f>IFERROR(__xludf.DUMMYFUNCTION("""COMPUTED_VALUE"""),0.0)</f>
        <v>0</v>
      </c>
      <c r="U160" s="26">
        <f>IFERROR(__xludf.DUMMYFUNCTION("""COMPUTED_VALUE"""),0.0)</f>
        <v>0</v>
      </c>
      <c r="V160" s="26">
        <f>IFERROR(__xludf.DUMMYFUNCTION("""COMPUTED_VALUE"""),0.0)</f>
        <v>0</v>
      </c>
      <c r="W160" s="26">
        <f>IFERROR(__xludf.DUMMYFUNCTION("""COMPUTED_VALUE"""),0.0)</f>
        <v>0</v>
      </c>
      <c r="X160" s="26">
        <f>IFERROR(__xludf.DUMMYFUNCTION("""COMPUTED_VALUE"""),0.0)</f>
        <v>0</v>
      </c>
      <c r="Y160" s="26">
        <f>IFERROR(__xludf.DUMMYFUNCTION("""COMPUTED_VALUE"""),0.0)</f>
        <v>0</v>
      </c>
      <c r="Z160" s="26">
        <f>IFERROR(__xludf.DUMMYFUNCTION("""COMPUTED_VALUE"""),0.0)</f>
        <v>0</v>
      </c>
      <c r="AA160" s="26">
        <f>IFERROR(__xludf.DUMMYFUNCTION("""COMPUTED_VALUE"""),0.0)</f>
        <v>0</v>
      </c>
      <c r="AB160" s="26">
        <f>IFERROR(__xludf.DUMMYFUNCTION("""COMPUTED_VALUE"""),0.0)</f>
        <v>0</v>
      </c>
      <c r="AC160" s="26">
        <f>IFERROR(__xludf.DUMMYFUNCTION("""COMPUTED_VALUE"""),0.0)</f>
        <v>0</v>
      </c>
      <c r="AD160" s="26">
        <f>IFERROR(__xludf.DUMMYFUNCTION("""COMPUTED_VALUE"""),0.0)</f>
        <v>0</v>
      </c>
      <c r="AE160" s="26">
        <f>IFERROR(__xludf.DUMMYFUNCTION("""COMPUTED_VALUE"""),0.0)</f>
        <v>0</v>
      </c>
    </row>
    <row r="161">
      <c r="A161" s="26">
        <f>IFERROR(__xludf.DUMMYFUNCTION("""COMPUTED_VALUE"""),0.0)</f>
        <v>0</v>
      </c>
      <c r="B161" s="26">
        <f>IFERROR(__xludf.DUMMYFUNCTION("""COMPUTED_VALUE"""),0.0)</f>
        <v>0</v>
      </c>
      <c r="C161" s="26">
        <f>IFERROR(__xludf.DUMMYFUNCTION("""COMPUTED_VALUE"""),85.0)</f>
        <v>85</v>
      </c>
      <c r="D161" s="26">
        <f>IFERROR(__xludf.DUMMYFUNCTION("""COMPUTED_VALUE"""),0.0)</f>
        <v>0</v>
      </c>
      <c r="E161" s="26">
        <f>IFERROR(__xludf.DUMMYFUNCTION("""COMPUTED_VALUE"""),0.0)</f>
        <v>0</v>
      </c>
      <c r="F161" s="26">
        <f>IFERROR(__xludf.DUMMYFUNCTION("""COMPUTED_VALUE"""),0.0)</f>
        <v>0</v>
      </c>
      <c r="G161" s="26">
        <f>IFERROR(__xludf.DUMMYFUNCTION("""COMPUTED_VALUE"""),0.0)</f>
        <v>0</v>
      </c>
      <c r="H161" s="26">
        <f>IFERROR(__xludf.DUMMYFUNCTION("""COMPUTED_VALUE"""),0.0)</f>
        <v>0</v>
      </c>
      <c r="I161" s="26">
        <f>IFERROR(__xludf.DUMMYFUNCTION("""COMPUTED_VALUE"""),0.0)</f>
        <v>0</v>
      </c>
      <c r="J161" s="26">
        <f>IFERROR(__xludf.DUMMYFUNCTION("""COMPUTED_VALUE"""),0.0)</f>
        <v>0</v>
      </c>
      <c r="K161" s="26">
        <f>IFERROR(__xludf.DUMMYFUNCTION("""COMPUTED_VALUE"""),0.0)</f>
        <v>0</v>
      </c>
      <c r="L161" s="26">
        <f>IFERROR(__xludf.DUMMYFUNCTION("""COMPUTED_VALUE"""),0.0)</f>
        <v>0</v>
      </c>
      <c r="M161" s="26"/>
      <c r="N161" s="26"/>
      <c r="O161" s="26"/>
      <c r="P161" s="26"/>
      <c r="Q161" s="26"/>
      <c r="R161" s="26">
        <f>IFERROR(__xludf.DUMMYFUNCTION("""COMPUTED_VALUE"""),85.0)</f>
        <v>85</v>
      </c>
      <c r="S161" s="26">
        <f>IFERROR(__xludf.DUMMYFUNCTION("""COMPUTED_VALUE"""),37570.0)</f>
        <v>37570</v>
      </c>
      <c r="T161" s="26">
        <f>IFERROR(__xludf.DUMMYFUNCTION("""COMPUTED_VALUE"""),16150.0)</f>
        <v>16150</v>
      </c>
      <c r="U161" s="26">
        <f>IFERROR(__xludf.DUMMYFUNCTION("""COMPUTED_VALUE"""),21880.700000000004)</f>
        <v>21880.7</v>
      </c>
      <c r="V161" s="26">
        <f>IFERROR(__xludf.DUMMYFUNCTION("""COMPUTED_VALUE"""),0.0)</f>
        <v>0</v>
      </c>
      <c r="W161" s="26">
        <f>IFERROR(__xludf.DUMMYFUNCTION("""COMPUTED_VALUE"""),0.0)</f>
        <v>0</v>
      </c>
      <c r="X161" s="26">
        <f>IFERROR(__xludf.DUMMYFUNCTION("""COMPUTED_VALUE"""),5730.700000000004)</f>
        <v>5730.7</v>
      </c>
      <c r="Y161" s="26">
        <f>IFERROR(__xludf.DUMMYFUNCTION("""COMPUTED_VALUE"""),5730.700000000004)</f>
        <v>5730.7</v>
      </c>
      <c r="Z161" s="26">
        <f>IFERROR(__xludf.DUMMYFUNCTION("""COMPUTED_VALUE"""),22665.25000000002)</f>
        <v>22665.25</v>
      </c>
      <c r="AA161" s="26">
        <f>IFERROR(__xludf.DUMMYFUNCTION("""COMPUTED_VALUE"""),22665.25000000002)</f>
        <v>22665.25</v>
      </c>
      <c r="AB161" s="26">
        <f>IFERROR(__xludf.DUMMYFUNCTION("""COMPUTED_VALUE"""),15689.299999999996)</f>
        <v>15689.3</v>
      </c>
      <c r="AC161" s="26">
        <f>IFERROR(__xludf.DUMMYFUNCTION("""COMPUTED_VALUE"""),14904.75000000002)</f>
        <v>14904.75</v>
      </c>
      <c r="AD161" s="26">
        <f>IFERROR(__xludf.DUMMYFUNCTION("""COMPUTED_VALUE"""),784.5500000000009)</f>
        <v>784.55</v>
      </c>
      <c r="AE161" s="26">
        <f>IFERROR(__xludf.DUMMYFUNCTION("""COMPUTED_VALUE"""),0.0)</f>
        <v>0</v>
      </c>
    </row>
    <row r="162">
      <c r="A162" s="26">
        <f>IFERROR(__xludf.DUMMYFUNCTION("""COMPUTED_VALUE"""),0.0)</f>
        <v>0</v>
      </c>
      <c r="B162" s="26">
        <f>IFERROR(__xludf.DUMMYFUNCTION("""COMPUTED_VALUE"""),294.0)</f>
        <v>294</v>
      </c>
      <c r="C162" s="26">
        <f>IFERROR(__xludf.DUMMYFUNCTION("""COMPUTED_VALUE"""),0.0)</f>
        <v>0</v>
      </c>
      <c r="D162" s="26">
        <f>IFERROR(__xludf.DUMMYFUNCTION("""COMPUTED_VALUE"""),0.0)</f>
        <v>0</v>
      </c>
      <c r="E162" s="26">
        <f>IFERROR(__xludf.DUMMYFUNCTION("""COMPUTED_VALUE"""),0.0)</f>
        <v>0</v>
      </c>
      <c r="F162" s="26">
        <f>IFERROR(__xludf.DUMMYFUNCTION("""COMPUTED_VALUE"""),0.0)</f>
        <v>0</v>
      </c>
      <c r="G162" s="26">
        <f>IFERROR(__xludf.DUMMYFUNCTION("""COMPUTED_VALUE"""),0.0)</f>
        <v>0</v>
      </c>
      <c r="H162" s="26">
        <f>IFERROR(__xludf.DUMMYFUNCTION("""COMPUTED_VALUE"""),0.0)</f>
        <v>0</v>
      </c>
      <c r="I162" s="26">
        <f>IFERROR(__xludf.DUMMYFUNCTION("""COMPUTED_VALUE"""),0.0)</f>
        <v>0</v>
      </c>
      <c r="J162" s="26">
        <f>IFERROR(__xludf.DUMMYFUNCTION("""COMPUTED_VALUE"""),0.0)</f>
        <v>0</v>
      </c>
      <c r="K162" s="26">
        <f>IFERROR(__xludf.DUMMYFUNCTION("""COMPUTED_VALUE"""),0.0)</f>
        <v>0</v>
      </c>
      <c r="L162" s="26">
        <f>IFERROR(__xludf.DUMMYFUNCTION("""COMPUTED_VALUE"""),0.0)</f>
        <v>0</v>
      </c>
      <c r="M162" s="26"/>
      <c r="N162" s="26"/>
      <c r="O162" s="26"/>
      <c r="P162" s="26"/>
      <c r="Q162" s="26"/>
      <c r="R162" s="26">
        <f>IFERROR(__xludf.DUMMYFUNCTION("""COMPUTED_VALUE"""),294.0)</f>
        <v>294</v>
      </c>
      <c r="S162" s="26">
        <f>IFERROR(__xludf.DUMMYFUNCTION("""COMPUTED_VALUE"""),27753.60000000013)</f>
        <v>27753.6</v>
      </c>
      <c r="T162" s="26">
        <f>IFERROR(__xludf.DUMMYFUNCTION("""COMPUTED_VALUE"""),23520.0)</f>
        <v>23520</v>
      </c>
      <c r="U162" s="26">
        <f>IFERROR(__xludf.DUMMYFUNCTION("""COMPUTED_VALUE"""),27753.600000000013)</f>
        <v>27753.6</v>
      </c>
      <c r="V162" s="26">
        <f>IFERROR(__xludf.DUMMYFUNCTION("""COMPUTED_VALUE"""),0.0)</f>
        <v>0</v>
      </c>
      <c r="W162" s="26">
        <f>IFERROR(__xludf.DUMMYFUNCTION("""COMPUTED_VALUE"""),0.0)</f>
        <v>0</v>
      </c>
      <c r="X162" s="26">
        <f>IFERROR(__xludf.DUMMYFUNCTION("""COMPUTED_VALUE"""),4233.600000000015)</f>
        <v>4233.6</v>
      </c>
      <c r="Y162" s="26">
        <f>IFERROR(__xludf.DUMMYFUNCTION("""COMPUTED_VALUE"""),4233.600000000015)</f>
        <v>4233.6</v>
      </c>
      <c r="Z162" s="26">
        <f>IFERROR(__xludf.DUMMYFUNCTION("""COMPUTED_VALUE"""),27753.60000000013)</f>
        <v>27753.6</v>
      </c>
      <c r="AA162" s="26">
        <f>IFERROR(__xludf.DUMMYFUNCTION("""COMPUTED_VALUE"""),27753.60000000013)</f>
        <v>27753.6</v>
      </c>
      <c r="AB162" s="26">
        <f>IFERROR(__xludf.DUMMYFUNCTION("""COMPUTED_VALUE"""),0.0)</f>
        <v>0</v>
      </c>
      <c r="AC162" s="26">
        <f>IFERROR(__xludf.DUMMYFUNCTION("""COMPUTED_VALUE"""),0.0)</f>
        <v>0</v>
      </c>
      <c r="AD162" s="26">
        <f>IFERROR(__xludf.DUMMYFUNCTION("""COMPUTED_VALUE"""),0.0)</f>
        <v>0</v>
      </c>
      <c r="AE162" s="26">
        <f>IFERROR(__xludf.DUMMYFUNCTION("""COMPUTED_VALUE"""),0.0)</f>
        <v>0</v>
      </c>
    </row>
    <row r="163">
      <c r="A163" s="26">
        <f>IFERROR(__xludf.DUMMYFUNCTION("""COMPUTED_VALUE"""),0.0)</f>
        <v>0</v>
      </c>
      <c r="B163" s="26">
        <f>IFERROR(__xludf.DUMMYFUNCTION("""COMPUTED_VALUE"""),2.0)</f>
        <v>2</v>
      </c>
      <c r="C163" s="26">
        <f>IFERROR(__xludf.DUMMYFUNCTION("""COMPUTED_VALUE"""),0.0)</f>
        <v>0</v>
      </c>
      <c r="D163" s="26">
        <f>IFERROR(__xludf.DUMMYFUNCTION("""COMPUTED_VALUE"""),0.0)</f>
        <v>0</v>
      </c>
      <c r="E163" s="26">
        <f>IFERROR(__xludf.DUMMYFUNCTION("""COMPUTED_VALUE"""),0.0)</f>
        <v>0</v>
      </c>
      <c r="F163" s="26">
        <f>IFERROR(__xludf.DUMMYFUNCTION("""COMPUTED_VALUE"""),0.0)</f>
        <v>0</v>
      </c>
      <c r="G163" s="26">
        <f>IFERROR(__xludf.DUMMYFUNCTION("""COMPUTED_VALUE"""),0.0)</f>
        <v>0</v>
      </c>
      <c r="H163" s="26">
        <f>IFERROR(__xludf.DUMMYFUNCTION("""COMPUTED_VALUE"""),0.0)</f>
        <v>0</v>
      </c>
      <c r="I163" s="26">
        <f>IFERROR(__xludf.DUMMYFUNCTION("""COMPUTED_VALUE"""),0.0)</f>
        <v>0</v>
      </c>
      <c r="J163" s="26">
        <f>IFERROR(__xludf.DUMMYFUNCTION("""COMPUTED_VALUE"""),0.0)</f>
        <v>0</v>
      </c>
      <c r="K163" s="26">
        <f>IFERROR(__xludf.DUMMYFUNCTION("""COMPUTED_VALUE"""),0.0)</f>
        <v>0</v>
      </c>
      <c r="L163" s="26">
        <f>IFERROR(__xludf.DUMMYFUNCTION("""COMPUTED_VALUE"""),0.0)</f>
        <v>0</v>
      </c>
      <c r="M163" s="26"/>
      <c r="N163" s="26"/>
      <c r="O163" s="26"/>
      <c r="P163" s="26"/>
      <c r="Q163" s="26"/>
      <c r="R163" s="26">
        <f>IFERROR(__xludf.DUMMYFUNCTION("""COMPUTED_VALUE"""),2.0)</f>
        <v>2</v>
      </c>
      <c r="S163" s="26">
        <f>IFERROR(__xludf.DUMMYFUNCTION("""COMPUTED_VALUE"""),1200.0)</f>
        <v>1200</v>
      </c>
      <c r="T163" s="26">
        <f>IFERROR(__xludf.DUMMYFUNCTION("""COMPUTED_VALUE"""),120.0)</f>
        <v>120</v>
      </c>
      <c r="U163" s="26">
        <f>IFERROR(__xludf.DUMMYFUNCTION("""COMPUTED_VALUE"""),303.06)</f>
        <v>303.06</v>
      </c>
      <c r="V163" s="26">
        <f>IFERROR(__xludf.DUMMYFUNCTION("""COMPUTED_VALUE"""),0.0)</f>
        <v>0</v>
      </c>
      <c r="W163" s="26">
        <f>IFERROR(__xludf.DUMMYFUNCTION("""COMPUTED_VALUE"""),0.0)</f>
        <v>0</v>
      </c>
      <c r="X163" s="26">
        <f>IFERROR(__xludf.DUMMYFUNCTION("""COMPUTED_VALUE"""),183.06)</f>
        <v>183.06</v>
      </c>
      <c r="Y163" s="26">
        <f>IFERROR(__xludf.DUMMYFUNCTION("""COMPUTED_VALUE"""),183.06)</f>
        <v>183.06</v>
      </c>
      <c r="Z163" s="26">
        <f>IFERROR(__xludf.DUMMYFUNCTION("""COMPUTED_VALUE"""),1200.0)</f>
        <v>1200</v>
      </c>
      <c r="AA163" s="26">
        <f>IFERROR(__xludf.DUMMYFUNCTION("""COMPUTED_VALUE"""),347.9)</f>
        <v>347.9</v>
      </c>
      <c r="AB163" s="26">
        <f>IFERROR(__xludf.DUMMYFUNCTION("""COMPUTED_VALUE"""),896.94)</f>
        <v>896.94</v>
      </c>
      <c r="AC163" s="26">
        <f>IFERROR(__xludf.DUMMYFUNCTION("""COMPUTED_VALUE"""),0.0)</f>
        <v>0</v>
      </c>
      <c r="AD163" s="26">
        <f>IFERROR(__xludf.DUMMYFUNCTION("""COMPUTED_VALUE"""),44.84)</f>
        <v>44.84</v>
      </c>
      <c r="AE163" s="26">
        <f>IFERROR(__xludf.DUMMYFUNCTION("""COMPUTED_VALUE"""),852.1)</f>
        <v>852.1</v>
      </c>
    </row>
    <row r="164">
      <c r="A164" s="26">
        <f>IFERROR(__xludf.DUMMYFUNCTION("""COMPUTED_VALUE"""),0.0)</f>
        <v>0</v>
      </c>
      <c r="B164" s="26">
        <f>IFERROR(__xludf.DUMMYFUNCTION("""COMPUTED_VALUE"""),0.0)</f>
        <v>0</v>
      </c>
      <c r="C164" s="26">
        <f>IFERROR(__xludf.DUMMYFUNCTION("""COMPUTED_VALUE"""),0.0)</f>
        <v>0</v>
      </c>
      <c r="D164" s="26">
        <f>IFERROR(__xludf.DUMMYFUNCTION("""COMPUTED_VALUE"""),0.0)</f>
        <v>0</v>
      </c>
      <c r="E164" s="26">
        <f>IFERROR(__xludf.DUMMYFUNCTION("""COMPUTED_VALUE"""),0.0)</f>
        <v>0</v>
      </c>
      <c r="F164" s="26">
        <f>IFERROR(__xludf.DUMMYFUNCTION("""COMPUTED_VALUE"""),0.0)</f>
        <v>0</v>
      </c>
      <c r="G164" s="26">
        <f>IFERROR(__xludf.DUMMYFUNCTION("""COMPUTED_VALUE"""),0.0)</f>
        <v>0</v>
      </c>
      <c r="H164" s="26">
        <f>IFERROR(__xludf.DUMMYFUNCTION("""COMPUTED_VALUE"""),0.0)</f>
        <v>0</v>
      </c>
      <c r="I164" s="26">
        <f>IFERROR(__xludf.DUMMYFUNCTION("""COMPUTED_VALUE"""),0.0)</f>
        <v>0</v>
      </c>
      <c r="J164" s="26">
        <f>IFERROR(__xludf.DUMMYFUNCTION("""COMPUTED_VALUE"""),0.0)</f>
        <v>0</v>
      </c>
      <c r="K164" s="26">
        <f>IFERROR(__xludf.DUMMYFUNCTION("""COMPUTED_VALUE"""),0.0)</f>
        <v>0</v>
      </c>
      <c r="L164" s="26">
        <f>IFERROR(__xludf.DUMMYFUNCTION("""COMPUTED_VALUE"""),0.0)</f>
        <v>0</v>
      </c>
      <c r="M164" s="26"/>
      <c r="N164" s="26"/>
      <c r="O164" s="26"/>
      <c r="P164" s="26"/>
      <c r="Q164" s="26"/>
      <c r="R164" s="26">
        <f>IFERROR(__xludf.DUMMYFUNCTION("""COMPUTED_VALUE"""),0.0)</f>
        <v>0</v>
      </c>
      <c r="S164" s="26">
        <f>IFERROR(__xludf.DUMMYFUNCTION("""COMPUTED_VALUE"""),0.0)</f>
        <v>0</v>
      </c>
      <c r="T164" s="26">
        <f>IFERROR(__xludf.DUMMYFUNCTION("""COMPUTED_VALUE"""),0.0)</f>
        <v>0</v>
      </c>
      <c r="U164" s="26">
        <f>IFERROR(__xludf.DUMMYFUNCTION("""COMPUTED_VALUE"""),0.0)</f>
        <v>0</v>
      </c>
      <c r="V164" s="26">
        <f>IFERROR(__xludf.DUMMYFUNCTION("""COMPUTED_VALUE"""),0.0)</f>
        <v>0</v>
      </c>
      <c r="W164" s="26">
        <f>IFERROR(__xludf.DUMMYFUNCTION("""COMPUTED_VALUE"""),0.0)</f>
        <v>0</v>
      </c>
      <c r="X164" s="26">
        <f>IFERROR(__xludf.DUMMYFUNCTION("""COMPUTED_VALUE"""),0.0)</f>
        <v>0</v>
      </c>
      <c r="Y164" s="26">
        <f>IFERROR(__xludf.DUMMYFUNCTION("""COMPUTED_VALUE"""),0.0)</f>
        <v>0</v>
      </c>
      <c r="Z164" s="26">
        <f>IFERROR(__xludf.DUMMYFUNCTION("""COMPUTED_VALUE"""),0.0)</f>
        <v>0</v>
      </c>
      <c r="AA164" s="26">
        <f>IFERROR(__xludf.DUMMYFUNCTION("""COMPUTED_VALUE"""),0.0)</f>
        <v>0</v>
      </c>
      <c r="AB164" s="26">
        <f>IFERROR(__xludf.DUMMYFUNCTION("""COMPUTED_VALUE"""),0.0)</f>
        <v>0</v>
      </c>
      <c r="AC164" s="26">
        <f>IFERROR(__xludf.DUMMYFUNCTION("""COMPUTED_VALUE"""),0.0)</f>
        <v>0</v>
      </c>
      <c r="AD164" s="26">
        <f>IFERROR(__xludf.DUMMYFUNCTION("""COMPUTED_VALUE"""),0.0)</f>
        <v>0</v>
      </c>
      <c r="AE164" s="26">
        <f>IFERROR(__xludf.DUMMYFUNCTION("""COMPUTED_VALUE"""),0.0)</f>
        <v>0</v>
      </c>
    </row>
    <row r="165">
      <c r="A165" s="26">
        <f>IFERROR(__xludf.DUMMYFUNCTION("""COMPUTED_VALUE"""),0.0)</f>
        <v>0</v>
      </c>
      <c r="B165" s="26">
        <f>IFERROR(__xludf.DUMMYFUNCTION("""COMPUTED_VALUE"""),0.0)</f>
        <v>0</v>
      </c>
      <c r="C165" s="26">
        <f>IFERROR(__xludf.DUMMYFUNCTION("""COMPUTED_VALUE"""),0.0)</f>
        <v>0</v>
      </c>
      <c r="D165" s="26">
        <f>IFERROR(__xludf.DUMMYFUNCTION("""COMPUTED_VALUE"""),0.0)</f>
        <v>0</v>
      </c>
      <c r="E165" s="26">
        <f>IFERROR(__xludf.DUMMYFUNCTION("""COMPUTED_VALUE"""),0.0)</f>
        <v>0</v>
      </c>
      <c r="F165" s="26">
        <f>IFERROR(__xludf.DUMMYFUNCTION("""COMPUTED_VALUE"""),0.0)</f>
        <v>0</v>
      </c>
      <c r="G165" s="26">
        <f>IFERROR(__xludf.DUMMYFUNCTION("""COMPUTED_VALUE"""),0.0)</f>
        <v>0</v>
      </c>
      <c r="H165" s="26">
        <f>IFERROR(__xludf.DUMMYFUNCTION("""COMPUTED_VALUE"""),0.0)</f>
        <v>0</v>
      </c>
      <c r="I165" s="26">
        <f>IFERROR(__xludf.DUMMYFUNCTION("""COMPUTED_VALUE"""),0.0)</f>
        <v>0</v>
      </c>
      <c r="J165" s="26">
        <f>IFERROR(__xludf.DUMMYFUNCTION("""COMPUTED_VALUE"""),0.0)</f>
        <v>0</v>
      </c>
      <c r="K165" s="26">
        <f>IFERROR(__xludf.DUMMYFUNCTION("""COMPUTED_VALUE"""),0.0)</f>
        <v>0</v>
      </c>
      <c r="L165" s="26">
        <f>IFERROR(__xludf.DUMMYFUNCTION("""COMPUTED_VALUE"""),0.0)</f>
        <v>0</v>
      </c>
      <c r="M165" s="26"/>
      <c r="N165" s="26"/>
      <c r="O165" s="26"/>
      <c r="P165" s="26"/>
      <c r="Q165" s="26"/>
      <c r="R165" s="26">
        <f>IFERROR(__xludf.DUMMYFUNCTION("""COMPUTED_VALUE"""),0.0)</f>
        <v>0</v>
      </c>
      <c r="S165" s="26">
        <f>IFERROR(__xludf.DUMMYFUNCTION("""COMPUTED_VALUE"""),0.0)</f>
        <v>0</v>
      </c>
      <c r="T165" s="26">
        <f>IFERROR(__xludf.DUMMYFUNCTION("""COMPUTED_VALUE"""),0.0)</f>
        <v>0</v>
      </c>
      <c r="U165" s="26">
        <f>IFERROR(__xludf.DUMMYFUNCTION("""COMPUTED_VALUE"""),0.0)</f>
        <v>0</v>
      </c>
      <c r="V165" s="26">
        <f>IFERROR(__xludf.DUMMYFUNCTION("""COMPUTED_VALUE"""),0.0)</f>
        <v>0</v>
      </c>
      <c r="W165" s="26">
        <f>IFERROR(__xludf.DUMMYFUNCTION("""COMPUTED_VALUE"""),0.0)</f>
        <v>0</v>
      </c>
      <c r="X165" s="26">
        <f>IFERROR(__xludf.DUMMYFUNCTION("""COMPUTED_VALUE"""),0.0)</f>
        <v>0</v>
      </c>
      <c r="Y165" s="26">
        <f>IFERROR(__xludf.DUMMYFUNCTION("""COMPUTED_VALUE"""),0.0)</f>
        <v>0</v>
      </c>
      <c r="Z165" s="26">
        <f>IFERROR(__xludf.DUMMYFUNCTION("""COMPUTED_VALUE"""),0.0)</f>
        <v>0</v>
      </c>
      <c r="AA165" s="26">
        <f>IFERROR(__xludf.DUMMYFUNCTION("""COMPUTED_VALUE"""),0.0)</f>
        <v>0</v>
      </c>
      <c r="AB165" s="26">
        <f>IFERROR(__xludf.DUMMYFUNCTION("""COMPUTED_VALUE"""),0.0)</f>
        <v>0</v>
      </c>
      <c r="AC165" s="26">
        <f>IFERROR(__xludf.DUMMYFUNCTION("""COMPUTED_VALUE"""),0.0)</f>
        <v>0</v>
      </c>
      <c r="AD165" s="26">
        <f>IFERROR(__xludf.DUMMYFUNCTION("""COMPUTED_VALUE"""),0.0)</f>
        <v>0</v>
      </c>
      <c r="AE165" s="26">
        <f>IFERROR(__xludf.DUMMYFUNCTION("""COMPUTED_VALUE"""),0.0)</f>
        <v>0</v>
      </c>
    </row>
    <row r="166">
      <c r="A166" s="26">
        <f>IFERROR(__xludf.DUMMYFUNCTION("""COMPUTED_VALUE"""),0.0)</f>
        <v>0</v>
      </c>
      <c r="B166" s="26">
        <f>IFERROR(__xludf.DUMMYFUNCTION("""COMPUTED_VALUE"""),0.0)</f>
        <v>0</v>
      </c>
      <c r="C166" s="26">
        <f>IFERROR(__xludf.DUMMYFUNCTION("""COMPUTED_VALUE"""),0.0)</f>
        <v>0</v>
      </c>
      <c r="D166" s="26">
        <f>IFERROR(__xludf.DUMMYFUNCTION("""COMPUTED_VALUE"""),0.0)</f>
        <v>0</v>
      </c>
      <c r="E166" s="26">
        <f>IFERROR(__xludf.DUMMYFUNCTION("""COMPUTED_VALUE"""),0.0)</f>
        <v>0</v>
      </c>
      <c r="F166" s="26">
        <f>IFERROR(__xludf.DUMMYFUNCTION("""COMPUTED_VALUE"""),0.0)</f>
        <v>0</v>
      </c>
      <c r="G166" s="26">
        <f>IFERROR(__xludf.DUMMYFUNCTION("""COMPUTED_VALUE"""),0.0)</f>
        <v>0</v>
      </c>
      <c r="H166" s="26">
        <f>IFERROR(__xludf.DUMMYFUNCTION("""COMPUTED_VALUE"""),0.0)</f>
        <v>0</v>
      </c>
      <c r="I166" s="26">
        <f>IFERROR(__xludf.DUMMYFUNCTION("""COMPUTED_VALUE"""),0.0)</f>
        <v>0</v>
      </c>
      <c r="J166" s="26">
        <f>IFERROR(__xludf.DUMMYFUNCTION("""COMPUTED_VALUE"""),0.0)</f>
        <v>0</v>
      </c>
      <c r="K166" s="26">
        <f>IFERROR(__xludf.DUMMYFUNCTION("""COMPUTED_VALUE"""),0.0)</f>
        <v>0</v>
      </c>
      <c r="L166" s="26">
        <f>IFERROR(__xludf.DUMMYFUNCTION("""COMPUTED_VALUE"""),0.0)</f>
        <v>0</v>
      </c>
      <c r="M166" s="26"/>
      <c r="N166" s="26"/>
      <c r="O166" s="26"/>
      <c r="P166" s="26"/>
      <c r="Q166" s="26"/>
      <c r="R166" s="26">
        <f>IFERROR(__xludf.DUMMYFUNCTION("""COMPUTED_VALUE"""),0.0)</f>
        <v>0</v>
      </c>
      <c r="S166" s="26">
        <f>IFERROR(__xludf.DUMMYFUNCTION("""COMPUTED_VALUE"""),0.0)</f>
        <v>0</v>
      </c>
      <c r="T166" s="26">
        <f>IFERROR(__xludf.DUMMYFUNCTION("""COMPUTED_VALUE"""),0.0)</f>
        <v>0</v>
      </c>
      <c r="U166" s="26">
        <f>IFERROR(__xludf.DUMMYFUNCTION("""COMPUTED_VALUE"""),0.0)</f>
        <v>0</v>
      </c>
      <c r="V166" s="26">
        <f>IFERROR(__xludf.DUMMYFUNCTION("""COMPUTED_VALUE"""),0.0)</f>
        <v>0</v>
      </c>
      <c r="W166" s="26">
        <f>IFERROR(__xludf.DUMMYFUNCTION("""COMPUTED_VALUE"""),0.0)</f>
        <v>0</v>
      </c>
      <c r="X166" s="26">
        <f>IFERROR(__xludf.DUMMYFUNCTION("""COMPUTED_VALUE"""),0.0)</f>
        <v>0</v>
      </c>
      <c r="Y166" s="26">
        <f>IFERROR(__xludf.DUMMYFUNCTION("""COMPUTED_VALUE"""),0.0)</f>
        <v>0</v>
      </c>
      <c r="Z166" s="26">
        <f>IFERROR(__xludf.DUMMYFUNCTION("""COMPUTED_VALUE"""),0.0)</f>
        <v>0</v>
      </c>
      <c r="AA166" s="26">
        <f>IFERROR(__xludf.DUMMYFUNCTION("""COMPUTED_VALUE"""),0.0)</f>
        <v>0</v>
      </c>
      <c r="AB166" s="26">
        <f>IFERROR(__xludf.DUMMYFUNCTION("""COMPUTED_VALUE"""),0.0)</f>
        <v>0</v>
      </c>
      <c r="AC166" s="26">
        <f>IFERROR(__xludf.DUMMYFUNCTION("""COMPUTED_VALUE"""),0.0)</f>
        <v>0</v>
      </c>
      <c r="AD166" s="26">
        <f>IFERROR(__xludf.DUMMYFUNCTION("""COMPUTED_VALUE"""),0.0)</f>
        <v>0</v>
      </c>
      <c r="AE166" s="26">
        <f>IFERROR(__xludf.DUMMYFUNCTION("""COMPUTED_VALUE"""),0.0)</f>
        <v>0</v>
      </c>
    </row>
    <row r="167">
      <c r="A167" s="26">
        <f>IFERROR(__xludf.DUMMYFUNCTION("""COMPUTED_VALUE"""),84.0)</f>
        <v>84</v>
      </c>
      <c r="B167" s="26">
        <f>IFERROR(__xludf.DUMMYFUNCTION("""COMPUTED_VALUE"""),0.0)</f>
        <v>0</v>
      </c>
      <c r="C167" s="26">
        <f>IFERROR(__xludf.DUMMYFUNCTION("""COMPUTED_VALUE"""),0.0)</f>
        <v>0</v>
      </c>
      <c r="D167" s="26">
        <f>IFERROR(__xludf.DUMMYFUNCTION("""COMPUTED_VALUE"""),0.0)</f>
        <v>0</v>
      </c>
      <c r="E167" s="26">
        <f>IFERROR(__xludf.DUMMYFUNCTION("""COMPUTED_VALUE"""),0.0)</f>
        <v>0</v>
      </c>
      <c r="F167" s="26">
        <f>IFERROR(__xludf.DUMMYFUNCTION("""COMPUTED_VALUE"""),0.0)</f>
        <v>0</v>
      </c>
      <c r="G167" s="26">
        <f>IFERROR(__xludf.DUMMYFUNCTION("""COMPUTED_VALUE"""),0.0)</f>
        <v>0</v>
      </c>
      <c r="H167" s="26">
        <f>IFERROR(__xludf.DUMMYFUNCTION("""COMPUTED_VALUE"""),0.0)</f>
        <v>0</v>
      </c>
      <c r="I167" s="26">
        <f>IFERROR(__xludf.DUMMYFUNCTION("""COMPUTED_VALUE"""),0.0)</f>
        <v>0</v>
      </c>
      <c r="J167" s="26">
        <f>IFERROR(__xludf.DUMMYFUNCTION("""COMPUTED_VALUE"""),0.0)</f>
        <v>0</v>
      </c>
      <c r="K167" s="26">
        <f>IFERROR(__xludf.DUMMYFUNCTION("""COMPUTED_VALUE"""),0.0)</f>
        <v>0</v>
      </c>
      <c r="L167" s="26">
        <f>IFERROR(__xludf.DUMMYFUNCTION("""COMPUTED_VALUE"""),0.0)</f>
        <v>0</v>
      </c>
      <c r="M167" s="26"/>
      <c r="N167" s="26"/>
      <c r="O167" s="26"/>
      <c r="P167" s="26"/>
      <c r="Q167" s="26"/>
      <c r="R167" s="26">
        <f>IFERROR(__xludf.DUMMYFUNCTION("""COMPUTED_VALUE"""),84.0)</f>
        <v>84</v>
      </c>
      <c r="S167" s="26">
        <f>IFERROR(__xludf.DUMMYFUNCTION("""COMPUTED_VALUE"""),20319.600000000006)</f>
        <v>20319.6</v>
      </c>
      <c r="T167" s="26">
        <f>IFERROR(__xludf.DUMMYFUNCTION("""COMPUTED_VALUE"""),17220.0)</f>
        <v>17220</v>
      </c>
      <c r="U167" s="26">
        <f>IFERROR(__xludf.DUMMYFUNCTION("""COMPUTED_VALUE"""),20319.600000000006)</f>
        <v>20319.6</v>
      </c>
      <c r="V167" s="26">
        <f>IFERROR(__xludf.DUMMYFUNCTION("""COMPUTED_VALUE"""),0.0)</f>
        <v>0</v>
      </c>
      <c r="W167" s="26">
        <f>IFERROR(__xludf.DUMMYFUNCTION("""COMPUTED_VALUE"""),0.0)</f>
        <v>0</v>
      </c>
      <c r="X167" s="26">
        <f>IFERROR(__xludf.DUMMYFUNCTION("""COMPUTED_VALUE"""),3099.6000000000045)</f>
        <v>3099.6</v>
      </c>
      <c r="Y167" s="26">
        <f>IFERROR(__xludf.DUMMYFUNCTION("""COMPUTED_VALUE"""),3099.6000000000045)</f>
        <v>3099.6</v>
      </c>
      <c r="Z167" s="26">
        <f>IFERROR(__xludf.DUMMYFUNCTION("""COMPUTED_VALUE"""),20319.600000000006)</f>
        <v>20319.6</v>
      </c>
      <c r="AA167" s="26">
        <f>IFERROR(__xludf.DUMMYFUNCTION("""COMPUTED_VALUE"""),20319.600000000006)</f>
        <v>20319.6</v>
      </c>
      <c r="AB167" s="26">
        <f>IFERROR(__xludf.DUMMYFUNCTION("""COMPUTED_VALUE"""),0.0)</f>
        <v>0</v>
      </c>
      <c r="AC167" s="26">
        <f>IFERROR(__xludf.DUMMYFUNCTION("""COMPUTED_VALUE"""),0.0)</f>
        <v>0</v>
      </c>
      <c r="AD167" s="26">
        <f>IFERROR(__xludf.DUMMYFUNCTION("""COMPUTED_VALUE"""),0.0)</f>
        <v>0</v>
      </c>
      <c r="AE167" s="26">
        <f>IFERROR(__xludf.DUMMYFUNCTION("""COMPUTED_VALUE"""),0.0)</f>
        <v>0</v>
      </c>
    </row>
    <row r="168">
      <c r="A168" s="26">
        <f>IFERROR(__xludf.DUMMYFUNCTION("""COMPUTED_VALUE"""),0.0)</f>
        <v>0</v>
      </c>
      <c r="B168" s="26">
        <f>IFERROR(__xludf.DUMMYFUNCTION("""COMPUTED_VALUE"""),0.0)</f>
        <v>0</v>
      </c>
      <c r="C168" s="26">
        <f>IFERROR(__xludf.DUMMYFUNCTION("""COMPUTED_VALUE"""),0.0)</f>
        <v>0</v>
      </c>
      <c r="D168" s="26">
        <f>IFERROR(__xludf.DUMMYFUNCTION("""COMPUTED_VALUE"""),0.0)</f>
        <v>0</v>
      </c>
      <c r="E168" s="26">
        <f>IFERROR(__xludf.DUMMYFUNCTION("""COMPUTED_VALUE"""),0.0)</f>
        <v>0</v>
      </c>
      <c r="F168" s="26">
        <f>IFERROR(__xludf.DUMMYFUNCTION("""COMPUTED_VALUE"""),0.0)</f>
        <v>0</v>
      </c>
      <c r="G168" s="26">
        <f>IFERROR(__xludf.DUMMYFUNCTION("""COMPUTED_VALUE"""),0.0)</f>
        <v>0</v>
      </c>
      <c r="H168" s="26">
        <f>IFERROR(__xludf.DUMMYFUNCTION("""COMPUTED_VALUE"""),0.0)</f>
        <v>0</v>
      </c>
      <c r="I168" s="26">
        <f>IFERROR(__xludf.DUMMYFUNCTION("""COMPUTED_VALUE"""),0.0)</f>
        <v>0</v>
      </c>
      <c r="J168" s="26">
        <f>IFERROR(__xludf.DUMMYFUNCTION("""COMPUTED_VALUE"""),0.0)</f>
        <v>0</v>
      </c>
      <c r="K168" s="26">
        <f>IFERROR(__xludf.DUMMYFUNCTION("""COMPUTED_VALUE"""),0.0)</f>
        <v>0</v>
      </c>
      <c r="L168" s="26">
        <f>IFERROR(__xludf.DUMMYFUNCTION("""COMPUTED_VALUE"""),0.0)</f>
        <v>0</v>
      </c>
      <c r="M168" s="26"/>
      <c r="N168" s="26"/>
      <c r="O168" s="26"/>
      <c r="P168" s="26"/>
      <c r="Q168" s="26"/>
      <c r="R168" s="26">
        <f>IFERROR(__xludf.DUMMYFUNCTION("""COMPUTED_VALUE"""),0.0)</f>
        <v>0</v>
      </c>
      <c r="S168" s="26">
        <f>IFERROR(__xludf.DUMMYFUNCTION("""COMPUTED_VALUE"""),0.0)</f>
        <v>0</v>
      </c>
      <c r="T168" s="26">
        <f>IFERROR(__xludf.DUMMYFUNCTION("""COMPUTED_VALUE"""),0.0)</f>
        <v>0</v>
      </c>
      <c r="U168" s="26">
        <f>IFERROR(__xludf.DUMMYFUNCTION("""COMPUTED_VALUE"""),0.0)</f>
        <v>0</v>
      </c>
      <c r="V168" s="26">
        <f>IFERROR(__xludf.DUMMYFUNCTION("""COMPUTED_VALUE"""),0.0)</f>
        <v>0</v>
      </c>
      <c r="W168" s="26">
        <f>IFERROR(__xludf.DUMMYFUNCTION("""COMPUTED_VALUE"""),0.0)</f>
        <v>0</v>
      </c>
      <c r="X168" s="26">
        <f>IFERROR(__xludf.DUMMYFUNCTION("""COMPUTED_VALUE"""),0.0)</f>
        <v>0</v>
      </c>
      <c r="Y168" s="26">
        <f>IFERROR(__xludf.DUMMYFUNCTION("""COMPUTED_VALUE"""),0.0)</f>
        <v>0</v>
      </c>
      <c r="Z168" s="26">
        <f>IFERROR(__xludf.DUMMYFUNCTION("""COMPUTED_VALUE"""),0.0)</f>
        <v>0</v>
      </c>
      <c r="AA168" s="26">
        <f>IFERROR(__xludf.DUMMYFUNCTION("""COMPUTED_VALUE"""),0.0)</f>
        <v>0</v>
      </c>
      <c r="AB168" s="26">
        <f>IFERROR(__xludf.DUMMYFUNCTION("""COMPUTED_VALUE"""),0.0)</f>
        <v>0</v>
      </c>
      <c r="AC168" s="26">
        <f>IFERROR(__xludf.DUMMYFUNCTION("""COMPUTED_VALUE"""),0.0)</f>
        <v>0</v>
      </c>
      <c r="AD168" s="26">
        <f>IFERROR(__xludf.DUMMYFUNCTION("""COMPUTED_VALUE"""),0.0)</f>
        <v>0</v>
      </c>
      <c r="AE168" s="26">
        <f>IFERROR(__xludf.DUMMYFUNCTION("""COMPUTED_VALUE"""),0.0)</f>
        <v>0</v>
      </c>
    </row>
    <row r="169">
      <c r="A169" s="26">
        <f>IFERROR(__xludf.DUMMYFUNCTION("""COMPUTED_VALUE"""),304.0)</f>
        <v>304</v>
      </c>
      <c r="B169" s="26">
        <f>IFERROR(__xludf.DUMMYFUNCTION("""COMPUTED_VALUE"""),0.0)</f>
        <v>0</v>
      </c>
      <c r="C169" s="26">
        <f>IFERROR(__xludf.DUMMYFUNCTION("""COMPUTED_VALUE"""),0.0)</f>
        <v>0</v>
      </c>
      <c r="D169" s="26">
        <f>IFERROR(__xludf.DUMMYFUNCTION("""COMPUTED_VALUE"""),0.0)</f>
        <v>0</v>
      </c>
      <c r="E169" s="26">
        <f>IFERROR(__xludf.DUMMYFUNCTION("""COMPUTED_VALUE"""),0.0)</f>
        <v>0</v>
      </c>
      <c r="F169" s="26">
        <f>IFERROR(__xludf.DUMMYFUNCTION("""COMPUTED_VALUE"""),0.0)</f>
        <v>0</v>
      </c>
      <c r="G169" s="26">
        <f>IFERROR(__xludf.DUMMYFUNCTION("""COMPUTED_VALUE"""),0.0)</f>
        <v>0</v>
      </c>
      <c r="H169" s="26">
        <f>IFERROR(__xludf.DUMMYFUNCTION("""COMPUTED_VALUE"""),0.0)</f>
        <v>0</v>
      </c>
      <c r="I169" s="26">
        <f>IFERROR(__xludf.DUMMYFUNCTION("""COMPUTED_VALUE"""),0.0)</f>
        <v>0</v>
      </c>
      <c r="J169" s="26">
        <f>IFERROR(__xludf.DUMMYFUNCTION("""COMPUTED_VALUE"""),0.0)</f>
        <v>0</v>
      </c>
      <c r="K169" s="26">
        <f>IFERROR(__xludf.DUMMYFUNCTION("""COMPUTED_VALUE"""),0.0)</f>
        <v>0</v>
      </c>
      <c r="L169" s="26">
        <f>IFERROR(__xludf.DUMMYFUNCTION("""COMPUTED_VALUE"""),0.0)</f>
        <v>0</v>
      </c>
      <c r="M169" s="26"/>
      <c r="N169" s="26"/>
      <c r="O169" s="26"/>
      <c r="P169" s="26"/>
      <c r="Q169" s="26"/>
      <c r="R169" s="26">
        <f>IFERROR(__xludf.DUMMYFUNCTION("""COMPUTED_VALUE"""),304.0)</f>
        <v>304</v>
      </c>
      <c r="S169" s="26">
        <f>IFERROR(__xludf.DUMMYFUNCTION("""COMPUTED_VALUE"""),134368.0)</f>
        <v>134368</v>
      </c>
      <c r="T169" s="26">
        <f>IFERROR(__xludf.DUMMYFUNCTION("""COMPUTED_VALUE"""),48640.0)</f>
        <v>48640</v>
      </c>
      <c r="U169" s="26">
        <f>IFERROR(__xludf.DUMMYFUNCTION("""COMPUTED_VALUE"""),69135.6799999999)</f>
        <v>69135.68</v>
      </c>
      <c r="V169" s="26">
        <f>IFERROR(__xludf.DUMMYFUNCTION("""COMPUTED_VALUE"""),0.0)</f>
        <v>0</v>
      </c>
      <c r="W169" s="26">
        <f>IFERROR(__xludf.DUMMYFUNCTION("""COMPUTED_VALUE"""),0.0)</f>
        <v>0</v>
      </c>
      <c r="X169" s="26">
        <f>IFERROR(__xludf.DUMMYFUNCTION("""COMPUTED_VALUE"""),20495.67999999991)</f>
        <v>20495.68</v>
      </c>
      <c r="Y169" s="26">
        <f>IFERROR(__xludf.DUMMYFUNCTION("""COMPUTED_VALUE"""),20495.67999999991)</f>
        <v>20495.68</v>
      </c>
      <c r="Z169" s="26">
        <f>IFERROR(__xludf.DUMMYFUNCTION("""COMPUTED_VALUE"""),134368.0)</f>
        <v>134368</v>
      </c>
      <c r="AA169" s="26">
        <f>IFERROR(__xludf.DUMMYFUNCTION("""COMPUTED_VALUE"""),72397.60000000012)</f>
        <v>72397.6</v>
      </c>
      <c r="AB169" s="26">
        <f>IFERROR(__xludf.DUMMYFUNCTION("""COMPUTED_VALUE"""),65232.32000000039)</f>
        <v>65232.32</v>
      </c>
      <c r="AC169" s="26">
        <f>IFERROR(__xludf.DUMMYFUNCTION("""COMPUTED_VALUE"""),0.0)</f>
        <v>0</v>
      </c>
      <c r="AD169" s="26">
        <f>IFERROR(__xludf.DUMMYFUNCTION("""COMPUTED_VALUE"""),3261.9200000000046)</f>
        <v>3261.92</v>
      </c>
      <c r="AE169" s="26">
        <f>IFERROR(__xludf.DUMMYFUNCTION("""COMPUTED_VALUE"""),61970.399999999696)</f>
        <v>61970.4</v>
      </c>
    </row>
    <row r="170">
      <c r="A170" s="26">
        <f>IFERROR(__xludf.DUMMYFUNCTION("""COMPUTED_VALUE"""),0.0)</f>
        <v>0</v>
      </c>
      <c r="B170" s="26">
        <f>IFERROR(__xludf.DUMMYFUNCTION("""COMPUTED_VALUE"""),0.0)</f>
        <v>0</v>
      </c>
      <c r="C170" s="26">
        <f>IFERROR(__xludf.DUMMYFUNCTION("""COMPUTED_VALUE"""),0.0)</f>
        <v>0</v>
      </c>
      <c r="D170" s="26">
        <f>IFERROR(__xludf.DUMMYFUNCTION("""COMPUTED_VALUE"""),0.0)</f>
        <v>0</v>
      </c>
      <c r="E170" s="26">
        <f>IFERROR(__xludf.DUMMYFUNCTION("""COMPUTED_VALUE"""),0.0)</f>
        <v>0</v>
      </c>
      <c r="F170" s="26">
        <f>IFERROR(__xludf.DUMMYFUNCTION("""COMPUTED_VALUE"""),0.0)</f>
        <v>0</v>
      </c>
      <c r="G170" s="26">
        <f>IFERROR(__xludf.DUMMYFUNCTION("""COMPUTED_VALUE"""),0.0)</f>
        <v>0</v>
      </c>
      <c r="H170" s="26">
        <f>IFERROR(__xludf.DUMMYFUNCTION("""COMPUTED_VALUE"""),0.0)</f>
        <v>0</v>
      </c>
      <c r="I170" s="26">
        <f>IFERROR(__xludf.DUMMYFUNCTION("""COMPUTED_VALUE"""),0.0)</f>
        <v>0</v>
      </c>
      <c r="J170" s="26">
        <f>IFERROR(__xludf.DUMMYFUNCTION("""COMPUTED_VALUE"""),0.0)</f>
        <v>0</v>
      </c>
      <c r="K170" s="26">
        <f>IFERROR(__xludf.DUMMYFUNCTION("""COMPUTED_VALUE"""),0.0)</f>
        <v>0</v>
      </c>
      <c r="L170" s="26">
        <f>IFERROR(__xludf.DUMMYFUNCTION("""COMPUTED_VALUE"""),0.0)</f>
        <v>0</v>
      </c>
      <c r="M170" s="26"/>
      <c r="N170" s="26"/>
      <c r="O170" s="26"/>
      <c r="P170" s="26"/>
      <c r="Q170" s="26"/>
      <c r="R170" s="26">
        <f>IFERROR(__xludf.DUMMYFUNCTION("""COMPUTED_VALUE"""),0.0)</f>
        <v>0</v>
      </c>
      <c r="S170" s="26">
        <f>IFERROR(__xludf.DUMMYFUNCTION("""COMPUTED_VALUE"""),0.0)</f>
        <v>0</v>
      </c>
      <c r="T170" s="26">
        <f>IFERROR(__xludf.DUMMYFUNCTION("""COMPUTED_VALUE"""),0.0)</f>
        <v>0</v>
      </c>
      <c r="U170" s="26">
        <f>IFERROR(__xludf.DUMMYFUNCTION("""COMPUTED_VALUE"""),0.0)</f>
        <v>0</v>
      </c>
      <c r="V170" s="26">
        <f>IFERROR(__xludf.DUMMYFUNCTION("""COMPUTED_VALUE"""),0.0)</f>
        <v>0</v>
      </c>
      <c r="W170" s="26">
        <f>IFERROR(__xludf.DUMMYFUNCTION("""COMPUTED_VALUE"""),0.0)</f>
        <v>0</v>
      </c>
      <c r="X170" s="26">
        <f>IFERROR(__xludf.DUMMYFUNCTION("""COMPUTED_VALUE"""),0.0)</f>
        <v>0</v>
      </c>
      <c r="Y170" s="26">
        <f>IFERROR(__xludf.DUMMYFUNCTION("""COMPUTED_VALUE"""),0.0)</f>
        <v>0</v>
      </c>
      <c r="Z170" s="26">
        <f>IFERROR(__xludf.DUMMYFUNCTION("""COMPUTED_VALUE"""),0.0)</f>
        <v>0</v>
      </c>
      <c r="AA170" s="26">
        <f>IFERROR(__xludf.DUMMYFUNCTION("""COMPUTED_VALUE"""),0.0)</f>
        <v>0</v>
      </c>
      <c r="AB170" s="26">
        <f>IFERROR(__xludf.DUMMYFUNCTION("""COMPUTED_VALUE"""),0.0)</f>
        <v>0</v>
      </c>
      <c r="AC170" s="26">
        <f>IFERROR(__xludf.DUMMYFUNCTION("""COMPUTED_VALUE"""),0.0)</f>
        <v>0</v>
      </c>
      <c r="AD170" s="26">
        <f>IFERROR(__xludf.DUMMYFUNCTION("""COMPUTED_VALUE"""),0.0)</f>
        <v>0</v>
      </c>
      <c r="AE170" s="26">
        <f>IFERROR(__xludf.DUMMYFUNCTION("""COMPUTED_VALUE"""),0.0)</f>
        <v>0</v>
      </c>
    </row>
    <row r="171">
      <c r="A171" s="26">
        <f>IFERROR(__xludf.DUMMYFUNCTION("""COMPUTED_VALUE"""),495.0)</f>
        <v>495</v>
      </c>
      <c r="B171" s="26">
        <f>IFERROR(__xludf.DUMMYFUNCTION("""COMPUTED_VALUE"""),0.0)</f>
        <v>0</v>
      </c>
      <c r="C171" s="26">
        <f>IFERROR(__xludf.DUMMYFUNCTION("""COMPUTED_VALUE"""),0.0)</f>
        <v>0</v>
      </c>
      <c r="D171" s="26">
        <f>IFERROR(__xludf.DUMMYFUNCTION("""COMPUTED_VALUE"""),0.0)</f>
        <v>0</v>
      </c>
      <c r="E171" s="26">
        <f>IFERROR(__xludf.DUMMYFUNCTION("""COMPUTED_VALUE"""),0.0)</f>
        <v>0</v>
      </c>
      <c r="F171" s="26">
        <f>IFERROR(__xludf.DUMMYFUNCTION("""COMPUTED_VALUE"""),0.0)</f>
        <v>0</v>
      </c>
      <c r="G171" s="26">
        <f>IFERROR(__xludf.DUMMYFUNCTION("""COMPUTED_VALUE"""),0.0)</f>
        <v>0</v>
      </c>
      <c r="H171" s="26">
        <f>IFERROR(__xludf.DUMMYFUNCTION("""COMPUTED_VALUE"""),0.0)</f>
        <v>0</v>
      </c>
      <c r="I171" s="26">
        <f>IFERROR(__xludf.DUMMYFUNCTION("""COMPUTED_VALUE"""),0.0)</f>
        <v>0</v>
      </c>
      <c r="J171" s="26">
        <f>IFERROR(__xludf.DUMMYFUNCTION("""COMPUTED_VALUE"""),0.0)</f>
        <v>0</v>
      </c>
      <c r="K171" s="26">
        <f>IFERROR(__xludf.DUMMYFUNCTION("""COMPUTED_VALUE"""),0.0)</f>
        <v>0</v>
      </c>
      <c r="L171" s="26">
        <f>IFERROR(__xludf.DUMMYFUNCTION("""COMPUTED_VALUE"""),0.0)</f>
        <v>0</v>
      </c>
      <c r="M171" s="26"/>
      <c r="N171" s="26"/>
      <c r="O171" s="26"/>
      <c r="P171" s="26"/>
      <c r="Q171" s="26"/>
      <c r="R171" s="26">
        <f>IFERROR(__xludf.DUMMYFUNCTION("""COMPUTED_VALUE"""),495.0)</f>
        <v>495</v>
      </c>
      <c r="S171" s="26">
        <f>IFERROR(__xludf.DUMMYFUNCTION("""COMPUTED_VALUE"""),218790.0)</f>
        <v>218790</v>
      </c>
      <c r="T171" s="26">
        <f>IFERROR(__xludf.DUMMYFUNCTION("""COMPUTED_VALUE"""),79200.0)</f>
        <v>79200</v>
      </c>
      <c r="U171" s="26">
        <f>IFERROR(__xludf.DUMMYFUNCTION("""COMPUTED_VALUE"""),112572.89999999959)</f>
        <v>112572.9</v>
      </c>
      <c r="V171" s="26">
        <f>IFERROR(__xludf.DUMMYFUNCTION("""COMPUTED_VALUE"""),0.0)</f>
        <v>0</v>
      </c>
      <c r="W171" s="26">
        <f>IFERROR(__xludf.DUMMYFUNCTION("""COMPUTED_VALUE"""),0.0)</f>
        <v>0</v>
      </c>
      <c r="X171" s="26">
        <f>IFERROR(__xludf.DUMMYFUNCTION("""COMPUTED_VALUE"""),33372.89999999958)</f>
        <v>33372.9</v>
      </c>
      <c r="Y171" s="26">
        <f>IFERROR(__xludf.DUMMYFUNCTION("""COMPUTED_VALUE"""),33372.89999999958)</f>
        <v>33372.9</v>
      </c>
      <c r="Z171" s="26">
        <f>IFERROR(__xludf.DUMMYFUNCTION("""COMPUTED_VALUE"""),218790.0)</f>
        <v>218790</v>
      </c>
      <c r="AA171" s="26">
        <f>IFERROR(__xludf.DUMMYFUNCTION("""COMPUTED_VALUE"""),117884.24999999901)</f>
        <v>117884.25</v>
      </c>
      <c r="AB171" s="26">
        <f>IFERROR(__xludf.DUMMYFUNCTION("""COMPUTED_VALUE"""),106217.10000000072)</f>
        <v>106217.1</v>
      </c>
      <c r="AC171" s="26">
        <f>IFERROR(__xludf.DUMMYFUNCTION("""COMPUTED_VALUE"""),0.0)</f>
        <v>0</v>
      </c>
      <c r="AD171" s="26">
        <f>IFERROR(__xludf.DUMMYFUNCTION("""COMPUTED_VALUE"""),5311.349999999957)</f>
        <v>5311.35</v>
      </c>
      <c r="AE171" s="26">
        <f>IFERROR(__xludf.DUMMYFUNCTION("""COMPUTED_VALUE"""),100905.75000000068)</f>
        <v>100905.75</v>
      </c>
    </row>
    <row r="172">
      <c r="A172" s="26">
        <f>IFERROR(__xludf.DUMMYFUNCTION("""COMPUTED_VALUE"""),0.0)</f>
        <v>0</v>
      </c>
      <c r="B172" s="26">
        <f>IFERROR(__xludf.DUMMYFUNCTION("""COMPUTED_VALUE"""),0.0)</f>
        <v>0</v>
      </c>
      <c r="C172" s="26">
        <f>IFERROR(__xludf.DUMMYFUNCTION("""COMPUTED_VALUE"""),0.0)</f>
        <v>0</v>
      </c>
      <c r="D172" s="26">
        <f>IFERROR(__xludf.DUMMYFUNCTION("""COMPUTED_VALUE"""),0.0)</f>
        <v>0</v>
      </c>
      <c r="E172" s="26">
        <f>IFERROR(__xludf.DUMMYFUNCTION("""COMPUTED_VALUE"""),0.0)</f>
        <v>0</v>
      </c>
      <c r="F172" s="26">
        <f>IFERROR(__xludf.DUMMYFUNCTION("""COMPUTED_VALUE"""),0.0)</f>
        <v>0</v>
      </c>
      <c r="G172" s="26">
        <f>IFERROR(__xludf.DUMMYFUNCTION("""COMPUTED_VALUE"""),0.0)</f>
        <v>0</v>
      </c>
      <c r="H172" s="26">
        <f>IFERROR(__xludf.DUMMYFUNCTION("""COMPUTED_VALUE"""),0.0)</f>
        <v>0</v>
      </c>
      <c r="I172" s="26">
        <f>IFERROR(__xludf.DUMMYFUNCTION("""COMPUTED_VALUE"""),0.0)</f>
        <v>0</v>
      </c>
      <c r="J172" s="26">
        <f>IFERROR(__xludf.DUMMYFUNCTION("""COMPUTED_VALUE"""),0.0)</f>
        <v>0</v>
      </c>
      <c r="K172" s="26">
        <f>IFERROR(__xludf.DUMMYFUNCTION("""COMPUTED_VALUE"""),0.0)</f>
        <v>0</v>
      </c>
      <c r="L172" s="26">
        <f>IFERROR(__xludf.DUMMYFUNCTION("""COMPUTED_VALUE"""),0.0)</f>
        <v>0</v>
      </c>
      <c r="M172" s="26"/>
      <c r="N172" s="26"/>
      <c r="O172" s="26"/>
      <c r="P172" s="26"/>
      <c r="Q172" s="26"/>
      <c r="R172" s="26">
        <f>IFERROR(__xludf.DUMMYFUNCTION("""COMPUTED_VALUE"""),0.0)</f>
        <v>0</v>
      </c>
      <c r="S172" s="26">
        <f>IFERROR(__xludf.DUMMYFUNCTION("""COMPUTED_VALUE"""),0.0)</f>
        <v>0</v>
      </c>
      <c r="T172" s="26">
        <f>IFERROR(__xludf.DUMMYFUNCTION("""COMPUTED_VALUE"""),0.0)</f>
        <v>0</v>
      </c>
      <c r="U172" s="26">
        <f>IFERROR(__xludf.DUMMYFUNCTION("""COMPUTED_VALUE"""),0.0)</f>
        <v>0</v>
      </c>
      <c r="V172" s="26">
        <f>IFERROR(__xludf.DUMMYFUNCTION("""COMPUTED_VALUE"""),0.0)</f>
        <v>0</v>
      </c>
      <c r="W172" s="26">
        <f>IFERROR(__xludf.DUMMYFUNCTION("""COMPUTED_VALUE"""),0.0)</f>
        <v>0</v>
      </c>
      <c r="X172" s="26">
        <f>IFERROR(__xludf.DUMMYFUNCTION("""COMPUTED_VALUE"""),0.0)</f>
        <v>0</v>
      </c>
      <c r="Y172" s="26">
        <f>IFERROR(__xludf.DUMMYFUNCTION("""COMPUTED_VALUE"""),0.0)</f>
        <v>0</v>
      </c>
      <c r="Z172" s="26">
        <f>IFERROR(__xludf.DUMMYFUNCTION("""COMPUTED_VALUE"""),0.0)</f>
        <v>0</v>
      </c>
      <c r="AA172" s="26">
        <f>IFERROR(__xludf.DUMMYFUNCTION("""COMPUTED_VALUE"""),0.0)</f>
        <v>0</v>
      </c>
      <c r="AB172" s="26">
        <f>IFERROR(__xludf.DUMMYFUNCTION("""COMPUTED_VALUE"""),0.0)</f>
        <v>0</v>
      </c>
      <c r="AC172" s="26">
        <f>IFERROR(__xludf.DUMMYFUNCTION("""COMPUTED_VALUE"""),0.0)</f>
        <v>0</v>
      </c>
      <c r="AD172" s="26">
        <f>IFERROR(__xludf.DUMMYFUNCTION("""COMPUTED_VALUE"""),0.0)</f>
        <v>0</v>
      </c>
      <c r="AE172" s="26">
        <f>IFERROR(__xludf.DUMMYFUNCTION("""COMPUTED_VALUE"""),0.0)</f>
        <v>0</v>
      </c>
    </row>
    <row r="173">
      <c r="A173" s="26">
        <f>IFERROR(__xludf.DUMMYFUNCTION("""COMPUTED_VALUE"""),713.0)</f>
        <v>713</v>
      </c>
      <c r="B173" s="26">
        <f>IFERROR(__xludf.DUMMYFUNCTION("""COMPUTED_VALUE"""),0.0)</f>
        <v>0</v>
      </c>
      <c r="C173" s="26">
        <f>IFERROR(__xludf.DUMMYFUNCTION("""COMPUTED_VALUE"""),0.0)</f>
        <v>0</v>
      </c>
      <c r="D173" s="26">
        <f>IFERROR(__xludf.DUMMYFUNCTION("""COMPUTED_VALUE"""),0.0)</f>
        <v>0</v>
      </c>
      <c r="E173" s="26">
        <f>IFERROR(__xludf.DUMMYFUNCTION("""COMPUTED_VALUE"""),0.0)</f>
        <v>0</v>
      </c>
      <c r="F173" s="26">
        <f>IFERROR(__xludf.DUMMYFUNCTION("""COMPUTED_VALUE"""),0.0)</f>
        <v>0</v>
      </c>
      <c r="G173" s="26">
        <f>IFERROR(__xludf.DUMMYFUNCTION("""COMPUTED_VALUE"""),0.0)</f>
        <v>0</v>
      </c>
      <c r="H173" s="26">
        <f>IFERROR(__xludf.DUMMYFUNCTION("""COMPUTED_VALUE"""),0.0)</f>
        <v>0</v>
      </c>
      <c r="I173" s="26">
        <f>IFERROR(__xludf.DUMMYFUNCTION("""COMPUTED_VALUE"""),0.0)</f>
        <v>0</v>
      </c>
      <c r="J173" s="26">
        <f>IFERROR(__xludf.DUMMYFUNCTION("""COMPUTED_VALUE"""),0.0)</f>
        <v>0</v>
      </c>
      <c r="K173" s="26">
        <f>IFERROR(__xludf.DUMMYFUNCTION("""COMPUTED_VALUE"""),0.0)</f>
        <v>0</v>
      </c>
      <c r="L173" s="26">
        <f>IFERROR(__xludf.DUMMYFUNCTION("""COMPUTED_VALUE"""),0.0)</f>
        <v>0</v>
      </c>
      <c r="M173" s="26"/>
      <c r="N173" s="26"/>
      <c r="O173" s="26"/>
      <c r="P173" s="26"/>
      <c r="Q173" s="26"/>
      <c r="R173" s="26">
        <f>IFERROR(__xludf.DUMMYFUNCTION("""COMPUTED_VALUE"""),713.0)</f>
        <v>713</v>
      </c>
      <c r="S173" s="26">
        <f>IFERROR(__xludf.DUMMYFUNCTION("""COMPUTED_VALUE"""),315194.0)</f>
        <v>315194</v>
      </c>
      <c r="T173" s="26">
        <f>IFERROR(__xludf.DUMMYFUNCTION("""COMPUTED_VALUE"""),136896.0)</f>
        <v>136896</v>
      </c>
      <c r="U173" s="26">
        <f>IFERROR(__xludf.DUMMYFUNCTION("""COMPUTED_VALUE"""),184973.7899999992)</f>
        <v>184973.79</v>
      </c>
      <c r="V173" s="26">
        <f>IFERROR(__xludf.DUMMYFUNCTION("""COMPUTED_VALUE"""),0.0)</f>
        <v>0</v>
      </c>
      <c r="W173" s="26">
        <f>IFERROR(__xludf.DUMMYFUNCTION("""COMPUTED_VALUE"""),0.0)</f>
        <v>0</v>
      </c>
      <c r="X173" s="26">
        <f>IFERROR(__xludf.DUMMYFUNCTION("""COMPUTED_VALUE"""),48077.7899999992)</f>
        <v>48077.79</v>
      </c>
      <c r="Y173" s="26">
        <f>IFERROR(__xludf.DUMMYFUNCTION("""COMPUTED_VALUE"""),48077.7899999992)</f>
        <v>48077.79</v>
      </c>
      <c r="Z173" s="26">
        <f>IFERROR(__xludf.DUMMYFUNCTION("""COMPUTED_VALUE"""),865484.0)</f>
        <v>865484</v>
      </c>
      <c r="AA173" s="26">
        <f>IFERROR(__xludf.DUMMYFUNCTION("""COMPUTED_VALUE"""),525830.2599999843)</f>
        <v>525830.26</v>
      </c>
      <c r="AB173" s="26">
        <f>IFERROR(__xludf.DUMMYFUNCTION("""COMPUTED_VALUE"""),357532.3100000004)</f>
        <v>357532.31</v>
      </c>
      <c r="AC173" s="26">
        <f>IFERROR(__xludf.DUMMYFUNCTION("""COMPUTED_VALUE"""),0.0)</f>
        <v>0</v>
      </c>
      <c r="AD173" s="26">
        <f>IFERROR(__xludf.DUMMYFUNCTION("""COMPUTED_VALUE"""),17878.569999999534)</f>
        <v>17878.57</v>
      </c>
      <c r="AE173" s="26">
        <f>IFERROR(__xludf.DUMMYFUNCTION("""COMPUTED_VALUE"""),339653.74000001245)</f>
        <v>339653.74</v>
      </c>
    </row>
    <row r="174">
      <c r="A174" s="26">
        <f>IFERROR(__xludf.DUMMYFUNCTION("""COMPUTED_VALUE"""),106.0)</f>
        <v>106</v>
      </c>
      <c r="B174" s="26">
        <f>IFERROR(__xludf.DUMMYFUNCTION("""COMPUTED_VALUE"""),0.0)</f>
        <v>0</v>
      </c>
      <c r="C174" s="26">
        <f>IFERROR(__xludf.DUMMYFUNCTION("""COMPUTED_VALUE"""),17.0)</f>
        <v>17</v>
      </c>
      <c r="D174" s="26">
        <f>IFERROR(__xludf.DUMMYFUNCTION("""COMPUTED_VALUE"""),0.0)</f>
        <v>0</v>
      </c>
      <c r="E174" s="26">
        <f>IFERROR(__xludf.DUMMYFUNCTION("""COMPUTED_VALUE"""),0.0)</f>
        <v>0</v>
      </c>
      <c r="F174" s="26">
        <f>IFERROR(__xludf.DUMMYFUNCTION("""COMPUTED_VALUE"""),0.0)</f>
        <v>0</v>
      </c>
      <c r="G174" s="26">
        <f>IFERROR(__xludf.DUMMYFUNCTION("""COMPUTED_VALUE"""),0.0)</f>
        <v>0</v>
      </c>
      <c r="H174" s="26">
        <f>IFERROR(__xludf.DUMMYFUNCTION("""COMPUTED_VALUE"""),0.0)</f>
        <v>0</v>
      </c>
      <c r="I174" s="26">
        <f>IFERROR(__xludf.DUMMYFUNCTION("""COMPUTED_VALUE"""),0.0)</f>
        <v>0</v>
      </c>
      <c r="J174" s="26">
        <f>IFERROR(__xludf.DUMMYFUNCTION("""COMPUTED_VALUE"""),0.0)</f>
        <v>0</v>
      </c>
      <c r="K174" s="26">
        <f>IFERROR(__xludf.DUMMYFUNCTION("""COMPUTED_VALUE"""),0.0)</f>
        <v>0</v>
      </c>
      <c r="L174" s="26">
        <f>IFERROR(__xludf.DUMMYFUNCTION("""COMPUTED_VALUE"""),0.0)</f>
        <v>0</v>
      </c>
      <c r="M174" s="26"/>
      <c r="N174" s="26"/>
      <c r="O174" s="26"/>
      <c r="P174" s="26"/>
      <c r="Q174" s="26"/>
      <c r="R174" s="26">
        <f>IFERROR(__xludf.DUMMYFUNCTION("""COMPUTED_VALUE"""),123.0)</f>
        <v>123</v>
      </c>
      <c r="S174" s="26">
        <f>IFERROR(__xludf.DUMMYFUNCTION("""COMPUTED_VALUE"""),53070.0)</f>
        <v>53070</v>
      </c>
      <c r="T174" s="26">
        <f>IFERROR(__xludf.DUMMYFUNCTION("""COMPUTED_VALUE"""),24540.0)</f>
        <v>24540</v>
      </c>
      <c r="U174" s="26">
        <f>IFERROR(__xludf.DUMMYFUNCTION("""COMPUTED_VALUE"""),32635.189999999984)</f>
        <v>32635.19</v>
      </c>
      <c r="V174" s="26">
        <f>IFERROR(__xludf.DUMMYFUNCTION("""COMPUTED_VALUE"""),0.0)</f>
        <v>0</v>
      </c>
      <c r="W174" s="26">
        <f>IFERROR(__xludf.DUMMYFUNCTION("""COMPUTED_VALUE"""),0.0)</f>
        <v>0</v>
      </c>
      <c r="X174" s="26">
        <f>IFERROR(__xludf.DUMMYFUNCTION("""COMPUTED_VALUE"""),8095.189999999983)</f>
        <v>8095.19</v>
      </c>
      <c r="Y174" s="26">
        <f>IFERROR(__xludf.DUMMYFUNCTION("""COMPUTED_VALUE"""),8095.189999999983)</f>
        <v>8095.19</v>
      </c>
      <c r="Z174" s="26">
        <f>IFERROR(__xludf.DUMMYFUNCTION("""COMPUTED_VALUE"""),53070.0)</f>
        <v>53070</v>
      </c>
      <c r="AA174" s="26">
        <f>IFERROR(__xludf.DUMMYFUNCTION("""COMPUTED_VALUE"""),33657.45000000004)</f>
        <v>33657.45</v>
      </c>
      <c r="AB174" s="26">
        <f>IFERROR(__xludf.DUMMYFUNCTION("""COMPUTED_VALUE"""),20434.809999999976)</f>
        <v>20434.81</v>
      </c>
      <c r="AC174" s="26">
        <f>IFERROR(__xludf.DUMMYFUNCTION("""COMPUTED_VALUE"""),0.0)</f>
        <v>0</v>
      </c>
      <c r="AD174" s="26">
        <f>IFERROR(__xludf.DUMMYFUNCTION("""COMPUTED_VALUE"""),1022.259999999998)</f>
        <v>1022.26</v>
      </c>
      <c r="AE174" s="26">
        <f>IFERROR(__xludf.DUMMYFUNCTION("""COMPUTED_VALUE"""),19412.549999999967)</f>
        <v>19412.55</v>
      </c>
    </row>
    <row r="175">
      <c r="A175" s="26">
        <f>IFERROR(__xludf.DUMMYFUNCTION("""COMPUTED_VALUE"""),0.0)</f>
        <v>0</v>
      </c>
      <c r="B175" s="26">
        <f>IFERROR(__xludf.DUMMYFUNCTION("""COMPUTED_VALUE"""),0.0)</f>
        <v>0</v>
      </c>
      <c r="C175" s="26">
        <f>IFERROR(__xludf.DUMMYFUNCTION("""COMPUTED_VALUE"""),0.0)</f>
        <v>0</v>
      </c>
      <c r="D175" s="26">
        <f>IFERROR(__xludf.DUMMYFUNCTION("""COMPUTED_VALUE"""),0.0)</f>
        <v>0</v>
      </c>
      <c r="E175" s="26">
        <f>IFERROR(__xludf.DUMMYFUNCTION("""COMPUTED_VALUE"""),0.0)</f>
        <v>0</v>
      </c>
      <c r="F175" s="26">
        <f>IFERROR(__xludf.DUMMYFUNCTION("""COMPUTED_VALUE"""),0.0)</f>
        <v>0</v>
      </c>
      <c r="G175" s="26">
        <f>IFERROR(__xludf.DUMMYFUNCTION("""COMPUTED_VALUE"""),0.0)</f>
        <v>0</v>
      </c>
      <c r="H175" s="26">
        <f>IFERROR(__xludf.DUMMYFUNCTION("""COMPUTED_VALUE"""),0.0)</f>
        <v>0</v>
      </c>
      <c r="I175" s="26">
        <f>IFERROR(__xludf.DUMMYFUNCTION("""COMPUTED_VALUE"""),0.0)</f>
        <v>0</v>
      </c>
      <c r="J175" s="26">
        <f>IFERROR(__xludf.DUMMYFUNCTION("""COMPUTED_VALUE"""),0.0)</f>
        <v>0</v>
      </c>
      <c r="K175" s="26">
        <f>IFERROR(__xludf.DUMMYFUNCTION("""COMPUTED_VALUE"""),0.0)</f>
        <v>0</v>
      </c>
      <c r="L175" s="26">
        <f>IFERROR(__xludf.DUMMYFUNCTION("""COMPUTED_VALUE"""),0.0)</f>
        <v>0</v>
      </c>
      <c r="M175" s="26"/>
      <c r="N175" s="26"/>
      <c r="O175" s="26"/>
      <c r="P175" s="26"/>
      <c r="Q175" s="26"/>
      <c r="R175" s="26">
        <f>IFERROR(__xludf.DUMMYFUNCTION("""COMPUTED_VALUE"""),0.0)</f>
        <v>0</v>
      </c>
      <c r="S175" s="26">
        <f>IFERROR(__xludf.DUMMYFUNCTION("""COMPUTED_VALUE"""),0.0)</f>
        <v>0</v>
      </c>
      <c r="T175" s="26">
        <f>IFERROR(__xludf.DUMMYFUNCTION("""COMPUTED_VALUE"""),0.0)</f>
        <v>0</v>
      </c>
      <c r="U175" s="26">
        <f>IFERROR(__xludf.DUMMYFUNCTION("""COMPUTED_VALUE"""),0.0)</f>
        <v>0</v>
      </c>
      <c r="V175" s="26">
        <f>IFERROR(__xludf.DUMMYFUNCTION("""COMPUTED_VALUE"""),0.0)</f>
        <v>0</v>
      </c>
      <c r="W175" s="26">
        <f>IFERROR(__xludf.DUMMYFUNCTION("""COMPUTED_VALUE"""),0.0)</f>
        <v>0</v>
      </c>
      <c r="X175" s="26">
        <f>IFERROR(__xludf.DUMMYFUNCTION("""COMPUTED_VALUE"""),0.0)</f>
        <v>0</v>
      </c>
      <c r="Y175" s="26">
        <f>IFERROR(__xludf.DUMMYFUNCTION("""COMPUTED_VALUE"""),0.0)</f>
        <v>0</v>
      </c>
      <c r="Z175" s="26">
        <f>IFERROR(__xludf.DUMMYFUNCTION("""COMPUTED_VALUE"""),28932.570000000007)</f>
        <v>28932.57</v>
      </c>
      <c r="AA175" s="26">
        <f>IFERROR(__xludf.DUMMYFUNCTION("""COMPUTED_VALUE"""),28932.570000000007)</f>
        <v>28932.57</v>
      </c>
      <c r="AB175" s="26">
        <f>IFERROR(__xludf.DUMMYFUNCTION("""COMPUTED_VALUE"""),19439.57999999999)</f>
        <v>19439.58</v>
      </c>
      <c r="AC175" s="26">
        <f>IFERROR(__xludf.DUMMYFUNCTION("""COMPUTED_VALUE"""),18467.42999999999)</f>
        <v>18467.43</v>
      </c>
      <c r="AD175" s="26">
        <f>IFERROR(__xludf.DUMMYFUNCTION("""COMPUTED_VALUE"""),972.1499999999994)</f>
        <v>972.15</v>
      </c>
      <c r="AE175" s="26">
        <f>IFERROR(__xludf.DUMMYFUNCTION("""COMPUTED_VALUE"""),0.0)</f>
        <v>0</v>
      </c>
    </row>
    <row r="176">
      <c r="A176" s="26">
        <f>IFERROR(__xludf.DUMMYFUNCTION("""COMPUTED_VALUE"""),0.0)</f>
        <v>0</v>
      </c>
      <c r="B176" s="26">
        <f>IFERROR(__xludf.DUMMYFUNCTION("""COMPUTED_VALUE"""),0.0)</f>
        <v>0</v>
      </c>
      <c r="C176" s="26">
        <f>IFERROR(__xludf.DUMMYFUNCTION("""COMPUTED_VALUE"""),0.0)</f>
        <v>0</v>
      </c>
      <c r="D176" s="26">
        <f>IFERROR(__xludf.DUMMYFUNCTION("""COMPUTED_VALUE"""),0.0)</f>
        <v>0</v>
      </c>
      <c r="E176" s="26">
        <f>IFERROR(__xludf.DUMMYFUNCTION("""COMPUTED_VALUE"""),0.0)</f>
        <v>0</v>
      </c>
      <c r="F176" s="26">
        <f>IFERROR(__xludf.DUMMYFUNCTION("""COMPUTED_VALUE"""),0.0)</f>
        <v>0</v>
      </c>
      <c r="G176" s="26">
        <f>IFERROR(__xludf.DUMMYFUNCTION("""COMPUTED_VALUE"""),0.0)</f>
        <v>0</v>
      </c>
      <c r="H176" s="26">
        <f>IFERROR(__xludf.DUMMYFUNCTION("""COMPUTED_VALUE"""),0.0)</f>
        <v>0</v>
      </c>
      <c r="I176" s="26">
        <f>IFERROR(__xludf.DUMMYFUNCTION("""COMPUTED_VALUE"""),0.0)</f>
        <v>0</v>
      </c>
      <c r="J176" s="26">
        <f>IFERROR(__xludf.DUMMYFUNCTION("""COMPUTED_VALUE"""),0.0)</f>
        <v>0</v>
      </c>
      <c r="K176" s="26">
        <f>IFERROR(__xludf.DUMMYFUNCTION("""COMPUTED_VALUE"""),0.0)</f>
        <v>0</v>
      </c>
      <c r="L176" s="26">
        <f>IFERROR(__xludf.DUMMYFUNCTION("""COMPUTED_VALUE"""),0.0)</f>
        <v>0</v>
      </c>
      <c r="M176" s="26"/>
      <c r="N176" s="26"/>
      <c r="O176" s="26"/>
      <c r="P176" s="26"/>
      <c r="Q176" s="26"/>
      <c r="R176" s="26">
        <f>IFERROR(__xludf.DUMMYFUNCTION("""COMPUTED_VALUE"""),0.0)</f>
        <v>0</v>
      </c>
      <c r="S176" s="26">
        <f>IFERROR(__xludf.DUMMYFUNCTION("""COMPUTED_VALUE"""),0.0)</f>
        <v>0</v>
      </c>
      <c r="T176" s="26">
        <f>IFERROR(__xludf.DUMMYFUNCTION("""COMPUTED_VALUE"""),0.0)</f>
        <v>0</v>
      </c>
      <c r="U176" s="26">
        <f>IFERROR(__xludf.DUMMYFUNCTION("""COMPUTED_VALUE"""),0.0)</f>
        <v>0</v>
      </c>
      <c r="V176" s="26">
        <f>IFERROR(__xludf.DUMMYFUNCTION("""COMPUTED_VALUE"""),0.0)</f>
        <v>0</v>
      </c>
      <c r="W176" s="26">
        <f>IFERROR(__xludf.DUMMYFUNCTION("""COMPUTED_VALUE"""),0.0)</f>
        <v>0</v>
      </c>
      <c r="X176" s="26">
        <f>IFERROR(__xludf.DUMMYFUNCTION("""COMPUTED_VALUE"""),0.0)</f>
        <v>0</v>
      </c>
      <c r="Y176" s="26">
        <f>IFERROR(__xludf.DUMMYFUNCTION("""COMPUTED_VALUE"""),0.0)</f>
        <v>0</v>
      </c>
      <c r="Z176" s="26">
        <f>IFERROR(__xludf.DUMMYFUNCTION("""COMPUTED_VALUE"""),0.0)</f>
        <v>0</v>
      </c>
      <c r="AA176" s="26">
        <f>IFERROR(__xludf.DUMMYFUNCTION("""COMPUTED_VALUE"""),0.0)</f>
        <v>0</v>
      </c>
      <c r="AB176" s="26">
        <f>IFERROR(__xludf.DUMMYFUNCTION("""COMPUTED_VALUE"""),0.0)</f>
        <v>0</v>
      </c>
      <c r="AC176" s="26">
        <f>IFERROR(__xludf.DUMMYFUNCTION("""COMPUTED_VALUE"""),0.0)</f>
        <v>0</v>
      </c>
      <c r="AD176" s="26">
        <f>IFERROR(__xludf.DUMMYFUNCTION("""COMPUTED_VALUE"""),0.0)</f>
        <v>0</v>
      </c>
      <c r="AE176" s="26">
        <f>IFERROR(__xludf.DUMMYFUNCTION("""COMPUTED_VALUE"""),0.0)</f>
        <v>0</v>
      </c>
    </row>
    <row r="177">
      <c r="A177" s="26">
        <f>IFERROR(__xludf.DUMMYFUNCTION("""COMPUTED_VALUE"""),0.0)</f>
        <v>0</v>
      </c>
      <c r="B177" s="26">
        <f>IFERROR(__xludf.DUMMYFUNCTION("""COMPUTED_VALUE"""),0.0)</f>
        <v>0</v>
      </c>
      <c r="C177" s="26">
        <f>IFERROR(__xludf.DUMMYFUNCTION("""COMPUTED_VALUE"""),0.0)</f>
        <v>0</v>
      </c>
      <c r="D177" s="26">
        <f>IFERROR(__xludf.DUMMYFUNCTION("""COMPUTED_VALUE"""),0.0)</f>
        <v>0</v>
      </c>
      <c r="E177" s="26">
        <f>IFERROR(__xludf.DUMMYFUNCTION("""COMPUTED_VALUE"""),0.0)</f>
        <v>0</v>
      </c>
      <c r="F177" s="26">
        <f>IFERROR(__xludf.DUMMYFUNCTION("""COMPUTED_VALUE"""),0.0)</f>
        <v>0</v>
      </c>
      <c r="G177" s="26">
        <f>IFERROR(__xludf.DUMMYFUNCTION("""COMPUTED_VALUE"""),0.0)</f>
        <v>0</v>
      </c>
      <c r="H177" s="26">
        <f>IFERROR(__xludf.DUMMYFUNCTION("""COMPUTED_VALUE"""),0.0)</f>
        <v>0</v>
      </c>
      <c r="I177" s="26">
        <f>IFERROR(__xludf.DUMMYFUNCTION("""COMPUTED_VALUE"""),0.0)</f>
        <v>0</v>
      </c>
      <c r="J177" s="26">
        <f>IFERROR(__xludf.DUMMYFUNCTION("""COMPUTED_VALUE"""),0.0)</f>
        <v>0</v>
      </c>
      <c r="K177" s="26">
        <f>IFERROR(__xludf.DUMMYFUNCTION("""COMPUTED_VALUE"""),0.0)</f>
        <v>0</v>
      </c>
      <c r="L177" s="26">
        <f>IFERROR(__xludf.DUMMYFUNCTION("""COMPUTED_VALUE"""),0.0)</f>
        <v>0</v>
      </c>
      <c r="M177" s="26"/>
      <c r="N177" s="26"/>
      <c r="O177" s="26"/>
      <c r="P177" s="26"/>
      <c r="Q177" s="26"/>
      <c r="R177" s="26">
        <f>IFERROR(__xludf.DUMMYFUNCTION("""COMPUTED_VALUE"""),0.0)</f>
        <v>0</v>
      </c>
      <c r="S177" s="26">
        <f>IFERROR(__xludf.DUMMYFUNCTION("""COMPUTED_VALUE"""),0.0)</f>
        <v>0</v>
      </c>
      <c r="T177" s="26">
        <f>IFERROR(__xludf.DUMMYFUNCTION("""COMPUTED_VALUE"""),0.0)</f>
        <v>0</v>
      </c>
      <c r="U177" s="26">
        <f>IFERROR(__xludf.DUMMYFUNCTION("""COMPUTED_VALUE"""),0.0)</f>
        <v>0</v>
      </c>
      <c r="V177" s="26">
        <f>IFERROR(__xludf.DUMMYFUNCTION("""COMPUTED_VALUE"""),0.0)</f>
        <v>0</v>
      </c>
      <c r="W177" s="26">
        <f>IFERROR(__xludf.DUMMYFUNCTION("""COMPUTED_VALUE"""),0.0)</f>
        <v>0</v>
      </c>
      <c r="X177" s="26">
        <f>IFERROR(__xludf.DUMMYFUNCTION("""COMPUTED_VALUE"""),0.0)</f>
        <v>0</v>
      </c>
      <c r="Y177" s="26">
        <f>IFERROR(__xludf.DUMMYFUNCTION("""COMPUTED_VALUE"""),0.0)</f>
        <v>0</v>
      </c>
      <c r="Z177" s="26">
        <f>IFERROR(__xludf.DUMMYFUNCTION("""COMPUTED_VALUE"""),0.0)</f>
        <v>0</v>
      </c>
      <c r="AA177" s="26">
        <f>IFERROR(__xludf.DUMMYFUNCTION("""COMPUTED_VALUE"""),0.0)</f>
        <v>0</v>
      </c>
      <c r="AB177" s="26">
        <f>IFERROR(__xludf.DUMMYFUNCTION("""COMPUTED_VALUE"""),0.0)</f>
        <v>0</v>
      </c>
      <c r="AC177" s="26">
        <f>IFERROR(__xludf.DUMMYFUNCTION("""COMPUTED_VALUE"""),0.0)</f>
        <v>0</v>
      </c>
      <c r="AD177" s="26">
        <f>IFERROR(__xludf.DUMMYFUNCTION("""COMPUTED_VALUE"""),0.0)</f>
        <v>0</v>
      </c>
      <c r="AE177" s="26">
        <f>IFERROR(__xludf.DUMMYFUNCTION("""COMPUTED_VALUE"""),0.0)</f>
        <v>0</v>
      </c>
    </row>
    <row r="178">
      <c r="A178" s="26">
        <f>IFERROR(__xludf.DUMMYFUNCTION("""COMPUTED_VALUE"""),119.0)</f>
        <v>119</v>
      </c>
      <c r="B178" s="26">
        <f>IFERROR(__xludf.DUMMYFUNCTION("""COMPUTED_VALUE"""),0.0)</f>
        <v>0</v>
      </c>
      <c r="C178" s="26">
        <f>IFERROR(__xludf.DUMMYFUNCTION("""COMPUTED_VALUE"""),0.0)</f>
        <v>0</v>
      </c>
      <c r="D178" s="26">
        <f>IFERROR(__xludf.DUMMYFUNCTION("""COMPUTED_VALUE"""),0.0)</f>
        <v>0</v>
      </c>
      <c r="E178" s="26">
        <f>IFERROR(__xludf.DUMMYFUNCTION("""COMPUTED_VALUE"""),0.0)</f>
        <v>0</v>
      </c>
      <c r="F178" s="26">
        <f>IFERROR(__xludf.DUMMYFUNCTION("""COMPUTED_VALUE"""),0.0)</f>
        <v>0</v>
      </c>
      <c r="G178" s="26">
        <f>IFERROR(__xludf.DUMMYFUNCTION("""COMPUTED_VALUE"""),0.0)</f>
        <v>0</v>
      </c>
      <c r="H178" s="26">
        <f>IFERROR(__xludf.DUMMYFUNCTION("""COMPUTED_VALUE"""),0.0)</f>
        <v>0</v>
      </c>
      <c r="I178" s="26">
        <f>IFERROR(__xludf.DUMMYFUNCTION("""COMPUTED_VALUE"""),0.0)</f>
        <v>0</v>
      </c>
      <c r="J178" s="26">
        <f>IFERROR(__xludf.DUMMYFUNCTION("""COMPUTED_VALUE"""),0.0)</f>
        <v>0</v>
      </c>
      <c r="K178" s="26">
        <f>IFERROR(__xludf.DUMMYFUNCTION("""COMPUTED_VALUE"""),0.0)</f>
        <v>0</v>
      </c>
      <c r="L178" s="26">
        <f>IFERROR(__xludf.DUMMYFUNCTION("""COMPUTED_VALUE"""),0.0)</f>
        <v>0</v>
      </c>
      <c r="M178" s="26"/>
      <c r="N178" s="26"/>
      <c r="O178" s="26"/>
      <c r="P178" s="26"/>
      <c r="Q178" s="26"/>
      <c r="R178" s="26">
        <f>IFERROR(__xludf.DUMMYFUNCTION("""COMPUTED_VALUE"""),119.0)</f>
        <v>119</v>
      </c>
      <c r="S178" s="26">
        <f>IFERROR(__xludf.DUMMYFUNCTION("""COMPUTED_VALUE"""),46410.0)</f>
        <v>46410</v>
      </c>
      <c r="T178" s="26">
        <f>IFERROR(__xludf.DUMMYFUNCTION("""COMPUTED_VALUE"""),24395.0)</f>
        <v>24395</v>
      </c>
      <c r="U178" s="26">
        <f>IFERROR(__xludf.DUMMYFUNCTION("""COMPUTED_VALUE"""),31474.309999999983)</f>
        <v>31474.31</v>
      </c>
      <c r="V178" s="26">
        <f>IFERROR(__xludf.DUMMYFUNCTION("""COMPUTED_VALUE"""),0.0)</f>
        <v>0</v>
      </c>
      <c r="W178" s="26">
        <f>IFERROR(__xludf.DUMMYFUNCTION("""COMPUTED_VALUE"""),0.0)</f>
        <v>0</v>
      </c>
      <c r="X178" s="26">
        <f>IFERROR(__xludf.DUMMYFUNCTION("""COMPUTED_VALUE"""),7079.309999999982)</f>
        <v>7079.31</v>
      </c>
      <c r="Y178" s="26">
        <f>IFERROR(__xludf.DUMMYFUNCTION("""COMPUTED_VALUE"""),7079.309999999982)</f>
        <v>7079.31</v>
      </c>
      <c r="Z178" s="26">
        <f>IFERROR(__xludf.DUMMYFUNCTION("""COMPUTED_VALUE"""),32221.630000000045)</f>
        <v>32221.63</v>
      </c>
      <c r="AA178" s="26">
        <f>IFERROR(__xludf.DUMMYFUNCTION("""COMPUTED_VALUE"""),32221.630000000045)</f>
        <v>32221.63</v>
      </c>
      <c r="AB178" s="26">
        <f>IFERROR(__xludf.DUMMYFUNCTION("""COMPUTED_VALUE"""),14935.690000000022)</f>
        <v>14935.69</v>
      </c>
      <c r="AC178" s="26">
        <f>IFERROR(__xludf.DUMMYFUNCTION("""COMPUTED_VALUE"""),14188.369999999964)</f>
        <v>14188.37</v>
      </c>
      <c r="AD178" s="26">
        <f>IFERROR(__xludf.DUMMYFUNCTION("""COMPUTED_VALUE"""),747.3199999999979)</f>
        <v>747.32</v>
      </c>
      <c r="AE178" s="26">
        <f>IFERROR(__xludf.DUMMYFUNCTION("""COMPUTED_VALUE"""),0.0)</f>
        <v>0</v>
      </c>
    </row>
    <row r="179">
      <c r="A179" s="26">
        <f>IFERROR(__xludf.DUMMYFUNCTION("""COMPUTED_VALUE"""),291.0)</f>
        <v>291</v>
      </c>
      <c r="B179" s="26">
        <f>IFERROR(__xludf.DUMMYFUNCTION("""COMPUTED_VALUE"""),0.0)</f>
        <v>0</v>
      </c>
      <c r="C179" s="26">
        <f>IFERROR(__xludf.DUMMYFUNCTION("""COMPUTED_VALUE"""),0.0)</f>
        <v>0</v>
      </c>
      <c r="D179" s="26">
        <f>IFERROR(__xludf.DUMMYFUNCTION("""COMPUTED_VALUE"""),0.0)</f>
        <v>0</v>
      </c>
      <c r="E179" s="26">
        <f>IFERROR(__xludf.DUMMYFUNCTION("""COMPUTED_VALUE"""),0.0)</f>
        <v>0</v>
      </c>
      <c r="F179" s="26">
        <f>IFERROR(__xludf.DUMMYFUNCTION("""COMPUTED_VALUE"""),0.0)</f>
        <v>0</v>
      </c>
      <c r="G179" s="26">
        <f>IFERROR(__xludf.DUMMYFUNCTION("""COMPUTED_VALUE"""),0.0)</f>
        <v>0</v>
      </c>
      <c r="H179" s="26">
        <f>IFERROR(__xludf.DUMMYFUNCTION("""COMPUTED_VALUE"""),0.0)</f>
        <v>0</v>
      </c>
      <c r="I179" s="26">
        <f>IFERROR(__xludf.DUMMYFUNCTION("""COMPUTED_VALUE"""),0.0)</f>
        <v>0</v>
      </c>
      <c r="J179" s="26">
        <f>IFERROR(__xludf.DUMMYFUNCTION("""COMPUTED_VALUE"""),0.0)</f>
        <v>0</v>
      </c>
      <c r="K179" s="26">
        <f>IFERROR(__xludf.DUMMYFUNCTION("""COMPUTED_VALUE"""),0.0)</f>
        <v>0</v>
      </c>
      <c r="L179" s="26">
        <f>IFERROR(__xludf.DUMMYFUNCTION("""COMPUTED_VALUE"""),0.0)</f>
        <v>0</v>
      </c>
      <c r="M179" s="26"/>
      <c r="N179" s="26"/>
      <c r="O179" s="26"/>
      <c r="P179" s="26"/>
      <c r="Q179" s="26"/>
      <c r="R179" s="26">
        <f>IFERROR(__xludf.DUMMYFUNCTION("""COMPUTED_VALUE"""),291.0)</f>
        <v>291</v>
      </c>
      <c r="S179" s="26">
        <f>IFERROR(__xludf.DUMMYFUNCTION("""COMPUTED_VALUE"""),113490.0)</f>
        <v>113490</v>
      </c>
      <c r="T179" s="26">
        <f>IFERROR(__xludf.DUMMYFUNCTION("""COMPUTED_VALUE"""),59655.0)</f>
        <v>59655</v>
      </c>
      <c r="U179" s="26">
        <f>IFERROR(__xludf.DUMMYFUNCTION("""COMPUTED_VALUE"""),76966.58999999997)</f>
        <v>76966.59</v>
      </c>
      <c r="V179" s="26">
        <f>IFERROR(__xludf.DUMMYFUNCTION("""COMPUTED_VALUE"""),0.0)</f>
        <v>0</v>
      </c>
      <c r="W179" s="26">
        <f>IFERROR(__xludf.DUMMYFUNCTION("""COMPUTED_VALUE"""),0.0)</f>
        <v>0</v>
      </c>
      <c r="X179" s="26">
        <f>IFERROR(__xludf.DUMMYFUNCTION("""COMPUTED_VALUE"""),17311.589999999975)</f>
        <v>17311.59</v>
      </c>
      <c r="Y179" s="26">
        <f>IFERROR(__xludf.DUMMYFUNCTION("""COMPUTED_VALUE"""),17311.589999999975)</f>
        <v>17311.59</v>
      </c>
      <c r="Z179" s="26">
        <f>IFERROR(__xludf.DUMMYFUNCTION("""COMPUTED_VALUE"""),78794.06999999986)</f>
        <v>78794.07</v>
      </c>
      <c r="AA179" s="26">
        <f>IFERROR(__xludf.DUMMYFUNCTION("""COMPUTED_VALUE"""),78794.06999999986)</f>
        <v>78794.07</v>
      </c>
      <c r="AB179" s="26">
        <f>IFERROR(__xludf.DUMMYFUNCTION("""COMPUTED_VALUE"""),36523.40999999987)</f>
        <v>36523.41</v>
      </c>
      <c r="AC179" s="26">
        <f>IFERROR(__xludf.DUMMYFUNCTION("""COMPUTED_VALUE"""),34695.92999999995)</f>
        <v>34695.93</v>
      </c>
      <c r="AD179" s="26">
        <f>IFERROR(__xludf.DUMMYFUNCTION("""COMPUTED_VALUE"""),1827.4799999999932)</f>
        <v>1827.48</v>
      </c>
      <c r="AE179" s="26">
        <f>IFERROR(__xludf.DUMMYFUNCTION("""COMPUTED_VALUE"""),0.0)</f>
        <v>0</v>
      </c>
    </row>
    <row r="180">
      <c r="A180" s="26">
        <f>IFERROR(__xludf.DUMMYFUNCTION("""COMPUTED_VALUE"""),0.0)</f>
        <v>0</v>
      </c>
      <c r="B180" s="26">
        <f>IFERROR(__xludf.DUMMYFUNCTION("""COMPUTED_VALUE"""),0.0)</f>
        <v>0</v>
      </c>
      <c r="C180" s="26">
        <f>IFERROR(__xludf.DUMMYFUNCTION("""COMPUTED_VALUE"""),72.0)</f>
        <v>72</v>
      </c>
      <c r="D180" s="26">
        <f>IFERROR(__xludf.DUMMYFUNCTION("""COMPUTED_VALUE"""),0.0)</f>
        <v>0</v>
      </c>
      <c r="E180" s="26">
        <f>IFERROR(__xludf.DUMMYFUNCTION("""COMPUTED_VALUE"""),0.0)</f>
        <v>0</v>
      </c>
      <c r="F180" s="26">
        <f>IFERROR(__xludf.DUMMYFUNCTION("""COMPUTED_VALUE"""),0.0)</f>
        <v>0</v>
      </c>
      <c r="G180" s="26">
        <f>IFERROR(__xludf.DUMMYFUNCTION("""COMPUTED_VALUE"""),0.0)</f>
        <v>0</v>
      </c>
      <c r="H180" s="26">
        <f>IFERROR(__xludf.DUMMYFUNCTION("""COMPUTED_VALUE"""),0.0)</f>
        <v>0</v>
      </c>
      <c r="I180" s="26">
        <f>IFERROR(__xludf.DUMMYFUNCTION("""COMPUTED_VALUE"""),0.0)</f>
        <v>0</v>
      </c>
      <c r="J180" s="26">
        <f>IFERROR(__xludf.DUMMYFUNCTION("""COMPUTED_VALUE"""),0.0)</f>
        <v>0</v>
      </c>
      <c r="K180" s="26">
        <f>IFERROR(__xludf.DUMMYFUNCTION("""COMPUTED_VALUE"""),0.0)</f>
        <v>0</v>
      </c>
      <c r="L180" s="26">
        <f>IFERROR(__xludf.DUMMYFUNCTION("""COMPUTED_VALUE"""),0.0)</f>
        <v>0</v>
      </c>
      <c r="M180" s="26"/>
      <c r="N180" s="26"/>
      <c r="O180" s="26"/>
      <c r="P180" s="26"/>
      <c r="Q180" s="26"/>
      <c r="R180" s="26">
        <f>IFERROR(__xludf.DUMMYFUNCTION("""COMPUTED_VALUE"""),72.0)</f>
        <v>72</v>
      </c>
      <c r="S180" s="26">
        <f>IFERROR(__xludf.DUMMYFUNCTION("""COMPUTED_VALUE"""),31824.0)</f>
        <v>31824</v>
      </c>
      <c r="T180" s="26">
        <f>IFERROR(__xludf.DUMMYFUNCTION("""COMPUTED_VALUE"""),11880.0)</f>
        <v>11880</v>
      </c>
      <c r="U180" s="26">
        <f>IFERROR(__xludf.DUMMYFUNCTION("""COMPUTED_VALUE"""),16734.240000000005)</f>
        <v>16734.24</v>
      </c>
      <c r="V180" s="26">
        <f>IFERROR(__xludf.DUMMYFUNCTION("""COMPUTED_VALUE"""),0.0)</f>
        <v>0</v>
      </c>
      <c r="W180" s="26">
        <f>IFERROR(__xludf.DUMMYFUNCTION("""COMPUTED_VALUE"""),0.0)</f>
        <v>0</v>
      </c>
      <c r="X180" s="26">
        <f>IFERROR(__xludf.DUMMYFUNCTION("""COMPUTED_VALUE"""),4854.240000000003)</f>
        <v>4854.24</v>
      </c>
      <c r="Y180" s="26">
        <f>IFERROR(__xludf.DUMMYFUNCTION("""COMPUTED_VALUE"""),4854.240000000003)</f>
        <v>4854.24</v>
      </c>
      <c r="Z180" s="26">
        <f>IFERROR(__xludf.DUMMYFUNCTION("""COMPUTED_VALUE"""),31824.0)</f>
        <v>31824</v>
      </c>
      <c r="AA180" s="26">
        <f>IFERROR(__xludf.DUMMYFUNCTION("""COMPUTED_VALUE"""),17488.79999999999)</f>
        <v>17488.8</v>
      </c>
      <c r="AB180" s="26">
        <f>IFERROR(__xludf.DUMMYFUNCTION("""COMPUTED_VALUE"""),15089.759999999997)</f>
        <v>15089.76</v>
      </c>
      <c r="AC180" s="26">
        <f>IFERROR(__xludf.DUMMYFUNCTION("""COMPUTED_VALUE"""),0.0)</f>
        <v>0</v>
      </c>
      <c r="AD180" s="26">
        <f>IFERROR(__xludf.DUMMYFUNCTION("""COMPUTED_VALUE"""),754.5600000000007)</f>
        <v>754.56</v>
      </c>
      <c r="AE180" s="26">
        <f>IFERROR(__xludf.DUMMYFUNCTION("""COMPUTED_VALUE"""),14335.200000000017)</f>
        <v>14335.2</v>
      </c>
    </row>
    <row r="181">
      <c r="A181" s="26">
        <f>IFERROR(__xludf.DUMMYFUNCTION("""COMPUTED_VALUE"""),684.0)</f>
        <v>684</v>
      </c>
      <c r="B181" s="26">
        <f>IFERROR(__xludf.DUMMYFUNCTION("""COMPUTED_VALUE"""),0.0)</f>
        <v>0</v>
      </c>
      <c r="C181" s="26">
        <f>IFERROR(__xludf.DUMMYFUNCTION("""COMPUTED_VALUE"""),0.0)</f>
        <v>0</v>
      </c>
      <c r="D181" s="26">
        <f>IFERROR(__xludf.DUMMYFUNCTION("""COMPUTED_VALUE"""),0.0)</f>
        <v>0</v>
      </c>
      <c r="E181" s="26">
        <f>IFERROR(__xludf.DUMMYFUNCTION("""COMPUTED_VALUE"""),0.0)</f>
        <v>0</v>
      </c>
      <c r="F181" s="26">
        <f>IFERROR(__xludf.DUMMYFUNCTION("""COMPUTED_VALUE"""),0.0)</f>
        <v>0</v>
      </c>
      <c r="G181" s="26">
        <f>IFERROR(__xludf.DUMMYFUNCTION("""COMPUTED_VALUE"""),0.0)</f>
        <v>0</v>
      </c>
      <c r="H181" s="26">
        <f>IFERROR(__xludf.DUMMYFUNCTION("""COMPUTED_VALUE"""),0.0)</f>
        <v>0</v>
      </c>
      <c r="I181" s="26">
        <f>IFERROR(__xludf.DUMMYFUNCTION("""COMPUTED_VALUE"""),0.0)</f>
        <v>0</v>
      </c>
      <c r="J181" s="26">
        <f>IFERROR(__xludf.DUMMYFUNCTION("""COMPUTED_VALUE"""),0.0)</f>
        <v>0</v>
      </c>
      <c r="K181" s="26">
        <f>IFERROR(__xludf.DUMMYFUNCTION("""COMPUTED_VALUE"""),0.0)</f>
        <v>0</v>
      </c>
      <c r="L181" s="26">
        <f>IFERROR(__xludf.DUMMYFUNCTION("""COMPUTED_VALUE"""),0.0)</f>
        <v>0</v>
      </c>
      <c r="M181" s="26"/>
      <c r="N181" s="26"/>
      <c r="O181" s="26"/>
      <c r="P181" s="26"/>
      <c r="Q181" s="26"/>
      <c r="R181" s="26">
        <f>IFERROR(__xludf.DUMMYFUNCTION("""COMPUTED_VALUE"""),684.0)</f>
        <v>684</v>
      </c>
      <c r="S181" s="26">
        <f>IFERROR(__xludf.DUMMYFUNCTION("""COMPUTED_VALUE"""),335160.0)</f>
        <v>335160</v>
      </c>
      <c r="T181" s="26">
        <f>IFERROR(__xludf.DUMMYFUNCTION("""COMPUTED_VALUE"""),133380.0)</f>
        <v>133380</v>
      </c>
      <c r="U181" s="26">
        <f>IFERROR(__xludf.DUMMYFUNCTION("""COMPUTED_VALUE"""),184509.0)</f>
        <v>184509</v>
      </c>
      <c r="V181" s="26">
        <f>IFERROR(__xludf.DUMMYFUNCTION("""COMPUTED_VALUE"""),0.0)</f>
        <v>0</v>
      </c>
      <c r="W181" s="26">
        <f>IFERROR(__xludf.DUMMYFUNCTION("""COMPUTED_VALUE"""),0.0)</f>
        <v>0</v>
      </c>
      <c r="X181" s="26">
        <f>IFERROR(__xludf.DUMMYFUNCTION("""COMPUTED_VALUE"""),51129.0)</f>
        <v>51129</v>
      </c>
      <c r="Y181" s="26">
        <f>IFERROR(__xludf.DUMMYFUNCTION("""COMPUTED_VALUE"""),51129.0)</f>
        <v>51129</v>
      </c>
      <c r="Z181" s="26">
        <f>IFERROR(__xludf.DUMMYFUNCTION("""COMPUTED_VALUE"""),335160.0)</f>
        <v>335160</v>
      </c>
      <c r="AA181" s="26">
        <f>IFERROR(__xludf.DUMMYFUNCTION("""COMPUTED_VALUE"""),192039.84000000096)</f>
        <v>192039.84</v>
      </c>
      <c r="AB181" s="26">
        <f>IFERROR(__xludf.DUMMYFUNCTION("""COMPUTED_VALUE"""),150651.0)</f>
        <v>150651</v>
      </c>
      <c r="AC181" s="26">
        <f>IFERROR(__xludf.DUMMYFUNCTION("""COMPUTED_VALUE"""),0.0)</f>
        <v>0</v>
      </c>
      <c r="AD181" s="26">
        <f>IFERROR(__xludf.DUMMYFUNCTION("""COMPUTED_VALUE"""),7530.840000000107)</f>
        <v>7530.84</v>
      </c>
      <c r="AE181" s="26">
        <f>IFERROR(__xludf.DUMMYFUNCTION("""COMPUTED_VALUE"""),143120.1600000009)</f>
        <v>143120.16</v>
      </c>
    </row>
    <row r="182">
      <c r="A182" s="26">
        <f>IFERROR(__xludf.DUMMYFUNCTION("""COMPUTED_VALUE"""),0.0)</f>
        <v>0</v>
      </c>
      <c r="B182" s="26">
        <f>IFERROR(__xludf.DUMMYFUNCTION("""COMPUTED_VALUE"""),0.0)</f>
        <v>0</v>
      </c>
      <c r="C182" s="26">
        <f>IFERROR(__xludf.DUMMYFUNCTION("""COMPUTED_VALUE"""),68.0)</f>
        <v>68</v>
      </c>
      <c r="D182" s="26">
        <f>IFERROR(__xludf.DUMMYFUNCTION("""COMPUTED_VALUE"""),0.0)</f>
        <v>0</v>
      </c>
      <c r="E182" s="26">
        <f>IFERROR(__xludf.DUMMYFUNCTION("""COMPUTED_VALUE"""),0.0)</f>
        <v>0</v>
      </c>
      <c r="F182" s="26">
        <f>IFERROR(__xludf.DUMMYFUNCTION("""COMPUTED_VALUE"""),0.0)</f>
        <v>0</v>
      </c>
      <c r="G182" s="26">
        <f>IFERROR(__xludf.DUMMYFUNCTION("""COMPUTED_VALUE"""),0.0)</f>
        <v>0</v>
      </c>
      <c r="H182" s="26">
        <f>IFERROR(__xludf.DUMMYFUNCTION("""COMPUTED_VALUE"""),0.0)</f>
        <v>0</v>
      </c>
      <c r="I182" s="26">
        <f>IFERROR(__xludf.DUMMYFUNCTION("""COMPUTED_VALUE"""),0.0)</f>
        <v>0</v>
      </c>
      <c r="J182" s="26">
        <f>IFERROR(__xludf.DUMMYFUNCTION("""COMPUTED_VALUE"""),0.0)</f>
        <v>0</v>
      </c>
      <c r="K182" s="26">
        <f>IFERROR(__xludf.DUMMYFUNCTION("""COMPUTED_VALUE"""),0.0)</f>
        <v>0</v>
      </c>
      <c r="L182" s="26">
        <f>IFERROR(__xludf.DUMMYFUNCTION("""COMPUTED_VALUE"""),0.0)</f>
        <v>0</v>
      </c>
      <c r="M182" s="26"/>
      <c r="N182" s="26"/>
      <c r="O182" s="26"/>
      <c r="P182" s="26"/>
      <c r="Q182" s="26"/>
      <c r="R182" s="26">
        <f>IFERROR(__xludf.DUMMYFUNCTION("""COMPUTED_VALUE"""),68.0)</f>
        <v>68</v>
      </c>
      <c r="S182" s="26">
        <f>IFERROR(__xludf.DUMMYFUNCTION("""COMPUTED_VALUE"""),30056.0)</f>
        <v>30056</v>
      </c>
      <c r="T182" s="26">
        <f>IFERROR(__xludf.DUMMYFUNCTION("""COMPUTED_VALUE"""),12580.0)</f>
        <v>12580</v>
      </c>
      <c r="U182" s="26">
        <f>IFERROR(__xludf.DUMMYFUNCTION("""COMPUTED_VALUE"""),17164.560000000005)</f>
        <v>17164.56</v>
      </c>
      <c r="V182" s="26">
        <f>IFERROR(__xludf.DUMMYFUNCTION("""COMPUTED_VALUE"""),0.0)</f>
        <v>0</v>
      </c>
      <c r="W182" s="26">
        <f>IFERROR(__xludf.DUMMYFUNCTION("""COMPUTED_VALUE"""),0.0)</f>
        <v>0</v>
      </c>
      <c r="X182" s="26">
        <f>IFERROR(__xludf.DUMMYFUNCTION("""COMPUTED_VALUE"""),4584.560000000003)</f>
        <v>4584.56</v>
      </c>
      <c r="Y182" s="26">
        <f>IFERROR(__xludf.DUMMYFUNCTION("""COMPUTED_VALUE"""),4584.560000000003)</f>
        <v>4584.56</v>
      </c>
      <c r="Z182" s="26">
        <f>IFERROR(__xludf.DUMMYFUNCTION("""COMPUTED_VALUE"""),38896.0)</f>
        <v>38896</v>
      </c>
      <c r="AA182" s="26">
        <f>IFERROR(__xludf.DUMMYFUNCTION("""COMPUTED_VALUE"""),23047.200000000023)</f>
        <v>23047.2</v>
      </c>
      <c r="AB182" s="26">
        <f>IFERROR(__xludf.DUMMYFUNCTION("""COMPUTED_VALUE"""),16683.039999999997)</f>
        <v>16683.04</v>
      </c>
      <c r="AC182" s="26">
        <f>IFERROR(__xludf.DUMMYFUNCTION("""COMPUTED_VALUE"""),0.0)</f>
        <v>0</v>
      </c>
      <c r="AD182" s="26">
        <f>IFERROR(__xludf.DUMMYFUNCTION("""COMPUTED_VALUE"""),834.2400000000009)</f>
        <v>834.24</v>
      </c>
      <c r="AE182" s="26">
        <f>IFERROR(__xludf.DUMMYFUNCTION("""COMPUTED_VALUE"""),15848.800000000021)</f>
        <v>15848.8</v>
      </c>
    </row>
    <row r="183">
      <c r="A183" s="26">
        <f>IFERROR(__xludf.DUMMYFUNCTION("""COMPUTED_VALUE"""),0.0)</f>
        <v>0</v>
      </c>
      <c r="B183" s="26">
        <f>IFERROR(__xludf.DUMMYFUNCTION("""COMPUTED_VALUE"""),0.0)</f>
        <v>0</v>
      </c>
      <c r="C183" s="26">
        <f>IFERROR(__xludf.DUMMYFUNCTION("""COMPUTED_VALUE"""),0.0)</f>
        <v>0</v>
      </c>
      <c r="D183" s="26">
        <f>IFERROR(__xludf.DUMMYFUNCTION("""COMPUTED_VALUE"""),0.0)</f>
        <v>0</v>
      </c>
      <c r="E183" s="26">
        <f>IFERROR(__xludf.DUMMYFUNCTION("""COMPUTED_VALUE"""),0.0)</f>
        <v>0</v>
      </c>
      <c r="F183" s="26">
        <f>IFERROR(__xludf.DUMMYFUNCTION("""COMPUTED_VALUE"""),0.0)</f>
        <v>0</v>
      </c>
      <c r="G183" s="26">
        <f>IFERROR(__xludf.DUMMYFUNCTION("""COMPUTED_VALUE"""),0.0)</f>
        <v>0</v>
      </c>
      <c r="H183" s="26">
        <f>IFERROR(__xludf.DUMMYFUNCTION("""COMPUTED_VALUE"""),0.0)</f>
        <v>0</v>
      </c>
      <c r="I183" s="26">
        <f>IFERROR(__xludf.DUMMYFUNCTION("""COMPUTED_VALUE"""),0.0)</f>
        <v>0</v>
      </c>
      <c r="J183" s="26">
        <f>IFERROR(__xludf.DUMMYFUNCTION("""COMPUTED_VALUE"""),0.0)</f>
        <v>0</v>
      </c>
      <c r="K183" s="26">
        <f>IFERROR(__xludf.DUMMYFUNCTION("""COMPUTED_VALUE"""),0.0)</f>
        <v>0</v>
      </c>
      <c r="L183" s="26">
        <f>IFERROR(__xludf.DUMMYFUNCTION("""COMPUTED_VALUE"""),0.0)</f>
        <v>0</v>
      </c>
      <c r="M183" s="26"/>
      <c r="N183" s="26"/>
      <c r="O183" s="26"/>
      <c r="P183" s="26"/>
      <c r="Q183" s="26"/>
      <c r="R183" s="26">
        <f>IFERROR(__xludf.DUMMYFUNCTION("""COMPUTED_VALUE"""),0.0)</f>
        <v>0</v>
      </c>
      <c r="S183" s="26">
        <f>IFERROR(__xludf.DUMMYFUNCTION("""COMPUTED_VALUE"""),0.0)</f>
        <v>0</v>
      </c>
      <c r="T183" s="26">
        <f>IFERROR(__xludf.DUMMYFUNCTION("""COMPUTED_VALUE"""),0.0)</f>
        <v>0</v>
      </c>
      <c r="U183" s="26">
        <f>IFERROR(__xludf.DUMMYFUNCTION("""COMPUTED_VALUE"""),0.0)</f>
        <v>0</v>
      </c>
      <c r="V183" s="26">
        <f>IFERROR(__xludf.DUMMYFUNCTION("""COMPUTED_VALUE"""),0.0)</f>
        <v>0</v>
      </c>
      <c r="W183" s="26">
        <f>IFERROR(__xludf.DUMMYFUNCTION("""COMPUTED_VALUE"""),0.0)</f>
        <v>0</v>
      </c>
      <c r="X183" s="26">
        <f>IFERROR(__xludf.DUMMYFUNCTION("""COMPUTED_VALUE"""),0.0)</f>
        <v>0</v>
      </c>
      <c r="Y183" s="26">
        <f>IFERROR(__xludf.DUMMYFUNCTION("""COMPUTED_VALUE"""),0.0)</f>
        <v>0</v>
      </c>
      <c r="Z183" s="26">
        <f>IFERROR(__xludf.DUMMYFUNCTION("""COMPUTED_VALUE"""),0.0)</f>
        <v>0</v>
      </c>
      <c r="AA183" s="26">
        <f>IFERROR(__xludf.DUMMYFUNCTION("""COMPUTED_VALUE"""),0.0)</f>
        <v>0</v>
      </c>
      <c r="AB183" s="26">
        <f>IFERROR(__xludf.DUMMYFUNCTION("""COMPUTED_VALUE"""),0.0)</f>
        <v>0</v>
      </c>
      <c r="AC183" s="26">
        <f>IFERROR(__xludf.DUMMYFUNCTION("""COMPUTED_VALUE"""),0.0)</f>
        <v>0</v>
      </c>
      <c r="AD183" s="26">
        <f>IFERROR(__xludf.DUMMYFUNCTION("""COMPUTED_VALUE"""),0.0)</f>
        <v>0</v>
      </c>
      <c r="AE183" s="26">
        <f>IFERROR(__xludf.DUMMYFUNCTION("""COMPUTED_VALUE"""),0.0)</f>
        <v>0</v>
      </c>
    </row>
    <row r="184">
      <c r="A184" s="26">
        <f>IFERROR(__xludf.DUMMYFUNCTION("""COMPUTED_VALUE"""),0.0)</f>
        <v>0</v>
      </c>
      <c r="B184" s="26">
        <f>IFERROR(__xludf.DUMMYFUNCTION("""COMPUTED_VALUE"""),0.0)</f>
        <v>0</v>
      </c>
      <c r="C184" s="26">
        <f>IFERROR(__xludf.DUMMYFUNCTION("""COMPUTED_VALUE"""),195.0)</f>
        <v>195</v>
      </c>
      <c r="D184" s="26">
        <f>IFERROR(__xludf.DUMMYFUNCTION("""COMPUTED_VALUE"""),0.0)</f>
        <v>0</v>
      </c>
      <c r="E184" s="26">
        <f>IFERROR(__xludf.DUMMYFUNCTION("""COMPUTED_VALUE"""),0.0)</f>
        <v>0</v>
      </c>
      <c r="F184" s="26">
        <f>IFERROR(__xludf.DUMMYFUNCTION("""COMPUTED_VALUE"""),0.0)</f>
        <v>0</v>
      </c>
      <c r="G184" s="26">
        <f>IFERROR(__xludf.DUMMYFUNCTION("""COMPUTED_VALUE"""),0.0)</f>
        <v>0</v>
      </c>
      <c r="H184" s="26">
        <f>IFERROR(__xludf.DUMMYFUNCTION("""COMPUTED_VALUE"""),0.0)</f>
        <v>0</v>
      </c>
      <c r="I184" s="26">
        <f>IFERROR(__xludf.DUMMYFUNCTION("""COMPUTED_VALUE"""),0.0)</f>
        <v>0</v>
      </c>
      <c r="J184" s="26">
        <f>IFERROR(__xludf.DUMMYFUNCTION("""COMPUTED_VALUE"""),0.0)</f>
        <v>0</v>
      </c>
      <c r="K184" s="26">
        <f>IFERROR(__xludf.DUMMYFUNCTION("""COMPUTED_VALUE"""),0.0)</f>
        <v>0</v>
      </c>
      <c r="L184" s="26">
        <f>IFERROR(__xludf.DUMMYFUNCTION("""COMPUTED_VALUE"""),0.0)</f>
        <v>0</v>
      </c>
      <c r="M184" s="26"/>
      <c r="N184" s="26"/>
      <c r="O184" s="26"/>
      <c r="P184" s="26"/>
      <c r="Q184" s="26"/>
      <c r="R184" s="26">
        <f>IFERROR(__xludf.DUMMYFUNCTION("""COMPUTED_VALUE"""),195.0)</f>
        <v>195</v>
      </c>
      <c r="S184" s="26">
        <f>IFERROR(__xludf.DUMMYFUNCTION("""COMPUTED_VALUE"""),134550.0)</f>
        <v>134550</v>
      </c>
      <c r="T184" s="26">
        <f>IFERROR(__xludf.DUMMYFUNCTION("""COMPUTED_VALUE"""),39975.0)</f>
        <v>39975</v>
      </c>
      <c r="U184" s="26">
        <f>IFERROR(__xludf.DUMMYFUNCTION("""COMPUTED_VALUE"""),60498.75)</f>
        <v>60498.75</v>
      </c>
      <c r="V184" s="26">
        <f>IFERROR(__xludf.DUMMYFUNCTION("""COMPUTED_VALUE"""),0.0)</f>
        <v>0</v>
      </c>
      <c r="W184" s="26">
        <f>IFERROR(__xludf.DUMMYFUNCTION("""COMPUTED_VALUE"""),0.0)</f>
        <v>0</v>
      </c>
      <c r="X184" s="26">
        <f>IFERROR(__xludf.DUMMYFUNCTION("""COMPUTED_VALUE"""),20523.75)</f>
        <v>20523.75</v>
      </c>
      <c r="Y184" s="26">
        <f>IFERROR(__xludf.DUMMYFUNCTION("""COMPUTED_VALUE"""),20523.75)</f>
        <v>20523.75</v>
      </c>
      <c r="Z184" s="26">
        <f>IFERROR(__xludf.DUMMYFUNCTION("""COMPUTED_VALUE"""),190440.0)</f>
        <v>190440</v>
      </c>
      <c r="AA184" s="26">
        <f>IFERROR(__xludf.DUMMYFUNCTION("""COMPUTED_VALUE"""),90870.24000000027)</f>
        <v>90870.24</v>
      </c>
      <c r="AB184" s="26">
        <f>IFERROR(__xludf.DUMMYFUNCTION("""COMPUTED_VALUE"""),104811.0)</f>
        <v>104811</v>
      </c>
      <c r="AC184" s="26">
        <f>IFERROR(__xludf.DUMMYFUNCTION("""COMPUTED_VALUE"""),0.0)</f>
        <v>0</v>
      </c>
      <c r="AD184" s="26">
        <f>IFERROR(__xludf.DUMMYFUNCTION("""COMPUTED_VALUE"""),5241.239999999964)</f>
        <v>5241.24</v>
      </c>
      <c r="AE184" s="26">
        <f>IFERROR(__xludf.DUMMYFUNCTION("""COMPUTED_VALUE"""),99569.75999999963)</f>
        <v>99569.76</v>
      </c>
    </row>
    <row r="185">
      <c r="A185" s="26">
        <f>IFERROR(__xludf.DUMMYFUNCTION("""COMPUTED_VALUE"""),126.0)</f>
        <v>126</v>
      </c>
      <c r="B185" s="26">
        <f>IFERROR(__xludf.DUMMYFUNCTION("""COMPUTED_VALUE"""),0.0)</f>
        <v>0</v>
      </c>
      <c r="C185" s="26">
        <f>IFERROR(__xludf.DUMMYFUNCTION("""COMPUTED_VALUE"""),0.0)</f>
        <v>0</v>
      </c>
      <c r="D185" s="26">
        <f>IFERROR(__xludf.DUMMYFUNCTION("""COMPUTED_VALUE"""),0.0)</f>
        <v>0</v>
      </c>
      <c r="E185" s="26">
        <f>IFERROR(__xludf.DUMMYFUNCTION("""COMPUTED_VALUE"""),0.0)</f>
        <v>0</v>
      </c>
      <c r="F185" s="26">
        <f>IFERROR(__xludf.DUMMYFUNCTION("""COMPUTED_VALUE"""),0.0)</f>
        <v>0</v>
      </c>
      <c r="G185" s="26">
        <f>IFERROR(__xludf.DUMMYFUNCTION("""COMPUTED_VALUE"""),0.0)</f>
        <v>0</v>
      </c>
      <c r="H185" s="26">
        <f>IFERROR(__xludf.DUMMYFUNCTION("""COMPUTED_VALUE"""),0.0)</f>
        <v>0</v>
      </c>
      <c r="I185" s="26">
        <f>IFERROR(__xludf.DUMMYFUNCTION("""COMPUTED_VALUE"""),0.0)</f>
        <v>0</v>
      </c>
      <c r="J185" s="26">
        <f>IFERROR(__xludf.DUMMYFUNCTION("""COMPUTED_VALUE"""),0.0)</f>
        <v>0</v>
      </c>
      <c r="K185" s="26">
        <f>IFERROR(__xludf.DUMMYFUNCTION("""COMPUTED_VALUE"""),0.0)</f>
        <v>0</v>
      </c>
      <c r="L185" s="26">
        <f>IFERROR(__xludf.DUMMYFUNCTION("""COMPUTED_VALUE"""),0.0)</f>
        <v>0</v>
      </c>
      <c r="M185" s="26"/>
      <c r="N185" s="26"/>
      <c r="O185" s="26"/>
      <c r="P185" s="26"/>
      <c r="Q185" s="26"/>
      <c r="R185" s="26">
        <f>IFERROR(__xludf.DUMMYFUNCTION("""COMPUTED_VALUE"""),126.0)</f>
        <v>126</v>
      </c>
      <c r="S185" s="26">
        <f>IFERROR(__xludf.DUMMYFUNCTION("""COMPUTED_VALUE"""),55692.0)</f>
        <v>55692</v>
      </c>
      <c r="T185" s="26">
        <f>IFERROR(__xludf.DUMMYFUNCTION("""COMPUTED_VALUE"""),24192.0)</f>
        <v>24192</v>
      </c>
      <c r="U185" s="26">
        <f>IFERROR(__xludf.DUMMYFUNCTION("""COMPUTED_VALUE"""),32686.920000000006)</f>
        <v>32686.92</v>
      </c>
      <c r="V185" s="26">
        <f>IFERROR(__xludf.DUMMYFUNCTION("""COMPUTED_VALUE"""),0.0)</f>
        <v>0</v>
      </c>
      <c r="W185" s="26">
        <f>IFERROR(__xludf.DUMMYFUNCTION("""COMPUTED_VALUE"""),0.0)</f>
        <v>0</v>
      </c>
      <c r="X185" s="26">
        <f>IFERROR(__xludf.DUMMYFUNCTION("""COMPUTED_VALUE"""),8494.920000000007)</f>
        <v>8494.92</v>
      </c>
      <c r="Y185" s="26">
        <f>IFERROR(__xludf.DUMMYFUNCTION("""COMPUTED_VALUE"""),8494.920000000007)</f>
        <v>8494.92</v>
      </c>
      <c r="Z185" s="26">
        <f>IFERROR(__xludf.DUMMYFUNCTION("""COMPUTED_VALUE"""),0.0)</f>
        <v>0</v>
      </c>
      <c r="AA185" s="26">
        <f>IFERROR(__xludf.DUMMYFUNCTION("""COMPUTED_VALUE"""),0.0)</f>
        <v>0</v>
      </c>
      <c r="AB185" s="26">
        <f>IFERROR(__xludf.DUMMYFUNCTION("""COMPUTED_VALUE"""),0.0)</f>
        <v>0</v>
      </c>
      <c r="AC185" s="26">
        <f>IFERROR(__xludf.DUMMYFUNCTION("""COMPUTED_VALUE"""),0.0)</f>
        <v>0</v>
      </c>
      <c r="AD185" s="26">
        <f>IFERROR(__xludf.DUMMYFUNCTION("""COMPUTED_VALUE"""),0.0)</f>
        <v>0</v>
      </c>
      <c r="AE185" s="26">
        <f>IFERROR(__xludf.DUMMYFUNCTION("""COMPUTED_VALUE"""),0.0)</f>
        <v>0</v>
      </c>
    </row>
    <row r="186">
      <c r="A186" s="26">
        <f>IFERROR(__xludf.DUMMYFUNCTION("""COMPUTED_VALUE"""),99.0)</f>
        <v>99</v>
      </c>
      <c r="B186" s="26">
        <f>IFERROR(__xludf.DUMMYFUNCTION("""COMPUTED_VALUE"""),0.0)</f>
        <v>0</v>
      </c>
      <c r="C186" s="26">
        <f>IFERROR(__xludf.DUMMYFUNCTION("""COMPUTED_VALUE"""),0.0)</f>
        <v>0</v>
      </c>
      <c r="D186" s="26">
        <f>IFERROR(__xludf.DUMMYFUNCTION("""COMPUTED_VALUE"""),0.0)</f>
        <v>0</v>
      </c>
      <c r="E186" s="26">
        <f>IFERROR(__xludf.DUMMYFUNCTION("""COMPUTED_VALUE"""),0.0)</f>
        <v>0</v>
      </c>
      <c r="F186" s="26">
        <f>IFERROR(__xludf.DUMMYFUNCTION("""COMPUTED_VALUE"""),0.0)</f>
        <v>0</v>
      </c>
      <c r="G186" s="26">
        <f>IFERROR(__xludf.DUMMYFUNCTION("""COMPUTED_VALUE"""),0.0)</f>
        <v>0</v>
      </c>
      <c r="H186" s="26">
        <f>IFERROR(__xludf.DUMMYFUNCTION("""COMPUTED_VALUE"""),0.0)</f>
        <v>0</v>
      </c>
      <c r="I186" s="26">
        <f>IFERROR(__xludf.DUMMYFUNCTION("""COMPUTED_VALUE"""),0.0)</f>
        <v>0</v>
      </c>
      <c r="J186" s="26">
        <f>IFERROR(__xludf.DUMMYFUNCTION("""COMPUTED_VALUE"""),0.0)</f>
        <v>0</v>
      </c>
      <c r="K186" s="26">
        <f>IFERROR(__xludf.DUMMYFUNCTION("""COMPUTED_VALUE"""),0.0)</f>
        <v>0</v>
      </c>
      <c r="L186" s="26">
        <f>IFERROR(__xludf.DUMMYFUNCTION("""COMPUTED_VALUE"""),0.0)</f>
        <v>0</v>
      </c>
      <c r="M186" s="26"/>
      <c r="N186" s="26"/>
      <c r="O186" s="26"/>
      <c r="P186" s="26"/>
      <c r="Q186" s="26"/>
      <c r="R186" s="26">
        <f>IFERROR(__xludf.DUMMYFUNCTION("""COMPUTED_VALUE"""),99.0)</f>
        <v>99</v>
      </c>
      <c r="S186" s="26">
        <f>IFERROR(__xludf.DUMMYFUNCTION("""COMPUTED_VALUE"""),43758.0)</f>
        <v>43758</v>
      </c>
      <c r="T186" s="26">
        <f>IFERROR(__xludf.DUMMYFUNCTION("""COMPUTED_VALUE"""),19008.0)</f>
        <v>19008</v>
      </c>
      <c r="U186" s="26">
        <f>IFERROR(__xludf.DUMMYFUNCTION("""COMPUTED_VALUE"""),25682.580000000005)</f>
        <v>25682.58</v>
      </c>
      <c r="V186" s="26">
        <f>IFERROR(__xludf.DUMMYFUNCTION("""COMPUTED_VALUE"""),0.0)</f>
        <v>0</v>
      </c>
      <c r="W186" s="26">
        <f>IFERROR(__xludf.DUMMYFUNCTION("""COMPUTED_VALUE"""),0.0)</f>
        <v>0</v>
      </c>
      <c r="X186" s="26">
        <f>IFERROR(__xludf.DUMMYFUNCTION("""COMPUTED_VALUE"""),6674.580000000005)</f>
        <v>6674.58</v>
      </c>
      <c r="Y186" s="26">
        <f>IFERROR(__xludf.DUMMYFUNCTION("""COMPUTED_VALUE"""),6674.580000000005)</f>
        <v>6674.58</v>
      </c>
      <c r="Z186" s="26">
        <f>IFERROR(__xludf.DUMMYFUNCTION("""COMPUTED_VALUE"""),0.0)</f>
        <v>0</v>
      </c>
      <c r="AA186" s="26">
        <f>IFERROR(__xludf.DUMMYFUNCTION("""COMPUTED_VALUE"""),0.0)</f>
        <v>0</v>
      </c>
      <c r="AB186" s="26">
        <f>IFERROR(__xludf.DUMMYFUNCTION("""COMPUTED_VALUE"""),0.0)</f>
        <v>0</v>
      </c>
      <c r="AC186" s="26">
        <f>IFERROR(__xludf.DUMMYFUNCTION("""COMPUTED_VALUE"""),0.0)</f>
        <v>0</v>
      </c>
      <c r="AD186" s="26">
        <f>IFERROR(__xludf.DUMMYFUNCTION("""COMPUTED_VALUE"""),0.0)</f>
        <v>0</v>
      </c>
      <c r="AE186" s="26">
        <f>IFERROR(__xludf.DUMMYFUNCTION("""COMPUTED_VALUE"""),0.0)</f>
        <v>0</v>
      </c>
    </row>
    <row r="187">
      <c r="A187" s="26">
        <f>IFERROR(__xludf.DUMMYFUNCTION("""COMPUTED_VALUE"""),148.0)</f>
        <v>148</v>
      </c>
      <c r="B187" s="26">
        <f>IFERROR(__xludf.DUMMYFUNCTION("""COMPUTED_VALUE"""),0.0)</f>
        <v>0</v>
      </c>
      <c r="C187" s="26">
        <f>IFERROR(__xludf.DUMMYFUNCTION("""COMPUTED_VALUE"""),0.0)</f>
        <v>0</v>
      </c>
      <c r="D187" s="26">
        <f>IFERROR(__xludf.DUMMYFUNCTION("""COMPUTED_VALUE"""),0.0)</f>
        <v>0</v>
      </c>
      <c r="E187" s="26">
        <f>IFERROR(__xludf.DUMMYFUNCTION("""COMPUTED_VALUE"""),0.0)</f>
        <v>0</v>
      </c>
      <c r="F187" s="26">
        <f>IFERROR(__xludf.DUMMYFUNCTION("""COMPUTED_VALUE"""),0.0)</f>
        <v>0</v>
      </c>
      <c r="G187" s="26">
        <f>IFERROR(__xludf.DUMMYFUNCTION("""COMPUTED_VALUE"""),0.0)</f>
        <v>0</v>
      </c>
      <c r="H187" s="26">
        <f>IFERROR(__xludf.DUMMYFUNCTION("""COMPUTED_VALUE"""),0.0)</f>
        <v>0</v>
      </c>
      <c r="I187" s="26">
        <f>IFERROR(__xludf.DUMMYFUNCTION("""COMPUTED_VALUE"""),0.0)</f>
        <v>0</v>
      </c>
      <c r="J187" s="26">
        <f>IFERROR(__xludf.DUMMYFUNCTION("""COMPUTED_VALUE"""),0.0)</f>
        <v>0</v>
      </c>
      <c r="K187" s="26">
        <f>IFERROR(__xludf.DUMMYFUNCTION("""COMPUTED_VALUE"""),0.0)</f>
        <v>0</v>
      </c>
      <c r="L187" s="26">
        <f>IFERROR(__xludf.DUMMYFUNCTION("""COMPUTED_VALUE"""),0.0)</f>
        <v>0</v>
      </c>
      <c r="M187" s="26"/>
      <c r="N187" s="26"/>
      <c r="O187" s="26"/>
      <c r="P187" s="26"/>
      <c r="Q187" s="26"/>
      <c r="R187" s="26">
        <f>IFERROR(__xludf.DUMMYFUNCTION("""COMPUTED_VALUE"""),148.0)</f>
        <v>148</v>
      </c>
      <c r="S187" s="26">
        <f>IFERROR(__xludf.DUMMYFUNCTION("""COMPUTED_VALUE"""),65416.0)</f>
        <v>65416</v>
      </c>
      <c r="T187" s="26">
        <f>IFERROR(__xludf.DUMMYFUNCTION("""COMPUTED_VALUE"""),28416.0)</f>
        <v>28416</v>
      </c>
      <c r="U187" s="26">
        <f>IFERROR(__xludf.DUMMYFUNCTION("""COMPUTED_VALUE"""),38394.16000000001)</f>
        <v>38394.16</v>
      </c>
      <c r="V187" s="26">
        <f>IFERROR(__xludf.DUMMYFUNCTION("""COMPUTED_VALUE"""),0.0)</f>
        <v>0</v>
      </c>
      <c r="W187" s="26">
        <f>IFERROR(__xludf.DUMMYFUNCTION("""COMPUTED_VALUE"""),0.0)</f>
        <v>0</v>
      </c>
      <c r="X187" s="26">
        <f>IFERROR(__xludf.DUMMYFUNCTION("""COMPUTED_VALUE"""),9978.160000000009)</f>
        <v>9978.16</v>
      </c>
      <c r="Y187" s="26">
        <f>IFERROR(__xludf.DUMMYFUNCTION("""COMPUTED_VALUE"""),9978.160000000009)</f>
        <v>9978.16</v>
      </c>
      <c r="Z187" s="26">
        <f>IFERROR(__xludf.DUMMYFUNCTION("""COMPUTED_VALUE"""),0.0)</f>
        <v>0</v>
      </c>
      <c r="AA187" s="26">
        <f>IFERROR(__xludf.DUMMYFUNCTION("""COMPUTED_VALUE"""),0.0)</f>
        <v>0</v>
      </c>
      <c r="AB187" s="26">
        <f>IFERROR(__xludf.DUMMYFUNCTION("""COMPUTED_VALUE"""),0.0)</f>
        <v>0</v>
      </c>
      <c r="AC187" s="26">
        <f>IFERROR(__xludf.DUMMYFUNCTION("""COMPUTED_VALUE"""),0.0)</f>
        <v>0</v>
      </c>
      <c r="AD187" s="26">
        <f>IFERROR(__xludf.DUMMYFUNCTION("""COMPUTED_VALUE"""),0.0)</f>
        <v>0</v>
      </c>
      <c r="AE187" s="26">
        <f>IFERROR(__xludf.DUMMYFUNCTION("""COMPUTED_VALUE"""),0.0)</f>
        <v>0</v>
      </c>
    </row>
    <row r="188">
      <c r="A188" s="26">
        <f>IFERROR(__xludf.DUMMYFUNCTION("""COMPUTED_VALUE"""),0.0)</f>
        <v>0</v>
      </c>
      <c r="B188" s="26">
        <f>IFERROR(__xludf.DUMMYFUNCTION("""COMPUTED_VALUE"""),0.0)</f>
        <v>0</v>
      </c>
      <c r="C188" s="26">
        <f>IFERROR(__xludf.DUMMYFUNCTION("""COMPUTED_VALUE"""),0.0)</f>
        <v>0</v>
      </c>
      <c r="D188" s="26">
        <f>IFERROR(__xludf.DUMMYFUNCTION("""COMPUTED_VALUE"""),0.0)</f>
        <v>0</v>
      </c>
      <c r="E188" s="26">
        <f>IFERROR(__xludf.DUMMYFUNCTION("""COMPUTED_VALUE"""),0.0)</f>
        <v>0</v>
      </c>
      <c r="F188" s="26">
        <f>IFERROR(__xludf.DUMMYFUNCTION("""COMPUTED_VALUE"""),0.0)</f>
        <v>0</v>
      </c>
      <c r="G188" s="26">
        <f>IFERROR(__xludf.DUMMYFUNCTION("""COMPUTED_VALUE"""),0.0)</f>
        <v>0</v>
      </c>
      <c r="H188" s="26">
        <f>IFERROR(__xludf.DUMMYFUNCTION("""COMPUTED_VALUE"""),0.0)</f>
        <v>0</v>
      </c>
      <c r="I188" s="26">
        <f>IFERROR(__xludf.DUMMYFUNCTION("""COMPUTED_VALUE"""),0.0)</f>
        <v>0</v>
      </c>
      <c r="J188" s="26">
        <f>IFERROR(__xludf.DUMMYFUNCTION("""COMPUTED_VALUE"""),0.0)</f>
        <v>0</v>
      </c>
      <c r="K188" s="26">
        <f>IFERROR(__xludf.DUMMYFUNCTION("""COMPUTED_VALUE"""),0.0)</f>
        <v>0</v>
      </c>
      <c r="L188" s="26">
        <f>IFERROR(__xludf.DUMMYFUNCTION("""COMPUTED_VALUE"""),0.0)</f>
        <v>0</v>
      </c>
      <c r="M188" s="26"/>
      <c r="N188" s="26"/>
      <c r="O188" s="26"/>
      <c r="P188" s="26"/>
      <c r="Q188" s="26"/>
      <c r="R188" s="26">
        <f>IFERROR(__xludf.DUMMYFUNCTION("""COMPUTED_VALUE"""),0.0)</f>
        <v>0</v>
      </c>
      <c r="S188" s="26">
        <f>IFERROR(__xludf.DUMMYFUNCTION("""COMPUTED_VALUE"""),0.0)</f>
        <v>0</v>
      </c>
      <c r="T188" s="26">
        <f>IFERROR(__xludf.DUMMYFUNCTION("""COMPUTED_VALUE"""),0.0)</f>
        <v>0</v>
      </c>
      <c r="U188" s="26">
        <f>IFERROR(__xludf.DUMMYFUNCTION("""COMPUTED_VALUE"""),0.0)</f>
        <v>0</v>
      </c>
      <c r="V188" s="26">
        <f>IFERROR(__xludf.DUMMYFUNCTION("""COMPUTED_VALUE"""),0.0)</f>
        <v>0</v>
      </c>
      <c r="W188" s="26">
        <f>IFERROR(__xludf.DUMMYFUNCTION("""COMPUTED_VALUE"""),0.0)</f>
        <v>0</v>
      </c>
      <c r="X188" s="26">
        <f>IFERROR(__xludf.DUMMYFUNCTION("""COMPUTED_VALUE"""),0.0)</f>
        <v>0</v>
      </c>
      <c r="Y188" s="26">
        <f>IFERROR(__xludf.DUMMYFUNCTION("""COMPUTED_VALUE"""),0.0)</f>
        <v>0</v>
      </c>
      <c r="Z188" s="26">
        <f>IFERROR(__xludf.DUMMYFUNCTION("""COMPUTED_VALUE"""),0.0)</f>
        <v>0</v>
      </c>
      <c r="AA188" s="26">
        <f>IFERROR(__xludf.DUMMYFUNCTION("""COMPUTED_VALUE"""),0.0)</f>
        <v>0</v>
      </c>
      <c r="AB188" s="26">
        <f>IFERROR(__xludf.DUMMYFUNCTION("""COMPUTED_VALUE"""),0.0)</f>
        <v>0</v>
      </c>
      <c r="AC188" s="26">
        <f>IFERROR(__xludf.DUMMYFUNCTION("""COMPUTED_VALUE"""),0.0)</f>
        <v>0</v>
      </c>
      <c r="AD188" s="26">
        <f>IFERROR(__xludf.DUMMYFUNCTION("""COMPUTED_VALUE"""),0.0)</f>
        <v>0</v>
      </c>
      <c r="AE188" s="26">
        <f>IFERROR(__xludf.DUMMYFUNCTION("""COMPUTED_VALUE"""),0.0)</f>
        <v>0</v>
      </c>
    </row>
    <row r="189">
      <c r="A189" s="26">
        <f>IFERROR(__xludf.DUMMYFUNCTION("""COMPUTED_VALUE"""),0.0)</f>
        <v>0</v>
      </c>
      <c r="B189" s="26">
        <f>IFERROR(__xludf.DUMMYFUNCTION("""COMPUTED_VALUE"""),0.0)</f>
        <v>0</v>
      </c>
      <c r="C189" s="26">
        <f>IFERROR(__xludf.DUMMYFUNCTION("""COMPUTED_VALUE"""),0.0)</f>
        <v>0</v>
      </c>
      <c r="D189" s="26">
        <f>IFERROR(__xludf.DUMMYFUNCTION("""COMPUTED_VALUE"""),0.0)</f>
        <v>0</v>
      </c>
      <c r="E189" s="26">
        <f>IFERROR(__xludf.DUMMYFUNCTION("""COMPUTED_VALUE"""),0.0)</f>
        <v>0</v>
      </c>
      <c r="F189" s="26">
        <f>IFERROR(__xludf.DUMMYFUNCTION("""COMPUTED_VALUE"""),0.0)</f>
        <v>0</v>
      </c>
      <c r="G189" s="26">
        <f>IFERROR(__xludf.DUMMYFUNCTION("""COMPUTED_VALUE"""),0.0)</f>
        <v>0</v>
      </c>
      <c r="H189" s="26">
        <f>IFERROR(__xludf.DUMMYFUNCTION("""COMPUTED_VALUE"""),0.0)</f>
        <v>0</v>
      </c>
      <c r="I189" s="26">
        <f>IFERROR(__xludf.DUMMYFUNCTION("""COMPUTED_VALUE"""),0.0)</f>
        <v>0</v>
      </c>
      <c r="J189" s="26">
        <f>IFERROR(__xludf.DUMMYFUNCTION("""COMPUTED_VALUE"""),0.0)</f>
        <v>0</v>
      </c>
      <c r="K189" s="26">
        <f>IFERROR(__xludf.DUMMYFUNCTION("""COMPUTED_VALUE"""),0.0)</f>
        <v>0</v>
      </c>
      <c r="L189" s="26">
        <f>IFERROR(__xludf.DUMMYFUNCTION("""COMPUTED_VALUE"""),0.0)</f>
        <v>0</v>
      </c>
      <c r="M189" s="26"/>
      <c r="N189" s="26"/>
      <c r="O189" s="26"/>
      <c r="P189" s="26"/>
      <c r="Q189" s="26"/>
      <c r="R189" s="26">
        <f>IFERROR(__xludf.DUMMYFUNCTION("""COMPUTED_VALUE"""),0.0)</f>
        <v>0</v>
      </c>
      <c r="S189" s="26">
        <f>IFERROR(__xludf.DUMMYFUNCTION("""COMPUTED_VALUE"""),0.0)</f>
        <v>0</v>
      </c>
      <c r="T189" s="26">
        <f>IFERROR(__xludf.DUMMYFUNCTION("""COMPUTED_VALUE"""),0.0)</f>
        <v>0</v>
      </c>
      <c r="U189" s="26">
        <f>IFERROR(__xludf.DUMMYFUNCTION("""COMPUTED_VALUE"""),0.0)</f>
        <v>0</v>
      </c>
      <c r="V189" s="26">
        <f>IFERROR(__xludf.DUMMYFUNCTION("""COMPUTED_VALUE"""),0.0)</f>
        <v>0</v>
      </c>
      <c r="W189" s="26">
        <f>IFERROR(__xludf.DUMMYFUNCTION("""COMPUTED_VALUE"""),0.0)</f>
        <v>0</v>
      </c>
      <c r="X189" s="26">
        <f>IFERROR(__xludf.DUMMYFUNCTION("""COMPUTED_VALUE"""),0.0)</f>
        <v>0</v>
      </c>
      <c r="Y189" s="26">
        <f>IFERROR(__xludf.DUMMYFUNCTION("""COMPUTED_VALUE"""),0.0)</f>
        <v>0</v>
      </c>
      <c r="Z189" s="26">
        <f>IFERROR(__xludf.DUMMYFUNCTION("""COMPUTED_VALUE"""),0.0)</f>
        <v>0</v>
      </c>
      <c r="AA189" s="26">
        <f>IFERROR(__xludf.DUMMYFUNCTION("""COMPUTED_VALUE"""),0.0)</f>
        <v>0</v>
      </c>
      <c r="AB189" s="26">
        <f>IFERROR(__xludf.DUMMYFUNCTION("""COMPUTED_VALUE"""),0.0)</f>
        <v>0</v>
      </c>
      <c r="AC189" s="26">
        <f>IFERROR(__xludf.DUMMYFUNCTION("""COMPUTED_VALUE"""),0.0)</f>
        <v>0</v>
      </c>
      <c r="AD189" s="26">
        <f>IFERROR(__xludf.DUMMYFUNCTION("""COMPUTED_VALUE"""),0.0)</f>
        <v>0</v>
      </c>
      <c r="AE189" s="26">
        <f>IFERROR(__xludf.DUMMYFUNCTION("""COMPUTED_VALUE"""),0.0)</f>
        <v>0</v>
      </c>
    </row>
    <row r="190">
      <c r="A190" s="26">
        <f>IFERROR(__xludf.DUMMYFUNCTION("""COMPUTED_VALUE"""),47.0)</f>
        <v>47</v>
      </c>
      <c r="B190" s="26">
        <f>IFERROR(__xludf.DUMMYFUNCTION("""COMPUTED_VALUE"""),0.0)</f>
        <v>0</v>
      </c>
      <c r="C190" s="26">
        <f>IFERROR(__xludf.DUMMYFUNCTION("""COMPUTED_VALUE"""),0.0)</f>
        <v>0</v>
      </c>
      <c r="D190" s="26">
        <f>IFERROR(__xludf.DUMMYFUNCTION("""COMPUTED_VALUE"""),0.0)</f>
        <v>0</v>
      </c>
      <c r="E190" s="26">
        <f>IFERROR(__xludf.DUMMYFUNCTION("""COMPUTED_VALUE"""),0.0)</f>
        <v>0</v>
      </c>
      <c r="F190" s="26">
        <f>IFERROR(__xludf.DUMMYFUNCTION("""COMPUTED_VALUE"""),0.0)</f>
        <v>0</v>
      </c>
      <c r="G190" s="26">
        <f>IFERROR(__xludf.DUMMYFUNCTION("""COMPUTED_VALUE"""),0.0)</f>
        <v>0</v>
      </c>
      <c r="H190" s="26">
        <f>IFERROR(__xludf.DUMMYFUNCTION("""COMPUTED_VALUE"""),0.0)</f>
        <v>0</v>
      </c>
      <c r="I190" s="26">
        <f>IFERROR(__xludf.DUMMYFUNCTION("""COMPUTED_VALUE"""),0.0)</f>
        <v>0</v>
      </c>
      <c r="J190" s="26">
        <f>IFERROR(__xludf.DUMMYFUNCTION("""COMPUTED_VALUE"""),0.0)</f>
        <v>0</v>
      </c>
      <c r="K190" s="26">
        <f>IFERROR(__xludf.DUMMYFUNCTION("""COMPUTED_VALUE"""),0.0)</f>
        <v>0</v>
      </c>
      <c r="L190" s="26">
        <f>IFERROR(__xludf.DUMMYFUNCTION("""COMPUTED_VALUE"""),0.0)</f>
        <v>0</v>
      </c>
      <c r="M190" s="26"/>
      <c r="N190" s="26"/>
      <c r="O190" s="26"/>
      <c r="P190" s="26"/>
      <c r="Q190" s="26"/>
      <c r="R190" s="26">
        <f>IFERROR(__xludf.DUMMYFUNCTION("""COMPUTED_VALUE"""),47.0)</f>
        <v>47</v>
      </c>
      <c r="S190" s="26">
        <f>IFERROR(__xludf.DUMMYFUNCTION("""COMPUTED_VALUE"""),20774.0)</f>
        <v>20774</v>
      </c>
      <c r="T190" s="26">
        <f>IFERROR(__xludf.DUMMYFUNCTION("""COMPUTED_VALUE"""),9024.0)</f>
        <v>9024</v>
      </c>
      <c r="U190" s="26">
        <f>IFERROR(__xludf.DUMMYFUNCTION("""COMPUTED_VALUE"""),12192.740000000002)</f>
        <v>12192.74</v>
      </c>
      <c r="V190" s="26">
        <f>IFERROR(__xludf.DUMMYFUNCTION("""COMPUTED_VALUE"""),0.0)</f>
        <v>0</v>
      </c>
      <c r="W190" s="26">
        <f>IFERROR(__xludf.DUMMYFUNCTION("""COMPUTED_VALUE"""),0.0)</f>
        <v>0</v>
      </c>
      <c r="X190" s="26">
        <f>IFERROR(__xludf.DUMMYFUNCTION("""COMPUTED_VALUE"""),3168.740000000002)</f>
        <v>3168.74</v>
      </c>
      <c r="Y190" s="26">
        <f>IFERROR(__xludf.DUMMYFUNCTION("""COMPUTED_VALUE"""),3168.740000000002)</f>
        <v>3168.74</v>
      </c>
      <c r="Z190" s="26">
        <f>IFERROR(__xludf.DUMMYFUNCTION("""COMPUTED_VALUE"""),0.0)</f>
        <v>0</v>
      </c>
      <c r="AA190" s="26">
        <f>IFERROR(__xludf.DUMMYFUNCTION("""COMPUTED_VALUE"""),0.0)</f>
        <v>0</v>
      </c>
      <c r="AB190" s="26">
        <f>IFERROR(__xludf.DUMMYFUNCTION("""COMPUTED_VALUE"""),0.0)</f>
        <v>0</v>
      </c>
      <c r="AC190" s="26">
        <f>IFERROR(__xludf.DUMMYFUNCTION("""COMPUTED_VALUE"""),0.0)</f>
        <v>0</v>
      </c>
      <c r="AD190" s="26">
        <f>IFERROR(__xludf.DUMMYFUNCTION("""COMPUTED_VALUE"""),0.0)</f>
        <v>0</v>
      </c>
      <c r="AE190" s="26">
        <f>IFERROR(__xludf.DUMMYFUNCTION("""COMPUTED_VALUE"""),0.0)</f>
        <v>0</v>
      </c>
    </row>
    <row r="191">
      <c r="A191" s="26">
        <f>IFERROR(__xludf.DUMMYFUNCTION("""COMPUTED_VALUE"""),96.0)</f>
        <v>96</v>
      </c>
      <c r="B191" s="26">
        <f>IFERROR(__xludf.DUMMYFUNCTION("""COMPUTED_VALUE"""),0.0)</f>
        <v>0</v>
      </c>
      <c r="C191" s="26">
        <f>IFERROR(__xludf.DUMMYFUNCTION("""COMPUTED_VALUE"""),0.0)</f>
        <v>0</v>
      </c>
      <c r="D191" s="26">
        <f>IFERROR(__xludf.DUMMYFUNCTION("""COMPUTED_VALUE"""),0.0)</f>
        <v>0</v>
      </c>
      <c r="E191" s="26">
        <f>IFERROR(__xludf.DUMMYFUNCTION("""COMPUTED_VALUE"""),0.0)</f>
        <v>0</v>
      </c>
      <c r="F191" s="26">
        <f>IFERROR(__xludf.DUMMYFUNCTION("""COMPUTED_VALUE"""),0.0)</f>
        <v>0</v>
      </c>
      <c r="G191" s="26">
        <f>IFERROR(__xludf.DUMMYFUNCTION("""COMPUTED_VALUE"""),0.0)</f>
        <v>0</v>
      </c>
      <c r="H191" s="26">
        <f>IFERROR(__xludf.DUMMYFUNCTION("""COMPUTED_VALUE"""),0.0)</f>
        <v>0</v>
      </c>
      <c r="I191" s="26">
        <f>IFERROR(__xludf.DUMMYFUNCTION("""COMPUTED_VALUE"""),0.0)</f>
        <v>0</v>
      </c>
      <c r="J191" s="26">
        <f>IFERROR(__xludf.DUMMYFUNCTION("""COMPUTED_VALUE"""),0.0)</f>
        <v>0</v>
      </c>
      <c r="K191" s="26">
        <f>IFERROR(__xludf.DUMMYFUNCTION("""COMPUTED_VALUE"""),0.0)</f>
        <v>0</v>
      </c>
      <c r="L191" s="26">
        <f>IFERROR(__xludf.DUMMYFUNCTION("""COMPUTED_VALUE"""),0.0)</f>
        <v>0</v>
      </c>
      <c r="M191" s="26"/>
      <c r="N191" s="26"/>
      <c r="O191" s="26"/>
      <c r="P191" s="26"/>
      <c r="Q191" s="26"/>
      <c r="R191" s="26">
        <f>IFERROR(__xludf.DUMMYFUNCTION("""COMPUTED_VALUE"""),96.0)</f>
        <v>96</v>
      </c>
      <c r="S191" s="26">
        <f>IFERROR(__xludf.DUMMYFUNCTION("""COMPUTED_VALUE"""),42432.0)</f>
        <v>42432</v>
      </c>
      <c r="T191" s="26">
        <f>IFERROR(__xludf.DUMMYFUNCTION("""COMPUTED_VALUE"""),18432.0)</f>
        <v>18432</v>
      </c>
      <c r="U191" s="26">
        <f>IFERROR(__xludf.DUMMYFUNCTION("""COMPUTED_VALUE"""),24904.320000000007)</f>
        <v>24904.32</v>
      </c>
      <c r="V191" s="26">
        <f>IFERROR(__xludf.DUMMYFUNCTION("""COMPUTED_VALUE"""),0.0)</f>
        <v>0</v>
      </c>
      <c r="W191" s="26">
        <f>IFERROR(__xludf.DUMMYFUNCTION("""COMPUTED_VALUE"""),0.0)</f>
        <v>0</v>
      </c>
      <c r="X191" s="26">
        <f>IFERROR(__xludf.DUMMYFUNCTION("""COMPUTED_VALUE"""),6472.320000000005)</f>
        <v>6472.32</v>
      </c>
      <c r="Y191" s="26">
        <f>IFERROR(__xludf.DUMMYFUNCTION("""COMPUTED_VALUE"""),6472.320000000005)</f>
        <v>6472.32</v>
      </c>
      <c r="Z191" s="26">
        <f>IFERROR(__xludf.DUMMYFUNCTION("""COMPUTED_VALUE"""),0.0)</f>
        <v>0</v>
      </c>
      <c r="AA191" s="26">
        <f>IFERROR(__xludf.DUMMYFUNCTION("""COMPUTED_VALUE"""),0.0)</f>
        <v>0</v>
      </c>
      <c r="AB191" s="26">
        <f>IFERROR(__xludf.DUMMYFUNCTION("""COMPUTED_VALUE"""),0.0)</f>
        <v>0</v>
      </c>
      <c r="AC191" s="26">
        <f>IFERROR(__xludf.DUMMYFUNCTION("""COMPUTED_VALUE"""),0.0)</f>
        <v>0</v>
      </c>
      <c r="AD191" s="26">
        <f>IFERROR(__xludf.DUMMYFUNCTION("""COMPUTED_VALUE"""),0.0)</f>
        <v>0</v>
      </c>
      <c r="AE191" s="26">
        <f>IFERROR(__xludf.DUMMYFUNCTION("""COMPUTED_VALUE"""),0.0)</f>
        <v>0</v>
      </c>
    </row>
    <row r="192">
      <c r="A192" s="26">
        <f>IFERROR(__xludf.DUMMYFUNCTION("""COMPUTED_VALUE"""),112.0)</f>
        <v>112</v>
      </c>
      <c r="B192" s="26">
        <f>IFERROR(__xludf.DUMMYFUNCTION("""COMPUTED_VALUE"""),0.0)</f>
        <v>0</v>
      </c>
      <c r="C192" s="26">
        <f>IFERROR(__xludf.DUMMYFUNCTION("""COMPUTED_VALUE"""),0.0)</f>
        <v>0</v>
      </c>
      <c r="D192" s="26">
        <f>IFERROR(__xludf.DUMMYFUNCTION("""COMPUTED_VALUE"""),0.0)</f>
        <v>0</v>
      </c>
      <c r="E192" s="26">
        <f>IFERROR(__xludf.DUMMYFUNCTION("""COMPUTED_VALUE"""),0.0)</f>
        <v>0</v>
      </c>
      <c r="F192" s="26">
        <f>IFERROR(__xludf.DUMMYFUNCTION("""COMPUTED_VALUE"""),0.0)</f>
        <v>0</v>
      </c>
      <c r="G192" s="26">
        <f>IFERROR(__xludf.DUMMYFUNCTION("""COMPUTED_VALUE"""),0.0)</f>
        <v>0</v>
      </c>
      <c r="H192" s="26">
        <f>IFERROR(__xludf.DUMMYFUNCTION("""COMPUTED_VALUE"""),0.0)</f>
        <v>0</v>
      </c>
      <c r="I192" s="26">
        <f>IFERROR(__xludf.DUMMYFUNCTION("""COMPUTED_VALUE"""),0.0)</f>
        <v>0</v>
      </c>
      <c r="J192" s="26">
        <f>IFERROR(__xludf.DUMMYFUNCTION("""COMPUTED_VALUE"""),0.0)</f>
        <v>0</v>
      </c>
      <c r="K192" s="26">
        <f>IFERROR(__xludf.DUMMYFUNCTION("""COMPUTED_VALUE"""),0.0)</f>
        <v>0</v>
      </c>
      <c r="L192" s="26">
        <f>IFERROR(__xludf.DUMMYFUNCTION("""COMPUTED_VALUE"""),0.0)</f>
        <v>0</v>
      </c>
      <c r="M192" s="26"/>
      <c r="N192" s="26"/>
      <c r="O192" s="26"/>
      <c r="P192" s="26"/>
      <c r="Q192" s="26"/>
      <c r="R192" s="26">
        <f>IFERROR(__xludf.DUMMYFUNCTION("""COMPUTED_VALUE"""),112.0)</f>
        <v>112</v>
      </c>
      <c r="S192" s="26">
        <f>IFERROR(__xludf.DUMMYFUNCTION("""COMPUTED_VALUE"""),49504.0)</f>
        <v>49504</v>
      </c>
      <c r="T192" s="26">
        <f>IFERROR(__xludf.DUMMYFUNCTION("""COMPUTED_VALUE"""),21504.0)</f>
        <v>21504</v>
      </c>
      <c r="U192" s="26">
        <f>IFERROR(__xludf.DUMMYFUNCTION("""COMPUTED_VALUE"""),29055.040000000008)</f>
        <v>29055.04</v>
      </c>
      <c r="V192" s="26">
        <f>IFERROR(__xludf.DUMMYFUNCTION("""COMPUTED_VALUE"""),0.0)</f>
        <v>0</v>
      </c>
      <c r="W192" s="26">
        <f>IFERROR(__xludf.DUMMYFUNCTION("""COMPUTED_VALUE"""),0.0)</f>
        <v>0</v>
      </c>
      <c r="X192" s="26">
        <f>IFERROR(__xludf.DUMMYFUNCTION("""COMPUTED_VALUE"""),7551.040000000006)</f>
        <v>7551.04</v>
      </c>
      <c r="Y192" s="26">
        <f>IFERROR(__xludf.DUMMYFUNCTION("""COMPUTED_VALUE"""),7551.040000000006)</f>
        <v>7551.04</v>
      </c>
      <c r="Z192" s="26">
        <f>IFERROR(__xludf.DUMMYFUNCTION("""COMPUTED_VALUE"""),0.0)</f>
        <v>0</v>
      </c>
      <c r="AA192" s="26">
        <f>IFERROR(__xludf.DUMMYFUNCTION("""COMPUTED_VALUE"""),0.0)</f>
        <v>0</v>
      </c>
      <c r="AB192" s="26">
        <f>IFERROR(__xludf.DUMMYFUNCTION("""COMPUTED_VALUE"""),0.0)</f>
        <v>0</v>
      </c>
      <c r="AC192" s="26">
        <f>IFERROR(__xludf.DUMMYFUNCTION("""COMPUTED_VALUE"""),0.0)</f>
        <v>0</v>
      </c>
      <c r="AD192" s="26">
        <f>IFERROR(__xludf.DUMMYFUNCTION("""COMPUTED_VALUE"""),0.0)</f>
        <v>0</v>
      </c>
      <c r="AE192" s="26">
        <f>IFERROR(__xludf.DUMMYFUNCTION("""COMPUTED_VALUE"""),0.0)</f>
        <v>0</v>
      </c>
    </row>
    <row r="193">
      <c r="A193" s="26">
        <f>IFERROR(__xludf.DUMMYFUNCTION("""COMPUTED_VALUE"""),82.0)</f>
        <v>82</v>
      </c>
      <c r="B193" s="26">
        <f>IFERROR(__xludf.DUMMYFUNCTION("""COMPUTED_VALUE"""),0.0)</f>
        <v>0</v>
      </c>
      <c r="C193" s="26">
        <f>IFERROR(__xludf.DUMMYFUNCTION("""COMPUTED_VALUE"""),0.0)</f>
        <v>0</v>
      </c>
      <c r="D193" s="26">
        <f>IFERROR(__xludf.DUMMYFUNCTION("""COMPUTED_VALUE"""),0.0)</f>
        <v>0</v>
      </c>
      <c r="E193" s="26">
        <f>IFERROR(__xludf.DUMMYFUNCTION("""COMPUTED_VALUE"""),0.0)</f>
        <v>0</v>
      </c>
      <c r="F193" s="26">
        <f>IFERROR(__xludf.DUMMYFUNCTION("""COMPUTED_VALUE"""),0.0)</f>
        <v>0</v>
      </c>
      <c r="G193" s="26">
        <f>IFERROR(__xludf.DUMMYFUNCTION("""COMPUTED_VALUE"""),0.0)</f>
        <v>0</v>
      </c>
      <c r="H193" s="26">
        <f>IFERROR(__xludf.DUMMYFUNCTION("""COMPUTED_VALUE"""),0.0)</f>
        <v>0</v>
      </c>
      <c r="I193" s="26">
        <f>IFERROR(__xludf.DUMMYFUNCTION("""COMPUTED_VALUE"""),0.0)</f>
        <v>0</v>
      </c>
      <c r="J193" s="26">
        <f>IFERROR(__xludf.DUMMYFUNCTION("""COMPUTED_VALUE"""),0.0)</f>
        <v>0</v>
      </c>
      <c r="K193" s="26">
        <f>IFERROR(__xludf.DUMMYFUNCTION("""COMPUTED_VALUE"""),0.0)</f>
        <v>0</v>
      </c>
      <c r="L193" s="26">
        <f>IFERROR(__xludf.DUMMYFUNCTION("""COMPUTED_VALUE"""),0.0)</f>
        <v>0</v>
      </c>
      <c r="M193" s="26"/>
      <c r="N193" s="26"/>
      <c r="O193" s="26"/>
      <c r="P193" s="26"/>
      <c r="Q193" s="26"/>
      <c r="R193" s="26">
        <f>IFERROR(__xludf.DUMMYFUNCTION("""COMPUTED_VALUE"""),82.0)</f>
        <v>82</v>
      </c>
      <c r="S193" s="26">
        <f>IFERROR(__xludf.DUMMYFUNCTION("""COMPUTED_VALUE"""),36244.0)</f>
        <v>36244</v>
      </c>
      <c r="T193" s="26">
        <f>IFERROR(__xludf.DUMMYFUNCTION("""COMPUTED_VALUE"""),15744.0)</f>
        <v>15744</v>
      </c>
      <c r="U193" s="26">
        <f>IFERROR(__xludf.DUMMYFUNCTION("""COMPUTED_VALUE"""),21272.440000000002)</f>
        <v>21272.44</v>
      </c>
      <c r="V193" s="26">
        <f>IFERROR(__xludf.DUMMYFUNCTION("""COMPUTED_VALUE"""),0.0)</f>
        <v>0</v>
      </c>
      <c r="W193" s="26">
        <f>IFERROR(__xludf.DUMMYFUNCTION("""COMPUTED_VALUE"""),0.0)</f>
        <v>0</v>
      </c>
      <c r="X193" s="26">
        <f>IFERROR(__xludf.DUMMYFUNCTION("""COMPUTED_VALUE"""),5528.440000000004)</f>
        <v>5528.44</v>
      </c>
      <c r="Y193" s="26">
        <f>IFERROR(__xludf.DUMMYFUNCTION("""COMPUTED_VALUE"""),5528.440000000004)</f>
        <v>5528.44</v>
      </c>
      <c r="Z193" s="26">
        <f>IFERROR(__xludf.DUMMYFUNCTION("""COMPUTED_VALUE"""),0.0)</f>
        <v>0</v>
      </c>
      <c r="AA193" s="26">
        <f>IFERROR(__xludf.DUMMYFUNCTION("""COMPUTED_VALUE"""),0.0)</f>
        <v>0</v>
      </c>
      <c r="AB193" s="26">
        <f>IFERROR(__xludf.DUMMYFUNCTION("""COMPUTED_VALUE"""),0.0)</f>
        <v>0</v>
      </c>
      <c r="AC193" s="26">
        <f>IFERROR(__xludf.DUMMYFUNCTION("""COMPUTED_VALUE"""),0.0)</f>
        <v>0</v>
      </c>
      <c r="AD193" s="26">
        <f>IFERROR(__xludf.DUMMYFUNCTION("""COMPUTED_VALUE"""),0.0)</f>
        <v>0</v>
      </c>
      <c r="AE193" s="26">
        <f>IFERROR(__xludf.DUMMYFUNCTION("""COMPUTED_VALUE"""),0.0)</f>
        <v>0</v>
      </c>
    </row>
    <row r="194">
      <c r="A194" s="26">
        <f>IFERROR(__xludf.DUMMYFUNCTION("""COMPUTED_VALUE"""),97.0)</f>
        <v>97</v>
      </c>
      <c r="B194" s="26">
        <f>IFERROR(__xludf.DUMMYFUNCTION("""COMPUTED_VALUE"""),0.0)</f>
        <v>0</v>
      </c>
      <c r="C194" s="26">
        <f>IFERROR(__xludf.DUMMYFUNCTION("""COMPUTED_VALUE"""),0.0)</f>
        <v>0</v>
      </c>
      <c r="D194" s="26">
        <f>IFERROR(__xludf.DUMMYFUNCTION("""COMPUTED_VALUE"""),0.0)</f>
        <v>0</v>
      </c>
      <c r="E194" s="26">
        <f>IFERROR(__xludf.DUMMYFUNCTION("""COMPUTED_VALUE"""),0.0)</f>
        <v>0</v>
      </c>
      <c r="F194" s="26">
        <f>IFERROR(__xludf.DUMMYFUNCTION("""COMPUTED_VALUE"""),0.0)</f>
        <v>0</v>
      </c>
      <c r="G194" s="26">
        <f>IFERROR(__xludf.DUMMYFUNCTION("""COMPUTED_VALUE"""),0.0)</f>
        <v>0</v>
      </c>
      <c r="H194" s="26">
        <f>IFERROR(__xludf.DUMMYFUNCTION("""COMPUTED_VALUE"""),0.0)</f>
        <v>0</v>
      </c>
      <c r="I194" s="26">
        <f>IFERROR(__xludf.DUMMYFUNCTION("""COMPUTED_VALUE"""),0.0)</f>
        <v>0</v>
      </c>
      <c r="J194" s="26">
        <f>IFERROR(__xludf.DUMMYFUNCTION("""COMPUTED_VALUE"""),0.0)</f>
        <v>0</v>
      </c>
      <c r="K194" s="26">
        <f>IFERROR(__xludf.DUMMYFUNCTION("""COMPUTED_VALUE"""),0.0)</f>
        <v>0</v>
      </c>
      <c r="L194" s="26">
        <f>IFERROR(__xludf.DUMMYFUNCTION("""COMPUTED_VALUE"""),0.0)</f>
        <v>0</v>
      </c>
      <c r="M194" s="26"/>
      <c r="N194" s="26"/>
      <c r="O194" s="26"/>
      <c r="P194" s="26"/>
      <c r="Q194" s="26"/>
      <c r="R194" s="26">
        <f>IFERROR(__xludf.DUMMYFUNCTION("""COMPUTED_VALUE"""),97.0)</f>
        <v>97</v>
      </c>
      <c r="S194" s="26">
        <f>IFERROR(__xludf.DUMMYFUNCTION("""COMPUTED_VALUE"""),42874.0)</f>
        <v>42874</v>
      </c>
      <c r="T194" s="26">
        <f>IFERROR(__xludf.DUMMYFUNCTION("""COMPUTED_VALUE"""),18624.0)</f>
        <v>18624</v>
      </c>
      <c r="U194" s="26">
        <f>IFERROR(__xludf.DUMMYFUNCTION("""COMPUTED_VALUE"""),25163.740000000005)</f>
        <v>25163.74</v>
      </c>
      <c r="V194" s="26">
        <f>IFERROR(__xludf.DUMMYFUNCTION("""COMPUTED_VALUE"""),0.0)</f>
        <v>0</v>
      </c>
      <c r="W194" s="26">
        <f>IFERROR(__xludf.DUMMYFUNCTION("""COMPUTED_VALUE"""),0.0)</f>
        <v>0</v>
      </c>
      <c r="X194" s="26">
        <f>IFERROR(__xludf.DUMMYFUNCTION("""COMPUTED_VALUE"""),6539.740000000005)</f>
        <v>6539.74</v>
      </c>
      <c r="Y194" s="26">
        <f>IFERROR(__xludf.DUMMYFUNCTION("""COMPUTED_VALUE"""),6539.740000000005)</f>
        <v>6539.74</v>
      </c>
      <c r="Z194" s="26">
        <f>IFERROR(__xludf.DUMMYFUNCTION("""COMPUTED_VALUE"""),0.0)</f>
        <v>0</v>
      </c>
      <c r="AA194" s="26">
        <f>IFERROR(__xludf.DUMMYFUNCTION("""COMPUTED_VALUE"""),0.0)</f>
        <v>0</v>
      </c>
      <c r="AB194" s="26">
        <f>IFERROR(__xludf.DUMMYFUNCTION("""COMPUTED_VALUE"""),0.0)</f>
        <v>0</v>
      </c>
      <c r="AC194" s="26">
        <f>IFERROR(__xludf.DUMMYFUNCTION("""COMPUTED_VALUE"""),0.0)</f>
        <v>0</v>
      </c>
      <c r="AD194" s="26">
        <f>IFERROR(__xludf.DUMMYFUNCTION("""COMPUTED_VALUE"""),0.0)</f>
        <v>0</v>
      </c>
      <c r="AE194" s="26">
        <f>IFERROR(__xludf.DUMMYFUNCTION("""COMPUTED_VALUE"""),0.0)</f>
        <v>0</v>
      </c>
    </row>
    <row r="195">
      <c r="A195" s="26">
        <f>IFERROR(__xludf.DUMMYFUNCTION("""COMPUTED_VALUE"""),55.0)</f>
        <v>55</v>
      </c>
      <c r="B195" s="26">
        <f>IFERROR(__xludf.DUMMYFUNCTION("""COMPUTED_VALUE"""),0.0)</f>
        <v>0</v>
      </c>
      <c r="C195" s="26">
        <f>IFERROR(__xludf.DUMMYFUNCTION("""COMPUTED_VALUE"""),0.0)</f>
        <v>0</v>
      </c>
      <c r="D195" s="26">
        <f>IFERROR(__xludf.DUMMYFUNCTION("""COMPUTED_VALUE"""),0.0)</f>
        <v>0</v>
      </c>
      <c r="E195" s="26">
        <f>IFERROR(__xludf.DUMMYFUNCTION("""COMPUTED_VALUE"""),0.0)</f>
        <v>0</v>
      </c>
      <c r="F195" s="26">
        <f>IFERROR(__xludf.DUMMYFUNCTION("""COMPUTED_VALUE"""),0.0)</f>
        <v>0</v>
      </c>
      <c r="G195" s="26">
        <f>IFERROR(__xludf.DUMMYFUNCTION("""COMPUTED_VALUE"""),0.0)</f>
        <v>0</v>
      </c>
      <c r="H195" s="26">
        <f>IFERROR(__xludf.DUMMYFUNCTION("""COMPUTED_VALUE"""),0.0)</f>
        <v>0</v>
      </c>
      <c r="I195" s="26">
        <f>IFERROR(__xludf.DUMMYFUNCTION("""COMPUTED_VALUE"""),0.0)</f>
        <v>0</v>
      </c>
      <c r="J195" s="26">
        <f>IFERROR(__xludf.DUMMYFUNCTION("""COMPUTED_VALUE"""),0.0)</f>
        <v>0</v>
      </c>
      <c r="K195" s="26">
        <f>IFERROR(__xludf.DUMMYFUNCTION("""COMPUTED_VALUE"""),0.0)</f>
        <v>0</v>
      </c>
      <c r="L195" s="26">
        <f>IFERROR(__xludf.DUMMYFUNCTION("""COMPUTED_VALUE"""),0.0)</f>
        <v>0</v>
      </c>
      <c r="M195" s="26"/>
      <c r="N195" s="26"/>
      <c r="O195" s="26"/>
      <c r="P195" s="26"/>
      <c r="Q195" s="26"/>
      <c r="R195" s="26">
        <f>IFERROR(__xludf.DUMMYFUNCTION("""COMPUTED_VALUE"""),55.0)</f>
        <v>55</v>
      </c>
      <c r="S195" s="26">
        <f>IFERROR(__xludf.DUMMYFUNCTION("""COMPUTED_VALUE"""),24310.0)</f>
        <v>24310</v>
      </c>
      <c r="T195" s="26">
        <f>IFERROR(__xludf.DUMMYFUNCTION("""COMPUTED_VALUE"""),10560.0)</f>
        <v>10560</v>
      </c>
      <c r="U195" s="26">
        <f>IFERROR(__xludf.DUMMYFUNCTION("""COMPUTED_VALUE"""),14268.100000000002)</f>
        <v>14268.1</v>
      </c>
      <c r="V195" s="26">
        <f>IFERROR(__xludf.DUMMYFUNCTION("""COMPUTED_VALUE"""),0.0)</f>
        <v>0</v>
      </c>
      <c r="W195" s="26">
        <f>IFERROR(__xludf.DUMMYFUNCTION("""COMPUTED_VALUE"""),0.0)</f>
        <v>0</v>
      </c>
      <c r="X195" s="26">
        <f>IFERROR(__xludf.DUMMYFUNCTION("""COMPUTED_VALUE"""),3708.1000000000026)</f>
        <v>3708.1</v>
      </c>
      <c r="Y195" s="26">
        <f>IFERROR(__xludf.DUMMYFUNCTION("""COMPUTED_VALUE"""),3708.1000000000026)</f>
        <v>3708.1</v>
      </c>
      <c r="Z195" s="26">
        <f>IFERROR(__xludf.DUMMYFUNCTION("""COMPUTED_VALUE"""),0.0)</f>
        <v>0</v>
      </c>
      <c r="AA195" s="26">
        <f>IFERROR(__xludf.DUMMYFUNCTION("""COMPUTED_VALUE"""),0.0)</f>
        <v>0</v>
      </c>
      <c r="AB195" s="26">
        <f>IFERROR(__xludf.DUMMYFUNCTION("""COMPUTED_VALUE"""),0.0)</f>
        <v>0</v>
      </c>
      <c r="AC195" s="26">
        <f>IFERROR(__xludf.DUMMYFUNCTION("""COMPUTED_VALUE"""),0.0)</f>
        <v>0</v>
      </c>
      <c r="AD195" s="26">
        <f>IFERROR(__xludf.DUMMYFUNCTION("""COMPUTED_VALUE"""),0.0)</f>
        <v>0</v>
      </c>
      <c r="AE195" s="26">
        <f>IFERROR(__xludf.DUMMYFUNCTION("""COMPUTED_VALUE"""),0.0)</f>
        <v>0</v>
      </c>
    </row>
    <row r="196">
      <c r="A196" s="26">
        <f>IFERROR(__xludf.DUMMYFUNCTION("""COMPUTED_VALUE"""),32.0)</f>
        <v>32</v>
      </c>
      <c r="B196" s="26">
        <f>IFERROR(__xludf.DUMMYFUNCTION("""COMPUTED_VALUE"""),0.0)</f>
        <v>0</v>
      </c>
      <c r="C196" s="26">
        <f>IFERROR(__xludf.DUMMYFUNCTION("""COMPUTED_VALUE"""),0.0)</f>
        <v>0</v>
      </c>
      <c r="D196" s="26">
        <f>IFERROR(__xludf.DUMMYFUNCTION("""COMPUTED_VALUE"""),0.0)</f>
        <v>0</v>
      </c>
      <c r="E196" s="26">
        <f>IFERROR(__xludf.DUMMYFUNCTION("""COMPUTED_VALUE"""),0.0)</f>
        <v>0</v>
      </c>
      <c r="F196" s="26">
        <f>IFERROR(__xludf.DUMMYFUNCTION("""COMPUTED_VALUE"""),0.0)</f>
        <v>0</v>
      </c>
      <c r="G196" s="26">
        <f>IFERROR(__xludf.DUMMYFUNCTION("""COMPUTED_VALUE"""),0.0)</f>
        <v>0</v>
      </c>
      <c r="H196" s="26">
        <f>IFERROR(__xludf.DUMMYFUNCTION("""COMPUTED_VALUE"""),0.0)</f>
        <v>0</v>
      </c>
      <c r="I196" s="26">
        <f>IFERROR(__xludf.DUMMYFUNCTION("""COMPUTED_VALUE"""),0.0)</f>
        <v>0</v>
      </c>
      <c r="J196" s="26">
        <f>IFERROR(__xludf.DUMMYFUNCTION("""COMPUTED_VALUE"""),0.0)</f>
        <v>0</v>
      </c>
      <c r="K196" s="26">
        <f>IFERROR(__xludf.DUMMYFUNCTION("""COMPUTED_VALUE"""),0.0)</f>
        <v>0</v>
      </c>
      <c r="L196" s="26">
        <f>IFERROR(__xludf.DUMMYFUNCTION("""COMPUTED_VALUE"""),0.0)</f>
        <v>0</v>
      </c>
      <c r="M196" s="26"/>
      <c r="N196" s="26"/>
      <c r="O196" s="26"/>
      <c r="P196" s="26"/>
      <c r="Q196" s="26"/>
      <c r="R196" s="26">
        <f>IFERROR(__xludf.DUMMYFUNCTION("""COMPUTED_VALUE"""),32.0)</f>
        <v>32</v>
      </c>
      <c r="S196" s="26">
        <f>IFERROR(__xludf.DUMMYFUNCTION("""COMPUTED_VALUE"""),14144.0)</f>
        <v>14144</v>
      </c>
      <c r="T196" s="26">
        <f>IFERROR(__xludf.DUMMYFUNCTION("""COMPUTED_VALUE"""),6144.0)</f>
        <v>6144</v>
      </c>
      <c r="U196" s="26">
        <f>IFERROR(__xludf.DUMMYFUNCTION("""COMPUTED_VALUE"""),8301.44)</f>
        <v>8301.44</v>
      </c>
      <c r="V196" s="26">
        <f>IFERROR(__xludf.DUMMYFUNCTION("""COMPUTED_VALUE"""),0.0)</f>
        <v>0</v>
      </c>
      <c r="W196" s="26">
        <f>IFERROR(__xludf.DUMMYFUNCTION("""COMPUTED_VALUE"""),0.0)</f>
        <v>0</v>
      </c>
      <c r="X196" s="26">
        <f>IFERROR(__xludf.DUMMYFUNCTION("""COMPUTED_VALUE"""),2157.440000000001)</f>
        <v>2157.44</v>
      </c>
      <c r="Y196" s="26">
        <f>IFERROR(__xludf.DUMMYFUNCTION("""COMPUTED_VALUE"""),2157.440000000001)</f>
        <v>2157.44</v>
      </c>
      <c r="Z196" s="26">
        <f>IFERROR(__xludf.DUMMYFUNCTION("""COMPUTED_VALUE"""),0.0)</f>
        <v>0</v>
      </c>
      <c r="AA196" s="26">
        <f>IFERROR(__xludf.DUMMYFUNCTION("""COMPUTED_VALUE"""),0.0)</f>
        <v>0</v>
      </c>
      <c r="AB196" s="26">
        <f>IFERROR(__xludf.DUMMYFUNCTION("""COMPUTED_VALUE"""),0.0)</f>
        <v>0</v>
      </c>
      <c r="AC196" s="26">
        <f>IFERROR(__xludf.DUMMYFUNCTION("""COMPUTED_VALUE"""),0.0)</f>
        <v>0</v>
      </c>
      <c r="AD196" s="26">
        <f>IFERROR(__xludf.DUMMYFUNCTION("""COMPUTED_VALUE"""),0.0)</f>
        <v>0</v>
      </c>
      <c r="AE196" s="26">
        <f>IFERROR(__xludf.DUMMYFUNCTION("""COMPUTED_VALUE"""),0.0)</f>
        <v>0</v>
      </c>
    </row>
    <row r="197">
      <c r="A197" s="26">
        <f>IFERROR(__xludf.DUMMYFUNCTION("""COMPUTED_VALUE"""),0.0)</f>
        <v>0</v>
      </c>
      <c r="B197" s="26">
        <f>IFERROR(__xludf.DUMMYFUNCTION("""COMPUTED_VALUE"""),0.0)</f>
        <v>0</v>
      </c>
      <c r="C197" s="26">
        <f>IFERROR(__xludf.DUMMYFUNCTION("""COMPUTED_VALUE"""),0.0)</f>
        <v>0</v>
      </c>
      <c r="D197" s="26">
        <f>IFERROR(__xludf.DUMMYFUNCTION("""COMPUTED_VALUE"""),0.0)</f>
        <v>0</v>
      </c>
      <c r="E197" s="26">
        <f>IFERROR(__xludf.DUMMYFUNCTION("""COMPUTED_VALUE"""),0.0)</f>
        <v>0</v>
      </c>
      <c r="F197" s="26">
        <f>IFERROR(__xludf.DUMMYFUNCTION("""COMPUTED_VALUE"""),0.0)</f>
        <v>0</v>
      </c>
      <c r="G197" s="26">
        <f>IFERROR(__xludf.DUMMYFUNCTION("""COMPUTED_VALUE"""),0.0)</f>
        <v>0</v>
      </c>
      <c r="H197" s="26">
        <f>IFERROR(__xludf.DUMMYFUNCTION("""COMPUTED_VALUE"""),0.0)</f>
        <v>0</v>
      </c>
      <c r="I197" s="26">
        <f>IFERROR(__xludf.DUMMYFUNCTION("""COMPUTED_VALUE"""),0.0)</f>
        <v>0</v>
      </c>
      <c r="J197" s="26">
        <f>IFERROR(__xludf.DUMMYFUNCTION("""COMPUTED_VALUE"""),0.0)</f>
        <v>0</v>
      </c>
      <c r="K197" s="26">
        <f>IFERROR(__xludf.DUMMYFUNCTION("""COMPUTED_VALUE"""),0.0)</f>
        <v>0</v>
      </c>
      <c r="L197" s="26">
        <f>IFERROR(__xludf.DUMMYFUNCTION("""COMPUTED_VALUE"""),0.0)</f>
        <v>0</v>
      </c>
      <c r="M197" s="26"/>
      <c r="N197" s="26"/>
      <c r="O197" s="26"/>
      <c r="P197" s="26"/>
      <c r="Q197" s="26"/>
      <c r="R197" s="26">
        <f>IFERROR(__xludf.DUMMYFUNCTION("""COMPUTED_VALUE"""),0.0)</f>
        <v>0</v>
      </c>
      <c r="S197" s="26">
        <f>IFERROR(__xludf.DUMMYFUNCTION("""COMPUTED_VALUE"""),0.0)</f>
        <v>0</v>
      </c>
      <c r="T197" s="26">
        <f>IFERROR(__xludf.DUMMYFUNCTION("""COMPUTED_VALUE"""),0.0)</f>
        <v>0</v>
      </c>
      <c r="U197" s="26">
        <f>IFERROR(__xludf.DUMMYFUNCTION("""COMPUTED_VALUE"""),0.0)</f>
        <v>0</v>
      </c>
      <c r="V197" s="26">
        <f>IFERROR(__xludf.DUMMYFUNCTION("""COMPUTED_VALUE"""),0.0)</f>
        <v>0</v>
      </c>
      <c r="W197" s="26">
        <f>IFERROR(__xludf.DUMMYFUNCTION("""COMPUTED_VALUE"""),0.0)</f>
        <v>0</v>
      </c>
      <c r="X197" s="26">
        <f>IFERROR(__xludf.DUMMYFUNCTION("""COMPUTED_VALUE"""),0.0)</f>
        <v>0</v>
      </c>
      <c r="Y197" s="26">
        <f>IFERROR(__xludf.DUMMYFUNCTION("""COMPUTED_VALUE"""),0.0)</f>
        <v>0</v>
      </c>
      <c r="Z197" s="26">
        <f>IFERROR(__xludf.DUMMYFUNCTION("""COMPUTED_VALUE"""),0.0)</f>
        <v>0</v>
      </c>
      <c r="AA197" s="26">
        <f>IFERROR(__xludf.DUMMYFUNCTION("""COMPUTED_VALUE"""),0.0)</f>
        <v>0</v>
      </c>
      <c r="AB197" s="26">
        <f>IFERROR(__xludf.DUMMYFUNCTION("""COMPUTED_VALUE"""),0.0)</f>
        <v>0</v>
      </c>
      <c r="AC197" s="26">
        <f>IFERROR(__xludf.DUMMYFUNCTION("""COMPUTED_VALUE"""),0.0)</f>
        <v>0</v>
      </c>
      <c r="AD197" s="26">
        <f>IFERROR(__xludf.DUMMYFUNCTION("""COMPUTED_VALUE"""),0.0)</f>
        <v>0</v>
      </c>
      <c r="AE197" s="26">
        <f>IFERROR(__xludf.DUMMYFUNCTION("""COMPUTED_VALUE"""),0.0)</f>
        <v>0</v>
      </c>
    </row>
    <row r="198">
      <c r="A198" s="26">
        <f>IFERROR(__xludf.DUMMYFUNCTION("""COMPUTED_VALUE"""),0.0)</f>
        <v>0</v>
      </c>
      <c r="B198" s="26">
        <f>IFERROR(__xludf.DUMMYFUNCTION("""COMPUTED_VALUE"""),0.0)</f>
        <v>0</v>
      </c>
      <c r="C198" s="26">
        <f>IFERROR(__xludf.DUMMYFUNCTION("""COMPUTED_VALUE"""),0.0)</f>
        <v>0</v>
      </c>
      <c r="D198" s="26">
        <f>IFERROR(__xludf.DUMMYFUNCTION("""COMPUTED_VALUE"""),0.0)</f>
        <v>0</v>
      </c>
      <c r="E198" s="26">
        <f>IFERROR(__xludf.DUMMYFUNCTION("""COMPUTED_VALUE"""),0.0)</f>
        <v>0</v>
      </c>
      <c r="F198" s="26">
        <f>IFERROR(__xludf.DUMMYFUNCTION("""COMPUTED_VALUE"""),0.0)</f>
        <v>0</v>
      </c>
      <c r="G198" s="26">
        <f>IFERROR(__xludf.DUMMYFUNCTION("""COMPUTED_VALUE"""),0.0)</f>
        <v>0</v>
      </c>
      <c r="H198" s="26">
        <f>IFERROR(__xludf.DUMMYFUNCTION("""COMPUTED_VALUE"""),0.0)</f>
        <v>0</v>
      </c>
      <c r="I198" s="26">
        <f>IFERROR(__xludf.DUMMYFUNCTION("""COMPUTED_VALUE"""),0.0)</f>
        <v>0</v>
      </c>
      <c r="J198" s="26">
        <f>IFERROR(__xludf.DUMMYFUNCTION("""COMPUTED_VALUE"""),0.0)</f>
        <v>0</v>
      </c>
      <c r="K198" s="26">
        <f>IFERROR(__xludf.DUMMYFUNCTION("""COMPUTED_VALUE"""),0.0)</f>
        <v>0</v>
      </c>
      <c r="L198" s="26">
        <f>IFERROR(__xludf.DUMMYFUNCTION("""COMPUTED_VALUE"""),0.0)</f>
        <v>0</v>
      </c>
      <c r="M198" s="26"/>
      <c r="N198" s="26"/>
      <c r="O198" s="26"/>
      <c r="P198" s="26"/>
      <c r="Q198" s="26"/>
      <c r="R198" s="26">
        <f>IFERROR(__xludf.DUMMYFUNCTION("""COMPUTED_VALUE"""),0.0)</f>
        <v>0</v>
      </c>
      <c r="S198" s="26">
        <f>IFERROR(__xludf.DUMMYFUNCTION("""COMPUTED_VALUE"""),0.0)</f>
        <v>0</v>
      </c>
      <c r="T198" s="26">
        <f>IFERROR(__xludf.DUMMYFUNCTION("""COMPUTED_VALUE"""),0.0)</f>
        <v>0</v>
      </c>
      <c r="U198" s="26">
        <f>IFERROR(__xludf.DUMMYFUNCTION("""COMPUTED_VALUE"""),0.0)</f>
        <v>0</v>
      </c>
      <c r="V198" s="26">
        <f>IFERROR(__xludf.DUMMYFUNCTION("""COMPUTED_VALUE"""),0.0)</f>
        <v>0</v>
      </c>
      <c r="W198" s="26">
        <f>IFERROR(__xludf.DUMMYFUNCTION("""COMPUTED_VALUE"""),0.0)</f>
        <v>0</v>
      </c>
      <c r="X198" s="26">
        <f>IFERROR(__xludf.DUMMYFUNCTION("""COMPUTED_VALUE"""),0.0)</f>
        <v>0</v>
      </c>
      <c r="Y198" s="26">
        <f>IFERROR(__xludf.DUMMYFUNCTION("""COMPUTED_VALUE"""),0.0)</f>
        <v>0</v>
      </c>
      <c r="Z198" s="26">
        <f>IFERROR(__xludf.DUMMYFUNCTION("""COMPUTED_VALUE"""),0.0)</f>
        <v>0</v>
      </c>
      <c r="AA198" s="26">
        <f>IFERROR(__xludf.DUMMYFUNCTION("""COMPUTED_VALUE"""),0.0)</f>
        <v>0</v>
      </c>
      <c r="AB198" s="26">
        <f>IFERROR(__xludf.DUMMYFUNCTION("""COMPUTED_VALUE"""),0.0)</f>
        <v>0</v>
      </c>
      <c r="AC198" s="26">
        <f>IFERROR(__xludf.DUMMYFUNCTION("""COMPUTED_VALUE"""),0.0)</f>
        <v>0</v>
      </c>
      <c r="AD198" s="26">
        <f>IFERROR(__xludf.DUMMYFUNCTION("""COMPUTED_VALUE"""),0.0)</f>
        <v>0</v>
      </c>
      <c r="AE198" s="26">
        <f>IFERROR(__xludf.DUMMYFUNCTION("""COMPUTED_VALUE"""),0.0)</f>
        <v>0</v>
      </c>
    </row>
    <row r="199">
      <c r="A199" s="26">
        <f>IFERROR(__xludf.DUMMYFUNCTION("""COMPUTED_VALUE"""),0.0)</f>
        <v>0</v>
      </c>
      <c r="B199" s="26">
        <f>IFERROR(__xludf.DUMMYFUNCTION("""COMPUTED_VALUE"""),0.0)</f>
        <v>0</v>
      </c>
      <c r="C199" s="26">
        <f>IFERROR(__xludf.DUMMYFUNCTION("""COMPUTED_VALUE"""),0.0)</f>
        <v>0</v>
      </c>
      <c r="D199" s="26">
        <f>IFERROR(__xludf.DUMMYFUNCTION("""COMPUTED_VALUE"""),0.0)</f>
        <v>0</v>
      </c>
      <c r="E199" s="26">
        <f>IFERROR(__xludf.DUMMYFUNCTION("""COMPUTED_VALUE"""),0.0)</f>
        <v>0</v>
      </c>
      <c r="F199" s="26">
        <f>IFERROR(__xludf.DUMMYFUNCTION("""COMPUTED_VALUE"""),0.0)</f>
        <v>0</v>
      </c>
      <c r="G199" s="26">
        <f>IFERROR(__xludf.DUMMYFUNCTION("""COMPUTED_VALUE"""),0.0)</f>
        <v>0</v>
      </c>
      <c r="H199" s="26">
        <f>IFERROR(__xludf.DUMMYFUNCTION("""COMPUTED_VALUE"""),0.0)</f>
        <v>0</v>
      </c>
      <c r="I199" s="26">
        <f>IFERROR(__xludf.DUMMYFUNCTION("""COMPUTED_VALUE"""),0.0)</f>
        <v>0</v>
      </c>
      <c r="J199" s="26">
        <f>IFERROR(__xludf.DUMMYFUNCTION("""COMPUTED_VALUE"""),0.0)</f>
        <v>0</v>
      </c>
      <c r="K199" s="26">
        <f>IFERROR(__xludf.DUMMYFUNCTION("""COMPUTED_VALUE"""),0.0)</f>
        <v>0</v>
      </c>
      <c r="L199" s="26">
        <f>IFERROR(__xludf.DUMMYFUNCTION("""COMPUTED_VALUE"""),0.0)</f>
        <v>0</v>
      </c>
      <c r="M199" s="26"/>
      <c r="N199" s="26"/>
      <c r="O199" s="26"/>
      <c r="P199" s="26"/>
      <c r="Q199" s="26"/>
      <c r="R199" s="26">
        <f>IFERROR(__xludf.DUMMYFUNCTION("""COMPUTED_VALUE"""),0.0)</f>
        <v>0</v>
      </c>
      <c r="S199" s="26">
        <f>IFERROR(__xludf.DUMMYFUNCTION("""COMPUTED_VALUE"""),0.0)</f>
        <v>0</v>
      </c>
      <c r="T199" s="26">
        <f>IFERROR(__xludf.DUMMYFUNCTION("""COMPUTED_VALUE"""),0.0)</f>
        <v>0</v>
      </c>
      <c r="U199" s="26">
        <f>IFERROR(__xludf.DUMMYFUNCTION("""COMPUTED_VALUE"""),0.0)</f>
        <v>0</v>
      </c>
      <c r="V199" s="26">
        <f>IFERROR(__xludf.DUMMYFUNCTION("""COMPUTED_VALUE"""),0.0)</f>
        <v>0</v>
      </c>
      <c r="W199" s="26">
        <f>IFERROR(__xludf.DUMMYFUNCTION("""COMPUTED_VALUE"""),0.0)</f>
        <v>0</v>
      </c>
      <c r="X199" s="26">
        <f>IFERROR(__xludf.DUMMYFUNCTION("""COMPUTED_VALUE"""),0.0)</f>
        <v>0</v>
      </c>
      <c r="Y199" s="26">
        <f>IFERROR(__xludf.DUMMYFUNCTION("""COMPUTED_VALUE"""),0.0)</f>
        <v>0</v>
      </c>
      <c r="Z199" s="26">
        <f>IFERROR(__xludf.DUMMYFUNCTION("""COMPUTED_VALUE"""),0.0)</f>
        <v>0</v>
      </c>
      <c r="AA199" s="26">
        <f>IFERROR(__xludf.DUMMYFUNCTION("""COMPUTED_VALUE"""),0.0)</f>
        <v>0</v>
      </c>
      <c r="AB199" s="26">
        <f>IFERROR(__xludf.DUMMYFUNCTION("""COMPUTED_VALUE"""),0.0)</f>
        <v>0</v>
      </c>
      <c r="AC199" s="26">
        <f>IFERROR(__xludf.DUMMYFUNCTION("""COMPUTED_VALUE"""),0.0)</f>
        <v>0</v>
      </c>
      <c r="AD199" s="26">
        <f>IFERROR(__xludf.DUMMYFUNCTION("""COMPUTED_VALUE"""),0.0)</f>
        <v>0</v>
      </c>
      <c r="AE199" s="26">
        <f>IFERROR(__xludf.DUMMYFUNCTION("""COMPUTED_VALUE"""),0.0)</f>
        <v>0</v>
      </c>
    </row>
    <row r="200">
      <c r="A200" s="26">
        <f>IFERROR(__xludf.DUMMYFUNCTION("""COMPUTED_VALUE"""),22.0)</f>
        <v>22</v>
      </c>
      <c r="B200" s="26">
        <f>IFERROR(__xludf.DUMMYFUNCTION("""COMPUTED_VALUE"""),0.0)</f>
        <v>0</v>
      </c>
      <c r="C200" s="26">
        <f>IFERROR(__xludf.DUMMYFUNCTION("""COMPUTED_VALUE"""),25.0)</f>
        <v>25</v>
      </c>
      <c r="D200" s="26">
        <f>IFERROR(__xludf.DUMMYFUNCTION("""COMPUTED_VALUE"""),0.0)</f>
        <v>0</v>
      </c>
      <c r="E200" s="26">
        <f>IFERROR(__xludf.DUMMYFUNCTION("""COMPUTED_VALUE"""),0.0)</f>
        <v>0</v>
      </c>
      <c r="F200" s="26">
        <f>IFERROR(__xludf.DUMMYFUNCTION("""COMPUTED_VALUE"""),0.0)</f>
        <v>0</v>
      </c>
      <c r="G200" s="26">
        <f>IFERROR(__xludf.DUMMYFUNCTION("""COMPUTED_VALUE"""),0.0)</f>
        <v>0</v>
      </c>
      <c r="H200" s="26">
        <f>IFERROR(__xludf.DUMMYFUNCTION("""COMPUTED_VALUE"""),0.0)</f>
        <v>0</v>
      </c>
      <c r="I200" s="26">
        <f>IFERROR(__xludf.DUMMYFUNCTION("""COMPUTED_VALUE"""),0.0)</f>
        <v>0</v>
      </c>
      <c r="J200" s="26">
        <f>IFERROR(__xludf.DUMMYFUNCTION("""COMPUTED_VALUE"""),0.0)</f>
        <v>0</v>
      </c>
      <c r="K200" s="26">
        <f>IFERROR(__xludf.DUMMYFUNCTION("""COMPUTED_VALUE"""),0.0)</f>
        <v>0</v>
      </c>
      <c r="L200" s="26">
        <f>IFERROR(__xludf.DUMMYFUNCTION("""COMPUTED_VALUE"""),0.0)</f>
        <v>0</v>
      </c>
      <c r="M200" s="26"/>
      <c r="N200" s="26"/>
      <c r="O200" s="26"/>
      <c r="P200" s="26"/>
      <c r="Q200" s="26"/>
      <c r="R200" s="26">
        <f>IFERROR(__xludf.DUMMYFUNCTION("""COMPUTED_VALUE"""),47.0)</f>
        <v>47</v>
      </c>
      <c r="S200" s="26">
        <f>IFERROR(__xludf.DUMMYFUNCTION("""COMPUTED_VALUE"""),23830.0)</f>
        <v>23830</v>
      </c>
      <c r="T200" s="26">
        <f>IFERROR(__xludf.DUMMYFUNCTION("""COMPUTED_VALUE"""),10635.0)</f>
        <v>10635</v>
      </c>
      <c r="U200" s="26">
        <f>IFERROR(__xludf.DUMMYFUNCTION("""COMPUTED_VALUE"""),14270.029999999999)</f>
        <v>14270.03</v>
      </c>
      <c r="V200" s="26">
        <f>IFERROR(__xludf.DUMMYFUNCTION("""COMPUTED_VALUE"""),0.0)</f>
        <v>0</v>
      </c>
      <c r="W200" s="26">
        <f>IFERROR(__xludf.DUMMYFUNCTION("""COMPUTED_VALUE"""),0.0)</f>
        <v>0</v>
      </c>
      <c r="X200" s="26">
        <f>IFERROR(__xludf.DUMMYFUNCTION("""COMPUTED_VALUE"""),3635.0299999999984)</f>
        <v>3635.03</v>
      </c>
      <c r="Y200" s="26">
        <f>IFERROR(__xludf.DUMMYFUNCTION("""COMPUTED_VALUE"""),3635.0299999999984)</f>
        <v>3635.03</v>
      </c>
      <c r="Z200" s="26">
        <f>IFERROR(__xludf.DUMMYFUNCTION("""COMPUTED_VALUE"""),0.0)</f>
        <v>0</v>
      </c>
      <c r="AA200" s="26">
        <f>IFERROR(__xludf.DUMMYFUNCTION("""COMPUTED_VALUE"""),0.0)</f>
        <v>0</v>
      </c>
      <c r="AB200" s="26">
        <f>IFERROR(__xludf.DUMMYFUNCTION("""COMPUTED_VALUE"""),0.0)</f>
        <v>0</v>
      </c>
      <c r="AC200" s="26">
        <f>IFERROR(__xludf.DUMMYFUNCTION("""COMPUTED_VALUE"""),0.0)</f>
        <v>0</v>
      </c>
      <c r="AD200" s="26">
        <f>IFERROR(__xludf.DUMMYFUNCTION("""COMPUTED_VALUE"""),0.0)</f>
        <v>0</v>
      </c>
      <c r="AE200" s="26">
        <f>IFERROR(__xludf.DUMMYFUNCTION("""COMPUTED_VALUE"""),0.0)</f>
        <v>0</v>
      </c>
    </row>
    <row r="201">
      <c r="A201" s="26">
        <f>IFERROR(__xludf.DUMMYFUNCTION("""COMPUTED_VALUE"""),5.0)</f>
        <v>5</v>
      </c>
      <c r="B201" s="26">
        <f>IFERROR(__xludf.DUMMYFUNCTION("""COMPUTED_VALUE"""),0.0)</f>
        <v>0</v>
      </c>
      <c r="C201" s="26">
        <f>IFERROR(__xludf.DUMMYFUNCTION("""COMPUTED_VALUE"""),23.0)</f>
        <v>23</v>
      </c>
      <c r="D201" s="26">
        <f>IFERROR(__xludf.DUMMYFUNCTION("""COMPUTED_VALUE"""),0.0)</f>
        <v>0</v>
      </c>
      <c r="E201" s="26">
        <f>IFERROR(__xludf.DUMMYFUNCTION("""COMPUTED_VALUE"""),0.0)</f>
        <v>0</v>
      </c>
      <c r="F201" s="26">
        <f>IFERROR(__xludf.DUMMYFUNCTION("""COMPUTED_VALUE"""),0.0)</f>
        <v>0</v>
      </c>
      <c r="G201" s="26">
        <f>IFERROR(__xludf.DUMMYFUNCTION("""COMPUTED_VALUE"""),0.0)</f>
        <v>0</v>
      </c>
      <c r="H201" s="26">
        <f>IFERROR(__xludf.DUMMYFUNCTION("""COMPUTED_VALUE"""),0.0)</f>
        <v>0</v>
      </c>
      <c r="I201" s="26">
        <f>IFERROR(__xludf.DUMMYFUNCTION("""COMPUTED_VALUE"""),0.0)</f>
        <v>0</v>
      </c>
      <c r="J201" s="26">
        <f>IFERROR(__xludf.DUMMYFUNCTION("""COMPUTED_VALUE"""),0.0)</f>
        <v>0</v>
      </c>
      <c r="K201" s="26">
        <f>IFERROR(__xludf.DUMMYFUNCTION("""COMPUTED_VALUE"""),0.0)</f>
        <v>0</v>
      </c>
      <c r="L201" s="26">
        <f>IFERROR(__xludf.DUMMYFUNCTION("""COMPUTED_VALUE"""),0.0)</f>
        <v>0</v>
      </c>
      <c r="M201" s="26"/>
      <c r="N201" s="26"/>
      <c r="O201" s="26"/>
      <c r="P201" s="26"/>
      <c r="Q201" s="26"/>
      <c r="R201" s="26">
        <f>IFERROR(__xludf.DUMMYFUNCTION("""COMPUTED_VALUE"""),28.0)</f>
        <v>28</v>
      </c>
      <c r="S201" s="26">
        <f>IFERROR(__xludf.DUMMYFUNCTION("""COMPUTED_VALUE"""),16820.0)</f>
        <v>16820</v>
      </c>
      <c r="T201" s="26">
        <f>IFERROR(__xludf.DUMMYFUNCTION("""COMPUTED_VALUE"""),6660.0)</f>
        <v>6660</v>
      </c>
      <c r="U201" s="26">
        <f>IFERROR(__xludf.DUMMYFUNCTION("""COMPUTED_VALUE"""),9225.7)</f>
        <v>9225.7</v>
      </c>
      <c r="V201" s="26">
        <f>IFERROR(__xludf.DUMMYFUNCTION("""COMPUTED_VALUE"""),0.0)</f>
        <v>0</v>
      </c>
      <c r="W201" s="26">
        <f>IFERROR(__xludf.DUMMYFUNCTION("""COMPUTED_VALUE"""),0.0)</f>
        <v>0</v>
      </c>
      <c r="X201" s="26">
        <f>IFERROR(__xludf.DUMMYFUNCTION("""COMPUTED_VALUE"""),2565.7)</f>
        <v>2565.7</v>
      </c>
      <c r="Y201" s="26">
        <f>IFERROR(__xludf.DUMMYFUNCTION("""COMPUTED_VALUE"""),2565.7)</f>
        <v>2565.7</v>
      </c>
      <c r="Z201" s="26">
        <f>IFERROR(__xludf.DUMMYFUNCTION("""COMPUTED_VALUE"""),0.0)</f>
        <v>0</v>
      </c>
      <c r="AA201" s="26">
        <f>IFERROR(__xludf.DUMMYFUNCTION("""COMPUTED_VALUE"""),0.0)</f>
        <v>0</v>
      </c>
      <c r="AB201" s="26">
        <f>IFERROR(__xludf.DUMMYFUNCTION("""COMPUTED_VALUE"""),0.0)</f>
        <v>0</v>
      </c>
      <c r="AC201" s="26">
        <f>IFERROR(__xludf.DUMMYFUNCTION("""COMPUTED_VALUE"""),0.0)</f>
        <v>0</v>
      </c>
      <c r="AD201" s="26">
        <f>IFERROR(__xludf.DUMMYFUNCTION("""COMPUTED_VALUE"""),0.0)</f>
        <v>0</v>
      </c>
      <c r="AE201" s="26">
        <f>IFERROR(__xludf.DUMMYFUNCTION("""COMPUTED_VALUE"""),0.0)</f>
        <v>0</v>
      </c>
    </row>
    <row r="202">
      <c r="A202" s="26">
        <f>IFERROR(__xludf.DUMMYFUNCTION("""COMPUTED_VALUE"""),6.0)</f>
        <v>6</v>
      </c>
      <c r="B202" s="26">
        <f>IFERROR(__xludf.DUMMYFUNCTION("""COMPUTED_VALUE"""),0.0)</f>
        <v>0</v>
      </c>
      <c r="C202" s="26">
        <f>IFERROR(__xludf.DUMMYFUNCTION("""COMPUTED_VALUE"""),9.0)</f>
        <v>9</v>
      </c>
      <c r="D202" s="26">
        <f>IFERROR(__xludf.DUMMYFUNCTION("""COMPUTED_VALUE"""),0.0)</f>
        <v>0</v>
      </c>
      <c r="E202" s="26">
        <f>IFERROR(__xludf.DUMMYFUNCTION("""COMPUTED_VALUE"""),0.0)</f>
        <v>0</v>
      </c>
      <c r="F202" s="26">
        <f>IFERROR(__xludf.DUMMYFUNCTION("""COMPUTED_VALUE"""),0.0)</f>
        <v>0</v>
      </c>
      <c r="G202" s="26">
        <f>IFERROR(__xludf.DUMMYFUNCTION("""COMPUTED_VALUE"""),0.0)</f>
        <v>0</v>
      </c>
      <c r="H202" s="26">
        <f>IFERROR(__xludf.DUMMYFUNCTION("""COMPUTED_VALUE"""),0.0)</f>
        <v>0</v>
      </c>
      <c r="I202" s="26">
        <f>IFERROR(__xludf.DUMMYFUNCTION("""COMPUTED_VALUE"""),0.0)</f>
        <v>0</v>
      </c>
      <c r="J202" s="26">
        <f>IFERROR(__xludf.DUMMYFUNCTION("""COMPUTED_VALUE"""),0.0)</f>
        <v>0</v>
      </c>
      <c r="K202" s="26">
        <f>IFERROR(__xludf.DUMMYFUNCTION("""COMPUTED_VALUE"""),0.0)</f>
        <v>0</v>
      </c>
      <c r="L202" s="26">
        <f>IFERROR(__xludf.DUMMYFUNCTION("""COMPUTED_VALUE"""),0.0)</f>
        <v>0</v>
      </c>
      <c r="M202" s="26"/>
      <c r="N202" s="26"/>
      <c r="O202" s="26"/>
      <c r="P202" s="26"/>
      <c r="Q202" s="26"/>
      <c r="R202" s="26">
        <f>IFERROR(__xludf.DUMMYFUNCTION("""COMPUTED_VALUE"""),15.0)</f>
        <v>15</v>
      </c>
      <c r="S202" s="26">
        <f>IFERROR(__xludf.DUMMYFUNCTION("""COMPUTED_VALUE"""),6750.0)</f>
        <v>6750</v>
      </c>
      <c r="T202" s="26">
        <f>IFERROR(__xludf.DUMMYFUNCTION("""COMPUTED_VALUE"""),3435.0)</f>
        <v>3435</v>
      </c>
      <c r="U202" s="26">
        <f>IFERROR(__xludf.DUMMYFUNCTION("""COMPUTED_VALUE"""),4464.6900000000005)</f>
        <v>4464.69</v>
      </c>
      <c r="V202" s="26">
        <f>IFERROR(__xludf.DUMMYFUNCTION("""COMPUTED_VALUE"""),0.0)</f>
        <v>0</v>
      </c>
      <c r="W202" s="26">
        <f>IFERROR(__xludf.DUMMYFUNCTION("""COMPUTED_VALUE"""),0.0)</f>
        <v>0</v>
      </c>
      <c r="X202" s="26">
        <f>IFERROR(__xludf.DUMMYFUNCTION("""COMPUTED_VALUE"""),1029.69)</f>
        <v>1029.69</v>
      </c>
      <c r="Y202" s="26">
        <f>IFERROR(__xludf.DUMMYFUNCTION("""COMPUTED_VALUE"""),1029.69)</f>
        <v>1029.69</v>
      </c>
      <c r="Z202" s="26">
        <f>IFERROR(__xludf.DUMMYFUNCTION("""COMPUTED_VALUE"""),0.0)</f>
        <v>0</v>
      </c>
      <c r="AA202" s="26">
        <f>IFERROR(__xludf.DUMMYFUNCTION("""COMPUTED_VALUE"""),0.0)</f>
        <v>0</v>
      </c>
      <c r="AB202" s="26">
        <f>IFERROR(__xludf.DUMMYFUNCTION("""COMPUTED_VALUE"""),0.0)</f>
        <v>0</v>
      </c>
      <c r="AC202" s="26">
        <f>IFERROR(__xludf.DUMMYFUNCTION("""COMPUTED_VALUE"""),0.0)</f>
        <v>0</v>
      </c>
      <c r="AD202" s="26">
        <f>IFERROR(__xludf.DUMMYFUNCTION("""COMPUTED_VALUE"""),0.0)</f>
        <v>0</v>
      </c>
      <c r="AE202" s="26">
        <f>IFERROR(__xludf.DUMMYFUNCTION("""COMPUTED_VALUE"""),0.0)</f>
        <v>0</v>
      </c>
    </row>
    <row r="203">
      <c r="A203" s="26">
        <f>IFERROR(__xludf.DUMMYFUNCTION("""COMPUTED_VALUE"""),0.0)</f>
        <v>0</v>
      </c>
      <c r="B203" s="26">
        <f>IFERROR(__xludf.DUMMYFUNCTION("""COMPUTED_VALUE"""),0.0)</f>
        <v>0</v>
      </c>
      <c r="C203" s="26">
        <f>IFERROR(__xludf.DUMMYFUNCTION("""COMPUTED_VALUE"""),1.0)</f>
        <v>1</v>
      </c>
      <c r="D203" s="26">
        <f>IFERROR(__xludf.DUMMYFUNCTION("""COMPUTED_VALUE"""),0.0)</f>
        <v>0</v>
      </c>
      <c r="E203" s="26">
        <f>IFERROR(__xludf.DUMMYFUNCTION("""COMPUTED_VALUE"""),0.0)</f>
        <v>0</v>
      </c>
      <c r="F203" s="26">
        <f>IFERROR(__xludf.DUMMYFUNCTION("""COMPUTED_VALUE"""),0.0)</f>
        <v>0</v>
      </c>
      <c r="G203" s="26">
        <f>IFERROR(__xludf.DUMMYFUNCTION("""COMPUTED_VALUE"""),0.0)</f>
        <v>0</v>
      </c>
      <c r="H203" s="26">
        <f>IFERROR(__xludf.DUMMYFUNCTION("""COMPUTED_VALUE"""),0.0)</f>
        <v>0</v>
      </c>
      <c r="I203" s="26">
        <f>IFERROR(__xludf.DUMMYFUNCTION("""COMPUTED_VALUE"""),0.0)</f>
        <v>0</v>
      </c>
      <c r="J203" s="26">
        <f>IFERROR(__xludf.DUMMYFUNCTION("""COMPUTED_VALUE"""),0.0)</f>
        <v>0</v>
      </c>
      <c r="K203" s="26">
        <f>IFERROR(__xludf.DUMMYFUNCTION("""COMPUTED_VALUE"""),0.0)</f>
        <v>0</v>
      </c>
      <c r="L203" s="26">
        <f>IFERROR(__xludf.DUMMYFUNCTION("""COMPUTED_VALUE"""),0.0)</f>
        <v>0</v>
      </c>
      <c r="M203" s="26"/>
      <c r="N203" s="26"/>
      <c r="O203" s="26"/>
      <c r="P203" s="26"/>
      <c r="Q203" s="26"/>
      <c r="R203" s="26">
        <f>IFERROR(__xludf.DUMMYFUNCTION("""COMPUTED_VALUE"""),1.0)</f>
        <v>1</v>
      </c>
      <c r="S203" s="26">
        <f>IFERROR(__xludf.DUMMYFUNCTION("""COMPUTED_VALUE"""),690.0)</f>
        <v>690</v>
      </c>
      <c r="T203" s="26">
        <f>IFERROR(__xludf.DUMMYFUNCTION("""COMPUTED_VALUE"""),205.0)</f>
        <v>205</v>
      </c>
      <c r="U203" s="26">
        <f>IFERROR(__xludf.DUMMYFUNCTION("""COMPUTED_VALUE"""),310.25)</f>
        <v>310.25</v>
      </c>
      <c r="V203" s="26">
        <f>IFERROR(__xludf.DUMMYFUNCTION("""COMPUTED_VALUE"""),0.0)</f>
        <v>0</v>
      </c>
      <c r="W203" s="26">
        <f>IFERROR(__xludf.DUMMYFUNCTION("""COMPUTED_VALUE"""),0.0)</f>
        <v>0</v>
      </c>
      <c r="X203" s="26">
        <f>IFERROR(__xludf.DUMMYFUNCTION("""COMPUTED_VALUE"""),105.25)</f>
        <v>105.25</v>
      </c>
      <c r="Y203" s="26">
        <f>IFERROR(__xludf.DUMMYFUNCTION("""COMPUTED_VALUE"""),105.25)</f>
        <v>105.25</v>
      </c>
      <c r="Z203" s="26">
        <f>IFERROR(__xludf.DUMMYFUNCTION("""COMPUTED_VALUE"""),0.0)</f>
        <v>0</v>
      </c>
      <c r="AA203" s="26">
        <f>IFERROR(__xludf.DUMMYFUNCTION("""COMPUTED_VALUE"""),0.0)</f>
        <v>0</v>
      </c>
      <c r="AB203" s="26">
        <f>IFERROR(__xludf.DUMMYFUNCTION("""COMPUTED_VALUE"""),0.0)</f>
        <v>0</v>
      </c>
      <c r="AC203" s="26">
        <f>IFERROR(__xludf.DUMMYFUNCTION("""COMPUTED_VALUE"""),0.0)</f>
        <v>0</v>
      </c>
      <c r="AD203" s="26">
        <f>IFERROR(__xludf.DUMMYFUNCTION("""COMPUTED_VALUE"""),0.0)</f>
        <v>0</v>
      </c>
      <c r="AE203" s="26">
        <f>IFERROR(__xludf.DUMMYFUNCTION("""COMPUTED_VALUE"""),0.0)</f>
        <v>0</v>
      </c>
    </row>
    <row r="204">
      <c r="A204" s="26">
        <f>IFERROR(__xludf.DUMMYFUNCTION("""COMPUTED_VALUE"""),0.0)</f>
        <v>0</v>
      </c>
      <c r="B204" s="26">
        <f>IFERROR(__xludf.DUMMYFUNCTION("""COMPUTED_VALUE"""),0.0)</f>
        <v>0</v>
      </c>
      <c r="C204" s="26">
        <f>IFERROR(__xludf.DUMMYFUNCTION("""COMPUTED_VALUE"""),0.0)</f>
        <v>0</v>
      </c>
      <c r="D204" s="26">
        <f>IFERROR(__xludf.DUMMYFUNCTION("""COMPUTED_VALUE"""),0.0)</f>
        <v>0</v>
      </c>
      <c r="E204" s="26">
        <f>IFERROR(__xludf.DUMMYFUNCTION("""COMPUTED_VALUE"""),0.0)</f>
        <v>0</v>
      </c>
      <c r="F204" s="26">
        <f>IFERROR(__xludf.DUMMYFUNCTION("""COMPUTED_VALUE"""),0.0)</f>
        <v>0</v>
      </c>
      <c r="G204" s="26">
        <f>IFERROR(__xludf.DUMMYFUNCTION("""COMPUTED_VALUE"""),0.0)</f>
        <v>0</v>
      </c>
      <c r="H204" s="26">
        <f>IFERROR(__xludf.DUMMYFUNCTION("""COMPUTED_VALUE"""),0.0)</f>
        <v>0</v>
      </c>
      <c r="I204" s="26">
        <f>IFERROR(__xludf.DUMMYFUNCTION("""COMPUTED_VALUE"""),0.0)</f>
        <v>0</v>
      </c>
      <c r="J204" s="26">
        <f>IFERROR(__xludf.DUMMYFUNCTION("""COMPUTED_VALUE"""),0.0)</f>
        <v>0</v>
      </c>
      <c r="K204" s="26">
        <f>IFERROR(__xludf.DUMMYFUNCTION("""COMPUTED_VALUE"""),0.0)</f>
        <v>0</v>
      </c>
      <c r="L204" s="26">
        <f>IFERROR(__xludf.DUMMYFUNCTION("""COMPUTED_VALUE"""),0.0)</f>
        <v>0</v>
      </c>
      <c r="M204" s="26"/>
      <c r="N204" s="26"/>
      <c r="O204" s="26"/>
      <c r="P204" s="26"/>
      <c r="Q204" s="26"/>
      <c r="R204" s="26">
        <f>IFERROR(__xludf.DUMMYFUNCTION("""COMPUTED_VALUE"""),0.0)</f>
        <v>0</v>
      </c>
      <c r="S204" s="26">
        <f>IFERROR(__xludf.DUMMYFUNCTION("""COMPUTED_VALUE"""),0.0)</f>
        <v>0</v>
      </c>
      <c r="T204" s="26">
        <f>IFERROR(__xludf.DUMMYFUNCTION("""COMPUTED_VALUE"""),0.0)</f>
        <v>0</v>
      </c>
      <c r="U204" s="26">
        <f>IFERROR(__xludf.DUMMYFUNCTION("""COMPUTED_VALUE"""),0.0)</f>
        <v>0</v>
      </c>
      <c r="V204" s="26">
        <f>IFERROR(__xludf.DUMMYFUNCTION("""COMPUTED_VALUE"""),0.0)</f>
        <v>0</v>
      </c>
      <c r="W204" s="26">
        <f>IFERROR(__xludf.DUMMYFUNCTION("""COMPUTED_VALUE"""),0.0)</f>
        <v>0</v>
      </c>
      <c r="X204" s="26">
        <f>IFERROR(__xludf.DUMMYFUNCTION("""COMPUTED_VALUE"""),0.0)</f>
        <v>0</v>
      </c>
      <c r="Y204" s="26">
        <f>IFERROR(__xludf.DUMMYFUNCTION("""COMPUTED_VALUE"""),0.0)</f>
        <v>0</v>
      </c>
      <c r="Z204" s="26">
        <f>IFERROR(__xludf.DUMMYFUNCTION("""COMPUTED_VALUE"""),0.0)</f>
        <v>0</v>
      </c>
      <c r="AA204" s="26">
        <f>IFERROR(__xludf.DUMMYFUNCTION("""COMPUTED_VALUE"""),0.0)</f>
        <v>0</v>
      </c>
      <c r="AB204" s="26">
        <f>IFERROR(__xludf.DUMMYFUNCTION("""COMPUTED_VALUE"""),0.0)</f>
        <v>0</v>
      </c>
      <c r="AC204" s="26">
        <f>IFERROR(__xludf.DUMMYFUNCTION("""COMPUTED_VALUE"""),0.0)</f>
        <v>0</v>
      </c>
      <c r="AD204" s="26">
        <f>IFERROR(__xludf.DUMMYFUNCTION("""COMPUTED_VALUE"""),0.0)</f>
        <v>0</v>
      </c>
      <c r="AE204" s="26">
        <f>IFERROR(__xludf.DUMMYFUNCTION("""COMPUTED_VALUE"""),0.0)</f>
        <v>0</v>
      </c>
    </row>
    <row r="205">
      <c r="A205" s="26">
        <f>IFERROR(__xludf.DUMMYFUNCTION("""COMPUTED_VALUE"""),0.0)</f>
        <v>0</v>
      </c>
      <c r="B205" s="26">
        <f>IFERROR(__xludf.DUMMYFUNCTION("""COMPUTED_VALUE"""),0.0)</f>
        <v>0</v>
      </c>
      <c r="C205" s="26">
        <f>IFERROR(__xludf.DUMMYFUNCTION("""COMPUTED_VALUE"""),0.0)</f>
        <v>0</v>
      </c>
      <c r="D205" s="26">
        <f>IFERROR(__xludf.DUMMYFUNCTION("""COMPUTED_VALUE"""),0.0)</f>
        <v>0</v>
      </c>
      <c r="E205" s="26">
        <f>IFERROR(__xludf.DUMMYFUNCTION("""COMPUTED_VALUE"""),0.0)</f>
        <v>0</v>
      </c>
      <c r="F205" s="26">
        <f>IFERROR(__xludf.DUMMYFUNCTION("""COMPUTED_VALUE"""),0.0)</f>
        <v>0</v>
      </c>
      <c r="G205" s="26">
        <f>IFERROR(__xludf.DUMMYFUNCTION("""COMPUTED_VALUE"""),0.0)</f>
        <v>0</v>
      </c>
      <c r="H205" s="26">
        <f>IFERROR(__xludf.DUMMYFUNCTION("""COMPUTED_VALUE"""),0.0)</f>
        <v>0</v>
      </c>
      <c r="I205" s="26">
        <f>IFERROR(__xludf.DUMMYFUNCTION("""COMPUTED_VALUE"""),0.0)</f>
        <v>0</v>
      </c>
      <c r="J205" s="26">
        <f>IFERROR(__xludf.DUMMYFUNCTION("""COMPUTED_VALUE"""),0.0)</f>
        <v>0</v>
      </c>
      <c r="K205" s="26">
        <f>IFERROR(__xludf.DUMMYFUNCTION("""COMPUTED_VALUE"""),0.0)</f>
        <v>0</v>
      </c>
      <c r="L205" s="26">
        <f>IFERROR(__xludf.DUMMYFUNCTION("""COMPUTED_VALUE"""),0.0)</f>
        <v>0</v>
      </c>
      <c r="M205" s="26"/>
      <c r="N205" s="26"/>
      <c r="O205" s="26"/>
      <c r="P205" s="26"/>
      <c r="Q205" s="26"/>
      <c r="R205" s="26">
        <f>IFERROR(__xludf.DUMMYFUNCTION("""COMPUTED_VALUE"""),0.0)</f>
        <v>0</v>
      </c>
      <c r="S205" s="26">
        <f>IFERROR(__xludf.DUMMYFUNCTION("""COMPUTED_VALUE"""),0.0)</f>
        <v>0</v>
      </c>
      <c r="T205" s="26">
        <f>IFERROR(__xludf.DUMMYFUNCTION("""COMPUTED_VALUE"""),0.0)</f>
        <v>0</v>
      </c>
      <c r="U205" s="26">
        <f>IFERROR(__xludf.DUMMYFUNCTION("""COMPUTED_VALUE"""),0.0)</f>
        <v>0</v>
      </c>
      <c r="V205" s="26">
        <f>IFERROR(__xludf.DUMMYFUNCTION("""COMPUTED_VALUE"""),0.0)</f>
        <v>0</v>
      </c>
      <c r="W205" s="26">
        <f>IFERROR(__xludf.DUMMYFUNCTION("""COMPUTED_VALUE"""),0.0)</f>
        <v>0</v>
      </c>
      <c r="X205" s="26">
        <f>IFERROR(__xludf.DUMMYFUNCTION("""COMPUTED_VALUE"""),0.0)</f>
        <v>0</v>
      </c>
      <c r="Y205" s="26">
        <f>IFERROR(__xludf.DUMMYFUNCTION("""COMPUTED_VALUE"""),0.0)</f>
        <v>0</v>
      </c>
      <c r="Z205" s="26">
        <f>IFERROR(__xludf.DUMMYFUNCTION("""COMPUTED_VALUE"""),0.0)</f>
        <v>0</v>
      </c>
      <c r="AA205" s="26">
        <f>IFERROR(__xludf.DUMMYFUNCTION("""COMPUTED_VALUE"""),0.0)</f>
        <v>0</v>
      </c>
      <c r="AB205" s="26">
        <f>IFERROR(__xludf.DUMMYFUNCTION("""COMPUTED_VALUE"""),0.0)</f>
        <v>0</v>
      </c>
      <c r="AC205" s="26">
        <f>IFERROR(__xludf.DUMMYFUNCTION("""COMPUTED_VALUE"""),0.0)</f>
        <v>0</v>
      </c>
      <c r="AD205" s="26">
        <f>IFERROR(__xludf.DUMMYFUNCTION("""COMPUTED_VALUE"""),0.0)</f>
        <v>0</v>
      </c>
      <c r="AE205" s="26">
        <f>IFERROR(__xludf.DUMMYFUNCTION("""COMPUTED_VALUE"""),0.0)</f>
        <v>0</v>
      </c>
    </row>
    <row r="206">
      <c r="A206" s="26">
        <f>IFERROR(__xludf.DUMMYFUNCTION("""COMPUTED_VALUE"""),0.0)</f>
        <v>0</v>
      </c>
      <c r="B206" s="26">
        <f>IFERROR(__xludf.DUMMYFUNCTION("""COMPUTED_VALUE"""),0.0)</f>
        <v>0</v>
      </c>
      <c r="C206" s="26">
        <f>IFERROR(__xludf.DUMMYFUNCTION("""COMPUTED_VALUE"""),0.0)</f>
        <v>0</v>
      </c>
      <c r="D206" s="26">
        <f>IFERROR(__xludf.DUMMYFUNCTION("""COMPUTED_VALUE"""),0.0)</f>
        <v>0</v>
      </c>
      <c r="E206" s="26">
        <f>IFERROR(__xludf.DUMMYFUNCTION("""COMPUTED_VALUE"""),0.0)</f>
        <v>0</v>
      </c>
      <c r="F206" s="26">
        <f>IFERROR(__xludf.DUMMYFUNCTION("""COMPUTED_VALUE"""),0.0)</f>
        <v>0</v>
      </c>
      <c r="G206" s="26">
        <f>IFERROR(__xludf.DUMMYFUNCTION("""COMPUTED_VALUE"""),0.0)</f>
        <v>0</v>
      </c>
      <c r="H206" s="26">
        <f>IFERROR(__xludf.DUMMYFUNCTION("""COMPUTED_VALUE"""),0.0)</f>
        <v>0</v>
      </c>
      <c r="I206" s="26">
        <f>IFERROR(__xludf.DUMMYFUNCTION("""COMPUTED_VALUE"""),0.0)</f>
        <v>0</v>
      </c>
      <c r="J206" s="26">
        <f>IFERROR(__xludf.DUMMYFUNCTION("""COMPUTED_VALUE"""),0.0)</f>
        <v>0</v>
      </c>
      <c r="K206" s="26">
        <f>IFERROR(__xludf.DUMMYFUNCTION("""COMPUTED_VALUE"""),0.0)</f>
        <v>0</v>
      </c>
      <c r="L206" s="26">
        <f>IFERROR(__xludf.DUMMYFUNCTION("""COMPUTED_VALUE"""),0.0)</f>
        <v>0</v>
      </c>
      <c r="M206" s="26"/>
      <c r="N206" s="26"/>
      <c r="O206" s="26"/>
      <c r="P206" s="26"/>
      <c r="Q206" s="26"/>
      <c r="R206" s="26">
        <f>IFERROR(__xludf.DUMMYFUNCTION("""COMPUTED_VALUE"""),0.0)</f>
        <v>0</v>
      </c>
      <c r="S206" s="26">
        <f>IFERROR(__xludf.DUMMYFUNCTION("""COMPUTED_VALUE"""),0.0)</f>
        <v>0</v>
      </c>
      <c r="T206" s="26">
        <f>IFERROR(__xludf.DUMMYFUNCTION("""COMPUTED_VALUE"""),0.0)</f>
        <v>0</v>
      </c>
      <c r="U206" s="26">
        <f>IFERROR(__xludf.DUMMYFUNCTION("""COMPUTED_VALUE"""),0.0)</f>
        <v>0</v>
      </c>
      <c r="V206" s="26">
        <f>IFERROR(__xludf.DUMMYFUNCTION("""COMPUTED_VALUE"""),0.0)</f>
        <v>0</v>
      </c>
      <c r="W206" s="26">
        <f>IFERROR(__xludf.DUMMYFUNCTION("""COMPUTED_VALUE"""),0.0)</f>
        <v>0</v>
      </c>
      <c r="X206" s="26">
        <f>IFERROR(__xludf.DUMMYFUNCTION("""COMPUTED_VALUE"""),0.0)</f>
        <v>0</v>
      </c>
      <c r="Y206" s="26">
        <f>IFERROR(__xludf.DUMMYFUNCTION("""COMPUTED_VALUE"""),0.0)</f>
        <v>0</v>
      </c>
      <c r="Z206" s="26">
        <f>IFERROR(__xludf.DUMMYFUNCTION("""COMPUTED_VALUE"""),0.0)</f>
        <v>0</v>
      </c>
      <c r="AA206" s="26">
        <f>IFERROR(__xludf.DUMMYFUNCTION("""COMPUTED_VALUE"""),0.0)</f>
        <v>0</v>
      </c>
      <c r="AB206" s="26">
        <f>IFERROR(__xludf.DUMMYFUNCTION("""COMPUTED_VALUE"""),0.0)</f>
        <v>0</v>
      </c>
      <c r="AC206" s="26">
        <f>IFERROR(__xludf.DUMMYFUNCTION("""COMPUTED_VALUE"""),0.0)</f>
        <v>0</v>
      </c>
      <c r="AD206" s="26">
        <f>IFERROR(__xludf.DUMMYFUNCTION("""COMPUTED_VALUE"""),0.0)</f>
        <v>0</v>
      </c>
      <c r="AE206" s="26">
        <f>IFERROR(__xludf.DUMMYFUNCTION("""COMPUTED_VALUE"""),0.0)</f>
        <v>0</v>
      </c>
    </row>
    <row r="207">
      <c r="A207" s="26">
        <f>IFERROR(__xludf.DUMMYFUNCTION("""COMPUTED_VALUE"""),0.0)</f>
        <v>0</v>
      </c>
      <c r="B207" s="26">
        <f>IFERROR(__xludf.DUMMYFUNCTION("""COMPUTED_VALUE"""),0.0)</f>
        <v>0</v>
      </c>
      <c r="C207" s="26">
        <f>IFERROR(__xludf.DUMMYFUNCTION("""COMPUTED_VALUE"""),39.0)</f>
        <v>39</v>
      </c>
      <c r="D207" s="26">
        <f>IFERROR(__xludf.DUMMYFUNCTION("""COMPUTED_VALUE"""),0.0)</f>
        <v>0</v>
      </c>
      <c r="E207" s="26">
        <f>IFERROR(__xludf.DUMMYFUNCTION("""COMPUTED_VALUE"""),0.0)</f>
        <v>0</v>
      </c>
      <c r="F207" s="26">
        <f>IFERROR(__xludf.DUMMYFUNCTION("""COMPUTED_VALUE"""),0.0)</f>
        <v>0</v>
      </c>
      <c r="G207" s="26">
        <f>IFERROR(__xludf.DUMMYFUNCTION("""COMPUTED_VALUE"""),0.0)</f>
        <v>0</v>
      </c>
      <c r="H207" s="26">
        <f>IFERROR(__xludf.DUMMYFUNCTION("""COMPUTED_VALUE"""),0.0)</f>
        <v>0</v>
      </c>
      <c r="I207" s="26">
        <f>IFERROR(__xludf.DUMMYFUNCTION("""COMPUTED_VALUE"""),0.0)</f>
        <v>0</v>
      </c>
      <c r="J207" s="26">
        <f>IFERROR(__xludf.DUMMYFUNCTION("""COMPUTED_VALUE"""),0.0)</f>
        <v>0</v>
      </c>
      <c r="K207" s="26">
        <f>IFERROR(__xludf.DUMMYFUNCTION("""COMPUTED_VALUE"""),0.0)</f>
        <v>0</v>
      </c>
      <c r="L207" s="26">
        <f>IFERROR(__xludf.DUMMYFUNCTION("""COMPUTED_VALUE"""),0.0)</f>
        <v>0</v>
      </c>
      <c r="M207" s="26"/>
      <c r="N207" s="26"/>
      <c r="O207" s="26"/>
      <c r="P207" s="26"/>
      <c r="Q207" s="26"/>
      <c r="R207" s="26">
        <f>IFERROR(__xludf.DUMMYFUNCTION("""COMPUTED_VALUE"""),39.0)</f>
        <v>39</v>
      </c>
      <c r="S207" s="26">
        <f>IFERROR(__xludf.DUMMYFUNCTION("""COMPUTED_VALUE"""),26910.0)</f>
        <v>26910</v>
      </c>
      <c r="T207" s="26">
        <f>IFERROR(__xludf.DUMMYFUNCTION("""COMPUTED_VALUE"""),7995.0)</f>
        <v>7995</v>
      </c>
      <c r="U207" s="26">
        <f>IFERROR(__xludf.DUMMYFUNCTION("""COMPUTED_VALUE"""),12099.75)</f>
        <v>12099.75</v>
      </c>
      <c r="V207" s="26">
        <f>IFERROR(__xludf.DUMMYFUNCTION("""COMPUTED_VALUE"""),0.0)</f>
        <v>0</v>
      </c>
      <c r="W207" s="26">
        <f>IFERROR(__xludf.DUMMYFUNCTION("""COMPUTED_VALUE"""),0.0)</f>
        <v>0</v>
      </c>
      <c r="X207" s="26">
        <f>IFERROR(__xludf.DUMMYFUNCTION("""COMPUTED_VALUE"""),4104.75)</f>
        <v>4104.75</v>
      </c>
      <c r="Y207" s="26">
        <f>IFERROR(__xludf.DUMMYFUNCTION("""COMPUTED_VALUE"""),4104.75)</f>
        <v>4104.75</v>
      </c>
      <c r="Z207" s="26">
        <f>IFERROR(__xludf.DUMMYFUNCTION("""COMPUTED_VALUE"""),0.0)</f>
        <v>0</v>
      </c>
      <c r="AA207" s="26">
        <f>IFERROR(__xludf.DUMMYFUNCTION("""COMPUTED_VALUE"""),0.0)</f>
        <v>0</v>
      </c>
      <c r="AB207" s="26">
        <f>IFERROR(__xludf.DUMMYFUNCTION("""COMPUTED_VALUE"""),0.0)</f>
        <v>0</v>
      </c>
      <c r="AC207" s="26">
        <f>IFERROR(__xludf.DUMMYFUNCTION("""COMPUTED_VALUE"""),0.0)</f>
        <v>0</v>
      </c>
      <c r="AD207" s="26">
        <f>IFERROR(__xludf.DUMMYFUNCTION("""COMPUTED_VALUE"""),0.0)</f>
        <v>0</v>
      </c>
      <c r="AE207" s="26">
        <f>IFERROR(__xludf.DUMMYFUNCTION("""COMPUTED_VALUE"""),0.0)</f>
        <v>0</v>
      </c>
    </row>
    <row r="208">
      <c r="A208" s="26">
        <f>IFERROR(__xludf.DUMMYFUNCTION("""COMPUTED_VALUE"""),0.0)</f>
        <v>0</v>
      </c>
      <c r="B208" s="26">
        <f>IFERROR(__xludf.DUMMYFUNCTION("""COMPUTED_VALUE"""),0.0)</f>
        <v>0</v>
      </c>
      <c r="C208" s="26">
        <f>IFERROR(__xludf.DUMMYFUNCTION("""COMPUTED_VALUE"""),0.0)</f>
        <v>0</v>
      </c>
      <c r="D208" s="26">
        <f>IFERROR(__xludf.DUMMYFUNCTION("""COMPUTED_VALUE"""),0.0)</f>
        <v>0</v>
      </c>
      <c r="E208" s="26">
        <f>IFERROR(__xludf.DUMMYFUNCTION("""COMPUTED_VALUE"""),0.0)</f>
        <v>0</v>
      </c>
      <c r="F208" s="26">
        <f>IFERROR(__xludf.DUMMYFUNCTION("""COMPUTED_VALUE"""),0.0)</f>
        <v>0</v>
      </c>
      <c r="G208" s="26">
        <f>IFERROR(__xludf.DUMMYFUNCTION("""COMPUTED_VALUE"""),0.0)</f>
        <v>0</v>
      </c>
      <c r="H208" s="26">
        <f>IFERROR(__xludf.DUMMYFUNCTION("""COMPUTED_VALUE"""),0.0)</f>
        <v>0</v>
      </c>
      <c r="I208" s="26">
        <f>IFERROR(__xludf.DUMMYFUNCTION("""COMPUTED_VALUE"""),0.0)</f>
        <v>0</v>
      </c>
      <c r="J208" s="26">
        <f>IFERROR(__xludf.DUMMYFUNCTION("""COMPUTED_VALUE"""),0.0)</f>
        <v>0</v>
      </c>
      <c r="K208" s="26">
        <f>IFERROR(__xludf.DUMMYFUNCTION("""COMPUTED_VALUE"""),0.0)</f>
        <v>0</v>
      </c>
      <c r="L208" s="26">
        <f>IFERROR(__xludf.DUMMYFUNCTION("""COMPUTED_VALUE"""),0.0)</f>
        <v>0</v>
      </c>
      <c r="M208" s="26"/>
      <c r="N208" s="26"/>
      <c r="O208" s="26"/>
      <c r="P208" s="26"/>
      <c r="Q208" s="26"/>
      <c r="R208" s="26">
        <f>IFERROR(__xludf.DUMMYFUNCTION("""COMPUTED_VALUE"""),0.0)</f>
        <v>0</v>
      </c>
      <c r="S208" s="26">
        <f>IFERROR(__xludf.DUMMYFUNCTION("""COMPUTED_VALUE"""),0.0)</f>
        <v>0</v>
      </c>
      <c r="T208" s="26">
        <f>IFERROR(__xludf.DUMMYFUNCTION("""COMPUTED_VALUE"""),0.0)</f>
        <v>0</v>
      </c>
      <c r="U208" s="26">
        <f>IFERROR(__xludf.DUMMYFUNCTION("""COMPUTED_VALUE"""),0.0)</f>
        <v>0</v>
      </c>
      <c r="V208" s="26">
        <f>IFERROR(__xludf.DUMMYFUNCTION("""COMPUTED_VALUE"""),0.0)</f>
        <v>0</v>
      </c>
      <c r="W208" s="26">
        <f>IFERROR(__xludf.DUMMYFUNCTION("""COMPUTED_VALUE"""),0.0)</f>
        <v>0</v>
      </c>
      <c r="X208" s="26">
        <f>IFERROR(__xludf.DUMMYFUNCTION("""COMPUTED_VALUE"""),0.0)</f>
        <v>0</v>
      </c>
      <c r="Y208" s="26">
        <f>IFERROR(__xludf.DUMMYFUNCTION("""COMPUTED_VALUE"""),0.0)</f>
        <v>0</v>
      </c>
      <c r="Z208" s="26">
        <f>IFERROR(__xludf.DUMMYFUNCTION("""COMPUTED_VALUE"""),0.0)</f>
        <v>0</v>
      </c>
      <c r="AA208" s="26">
        <f>IFERROR(__xludf.DUMMYFUNCTION("""COMPUTED_VALUE"""),0.0)</f>
        <v>0</v>
      </c>
      <c r="AB208" s="26">
        <f>IFERROR(__xludf.DUMMYFUNCTION("""COMPUTED_VALUE"""),0.0)</f>
        <v>0</v>
      </c>
      <c r="AC208" s="26">
        <f>IFERROR(__xludf.DUMMYFUNCTION("""COMPUTED_VALUE"""),0.0)</f>
        <v>0</v>
      </c>
      <c r="AD208" s="26">
        <f>IFERROR(__xludf.DUMMYFUNCTION("""COMPUTED_VALUE"""),0.0)</f>
        <v>0</v>
      </c>
      <c r="AE208" s="26">
        <f>IFERROR(__xludf.DUMMYFUNCTION("""COMPUTED_VALUE"""),0.0)</f>
        <v>0</v>
      </c>
    </row>
    <row r="209">
      <c r="A209" s="26">
        <f>IFERROR(__xludf.DUMMYFUNCTION("""COMPUTED_VALUE"""),0.0)</f>
        <v>0</v>
      </c>
      <c r="B209" s="26">
        <f>IFERROR(__xludf.DUMMYFUNCTION("""COMPUTED_VALUE"""),0.0)</f>
        <v>0</v>
      </c>
      <c r="C209" s="26">
        <f>IFERROR(__xludf.DUMMYFUNCTION("""COMPUTED_VALUE"""),41.0)</f>
        <v>41</v>
      </c>
      <c r="D209" s="26">
        <f>IFERROR(__xludf.DUMMYFUNCTION("""COMPUTED_VALUE"""),0.0)</f>
        <v>0</v>
      </c>
      <c r="E209" s="26">
        <f>IFERROR(__xludf.DUMMYFUNCTION("""COMPUTED_VALUE"""),0.0)</f>
        <v>0</v>
      </c>
      <c r="F209" s="26">
        <f>IFERROR(__xludf.DUMMYFUNCTION("""COMPUTED_VALUE"""),0.0)</f>
        <v>0</v>
      </c>
      <c r="G209" s="26">
        <f>IFERROR(__xludf.DUMMYFUNCTION("""COMPUTED_VALUE"""),0.0)</f>
        <v>0</v>
      </c>
      <c r="H209" s="26">
        <f>IFERROR(__xludf.DUMMYFUNCTION("""COMPUTED_VALUE"""),0.0)</f>
        <v>0</v>
      </c>
      <c r="I209" s="26">
        <f>IFERROR(__xludf.DUMMYFUNCTION("""COMPUTED_VALUE"""),0.0)</f>
        <v>0</v>
      </c>
      <c r="J209" s="26">
        <f>IFERROR(__xludf.DUMMYFUNCTION("""COMPUTED_VALUE"""),0.0)</f>
        <v>0</v>
      </c>
      <c r="K209" s="26">
        <f>IFERROR(__xludf.DUMMYFUNCTION("""COMPUTED_VALUE"""),0.0)</f>
        <v>0</v>
      </c>
      <c r="L209" s="26">
        <f>IFERROR(__xludf.DUMMYFUNCTION("""COMPUTED_VALUE"""),0.0)</f>
        <v>0</v>
      </c>
      <c r="M209" s="26"/>
      <c r="N209" s="26"/>
      <c r="O209" s="26"/>
      <c r="P209" s="26"/>
      <c r="Q209" s="26"/>
      <c r="R209" s="26">
        <f>IFERROR(__xludf.DUMMYFUNCTION("""COMPUTED_VALUE"""),41.0)</f>
        <v>41</v>
      </c>
      <c r="S209" s="26">
        <f>IFERROR(__xludf.DUMMYFUNCTION("""COMPUTED_VALUE"""),28290.0)</f>
        <v>28290</v>
      </c>
      <c r="T209" s="26">
        <f>IFERROR(__xludf.DUMMYFUNCTION("""COMPUTED_VALUE"""),8405.0)</f>
        <v>8405</v>
      </c>
      <c r="U209" s="26">
        <f>IFERROR(__xludf.DUMMYFUNCTION("""COMPUTED_VALUE"""),12720.25)</f>
        <v>12720.25</v>
      </c>
      <c r="V209" s="26">
        <f>IFERROR(__xludf.DUMMYFUNCTION("""COMPUTED_VALUE"""),0.0)</f>
        <v>0</v>
      </c>
      <c r="W209" s="26">
        <f>IFERROR(__xludf.DUMMYFUNCTION("""COMPUTED_VALUE"""),0.0)</f>
        <v>0</v>
      </c>
      <c r="X209" s="26">
        <f>IFERROR(__xludf.DUMMYFUNCTION("""COMPUTED_VALUE"""),4315.25)</f>
        <v>4315.25</v>
      </c>
      <c r="Y209" s="26">
        <f>IFERROR(__xludf.DUMMYFUNCTION("""COMPUTED_VALUE"""),4315.25)</f>
        <v>4315.25</v>
      </c>
      <c r="Z209" s="26">
        <f>IFERROR(__xludf.DUMMYFUNCTION("""COMPUTED_VALUE"""),0.0)</f>
        <v>0</v>
      </c>
      <c r="AA209" s="26">
        <f>IFERROR(__xludf.DUMMYFUNCTION("""COMPUTED_VALUE"""),0.0)</f>
        <v>0</v>
      </c>
      <c r="AB209" s="26">
        <f>IFERROR(__xludf.DUMMYFUNCTION("""COMPUTED_VALUE"""),0.0)</f>
        <v>0</v>
      </c>
      <c r="AC209" s="26">
        <f>IFERROR(__xludf.DUMMYFUNCTION("""COMPUTED_VALUE"""),0.0)</f>
        <v>0</v>
      </c>
      <c r="AD209" s="26">
        <f>IFERROR(__xludf.DUMMYFUNCTION("""COMPUTED_VALUE"""),0.0)</f>
        <v>0</v>
      </c>
      <c r="AE209" s="26">
        <f>IFERROR(__xludf.DUMMYFUNCTION("""COMPUTED_VALUE"""),0.0)</f>
        <v>0</v>
      </c>
    </row>
    <row r="210">
      <c r="A210" s="26">
        <f>IFERROR(__xludf.DUMMYFUNCTION("""COMPUTED_VALUE"""),0.0)</f>
        <v>0</v>
      </c>
      <c r="B210" s="26">
        <f>IFERROR(__xludf.DUMMYFUNCTION("""COMPUTED_VALUE"""),0.0)</f>
        <v>0</v>
      </c>
      <c r="C210" s="26">
        <f>IFERROR(__xludf.DUMMYFUNCTION("""COMPUTED_VALUE"""),0.0)</f>
        <v>0</v>
      </c>
      <c r="D210" s="26">
        <f>IFERROR(__xludf.DUMMYFUNCTION("""COMPUTED_VALUE"""),0.0)</f>
        <v>0</v>
      </c>
      <c r="E210" s="26">
        <f>IFERROR(__xludf.DUMMYFUNCTION("""COMPUTED_VALUE"""),0.0)</f>
        <v>0</v>
      </c>
      <c r="F210" s="26">
        <f>IFERROR(__xludf.DUMMYFUNCTION("""COMPUTED_VALUE"""),0.0)</f>
        <v>0</v>
      </c>
      <c r="G210" s="26">
        <f>IFERROR(__xludf.DUMMYFUNCTION("""COMPUTED_VALUE"""),0.0)</f>
        <v>0</v>
      </c>
      <c r="H210" s="26">
        <f>IFERROR(__xludf.DUMMYFUNCTION("""COMPUTED_VALUE"""),0.0)</f>
        <v>0</v>
      </c>
      <c r="I210" s="26">
        <f>IFERROR(__xludf.DUMMYFUNCTION("""COMPUTED_VALUE"""),0.0)</f>
        <v>0</v>
      </c>
      <c r="J210" s="26">
        <f>IFERROR(__xludf.DUMMYFUNCTION("""COMPUTED_VALUE"""),0.0)</f>
        <v>0</v>
      </c>
      <c r="K210" s="26">
        <f>IFERROR(__xludf.DUMMYFUNCTION("""COMPUTED_VALUE"""),0.0)</f>
        <v>0</v>
      </c>
      <c r="L210" s="26">
        <f>IFERROR(__xludf.DUMMYFUNCTION("""COMPUTED_VALUE"""),0.0)</f>
        <v>0</v>
      </c>
      <c r="M210" s="26"/>
      <c r="N210" s="26"/>
      <c r="O210" s="26"/>
      <c r="P210" s="26"/>
      <c r="Q210" s="26"/>
      <c r="R210" s="26">
        <f>IFERROR(__xludf.DUMMYFUNCTION("""COMPUTED_VALUE"""),0.0)</f>
        <v>0</v>
      </c>
      <c r="S210" s="26">
        <f>IFERROR(__xludf.DUMMYFUNCTION("""COMPUTED_VALUE"""),0.0)</f>
        <v>0</v>
      </c>
      <c r="T210" s="26">
        <f>IFERROR(__xludf.DUMMYFUNCTION("""COMPUTED_VALUE"""),0.0)</f>
        <v>0</v>
      </c>
      <c r="U210" s="26">
        <f>IFERROR(__xludf.DUMMYFUNCTION("""COMPUTED_VALUE"""),0.0)</f>
        <v>0</v>
      </c>
      <c r="V210" s="26">
        <f>IFERROR(__xludf.DUMMYFUNCTION("""COMPUTED_VALUE"""),0.0)</f>
        <v>0</v>
      </c>
      <c r="W210" s="26">
        <f>IFERROR(__xludf.DUMMYFUNCTION("""COMPUTED_VALUE"""),0.0)</f>
        <v>0</v>
      </c>
      <c r="X210" s="26">
        <f>IFERROR(__xludf.DUMMYFUNCTION("""COMPUTED_VALUE"""),0.0)</f>
        <v>0</v>
      </c>
      <c r="Y210" s="26">
        <f>IFERROR(__xludf.DUMMYFUNCTION("""COMPUTED_VALUE"""),0.0)</f>
        <v>0</v>
      </c>
      <c r="Z210" s="26">
        <f>IFERROR(__xludf.DUMMYFUNCTION("""COMPUTED_VALUE"""),0.0)</f>
        <v>0</v>
      </c>
      <c r="AA210" s="26">
        <f>IFERROR(__xludf.DUMMYFUNCTION("""COMPUTED_VALUE"""),0.0)</f>
        <v>0</v>
      </c>
      <c r="AB210" s="26">
        <f>IFERROR(__xludf.DUMMYFUNCTION("""COMPUTED_VALUE"""),0.0)</f>
        <v>0</v>
      </c>
      <c r="AC210" s="26">
        <f>IFERROR(__xludf.DUMMYFUNCTION("""COMPUTED_VALUE"""),0.0)</f>
        <v>0</v>
      </c>
      <c r="AD210" s="26">
        <f>IFERROR(__xludf.DUMMYFUNCTION("""COMPUTED_VALUE"""),0.0)</f>
        <v>0</v>
      </c>
      <c r="AE210" s="26">
        <f>IFERROR(__xludf.DUMMYFUNCTION("""COMPUTED_VALUE"""),0.0)</f>
        <v>0</v>
      </c>
    </row>
    <row r="211">
      <c r="A211" s="26">
        <f>IFERROR(__xludf.DUMMYFUNCTION("""COMPUTED_VALUE"""),0.0)</f>
        <v>0</v>
      </c>
      <c r="B211" s="26">
        <f>IFERROR(__xludf.DUMMYFUNCTION("""COMPUTED_VALUE"""),0.0)</f>
        <v>0</v>
      </c>
      <c r="C211" s="26">
        <f>IFERROR(__xludf.DUMMYFUNCTION("""COMPUTED_VALUE"""),0.0)</f>
        <v>0</v>
      </c>
      <c r="D211" s="26">
        <f>IFERROR(__xludf.DUMMYFUNCTION("""COMPUTED_VALUE"""),0.0)</f>
        <v>0</v>
      </c>
      <c r="E211" s="26">
        <f>IFERROR(__xludf.DUMMYFUNCTION("""COMPUTED_VALUE"""),126.0)</f>
        <v>126</v>
      </c>
      <c r="F211" s="26">
        <f>IFERROR(__xludf.DUMMYFUNCTION("""COMPUTED_VALUE"""),0.0)</f>
        <v>0</v>
      </c>
      <c r="G211" s="26">
        <f>IFERROR(__xludf.DUMMYFUNCTION("""COMPUTED_VALUE"""),0.0)</f>
        <v>0</v>
      </c>
      <c r="H211" s="26">
        <f>IFERROR(__xludf.DUMMYFUNCTION("""COMPUTED_VALUE"""),0.0)</f>
        <v>0</v>
      </c>
      <c r="I211" s="26">
        <f>IFERROR(__xludf.DUMMYFUNCTION("""COMPUTED_VALUE"""),0.0)</f>
        <v>0</v>
      </c>
      <c r="J211" s="26">
        <f>IFERROR(__xludf.DUMMYFUNCTION("""COMPUTED_VALUE"""),0.0)</f>
        <v>0</v>
      </c>
      <c r="K211" s="26">
        <f>IFERROR(__xludf.DUMMYFUNCTION("""COMPUTED_VALUE"""),0.0)</f>
        <v>0</v>
      </c>
      <c r="L211" s="26">
        <f>IFERROR(__xludf.DUMMYFUNCTION("""COMPUTED_VALUE"""),0.0)</f>
        <v>0</v>
      </c>
      <c r="M211" s="26"/>
      <c r="N211" s="26"/>
      <c r="O211" s="26"/>
      <c r="P211" s="26"/>
      <c r="Q211" s="26"/>
      <c r="R211" s="26">
        <f>IFERROR(__xludf.DUMMYFUNCTION("""COMPUTED_VALUE"""),126.0)</f>
        <v>126</v>
      </c>
      <c r="S211" s="26">
        <f>IFERROR(__xludf.DUMMYFUNCTION("""COMPUTED_VALUE"""),57985.19999999988)</f>
        <v>57985.2</v>
      </c>
      <c r="T211" s="26">
        <f>IFERROR(__xludf.DUMMYFUNCTION("""COMPUTED_VALUE"""),49140.0)</f>
        <v>49140</v>
      </c>
      <c r="U211" s="26">
        <f>IFERROR(__xludf.DUMMYFUNCTION("""COMPUTED_VALUE"""),57985.19999999999)</f>
        <v>57985.2</v>
      </c>
      <c r="V211" s="26">
        <f>IFERROR(__xludf.DUMMYFUNCTION("""COMPUTED_VALUE"""),0.0)</f>
        <v>0</v>
      </c>
      <c r="W211" s="26">
        <f>IFERROR(__xludf.DUMMYFUNCTION("""COMPUTED_VALUE"""),0.0)</f>
        <v>0</v>
      </c>
      <c r="X211" s="26">
        <f>IFERROR(__xludf.DUMMYFUNCTION("""COMPUTED_VALUE"""),8845.199999999992)</f>
        <v>8845.2</v>
      </c>
      <c r="Y211" s="26">
        <f>IFERROR(__xludf.DUMMYFUNCTION("""COMPUTED_VALUE"""),8845.199999999992)</f>
        <v>8845.2</v>
      </c>
      <c r="Z211" s="26">
        <f>IFERROR(__xludf.DUMMYFUNCTION("""COMPUTED_VALUE"""),57985.19999999988)</f>
        <v>57985.2</v>
      </c>
      <c r="AA211" s="26">
        <f>IFERROR(__xludf.DUMMYFUNCTION("""COMPUTED_VALUE"""),57985.19999999988)</f>
        <v>57985.2</v>
      </c>
      <c r="AB211" s="26">
        <f>IFERROR(__xludf.DUMMYFUNCTION("""COMPUTED_VALUE"""),0.0)</f>
        <v>0</v>
      </c>
      <c r="AC211" s="26">
        <f>IFERROR(__xludf.DUMMYFUNCTION("""COMPUTED_VALUE"""),0.0)</f>
        <v>0</v>
      </c>
      <c r="AD211" s="26">
        <f>IFERROR(__xludf.DUMMYFUNCTION("""COMPUTED_VALUE"""),0.0)</f>
        <v>0</v>
      </c>
      <c r="AE211" s="26">
        <f>IFERROR(__xludf.DUMMYFUNCTION("""COMPUTED_VALUE"""),0.0)</f>
        <v>0</v>
      </c>
    </row>
    <row r="212">
      <c r="A212" s="26">
        <f>IFERROR(__xludf.DUMMYFUNCTION("""COMPUTED_VALUE"""),0.0)</f>
        <v>0</v>
      </c>
      <c r="B212" s="26">
        <f>IFERROR(__xludf.DUMMYFUNCTION("""COMPUTED_VALUE"""),0.0)</f>
        <v>0</v>
      </c>
      <c r="C212" s="26">
        <f>IFERROR(__xludf.DUMMYFUNCTION("""COMPUTED_VALUE"""),0.0)</f>
        <v>0</v>
      </c>
      <c r="D212" s="26">
        <f>IFERROR(__xludf.DUMMYFUNCTION("""COMPUTED_VALUE"""),0.0)</f>
        <v>0</v>
      </c>
      <c r="E212" s="26">
        <f>IFERROR(__xludf.DUMMYFUNCTION("""COMPUTED_VALUE"""),0.0)</f>
        <v>0</v>
      </c>
      <c r="F212" s="26">
        <f>IFERROR(__xludf.DUMMYFUNCTION("""COMPUTED_VALUE"""),0.0)</f>
        <v>0</v>
      </c>
      <c r="G212" s="26">
        <f>IFERROR(__xludf.DUMMYFUNCTION("""COMPUTED_VALUE"""),0.0)</f>
        <v>0</v>
      </c>
      <c r="H212" s="26">
        <f>IFERROR(__xludf.DUMMYFUNCTION("""COMPUTED_VALUE"""),0.0)</f>
        <v>0</v>
      </c>
      <c r="I212" s="26">
        <f>IFERROR(__xludf.DUMMYFUNCTION("""COMPUTED_VALUE"""),0.0)</f>
        <v>0</v>
      </c>
      <c r="J212" s="26">
        <f>IFERROR(__xludf.DUMMYFUNCTION("""COMPUTED_VALUE"""),0.0)</f>
        <v>0</v>
      </c>
      <c r="K212" s="26">
        <f>IFERROR(__xludf.DUMMYFUNCTION("""COMPUTED_VALUE"""),0.0)</f>
        <v>0</v>
      </c>
      <c r="L212" s="26">
        <f>IFERROR(__xludf.DUMMYFUNCTION("""COMPUTED_VALUE"""),0.0)</f>
        <v>0</v>
      </c>
      <c r="M212" s="26"/>
      <c r="N212" s="26"/>
      <c r="O212" s="26"/>
      <c r="P212" s="26"/>
      <c r="Q212" s="26"/>
      <c r="R212" s="26">
        <f>IFERROR(__xludf.DUMMYFUNCTION("""COMPUTED_VALUE"""),0.0)</f>
        <v>0</v>
      </c>
      <c r="S212" s="26">
        <f>IFERROR(__xludf.DUMMYFUNCTION("""COMPUTED_VALUE"""),0.0)</f>
        <v>0</v>
      </c>
      <c r="T212" s="26">
        <f>IFERROR(__xludf.DUMMYFUNCTION("""COMPUTED_VALUE"""),0.0)</f>
        <v>0</v>
      </c>
      <c r="U212" s="26">
        <f>IFERROR(__xludf.DUMMYFUNCTION("""COMPUTED_VALUE"""),0.0)</f>
        <v>0</v>
      </c>
      <c r="V212" s="26">
        <f>IFERROR(__xludf.DUMMYFUNCTION("""COMPUTED_VALUE"""),0.0)</f>
        <v>0</v>
      </c>
      <c r="W212" s="26">
        <f>IFERROR(__xludf.DUMMYFUNCTION("""COMPUTED_VALUE"""),0.0)</f>
        <v>0</v>
      </c>
      <c r="X212" s="26">
        <f>IFERROR(__xludf.DUMMYFUNCTION("""COMPUTED_VALUE"""),0.0)</f>
        <v>0</v>
      </c>
      <c r="Y212" s="26">
        <f>IFERROR(__xludf.DUMMYFUNCTION("""COMPUTED_VALUE"""),0.0)</f>
        <v>0</v>
      </c>
      <c r="Z212" s="26">
        <f>IFERROR(__xludf.DUMMYFUNCTION("""COMPUTED_VALUE"""),0.0)</f>
        <v>0</v>
      </c>
      <c r="AA212" s="26">
        <f>IFERROR(__xludf.DUMMYFUNCTION("""COMPUTED_VALUE"""),0.0)</f>
        <v>0</v>
      </c>
      <c r="AB212" s="26">
        <f>IFERROR(__xludf.DUMMYFUNCTION("""COMPUTED_VALUE"""),0.0)</f>
        <v>0</v>
      </c>
      <c r="AC212" s="26">
        <f>IFERROR(__xludf.DUMMYFUNCTION("""COMPUTED_VALUE"""),0.0)</f>
        <v>0</v>
      </c>
      <c r="AD212" s="26">
        <f>IFERROR(__xludf.DUMMYFUNCTION("""COMPUTED_VALUE"""),0.0)</f>
        <v>0</v>
      </c>
      <c r="AE212" s="26">
        <f>IFERROR(__xludf.DUMMYFUNCTION("""COMPUTED_VALUE"""),0.0)</f>
        <v>0</v>
      </c>
    </row>
    <row r="213">
      <c r="A213" s="26">
        <f>IFERROR(__xludf.DUMMYFUNCTION("""COMPUTED_VALUE"""),3.0)</f>
        <v>3</v>
      </c>
      <c r="B213" s="26">
        <f>IFERROR(__xludf.DUMMYFUNCTION("""COMPUTED_VALUE"""),0.0)</f>
        <v>0</v>
      </c>
      <c r="C213" s="26">
        <f>IFERROR(__xludf.DUMMYFUNCTION("""COMPUTED_VALUE"""),33.0)</f>
        <v>33</v>
      </c>
      <c r="D213" s="26">
        <f>IFERROR(__xludf.DUMMYFUNCTION("""COMPUTED_VALUE"""),0.0)</f>
        <v>0</v>
      </c>
      <c r="E213" s="26">
        <f>IFERROR(__xludf.DUMMYFUNCTION("""COMPUTED_VALUE"""),0.0)</f>
        <v>0</v>
      </c>
      <c r="F213" s="26">
        <f>IFERROR(__xludf.DUMMYFUNCTION("""COMPUTED_VALUE"""),0.0)</f>
        <v>0</v>
      </c>
      <c r="G213" s="26">
        <f>IFERROR(__xludf.DUMMYFUNCTION("""COMPUTED_VALUE"""),0.0)</f>
        <v>0</v>
      </c>
      <c r="H213" s="26">
        <f>IFERROR(__xludf.DUMMYFUNCTION("""COMPUTED_VALUE"""),0.0)</f>
        <v>0</v>
      </c>
      <c r="I213" s="26">
        <f>IFERROR(__xludf.DUMMYFUNCTION("""COMPUTED_VALUE"""),0.0)</f>
        <v>0</v>
      </c>
      <c r="J213" s="26">
        <f>IFERROR(__xludf.DUMMYFUNCTION("""COMPUTED_VALUE"""),0.0)</f>
        <v>0</v>
      </c>
      <c r="K213" s="26">
        <f>IFERROR(__xludf.DUMMYFUNCTION("""COMPUTED_VALUE"""),0.0)</f>
        <v>0</v>
      </c>
      <c r="L213" s="26">
        <f>IFERROR(__xludf.DUMMYFUNCTION("""COMPUTED_VALUE"""),0.0)</f>
        <v>0</v>
      </c>
      <c r="M213" s="26"/>
      <c r="N213" s="26"/>
      <c r="O213" s="26"/>
      <c r="P213" s="26"/>
      <c r="Q213" s="26"/>
      <c r="R213" s="26">
        <f>IFERROR(__xludf.DUMMYFUNCTION("""COMPUTED_VALUE"""),36.0)</f>
        <v>36</v>
      </c>
      <c r="S213" s="26">
        <f>IFERROR(__xludf.DUMMYFUNCTION("""COMPUTED_VALUE"""),14144.0)</f>
        <v>14144</v>
      </c>
      <c r="T213" s="26">
        <f>IFERROR(__xludf.DUMMYFUNCTION("""COMPUTED_VALUE"""),6660.0)</f>
        <v>6660</v>
      </c>
      <c r="U213" s="26">
        <f>IFERROR(__xludf.DUMMYFUNCTION("""COMPUTED_VALUE"""),8817.5)</f>
        <v>8817.5</v>
      </c>
      <c r="V213" s="26">
        <f>IFERROR(__xludf.DUMMYFUNCTION("""COMPUTED_VALUE"""),0.0)</f>
        <v>0</v>
      </c>
      <c r="W213" s="26">
        <f>IFERROR(__xludf.DUMMYFUNCTION("""COMPUTED_VALUE"""),0.0)</f>
        <v>0</v>
      </c>
      <c r="X213" s="26">
        <f>IFERROR(__xludf.DUMMYFUNCTION("""COMPUTED_VALUE"""),2157.5)</f>
        <v>2157.5</v>
      </c>
      <c r="Y213" s="26">
        <f>IFERROR(__xludf.DUMMYFUNCTION("""COMPUTED_VALUE"""),2157.5)</f>
        <v>2157.5</v>
      </c>
      <c r="Z213" s="26">
        <f>IFERROR(__xludf.DUMMYFUNCTION("""COMPUTED_VALUE"""),13963.9)</f>
        <v>13963.9</v>
      </c>
      <c r="AA213" s="26">
        <f>IFERROR(__xludf.DUMMYFUNCTION("""COMPUTED_VALUE"""),9083.980000000009)</f>
        <v>9083.98</v>
      </c>
      <c r="AB213" s="26">
        <f>IFERROR(__xludf.DUMMYFUNCTION("""COMPUTED_VALUE"""),5326.500000000005)</f>
        <v>5326.5</v>
      </c>
      <c r="AC213" s="26">
        <f>IFERROR(__xludf.DUMMYFUNCTION("""COMPUTED_VALUE"""),180.1)</f>
        <v>180.1</v>
      </c>
      <c r="AD213" s="26">
        <f>IFERROR(__xludf.DUMMYFUNCTION("""COMPUTED_VALUE"""),266.47999999999996)</f>
        <v>266.48</v>
      </c>
      <c r="AE213" s="26">
        <f>IFERROR(__xludf.DUMMYFUNCTION("""COMPUTED_VALUE"""),4879.919999999998)</f>
        <v>4879.92</v>
      </c>
    </row>
    <row r="214">
      <c r="A214" s="26">
        <f>IFERROR(__xludf.DUMMYFUNCTION("""COMPUTED_VALUE"""),437.0)</f>
        <v>437</v>
      </c>
      <c r="B214" s="26">
        <f>IFERROR(__xludf.DUMMYFUNCTION("""COMPUTED_VALUE"""),0.0)</f>
        <v>0</v>
      </c>
      <c r="C214" s="26">
        <f>IFERROR(__xludf.DUMMYFUNCTION("""COMPUTED_VALUE"""),0.0)</f>
        <v>0</v>
      </c>
      <c r="D214" s="26">
        <f>IFERROR(__xludf.DUMMYFUNCTION("""COMPUTED_VALUE"""),0.0)</f>
        <v>0</v>
      </c>
      <c r="E214" s="26">
        <f>IFERROR(__xludf.DUMMYFUNCTION("""COMPUTED_VALUE"""),0.0)</f>
        <v>0</v>
      </c>
      <c r="F214" s="26">
        <f>IFERROR(__xludf.DUMMYFUNCTION("""COMPUTED_VALUE"""),0.0)</f>
        <v>0</v>
      </c>
      <c r="G214" s="26">
        <f>IFERROR(__xludf.DUMMYFUNCTION("""COMPUTED_VALUE"""),0.0)</f>
        <v>0</v>
      </c>
      <c r="H214" s="26">
        <f>IFERROR(__xludf.DUMMYFUNCTION("""COMPUTED_VALUE"""),0.0)</f>
        <v>0</v>
      </c>
      <c r="I214" s="26">
        <f>IFERROR(__xludf.DUMMYFUNCTION("""COMPUTED_VALUE"""),0.0)</f>
        <v>0</v>
      </c>
      <c r="J214" s="26">
        <f>IFERROR(__xludf.DUMMYFUNCTION("""COMPUTED_VALUE"""),0.0)</f>
        <v>0</v>
      </c>
      <c r="K214" s="26">
        <f>IFERROR(__xludf.DUMMYFUNCTION("""COMPUTED_VALUE"""),0.0)</f>
        <v>0</v>
      </c>
      <c r="L214" s="26">
        <f>IFERROR(__xludf.DUMMYFUNCTION("""COMPUTED_VALUE"""),0.0)</f>
        <v>0</v>
      </c>
      <c r="M214" s="26"/>
      <c r="N214" s="26"/>
      <c r="O214" s="26"/>
      <c r="P214" s="26"/>
      <c r="Q214" s="26"/>
      <c r="R214" s="26">
        <f>IFERROR(__xludf.DUMMYFUNCTION("""COMPUTED_VALUE"""),437.0)</f>
        <v>437</v>
      </c>
      <c r="S214" s="26">
        <f>IFERROR(__xludf.DUMMYFUNCTION("""COMPUTED_VALUE"""),170430.0)</f>
        <v>170430</v>
      </c>
      <c r="T214" s="26">
        <f>IFERROR(__xludf.DUMMYFUNCTION("""COMPUTED_VALUE"""),89585.0)</f>
        <v>89585</v>
      </c>
      <c r="U214" s="26">
        <f>IFERROR(__xludf.DUMMYFUNCTION("""COMPUTED_VALUE"""),115582.13000000021)</f>
        <v>115582.13</v>
      </c>
      <c r="V214" s="26">
        <f>IFERROR(__xludf.DUMMYFUNCTION("""COMPUTED_VALUE"""),0.0)</f>
        <v>0</v>
      </c>
      <c r="W214" s="26">
        <f>IFERROR(__xludf.DUMMYFUNCTION("""COMPUTED_VALUE"""),0.0)</f>
        <v>0</v>
      </c>
      <c r="X214" s="26">
        <f>IFERROR(__xludf.DUMMYFUNCTION("""COMPUTED_VALUE"""),25997.13000000021)</f>
        <v>25997.13</v>
      </c>
      <c r="Y214" s="26">
        <f>IFERROR(__xludf.DUMMYFUNCTION("""COMPUTED_VALUE"""),25997.13000000021)</f>
        <v>25997.13</v>
      </c>
      <c r="Z214" s="26">
        <f>IFERROR(__xludf.DUMMYFUNCTION("""COMPUTED_VALUE"""),170430.0)</f>
        <v>170430</v>
      </c>
      <c r="AA214" s="26">
        <f>IFERROR(__xludf.DUMMYFUNCTION("""COMPUTED_VALUE"""),118326.49000000046)</f>
        <v>118326.49</v>
      </c>
      <c r="AB214" s="26">
        <f>IFERROR(__xludf.DUMMYFUNCTION("""COMPUTED_VALUE"""),54847.87000000017)</f>
        <v>54847.87</v>
      </c>
      <c r="AC214" s="26">
        <f>IFERROR(__xludf.DUMMYFUNCTION("""COMPUTED_VALUE"""),0.0)</f>
        <v>0</v>
      </c>
      <c r="AD214" s="26">
        <f>IFERROR(__xludf.DUMMYFUNCTION("""COMPUTED_VALUE"""),2744.360000000014)</f>
        <v>2744.36</v>
      </c>
      <c r="AE214" s="26">
        <f>IFERROR(__xludf.DUMMYFUNCTION("""COMPUTED_VALUE"""),52103.51000000042)</f>
        <v>52103.51</v>
      </c>
    </row>
    <row r="215">
      <c r="A215" s="26">
        <f>IFERROR(__xludf.DUMMYFUNCTION("""COMPUTED_VALUE"""),0.0)</f>
        <v>0</v>
      </c>
      <c r="B215" s="26">
        <f>IFERROR(__xludf.DUMMYFUNCTION("""COMPUTED_VALUE"""),0.0)</f>
        <v>0</v>
      </c>
      <c r="C215" s="26">
        <f>IFERROR(__xludf.DUMMYFUNCTION("""COMPUTED_VALUE"""),0.0)</f>
        <v>0</v>
      </c>
      <c r="D215" s="26">
        <f>IFERROR(__xludf.DUMMYFUNCTION("""COMPUTED_VALUE"""),0.0)</f>
        <v>0</v>
      </c>
      <c r="E215" s="26">
        <f>IFERROR(__xludf.DUMMYFUNCTION("""COMPUTED_VALUE"""),0.0)</f>
        <v>0</v>
      </c>
      <c r="F215" s="26">
        <f>IFERROR(__xludf.DUMMYFUNCTION("""COMPUTED_VALUE"""),0.0)</f>
        <v>0</v>
      </c>
      <c r="G215" s="26">
        <f>IFERROR(__xludf.DUMMYFUNCTION("""COMPUTED_VALUE"""),0.0)</f>
        <v>0</v>
      </c>
      <c r="H215" s="26">
        <f>IFERROR(__xludf.DUMMYFUNCTION("""COMPUTED_VALUE"""),0.0)</f>
        <v>0</v>
      </c>
      <c r="I215" s="26">
        <f>IFERROR(__xludf.DUMMYFUNCTION("""COMPUTED_VALUE"""),0.0)</f>
        <v>0</v>
      </c>
      <c r="J215" s="26">
        <f>IFERROR(__xludf.DUMMYFUNCTION("""COMPUTED_VALUE"""),0.0)</f>
        <v>0</v>
      </c>
      <c r="K215" s="26">
        <f>IFERROR(__xludf.DUMMYFUNCTION("""COMPUTED_VALUE"""),0.0)</f>
        <v>0</v>
      </c>
      <c r="L215" s="26">
        <f>IFERROR(__xludf.DUMMYFUNCTION("""COMPUTED_VALUE"""),0.0)</f>
        <v>0</v>
      </c>
      <c r="M215" s="26"/>
      <c r="N215" s="26"/>
      <c r="O215" s="26"/>
      <c r="P215" s="26"/>
      <c r="Q215" s="26"/>
      <c r="R215" s="26">
        <f>IFERROR(__xludf.DUMMYFUNCTION("""COMPUTED_VALUE"""),0.0)</f>
        <v>0</v>
      </c>
      <c r="S215" s="26">
        <f>IFERROR(__xludf.DUMMYFUNCTION("""COMPUTED_VALUE"""),0.0)</f>
        <v>0</v>
      </c>
      <c r="T215" s="26">
        <f>IFERROR(__xludf.DUMMYFUNCTION("""COMPUTED_VALUE"""),0.0)</f>
        <v>0</v>
      </c>
      <c r="U215" s="26">
        <f>IFERROR(__xludf.DUMMYFUNCTION("""COMPUTED_VALUE"""),0.0)</f>
        <v>0</v>
      </c>
      <c r="V215" s="26">
        <f>IFERROR(__xludf.DUMMYFUNCTION("""COMPUTED_VALUE"""),0.0)</f>
        <v>0</v>
      </c>
      <c r="W215" s="26">
        <f>IFERROR(__xludf.DUMMYFUNCTION("""COMPUTED_VALUE"""),0.0)</f>
        <v>0</v>
      </c>
      <c r="X215" s="26">
        <f>IFERROR(__xludf.DUMMYFUNCTION("""COMPUTED_VALUE"""),0.0)</f>
        <v>0</v>
      </c>
      <c r="Y215" s="26">
        <f>IFERROR(__xludf.DUMMYFUNCTION("""COMPUTED_VALUE"""),0.0)</f>
        <v>0</v>
      </c>
      <c r="Z215" s="26">
        <f>IFERROR(__xludf.DUMMYFUNCTION("""COMPUTED_VALUE"""),0.0)</f>
        <v>0</v>
      </c>
      <c r="AA215" s="26">
        <f>IFERROR(__xludf.DUMMYFUNCTION("""COMPUTED_VALUE"""),0.0)</f>
        <v>0</v>
      </c>
      <c r="AB215" s="26">
        <f>IFERROR(__xludf.DUMMYFUNCTION("""COMPUTED_VALUE"""),0.0)</f>
        <v>0</v>
      </c>
      <c r="AC215" s="26">
        <f>IFERROR(__xludf.DUMMYFUNCTION("""COMPUTED_VALUE"""),0.0)</f>
        <v>0</v>
      </c>
      <c r="AD215" s="26">
        <f>IFERROR(__xludf.DUMMYFUNCTION("""COMPUTED_VALUE"""),0.0)</f>
        <v>0</v>
      </c>
      <c r="AE215" s="26">
        <f>IFERROR(__xludf.DUMMYFUNCTION("""COMPUTED_VALUE"""),0.0)</f>
        <v>0</v>
      </c>
    </row>
    <row r="216">
      <c r="A216" s="26">
        <f>IFERROR(__xludf.DUMMYFUNCTION("""COMPUTED_VALUE"""),0.0)</f>
        <v>0</v>
      </c>
      <c r="B216" s="26">
        <f>IFERROR(__xludf.DUMMYFUNCTION("""COMPUTED_VALUE"""),0.0)</f>
        <v>0</v>
      </c>
      <c r="C216" s="26">
        <f>IFERROR(__xludf.DUMMYFUNCTION("""COMPUTED_VALUE"""),0.0)</f>
        <v>0</v>
      </c>
      <c r="D216" s="26">
        <f>IFERROR(__xludf.DUMMYFUNCTION("""COMPUTED_VALUE"""),0.0)</f>
        <v>0</v>
      </c>
      <c r="E216" s="26">
        <f>IFERROR(__xludf.DUMMYFUNCTION("""COMPUTED_VALUE"""),0.0)</f>
        <v>0</v>
      </c>
      <c r="F216" s="26">
        <f>IFERROR(__xludf.DUMMYFUNCTION("""COMPUTED_VALUE"""),0.0)</f>
        <v>0</v>
      </c>
      <c r="G216" s="26">
        <f>IFERROR(__xludf.DUMMYFUNCTION("""COMPUTED_VALUE"""),0.0)</f>
        <v>0</v>
      </c>
      <c r="H216" s="26">
        <f>IFERROR(__xludf.DUMMYFUNCTION("""COMPUTED_VALUE"""),0.0)</f>
        <v>0</v>
      </c>
      <c r="I216" s="26">
        <f>IFERROR(__xludf.DUMMYFUNCTION("""COMPUTED_VALUE"""),0.0)</f>
        <v>0</v>
      </c>
      <c r="J216" s="26">
        <f>IFERROR(__xludf.DUMMYFUNCTION("""COMPUTED_VALUE"""),0.0)</f>
        <v>0</v>
      </c>
      <c r="K216" s="26">
        <f>IFERROR(__xludf.DUMMYFUNCTION("""COMPUTED_VALUE"""),0.0)</f>
        <v>0</v>
      </c>
      <c r="L216" s="26">
        <f>IFERROR(__xludf.DUMMYFUNCTION("""COMPUTED_VALUE"""),0.0)</f>
        <v>0</v>
      </c>
      <c r="M216" s="26"/>
      <c r="N216" s="26"/>
      <c r="O216" s="26"/>
      <c r="P216" s="26"/>
      <c r="Q216" s="26"/>
      <c r="R216" s="26">
        <f>IFERROR(__xludf.DUMMYFUNCTION("""COMPUTED_VALUE"""),0.0)</f>
        <v>0</v>
      </c>
      <c r="S216" s="26">
        <f>IFERROR(__xludf.DUMMYFUNCTION("""COMPUTED_VALUE"""),0.0)</f>
        <v>0</v>
      </c>
      <c r="T216" s="26">
        <f>IFERROR(__xludf.DUMMYFUNCTION("""COMPUTED_VALUE"""),0.0)</f>
        <v>0</v>
      </c>
      <c r="U216" s="26">
        <f>IFERROR(__xludf.DUMMYFUNCTION("""COMPUTED_VALUE"""),0.0)</f>
        <v>0</v>
      </c>
      <c r="V216" s="26">
        <f>IFERROR(__xludf.DUMMYFUNCTION("""COMPUTED_VALUE"""),0.0)</f>
        <v>0</v>
      </c>
      <c r="W216" s="26">
        <f>IFERROR(__xludf.DUMMYFUNCTION("""COMPUTED_VALUE"""),0.0)</f>
        <v>0</v>
      </c>
      <c r="X216" s="26">
        <f>IFERROR(__xludf.DUMMYFUNCTION("""COMPUTED_VALUE"""),0.0)</f>
        <v>0</v>
      </c>
      <c r="Y216" s="26">
        <f>IFERROR(__xludf.DUMMYFUNCTION("""COMPUTED_VALUE"""),0.0)</f>
        <v>0</v>
      </c>
      <c r="Z216" s="26">
        <f>IFERROR(__xludf.DUMMYFUNCTION("""COMPUTED_VALUE"""),0.0)</f>
        <v>0</v>
      </c>
      <c r="AA216" s="26">
        <f>IFERROR(__xludf.DUMMYFUNCTION("""COMPUTED_VALUE"""),0.0)</f>
        <v>0</v>
      </c>
      <c r="AB216" s="26">
        <f>IFERROR(__xludf.DUMMYFUNCTION("""COMPUTED_VALUE"""),0.0)</f>
        <v>0</v>
      </c>
      <c r="AC216" s="26">
        <f>IFERROR(__xludf.DUMMYFUNCTION("""COMPUTED_VALUE"""),0.0)</f>
        <v>0</v>
      </c>
      <c r="AD216" s="26">
        <f>IFERROR(__xludf.DUMMYFUNCTION("""COMPUTED_VALUE"""),0.0)</f>
        <v>0</v>
      </c>
      <c r="AE216" s="26">
        <f>IFERROR(__xludf.DUMMYFUNCTION("""COMPUTED_VALUE"""),0.0)</f>
        <v>0</v>
      </c>
    </row>
    <row r="217">
      <c r="A217" s="26">
        <f>IFERROR(__xludf.DUMMYFUNCTION("""COMPUTED_VALUE"""),0.0)</f>
        <v>0</v>
      </c>
      <c r="B217" s="26">
        <f>IFERROR(__xludf.DUMMYFUNCTION("""COMPUTED_VALUE"""),0.0)</f>
        <v>0</v>
      </c>
      <c r="C217" s="26">
        <f>IFERROR(__xludf.DUMMYFUNCTION("""COMPUTED_VALUE"""),980.0)</f>
        <v>980</v>
      </c>
      <c r="D217" s="26">
        <f>IFERROR(__xludf.DUMMYFUNCTION("""COMPUTED_VALUE"""),0.0)</f>
        <v>0</v>
      </c>
      <c r="E217" s="26">
        <f>IFERROR(__xludf.DUMMYFUNCTION("""COMPUTED_VALUE"""),0.0)</f>
        <v>0</v>
      </c>
      <c r="F217" s="26">
        <f>IFERROR(__xludf.DUMMYFUNCTION("""COMPUTED_VALUE"""),0.0)</f>
        <v>0</v>
      </c>
      <c r="G217" s="26">
        <f>IFERROR(__xludf.DUMMYFUNCTION("""COMPUTED_VALUE"""),0.0)</f>
        <v>0</v>
      </c>
      <c r="H217" s="26">
        <f>IFERROR(__xludf.DUMMYFUNCTION("""COMPUTED_VALUE"""),0.0)</f>
        <v>0</v>
      </c>
      <c r="I217" s="26">
        <f>IFERROR(__xludf.DUMMYFUNCTION("""COMPUTED_VALUE"""),0.0)</f>
        <v>0</v>
      </c>
      <c r="J217" s="26">
        <f>IFERROR(__xludf.DUMMYFUNCTION("""COMPUTED_VALUE"""),0.0)</f>
        <v>0</v>
      </c>
      <c r="K217" s="26">
        <f>IFERROR(__xludf.DUMMYFUNCTION("""COMPUTED_VALUE"""),0.0)</f>
        <v>0</v>
      </c>
      <c r="L217" s="26">
        <f>IFERROR(__xludf.DUMMYFUNCTION("""COMPUTED_VALUE"""),0.0)</f>
        <v>0</v>
      </c>
      <c r="M217" s="26"/>
      <c r="N217" s="26"/>
      <c r="O217" s="26"/>
      <c r="P217" s="26"/>
      <c r="Q217" s="26"/>
      <c r="R217" s="26">
        <f>IFERROR(__xludf.DUMMYFUNCTION("""COMPUTED_VALUE"""),980.0)</f>
        <v>980</v>
      </c>
      <c r="S217" s="26">
        <f>IFERROR(__xludf.DUMMYFUNCTION("""COMPUTED_VALUE"""),675952.0)</f>
        <v>675952</v>
      </c>
      <c r="T217" s="26">
        <f>IFERROR(__xludf.DUMMYFUNCTION("""COMPUTED_VALUE"""),147055.0)</f>
        <v>147055</v>
      </c>
      <c r="U217" s="26">
        <f>IFERROR(__xludf.DUMMYFUNCTION("""COMPUTED_VALUE"""),250162.16999999998)</f>
        <v>250162.17</v>
      </c>
      <c r="V217" s="26">
        <f>IFERROR(__xludf.DUMMYFUNCTION("""COMPUTED_VALUE"""),0.0)</f>
        <v>0</v>
      </c>
      <c r="W217" s="26">
        <f>IFERROR(__xludf.DUMMYFUNCTION("""COMPUTED_VALUE"""),0.0)</f>
        <v>0</v>
      </c>
      <c r="X217" s="26">
        <f>IFERROR(__xludf.DUMMYFUNCTION("""COMPUTED_VALUE"""),103107.17)</f>
        <v>103107.17</v>
      </c>
      <c r="Y217" s="26">
        <f>IFERROR(__xludf.DUMMYFUNCTION("""COMPUTED_VALUE"""),103107.17)</f>
        <v>103107.17</v>
      </c>
      <c r="Z217" s="26">
        <f>IFERROR(__xludf.DUMMYFUNCTION("""COMPUTED_VALUE"""),675952.0)</f>
        <v>675952</v>
      </c>
      <c r="AA217" s="26">
        <f>IFERROR(__xludf.DUMMYFUNCTION("""COMPUTED_VALUE"""),271454.1099999964)</f>
        <v>271454.11</v>
      </c>
      <c r="AB217" s="26">
        <f>IFERROR(__xludf.DUMMYFUNCTION("""COMPUTED_VALUE"""),425789.83)</f>
        <v>425789.83</v>
      </c>
      <c r="AC217" s="26">
        <f>IFERROR(__xludf.DUMMYFUNCTION("""COMPUTED_VALUE"""),0.0)</f>
        <v>0</v>
      </c>
      <c r="AD217" s="26">
        <f>IFERROR(__xludf.DUMMYFUNCTION("""COMPUTED_VALUE"""),21291.940000000217)</f>
        <v>21291.94</v>
      </c>
      <c r="AE217" s="26">
        <f>IFERROR(__xludf.DUMMYFUNCTION("""COMPUTED_VALUE"""),404497.8900000054)</f>
        <v>404497.89</v>
      </c>
    </row>
    <row r="218">
      <c r="A218" s="26">
        <f>IFERROR(__xludf.DUMMYFUNCTION("""COMPUTED_VALUE"""),291.0)</f>
        <v>291</v>
      </c>
      <c r="B218" s="26">
        <f>IFERROR(__xludf.DUMMYFUNCTION("""COMPUTED_VALUE"""),0.0)</f>
        <v>0</v>
      </c>
      <c r="C218" s="26">
        <f>IFERROR(__xludf.DUMMYFUNCTION("""COMPUTED_VALUE"""),0.0)</f>
        <v>0</v>
      </c>
      <c r="D218" s="26">
        <f>IFERROR(__xludf.DUMMYFUNCTION("""COMPUTED_VALUE"""),0.0)</f>
        <v>0</v>
      </c>
      <c r="E218" s="26">
        <f>IFERROR(__xludf.DUMMYFUNCTION("""COMPUTED_VALUE"""),0.0)</f>
        <v>0</v>
      </c>
      <c r="F218" s="26">
        <f>IFERROR(__xludf.DUMMYFUNCTION("""COMPUTED_VALUE"""),0.0)</f>
        <v>0</v>
      </c>
      <c r="G218" s="26">
        <f>IFERROR(__xludf.DUMMYFUNCTION("""COMPUTED_VALUE"""),0.0)</f>
        <v>0</v>
      </c>
      <c r="H218" s="26">
        <f>IFERROR(__xludf.DUMMYFUNCTION("""COMPUTED_VALUE"""),0.0)</f>
        <v>0</v>
      </c>
      <c r="I218" s="26">
        <f>IFERROR(__xludf.DUMMYFUNCTION("""COMPUTED_VALUE"""),0.0)</f>
        <v>0</v>
      </c>
      <c r="J218" s="26">
        <f>IFERROR(__xludf.DUMMYFUNCTION("""COMPUTED_VALUE"""),0.0)</f>
        <v>0</v>
      </c>
      <c r="K218" s="26">
        <f>IFERROR(__xludf.DUMMYFUNCTION("""COMPUTED_VALUE"""),0.0)</f>
        <v>0</v>
      </c>
      <c r="L218" s="26">
        <f>IFERROR(__xludf.DUMMYFUNCTION("""COMPUTED_VALUE"""),0.0)</f>
        <v>0</v>
      </c>
      <c r="M218" s="26"/>
      <c r="N218" s="26"/>
      <c r="O218" s="26"/>
      <c r="P218" s="26"/>
      <c r="Q218" s="26"/>
      <c r="R218" s="26">
        <f>IFERROR(__xludf.DUMMYFUNCTION("""COMPUTED_VALUE"""),291.0)</f>
        <v>291</v>
      </c>
      <c r="S218" s="26">
        <f>IFERROR(__xludf.DUMMYFUNCTION("""COMPUTED_VALUE"""),128622.0)</f>
        <v>128622</v>
      </c>
      <c r="T218" s="26">
        <f>IFERROR(__xludf.DUMMYFUNCTION("""COMPUTED_VALUE"""),50925.0)</f>
        <v>50925</v>
      </c>
      <c r="U218" s="26">
        <f>IFERROR(__xludf.DUMMYFUNCTION("""COMPUTED_VALUE"""),70544.21999999993)</f>
        <v>70544.22</v>
      </c>
      <c r="V218" s="26">
        <f>IFERROR(__xludf.DUMMYFUNCTION("""COMPUTED_VALUE"""),33.71)</f>
        <v>33.71</v>
      </c>
      <c r="W218" s="26">
        <f>IFERROR(__xludf.DUMMYFUNCTION("""COMPUTED_VALUE"""),33.71)</f>
        <v>33.71</v>
      </c>
      <c r="X218" s="26">
        <f>IFERROR(__xludf.DUMMYFUNCTION("""COMPUTED_VALUE"""),19551.799999999934)</f>
        <v>19551.8</v>
      </c>
      <c r="Y218" s="26">
        <f>IFERROR(__xludf.DUMMYFUNCTION("""COMPUTED_VALUE"""),19619.219999999932)</f>
        <v>19619.22</v>
      </c>
      <c r="Z218" s="26">
        <f>IFERROR(__xludf.DUMMYFUNCTION("""COMPUTED_VALUE"""),155584.0)</f>
        <v>155584</v>
      </c>
      <c r="AA218" s="26">
        <f>IFERROR(__xludf.DUMMYFUNCTION("""COMPUTED_VALUE"""),88844.79999999973)</f>
        <v>88844.8</v>
      </c>
      <c r="AB218" s="26">
        <f>IFERROR(__xludf.DUMMYFUNCTION("""COMPUTED_VALUE"""),70252.16000000045)</f>
        <v>70252.16</v>
      </c>
      <c r="AC218" s="26">
        <f>IFERROR(__xludf.DUMMYFUNCTION("""COMPUTED_VALUE"""),0.0)</f>
        <v>0</v>
      </c>
      <c r="AD218" s="26">
        <f>IFERROR(__xludf.DUMMYFUNCTION("""COMPUTED_VALUE"""),3512.9600000000055)</f>
        <v>3512.96</v>
      </c>
      <c r="AE218" s="26">
        <f>IFERROR(__xludf.DUMMYFUNCTION("""COMPUTED_VALUE"""),66739.19999999969)</f>
        <v>66739.2</v>
      </c>
    </row>
    <row r="219">
      <c r="A219" s="26">
        <f>IFERROR(__xludf.DUMMYFUNCTION("""COMPUTED_VALUE"""),0.0)</f>
        <v>0</v>
      </c>
      <c r="B219" s="26">
        <f>IFERROR(__xludf.DUMMYFUNCTION("""COMPUTED_VALUE"""),0.0)</f>
        <v>0</v>
      </c>
      <c r="C219" s="26">
        <f>IFERROR(__xludf.DUMMYFUNCTION("""COMPUTED_VALUE"""),0.0)</f>
        <v>0</v>
      </c>
      <c r="D219" s="26">
        <f>IFERROR(__xludf.DUMMYFUNCTION("""COMPUTED_VALUE"""),0.0)</f>
        <v>0</v>
      </c>
      <c r="E219" s="26">
        <f>IFERROR(__xludf.DUMMYFUNCTION("""COMPUTED_VALUE"""),0.0)</f>
        <v>0</v>
      </c>
      <c r="F219" s="26">
        <f>IFERROR(__xludf.DUMMYFUNCTION("""COMPUTED_VALUE"""),0.0)</f>
        <v>0</v>
      </c>
      <c r="G219" s="26">
        <f>IFERROR(__xludf.DUMMYFUNCTION("""COMPUTED_VALUE"""),0.0)</f>
        <v>0</v>
      </c>
      <c r="H219" s="26">
        <f>IFERROR(__xludf.DUMMYFUNCTION("""COMPUTED_VALUE"""),0.0)</f>
        <v>0</v>
      </c>
      <c r="I219" s="26">
        <f>IFERROR(__xludf.DUMMYFUNCTION("""COMPUTED_VALUE"""),0.0)</f>
        <v>0</v>
      </c>
      <c r="J219" s="26">
        <f>IFERROR(__xludf.DUMMYFUNCTION("""COMPUTED_VALUE"""),0.0)</f>
        <v>0</v>
      </c>
      <c r="K219" s="26">
        <f>IFERROR(__xludf.DUMMYFUNCTION("""COMPUTED_VALUE"""),0.0)</f>
        <v>0</v>
      </c>
      <c r="L219" s="26">
        <f>IFERROR(__xludf.DUMMYFUNCTION("""COMPUTED_VALUE"""),0.0)</f>
        <v>0</v>
      </c>
      <c r="M219" s="26"/>
      <c r="N219" s="26"/>
      <c r="O219" s="26"/>
      <c r="P219" s="26"/>
      <c r="Q219" s="26"/>
      <c r="R219" s="26">
        <f>IFERROR(__xludf.DUMMYFUNCTION("""COMPUTED_VALUE"""),0.0)</f>
        <v>0</v>
      </c>
      <c r="S219" s="26">
        <f>IFERROR(__xludf.DUMMYFUNCTION("""COMPUTED_VALUE"""),0.0)</f>
        <v>0</v>
      </c>
      <c r="T219" s="26">
        <f>IFERROR(__xludf.DUMMYFUNCTION("""COMPUTED_VALUE"""),0.0)</f>
        <v>0</v>
      </c>
      <c r="U219" s="26">
        <f>IFERROR(__xludf.DUMMYFUNCTION("""COMPUTED_VALUE"""),0.0)</f>
        <v>0</v>
      </c>
      <c r="V219" s="26">
        <f>IFERROR(__xludf.DUMMYFUNCTION("""COMPUTED_VALUE"""),0.0)</f>
        <v>0</v>
      </c>
      <c r="W219" s="26">
        <f>IFERROR(__xludf.DUMMYFUNCTION("""COMPUTED_VALUE"""),0.0)</f>
        <v>0</v>
      </c>
      <c r="X219" s="26">
        <f>IFERROR(__xludf.DUMMYFUNCTION("""COMPUTED_VALUE"""),0.0)</f>
        <v>0</v>
      </c>
      <c r="Y219" s="26">
        <f>IFERROR(__xludf.DUMMYFUNCTION("""COMPUTED_VALUE"""),0.0)</f>
        <v>0</v>
      </c>
      <c r="Z219" s="26">
        <f>IFERROR(__xludf.DUMMYFUNCTION("""COMPUTED_VALUE"""),0.0)</f>
        <v>0</v>
      </c>
      <c r="AA219" s="26">
        <f>IFERROR(__xludf.DUMMYFUNCTION("""COMPUTED_VALUE"""),0.0)</f>
        <v>0</v>
      </c>
      <c r="AB219" s="26">
        <f>IFERROR(__xludf.DUMMYFUNCTION("""COMPUTED_VALUE"""),0.0)</f>
        <v>0</v>
      </c>
      <c r="AC219" s="26">
        <f>IFERROR(__xludf.DUMMYFUNCTION("""COMPUTED_VALUE"""),0.0)</f>
        <v>0</v>
      </c>
      <c r="AD219" s="26">
        <f>IFERROR(__xludf.DUMMYFUNCTION("""COMPUTED_VALUE"""),0.0)</f>
        <v>0</v>
      </c>
      <c r="AE219" s="26">
        <f>IFERROR(__xludf.DUMMYFUNCTION("""COMPUTED_VALUE"""),0.0)</f>
        <v>0</v>
      </c>
    </row>
    <row r="220">
      <c r="A220" s="26">
        <f>IFERROR(__xludf.DUMMYFUNCTION("""COMPUTED_VALUE"""),0.0)</f>
        <v>0</v>
      </c>
      <c r="B220" s="26">
        <f>IFERROR(__xludf.DUMMYFUNCTION("""COMPUTED_VALUE"""),0.0)</f>
        <v>0</v>
      </c>
      <c r="C220" s="26">
        <f>IFERROR(__xludf.DUMMYFUNCTION("""COMPUTED_VALUE"""),0.0)</f>
        <v>0</v>
      </c>
      <c r="D220" s="26">
        <f>IFERROR(__xludf.DUMMYFUNCTION("""COMPUTED_VALUE"""),0.0)</f>
        <v>0</v>
      </c>
      <c r="E220" s="26">
        <f>IFERROR(__xludf.DUMMYFUNCTION("""COMPUTED_VALUE"""),0.0)</f>
        <v>0</v>
      </c>
      <c r="F220" s="26">
        <f>IFERROR(__xludf.DUMMYFUNCTION("""COMPUTED_VALUE"""),0.0)</f>
        <v>0</v>
      </c>
      <c r="G220" s="26">
        <f>IFERROR(__xludf.DUMMYFUNCTION("""COMPUTED_VALUE"""),0.0)</f>
        <v>0</v>
      </c>
      <c r="H220" s="26">
        <f>IFERROR(__xludf.DUMMYFUNCTION("""COMPUTED_VALUE"""),0.0)</f>
        <v>0</v>
      </c>
      <c r="I220" s="26">
        <f>IFERROR(__xludf.DUMMYFUNCTION("""COMPUTED_VALUE"""),0.0)</f>
        <v>0</v>
      </c>
      <c r="J220" s="26">
        <f>IFERROR(__xludf.DUMMYFUNCTION("""COMPUTED_VALUE"""),0.0)</f>
        <v>0</v>
      </c>
      <c r="K220" s="26">
        <f>IFERROR(__xludf.DUMMYFUNCTION("""COMPUTED_VALUE"""),0.0)</f>
        <v>0</v>
      </c>
      <c r="L220" s="26">
        <f>IFERROR(__xludf.DUMMYFUNCTION("""COMPUTED_VALUE"""),0.0)</f>
        <v>0</v>
      </c>
      <c r="M220" s="26"/>
      <c r="N220" s="26"/>
      <c r="O220" s="26"/>
      <c r="P220" s="26"/>
      <c r="Q220" s="26"/>
      <c r="R220" s="26">
        <f>IFERROR(__xludf.DUMMYFUNCTION("""COMPUTED_VALUE"""),0.0)</f>
        <v>0</v>
      </c>
      <c r="S220" s="26">
        <f>IFERROR(__xludf.DUMMYFUNCTION("""COMPUTED_VALUE"""),0.0)</f>
        <v>0</v>
      </c>
      <c r="T220" s="26">
        <f>IFERROR(__xludf.DUMMYFUNCTION("""COMPUTED_VALUE"""),0.0)</f>
        <v>0</v>
      </c>
      <c r="U220" s="26">
        <f>IFERROR(__xludf.DUMMYFUNCTION("""COMPUTED_VALUE"""),0.0)</f>
        <v>0</v>
      </c>
      <c r="V220" s="26">
        <f>IFERROR(__xludf.DUMMYFUNCTION("""COMPUTED_VALUE"""),0.0)</f>
        <v>0</v>
      </c>
      <c r="W220" s="26">
        <f>IFERROR(__xludf.DUMMYFUNCTION("""COMPUTED_VALUE"""),0.0)</f>
        <v>0</v>
      </c>
      <c r="X220" s="26">
        <f>IFERROR(__xludf.DUMMYFUNCTION("""COMPUTED_VALUE"""),0.0)</f>
        <v>0</v>
      </c>
      <c r="Y220" s="26">
        <f>IFERROR(__xludf.DUMMYFUNCTION("""COMPUTED_VALUE"""),0.0)</f>
        <v>0</v>
      </c>
      <c r="Z220" s="26">
        <f>IFERROR(__xludf.DUMMYFUNCTION("""COMPUTED_VALUE"""),0.0)</f>
        <v>0</v>
      </c>
      <c r="AA220" s="26">
        <f>IFERROR(__xludf.DUMMYFUNCTION("""COMPUTED_VALUE"""),0.0)</f>
        <v>0</v>
      </c>
      <c r="AB220" s="26">
        <f>IFERROR(__xludf.DUMMYFUNCTION("""COMPUTED_VALUE"""),0.0)</f>
        <v>0</v>
      </c>
      <c r="AC220" s="26">
        <f>IFERROR(__xludf.DUMMYFUNCTION("""COMPUTED_VALUE"""),0.0)</f>
        <v>0</v>
      </c>
      <c r="AD220" s="26">
        <f>IFERROR(__xludf.DUMMYFUNCTION("""COMPUTED_VALUE"""),0.0)</f>
        <v>0</v>
      </c>
      <c r="AE220" s="26">
        <f>IFERROR(__xludf.DUMMYFUNCTION("""COMPUTED_VALUE"""),0.0)</f>
        <v>0</v>
      </c>
    </row>
    <row r="221">
      <c r="A221" s="26">
        <f>IFERROR(__xludf.DUMMYFUNCTION("""COMPUTED_VALUE"""),141.0)</f>
        <v>141</v>
      </c>
      <c r="B221" s="26">
        <f>IFERROR(__xludf.DUMMYFUNCTION("""COMPUTED_VALUE"""),0.0)</f>
        <v>0</v>
      </c>
      <c r="C221" s="26">
        <f>IFERROR(__xludf.DUMMYFUNCTION("""COMPUTED_VALUE"""),0.0)</f>
        <v>0</v>
      </c>
      <c r="D221" s="26">
        <f>IFERROR(__xludf.DUMMYFUNCTION("""COMPUTED_VALUE"""),0.0)</f>
        <v>0</v>
      </c>
      <c r="E221" s="26">
        <f>IFERROR(__xludf.DUMMYFUNCTION("""COMPUTED_VALUE"""),0.0)</f>
        <v>0</v>
      </c>
      <c r="F221" s="26">
        <f>IFERROR(__xludf.DUMMYFUNCTION("""COMPUTED_VALUE"""),0.0)</f>
        <v>0</v>
      </c>
      <c r="G221" s="26">
        <f>IFERROR(__xludf.DUMMYFUNCTION("""COMPUTED_VALUE"""),0.0)</f>
        <v>0</v>
      </c>
      <c r="H221" s="26">
        <f>IFERROR(__xludf.DUMMYFUNCTION("""COMPUTED_VALUE"""),0.0)</f>
        <v>0</v>
      </c>
      <c r="I221" s="26">
        <f>IFERROR(__xludf.DUMMYFUNCTION("""COMPUTED_VALUE"""),0.0)</f>
        <v>0</v>
      </c>
      <c r="J221" s="26">
        <f>IFERROR(__xludf.DUMMYFUNCTION("""COMPUTED_VALUE"""),0.0)</f>
        <v>0</v>
      </c>
      <c r="K221" s="26">
        <f>IFERROR(__xludf.DUMMYFUNCTION("""COMPUTED_VALUE"""),0.0)</f>
        <v>0</v>
      </c>
      <c r="L221" s="26">
        <f>IFERROR(__xludf.DUMMYFUNCTION("""COMPUTED_VALUE"""),0.0)</f>
        <v>0</v>
      </c>
      <c r="M221" s="26"/>
      <c r="N221" s="26"/>
      <c r="O221" s="26"/>
      <c r="P221" s="26"/>
      <c r="Q221" s="26"/>
      <c r="R221" s="26">
        <f>IFERROR(__xludf.DUMMYFUNCTION("""COMPUTED_VALUE"""),141.0)</f>
        <v>141</v>
      </c>
      <c r="S221" s="26">
        <f>IFERROR(__xludf.DUMMYFUNCTION("""COMPUTED_VALUE"""),69090.0)</f>
        <v>69090</v>
      </c>
      <c r="T221" s="26">
        <f>IFERROR(__xludf.DUMMYFUNCTION("""COMPUTED_VALUE"""),25380.0)</f>
        <v>25380</v>
      </c>
      <c r="U221" s="26">
        <f>IFERROR(__xludf.DUMMYFUNCTION("""COMPUTED_VALUE"""),35919.75)</f>
        <v>35919.75</v>
      </c>
      <c r="V221" s="26">
        <f>IFERROR(__xludf.DUMMYFUNCTION("""COMPUTED_VALUE"""),0.0)</f>
        <v>0</v>
      </c>
      <c r="W221" s="26">
        <f>IFERROR(__xludf.DUMMYFUNCTION("""COMPUTED_VALUE"""),0.0)</f>
        <v>0</v>
      </c>
      <c r="X221" s="26">
        <f>IFERROR(__xludf.DUMMYFUNCTION("""COMPUTED_VALUE"""),10539.75)</f>
        <v>10539.75</v>
      </c>
      <c r="Y221" s="26">
        <f>IFERROR(__xludf.DUMMYFUNCTION("""COMPUTED_VALUE"""),10539.75)</f>
        <v>10539.75</v>
      </c>
      <c r="Z221" s="26">
        <f>IFERROR(__xludf.DUMMYFUNCTION("""COMPUTED_VALUE"""),69090.0)</f>
        <v>69090</v>
      </c>
      <c r="AA221" s="26">
        <f>IFERROR(__xludf.DUMMYFUNCTION("""COMPUTED_VALUE"""),37577.90999999995)</f>
        <v>37577.91</v>
      </c>
      <c r="AB221" s="26">
        <f>IFERROR(__xludf.DUMMYFUNCTION("""COMPUTED_VALUE"""),33170.25)</f>
        <v>33170.25</v>
      </c>
      <c r="AC221" s="26">
        <f>IFERROR(__xludf.DUMMYFUNCTION("""COMPUTED_VALUE"""),0.0)</f>
        <v>0</v>
      </c>
      <c r="AD221" s="26">
        <f>IFERROR(__xludf.DUMMYFUNCTION("""COMPUTED_VALUE"""),1658.159999999999)</f>
        <v>1658.16</v>
      </c>
      <c r="AE221" s="26">
        <f>IFERROR(__xludf.DUMMYFUNCTION("""COMPUTED_VALUE"""),31512.090000000095)</f>
        <v>31512.09</v>
      </c>
    </row>
    <row r="222">
      <c r="A222" s="26">
        <f>IFERROR(__xludf.DUMMYFUNCTION("""COMPUTED_VALUE"""),0.0)</f>
        <v>0</v>
      </c>
      <c r="B222" s="26">
        <f>IFERROR(__xludf.DUMMYFUNCTION("""COMPUTED_VALUE"""),0.0)</f>
        <v>0</v>
      </c>
      <c r="C222" s="26">
        <f>IFERROR(__xludf.DUMMYFUNCTION("""COMPUTED_VALUE"""),109.0)</f>
        <v>109</v>
      </c>
      <c r="D222" s="26">
        <f>IFERROR(__xludf.DUMMYFUNCTION("""COMPUTED_VALUE"""),0.0)</f>
        <v>0</v>
      </c>
      <c r="E222" s="26">
        <f>IFERROR(__xludf.DUMMYFUNCTION("""COMPUTED_VALUE"""),0.0)</f>
        <v>0</v>
      </c>
      <c r="F222" s="26">
        <f>IFERROR(__xludf.DUMMYFUNCTION("""COMPUTED_VALUE"""),0.0)</f>
        <v>0</v>
      </c>
      <c r="G222" s="26">
        <f>IFERROR(__xludf.DUMMYFUNCTION("""COMPUTED_VALUE"""),0.0)</f>
        <v>0</v>
      </c>
      <c r="H222" s="26">
        <f>IFERROR(__xludf.DUMMYFUNCTION("""COMPUTED_VALUE"""),0.0)</f>
        <v>0</v>
      </c>
      <c r="I222" s="26">
        <f>IFERROR(__xludf.DUMMYFUNCTION("""COMPUTED_VALUE"""),0.0)</f>
        <v>0</v>
      </c>
      <c r="J222" s="26">
        <f>IFERROR(__xludf.DUMMYFUNCTION("""COMPUTED_VALUE"""),0.0)</f>
        <v>0</v>
      </c>
      <c r="K222" s="26">
        <f>IFERROR(__xludf.DUMMYFUNCTION("""COMPUTED_VALUE"""),0.0)</f>
        <v>0</v>
      </c>
      <c r="L222" s="26">
        <f>IFERROR(__xludf.DUMMYFUNCTION("""COMPUTED_VALUE"""),0.0)</f>
        <v>0</v>
      </c>
      <c r="M222" s="26"/>
      <c r="N222" s="26"/>
      <c r="O222" s="26"/>
      <c r="P222" s="26"/>
      <c r="Q222" s="26"/>
      <c r="R222" s="26">
        <f>IFERROR(__xludf.DUMMYFUNCTION("""COMPUTED_VALUE"""),109.0)</f>
        <v>109</v>
      </c>
      <c r="S222" s="26">
        <f>IFERROR(__xludf.DUMMYFUNCTION("""COMPUTED_VALUE"""),48178.0)</f>
        <v>48178</v>
      </c>
      <c r="T222" s="26">
        <f>IFERROR(__xludf.DUMMYFUNCTION("""COMPUTED_VALUE"""),25615.0)</f>
        <v>25615</v>
      </c>
      <c r="U222" s="26">
        <f>IFERROR(__xludf.DUMMYFUNCTION("""COMPUTED_VALUE"""),32963.780000000006)</f>
        <v>32963.78</v>
      </c>
      <c r="V222" s="26">
        <f>IFERROR(__xludf.DUMMYFUNCTION("""COMPUTED_VALUE"""),0.0)</f>
        <v>0</v>
      </c>
      <c r="W222" s="26">
        <f>IFERROR(__xludf.DUMMYFUNCTION("""COMPUTED_VALUE"""),0.0)</f>
        <v>0</v>
      </c>
      <c r="X222" s="26">
        <f>IFERROR(__xludf.DUMMYFUNCTION("""COMPUTED_VALUE"""),7348.780000000006)</f>
        <v>7348.78</v>
      </c>
      <c r="Y222" s="26">
        <f>IFERROR(__xludf.DUMMYFUNCTION("""COMPUTED_VALUE"""),7348.780000000006)</f>
        <v>7348.78</v>
      </c>
      <c r="Z222" s="26">
        <f>IFERROR(__xludf.DUMMYFUNCTION("""COMPUTED_VALUE"""),88488.39999999978)</f>
        <v>88488.4</v>
      </c>
      <c r="AA222" s="26">
        <f>IFERROR(__xludf.DUMMYFUNCTION("""COMPUTED_VALUE"""),88488.39999999978)</f>
        <v>88488.4</v>
      </c>
      <c r="AB222" s="26">
        <f>IFERROR(__xludf.DUMMYFUNCTION("""COMPUTED_VALUE"""),39919.88000000029)</f>
        <v>39919.88</v>
      </c>
      <c r="AC222" s="26">
        <f>IFERROR(__xludf.DUMMYFUNCTION("""COMPUTED_VALUE"""),37923.599999999795)</f>
        <v>37923.6</v>
      </c>
      <c r="AD222" s="26">
        <f>IFERROR(__xludf.DUMMYFUNCTION("""COMPUTED_VALUE"""),1996.2800000000043)</f>
        <v>1996.28</v>
      </c>
      <c r="AE222" s="26">
        <f>IFERROR(__xludf.DUMMYFUNCTION("""COMPUTED_VALUE"""),0.0)</f>
        <v>0</v>
      </c>
    </row>
    <row r="223">
      <c r="A223" s="26">
        <f>IFERROR(__xludf.DUMMYFUNCTION("""COMPUTED_VALUE"""),142.0)</f>
        <v>142</v>
      </c>
      <c r="B223" s="26">
        <f>IFERROR(__xludf.DUMMYFUNCTION("""COMPUTED_VALUE"""),0.0)</f>
        <v>0</v>
      </c>
      <c r="C223" s="26">
        <f>IFERROR(__xludf.DUMMYFUNCTION("""COMPUTED_VALUE"""),0.0)</f>
        <v>0</v>
      </c>
      <c r="D223" s="26">
        <f>IFERROR(__xludf.DUMMYFUNCTION("""COMPUTED_VALUE"""),0.0)</f>
        <v>0</v>
      </c>
      <c r="E223" s="26">
        <f>IFERROR(__xludf.DUMMYFUNCTION("""COMPUTED_VALUE"""),0.0)</f>
        <v>0</v>
      </c>
      <c r="F223" s="26">
        <f>IFERROR(__xludf.DUMMYFUNCTION("""COMPUTED_VALUE"""),0.0)</f>
        <v>0</v>
      </c>
      <c r="G223" s="26">
        <f>IFERROR(__xludf.DUMMYFUNCTION("""COMPUTED_VALUE"""),0.0)</f>
        <v>0</v>
      </c>
      <c r="H223" s="26">
        <f>IFERROR(__xludf.DUMMYFUNCTION("""COMPUTED_VALUE"""),0.0)</f>
        <v>0</v>
      </c>
      <c r="I223" s="26">
        <f>IFERROR(__xludf.DUMMYFUNCTION("""COMPUTED_VALUE"""),0.0)</f>
        <v>0</v>
      </c>
      <c r="J223" s="26">
        <f>IFERROR(__xludf.DUMMYFUNCTION("""COMPUTED_VALUE"""),0.0)</f>
        <v>0</v>
      </c>
      <c r="K223" s="26">
        <f>IFERROR(__xludf.DUMMYFUNCTION("""COMPUTED_VALUE"""),0.0)</f>
        <v>0</v>
      </c>
      <c r="L223" s="26">
        <f>IFERROR(__xludf.DUMMYFUNCTION("""COMPUTED_VALUE"""),0.0)</f>
        <v>0</v>
      </c>
      <c r="M223" s="26"/>
      <c r="N223" s="26"/>
      <c r="O223" s="26"/>
      <c r="P223" s="26"/>
      <c r="Q223" s="26"/>
      <c r="R223" s="26">
        <f>IFERROR(__xludf.DUMMYFUNCTION("""COMPUTED_VALUE"""),142.0)</f>
        <v>142</v>
      </c>
      <c r="S223" s="26">
        <f>IFERROR(__xludf.DUMMYFUNCTION("""COMPUTED_VALUE"""),62764.0)</f>
        <v>62764</v>
      </c>
      <c r="T223" s="26">
        <f>IFERROR(__xludf.DUMMYFUNCTION("""COMPUTED_VALUE"""),27264.0)</f>
        <v>27264</v>
      </c>
      <c r="U223" s="26">
        <f>IFERROR(__xludf.DUMMYFUNCTION("""COMPUTED_VALUE"""),36837.64000000001)</f>
        <v>36837.64</v>
      </c>
      <c r="V223" s="26">
        <f>IFERROR(__xludf.DUMMYFUNCTION("""COMPUTED_VALUE"""),0.0)</f>
        <v>0</v>
      </c>
      <c r="W223" s="26">
        <f>IFERROR(__xludf.DUMMYFUNCTION("""COMPUTED_VALUE"""),0.0)</f>
        <v>0</v>
      </c>
      <c r="X223" s="26">
        <f>IFERROR(__xludf.DUMMYFUNCTION("""COMPUTED_VALUE"""),9573.640000000009)</f>
        <v>9573.64</v>
      </c>
      <c r="Y223" s="26">
        <f>IFERROR(__xludf.DUMMYFUNCTION("""COMPUTED_VALUE"""),9573.640000000009)</f>
        <v>9573.64</v>
      </c>
      <c r="Z223" s="26">
        <f>IFERROR(__xludf.DUMMYFUNCTION("""COMPUTED_VALUE"""),0.0)</f>
        <v>0</v>
      </c>
      <c r="AA223" s="26">
        <f>IFERROR(__xludf.DUMMYFUNCTION("""COMPUTED_VALUE"""),0.0)</f>
        <v>0</v>
      </c>
      <c r="AB223" s="26">
        <f>IFERROR(__xludf.DUMMYFUNCTION("""COMPUTED_VALUE"""),0.0)</f>
        <v>0</v>
      </c>
      <c r="AC223" s="26">
        <f>IFERROR(__xludf.DUMMYFUNCTION("""COMPUTED_VALUE"""),0.0)</f>
        <v>0</v>
      </c>
      <c r="AD223" s="26">
        <f>IFERROR(__xludf.DUMMYFUNCTION("""COMPUTED_VALUE"""),0.0)</f>
        <v>0</v>
      </c>
      <c r="AE223" s="26">
        <f>IFERROR(__xludf.DUMMYFUNCTION("""COMPUTED_VALUE"""),0.0)</f>
        <v>0</v>
      </c>
    </row>
    <row r="224">
      <c r="A224" s="26">
        <f>IFERROR(__xludf.DUMMYFUNCTION("""COMPUTED_VALUE"""),0.0)</f>
        <v>0</v>
      </c>
      <c r="B224" s="26">
        <f>IFERROR(__xludf.DUMMYFUNCTION("""COMPUTED_VALUE"""),0.0)</f>
        <v>0</v>
      </c>
      <c r="C224" s="26">
        <f>IFERROR(__xludf.DUMMYFUNCTION("""COMPUTED_VALUE"""),229.0)</f>
        <v>229</v>
      </c>
      <c r="D224" s="26">
        <f>IFERROR(__xludf.DUMMYFUNCTION("""COMPUTED_VALUE"""),0.0)</f>
        <v>0</v>
      </c>
      <c r="E224" s="26">
        <f>IFERROR(__xludf.DUMMYFUNCTION("""COMPUTED_VALUE"""),0.0)</f>
        <v>0</v>
      </c>
      <c r="F224" s="26">
        <f>IFERROR(__xludf.DUMMYFUNCTION("""COMPUTED_VALUE"""),0.0)</f>
        <v>0</v>
      </c>
      <c r="G224" s="26">
        <f>IFERROR(__xludf.DUMMYFUNCTION("""COMPUTED_VALUE"""),0.0)</f>
        <v>0</v>
      </c>
      <c r="H224" s="26">
        <f>IFERROR(__xludf.DUMMYFUNCTION("""COMPUTED_VALUE"""),0.0)</f>
        <v>0</v>
      </c>
      <c r="I224" s="26">
        <f>IFERROR(__xludf.DUMMYFUNCTION("""COMPUTED_VALUE"""),0.0)</f>
        <v>0</v>
      </c>
      <c r="J224" s="26">
        <f>IFERROR(__xludf.DUMMYFUNCTION("""COMPUTED_VALUE"""),0.0)</f>
        <v>0</v>
      </c>
      <c r="K224" s="26">
        <f>IFERROR(__xludf.DUMMYFUNCTION("""COMPUTED_VALUE"""),0.0)</f>
        <v>0</v>
      </c>
      <c r="L224" s="26">
        <f>IFERROR(__xludf.DUMMYFUNCTION("""COMPUTED_VALUE"""),0.0)</f>
        <v>0</v>
      </c>
      <c r="M224" s="26"/>
      <c r="N224" s="26"/>
      <c r="O224" s="26"/>
      <c r="P224" s="26"/>
      <c r="Q224" s="26"/>
      <c r="R224" s="26">
        <f>IFERROR(__xludf.DUMMYFUNCTION("""COMPUTED_VALUE"""),229.0)</f>
        <v>229</v>
      </c>
      <c r="S224" s="26">
        <f>IFERROR(__xludf.DUMMYFUNCTION("""COMPUTED_VALUE"""),101218.0)</f>
        <v>101218</v>
      </c>
      <c r="T224" s="26">
        <f>IFERROR(__xludf.DUMMYFUNCTION("""COMPUTED_VALUE"""),49235.0)</f>
        <v>49235</v>
      </c>
      <c r="U224" s="26">
        <f>IFERROR(__xludf.DUMMYFUNCTION("""COMPUTED_VALUE"""),64674.180000000015)</f>
        <v>64674.18</v>
      </c>
      <c r="V224" s="26">
        <f>IFERROR(__xludf.DUMMYFUNCTION("""COMPUTED_VALUE"""),0.0)</f>
        <v>0</v>
      </c>
      <c r="W224" s="26">
        <f>IFERROR(__xludf.DUMMYFUNCTION("""COMPUTED_VALUE"""),0.0)</f>
        <v>0</v>
      </c>
      <c r="X224" s="26">
        <f>IFERROR(__xludf.DUMMYFUNCTION("""COMPUTED_VALUE"""),15439.180000000015)</f>
        <v>15439.18</v>
      </c>
      <c r="Y224" s="26">
        <f>IFERROR(__xludf.DUMMYFUNCTION("""COMPUTED_VALUE"""),15439.180000000015)</f>
        <v>15439.18</v>
      </c>
      <c r="Z224" s="26">
        <f>IFERROR(__xludf.DUMMYFUNCTION("""COMPUTED_VALUE"""),66501.60000000021)</f>
        <v>66501.6</v>
      </c>
      <c r="AA224" s="26">
        <f>IFERROR(__xludf.DUMMYFUNCTION("""COMPUTED_VALUE"""),66501.60000000021)</f>
        <v>66501.6</v>
      </c>
      <c r="AB224" s="26">
        <f>IFERROR(__xludf.DUMMYFUNCTION("""COMPUTED_VALUE"""),36543.82000000021)</f>
        <v>36543.82</v>
      </c>
      <c r="AC224" s="26">
        <f>IFERROR(__xludf.DUMMYFUNCTION("""COMPUTED_VALUE"""),34716.399999999856)</f>
        <v>34716.4</v>
      </c>
      <c r="AD224" s="26">
        <f>IFERROR(__xludf.DUMMYFUNCTION("""COMPUTED_VALUE"""),1827.4200000000035)</f>
        <v>1827.42</v>
      </c>
      <c r="AE224" s="26">
        <f>IFERROR(__xludf.DUMMYFUNCTION("""COMPUTED_VALUE"""),0.0)</f>
        <v>0</v>
      </c>
    </row>
    <row r="225">
      <c r="A225" s="26">
        <f>IFERROR(__xludf.DUMMYFUNCTION("""COMPUTED_VALUE"""),0.0)</f>
        <v>0</v>
      </c>
      <c r="B225" s="26">
        <f>IFERROR(__xludf.DUMMYFUNCTION("""COMPUTED_VALUE"""),0.0)</f>
        <v>0</v>
      </c>
      <c r="C225" s="26">
        <f>IFERROR(__xludf.DUMMYFUNCTION("""COMPUTED_VALUE"""),0.0)</f>
        <v>0</v>
      </c>
      <c r="D225" s="26">
        <f>IFERROR(__xludf.DUMMYFUNCTION("""COMPUTED_VALUE"""),0.0)</f>
        <v>0</v>
      </c>
      <c r="E225" s="26">
        <f>IFERROR(__xludf.DUMMYFUNCTION("""COMPUTED_VALUE"""),0.0)</f>
        <v>0</v>
      </c>
      <c r="F225" s="26">
        <f>IFERROR(__xludf.DUMMYFUNCTION("""COMPUTED_VALUE"""),0.0)</f>
        <v>0</v>
      </c>
      <c r="G225" s="26">
        <f>IFERROR(__xludf.DUMMYFUNCTION("""COMPUTED_VALUE"""),0.0)</f>
        <v>0</v>
      </c>
      <c r="H225" s="26">
        <f>IFERROR(__xludf.DUMMYFUNCTION("""COMPUTED_VALUE"""),0.0)</f>
        <v>0</v>
      </c>
      <c r="I225" s="26">
        <f>IFERROR(__xludf.DUMMYFUNCTION("""COMPUTED_VALUE"""),0.0)</f>
        <v>0</v>
      </c>
      <c r="J225" s="26">
        <f>IFERROR(__xludf.DUMMYFUNCTION("""COMPUTED_VALUE"""),0.0)</f>
        <v>0</v>
      </c>
      <c r="K225" s="26">
        <f>IFERROR(__xludf.DUMMYFUNCTION("""COMPUTED_VALUE"""),0.0)</f>
        <v>0</v>
      </c>
      <c r="L225" s="26">
        <f>IFERROR(__xludf.DUMMYFUNCTION("""COMPUTED_VALUE"""),0.0)</f>
        <v>0</v>
      </c>
      <c r="M225" s="26"/>
      <c r="N225" s="26"/>
      <c r="O225" s="26"/>
      <c r="P225" s="26"/>
      <c r="Q225" s="26"/>
      <c r="R225" s="26">
        <f>IFERROR(__xludf.DUMMYFUNCTION("""COMPUTED_VALUE"""),0.0)</f>
        <v>0</v>
      </c>
      <c r="S225" s="26">
        <f>IFERROR(__xludf.DUMMYFUNCTION("""COMPUTED_VALUE"""),0.0)</f>
        <v>0</v>
      </c>
      <c r="T225" s="26">
        <f>IFERROR(__xludf.DUMMYFUNCTION("""COMPUTED_VALUE"""),0.0)</f>
        <v>0</v>
      </c>
      <c r="U225" s="26">
        <f>IFERROR(__xludf.DUMMYFUNCTION("""COMPUTED_VALUE"""),0.0)</f>
        <v>0</v>
      </c>
      <c r="V225" s="26">
        <f>IFERROR(__xludf.DUMMYFUNCTION("""COMPUTED_VALUE"""),0.0)</f>
        <v>0</v>
      </c>
      <c r="W225" s="26">
        <f>IFERROR(__xludf.DUMMYFUNCTION("""COMPUTED_VALUE"""),0.0)</f>
        <v>0</v>
      </c>
      <c r="X225" s="26">
        <f>IFERROR(__xludf.DUMMYFUNCTION("""COMPUTED_VALUE"""),0.0)</f>
        <v>0</v>
      </c>
      <c r="Y225" s="26">
        <f>IFERROR(__xludf.DUMMYFUNCTION("""COMPUTED_VALUE"""),0.0)</f>
        <v>0</v>
      </c>
      <c r="Z225" s="26">
        <f>IFERROR(__xludf.DUMMYFUNCTION("""COMPUTED_VALUE"""),0.0)</f>
        <v>0</v>
      </c>
      <c r="AA225" s="26">
        <f>IFERROR(__xludf.DUMMYFUNCTION("""COMPUTED_VALUE"""),0.0)</f>
        <v>0</v>
      </c>
      <c r="AB225" s="26">
        <f>IFERROR(__xludf.DUMMYFUNCTION("""COMPUTED_VALUE"""),0.0)</f>
        <v>0</v>
      </c>
      <c r="AC225" s="26">
        <f>IFERROR(__xludf.DUMMYFUNCTION("""COMPUTED_VALUE"""),0.0)</f>
        <v>0</v>
      </c>
      <c r="AD225" s="26">
        <f>IFERROR(__xludf.DUMMYFUNCTION("""COMPUTED_VALUE"""),0.0)</f>
        <v>0</v>
      </c>
      <c r="AE225" s="26">
        <f>IFERROR(__xludf.DUMMYFUNCTION("""COMPUTED_VALUE"""),0.0)</f>
        <v>0</v>
      </c>
    </row>
    <row r="226">
      <c r="A226" s="26">
        <f>IFERROR(__xludf.DUMMYFUNCTION("""COMPUTED_VALUE"""),0.0)</f>
        <v>0</v>
      </c>
      <c r="B226" s="26">
        <f>IFERROR(__xludf.DUMMYFUNCTION("""COMPUTED_VALUE"""),0.0)</f>
        <v>0</v>
      </c>
      <c r="C226" s="26">
        <f>IFERROR(__xludf.DUMMYFUNCTION("""COMPUTED_VALUE"""),108.0)</f>
        <v>108</v>
      </c>
      <c r="D226" s="26">
        <f>IFERROR(__xludf.DUMMYFUNCTION("""COMPUTED_VALUE"""),0.0)</f>
        <v>0</v>
      </c>
      <c r="E226" s="26">
        <f>IFERROR(__xludf.DUMMYFUNCTION("""COMPUTED_VALUE"""),0.0)</f>
        <v>0</v>
      </c>
      <c r="F226" s="26">
        <f>IFERROR(__xludf.DUMMYFUNCTION("""COMPUTED_VALUE"""),0.0)</f>
        <v>0</v>
      </c>
      <c r="G226" s="26">
        <f>IFERROR(__xludf.DUMMYFUNCTION("""COMPUTED_VALUE"""),0.0)</f>
        <v>0</v>
      </c>
      <c r="H226" s="26">
        <f>IFERROR(__xludf.DUMMYFUNCTION("""COMPUTED_VALUE"""),0.0)</f>
        <v>0</v>
      </c>
      <c r="I226" s="26">
        <f>IFERROR(__xludf.DUMMYFUNCTION("""COMPUTED_VALUE"""),0.0)</f>
        <v>0</v>
      </c>
      <c r="J226" s="26">
        <f>IFERROR(__xludf.DUMMYFUNCTION("""COMPUTED_VALUE"""),0.0)</f>
        <v>0</v>
      </c>
      <c r="K226" s="26">
        <f>IFERROR(__xludf.DUMMYFUNCTION("""COMPUTED_VALUE"""),0.0)</f>
        <v>0</v>
      </c>
      <c r="L226" s="26">
        <f>IFERROR(__xludf.DUMMYFUNCTION("""COMPUTED_VALUE"""),0.0)</f>
        <v>0</v>
      </c>
      <c r="M226" s="26"/>
      <c r="N226" s="26"/>
      <c r="O226" s="26"/>
      <c r="P226" s="26"/>
      <c r="Q226" s="26"/>
      <c r="R226" s="26">
        <f>IFERROR(__xludf.DUMMYFUNCTION("""COMPUTED_VALUE"""),108.0)</f>
        <v>108</v>
      </c>
      <c r="S226" s="26">
        <f>IFERROR(__xludf.DUMMYFUNCTION("""COMPUTED_VALUE"""),47736.0)</f>
        <v>47736</v>
      </c>
      <c r="T226" s="26">
        <f>IFERROR(__xludf.DUMMYFUNCTION("""COMPUTED_VALUE"""),25380.0)</f>
        <v>25380</v>
      </c>
      <c r="U226" s="26">
        <f>IFERROR(__xludf.DUMMYFUNCTION("""COMPUTED_VALUE"""),32661.360000000008)</f>
        <v>32661.36</v>
      </c>
      <c r="V226" s="26">
        <f>IFERROR(__xludf.DUMMYFUNCTION("""COMPUTED_VALUE"""),0.0)</f>
        <v>0</v>
      </c>
      <c r="W226" s="26">
        <f>IFERROR(__xludf.DUMMYFUNCTION("""COMPUTED_VALUE"""),0.0)</f>
        <v>0</v>
      </c>
      <c r="X226" s="26">
        <f>IFERROR(__xludf.DUMMYFUNCTION("""COMPUTED_VALUE"""),7281.360000000006)</f>
        <v>7281.36</v>
      </c>
      <c r="Y226" s="26">
        <f>IFERROR(__xludf.DUMMYFUNCTION("""COMPUTED_VALUE"""),7281.360000000006)</f>
        <v>7281.36</v>
      </c>
      <c r="Z226" s="26">
        <f>IFERROR(__xludf.DUMMYFUNCTION("""COMPUTED_VALUE"""),0.0)</f>
        <v>0</v>
      </c>
      <c r="AA226" s="26">
        <f>IFERROR(__xludf.DUMMYFUNCTION("""COMPUTED_VALUE"""),0.0)</f>
        <v>0</v>
      </c>
      <c r="AB226" s="26">
        <f>IFERROR(__xludf.DUMMYFUNCTION("""COMPUTED_VALUE"""),0.0)</f>
        <v>0</v>
      </c>
      <c r="AC226" s="26">
        <f>IFERROR(__xludf.DUMMYFUNCTION("""COMPUTED_VALUE"""),0.0)</f>
        <v>0</v>
      </c>
      <c r="AD226" s="26">
        <f>IFERROR(__xludf.DUMMYFUNCTION("""COMPUTED_VALUE"""),0.0)</f>
        <v>0</v>
      </c>
      <c r="AE226" s="26">
        <f>IFERROR(__xludf.DUMMYFUNCTION("""COMPUTED_VALUE"""),0.0)</f>
        <v>0</v>
      </c>
    </row>
    <row r="227">
      <c r="A227" s="26">
        <f>IFERROR(__xludf.DUMMYFUNCTION("""COMPUTED_VALUE"""),0.0)</f>
        <v>0</v>
      </c>
      <c r="B227" s="26">
        <f>IFERROR(__xludf.DUMMYFUNCTION("""COMPUTED_VALUE"""),0.0)</f>
        <v>0</v>
      </c>
      <c r="C227" s="26">
        <f>IFERROR(__xludf.DUMMYFUNCTION("""COMPUTED_VALUE"""),69.0)</f>
        <v>69</v>
      </c>
      <c r="D227" s="26">
        <f>IFERROR(__xludf.DUMMYFUNCTION("""COMPUTED_VALUE"""),0.0)</f>
        <v>0</v>
      </c>
      <c r="E227" s="26">
        <f>IFERROR(__xludf.DUMMYFUNCTION("""COMPUTED_VALUE"""),0.0)</f>
        <v>0</v>
      </c>
      <c r="F227" s="26">
        <f>IFERROR(__xludf.DUMMYFUNCTION("""COMPUTED_VALUE"""),0.0)</f>
        <v>0</v>
      </c>
      <c r="G227" s="26">
        <f>IFERROR(__xludf.DUMMYFUNCTION("""COMPUTED_VALUE"""),0.0)</f>
        <v>0</v>
      </c>
      <c r="H227" s="26">
        <f>IFERROR(__xludf.DUMMYFUNCTION("""COMPUTED_VALUE"""),0.0)</f>
        <v>0</v>
      </c>
      <c r="I227" s="26">
        <f>IFERROR(__xludf.DUMMYFUNCTION("""COMPUTED_VALUE"""),0.0)</f>
        <v>0</v>
      </c>
      <c r="J227" s="26">
        <f>IFERROR(__xludf.DUMMYFUNCTION("""COMPUTED_VALUE"""),0.0)</f>
        <v>0</v>
      </c>
      <c r="K227" s="26">
        <f>IFERROR(__xludf.DUMMYFUNCTION("""COMPUTED_VALUE"""),0.0)</f>
        <v>0</v>
      </c>
      <c r="L227" s="26">
        <f>IFERROR(__xludf.DUMMYFUNCTION("""COMPUTED_VALUE"""),0.0)</f>
        <v>0</v>
      </c>
      <c r="M227" s="26"/>
      <c r="N227" s="26"/>
      <c r="O227" s="26"/>
      <c r="P227" s="26"/>
      <c r="Q227" s="26"/>
      <c r="R227" s="26">
        <f>IFERROR(__xludf.DUMMYFUNCTION("""COMPUTED_VALUE"""),69.0)</f>
        <v>69</v>
      </c>
      <c r="S227" s="26">
        <f>IFERROR(__xludf.DUMMYFUNCTION("""COMPUTED_VALUE"""),30498.0)</f>
        <v>30498</v>
      </c>
      <c r="T227" s="26">
        <f>IFERROR(__xludf.DUMMYFUNCTION("""COMPUTED_VALUE"""),16215.0)</f>
        <v>16215</v>
      </c>
      <c r="U227" s="26">
        <f>IFERROR(__xludf.DUMMYFUNCTION("""COMPUTED_VALUE"""),20866.980000000003)</f>
        <v>20866.98</v>
      </c>
      <c r="V227" s="26">
        <f>IFERROR(__xludf.DUMMYFUNCTION("""COMPUTED_VALUE"""),0.0)</f>
        <v>0</v>
      </c>
      <c r="W227" s="26">
        <f>IFERROR(__xludf.DUMMYFUNCTION("""COMPUTED_VALUE"""),0.0)</f>
        <v>0</v>
      </c>
      <c r="X227" s="26">
        <f>IFERROR(__xludf.DUMMYFUNCTION("""COMPUTED_VALUE"""),4651.980000000003)</f>
        <v>4651.98</v>
      </c>
      <c r="Y227" s="26">
        <f>IFERROR(__xludf.DUMMYFUNCTION("""COMPUTED_VALUE"""),4651.980000000003)</f>
        <v>4651.98</v>
      </c>
      <c r="Z227" s="26">
        <f>IFERROR(__xludf.DUMMYFUNCTION("""COMPUTED_VALUE"""),0.0)</f>
        <v>0</v>
      </c>
      <c r="AA227" s="26">
        <f>IFERROR(__xludf.DUMMYFUNCTION("""COMPUTED_VALUE"""),0.0)</f>
        <v>0</v>
      </c>
      <c r="AB227" s="26">
        <f>IFERROR(__xludf.DUMMYFUNCTION("""COMPUTED_VALUE"""),0.0)</f>
        <v>0</v>
      </c>
      <c r="AC227" s="26">
        <f>IFERROR(__xludf.DUMMYFUNCTION("""COMPUTED_VALUE"""),0.0)</f>
        <v>0</v>
      </c>
      <c r="AD227" s="26">
        <f>IFERROR(__xludf.DUMMYFUNCTION("""COMPUTED_VALUE"""),0.0)</f>
        <v>0</v>
      </c>
      <c r="AE227" s="26">
        <f>IFERROR(__xludf.DUMMYFUNCTION("""COMPUTED_VALUE"""),0.0)</f>
        <v>0</v>
      </c>
    </row>
    <row r="228">
      <c r="A228" s="26">
        <f>IFERROR(__xludf.DUMMYFUNCTION("""COMPUTED_VALUE"""),78.0)</f>
        <v>78</v>
      </c>
      <c r="B228" s="26">
        <f>IFERROR(__xludf.DUMMYFUNCTION("""COMPUTED_VALUE"""),0.0)</f>
        <v>0</v>
      </c>
      <c r="C228" s="26">
        <f>IFERROR(__xludf.DUMMYFUNCTION("""COMPUTED_VALUE"""),0.0)</f>
        <v>0</v>
      </c>
      <c r="D228" s="26">
        <f>IFERROR(__xludf.DUMMYFUNCTION("""COMPUTED_VALUE"""),0.0)</f>
        <v>0</v>
      </c>
      <c r="E228" s="26">
        <f>IFERROR(__xludf.DUMMYFUNCTION("""COMPUTED_VALUE"""),0.0)</f>
        <v>0</v>
      </c>
      <c r="F228" s="26">
        <f>IFERROR(__xludf.DUMMYFUNCTION("""COMPUTED_VALUE"""),0.0)</f>
        <v>0</v>
      </c>
      <c r="G228" s="26">
        <f>IFERROR(__xludf.DUMMYFUNCTION("""COMPUTED_VALUE"""),0.0)</f>
        <v>0</v>
      </c>
      <c r="H228" s="26">
        <f>IFERROR(__xludf.DUMMYFUNCTION("""COMPUTED_VALUE"""),0.0)</f>
        <v>0</v>
      </c>
      <c r="I228" s="26">
        <f>IFERROR(__xludf.DUMMYFUNCTION("""COMPUTED_VALUE"""),0.0)</f>
        <v>0</v>
      </c>
      <c r="J228" s="26">
        <f>IFERROR(__xludf.DUMMYFUNCTION("""COMPUTED_VALUE"""),0.0)</f>
        <v>0</v>
      </c>
      <c r="K228" s="26">
        <f>IFERROR(__xludf.DUMMYFUNCTION("""COMPUTED_VALUE"""),0.0)</f>
        <v>0</v>
      </c>
      <c r="L228" s="26">
        <f>IFERROR(__xludf.DUMMYFUNCTION("""COMPUTED_VALUE"""),0.0)</f>
        <v>0</v>
      </c>
      <c r="M228" s="26"/>
      <c r="N228" s="26"/>
      <c r="O228" s="26"/>
      <c r="P228" s="26"/>
      <c r="Q228" s="26"/>
      <c r="R228" s="26">
        <f>IFERROR(__xludf.DUMMYFUNCTION("""COMPUTED_VALUE"""),78.0)</f>
        <v>78</v>
      </c>
      <c r="S228" s="26">
        <f>IFERROR(__xludf.DUMMYFUNCTION("""COMPUTED_VALUE"""),34476.0)</f>
        <v>34476</v>
      </c>
      <c r="T228" s="26">
        <f>IFERROR(__xludf.DUMMYFUNCTION("""COMPUTED_VALUE"""),14976.0)</f>
        <v>14976</v>
      </c>
      <c r="U228" s="26">
        <f>IFERROR(__xludf.DUMMYFUNCTION("""COMPUTED_VALUE"""),20234.760000000002)</f>
        <v>20234.76</v>
      </c>
      <c r="V228" s="26">
        <f>IFERROR(__xludf.DUMMYFUNCTION("""COMPUTED_VALUE"""),0.0)</f>
        <v>0</v>
      </c>
      <c r="W228" s="26">
        <f>IFERROR(__xludf.DUMMYFUNCTION("""COMPUTED_VALUE"""),0.0)</f>
        <v>0</v>
      </c>
      <c r="X228" s="26">
        <f>IFERROR(__xludf.DUMMYFUNCTION("""COMPUTED_VALUE"""),5258.760000000004)</f>
        <v>5258.76</v>
      </c>
      <c r="Y228" s="26">
        <f>IFERROR(__xludf.DUMMYFUNCTION("""COMPUTED_VALUE"""),5258.760000000004)</f>
        <v>5258.76</v>
      </c>
      <c r="Z228" s="26">
        <f>IFERROR(__xludf.DUMMYFUNCTION("""COMPUTED_VALUE"""),0.0)</f>
        <v>0</v>
      </c>
      <c r="AA228" s="26">
        <f>IFERROR(__xludf.DUMMYFUNCTION("""COMPUTED_VALUE"""),0.0)</f>
        <v>0</v>
      </c>
      <c r="AB228" s="26">
        <f>IFERROR(__xludf.DUMMYFUNCTION("""COMPUTED_VALUE"""),0.0)</f>
        <v>0</v>
      </c>
      <c r="AC228" s="26">
        <f>IFERROR(__xludf.DUMMYFUNCTION("""COMPUTED_VALUE"""),0.0)</f>
        <v>0</v>
      </c>
      <c r="AD228" s="26">
        <f>IFERROR(__xludf.DUMMYFUNCTION("""COMPUTED_VALUE"""),0.0)</f>
        <v>0</v>
      </c>
      <c r="AE228" s="26">
        <f>IFERROR(__xludf.DUMMYFUNCTION("""COMPUTED_VALUE"""),0.0)</f>
        <v>0</v>
      </c>
    </row>
    <row r="229">
      <c r="A229" s="26">
        <f>IFERROR(__xludf.DUMMYFUNCTION("""COMPUTED_VALUE"""),0.0)</f>
        <v>0</v>
      </c>
      <c r="B229" s="26">
        <f>IFERROR(__xludf.DUMMYFUNCTION("""COMPUTED_VALUE"""),0.0)</f>
        <v>0</v>
      </c>
      <c r="C229" s="26">
        <f>IFERROR(__xludf.DUMMYFUNCTION("""COMPUTED_VALUE"""),0.0)</f>
        <v>0</v>
      </c>
      <c r="D229" s="26">
        <f>IFERROR(__xludf.DUMMYFUNCTION("""COMPUTED_VALUE"""),0.0)</f>
        <v>0</v>
      </c>
      <c r="E229" s="26">
        <f>IFERROR(__xludf.DUMMYFUNCTION("""COMPUTED_VALUE"""),16.0)</f>
        <v>16</v>
      </c>
      <c r="F229" s="26">
        <f>IFERROR(__xludf.DUMMYFUNCTION("""COMPUTED_VALUE"""),0.0)</f>
        <v>0</v>
      </c>
      <c r="G229" s="26">
        <f>IFERROR(__xludf.DUMMYFUNCTION("""COMPUTED_VALUE"""),0.0)</f>
        <v>0</v>
      </c>
      <c r="H229" s="26">
        <f>IFERROR(__xludf.DUMMYFUNCTION("""COMPUTED_VALUE"""),0.0)</f>
        <v>0</v>
      </c>
      <c r="I229" s="26">
        <f>IFERROR(__xludf.DUMMYFUNCTION("""COMPUTED_VALUE"""),0.0)</f>
        <v>0</v>
      </c>
      <c r="J229" s="26">
        <f>IFERROR(__xludf.DUMMYFUNCTION("""COMPUTED_VALUE"""),0.0)</f>
        <v>0</v>
      </c>
      <c r="K229" s="26">
        <f>IFERROR(__xludf.DUMMYFUNCTION("""COMPUTED_VALUE"""),0.0)</f>
        <v>0</v>
      </c>
      <c r="L229" s="26">
        <f>IFERROR(__xludf.DUMMYFUNCTION("""COMPUTED_VALUE"""),0.0)</f>
        <v>0</v>
      </c>
      <c r="M229" s="26"/>
      <c r="N229" s="26"/>
      <c r="O229" s="26"/>
      <c r="P229" s="26"/>
      <c r="Q229" s="26"/>
      <c r="R229" s="26">
        <f>IFERROR(__xludf.DUMMYFUNCTION("""COMPUTED_VALUE"""),16.0)</f>
        <v>16</v>
      </c>
      <c r="S229" s="26">
        <f>IFERROR(__xludf.DUMMYFUNCTION("""COMPUTED_VALUE"""),29600.0)</f>
        <v>29600</v>
      </c>
      <c r="T229" s="26">
        <f>IFERROR(__xludf.DUMMYFUNCTION("""COMPUTED_VALUE"""),2720.0)</f>
        <v>2720</v>
      </c>
      <c r="U229" s="26">
        <f>IFERROR(__xludf.DUMMYFUNCTION("""COMPUTED_VALUE"""),7235.199999999999)</f>
        <v>7235.2</v>
      </c>
      <c r="V229" s="26">
        <f>IFERROR(__xludf.DUMMYFUNCTION("""COMPUTED_VALUE"""),0.0)</f>
        <v>0</v>
      </c>
      <c r="W229" s="26">
        <f>IFERROR(__xludf.DUMMYFUNCTION("""COMPUTED_VALUE"""),0.0)</f>
        <v>0</v>
      </c>
      <c r="X229" s="26">
        <f>IFERROR(__xludf.DUMMYFUNCTION("""COMPUTED_VALUE"""),4515.199999999999)</f>
        <v>4515.2</v>
      </c>
      <c r="Y229" s="26">
        <f>IFERROR(__xludf.DUMMYFUNCTION("""COMPUTED_VALUE"""),4515.199999999999)</f>
        <v>4515.2</v>
      </c>
      <c r="Z229" s="26">
        <f>IFERROR(__xludf.DUMMYFUNCTION("""COMPUTED_VALUE"""),0.0)</f>
        <v>0</v>
      </c>
      <c r="AA229" s="26">
        <f>IFERROR(__xludf.DUMMYFUNCTION("""COMPUTED_VALUE"""),0.0)</f>
        <v>0</v>
      </c>
      <c r="AB229" s="26">
        <f>IFERROR(__xludf.DUMMYFUNCTION("""COMPUTED_VALUE"""),0.0)</f>
        <v>0</v>
      </c>
      <c r="AC229" s="26">
        <f>IFERROR(__xludf.DUMMYFUNCTION("""COMPUTED_VALUE"""),0.0)</f>
        <v>0</v>
      </c>
      <c r="AD229" s="26">
        <f>IFERROR(__xludf.DUMMYFUNCTION("""COMPUTED_VALUE"""),0.0)</f>
        <v>0</v>
      </c>
      <c r="AE229" s="26">
        <f>IFERROR(__xludf.DUMMYFUNCTION("""COMPUTED_VALUE"""),0.0)</f>
        <v>0</v>
      </c>
    </row>
    <row r="230">
      <c r="A230" s="26">
        <f>IFERROR(__xludf.DUMMYFUNCTION("""COMPUTED_VALUE"""),0.0)</f>
        <v>0</v>
      </c>
      <c r="B230" s="26">
        <f>IFERROR(__xludf.DUMMYFUNCTION("""COMPUTED_VALUE"""),0.0)</f>
        <v>0</v>
      </c>
      <c r="C230" s="26">
        <f>IFERROR(__xludf.DUMMYFUNCTION("""COMPUTED_VALUE"""),0.0)</f>
        <v>0</v>
      </c>
      <c r="D230" s="26">
        <f>IFERROR(__xludf.DUMMYFUNCTION("""COMPUTED_VALUE"""),0.0)</f>
        <v>0</v>
      </c>
      <c r="E230" s="26">
        <f>IFERROR(__xludf.DUMMYFUNCTION("""COMPUTED_VALUE"""),87.0)</f>
        <v>87</v>
      </c>
      <c r="F230" s="26">
        <f>IFERROR(__xludf.DUMMYFUNCTION("""COMPUTED_VALUE"""),0.0)</f>
        <v>0</v>
      </c>
      <c r="G230" s="26">
        <f>IFERROR(__xludf.DUMMYFUNCTION("""COMPUTED_VALUE"""),0.0)</f>
        <v>0</v>
      </c>
      <c r="H230" s="26">
        <f>IFERROR(__xludf.DUMMYFUNCTION("""COMPUTED_VALUE"""),0.0)</f>
        <v>0</v>
      </c>
      <c r="I230" s="26">
        <f>IFERROR(__xludf.DUMMYFUNCTION("""COMPUTED_VALUE"""),0.0)</f>
        <v>0</v>
      </c>
      <c r="J230" s="26">
        <f>IFERROR(__xludf.DUMMYFUNCTION("""COMPUTED_VALUE"""),0.0)</f>
        <v>0</v>
      </c>
      <c r="K230" s="26">
        <f>IFERROR(__xludf.DUMMYFUNCTION("""COMPUTED_VALUE"""),0.0)</f>
        <v>0</v>
      </c>
      <c r="L230" s="26">
        <f>IFERROR(__xludf.DUMMYFUNCTION("""COMPUTED_VALUE"""),0.0)</f>
        <v>0</v>
      </c>
      <c r="M230" s="26"/>
      <c r="N230" s="26"/>
      <c r="O230" s="26"/>
      <c r="P230" s="26"/>
      <c r="Q230" s="26"/>
      <c r="R230" s="26">
        <f>IFERROR(__xludf.DUMMYFUNCTION("""COMPUTED_VALUE"""),87.0)</f>
        <v>87</v>
      </c>
      <c r="S230" s="26">
        <f>IFERROR(__xludf.DUMMYFUNCTION("""COMPUTED_VALUE"""),160950.0)</f>
        <v>160950</v>
      </c>
      <c r="T230" s="26">
        <f>IFERROR(__xludf.DUMMYFUNCTION("""COMPUTED_VALUE"""),14790.0)</f>
        <v>14790</v>
      </c>
      <c r="U230" s="26">
        <f>IFERROR(__xludf.DUMMYFUNCTION("""COMPUTED_VALUE"""),39341.40000000004)</f>
        <v>39341.4</v>
      </c>
      <c r="V230" s="26">
        <f>IFERROR(__xludf.DUMMYFUNCTION("""COMPUTED_VALUE"""),0.0)</f>
        <v>0</v>
      </c>
      <c r="W230" s="26">
        <f>IFERROR(__xludf.DUMMYFUNCTION("""COMPUTED_VALUE"""),0.0)</f>
        <v>0</v>
      </c>
      <c r="X230" s="26">
        <f>IFERROR(__xludf.DUMMYFUNCTION("""COMPUTED_VALUE"""),24551.400000000038)</f>
        <v>24551.4</v>
      </c>
      <c r="Y230" s="26">
        <f>IFERROR(__xludf.DUMMYFUNCTION("""COMPUTED_VALUE"""),24551.400000000038)</f>
        <v>24551.4</v>
      </c>
      <c r="Z230" s="26">
        <f>IFERROR(__xludf.DUMMYFUNCTION("""COMPUTED_VALUE"""),0.0)</f>
        <v>0</v>
      </c>
      <c r="AA230" s="26">
        <f>IFERROR(__xludf.DUMMYFUNCTION("""COMPUTED_VALUE"""),0.0)</f>
        <v>0</v>
      </c>
      <c r="AB230" s="26">
        <f>IFERROR(__xludf.DUMMYFUNCTION("""COMPUTED_VALUE"""),0.0)</f>
        <v>0</v>
      </c>
      <c r="AC230" s="26">
        <f>IFERROR(__xludf.DUMMYFUNCTION("""COMPUTED_VALUE"""),0.0)</f>
        <v>0</v>
      </c>
      <c r="AD230" s="26">
        <f>IFERROR(__xludf.DUMMYFUNCTION("""COMPUTED_VALUE"""),0.0)</f>
        <v>0</v>
      </c>
      <c r="AE230" s="26">
        <f>IFERROR(__xludf.DUMMYFUNCTION("""COMPUTED_VALUE"""),0.0)</f>
        <v>0</v>
      </c>
    </row>
    <row r="231">
      <c r="A231" s="26">
        <f>IFERROR(__xludf.DUMMYFUNCTION("""COMPUTED_VALUE"""),0.0)</f>
        <v>0</v>
      </c>
      <c r="B231" s="26">
        <f>IFERROR(__xludf.DUMMYFUNCTION("""COMPUTED_VALUE"""),0.0)</f>
        <v>0</v>
      </c>
      <c r="C231" s="26">
        <f>IFERROR(__xludf.DUMMYFUNCTION("""COMPUTED_VALUE"""),0.0)</f>
        <v>0</v>
      </c>
      <c r="D231" s="26">
        <f>IFERROR(__xludf.DUMMYFUNCTION("""COMPUTED_VALUE"""),0.0)</f>
        <v>0</v>
      </c>
      <c r="E231" s="26">
        <f>IFERROR(__xludf.DUMMYFUNCTION("""COMPUTED_VALUE"""),59.0)</f>
        <v>59</v>
      </c>
      <c r="F231" s="26">
        <f>IFERROR(__xludf.DUMMYFUNCTION("""COMPUTED_VALUE"""),0.0)</f>
        <v>0</v>
      </c>
      <c r="G231" s="26">
        <f>IFERROR(__xludf.DUMMYFUNCTION("""COMPUTED_VALUE"""),0.0)</f>
        <v>0</v>
      </c>
      <c r="H231" s="26">
        <f>IFERROR(__xludf.DUMMYFUNCTION("""COMPUTED_VALUE"""),0.0)</f>
        <v>0</v>
      </c>
      <c r="I231" s="26">
        <f>IFERROR(__xludf.DUMMYFUNCTION("""COMPUTED_VALUE"""),0.0)</f>
        <v>0</v>
      </c>
      <c r="J231" s="26">
        <f>IFERROR(__xludf.DUMMYFUNCTION("""COMPUTED_VALUE"""),0.0)</f>
        <v>0</v>
      </c>
      <c r="K231" s="26">
        <f>IFERROR(__xludf.DUMMYFUNCTION("""COMPUTED_VALUE"""),0.0)</f>
        <v>0</v>
      </c>
      <c r="L231" s="26">
        <f>IFERROR(__xludf.DUMMYFUNCTION("""COMPUTED_VALUE"""),0.0)</f>
        <v>0</v>
      </c>
      <c r="M231" s="26"/>
      <c r="N231" s="26"/>
      <c r="O231" s="26"/>
      <c r="P231" s="26"/>
      <c r="Q231" s="26"/>
      <c r="R231" s="26">
        <f>IFERROR(__xludf.DUMMYFUNCTION("""COMPUTED_VALUE"""),59.0)</f>
        <v>59</v>
      </c>
      <c r="S231" s="26">
        <f>IFERROR(__xludf.DUMMYFUNCTION("""COMPUTED_VALUE"""),10791.09999999999)</f>
        <v>10791.1</v>
      </c>
      <c r="T231" s="26">
        <f>IFERROR(__xludf.DUMMYFUNCTION("""COMPUTED_VALUE"""),9145.0)</f>
        <v>9145</v>
      </c>
      <c r="U231" s="26">
        <f>IFERROR(__xludf.DUMMYFUNCTION("""COMPUTED_VALUE"""),10791.100000000002)</f>
        <v>10791.1</v>
      </c>
      <c r="V231" s="26">
        <f>IFERROR(__xludf.DUMMYFUNCTION("""COMPUTED_VALUE"""),0.0)</f>
        <v>0</v>
      </c>
      <c r="W231" s="26">
        <f>IFERROR(__xludf.DUMMYFUNCTION("""COMPUTED_VALUE"""),0.0)</f>
        <v>0</v>
      </c>
      <c r="X231" s="26">
        <f>IFERROR(__xludf.DUMMYFUNCTION("""COMPUTED_VALUE"""),1646.1000000000015)</f>
        <v>1646.1</v>
      </c>
      <c r="Y231" s="26">
        <f>IFERROR(__xludf.DUMMYFUNCTION("""COMPUTED_VALUE"""),1646.1000000000015)</f>
        <v>1646.1</v>
      </c>
      <c r="Z231" s="26">
        <f>IFERROR(__xludf.DUMMYFUNCTION("""COMPUTED_VALUE"""),0.0)</f>
        <v>0</v>
      </c>
      <c r="AA231" s="26">
        <f>IFERROR(__xludf.DUMMYFUNCTION("""COMPUTED_VALUE"""),0.0)</f>
        <v>0</v>
      </c>
      <c r="AB231" s="26">
        <f>IFERROR(__xludf.DUMMYFUNCTION("""COMPUTED_VALUE"""),0.0)</f>
        <v>0</v>
      </c>
      <c r="AC231" s="26">
        <f>IFERROR(__xludf.DUMMYFUNCTION("""COMPUTED_VALUE"""),0.0)</f>
        <v>0</v>
      </c>
      <c r="AD231" s="26">
        <f>IFERROR(__xludf.DUMMYFUNCTION("""COMPUTED_VALUE"""),0.0)</f>
        <v>0</v>
      </c>
      <c r="AE231" s="26">
        <f>IFERROR(__xludf.DUMMYFUNCTION("""COMPUTED_VALUE"""),0.0)</f>
        <v>0</v>
      </c>
    </row>
    <row r="232">
      <c r="A232" s="26">
        <f>IFERROR(__xludf.DUMMYFUNCTION("""COMPUTED_VALUE"""),0.0)</f>
        <v>0</v>
      </c>
      <c r="B232" s="26">
        <f>IFERROR(__xludf.DUMMYFUNCTION("""COMPUTED_VALUE"""),0.0)</f>
        <v>0</v>
      </c>
      <c r="C232" s="26">
        <f>IFERROR(__xludf.DUMMYFUNCTION("""COMPUTED_VALUE"""),0.0)</f>
        <v>0</v>
      </c>
      <c r="D232" s="26">
        <f>IFERROR(__xludf.DUMMYFUNCTION("""COMPUTED_VALUE"""),0.0)</f>
        <v>0</v>
      </c>
      <c r="E232" s="26">
        <f>IFERROR(__xludf.DUMMYFUNCTION("""COMPUTED_VALUE"""),0.0)</f>
        <v>0</v>
      </c>
      <c r="F232" s="26">
        <f>IFERROR(__xludf.DUMMYFUNCTION("""COMPUTED_VALUE"""),0.0)</f>
        <v>0</v>
      </c>
      <c r="G232" s="26">
        <f>IFERROR(__xludf.DUMMYFUNCTION("""COMPUTED_VALUE"""),0.0)</f>
        <v>0</v>
      </c>
      <c r="H232" s="26">
        <f>IFERROR(__xludf.DUMMYFUNCTION("""COMPUTED_VALUE"""),0.0)</f>
        <v>0</v>
      </c>
      <c r="I232" s="26">
        <f>IFERROR(__xludf.DUMMYFUNCTION("""COMPUTED_VALUE"""),0.0)</f>
        <v>0</v>
      </c>
      <c r="J232" s="26">
        <f>IFERROR(__xludf.DUMMYFUNCTION("""COMPUTED_VALUE"""),0.0)</f>
        <v>0</v>
      </c>
      <c r="K232" s="26">
        <f>IFERROR(__xludf.DUMMYFUNCTION("""COMPUTED_VALUE"""),0.0)</f>
        <v>0</v>
      </c>
      <c r="L232" s="26">
        <f>IFERROR(__xludf.DUMMYFUNCTION("""COMPUTED_VALUE"""),0.0)</f>
        <v>0</v>
      </c>
      <c r="M232" s="26"/>
      <c r="N232" s="26"/>
      <c r="O232" s="26"/>
      <c r="P232" s="26"/>
      <c r="Q232" s="26"/>
      <c r="R232" s="26">
        <f>IFERROR(__xludf.DUMMYFUNCTION("""COMPUTED_VALUE"""),0.0)</f>
        <v>0</v>
      </c>
      <c r="S232" s="26">
        <f>IFERROR(__xludf.DUMMYFUNCTION("""COMPUTED_VALUE"""),0.0)</f>
        <v>0</v>
      </c>
      <c r="T232" s="26">
        <f>IFERROR(__xludf.DUMMYFUNCTION("""COMPUTED_VALUE"""),0.0)</f>
        <v>0</v>
      </c>
      <c r="U232" s="26">
        <f>IFERROR(__xludf.DUMMYFUNCTION("""COMPUTED_VALUE"""),0.0)</f>
        <v>0</v>
      </c>
      <c r="V232" s="26">
        <f>IFERROR(__xludf.DUMMYFUNCTION("""COMPUTED_VALUE"""),0.0)</f>
        <v>0</v>
      </c>
      <c r="W232" s="26">
        <f>IFERROR(__xludf.DUMMYFUNCTION("""COMPUTED_VALUE"""),0.0)</f>
        <v>0</v>
      </c>
      <c r="X232" s="26">
        <f>IFERROR(__xludf.DUMMYFUNCTION("""COMPUTED_VALUE"""),0.0)</f>
        <v>0</v>
      </c>
      <c r="Y232" s="26">
        <f>IFERROR(__xludf.DUMMYFUNCTION("""COMPUTED_VALUE"""),0.0)</f>
        <v>0</v>
      </c>
      <c r="Z232" s="26">
        <f>IFERROR(__xludf.DUMMYFUNCTION("""COMPUTED_VALUE"""),0.0)</f>
        <v>0</v>
      </c>
      <c r="AA232" s="26">
        <f>IFERROR(__xludf.DUMMYFUNCTION("""COMPUTED_VALUE"""),0.0)</f>
        <v>0</v>
      </c>
      <c r="AB232" s="26">
        <f>IFERROR(__xludf.DUMMYFUNCTION("""COMPUTED_VALUE"""),0.0)</f>
        <v>0</v>
      </c>
      <c r="AC232" s="26">
        <f>IFERROR(__xludf.DUMMYFUNCTION("""COMPUTED_VALUE"""),0.0)</f>
        <v>0</v>
      </c>
      <c r="AD232" s="26">
        <f>IFERROR(__xludf.DUMMYFUNCTION("""COMPUTED_VALUE"""),0.0)</f>
        <v>0</v>
      </c>
      <c r="AE232" s="26">
        <f>IFERROR(__xludf.DUMMYFUNCTION("""COMPUTED_VALUE"""),0.0)</f>
        <v>0</v>
      </c>
    </row>
    <row r="233">
      <c r="A233" s="26">
        <f>IFERROR(__xludf.DUMMYFUNCTION("""COMPUTED_VALUE"""),0.0)</f>
        <v>0</v>
      </c>
      <c r="B233" s="26">
        <f>IFERROR(__xludf.DUMMYFUNCTION("""COMPUTED_VALUE"""),0.0)</f>
        <v>0</v>
      </c>
      <c r="C233" s="26">
        <f>IFERROR(__xludf.DUMMYFUNCTION("""COMPUTED_VALUE"""),0.0)</f>
        <v>0</v>
      </c>
      <c r="D233" s="26">
        <f>IFERROR(__xludf.DUMMYFUNCTION("""COMPUTED_VALUE"""),0.0)</f>
        <v>0</v>
      </c>
      <c r="E233" s="26">
        <f>IFERROR(__xludf.DUMMYFUNCTION("""COMPUTED_VALUE"""),0.0)</f>
        <v>0</v>
      </c>
      <c r="F233" s="26">
        <f>IFERROR(__xludf.DUMMYFUNCTION("""COMPUTED_VALUE"""),0.0)</f>
        <v>0</v>
      </c>
      <c r="G233" s="26">
        <f>IFERROR(__xludf.DUMMYFUNCTION("""COMPUTED_VALUE"""),0.0)</f>
        <v>0</v>
      </c>
      <c r="H233" s="26">
        <f>IFERROR(__xludf.DUMMYFUNCTION("""COMPUTED_VALUE"""),0.0)</f>
        <v>0</v>
      </c>
      <c r="I233" s="26">
        <f>IFERROR(__xludf.DUMMYFUNCTION("""COMPUTED_VALUE"""),0.0)</f>
        <v>0</v>
      </c>
      <c r="J233" s="26">
        <f>IFERROR(__xludf.DUMMYFUNCTION("""COMPUTED_VALUE"""),0.0)</f>
        <v>0</v>
      </c>
      <c r="K233" s="26">
        <f>IFERROR(__xludf.DUMMYFUNCTION("""COMPUTED_VALUE"""),0.0)</f>
        <v>0</v>
      </c>
      <c r="L233" s="26">
        <f>IFERROR(__xludf.DUMMYFUNCTION("""COMPUTED_VALUE"""),0.0)</f>
        <v>0</v>
      </c>
      <c r="M233" s="26"/>
      <c r="N233" s="26"/>
      <c r="O233" s="26"/>
      <c r="P233" s="26"/>
      <c r="Q233" s="26"/>
      <c r="R233" s="26">
        <f>IFERROR(__xludf.DUMMYFUNCTION("""COMPUTED_VALUE"""),0.0)</f>
        <v>0</v>
      </c>
      <c r="S233" s="26">
        <f>IFERROR(__xludf.DUMMYFUNCTION("""COMPUTED_VALUE"""),0.0)</f>
        <v>0</v>
      </c>
      <c r="T233" s="26">
        <f>IFERROR(__xludf.DUMMYFUNCTION("""COMPUTED_VALUE"""),0.0)</f>
        <v>0</v>
      </c>
      <c r="U233" s="26">
        <f>IFERROR(__xludf.DUMMYFUNCTION("""COMPUTED_VALUE"""),0.0)</f>
        <v>0</v>
      </c>
      <c r="V233" s="26">
        <f>IFERROR(__xludf.DUMMYFUNCTION("""COMPUTED_VALUE"""),0.0)</f>
        <v>0</v>
      </c>
      <c r="W233" s="26">
        <f>IFERROR(__xludf.DUMMYFUNCTION("""COMPUTED_VALUE"""),0.0)</f>
        <v>0</v>
      </c>
      <c r="X233" s="26">
        <f>IFERROR(__xludf.DUMMYFUNCTION("""COMPUTED_VALUE"""),0.0)</f>
        <v>0</v>
      </c>
      <c r="Y233" s="26">
        <f>IFERROR(__xludf.DUMMYFUNCTION("""COMPUTED_VALUE"""),0.0)</f>
        <v>0</v>
      </c>
      <c r="Z233" s="26">
        <f>IFERROR(__xludf.DUMMYFUNCTION("""COMPUTED_VALUE"""),41464.800000000054)</f>
        <v>41464.8</v>
      </c>
      <c r="AA233" s="26">
        <f>IFERROR(__xludf.DUMMYFUNCTION("""COMPUTED_VALUE"""),41464.800000000054)</f>
        <v>41464.8</v>
      </c>
      <c r="AB233" s="26">
        <f>IFERROR(__xludf.DUMMYFUNCTION("""COMPUTED_VALUE"""),50994.90000000004)</f>
        <v>50994.9</v>
      </c>
      <c r="AC233" s="26">
        <f>IFERROR(__xludf.DUMMYFUNCTION("""COMPUTED_VALUE"""),48445.19999999994)</f>
        <v>48445.2</v>
      </c>
      <c r="AD233" s="26">
        <f>IFERROR(__xludf.DUMMYFUNCTION("""COMPUTED_VALUE"""),2549.6999999999966)</f>
        <v>2549.7</v>
      </c>
      <c r="AE233" s="26">
        <f>IFERROR(__xludf.DUMMYFUNCTION("""COMPUTED_VALUE"""),0.0)</f>
        <v>0</v>
      </c>
    </row>
    <row r="234">
      <c r="A234" s="26">
        <f>IFERROR(__xludf.DUMMYFUNCTION("""COMPUTED_VALUE"""),0.0)</f>
        <v>0</v>
      </c>
      <c r="B234" s="26">
        <f>IFERROR(__xludf.DUMMYFUNCTION("""COMPUTED_VALUE"""),0.0)</f>
        <v>0</v>
      </c>
      <c r="C234" s="26">
        <f>IFERROR(__xludf.DUMMYFUNCTION("""COMPUTED_VALUE"""),168.0)</f>
        <v>168</v>
      </c>
      <c r="D234" s="26">
        <f>IFERROR(__xludf.DUMMYFUNCTION("""COMPUTED_VALUE"""),0.0)</f>
        <v>0</v>
      </c>
      <c r="E234" s="26">
        <f>IFERROR(__xludf.DUMMYFUNCTION("""COMPUTED_VALUE"""),0.0)</f>
        <v>0</v>
      </c>
      <c r="F234" s="26">
        <f>IFERROR(__xludf.DUMMYFUNCTION("""COMPUTED_VALUE"""),0.0)</f>
        <v>0</v>
      </c>
      <c r="G234" s="26">
        <f>IFERROR(__xludf.DUMMYFUNCTION("""COMPUTED_VALUE"""),0.0)</f>
        <v>0</v>
      </c>
      <c r="H234" s="26">
        <f>IFERROR(__xludf.DUMMYFUNCTION("""COMPUTED_VALUE"""),0.0)</f>
        <v>0</v>
      </c>
      <c r="I234" s="26">
        <f>IFERROR(__xludf.DUMMYFUNCTION("""COMPUTED_VALUE"""),0.0)</f>
        <v>0</v>
      </c>
      <c r="J234" s="26">
        <f>IFERROR(__xludf.DUMMYFUNCTION("""COMPUTED_VALUE"""),0.0)</f>
        <v>0</v>
      </c>
      <c r="K234" s="26">
        <f>IFERROR(__xludf.DUMMYFUNCTION("""COMPUTED_VALUE"""),0.0)</f>
        <v>0</v>
      </c>
      <c r="L234" s="26">
        <f>IFERROR(__xludf.DUMMYFUNCTION("""COMPUTED_VALUE"""),0.0)</f>
        <v>0</v>
      </c>
      <c r="M234" s="26"/>
      <c r="N234" s="26"/>
      <c r="O234" s="26"/>
      <c r="P234" s="26"/>
      <c r="Q234" s="26"/>
      <c r="R234" s="26">
        <f>IFERROR(__xludf.DUMMYFUNCTION("""COMPUTED_VALUE"""),168.0)</f>
        <v>168</v>
      </c>
      <c r="S234" s="26">
        <f>IFERROR(__xludf.DUMMYFUNCTION("""COMPUTED_VALUE"""),74256.0)</f>
        <v>74256</v>
      </c>
      <c r="T234" s="26">
        <f>IFERROR(__xludf.DUMMYFUNCTION("""COMPUTED_VALUE"""),34440.0)</f>
        <v>34440</v>
      </c>
      <c r="U234" s="26">
        <f>IFERROR(__xludf.DUMMYFUNCTION("""COMPUTED_VALUE"""),45766.56000000001)</f>
        <v>45766.56</v>
      </c>
      <c r="V234" s="26">
        <f>IFERROR(__xludf.DUMMYFUNCTION("""COMPUTED_VALUE"""),0.0)</f>
        <v>0</v>
      </c>
      <c r="W234" s="26">
        <f>IFERROR(__xludf.DUMMYFUNCTION("""COMPUTED_VALUE"""),0.0)</f>
        <v>0</v>
      </c>
      <c r="X234" s="26">
        <f>IFERROR(__xludf.DUMMYFUNCTION("""COMPUTED_VALUE"""),11326.56000000001)</f>
        <v>11326.56</v>
      </c>
      <c r="Y234" s="26">
        <f>IFERROR(__xludf.DUMMYFUNCTION("""COMPUTED_VALUE"""),11326.56000000001)</f>
        <v>11326.56</v>
      </c>
      <c r="Z234" s="26">
        <f>IFERROR(__xludf.DUMMYFUNCTION("""COMPUTED_VALUE"""),47191.20000000014)</f>
        <v>47191.2</v>
      </c>
      <c r="AA234" s="26">
        <f>IFERROR(__xludf.DUMMYFUNCTION("""COMPUTED_VALUE"""),47191.20000000014)</f>
        <v>47191.2</v>
      </c>
      <c r="AB234" s="26">
        <f>IFERROR(__xludf.DUMMYFUNCTION("""COMPUTED_VALUE"""),28489.44000000012)</f>
        <v>28489.44</v>
      </c>
      <c r="AC234" s="26">
        <f>IFERROR(__xludf.DUMMYFUNCTION("""COMPUTED_VALUE"""),27064.79999999993)</f>
        <v>27064.8</v>
      </c>
      <c r="AD234" s="26">
        <f>IFERROR(__xludf.DUMMYFUNCTION("""COMPUTED_VALUE"""),1424.6400000000024)</f>
        <v>1424.64</v>
      </c>
      <c r="AE234" s="26">
        <f>IFERROR(__xludf.DUMMYFUNCTION("""COMPUTED_VALUE"""),0.0)</f>
        <v>0</v>
      </c>
    </row>
    <row r="235">
      <c r="A235" s="26">
        <f>IFERROR(__xludf.DUMMYFUNCTION("""COMPUTED_VALUE"""),0.0)</f>
        <v>0</v>
      </c>
      <c r="B235" s="26">
        <f>IFERROR(__xludf.DUMMYFUNCTION("""COMPUTED_VALUE"""),0.0)</f>
        <v>0</v>
      </c>
      <c r="C235" s="26">
        <f>IFERROR(__xludf.DUMMYFUNCTION("""COMPUTED_VALUE"""),0.0)</f>
        <v>0</v>
      </c>
      <c r="D235" s="26">
        <f>IFERROR(__xludf.DUMMYFUNCTION("""COMPUTED_VALUE"""),0.0)</f>
        <v>0</v>
      </c>
      <c r="E235" s="26">
        <f>IFERROR(__xludf.DUMMYFUNCTION("""COMPUTED_VALUE"""),91.0)</f>
        <v>91</v>
      </c>
      <c r="F235" s="26">
        <f>IFERROR(__xludf.DUMMYFUNCTION("""COMPUTED_VALUE"""),0.0)</f>
        <v>0</v>
      </c>
      <c r="G235" s="26">
        <f>IFERROR(__xludf.DUMMYFUNCTION("""COMPUTED_VALUE"""),0.0)</f>
        <v>0</v>
      </c>
      <c r="H235" s="26">
        <f>IFERROR(__xludf.DUMMYFUNCTION("""COMPUTED_VALUE"""),0.0)</f>
        <v>0</v>
      </c>
      <c r="I235" s="26">
        <f>IFERROR(__xludf.DUMMYFUNCTION("""COMPUTED_VALUE"""),0.0)</f>
        <v>0</v>
      </c>
      <c r="J235" s="26">
        <f>IFERROR(__xludf.DUMMYFUNCTION("""COMPUTED_VALUE"""),0.0)</f>
        <v>0</v>
      </c>
      <c r="K235" s="26">
        <f>IFERROR(__xludf.DUMMYFUNCTION("""COMPUTED_VALUE"""),0.0)</f>
        <v>0</v>
      </c>
      <c r="L235" s="26">
        <f>IFERROR(__xludf.DUMMYFUNCTION("""COMPUTED_VALUE"""),0.0)</f>
        <v>0</v>
      </c>
      <c r="M235" s="26"/>
      <c r="N235" s="26"/>
      <c r="O235" s="26"/>
      <c r="P235" s="26"/>
      <c r="Q235" s="26"/>
      <c r="R235" s="26">
        <f>IFERROR(__xludf.DUMMYFUNCTION("""COMPUTED_VALUE"""),91.0)</f>
        <v>91</v>
      </c>
      <c r="S235" s="26">
        <f>IFERROR(__xludf.DUMMYFUNCTION("""COMPUTED_VALUE"""),16643.89999999998)</f>
        <v>16643.9</v>
      </c>
      <c r="T235" s="26">
        <f>IFERROR(__xludf.DUMMYFUNCTION("""COMPUTED_VALUE"""),14105.0)</f>
        <v>14105</v>
      </c>
      <c r="U235" s="26">
        <f>IFERROR(__xludf.DUMMYFUNCTION("""COMPUTED_VALUE"""),16643.900000000005)</f>
        <v>16643.9</v>
      </c>
      <c r="V235" s="26">
        <f>IFERROR(__xludf.DUMMYFUNCTION("""COMPUTED_VALUE"""),0.0)</f>
        <v>0</v>
      </c>
      <c r="W235" s="26">
        <f>IFERROR(__xludf.DUMMYFUNCTION("""COMPUTED_VALUE"""),0.0)</f>
        <v>0</v>
      </c>
      <c r="X235" s="26">
        <f>IFERROR(__xludf.DUMMYFUNCTION("""COMPUTED_VALUE"""),2538.900000000004)</f>
        <v>2538.9</v>
      </c>
      <c r="Y235" s="26">
        <f>IFERROR(__xludf.DUMMYFUNCTION("""COMPUTED_VALUE"""),2538.900000000004)</f>
        <v>2538.9</v>
      </c>
      <c r="Z235" s="26">
        <f>IFERROR(__xludf.DUMMYFUNCTION("""COMPUTED_VALUE"""),0.0)</f>
        <v>0</v>
      </c>
      <c r="AA235" s="26">
        <f>IFERROR(__xludf.DUMMYFUNCTION("""COMPUTED_VALUE"""),0.0)</f>
        <v>0</v>
      </c>
      <c r="AB235" s="26">
        <f>IFERROR(__xludf.DUMMYFUNCTION("""COMPUTED_VALUE"""),0.0)</f>
        <v>0</v>
      </c>
      <c r="AC235" s="26">
        <f>IFERROR(__xludf.DUMMYFUNCTION("""COMPUTED_VALUE"""),0.0)</f>
        <v>0</v>
      </c>
      <c r="AD235" s="26">
        <f>IFERROR(__xludf.DUMMYFUNCTION("""COMPUTED_VALUE"""),0.0)</f>
        <v>0</v>
      </c>
      <c r="AE235" s="26">
        <f>IFERROR(__xludf.DUMMYFUNCTION("""COMPUTED_VALUE"""),0.0)</f>
        <v>0</v>
      </c>
    </row>
    <row r="236">
      <c r="A236" s="26">
        <f>IFERROR(__xludf.DUMMYFUNCTION("""COMPUTED_VALUE"""),0.0)</f>
        <v>0</v>
      </c>
      <c r="B236" s="26">
        <f>IFERROR(__xludf.DUMMYFUNCTION("""COMPUTED_VALUE"""),0.0)</f>
        <v>0</v>
      </c>
      <c r="C236" s="26">
        <f>IFERROR(__xludf.DUMMYFUNCTION("""COMPUTED_VALUE"""),0.0)</f>
        <v>0</v>
      </c>
      <c r="D236" s="26">
        <f>IFERROR(__xludf.DUMMYFUNCTION("""COMPUTED_VALUE"""),0.0)</f>
        <v>0</v>
      </c>
      <c r="E236" s="26">
        <f>IFERROR(__xludf.DUMMYFUNCTION("""COMPUTED_VALUE"""),49.0)</f>
        <v>49</v>
      </c>
      <c r="F236" s="26">
        <f>IFERROR(__xludf.DUMMYFUNCTION("""COMPUTED_VALUE"""),0.0)</f>
        <v>0</v>
      </c>
      <c r="G236" s="26">
        <f>IFERROR(__xludf.DUMMYFUNCTION("""COMPUTED_VALUE"""),0.0)</f>
        <v>0</v>
      </c>
      <c r="H236" s="26">
        <f>IFERROR(__xludf.DUMMYFUNCTION("""COMPUTED_VALUE"""),0.0)</f>
        <v>0</v>
      </c>
      <c r="I236" s="26">
        <f>IFERROR(__xludf.DUMMYFUNCTION("""COMPUTED_VALUE"""),0.0)</f>
        <v>0</v>
      </c>
      <c r="J236" s="26">
        <f>IFERROR(__xludf.DUMMYFUNCTION("""COMPUTED_VALUE"""),0.0)</f>
        <v>0</v>
      </c>
      <c r="K236" s="26">
        <f>IFERROR(__xludf.DUMMYFUNCTION("""COMPUTED_VALUE"""),0.0)</f>
        <v>0</v>
      </c>
      <c r="L236" s="26">
        <f>IFERROR(__xludf.DUMMYFUNCTION("""COMPUTED_VALUE"""),0.0)</f>
        <v>0</v>
      </c>
      <c r="M236" s="26"/>
      <c r="N236" s="26"/>
      <c r="O236" s="26"/>
      <c r="P236" s="26"/>
      <c r="Q236" s="26"/>
      <c r="R236" s="26">
        <f>IFERROR(__xludf.DUMMYFUNCTION("""COMPUTED_VALUE"""),49.0)</f>
        <v>49</v>
      </c>
      <c r="S236" s="26">
        <f>IFERROR(__xludf.DUMMYFUNCTION("""COMPUTED_VALUE"""),8962.099999999993)</f>
        <v>8962.1</v>
      </c>
      <c r="T236" s="26">
        <f>IFERROR(__xludf.DUMMYFUNCTION("""COMPUTED_VALUE"""),7595.0)</f>
        <v>7595</v>
      </c>
      <c r="U236" s="26">
        <f>IFERROR(__xludf.DUMMYFUNCTION("""COMPUTED_VALUE"""),8962.1)</f>
        <v>8962.1</v>
      </c>
      <c r="V236" s="26">
        <f>IFERROR(__xludf.DUMMYFUNCTION("""COMPUTED_VALUE"""),0.0)</f>
        <v>0</v>
      </c>
      <c r="W236" s="26">
        <f>IFERROR(__xludf.DUMMYFUNCTION("""COMPUTED_VALUE"""),0.0)</f>
        <v>0</v>
      </c>
      <c r="X236" s="26">
        <f>IFERROR(__xludf.DUMMYFUNCTION("""COMPUTED_VALUE"""),1367.1000000000006)</f>
        <v>1367.1</v>
      </c>
      <c r="Y236" s="26">
        <f>IFERROR(__xludf.DUMMYFUNCTION("""COMPUTED_VALUE"""),1367.1000000000006)</f>
        <v>1367.1</v>
      </c>
      <c r="Z236" s="26">
        <f>IFERROR(__xludf.DUMMYFUNCTION("""COMPUTED_VALUE"""),0.0)</f>
        <v>0</v>
      </c>
      <c r="AA236" s="26">
        <f>IFERROR(__xludf.DUMMYFUNCTION("""COMPUTED_VALUE"""),0.0)</f>
        <v>0</v>
      </c>
      <c r="AB236" s="26">
        <f>IFERROR(__xludf.DUMMYFUNCTION("""COMPUTED_VALUE"""),0.0)</f>
        <v>0</v>
      </c>
      <c r="AC236" s="26">
        <f>IFERROR(__xludf.DUMMYFUNCTION("""COMPUTED_VALUE"""),0.0)</f>
        <v>0</v>
      </c>
      <c r="AD236" s="26">
        <f>IFERROR(__xludf.DUMMYFUNCTION("""COMPUTED_VALUE"""),0.0)</f>
        <v>0</v>
      </c>
      <c r="AE236" s="26">
        <f>IFERROR(__xludf.DUMMYFUNCTION("""COMPUTED_VALUE"""),0.0)</f>
        <v>0</v>
      </c>
    </row>
    <row r="237">
      <c r="A237" s="26">
        <f>IFERROR(__xludf.DUMMYFUNCTION("""COMPUTED_VALUE"""),0.0)</f>
        <v>0</v>
      </c>
      <c r="B237" s="26">
        <f>IFERROR(__xludf.DUMMYFUNCTION("""COMPUTED_VALUE"""),0.0)</f>
        <v>0</v>
      </c>
      <c r="C237" s="26">
        <f>IFERROR(__xludf.DUMMYFUNCTION("""COMPUTED_VALUE"""),0.0)</f>
        <v>0</v>
      </c>
      <c r="D237" s="26">
        <f>IFERROR(__xludf.DUMMYFUNCTION("""COMPUTED_VALUE"""),0.0)</f>
        <v>0</v>
      </c>
      <c r="E237" s="26">
        <f>IFERROR(__xludf.DUMMYFUNCTION("""COMPUTED_VALUE"""),36.0)</f>
        <v>36</v>
      </c>
      <c r="F237" s="26">
        <f>IFERROR(__xludf.DUMMYFUNCTION("""COMPUTED_VALUE"""),0.0)</f>
        <v>0</v>
      </c>
      <c r="G237" s="26">
        <f>IFERROR(__xludf.DUMMYFUNCTION("""COMPUTED_VALUE"""),0.0)</f>
        <v>0</v>
      </c>
      <c r="H237" s="26">
        <f>IFERROR(__xludf.DUMMYFUNCTION("""COMPUTED_VALUE"""),0.0)</f>
        <v>0</v>
      </c>
      <c r="I237" s="26">
        <f>IFERROR(__xludf.DUMMYFUNCTION("""COMPUTED_VALUE"""),0.0)</f>
        <v>0</v>
      </c>
      <c r="J237" s="26">
        <f>IFERROR(__xludf.DUMMYFUNCTION("""COMPUTED_VALUE"""),0.0)</f>
        <v>0</v>
      </c>
      <c r="K237" s="26">
        <f>IFERROR(__xludf.DUMMYFUNCTION("""COMPUTED_VALUE"""),0.0)</f>
        <v>0</v>
      </c>
      <c r="L237" s="26">
        <f>IFERROR(__xludf.DUMMYFUNCTION("""COMPUTED_VALUE"""),0.0)</f>
        <v>0</v>
      </c>
      <c r="M237" s="26"/>
      <c r="N237" s="26"/>
      <c r="O237" s="26"/>
      <c r="P237" s="26"/>
      <c r="Q237" s="26"/>
      <c r="R237" s="26">
        <f>IFERROR(__xludf.DUMMYFUNCTION("""COMPUTED_VALUE"""),36.0)</f>
        <v>36</v>
      </c>
      <c r="S237" s="26">
        <f>IFERROR(__xludf.DUMMYFUNCTION("""COMPUTED_VALUE"""),6584.399999999997)</f>
        <v>6584.4</v>
      </c>
      <c r="T237" s="26">
        <f>IFERROR(__xludf.DUMMYFUNCTION("""COMPUTED_VALUE"""),5580.0)</f>
        <v>5580</v>
      </c>
      <c r="U237" s="26">
        <f>IFERROR(__xludf.DUMMYFUNCTION("""COMPUTED_VALUE"""),6584.4)</f>
        <v>6584.4</v>
      </c>
      <c r="V237" s="26">
        <f>IFERROR(__xludf.DUMMYFUNCTION("""COMPUTED_VALUE"""),0.0)</f>
        <v>0</v>
      </c>
      <c r="W237" s="26">
        <f>IFERROR(__xludf.DUMMYFUNCTION("""COMPUTED_VALUE"""),0.0)</f>
        <v>0</v>
      </c>
      <c r="X237" s="26">
        <f>IFERROR(__xludf.DUMMYFUNCTION("""COMPUTED_VALUE"""),1004.3999999999994)</f>
        <v>1004.4</v>
      </c>
      <c r="Y237" s="26">
        <f>IFERROR(__xludf.DUMMYFUNCTION("""COMPUTED_VALUE"""),1004.3999999999994)</f>
        <v>1004.4</v>
      </c>
      <c r="Z237" s="26">
        <f>IFERROR(__xludf.DUMMYFUNCTION("""COMPUTED_VALUE"""),0.0)</f>
        <v>0</v>
      </c>
      <c r="AA237" s="26">
        <f>IFERROR(__xludf.DUMMYFUNCTION("""COMPUTED_VALUE"""),0.0)</f>
        <v>0</v>
      </c>
      <c r="AB237" s="26">
        <f>IFERROR(__xludf.DUMMYFUNCTION("""COMPUTED_VALUE"""),0.0)</f>
        <v>0</v>
      </c>
      <c r="AC237" s="26">
        <f>IFERROR(__xludf.DUMMYFUNCTION("""COMPUTED_VALUE"""),0.0)</f>
        <v>0</v>
      </c>
      <c r="AD237" s="26">
        <f>IFERROR(__xludf.DUMMYFUNCTION("""COMPUTED_VALUE"""),0.0)</f>
        <v>0</v>
      </c>
      <c r="AE237" s="26">
        <f>IFERROR(__xludf.DUMMYFUNCTION("""COMPUTED_VALUE"""),0.0)</f>
        <v>0</v>
      </c>
    </row>
    <row r="238">
      <c r="A238" s="26">
        <f>IFERROR(__xludf.DUMMYFUNCTION("""COMPUTED_VALUE"""),0.0)</f>
        <v>0</v>
      </c>
      <c r="B238" s="26">
        <f>IFERROR(__xludf.DUMMYFUNCTION("""COMPUTED_VALUE"""),0.0)</f>
        <v>0</v>
      </c>
      <c r="C238" s="26">
        <f>IFERROR(__xludf.DUMMYFUNCTION("""COMPUTED_VALUE"""),0.0)</f>
        <v>0</v>
      </c>
      <c r="D238" s="26">
        <f>IFERROR(__xludf.DUMMYFUNCTION("""COMPUTED_VALUE"""),0.0)</f>
        <v>0</v>
      </c>
      <c r="E238" s="26">
        <f>IFERROR(__xludf.DUMMYFUNCTION("""COMPUTED_VALUE"""),37.0)</f>
        <v>37</v>
      </c>
      <c r="F238" s="26">
        <f>IFERROR(__xludf.DUMMYFUNCTION("""COMPUTED_VALUE"""),0.0)</f>
        <v>0</v>
      </c>
      <c r="G238" s="26">
        <f>IFERROR(__xludf.DUMMYFUNCTION("""COMPUTED_VALUE"""),0.0)</f>
        <v>0</v>
      </c>
      <c r="H238" s="26">
        <f>IFERROR(__xludf.DUMMYFUNCTION("""COMPUTED_VALUE"""),0.0)</f>
        <v>0</v>
      </c>
      <c r="I238" s="26">
        <f>IFERROR(__xludf.DUMMYFUNCTION("""COMPUTED_VALUE"""),0.0)</f>
        <v>0</v>
      </c>
      <c r="J238" s="26">
        <f>IFERROR(__xludf.DUMMYFUNCTION("""COMPUTED_VALUE"""),0.0)</f>
        <v>0</v>
      </c>
      <c r="K238" s="26">
        <f>IFERROR(__xludf.DUMMYFUNCTION("""COMPUTED_VALUE"""),0.0)</f>
        <v>0</v>
      </c>
      <c r="L238" s="26">
        <f>IFERROR(__xludf.DUMMYFUNCTION("""COMPUTED_VALUE"""),0.0)</f>
        <v>0</v>
      </c>
      <c r="M238" s="26"/>
      <c r="N238" s="26"/>
      <c r="O238" s="26"/>
      <c r="P238" s="26"/>
      <c r="Q238" s="26"/>
      <c r="R238" s="26">
        <f>IFERROR(__xludf.DUMMYFUNCTION("""COMPUTED_VALUE"""),37.0)</f>
        <v>37</v>
      </c>
      <c r="S238" s="26">
        <f>IFERROR(__xludf.DUMMYFUNCTION("""COMPUTED_VALUE"""),6767.2999999999965)</f>
        <v>6767.3</v>
      </c>
      <c r="T238" s="26">
        <f>IFERROR(__xludf.DUMMYFUNCTION("""COMPUTED_VALUE"""),5735.0)</f>
        <v>5735</v>
      </c>
      <c r="U238" s="26">
        <f>IFERROR(__xludf.DUMMYFUNCTION("""COMPUTED_VALUE"""),6767.299999999999)</f>
        <v>6767.3</v>
      </c>
      <c r="V238" s="26">
        <f>IFERROR(__xludf.DUMMYFUNCTION("""COMPUTED_VALUE"""),0.0)</f>
        <v>0</v>
      </c>
      <c r="W238" s="26">
        <f>IFERROR(__xludf.DUMMYFUNCTION("""COMPUTED_VALUE"""),0.0)</f>
        <v>0</v>
      </c>
      <c r="X238" s="26">
        <f>IFERROR(__xludf.DUMMYFUNCTION("""COMPUTED_VALUE"""),1032.2999999999995)</f>
        <v>1032.3</v>
      </c>
      <c r="Y238" s="26">
        <f>IFERROR(__xludf.DUMMYFUNCTION("""COMPUTED_VALUE"""),1032.2999999999995)</f>
        <v>1032.3</v>
      </c>
      <c r="Z238" s="26">
        <f>IFERROR(__xludf.DUMMYFUNCTION("""COMPUTED_VALUE"""),0.0)</f>
        <v>0</v>
      </c>
      <c r="AA238" s="26">
        <f>IFERROR(__xludf.DUMMYFUNCTION("""COMPUTED_VALUE"""),0.0)</f>
        <v>0</v>
      </c>
      <c r="AB238" s="26">
        <f>IFERROR(__xludf.DUMMYFUNCTION("""COMPUTED_VALUE"""),0.0)</f>
        <v>0</v>
      </c>
      <c r="AC238" s="26">
        <f>IFERROR(__xludf.DUMMYFUNCTION("""COMPUTED_VALUE"""),0.0)</f>
        <v>0</v>
      </c>
      <c r="AD238" s="26">
        <f>IFERROR(__xludf.DUMMYFUNCTION("""COMPUTED_VALUE"""),0.0)</f>
        <v>0</v>
      </c>
      <c r="AE238" s="26">
        <f>IFERROR(__xludf.DUMMYFUNCTION("""COMPUTED_VALUE"""),0.0)</f>
        <v>0</v>
      </c>
    </row>
    <row r="239">
      <c r="A239" s="26">
        <f>IFERROR(__xludf.DUMMYFUNCTION("""COMPUTED_VALUE"""),0.0)</f>
        <v>0</v>
      </c>
      <c r="B239" s="26">
        <f>IFERROR(__xludf.DUMMYFUNCTION("""COMPUTED_VALUE"""),0.0)</f>
        <v>0</v>
      </c>
      <c r="C239" s="26">
        <f>IFERROR(__xludf.DUMMYFUNCTION("""COMPUTED_VALUE"""),0.0)</f>
        <v>0</v>
      </c>
      <c r="D239" s="26">
        <f>IFERROR(__xludf.DUMMYFUNCTION("""COMPUTED_VALUE"""),0.0)</f>
        <v>0</v>
      </c>
      <c r="E239" s="26">
        <f>IFERROR(__xludf.DUMMYFUNCTION("""COMPUTED_VALUE"""),0.0)</f>
        <v>0</v>
      </c>
      <c r="F239" s="26">
        <f>IFERROR(__xludf.DUMMYFUNCTION("""COMPUTED_VALUE"""),0.0)</f>
        <v>0</v>
      </c>
      <c r="G239" s="26">
        <f>IFERROR(__xludf.DUMMYFUNCTION("""COMPUTED_VALUE"""),0.0)</f>
        <v>0</v>
      </c>
      <c r="H239" s="26">
        <f>IFERROR(__xludf.DUMMYFUNCTION("""COMPUTED_VALUE"""),0.0)</f>
        <v>0</v>
      </c>
      <c r="I239" s="26">
        <f>IFERROR(__xludf.DUMMYFUNCTION("""COMPUTED_VALUE"""),0.0)</f>
        <v>0</v>
      </c>
      <c r="J239" s="26">
        <f>IFERROR(__xludf.DUMMYFUNCTION("""COMPUTED_VALUE"""),0.0)</f>
        <v>0</v>
      </c>
      <c r="K239" s="26">
        <f>IFERROR(__xludf.DUMMYFUNCTION("""COMPUTED_VALUE"""),90.0)</f>
        <v>90</v>
      </c>
      <c r="L239" s="26">
        <f>IFERROR(__xludf.DUMMYFUNCTION("""COMPUTED_VALUE"""),0.0)</f>
        <v>0</v>
      </c>
      <c r="M239" s="26"/>
      <c r="N239" s="26"/>
      <c r="O239" s="26"/>
      <c r="P239" s="26"/>
      <c r="Q239" s="26"/>
      <c r="R239" s="26">
        <f>IFERROR(__xludf.DUMMYFUNCTION("""COMPUTED_VALUE"""),90.0)</f>
        <v>90</v>
      </c>
      <c r="S239" s="26">
        <f>IFERROR(__xludf.DUMMYFUNCTION("""COMPUTED_VALUE"""),89910.0)</f>
        <v>89910</v>
      </c>
      <c r="T239" s="26">
        <f>IFERROR(__xludf.DUMMYFUNCTION("""COMPUTED_VALUE"""),25200.0)</f>
        <v>25200</v>
      </c>
      <c r="U239" s="26">
        <f>IFERROR(__xludf.DUMMYFUNCTION("""COMPUTED_VALUE"""),38915.099999999984)</f>
        <v>38915.1</v>
      </c>
      <c r="V239" s="26">
        <f>IFERROR(__xludf.DUMMYFUNCTION("""COMPUTED_VALUE"""),0.0)</f>
        <v>0</v>
      </c>
      <c r="W239" s="26">
        <f>IFERROR(__xludf.DUMMYFUNCTION("""COMPUTED_VALUE"""),0.0)</f>
        <v>0</v>
      </c>
      <c r="X239" s="26">
        <f>IFERROR(__xludf.DUMMYFUNCTION("""COMPUTED_VALUE"""),13715.099999999986)</f>
        <v>13715.1</v>
      </c>
      <c r="Y239" s="26">
        <f>IFERROR(__xludf.DUMMYFUNCTION("""COMPUTED_VALUE"""),13715.099999999986)</f>
        <v>13715.1</v>
      </c>
      <c r="Z239" s="26">
        <f>IFERROR(__xludf.DUMMYFUNCTION("""COMPUTED_VALUE"""),0.0)</f>
        <v>0</v>
      </c>
      <c r="AA239" s="26">
        <f>IFERROR(__xludf.DUMMYFUNCTION("""COMPUTED_VALUE"""),0.0)</f>
        <v>0</v>
      </c>
      <c r="AB239" s="26">
        <f>IFERROR(__xludf.DUMMYFUNCTION("""COMPUTED_VALUE"""),0.0)</f>
        <v>0</v>
      </c>
      <c r="AC239" s="26">
        <f>IFERROR(__xludf.DUMMYFUNCTION("""COMPUTED_VALUE"""),0.0)</f>
        <v>0</v>
      </c>
      <c r="AD239" s="26">
        <f>IFERROR(__xludf.DUMMYFUNCTION("""COMPUTED_VALUE"""),0.0)</f>
        <v>0</v>
      </c>
      <c r="AE239" s="26">
        <f>IFERROR(__xludf.DUMMYFUNCTION("""COMPUTED_VALUE"""),0.0)</f>
        <v>0</v>
      </c>
    </row>
    <row r="240">
      <c r="A240" s="26">
        <f>IFERROR(__xludf.DUMMYFUNCTION("""COMPUTED_VALUE"""),0.0)</f>
        <v>0</v>
      </c>
      <c r="B240" s="26">
        <f>IFERROR(__xludf.DUMMYFUNCTION("""COMPUTED_VALUE"""),0.0)</f>
        <v>0</v>
      </c>
      <c r="C240" s="26">
        <f>IFERROR(__xludf.DUMMYFUNCTION("""COMPUTED_VALUE"""),20.0)</f>
        <v>20</v>
      </c>
      <c r="D240" s="26">
        <f>IFERROR(__xludf.DUMMYFUNCTION("""COMPUTED_VALUE"""),0.0)</f>
        <v>0</v>
      </c>
      <c r="E240" s="26">
        <f>IFERROR(__xludf.DUMMYFUNCTION("""COMPUTED_VALUE"""),0.0)</f>
        <v>0</v>
      </c>
      <c r="F240" s="26">
        <f>IFERROR(__xludf.DUMMYFUNCTION("""COMPUTED_VALUE"""),0.0)</f>
        <v>0</v>
      </c>
      <c r="G240" s="26">
        <f>IFERROR(__xludf.DUMMYFUNCTION("""COMPUTED_VALUE"""),0.0)</f>
        <v>0</v>
      </c>
      <c r="H240" s="26">
        <f>IFERROR(__xludf.DUMMYFUNCTION("""COMPUTED_VALUE"""),0.0)</f>
        <v>0</v>
      </c>
      <c r="I240" s="26">
        <f>IFERROR(__xludf.DUMMYFUNCTION("""COMPUTED_VALUE"""),0.0)</f>
        <v>0</v>
      </c>
      <c r="J240" s="26">
        <f>IFERROR(__xludf.DUMMYFUNCTION("""COMPUTED_VALUE"""),0.0)</f>
        <v>0</v>
      </c>
      <c r="K240" s="26">
        <f>IFERROR(__xludf.DUMMYFUNCTION("""COMPUTED_VALUE"""),0.0)</f>
        <v>0</v>
      </c>
      <c r="L240" s="26">
        <f>IFERROR(__xludf.DUMMYFUNCTION("""COMPUTED_VALUE"""),0.0)</f>
        <v>0</v>
      </c>
      <c r="M240" s="26"/>
      <c r="N240" s="26"/>
      <c r="O240" s="26"/>
      <c r="P240" s="26"/>
      <c r="Q240" s="26"/>
      <c r="R240" s="26">
        <f>IFERROR(__xludf.DUMMYFUNCTION("""COMPUTED_VALUE"""),20.0)</f>
        <v>20</v>
      </c>
      <c r="S240" s="26">
        <f>IFERROR(__xludf.DUMMYFUNCTION("""COMPUTED_VALUE"""),8840.0)</f>
        <v>8840</v>
      </c>
      <c r="T240" s="26">
        <f>IFERROR(__xludf.DUMMYFUNCTION("""COMPUTED_VALUE"""),3700.0)</f>
        <v>3700</v>
      </c>
      <c r="U240" s="26">
        <f>IFERROR(__xludf.DUMMYFUNCTION("""COMPUTED_VALUE"""),5048.4)</f>
        <v>5048.4</v>
      </c>
      <c r="V240" s="26">
        <f>IFERROR(__xludf.DUMMYFUNCTION("""COMPUTED_VALUE"""),0.0)</f>
        <v>0</v>
      </c>
      <c r="W240" s="26">
        <f>IFERROR(__xludf.DUMMYFUNCTION("""COMPUTED_VALUE"""),0.0)</f>
        <v>0</v>
      </c>
      <c r="X240" s="26">
        <f>IFERROR(__xludf.DUMMYFUNCTION("""COMPUTED_VALUE"""),1348.4)</f>
        <v>1348.4</v>
      </c>
      <c r="Y240" s="26">
        <f>IFERROR(__xludf.DUMMYFUNCTION("""COMPUTED_VALUE"""),1348.4)</f>
        <v>1348.4</v>
      </c>
      <c r="Z240" s="26">
        <f>IFERROR(__xludf.DUMMYFUNCTION("""COMPUTED_VALUE"""),0.0)</f>
        <v>0</v>
      </c>
      <c r="AA240" s="26">
        <f>IFERROR(__xludf.DUMMYFUNCTION("""COMPUTED_VALUE"""),0.0)</f>
        <v>0</v>
      </c>
      <c r="AB240" s="26">
        <f>IFERROR(__xludf.DUMMYFUNCTION("""COMPUTED_VALUE"""),0.0)</f>
        <v>0</v>
      </c>
      <c r="AC240" s="26">
        <f>IFERROR(__xludf.DUMMYFUNCTION("""COMPUTED_VALUE"""),0.0)</f>
        <v>0</v>
      </c>
      <c r="AD240" s="26">
        <f>IFERROR(__xludf.DUMMYFUNCTION("""COMPUTED_VALUE"""),0.0)</f>
        <v>0</v>
      </c>
      <c r="AE240" s="26">
        <f>IFERROR(__xludf.DUMMYFUNCTION("""COMPUTED_VALUE"""),0.0)</f>
        <v>0</v>
      </c>
    </row>
    <row r="241">
      <c r="A241" s="26">
        <f>IFERROR(__xludf.DUMMYFUNCTION("""COMPUTED_VALUE"""),0.0)</f>
        <v>0</v>
      </c>
      <c r="B241" s="26">
        <f>IFERROR(__xludf.DUMMYFUNCTION("""COMPUTED_VALUE"""),0.0)</f>
        <v>0</v>
      </c>
      <c r="C241" s="26">
        <f>IFERROR(__xludf.DUMMYFUNCTION("""COMPUTED_VALUE"""),0.0)</f>
        <v>0</v>
      </c>
      <c r="D241" s="26">
        <f>IFERROR(__xludf.DUMMYFUNCTION("""COMPUTED_VALUE"""),0.0)</f>
        <v>0</v>
      </c>
      <c r="E241" s="26">
        <f>IFERROR(__xludf.DUMMYFUNCTION("""COMPUTED_VALUE"""),0.0)</f>
        <v>0</v>
      </c>
      <c r="F241" s="26">
        <f>IFERROR(__xludf.DUMMYFUNCTION("""COMPUTED_VALUE"""),0.0)</f>
        <v>0</v>
      </c>
      <c r="G241" s="26">
        <f>IFERROR(__xludf.DUMMYFUNCTION("""COMPUTED_VALUE"""),0.0)</f>
        <v>0</v>
      </c>
      <c r="H241" s="26">
        <f>IFERROR(__xludf.DUMMYFUNCTION("""COMPUTED_VALUE"""),0.0)</f>
        <v>0</v>
      </c>
      <c r="I241" s="26">
        <f>IFERROR(__xludf.DUMMYFUNCTION("""COMPUTED_VALUE"""),0.0)</f>
        <v>0</v>
      </c>
      <c r="J241" s="26">
        <f>IFERROR(__xludf.DUMMYFUNCTION("""COMPUTED_VALUE"""),0.0)</f>
        <v>0</v>
      </c>
      <c r="K241" s="26">
        <f>IFERROR(__xludf.DUMMYFUNCTION("""COMPUTED_VALUE"""),0.0)</f>
        <v>0</v>
      </c>
      <c r="L241" s="26">
        <f>IFERROR(__xludf.DUMMYFUNCTION("""COMPUTED_VALUE"""),0.0)</f>
        <v>0</v>
      </c>
      <c r="M241" s="26"/>
      <c r="N241" s="26"/>
      <c r="O241" s="26"/>
      <c r="P241" s="26"/>
      <c r="Q241" s="26"/>
      <c r="R241" s="26">
        <f>IFERROR(__xludf.DUMMYFUNCTION("""COMPUTED_VALUE"""),0.0)</f>
        <v>0</v>
      </c>
      <c r="S241" s="26">
        <f>IFERROR(__xludf.DUMMYFUNCTION("""COMPUTED_VALUE"""),0.0)</f>
        <v>0</v>
      </c>
      <c r="T241" s="26">
        <f>IFERROR(__xludf.DUMMYFUNCTION("""COMPUTED_VALUE"""),0.0)</f>
        <v>0</v>
      </c>
      <c r="U241" s="26">
        <f>IFERROR(__xludf.DUMMYFUNCTION("""COMPUTED_VALUE"""),0.0)</f>
        <v>0</v>
      </c>
      <c r="V241" s="26">
        <f>IFERROR(__xludf.DUMMYFUNCTION("""COMPUTED_VALUE"""),0.0)</f>
        <v>0</v>
      </c>
      <c r="W241" s="26">
        <f>IFERROR(__xludf.DUMMYFUNCTION("""COMPUTED_VALUE"""),0.0)</f>
        <v>0</v>
      </c>
      <c r="X241" s="26">
        <f>IFERROR(__xludf.DUMMYFUNCTION("""COMPUTED_VALUE"""),0.0)</f>
        <v>0</v>
      </c>
      <c r="Y241" s="26">
        <f>IFERROR(__xludf.DUMMYFUNCTION("""COMPUTED_VALUE"""),0.0)</f>
        <v>0</v>
      </c>
      <c r="Z241" s="26">
        <f>IFERROR(__xludf.DUMMYFUNCTION("""COMPUTED_VALUE"""),0.0)</f>
        <v>0</v>
      </c>
      <c r="AA241" s="26">
        <f>IFERROR(__xludf.DUMMYFUNCTION("""COMPUTED_VALUE"""),0.0)</f>
        <v>0</v>
      </c>
      <c r="AB241" s="26">
        <f>IFERROR(__xludf.DUMMYFUNCTION("""COMPUTED_VALUE"""),0.0)</f>
        <v>0</v>
      </c>
      <c r="AC241" s="26">
        <f>IFERROR(__xludf.DUMMYFUNCTION("""COMPUTED_VALUE"""),0.0)</f>
        <v>0</v>
      </c>
      <c r="AD241" s="26">
        <f>IFERROR(__xludf.DUMMYFUNCTION("""COMPUTED_VALUE"""),0.0)</f>
        <v>0</v>
      </c>
      <c r="AE241" s="26">
        <f>IFERROR(__xludf.DUMMYFUNCTION("""COMPUTED_VALUE"""),0.0)</f>
        <v>0</v>
      </c>
    </row>
    <row r="242">
      <c r="A242" s="26">
        <f>IFERROR(__xludf.DUMMYFUNCTION("""COMPUTED_VALUE"""),0.0)</f>
        <v>0</v>
      </c>
      <c r="B242" s="26">
        <f>IFERROR(__xludf.DUMMYFUNCTION("""COMPUTED_VALUE"""),0.0)</f>
        <v>0</v>
      </c>
      <c r="C242" s="26">
        <f>IFERROR(__xludf.DUMMYFUNCTION("""COMPUTED_VALUE"""),0.0)</f>
        <v>0</v>
      </c>
      <c r="D242" s="26">
        <f>IFERROR(__xludf.DUMMYFUNCTION("""COMPUTED_VALUE"""),0.0)</f>
        <v>0</v>
      </c>
      <c r="E242" s="26">
        <f>IFERROR(__xludf.DUMMYFUNCTION("""COMPUTED_VALUE"""),0.0)</f>
        <v>0</v>
      </c>
      <c r="F242" s="26">
        <f>IFERROR(__xludf.DUMMYFUNCTION("""COMPUTED_VALUE"""),0.0)</f>
        <v>0</v>
      </c>
      <c r="G242" s="26">
        <f>IFERROR(__xludf.DUMMYFUNCTION("""COMPUTED_VALUE"""),0.0)</f>
        <v>0</v>
      </c>
      <c r="H242" s="26">
        <f>IFERROR(__xludf.DUMMYFUNCTION("""COMPUTED_VALUE"""),0.0)</f>
        <v>0</v>
      </c>
      <c r="I242" s="26">
        <f>IFERROR(__xludf.DUMMYFUNCTION("""COMPUTED_VALUE"""),0.0)</f>
        <v>0</v>
      </c>
      <c r="J242" s="26">
        <f>IFERROR(__xludf.DUMMYFUNCTION("""COMPUTED_VALUE"""),0.0)</f>
        <v>0</v>
      </c>
      <c r="K242" s="26">
        <f>IFERROR(__xludf.DUMMYFUNCTION("""COMPUTED_VALUE"""),0.0)</f>
        <v>0</v>
      </c>
      <c r="L242" s="26">
        <f>IFERROR(__xludf.DUMMYFUNCTION("""COMPUTED_VALUE"""),0.0)</f>
        <v>0</v>
      </c>
      <c r="M242" s="26"/>
      <c r="N242" s="26"/>
      <c r="O242" s="26"/>
      <c r="P242" s="26"/>
      <c r="Q242" s="26"/>
      <c r="R242" s="26">
        <f>IFERROR(__xludf.DUMMYFUNCTION("""COMPUTED_VALUE"""),0.0)</f>
        <v>0</v>
      </c>
      <c r="S242" s="26">
        <f>IFERROR(__xludf.DUMMYFUNCTION("""COMPUTED_VALUE"""),0.0)</f>
        <v>0</v>
      </c>
      <c r="T242" s="26">
        <f>IFERROR(__xludf.DUMMYFUNCTION("""COMPUTED_VALUE"""),0.0)</f>
        <v>0</v>
      </c>
      <c r="U242" s="26">
        <f>IFERROR(__xludf.DUMMYFUNCTION("""COMPUTED_VALUE"""),0.0)</f>
        <v>0</v>
      </c>
      <c r="V242" s="26">
        <f>IFERROR(__xludf.DUMMYFUNCTION("""COMPUTED_VALUE"""),0.0)</f>
        <v>0</v>
      </c>
      <c r="W242" s="26">
        <f>IFERROR(__xludf.DUMMYFUNCTION("""COMPUTED_VALUE"""),0.0)</f>
        <v>0</v>
      </c>
      <c r="X242" s="26">
        <f>IFERROR(__xludf.DUMMYFUNCTION("""COMPUTED_VALUE"""),0.0)</f>
        <v>0</v>
      </c>
      <c r="Y242" s="26">
        <f>IFERROR(__xludf.DUMMYFUNCTION("""COMPUTED_VALUE"""),0.0)</f>
        <v>0</v>
      </c>
      <c r="Z242" s="26">
        <f>IFERROR(__xludf.DUMMYFUNCTION("""COMPUTED_VALUE"""),0.0)</f>
        <v>0</v>
      </c>
      <c r="AA242" s="26">
        <f>IFERROR(__xludf.DUMMYFUNCTION("""COMPUTED_VALUE"""),0.0)</f>
        <v>0</v>
      </c>
      <c r="AB242" s="26">
        <f>IFERROR(__xludf.DUMMYFUNCTION("""COMPUTED_VALUE"""),0.0)</f>
        <v>0</v>
      </c>
      <c r="AC242" s="26">
        <f>IFERROR(__xludf.DUMMYFUNCTION("""COMPUTED_VALUE"""),0.0)</f>
        <v>0</v>
      </c>
      <c r="AD242" s="26">
        <f>IFERROR(__xludf.DUMMYFUNCTION("""COMPUTED_VALUE"""),0.0)</f>
        <v>0</v>
      </c>
      <c r="AE242" s="26">
        <f>IFERROR(__xludf.DUMMYFUNCTION("""COMPUTED_VALUE"""),0.0)</f>
        <v>0</v>
      </c>
    </row>
    <row r="243">
      <c r="A243" s="26">
        <f>IFERROR(__xludf.DUMMYFUNCTION("""COMPUTED_VALUE"""),0.0)</f>
        <v>0</v>
      </c>
      <c r="B243" s="26">
        <f>IFERROR(__xludf.DUMMYFUNCTION("""COMPUTED_VALUE"""),0.0)</f>
        <v>0</v>
      </c>
      <c r="C243" s="26">
        <f>IFERROR(__xludf.DUMMYFUNCTION("""COMPUTED_VALUE"""),0.0)</f>
        <v>0</v>
      </c>
      <c r="D243" s="26">
        <f>IFERROR(__xludf.DUMMYFUNCTION("""COMPUTED_VALUE"""),0.0)</f>
        <v>0</v>
      </c>
      <c r="E243" s="26">
        <f>IFERROR(__xludf.DUMMYFUNCTION("""COMPUTED_VALUE"""),0.0)</f>
        <v>0</v>
      </c>
      <c r="F243" s="26">
        <f>IFERROR(__xludf.DUMMYFUNCTION("""COMPUTED_VALUE"""),0.0)</f>
        <v>0</v>
      </c>
      <c r="G243" s="26">
        <f>IFERROR(__xludf.DUMMYFUNCTION("""COMPUTED_VALUE"""),0.0)</f>
        <v>0</v>
      </c>
      <c r="H243" s="26">
        <f>IFERROR(__xludf.DUMMYFUNCTION("""COMPUTED_VALUE"""),0.0)</f>
        <v>0</v>
      </c>
      <c r="I243" s="26">
        <f>IFERROR(__xludf.DUMMYFUNCTION("""COMPUTED_VALUE"""),0.0)</f>
        <v>0</v>
      </c>
      <c r="J243" s="26">
        <f>IFERROR(__xludf.DUMMYFUNCTION("""COMPUTED_VALUE"""),0.0)</f>
        <v>0</v>
      </c>
      <c r="K243" s="26">
        <f>IFERROR(__xludf.DUMMYFUNCTION("""COMPUTED_VALUE"""),0.0)</f>
        <v>0</v>
      </c>
      <c r="L243" s="26">
        <f>IFERROR(__xludf.DUMMYFUNCTION("""COMPUTED_VALUE"""),0.0)</f>
        <v>0</v>
      </c>
      <c r="M243" s="26"/>
      <c r="N243" s="26"/>
      <c r="O243" s="26"/>
      <c r="P243" s="26"/>
      <c r="Q243" s="26"/>
      <c r="R243" s="26">
        <f>IFERROR(__xludf.DUMMYFUNCTION("""COMPUTED_VALUE"""),0.0)</f>
        <v>0</v>
      </c>
      <c r="S243" s="26">
        <f>IFERROR(__xludf.DUMMYFUNCTION("""COMPUTED_VALUE"""),0.0)</f>
        <v>0</v>
      </c>
      <c r="T243" s="26">
        <f>IFERROR(__xludf.DUMMYFUNCTION("""COMPUTED_VALUE"""),0.0)</f>
        <v>0</v>
      </c>
      <c r="U243" s="26">
        <f>IFERROR(__xludf.DUMMYFUNCTION("""COMPUTED_VALUE"""),0.0)</f>
        <v>0</v>
      </c>
      <c r="V243" s="26">
        <f>IFERROR(__xludf.DUMMYFUNCTION("""COMPUTED_VALUE"""),0.0)</f>
        <v>0</v>
      </c>
      <c r="W243" s="26">
        <f>IFERROR(__xludf.DUMMYFUNCTION("""COMPUTED_VALUE"""),0.0)</f>
        <v>0</v>
      </c>
      <c r="X243" s="26">
        <f>IFERROR(__xludf.DUMMYFUNCTION("""COMPUTED_VALUE"""),0.0)</f>
        <v>0</v>
      </c>
      <c r="Y243" s="26">
        <f>IFERROR(__xludf.DUMMYFUNCTION("""COMPUTED_VALUE"""),0.0)</f>
        <v>0</v>
      </c>
      <c r="Z243" s="26">
        <f>IFERROR(__xludf.DUMMYFUNCTION("""COMPUTED_VALUE"""),0.0)</f>
        <v>0</v>
      </c>
      <c r="AA243" s="26">
        <f>IFERROR(__xludf.DUMMYFUNCTION("""COMPUTED_VALUE"""),0.0)</f>
        <v>0</v>
      </c>
      <c r="AB243" s="26">
        <f>IFERROR(__xludf.DUMMYFUNCTION("""COMPUTED_VALUE"""),0.0)</f>
        <v>0</v>
      </c>
      <c r="AC243" s="26">
        <f>IFERROR(__xludf.DUMMYFUNCTION("""COMPUTED_VALUE"""),0.0)</f>
        <v>0</v>
      </c>
      <c r="AD243" s="26">
        <f>IFERROR(__xludf.DUMMYFUNCTION("""COMPUTED_VALUE"""),0.0)</f>
        <v>0</v>
      </c>
      <c r="AE243" s="26">
        <f>IFERROR(__xludf.DUMMYFUNCTION("""COMPUTED_VALUE"""),0.0)</f>
        <v>0</v>
      </c>
    </row>
    <row r="244">
      <c r="A244" s="26">
        <f>IFERROR(__xludf.DUMMYFUNCTION("""COMPUTED_VALUE"""),0.0)</f>
        <v>0</v>
      </c>
      <c r="B244" s="26">
        <f>IFERROR(__xludf.DUMMYFUNCTION("""COMPUTED_VALUE"""),0.0)</f>
        <v>0</v>
      </c>
      <c r="C244" s="26">
        <f>IFERROR(__xludf.DUMMYFUNCTION("""COMPUTED_VALUE"""),0.0)</f>
        <v>0</v>
      </c>
      <c r="D244" s="26">
        <f>IFERROR(__xludf.DUMMYFUNCTION("""COMPUTED_VALUE"""),0.0)</f>
        <v>0</v>
      </c>
      <c r="E244" s="26">
        <f>IFERROR(__xludf.DUMMYFUNCTION("""COMPUTED_VALUE"""),0.0)</f>
        <v>0</v>
      </c>
      <c r="F244" s="26">
        <f>IFERROR(__xludf.DUMMYFUNCTION("""COMPUTED_VALUE"""),0.0)</f>
        <v>0</v>
      </c>
      <c r="G244" s="26">
        <f>IFERROR(__xludf.DUMMYFUNCTION("""COMPUTED_VALUE"""),0.0)</f>
        <v>0</v>
      </c>
      <c r="H244" s="26">
        <f>IFERROR(__xludf.DUMMYFUNCTION("""COMPUTED_VALUE"""),0.0)</f>
        <v>0</v>
      </c>
      <c r="I244" s="26">
        <f>IFERROR(__xludf.DUMMYFUNCTION("""COMPUTED_VALUE"""),0.0)</f>
        <v>0</v>
      </c>
      <c r="J244" s="26">
        <f>IFERROR(__xludf.DUMMYFUNCTION("""COMPUTED_VALUE"""),0.0)</f>
        <v>0</v>
      </c>
      <c r="K244" s="26">
        <f>IFERROR(__xludf.DUMMYFUNCTION("""COMPUTED_VALUE"""),0.0)</f>
        <v>0</v>
      </c>
      <c r="L244" s="26">
        <f>IFERROR(__xludf.DUMMYFUNCTION("""COMPUTED_VALUE"""),0.0)</f>
        <v>0</v>
      </c>
      <c r="M244" s="26"/>
      <c r="N244" s="26"/>
      <c r="O244" s="26"/>
      <c r="P244" s="26"/>
      <c r="Q244" s="26"/>
      <c r="R244" s="26">
        <f>IFERROR(__xludf.DUMMYFUNCTION("""COMPUTED_VALUE"""),0.0)</f>
        <v>0</v>
      </c>
      <c r="S244" s="26">
        <f>IFERROR(__xludf.DUMMYFUNCTION("""COMPUTED_VALUE"""),0.0)</f>
        <v>0</v>
      </c>
      <c r="T244" s="26">
        <f>IFERROR(__xludf.DUMMYFUNCTION("""COMPUTED_VALUE"""),0.0)</f>
        <v>0</v>
      </c>
      <c r="U244" s="26">
        <f>IFERROR(__xludf.DUMMYFUNCTION("""COMPUTED_VALUE"""),0.0)</f>
        <v>0</v>
      </c>
      <c r="V244" s="26">
        <f>IFERROR(__xludf.DUMMYFUNCTION("""COMPUTED_VALUE"""),0.0)</f>
        <v>0</v>
      </c>
      <c r="W244" s="26">
        <f>IFERROR(__xludf.DUMMYFUNCTION("""COMPUTED_VALUE"""),0.0)</f>
        <v>0</v>
      </c>
      <c r="X244" s="26">
        <f>IFERROR(__xludf.DUMMYFUNCTION("""COMPUTED_VALUE"""),0.0)</f>
        <v>0</v>
      </c>
      <c r="Y244" s="26">
        <f>IFERROR(__xludf.DUMMYFUNCTION("""COMPUTED_VALUE"""),0.0)</f>
        <v>0</v>
      </c>
      <c r="Z244" s="26">
        <f>IFERROR(__xludf.DUMMYFUNCTION("""COMPUTED_VALUE"""),0.0)</f>
        <v>0</v>
      </c>
      <c r="AA244" s="26">
        <f>IFERROR(__xludf.DUMMYFUNCTION("""COMPUTED_VALUE"""),0.0)</f>
        <v>0</v>
      </c>
      <c r="AB244" s="26">
        <f>IFERROR(__xludf.DUMMYFUNCTION("""COMPUTED_VALUE"""),0.0)</f>
        <v>0</v>
      </c>
      <c r="AC244" s="26">
        <f>IFERROR(__xludf.DUMMYFUNCTION("""COMPUTED_VALUE"""),0.0)</f>
        <v>0</v>
      </c>
      <c r="AD244" s="26">
        <f>IFERROR(__xludf.DUMMYFUNCTION("""COMPUTED_VALUE"""),0.0)</f>
        <v>0</v>
      </c>
      <c r="AE244" s="26">
        <f>IFERROR(__xludf.DUMMYFUNCTION("""COMPUTED_VALUE"""),0.0)</f>
        <v>0</v>
      </c>
    </row>
    <row r="245">
      <c r="A245" s="26">
        <f>IFERROR(__xludf.DUMMYFUNCTION("""COMPUTED_VALUE"""),0.0)</f>
        <v>0</v>
      </c>
      <c r="B245" s="26">
        <f>IFERROR(__xludf.DUMMYFUNCTION("""COMPUTED_VALUE"""),0.0)</f>
        <v>0</v>
      </c>
      <c r="C245" s="26">
        <f>IFERROR(__xludf.DUMMYFUNCTION("""COMPUTED_VALUE"""),0.0)</f>
        <v>0</v>
      </c>
      <c r="D245" s="26">
        <f>IFERROR(__xludf.DUMMYFUNCTION("""COMPUTED_VALUE"""),0.0)</f>
        <v>0</v>
      </c>
      <c r="E245" s="26">
        <f>IFERROR(__xludf.DUMMYFUNCTION("""COMPUTED_VALUE"""),0.0)</f>
        <v>0</v>
      </c>
      <c r="F245" s="26">
        <f>IFERROR(__xludf.DUMMYFUNCTION("""COMPUTED_VALUE"""),0.0)</f>
        <v>0</v>
      </c>
      <c r="G245" s="26">
        <f>IFERROR(__xludf.DUMMYFUNCTION("""COMPUTED_VALUE"""),0.0)</f>
        <v>0</v>
      </c>
      <c r="H245" s="26">
        <f>IFERROR(__xludf.DUMMYFUNCTION("""COMPUTED_VALUE"""),0.0)</f>
        <v>0</v>
      </c>
      <c r="I245" s="26">
        <f>IFERROR(__xludf.DUMMYFUNCTION("""COMPUTED_VALUE"""),0.0)</f>
        <v>0</v>
      </c>
      <c r="J245" s="26">
        <f>IFERROR(__xludf.DUMMYFUNCTION("""COMPUTED_VALUE"""),0.0)</f>
        <v>0</v>
      </c>
      <c r="K245" s="26">
        <f>IFERROR(__xludf.DUMMYFUNCTION("""COMPUTED_VALUE"""),0.0)</f>
        <v>0</v>
      </c>
      <c r="L245" s="26">
        <f>IFERROR(__xludf.DUMMYFUNCTION("""COMPUTED_VALUE"""),0.0)</f>
        <v>0</v>
      </c>
      <c r="M245" s="26"/>
      <c r="N245" s="26"/>
      <c r="O245" s="26"/>
      <c r="P245" s="26"/>
      <c r="Q245" s="26"/>
      <c r="R245" s="26">
        <f>IFERROR(__xludf.DUMMYFUNCTION("""COMPUTED_VALUE"""),0.0)</f>
        <v>0</v>
      </c>
      <c r="S245" s="26">
        <f>IFERROR(__xludf.DUMMYFUNCTION("""COMPUTED_VALUE"""),0.0)</f>
        <v>0</v>
      </c>
      <c r="T245" s="26">
        <f>IFERROR(__xludf.DUMMYFUNCTION("""COMPUTED_VALUE"""),0.0)</f>
        <v>0</v>
      </c>
      <c r="U245" s="26">
        <f>IFERROR(__xludf.DUMMYFUNCTION("""COMPUTED_VALUE"""),0.0)</f>
        <v>0</v>
      </c>
      <c r="V245" s="26">
        <f>IFERROR(__xludf.DUMMYFUNCTION("""COMPUTED_VALUE"""),0.0)</f>
        <v>0</v>
      </c>
      <c r="W245" s="26">
        <f>IFERROR(__xludf.DUMMYFUNCTION("""COMPUTED_VALUE"""),0.0)</f>
        <v>0</v>
      </c>
      <c r="X245" s="26">
        <f>IFERROR(__xludf.DUMMYFUNCTION("""COMPUTED_VALUE"""),0.0)</f>
        <v>0</v>
      </c>
      <c r="Y245" s="26">
        <f>IFERROR(__xludf.DUMMYFUNCTION("""COMPUTED_VALUE"""),0.0)</f>
        <v>0</v>
      </c>
      <c r="Z245" s="26">
        <f>IFERROR(__xludf.DUMMYFUNCTION("""COMPUTED_VALUE"""),0.0)</f>
        <v>0</v>
      </c>
      <c r="AA245" s="26">
        <f>IFERROR(__xludf.DUMMYFUNCTION("""COMPUTED_VALUE"""),0.0)</f>
        <v>0</v>
      </c>
      <c r="AB245" s="26">
        <f>IFERROR(__xludf.DUMMYFUNCTION("""COMPUTED_VALUE"""),0.0)</f>
        <v>0</v>
      </c>
      <c r="AC245" s="26">
        <f>IFERROR(__xludf.DUMMYFUNCTION("""COMPUTED_VALUE"""),0.0)</f>
        <v>0</v>
      </c>
      <c r="AD245" s="26">
        <f>IFERROR(__xludf.DUMMYFUNCTION("""COMPUTED_VALUE"""),0.0)</f>
        <v>0</v>
      </c>
      <c r="AE245" s="26">
        <f>IFERROR(__xludf.DUMMYFUNCTION("""COMPUTED_VALUE"""),0.0)</f>
        <v>0</v>
      </c>
    </row>
    <row r="246">
      <c r="A246" s="26">
        <f>IFERROR(__xludf.DUMMYFUNCTION("""COMPUTED_VALUE"""),0.0)</f>
        <v>0</v>
      </c>
      <c r="B246" s="26">
        <f>IFERROR(__xludf.DUMMYFUNCTION("""COMPUTED_VALUE"""),0.0)</f>
        <v>0</v>
      </c>
      <c r="C246" s="26">
        <f>IFERROR(__xludf.DUMMYFUNCTION("""COMPUTED_VALUE"""),0.0)</f>
        <v>0</v>
      </c>
      <c r="D246" s="26">
        <f>IFERROR(__xludf.DUMMYFUNCTION("""COMPUTED_VALUE"""),0.0)</f>
        <v>0</v>
      </c>
      <c r="E246" s="26">
        <f>IFERROR(__xludf.DUMMYFUNCTION("""COMPUTED_VALUE"""),0.0)</f>
        <v>0</v>
      </c>
      <c r="F246" s="26">
        <f>IFERROR(__xludf.DUMMYFUNCTION("""COMPUTED_VALUE"""),0.0)</f>
        <v>0</v>
      </c>
      <c r="G246" s="26">
        <f>IFERROR(__xludf.DUMMYFUNCTION("""COMPUTED_VALUE"""),0.0)</f>
        <v>0</v>
      </c>
      <c r="H246" s="26">
        <f>IFERROR(__xludf.DUMMYFUNCTION("""COMPUTED_VALUE"""),0.0)</f>
        <v>0</v>
      </c>
      <c r="I246" s="26">
        <f>IFERROR(__xludf.DUMMYFUNCTION("""COMPUTED_VALUE"""),0.0)</f>
        <v>0</v>
      </c>
      <c r="J246" s="26">
        <f>IFERROR(__xludf.DUMMYFUNCTION("""COMPUTED_VALUE"""),0.0)</f>
        <v>0</v>
      </c>
      <c r="K246" s="26">
        <f>IFERROR(__xludf.DUMMYFUNCTION("""COMPUTED_VALUE"""),0.0)</f>
        <v>0</v>
      </c>
      <c r="L246" s="26">
        <f>IFERROR(__xludf.DUMMYFUNCTION("""COMPUTED_VALUE"""),0.0)</f>
        <v>0</v>
      </c>
      <c r="M246" s="26"/>
      <c r="N246" s="26"/>
      <c r="O246" s="26"/>
      <c r="P246" s="26"/>
      <c r="Q246" s="26"/>
      <c r="R246" s="26">
        <f>IFERROR(__xludf.DUMMYFUNCTION("""COMPUTED_VALUE"""),0.0)</f>
        <v>0</v>
      </c>
      <c r="S246" s="26">
        <f>IFERROR(__xludf.DUMMYFUNCTION("""COMPUTED_VALUE"""),0.0)</f>
        <v>0</v>
      </c>
      <c r="T246" s="26">
        <f>IFERROR(__xludf.DUMMYFUNCTION("""COMPUTED_VALUE"""),0.0)</f>
        <v>0</v>
      </c>
      <c r="U246" s="26">
        <f>IFERROR(__xludf.DUMMYFUNCTION("""COMPUTED_VALUE"""),0.0)</f>
        <v>0</v>
      </c>
      <c r="V246" s="26">
        <f>IFERROR(__xludf.DUMMYFUNCTION("""COMPUTED_VALUE"""),0.0)</f>
        <v>0</v>
      </c>
      <c r="W246" s="26">
        <f>IFERROR(__xludf.DUMMYFUNCTION("""COMPUTED_VALUE"""),0.0)</f>
        <v>0</v>
      </c>
      <c r="X246" s="26">
        <f>IFERROR(__xludf.DUMMYFUNCTION("""COMPUTED_VALUE"""),0.0)</f>
        <v>0</v>
      </c>
      <c r="Y246" s="26">
        <f>IFERROR(__xludf.DUMMYFUNCTION("""COMPUTED_VALUE"""),0.0)</f>
        <v>0</v>
      </c>
      <c r="Z246" s="26">
        <f>IFERROR(__xludf.DUMMYFUNCTION("""COMPUTED_VALUE"""),0.0)</f>
        <v>0</v>
      </c>
      <c r="AA246" s="26">
        <f>IFERROR(__xludf.DUMMYFUNCTION("""COMPUTED_VALUE"""),0.0)</f>
        <v>0</v>
      </c>
      <c r="AB246" s="26">
        <f>IFERROR(__xludf.DUMMYFUNCTION("""COMPUTED_VALUE"""),0.0)</f>
        <v>0</v>
      </c>
      <c r="AC246" s="26">
        <f>IFERROR(__xludf.DUMMYFUNCTION("""COMPUTED_VALUE"""),0.0)</f>
        <v>0</v>
      </c>
      <c r="AD246" s="26">
        <f>IFERROR(__xludf.DUMMYFUNCTION("""COMPUTED_VALUE"""),0.0)</f>
        <v>0</v>
      </c>
      <c r="AE246" s="26">
        <f>IFERROR(__xludf.DUMMYFUNCTION("""COMPUTED_VALUE"""),0.0)</f>
        <v>0</v>
      </c>
    </row>
    <row r="247">
      <c r="A247" s="26">
        <f>IFERROR(__xludf.DUMMYFUNCTION("""COMPUTED_VALUE"""),0.0)</f>
        <v>0</v>
      </c>
      <c r="B247" s="26">
        <f>IFERROR(__xludf.DUMMYFUNCTION("""COMPUTED_VALUE"""),0.0)</f>
        <v>0</v>
      </c>
      <c r="C247" s="26">
        <f>IFERROR(__xludf.DUMMYFUNCTION("""COMPUTED_VALUE"""),0.0)</f>
        <v>0</v>
      </c>
      <c r="D247" s="26">
        <f>IFERROR(__xludf.DUMMYFUNCTION("""COMPUTED_VALUE"""),0.0)</f>
        <v>0</v>
      </c>
      <c r="E247" s="26">
        <f>IFERROR(__xludf.DUMMYFUNCTION("""COMPUTED_VALUE"""),0.0)</f>
        <v>0</v>
      </c>
      <c r="F247" s="26">
        <f>IFERROR(__xludf.DUMMYFUNCTION("""COMPUTED_VALUE"""),0.0)</f>
        <v>0</v>
      </c>
      <c r="G247" s="26">
        <f>IFERROR(__xludf.DUMMYFUNCTION("""COMPUTED_VALUE"""),0.0)</f>
        <v>0</v>
      </c>
      <c r="H247" s="26">
        <f>IFERROR(__xludf.DUMMYFUNCTION("""COMPUTED_VALUE"""),0.0)</f>
        <v>0</v>
      </c>
      <c r="I247" s="26">
        <f>IFERROR(__xludf.DUMMYFUNCTION("""COMPUTED_VALUE"""),0.0)</f>
        <v>0</v>
      </c>
      <c r="J247" s="26">
        <f>IFERROR(__xludf.DUMMYFUNCTION("""COMPUTED_VALUE"""),0.0)</f>
        <v>0</v>
      </c>
      <c r="K247" s="26">
        <f>IFERROR(__xludf.DUMMYFUNCTION("""COMPUTED_VALUE"""),0.0)</f>
        <v>0</v>
      </c>
      <c r="L247" s="26">
        <f>IFERROR(__xludf.DUMMYFUNCTION("""COMPUTED_VALUE"""),0.0)</f>
        <v>0</v>
      </c>
      <c r="M247" s="26"/>
      <c r="N247" s="26"/>
      <c r="O247" s="26"/>
      <c r="P247" s="26"/>
      <c r="Q247" s="26"/>
      <c r="R247" s="26">
        <f>IFERROR(__xludf.DUMMYFUNCTION("""COMPUTED_VALUE"""),0.0)</f>
        <v>0</v>
      </c>
      <c r="S247" s="26">
        <f>IFERROR(__xludf.DUMMYFUNCTION("""COMPUTED_VALUE"""),0.0)</f>
        <v>0</v>
      </c>
      <c r="T247" s="26">
        <f>IFERROR(__xludf.DUMMYFUNCTION("""COMPUTED_VALUE"""),0.0)</f>
        <v>0</v>
      </c>
      <c r="U247" s="26">
        <f>IFERROR(__xludf.DUMMYFUNCTION("""COMPUTED_VALUE"""),0.0)</f>
        <v>0</v>
      </c>
      <c r="V247" s="26">
        <f>IFERROR(__xludf.DUMMYFUNCTION("""COMPUTED_VALUE"""),0.0)</f>
        <v>0</v>
      </c>
      <c r="W247" s="26">
        <f>IFERROR(__xludf.DUMMYFUNCTION("""COMPUTED_VALUE"""),0.0)</f>
        <v>0</v>
      </c>
      <c r="X247" s="26">
        <f>IFERROR(__xludf.DUMMYFUNCTION("""COMPUTED_VALUE"""),0.0)</f>
        <v>0</v>
      </c>
      <c r="Y247" s="26">
        <f>IFERROR(__xludf.DUMMYFUNCTION("""COMPUTED_VALUE"""),0.0)</f>
        <v>0</v>
      </c>
      <c r="Z247" s="26">
        <f>IFERROR(__xludf.DUMMYFUNCTION("""COMPUTED_VALUE"""),0.0)</f>
        <v>0</v>
      </c>
      <c r="AA247" s="26">
        <f>IFERROR(__xludf.DUMMYFUNCTION("""COMPUTED_VALUE"""),0.0)</f>
        <v>0</v>
      </c>
      <c r="AB247" s="26">
        <f>IFERROR(__xludf.DUMMYFUNCTION("""COMPUTED_VALUE"""),0.0)</f>
        <v>0</v>
      </c>
      <c r="AC247" s="26">
        <f>IFERROR(__xludf.DUMMYFUNCTION("""COMPUTED_VALUE"""),0.0)</f>
        <v>0</v>
      </c>
      <c r="AD247" s="26">
        <f>IFERROR(__xludf.DUMMYFUNCTION("""COMPUTED_VALUE"""),0.0)</f>
        <v>0</v>
      </c>
      <c r="AE247" s="26">
        <f>IFERROR(__xludf.DUMMYFUNCTION("""COMPUTED_VALUE"""),0.0)</f>
        <v>0</v>
      </c>
    </row>
    <row r="248">
      <c r="A248" s="26">
        <f>IFERROR(__xludf.DUMMYFUNCTION("""COMPUTED_VALUE"""),0.0)</f>
        <v>0</v>
      </c>
      <c r="B248" s="26">
        <f>IFERROR(__xludf.DUMMYFUNCTION("""COMPUTED_VALUE"""),0.0)</f>
        <v>0</v>
      </c>
      <c r="C248" s="26">
        <f>IFERROR(__xludf.DUMMYFUNCTION("""COMPUTED_VALUE"""),0.0)</f>
        <v>0</v>
      </c>
      <c r="D248" s="26">
        <f>IFERROR(__xludf.DUMMYFUNCTION("""COMPUTED_VALUE"""),0.0)</f>
        <v>0</v>
      </c>
      <c r="E248" s="26">
        <f>IFERROR(__xludf.DUMMYFUNCTION("""COMPUTED_VALUE"""),0.0)</f>
        <v>0</v>
      </c>
      <c r="F248" s="26">
        <f>IFERROR(__xludf.DUMMYFUNCTION("""COMPUTED_VALUE"""),0.0)</f>
        <v>0</v>
      </c>
      <c r="G248" s="26">
        <f>IFERROR(__xludf.DUMMYFUNCTION("""COMPUTED_VALUE"""),0.0)</f>
        <v>0</v>
      </c>
      <c r="H248" s="26">
        <f>IFERROR(__xludf.DUMMYFUNCTION("""COMPUTED_VALUE"""),0.0)</f>
        <v>0</v>
      </c>
      <c r="I248" s="26">
        <f>IFERROR(__xludf.DUMMYFUNCTION("""COMPUTED_VALUE"""),0.0)</f>
        <v>0</v>
      </c>
      <c r="J248" s="26">
        <f>IFERROR(__xludf.DUMMYFUNCTION("""COMPUTED_VALUE"""),0.0)</f>
        <v>0</v>
      </c>
      <c r="K248" s="26">
        <f>IFERROR(__xludf.DUMMYFUNCTION("""COMPUTED_VALUE"""),0.0)</f>
        <v>0</v>
      </c>
      <c r="L248" s="26">
        <f>IFERROR(__xludf.DUMMYFUNCTION("""COMPUTED_VALUE"""),0.0)</f>
        <v>0</v>
      </c>
      <c r="M248" s="26"/>
      <c r="N248" s="26"/>
      <c r="O248" s="26"/>
      <c r="P248" s="26"/>
      <c r="Q248" s="26"/>
      <c r="R248" s="26">
        <f>IFERROR(__xludf.DUMMYFUNCTION("""COMPUTED_VALUE"""),0.0)</f>
        <v>0</v>
      </c>
      <c r="S248" s="26">
        <f>IFERROR(__xludf.DUMMYFUNCTION("""COMPUTED_VALUE"""),0.0)</f>
        <v>0</v>
      </c>
      <c r="T248" s="26">
        <f>IFERROR(__xludf.DUMMYFUNCTION("""COMPUTED_VALUE"""),0.0)</f>
        <v>0</v>
      </c>
      <c r="U248" s="26">
        <f>IFERROR(__xludf.DUMMYFUNCTION("""COMPUTED_VALUE"""),0.0)</f>
        <v>0</v>
      </c>
      <c r="V248" s="26">
        <f>IFERROR(__xludf.DUMMYFUNCTION("""COMPUTED_VALUE"""),0.0)</f>
        <v>0</v>
      </c>
      <c r="W248" s="26">
        <f>IFERROR(__xludf.DUMMYFUNCTION("""COMPUTED_VALUE"""),0.0)</f>
        <v>0</v>
      </c>
      <c r="X248" s="26">
        <f>IFERROR(__xludf.DUMMYFUNCTION("""COMPUTED_VALUE"""),0.0)</f>
        <v>0</v>
      </c>
      <c r="Y248" s="26">
        <f>IFERROR(__xludf.DUMMYFUNCTION("""COMPUTED_VALUE"""),0.0)</f>
        <v>0</v>
      </c>
      <c r="Z248" s="26">
        <f>IFERROR(__xludf.DUMMYFUNCTION("""COMPUTED_VALUE"""),0.0)</f>
        <v>0</v>
      </c>
      <c r="AA248" s="26">
        <f>IFERROR(__xludf.DUMMYFUNCTION("""COMPUTED_VALUE"""),0.0)</f>
        <v>0</v>
      </c>
      <c r="AB248" s="26">
        <f>IFERROR(__xludf.DUMMYFUNCTION("""COMPUTED_VALUE"""),0.0)</f>
        <v>0</v>
      </c>
      <c r="AC248" s="26">
        <f>IFERROR(__xludf.DUMMYFUNCTION("""COMPUTED_VALUE"""),0.0)</f>
        <v>0</v>
      </c>
      <c r="AD248" s="26">
        <f>IFERROR(__xludf.DUMMYFUNCTION("""COMPUTED_VALUE"""),0.0)</f>
        <v>0</v>
      </c>
      <c r="AE248" s="26">
        <f>IFERROR(__xludf.DUMMYFUNCTION("""COMPUTED_VALUE"""),0.0)</f>
        <v>0</v>
      </c>
    </row>
    <row r="249">
      <c r="A249" s="26">
        <f>IFERROR(__xludf.DUMMYFUNCTION("""COMPUTED_VALUE"""),0.0)</f>
        <v>0</v>
      </c>
      <c r="B249" s="26">
        <f>IFERROR(__xludf.DUMMYFUNCTION("""COMPUTED_VALUE"""),0.0)</f>
        <v>0</v>
      </c>
      <c r="C249" s="26">
        <f>IFERROR(__xludf.DUMMYFUNCTION("""COMPUTED_VALUE"""),0.0)</f>
        <v>0</v>
      </c>
      <c r="D249" s="26">
        <f>IFERROR(__xludf.DUMMYFUNCTION("""COMPUTED_VALUE"""),0.0)</f>
        <v>0</v>
      </c>
      <c r="E249" s="26">
        <f>IFERROR(__xludf.DUMMYFUNCTION("""COMPUTED_VALUE"""),0.0)</f>
        <v>0</v>
      </c>
      <c r="F249" s="26">
        <f>IFERROR(__xludf.DUMMYFUNCTION("""COMPUTED_VALUE"""),0.0)</f>
        <v>0</v>
      </c>
      <c r="G249" s="26">
        <f>IFERROR(__xludf.DUMMYFUNCTION("""COMPUTED_VALUE"""),0.0)</f>
        <v>0</v>
      </c>
      <c r="H249" s="26">
        <f>IFERROR(__xludf.DUMMYFUNCTION("""COMPUTED_VALUE"""),0.0)</f>
        <v>0</v>
      </c>
      <c r="I249" s="26">
        <f>IFERROR(__xludf.DUMMYFUNCTION("""COMPUTED_VALUE"""),0.0)</f>
        <v>0</v>
      </c>
      <c r="J249" s="26">
        <f>IFERROR(__xludf.DUMMYFUNCTION("""COMPUTED_VALUE"""),0.0)</f>
        <v>0</v>
      </c>
      <c r="K249" s="26">
        <f>IFERROR(__xludf.DUMMYFUNCTION("""COMPUTED_VALUE"""),0.0)</f>
        <v>0</v>
      </c>
      <c r="L249" s="26">
        <f>IFERROR(__xludf.DUMMYFUNCTION("""COMPUTED_VALUE"""),0.0)</f>
        <v>0</v>
      </c>
      <c r="M249" s="26"/>
      <c r="N249" s="26"/>
      <c r="O249" s="26"/>
      <c r="P249" s="26"/>
      <c r="Q249" s="26"/>
      <c r="R249" s="26">
        <f>IFERROR(__xludf.DUMMYFUNCTION("""COMPUTED_VALUE"""),0.0)</f>
        <v>0</v>
      </c>
      <c r="S249" s="26">
        <f>IFERROR(__xludf.DUMMYFUNCTION("""COMPUTED_VALUE"""),0.0)</f>
        <v>0</v>
      </c>
      <c r="T249" s="26">
        <f>IFERROR(__xludf.DUMMYFUNCTION("""COMPUTED_VALUE"""),0.0)</f>
        <v>0</v>
      </c>
      <c r="U249" s="26">
        <f>IFERROR(__xludf.DUMMYFUNCTION("""COMPUTED_VALUE"""),0.0)</f>
        <v>0</v>
      </c>
      <c r="V249" s="26">
        <f>IFERROR(__xludf.DUMMYFUNCTION("""COMPUTED_VALUE"""),0.0)</f>
        <v>0</v>
      </c>
      <c r="W249" s="26">
        <f>IFERROR(__xludf.DUMMYFUNCTION("""COMPUTED_VALUE"""),0.0)</f>
        <v>0</v>
      </c>
      <c r="X249" s="26">
        <f>IFERROR(__xludf.DUMMYFUNCTION("""COMPUTED_VALUE"""),0.0)</f>
        <v>0</v>
      </c>
      <c r="Y249" s="26">
        <f>IFERROR(__xludf.DUMMYFUNCTION("""COMPUTED_VALUE"""),0.0)</f>
        <v>0</v>
      </c>
      <c r="Z249" s="26">
        <f>IFERROR(__xludf.DUMMYFUNCTION("""COMPUTED_VALUE"""),0.0)</f>
        <v>0</v>
      </c>
      <c r="AA249" s="26">
        <f>IFERROR(__xludf.DUMMYFUNCTION("""COMPUTED_VALUE"""),0.0)</f>
        <v>0</v>
      </c>
      <c r="AB249" s="26">
        <f>IFERROR(__xludf.DUMMYFUNCTION("""COMPUTED_VALUE"""),0.0)</f>
        <v>0</v>
      </c>
      <c r="AC249" s="26">
        <f>IFERROR(__xludf.DUMMYFUNCTION("""COMPUTED_VALUE"""),0.0)</f>
        <v>0</v>
      </c>
      <c r="AD249" s="26">
        <f>IFERROR(__xludf.DUMMYFUNCTION("""COMPUTED_VALUE"""),0.0)</f>
        <v>0</v>
      </c>
      <c r="AE249" s="26">
        <f>IFERROR(__xludf.DUMMYFUNCTION("""COMPUTED_VALUE"""),0.0)</f>
        <v>0</v>
      </c>
    </row>
    <row r="250">
      <c r="A250" s="26">
        <f>IFERROR(__xludf.DUMMYFUNCTION("""COMPUTED_VALUE"""),0.0)</f>
        <v>0</v>
      </c>
      <c r="B250" s="26">
        <f>IFERROR(__xludf.DUMMYFUNCTION("""COMPUTED_VALUE"""),0.0)</f>
        <v>0</v>
      </c>
      <c r="C250" s="26">
        <f>IFERROR(__xludf.DUMMYFUNCTION("""COMPUTED_VALUE"""),0.0)</f>
        <v>0</v>
      </c>
      <c r="D250" s="26">
        <f>IFERROR(__xludf.DUMMYFUNCTION("""COMPUTED_VALUE"""),0.0)</f>
        <v>0</v>
      </c>
      <c r="E250" s="26">
        <f>IFERROR(__xludf.DUMMYFUNCTION("""COMPUTED_VALUE"""),0.0)</f>
        <v>0</v>
      </c>
      <c r="F250" s="26">
        <f>IFERROR(__xludf.DUMMYFUNCTION("""COMPUTED_VALUE"""),0.0)</f>
        <v>0</v>
      </c>
      <c r="G250" s="26">
        <f>IFERROR(__xludf.DUMMYFUNCTION("""COMPUTED_VALUE"""),0.0)</f>
        <v>0</v>
      </c>
      <c r="H250" s="26">
        <f>IFERROR(__xludf.DUMMYFUNCTION("""COMPUTED_VALUE"""),0.0)</f>
        <v>0</v>
      </c>
      <c r="I250" s="26">
        <f>IFERROR(__xludf.DUMMYFUNCTION("""COMPUTED_VALUE"""),0.0)</f>
        <v>0</v>
      </c>
      <c r="J250" s="26">
        <f>IFERROR(__xludf.DUMMYFUNCTION("""COMPUTED_VALUE"""),0.0)</f>
        <v>0</v>
      </c>
      <c r="K250" s="26">
        <f>IFERROR(__xludf.DUMMYFUNCTION("""COMPUTED_VALUE"""),0.0)</f>
        <v>0</v>
      </c>
      <c r="L250" s="26">
        <f>IFERROR(__xludf.DUMMYFUNCTION("""COMPUTED_VALUE"""),0.0)</f>
        <v>0</v>
      </c>
      <c r="M250" s="26"/>
      <c r="N250" s="26"/>
      <c r="O250" s="26"/>
      <c r="P250" s="26"/>
      <c r="Q250" s="26"/>
      <c r="R250" s="26">
        <f>IFERROR(__xludf.DUMMYFUNCTION("""COMPUTED_VALUE"""),0.0)</f>
        <v>0</v>
      </c>
      <c r="S250" s="26">
        <f>IFERROR(__xludf.DUMMYFUNCTION("""COMPUTED_VALUE"""),0.0)</f>
        <v>0</v>
      </c>
      <c r="T250" s="26">
        <f>IFERROR(__xludf.DUMMYFUNCTION("""COMPUTED_VALUE"""),0.0)</f>
        <v>0</v>
      </c>
      <c r="U250" s="26">
        <f>IFERROR(__xludf.DUMMYFUNCTION("""COMPUTED_VALUE"""),0.0)</f>
        <v>0</v>
      </c>
      <c r="V250" s="26">
        <f>IFERROR(__xludf.DUMMYFUNCTION("""COMPUTED_VALUE"""),0.0)</f>
        <v>0</v>
      </c>
      <c r="W250" s="26">
        <f>IFERROR(__xludf.DUMMYFUNCTION("""COMPUTED_VALUE"""),0.0)</f>
        <v>0</v>
      </c>
      <c r="X250" s="26">
        <f>IFERROR(__xludf.DUMMYFUNCTION("""COMPUTED_VALUE"""),0.0)</f>
        <v>0</v>
      </c>
      <c r="Y250" s="26">
        <f>IFERROR(__xludf.DUMMYFUNCTION("""COMPUTED_VALUE"""),0.0)</f>
        <v>0</v>
      </c>
      <c r="Z250" s="26">
        <f>IFERROR(__xludf.DUMMYFUNCTION("""COMPUTED_VALUE"""),0.0)</f>
        <v>0</v>
      </c>
      <c r="AA250" s="26">
        <f>IFERROR(__xludf.DUMMYFUNCTION("""COMPUTED_VALUE"""),0.0)</f>
        <v>0</v>
      </c>
      <c r="AB250" s="26">
        <f>IFERROR(__xludf.DUMMYFUNCTION("""COMPUTED_VALUE"""),0.0)</f>
        <v>0</v>
      </c>
      <c r="AC250" s="26">
        <f>IFERROR(__xludf.DUMMYFUNCTION("""COMPUTED_VALUE"""),0.0)</f>
        <v>0</v>
      </c>
      <c r="AD250" s="26">
        <f>IFERROR(__xludf.DUMMYFUNCTION("""COMPUTED_VALUE"""),0.0)</f>
        <v>0</v>
      </c>
      <c r="AE250" s="26">
        <f>IFERROR(__xludf.DUMMYFUNCTION("""COMPUTED_VALUE"""),0.0)</f>
        <v>0</v>
      </c>
    </row>
    <row r="251">
      <c r="A251" s="26">
        <f>IFERROR(__xludf.DUMMYFUNCTION("""COMPUTED_VALUE"""),0.0)</f>
        <v>0</v>
      </c>
      <c r="B251" s="26">
        <f>IFERROR(__xludf.DUMMYFUNCTION("""COMPUTED_VALUE"""),0.0)</f>
        <v>0</v>
      </c>
      <c r="C251" s="26">
        <f>IFERROR(__xludf.DUMMYFUNCTION("""COMPUTED_VALUE"""),0.0)</f>
        <v>0</v>
      </c>
      <c r="D251" s="26">
        <f>IFERROR(__xludf.DUMMYFUNCTION("""COMPUTED_VALUE"""),0.0)</f>
        <v>0</v>
      </c>
      <c r="E251" s="26">
        <f>IFERROR(__xludf.DUMMYFUNCTION("""COMPUTED_VALUE"""),0.0)</f>
        <v>0</v>
      </c>
      <c r="F251" s="26">
        <f>IFERROR(__xludf.DUMMYFUNCTION("""COMPUTED_VALUE"""),0.0)</f>
        <v>0</v>
      </c>
      <c r="G251" s="26">
        <f>IFERROR(__xludf.DUMMYFUNCTION("""COMPUTED_VALUE"""),0.0)</f>
        <v>0</v>
      </c>
      <c r="H251" s="26">
        <f>IFERROR(__xludf.DUMMYFUNCTION("""COMPUTED_VALUE"""),0.0)</f>
        <v>0</v>
      </c>
      <c r="I251" s="26">
        <f>IFERROR(__xludf.DUMMYFUNCTION("""COMPUTED_VALUE"""),0.0)</f>
        <v>0</v>
      </c>
      <c r="J251" s="26">
        <f>IFERROR(__xludf.DUMMYFUNCTION("""COMPUTED_VALUE"""),0.0)</f>
        <v>0</v>
      </c>
      <c r="K251" s="26">
        <f>IFERROR(__xludf.DUMMYFUNCTION("""COMPUTED_VALUE"""),0.0)</f>
        <v>0</v>
      </c>
      <c r="L251" s="26">
        <f>IFERROR(__xludf.DUMMYFUNCTION("""COMPUTED_VALUE"""),0.0)</f>
        <v>0</v>
      </c>
      <c r="M251" s="26"/>
      <c r="N251" s="26"/>
      <c r="O251" s="26"/>
      <c r="P251" s="26"/>
      <c r="Q251" s="26"/>
      <c r="R251" s="26">
        <f>IFERROR(__xludf.DUMMYFUNCTION("""COMPUTED_VALUE"""),0.0)</f>
        <v>0</v>
      </c>
      <c r="S251" s="26">
        <f>IFERROR(__xludf.DUMMYFUNCTION("""COMPUTED_VALUE"""),0.0)</f>
        <v>0</v>
      </c>
      <c r="T251" s="26">
        <f>IFERROR(__xludf.DUMMYFUNCTION("""COMPUTED_VALUE"""),0.0)</f>
        <v>0</v>
      </c>
      <c r="U251" s="26">
        <f>IFERROR(__xludf.DUMMYFUNCTION("""COMPUTED_VALUE"""),0.0)</f>
        <v>0</v>
      </c>
      <c r="V251" s="26">
        <f>IFERROR(__xludf.DUMMYFUNCTION("""COMPUTED_VALUE"""),0.0)</f>
        <v>0</v>
      </c>
      <c r="W251" s="26">
        <f>IFERROR(__xludf.DUMMYFUNCTION("""COMPUTED_VALUE"""),0.0)</f>
        <v>0</v>
      </c>
      <c r="X251" s="26">
        <f>IFERROR(__xludf.DUMMYFUNCTION("""COMPUTED_VALUE"""),0.0)</f>
        <v>0</v>
      </c>
      <c r="Y251" s="26">
        <f>IFERROR(__xludf.DUMMYFUNCTION("""COMPUTED_VALUE"""),0.0)</f>
        <v>0</v>
      </c>
      <c r="Z251" s="26">
        <f>IFERROR(__xludf.DUMMYFUNCTION("""COMPUTED_VALUE"""),0.0)</f>
        <v>0</v>
      </c>
      <c r="AA251" s="26">
        <f>IFERROR(__xludf.DUMMYFUNCTION("""COMPUTED_VALUE"""),0.0)</f>
        <v>0</v>
      </c>
      <c r="AB251" s="26">
        <f>IFERROR(__xludf.DUMMYFUNCTION("""COMPUTED_VALUE"""),0.0)</f>
        <v>0</v>
      </c>
      <c r="AC251" s="26">
        <f>IFERROR(__xludf.DUMMYFUNCTION("""COMPUTED_VALUE"""),0.0)</f>
        <v>0</v>
      </c>
      <c r="AD251" s="26">
        <f>IFERROR(__xludf.DUMMYFUNCTION("""COMPUTED_VALUE"""),0.0)</f>
        <v>0</v>
      </c>
      <c r="AE251" s="26">
        <f>IFERROR(__xludf.DUMMYFUNCTION("""COMPUTED_VALUE"""),0.0)</f>
        <v>0</v>
      </c>
    </row>
    <row r="252">
      <c r="A252" s="26">
        <f>IFERROR(__xludf.DUMMYFUNCTION("""COMPUTED_VALUE"""),0.0)</f>
        <v>0</v>
      </c>
      <c r="B252" s="26">
        <f>IFERROR(__xludf.DUMMYFUNCTION("""COMPUTED_VALUE"""),0.0)</f>
        <v>0</v>
      </c>
      <c r="C252" s="26">
        <f>IFERROR(__xludf.DUMMYFUNCTION("""COMPUTED_VALUE"""),0.0)</f>
        <v>0</v>
      </c>
      <c r="D252" s="26">
        <f>IFERROR(__xludf.DUMMYFUNCTION("""COMPUTED_VALUE"""),0.0)</f>
        <v>0</v>
      </c>
      <c r="E252" s="26">
        <f>IFERROR(__xludf.DUMMYFUNCTION("""COMPUTED_VALUE"""),0.0)</f>
        <v>0</v>
      </c>
      <c r="F252" s="26">
        <f>IFERROR(__xludf.DUMMYFUNCTION("""COMPUTED_VALUE"""),0.0)</f>
        <v>0</v>
      </c>
      <c r="G252" s="26">
        <f>IFERROR(__xludf.DUMMYFUNCTION("""COMPUTED_VALUE"""),0.0)</f>
        <v>0</v>
      </c>
      <c r="H252" s="26">
        <f>IFERROR(__xludf.DUMMYFUNCTION("""COMPUTED_VALUE"""),0.0)</f>
        <v>0</v>
      </c>
      <c r="I252" s="26">
        <f>IFERROR(__xludf.DUMMYFUNCTION("""COMPUTED_VALUE"""),0.0)</f>
        <v>0</v>
      </c>
      <c r="J252" s="26">
        <f>IFERROR(__xludf.DUMMYFUNCTION("""COMPUTED_VALUE"""),0.0)</f>
        <v>0</v>
      </c>
      <c r="K252" s="26">
        <f>IFERROR(__xludf.DUMMYFUNCTION("""COMPUTED_VALUE"""),0.0)</f>
        <v>0</v>
      </c>
      <c r="L252" s="26">
        <f>IFERROR(__xludf.DUMMYFUNCTION("""COMPUTED_VALUE"""),0.0)</f>
        <v>0</v>
      </c>
      <c r="M252" s="26"/>
      <c r="N252" s="26"/>
      <c r="O252" s="26"/>
      <c r="P252" s="26"/>
      <c r="Q252" s="26"/>
      <c r="R252" s="26">
        <f>IFERROR(__xludf.DUMMYFUNCTION("""COMPUTED_VALUE"""),0.0)</f>
        <v>0</v>
      </c>
      <c r="S252" s="26">
        <f>IFERROR(__xludf.DUMMYFUNCTION("""COMPUTED_VALUE"""),0.0)</f>
        <v>0</v>
      </c>
      <c r="T252" s="26">
        <f>IFERROR(__xludf.DUMMYFUNCTION("""COMPUTED_VALUE"""),0.0)</f>
        <v>0</v>
      </c>
      <c r="U252" s="26">
        <f>IFERROR(__xludf.DUMMYFUNCTION("""COMPUTED_VALUE"""),0.0)</f>
        <v>0</v>
      </c>
      <c r="V252" s="26">
        <f>IFERROR(__xludf.DUMMYFUNCTION("""COMPUTED_VALUE"""),0.0)</f>
        <v>0</v>
      </c>
      <c r="W252" s="26">
        <f>IFERROR(__xludf.DUMMYFUNCTION("""COMPUTED_VALUE"""),0.0)</f>
        <v>0</v>
      </c>
      <c r="X252" s="26">
        <f>IFERROR(__xludf.DUMMYFUNCTION("""COMPUTED_VALUE"""),0.0)</f>
        <v>0</v>
      </c>
      <c r="Y252" s="26">
        <f>IFERROR(__xludf.DUMMYFUNCTION("""COMPUTED_VALUE"""),0.0)</f>
        <v>0</v>
      </c>
      <c r="Z252" s="26">
        <f>IFERROR(__xludf.DUMMYFUNCTION("""COMPUTED_VALUE"""),0.0)</f>
        <v>0</v>
      </c>
      <c r="AA252" s="26">
        <f>IFERROR(__xludf.DUMMYFUNCTION("""COMPUTED_VALUE"""),0.0)</f>
        <v>0</v>
      </c>
      <c r="AB252" s="26">
        <f>IFERROR(__xludf.DUMMYFUNCTION("""COMPUTED_VALUE"""),0.0)</f>
        <v>0</v>
      </c>
      <c r="AC252" s="26">
        <f>IFERROR(__xludf.DUMMYFUNCTION("""COMPUTED_VALUE"""),0.0)</f>
        <v>0</v>
      </c>
      <c r="AD252" s="26">
        <f>IFERROR(__xludf.DUMMYFUNCTION("""COMPUTED_VALUE"""),0.0)</f>
        <v>0</v>
      </c>
      <c r="AE252" s="26">
        <f>IFERROR(__xludf.DUMMYFUNCTION("""COMPUTED_VALUE"""),0.0)</f>
        <v>0</v>
      </c>
    </row>
    <row r="253">
      <c r="A253" s="26">
        <f>IFERROR(__xludf.DUMMYFUNCTION("""COMPUTED_VALUE"""),0.0)</f>
        <v>0</v>
      </c>
      <c r="B253" s="26">
        <f>IFERROR(__xludf.DUMMYFUNCTION("""COMPUTED_VALUE"""),0.0)</f>
        <v>0</v>
      </c>
      <c r="C253" s="26">
        <f>IFERROR(__xludf.DUMMYFUNCTION("""COMPUTED_VALUE"""),0.0)</f>
        <v>0</v>
      </c>
      <c r="D253" s="26">
        <f>IFERROR(__xludf.DUMMYFUNCTION("""COMPUTED_VALUE"""),0.0)</f>
        <v>0</v>
      </c>
      <c r="E253" s="26">
        <f>IFERROR(__xludf.DUMMYFUNCTION("""COMPUTED_VALUE"""),28.0)</f>
        <v>28</v>
      </c>
      <c r="F253" s="26">
        <f>IFERROR(__xludf.DUMMYFUNCTION("""COMPUTED_VALUE"""),0.0)</f>
        <v>0</v>
      </c>
      <c r="G253" s="26">
        <f>IFERROR(__xludf.DUMMYFUNCTION("""COMPUTED_VALUE"""),0.0)</f>
        <v>0</v>
      </c>
      <c r="H253" s="26">
        <f>IFERROR(__xludf.DUMMYFUNCTION("""COMPUTED_VALUE"""),0.0)</f>
        <v>0</v>
      </c>
      <c r="I253" s="26">
        <f>IFERROR(__xludf.DUMMYFUNCTION("""COMPUTED_VALUE"""),0.0)</f>
        <v>0</v>
      </c>
      <c r="J253" s="26">
        <f>IFERROR(__xludf.DUMMYFUNCTION("""COMPUTED_VALUE"""),0.0)</f>
        <v>0</v>
      </c>
      <c r="K253" s="26">
        <f>IFERROR(__xludf.DUMMYFUNCTION("""COMPUTED_VALUE"""),0.0)</f>
        <v>0</v>
      </c>
      <c r="L253" s="26">
        <f>IFERROR(__xludf.DUMMYFUNCTION("""COMPUTED_VALUE"""),0.0)</f>
        <v>0</v>
      </c>
      <c r="M253" s="26"/>
      <c r="N253" s="26"/>
      <c r="O253" s="26"/>
      <c r="P253" s="26"/>
      <c r="Q253" s="26"/>
      <c r="R253" s="26">
        <f>IFERROR(__xludf.DUMMYFUNCTION("""COMPUTED_VALUE"""),28.0)</f>
        <v>28</v>
      </c>
      <c r="S253" s="26">
        <f>IFERROR(__xludf.DUMMYFUNCTION("""COMPUTED_VALUE"""),49000.0)</f>
        <v>49000</v>
      </c>
      <c r="T253" s="26">
        <f>IFERROR(__xludf.DUMMYFUNCTION("""COMPUTED_VALUE"""),4760.0)</f>
        <v>4760</v>
      </c>
      <c r="U253" s="26">
        <f>IFERROR(__xludf.DUMMYFUNCTION("""COMPUTED_VALUE"""),12234.599999999997)</f>
        <v>12234.6</v>
      </c>
      <c r="V253" s="26">
        <f>IFERROR(__xludf.DUMMYFUNCTION("""COMPUTED_VALUE"""),0.0)</f>
        <v>0</v>
      </c>
      <c r="W253" s="26">
        <f>IFERROR(__xludf.DUMMYFUNCTION("""COMPUTED_VALUE"""),0.0)</f>
        <v>0</v>
      </c>
      <c r="X253" s="26">
        <f>IFERROR(__xludf.DUMMYFUNCTION("""COMPUTED_VALUE"""),7474.599999999997)</f>
        <v>7474.6</v>
      </c>
      <c r="Y253" s="26">
        <f>IFERROR(__xludf.DUMMYFUNCTION("""COMPUTED_VALUE"""),7474.599999999997)</f>
        <v>7474.6</v>
      </c>
      <c r="Z253" s="26">
        <f>IFERROR(__xludf.DUMMYFUNCTION("""COMPUTED_VALUE"""),0.0)</f>
        <v>0</v>
      </c>
      <c r="AA253" s="26">
        <f>IFERROR(__xludf.DUMMYFUNCTION("""COMPUTED_VALUE"""),0.0)</f>
        <v>0</v>
      </c>
      <c r="AB253" s="26">
        <f>IFERROR(__xludf.DUMMYFUNCTION("""COMPUTED_VALUE"""),0.0)</f>
        <v>0</v>
      </c>
      <c r="AC253" s="26">
        <f>IFERROR(__xludf.DUMMYFUNCTION("""COMPUTED_VALUE"""),0.0)</f>
        <v>0</v>
      </c>
      <c r="AD253" s="26">
        <f>IFERROR(__xludf.DUMMYFUNCTION("""COMPUTED_VALUE"""),0.0)</f>
        <v>0</v>
      </c>
      <c r="AE253" s="26">
        <f>IFERROR(__xludf.DUMMYFUNCTION("""COMPUTED_VALUE"""),0.0)</f>
        <v>0</v>
      </c>
    </row>
    <row r="254">
      <c r="A254" s="26">
        <f>IFERROR(__xludf.DUMMYFUNCTION("""COMPUTED_VALUE"""),0.0)</f>
        <v>0</v>
      </c>
      <c r="B254" s="26">
        <f>IFERROR(__xludf.DUMMYFUNCTION("""COMPUTED_VALUE"""),0.0)</f>
        <v>0</v>
      </c>
      <c r="C254" s="26">
        <f>IFERROR(__xludf.DUMMYFUNCTION("""COMPUTED_VALUE"""),0.0)</f>
        <v>0</v>
      </c>
      <c r="D254" s="26">
        <f>IFERROR(__xludf.DUMMYFUNCTION("""COMPUTED_VALUE"""),0.0)</f>
        <v>0</v>
      </c>
      <c r="E254" s="26">
        <f>IFERROR(__xludf.DUMMYFUNCTION("""COMPUTED_VALUE"""),69.0)</f>
        <v>69</v>
      </c>
      <c r="F254" s="26">
        <f>IFERROR(__xludf.DUMMYFUNCTION("""COMPUTED_VALUE"""),0.0)</f>
        <v>0</v>
      </c>
      <c r="G254" s="26">
        <f>IFERROR(__xludf.DUMMYFUNCTION("""COMPUTED_VALUE"""),0.0)</f>
        <v>0</v>
      </c>
      <c r="H254" s="26">
        <f>IFERROR(__xludf.DUMMYFUNCTION("""COMPUTED_VALUE"""),0.0)</f>
        <v>0</v>
      </c>
      <c r="I254" s="26">
        <f>IFERROR(__xludf.DUMMYFUNCTION("""COMPUTED_VALUE"""),0.0)</f>
        <v>0</v>
      </c>
      <c r="J254" s="26">
        <f>IFERROR(__xludf.DUMMYFUNCTION("""COMPUTED_VALUE"""),0.0)</f>
        <v>0</v>
      </c>
      <c r="K254" s="26">
        <f>IFERROR(__xludf.DUMMYFUNCTION("""COMPUTED_VALUE"""),0.0)</f>
        <v>0</v>
      </c>
      <c r="L254" s="26">
        <f>IFERROR(__xludf.DUMMYFUNCTION("""COMPUTED_VALUE"""),0.0)</f>
        <v>0</v>
      </c>
      <c r="M254" s="26"/>
      <c r="N254" s="26"/>
      <c r="O254" s="26"/>
      <c r="P254" s="26"/>
      <c r="Q254" s="26"/>
      <c r="R254" s="26">
        <f>IFERROR(__xludf.DUMMYFUNCTION("""COMPUTED_VALUE"""),69.0)</f>
        <v>69</v>
      </c>
      <c r="S254" s="26">
        <f>IFERROR(__xludf.DUMMYFUNCTION("""COMPUTED_VALUE"""),120750.0)</f>
        <v>120750</v>
      </c>
      <c r="T254" s="26">
        <f>IFERROR(__xludf.DUMMYFUNCTION("""COMPUTED_VALUE"""),11730.0)</f>
        <v>11730</v>
      </c>
      <c r="U254" s="26">
        <f>IFERROR(__xludf.DUMMYFUNCTION("""COMPUTED_VALUE"""),30149.550000000025)</f>
        <v>30149.55</v>
      </c>
      <c r="V254" s="26">
        <f>IFERROR(__xludf.DUMMYFUNCTION("""COMPUTED_VALUE"""),0.0)</f>
        <v>0</v>
      </c>
      <c r="W254" s="26">
        <f>IFERROR(__xludf.DUMMYFUNCTION("""COMPUTED_VALUE"""),0.0)</f>
        <v>0</v>
      </c>
      <c r="X254" s="26">
        <f>IFERROR(__xludf.DUMMYFUNCTION("""COMPUTED_VALUE"""),18419.550000000025)</f>
        <v>18419.55</v>
      </c>
      <c r="Y254" s="26">
        <f>IFERROR(__xludf.DUMMYFUNCTION("""COMPUTED_VALUE"""),18419.550000000025)</f>
        <v>18419.55</v>
      </c>
      <c r="Z254" s="26">
        <f>IFERROR(__xludf.DUMMYFUNCTION("""COMPUTED_VALUE"""),0.0)</f>
        <v>0</v>
      </c>
      <c r="AA254" s="26">
        <f>IFERROR(__xludf.DUMMYFUNCTION("""COMPUTED_VALUE"""),0.0)</f>
        <v>0</v>
      </c>
      <c r="AB254" s="26">
        <f>IFERROR(__xludf.DUMMYFUNCTION("""COMPUTED_VALUE"""),0.0)</f>
        <v>0</v>
      </c>
      <c r="AC254" s="26">
        <f>IFERROR(__xludf.DUMMYFUNCTION("""COMPUTED_VALUE"""),0.0)</f>
        <v>0</v>
      </c>
      <c r="AD254" s="26">
        <f>IFERROR(__xludf.DUMMYFUNCTION("""COMPUTED_VALUE"""),0.0)</f>
        <v>0</v>
      </c>
      <c r="AE254" s="26">
        <f>IFERROR(__xludf.DUMMYFUNCTION("""COMPUTED_VALUE"""),0.0)</f>
        <v>0</v>
      </c>
    </row>
    <row r="255">
      <c r="A255" s="26">
        <f>IFERROR(__xludf.DUMMYFUNCTION("""COMPUTED_VALUE"""),0.0)</f>
        <v>0</v>
      </c>
      <c r="B255" s="26">
        <f>IFERROR(__xludf.DUMMYFUNCTION("""COMPUTED_VALUE"""),0.0)</f>
        <v>0</v>
      </c>
      <c r="C255" s="26">
        <f>IFERROR(__xludf.DUMMYFUNCTION("""COMPUTED_VALUE"""),0.0)</f>
        <v>0</v>
      </c>
      <c r="D255" s="26">
        <f>IFERROR(__xludf.DUMMYFUNCTION("""COMPUTED_VALUE"""),0.0)</f>
        <v>0</v>
      </c>
      <c r="E255" s="26">
        <f>IFERROR(__xludf.DUMMYFUNCTION("""COMPUTED_VALUE"""),0.0)</f>
        <v>0</v>
      </c>
      <c r="F255" s="26">
        <f>IFERROR(__xludf.DUMMYFUNCTION("""COMPUTED_VALUE"""),0.0)</f>
        <v>0</v>
      </c>
      <c r="G255" s="26">
        <f>IFERROR(__xludf.DUMMYFUNCTION("""COMPUTED_VALUE"""),0.0)</f>
        <v>0</v>
      </c>
      <c r="H255" s="26">
        <f>IFERROR(__xludf.DUMMYFUNCTION("""COMPUTED_VALUE"""),0.0)</f>
        <v>0</v>
      </c>
      <c r="I255" s="26">
        <f>IFERROR(__xludf.DUMMYFUNCTION("""COMPUTED_VALUE"""),0.0)</f>
        <v>0</v>
      </c>
      <c r="J255" s="26">
        <f>IFERROR(__xludf.DUMMYFUNCTION("""COMPUTED_VALUE"""),0.0)</f>
        <v>0</v>
      </c>
      <c r="K255" s="26">
        <f>IFERROR(__xludf.DUMMYFUNCTION("""COMPUTED_VALUE"""),0.0)</f>
        <v>0</v>
      </c>
      <c r="L255" s="26">
        <f>IFERROR(__xludf.DUMMYFUNCTION("""COMPUTED_VALUE"""),0.0)</f>
        <v>0</v>
      </c>
      <c r="M255" s="26"/>
      <c r="N255" s="26"/>
      <c r="O255" s="26"/>
      <c r="P255" s="26"/>
      <c r="Q255" s="26"/>
      <c r="R255" s="26">
        <f>IFERROR(__xludf.DUMMYFUNCTION("""COMPUTED_VALUE"""),0.0)</f>
        <v>0</v>
      </c>
      <c r="S255" s="26">
        <f>IFERROR(__xludf.DUMMYFUNCTION("""COMPUTED_VALUE"""),0.0)</f>
        <v>0</v>
      </c>
      <c r="T255" s="26">
        <f>IFERROR(__xludf.DUMMYFUNCTION("""COMPUTED_VALUE"""),0.0)</f>
        <v>0</v>
      </c>
      <c r="U255" s="26">
        <f>IFERROR(__xludf.DUMMYFUNCTION("""COMPUTED_VALUE"""),0.0)</f>
        <v>0</v>
      </c>
      <c r="V255" s="26">
        <f>IFERROR(__xludf.DUMMYFUNCTION("""COMPUTED_VALUE"""),0.0)</f>
        <v>0</v>
      </c>
      <c r="W255" s="26">
        <f>IFERROR(__xludf.DUMMYFUNCTION("""COMPUTED_VALUE"""),0.0)</f>
        <v>0</v>
      </c>
      <c r="X255" s="26">
        <f>IFERROR(__xludf.DUMMYFUNCTION("""COMPUTED_VALUE"""),0.0)</f>
        <v>0</v>
      </c>
      <c r="Y255" s="26">
        <f>IFERROR(__xludf.DUMMYFUNCTION("""COMPUTED_VALUE"""),0.0)</f>
        <v>0</v>
      </c>
      <c r="Z255" s="26">
        <f>IFERROR(__xludf.DUMMYFUNCTION("""COMPUTED_VALUE"""),0.0)</f>
        <v>0</v>
      </c>
      <c r="AA255" s="26">
        <f>IFERROR(__xludf.DUMMYFUNCTION("""COMPUTED_VALUE"""),0.0)</f>
        <v>0</v>
      </c>
      <c r="AB255" s="26">
        <f>IFERROR(__xludf.DUMMYFUNCTION("""COMPUTED_VALUE"""),0.0)</f>
        <v>0</v>
      </c>
      <c r="AC255" s="26">
        <f>IFERROR(__xludf.DUMMYFUNCTION("""COMPUTED_VALUE"""),0.0)</f>
        <v>0</v>
      </c>
      <c r="AD255" s="26">
        <f>IFERROR(__xludf.DUMMYFUNCTION("""COMPUTED_VALUE"""),0.0)</f>
        <v>0</v>
      </c>
      <c r="AE255" s="26">
        <f>IFERROR(__xludf.DUMMYFUNCTION("""COMPUTED_VALUE"""),0.0)</f>
        <v>0</v>
      </c>
    </row>
    <row r="256">
      <c r="A256" s="26">
        <f>IFERROR(__xludf.DUMMYFUNCTION("""COMPUTED_VALUE"""),0.0)</f>
        <v>0</v>
      </c>
      <c r="B256" s="26">
        <f>IFERROR(__xludf.DUMMYFUNCTION("""COMPUTED_VALUE"""),0.0)</f>
        <v>0</v>
      </c>
      <c r="C256" s="26">
        <f>IFERROR(__xludf.DUMMYFUNCTION("""COMPUTED_VALUE"""),0.0)</f>
        <v>0</v>
      </c>
      <c r="D256" s="26">
        <f>IFERROR(__xludf.DUMMYFUNCTION("""COMPUTED_VALUE"""),0.0)</f>
        <v>0</v>
      </c>
      <c r="E256" s="26">
        <f>IFERROR(__xludf.DUMMYFUNCTION("""COMPUTED_VALUE"""),0.0)</f>
        <v>0</v>
      </c>
      <c r="F256" s="26">
        <f>IFERROR(__xludf.DUMMYFUNCTION("""COMPUTED_VALUE"""),0.0)</f>
        <v>0</v>
      </c>
      <c r="G256" s="26">
        <f>IFERROR(__xludf.DUMMYFUNCTION("""COMPUTED_VALUE"""),0.0)</f>
        <v>0</v>
      </c>
      <c r="H256" s="26">
        <f>IFERROR(__xludf.DUMMYFUNCTION("""COMPUTED_VALUE"""),0.0)</f>
        <v>0</v>
      </c>
      <c r="I256" s="26">
        <f>IFERROR(__xludf.DUMMYFUNCTION("""COMPUTED_VALUE"""),0.0)</f>
        <v>0</v>
      </c>
      <c r="J256" s="26">
        <f>IFERROR(__xludf.DUMMYFUNCTION("""COMPUTED_VALUE"""),0.0)</f>
        <v>0</v>
      </c>
      <c r="K256" s="26">
        <f>IFERROR(__xludf.DUMMYFUNCTION("""COMPUTED_VALUE"""),0.0)</f>
        <v>0</v>
      </c>
      <c r="L256" s="26">
        <f>IFERROR(__xludf.DUMMYFUNCTION("""COMPUTED_VALUE"""),0.0)</f>
        <v>0</v>
      </c>
      <c r="M256" s="26"/>
      <c r="N256" s="26"/>
      <c r="O256" s="26"/>
      <c r="P256" s="26"/>
      <c r="Q256" s="26"/>
      <c r="R256" s="26">
        <f>IFERROR(__xludf.DUMMYFUNCTION("""COMPUTED_VALUE"""),0.0)</f>
        <v>0</v>
      </c>
      <c r="S256" s="26">
        <f>IFERROR(__xludf.DUMMYFUNCTION("""COMPUTED_VALUE"""),0.0)</f>
        <v>0</v>
      </c>
      <c r="T256" s="26">
        <f>IFERROR(__xludf.DUMMYFUNCTION("""COMPUTED_VALUE"""),0.0)</f>
        <v>0</v>
      </c>
      <c r="U256" s="26">
        <f>IFERROR(__xludf.DUMMYFUNCTION("""COMPUTED_VALUE"""),0.0)</f>
        <v>0</v>
      </c>
      <c r="V256" s="26">
        <f>IFERROR(__xludf.DUMMYFUNCTION("""COMPUTED_VALUE"""),0.0)</f>
        <v>0</v>
      </c>
      <c r="W256" s="26">
        <f>IFERROR(__xludf.DUMMYFUNCTION("""COMPUTED_VALUE"""),0.0)</f>
        <v>0</v>
      </c>
      <c r="X256" s="26">
        <f>IFERROR(__xludf.DUMMYFUNCTION("""COMPUTED_VALUE"""),0.0)</f>
        <v>0</v>
      </c>
      <c r="Y256" s="26">
        <f>IFERROR(__xludf.DUMMYFUNCTION("""COMPUTED_VALUE"""),0.0)</f>
        <v>0</v>
      </c>
      <c r="Z256" s="26">
        <f>IFERROR(__xludf.DUMMYFUNCTION("""COMPUTED_VALUE"""),0.0)</f>
        <v>0</v>
      </c>
      <c r="AA256" s="26">
        <f>IFERROR(__xludf.DUMMYFUNCTION("""COMPUTED_VALUE"""),0.0)</f>
        <v>0</v>
      </c>
      <c r="AB256" s="26">
        <f>IFERROR(__xludf.DUMMYFUNCTION("""COMPUTED_VALUE"""),0.0)</f>
        <v>0</v>
      </c>
      <c r="AC256" s="26">
        <f>IFERROR(__xludf.DUMMYFUNCTION("""COMPUTED_VALUE"""),0.0)</f>
        <v>0</v>
      </c>
      <c r="AD256" s="26">
        <f>IFERROR(__xludf.DUMMYFUNCTION("""COMPUTED_VALUE"""),0.0)</f>
        <v>0</v>
      </c>
      <c r="AE256" s="26">
        <f>IFERROR(__xludf.DUMMYFUNCTION("""COMPUTED_VALUE"""),0.0)</f>
        <v>0</v>
      </c>
    </row>
    <row r="257">
      <c r="A257" s="26">
        <f>IFERROR(__xludf.DUMMYFUNCTION("""COMPUTED_VALUE"""),0.0)</f>
        <v>0</v>
      </c>
      <c r="B257" s="26">
        <f>IFERROR(__xludf.DUMMYFUNCTION("""COMPUTED_VALUE"""),0.0)</f>
        <v>0</v>
      </c>
      <c r="C257" s="26">
        <f>IFERROR(__xludf.DUMMYFUNCTION("""COMPUTED_VALUE"""),0.0)</f>
        <v>0</v>
      </c>
      <c r="D257" s="26">
        <f>IFERROR(__xludf.DUMMYFUNCTION("""COMPUTED_VALUE"""),0.0)</f>
        <v>0</v>
      </c>
      <c r="E257" s="26">
        <f>IFERROR(__xludf.DUMMYFUNCTION("""COMPUTED_VALUE"""),0.0)</f>
        <v>0</v>
      </c>
      <c r="F257" s="26">
        <f>IFERROR(__xludf.DUMMYFUNCTION("""COMPUTED_VALUE"""),0.0)</f>
        <v>0</v>
      </c>
      <c r="G257" s="26">
        <f>IFERROR(__xludf.DUMMYFUNCTION("""COMPUTED_VALUE"""),0.0)</f>
        <v>0</v>
      </c>
      <c r="H257" s="26">
        <f>IFERROR(__xludf.DUMMYFUNCTION("""COMPUTED_VALUE"""),0.0)</f>
        <v>0</v>
      </c>
      <c r="I257" s="26">
        <f>IFERROR(__xludf.DUMMYFUNCTION("""COMPUTED_VALUE"""),0.0)</f>
        <v>0</v>
      </c>
      <c r="J257" s="26">
        <f>IFERROR(__xludf.DUMMYFUNCTION("""COMPUTED_VALUE"""),0.0)</f>
        <v>0</v>
      </c>
      <c r="K257" s="26">
        <f>IFERROR(__xludf.DUMMYFUNCTION("""COMPUTED_VALUE"""),0.0)</f>
        <v>0</v>
      </c>
      <c r="L257" s="26">
        <f>IFERROR(__xludf.DUMMYFUNCTION("""COMPUTED_VALUE"""),0.0)</f>
        <v>0</v>
      </c>
      <c r="M257" s="26"/>
      <c r="N257" s="26"/>
      <c r="O257" s="26"/>
      <c r="P257" s="26"/>
      <c r="Q257" s="26"/>
      <c r="R257" s="26">
        <f>IFERROR(__xludf.DUMMYFUNCTION("""COMPUTED_VALUE"""),0.0)</f>
        <v>0</v>
      </c>
      <c r="S257" s="26">
        <f>IFERROR(__xludf.DUMMYFUNCTION("""COMPUTED_VALUE"""),0.0)</f>
        <v>0</v>
      </c>
      <c r="T257" s="26">
        <f>IFERROR(__xludf.DUMMYFUNCTION("""COMPUTED_VALUE"""),0.0)</f>
        <v>0</v>
      </c>
      <c r="U257" s="26">
        <f>IFERROR(__xludf.DUMMYFUNCTION("""COMPUTED_VALUE"""),0.0)</f>
        <v>0</v>
      </c>
      <c r="V257" s="26">
        <f>IFERROR(__xludf.DUMMYFUNCTION("""COMPUTED_VALUE"""),0.0)</f>
        <v>0</v>
      </c>
      <c r="W257" s="26">
        <f>IFERROR(__xludf.DUMMYFUNCTION("""COMPUTED_VALUE"""),0.0)</f>
        <v>0</v>
      </c>
      <c r="X257" s="26">
        <f>IFERROR(__xludf.DUMMYFUNCTION("""COMPUTED_VALUE"""),0.0)</f>
        <v>0</v>
      </c>
      <c r="Y257" s="26">
        <f>IFERROR(__xludf.DUMMYFUNCTION("""COMPUTED_VALUE"""),0.0)</f>
        <v>0</v>
      </c>
      <c r="Z257" s="26">
        <f>IFERROR(__xludf.DUMMYFUNCTION("""COMPUTED_VALUE"""),0.0)</f>
        <v>0</v>
      </c>
      <c r="AA257" s="26">
        <f>IFERROR(__xludf.DUMMYFUNCTION("""COMPUTED_VALUE"""),0.0)</f>
        <v>0</v>
      </c>
      <c r="AB257" s="26">
        <f>IFERROR(__xludf.DUMMYFUNCTION("""COMPUTED_VALUE"""),0.0)</f>
        <v>0</v>
      </c>
      <c r="AC257" s="26">
        <f>IFERROR(__xludf.DUMMYFUNCTION("""COMPUTED_VALUE"""),0.0)</f>
        <v>0</v>
      </c>
      <c r="AD257" s="26">
        <f>IFERROR(__xludf.DUMMYFUNCTION("""COMPUTED_VALUE"""),0.0)</f>
        <v>0</v>
      </c>
      <c r="AE257" s="26">
        <f>IFERROR(__xludf.DUMMYFUNCTION("""COMPUTED_VALUE"""),0.0)</f>
        <v>0</v>
      </c>
    </row>
    <row r="258">
      <c r="A258" s="26">
        <f>IFERROR(__xludf.DUMMYFUNCTION("""COMPUTED_VALUE"""),0.0)</f>
        <v>0</v>
      </c>
      <c r="B258" s="26">
        <f>IFERROR(__xludf.DUMMYFUNCTION("""COMPUTED_VALUE"""),0.0)</f>
        <v>0</v>
      </c>
      <c r="C258" s="26">
        <f>IFERROR(__xludf.DUMMYFUNCTION("""COMPUTED_VALUE"""),0.0)</f>
        <v>0</v>
      </c>
      <c r="D258" s="26">
        <f>IFERROR(__xludf.DUMMYFUNCTION("""COMPUTED_VALUE"""),0.0)</f>
        <v>0</v>
      </c>
      <c r="E258" s="26">
        <f>IFERROR(__xludf.DUMMYFUNCTION("""COMPUTED_VALUE"""),0.0)</f>
        <v>0</v>
      </c>
      <c r="F258" s="26">
        <f>IFERROR(__xludf.DUMMYFUNCTION("""COMPUTED_VALUE"""),0.0)</f>
        <v>0</v>
      </c>
      <c r="G258" s="26">
        <f>IFERROR(__xludf.DUMMYFUNCTION("""COMPUTED_VALUE"""),0.0)</f>
        <v>0</v>
      </c>
      <c r="H258" s="26">
        <f>IFERROR(__xludf.DUMMYFUNCTION("""COMPUTED_VALUE"""),0.0)</f>
        <v>0</v>
      </c>
      <c r="I258" s="26">
        <f>IFERROR(__xludf.DUMMYFUNCTION("""COMPUTED_VALUE"""),0.0)</f>
        <v>0</v>
      </c>
      <c r="J258" s="26">
        <f>IFERROR(__xludf.DUMMYFUNCTION("""COMPUTED_VALUE"""),0.0)</f>
        <v>0</v>
      </c>
      <c r="K258" s="26">
        <f>IFERROR(__xludf.DUMMYFUNCTION("""COMPUTED_VALUE"""),0.0)</f>
        <v>0</v>
      </c>
      <c r="L258" s="26">
        <f>IFERROR(__xludf.DUMMYFUNCTION("""COMPUTED_VALUE"""),0.0)</f>
        <v>0</v>
      </c>
      <c r="M258" s="26"/>
      <c r="N258" s="26"/>
      <c r="O258" s="26"/>
      <c r="P258" s="26"/>
      <c r="Q258" s="26"/>
      <c r="R258" s="26">
        <f>IFERROR(__xludf.DUMMYFUNCTION("""COMPUTED_VALUE"""),0.0)</f>
        <v>0</v>
      </c>
      <c r="S258" s="26">
        <f>IFERROR(__xludf.DUMMYFUNCTION("""COMPUTED_VALUE"""),0.0)</f>
        <v>0</v>
      </c>
      <c r="T258" s="26">
        <f>IFERROR(__xludf.DUMMYFUNCTION("""COMPUTED_VALUE"""),0.0)</f>
        <v>0</v>
      </c>
      <c r="U258" s="26">
        <f>IFERROR(__xludf.DUMMYFUNCTION("""COMPUTED_VALUE"""),0.0)</f>
        <v>0</v>
      </c>
      <c r="V258" s="26">
        <f>IFERROR(__xludf.DUMMYFUNCTION("""COMPUTED_VALUE"""),0.0)</f>
        <v>0</v>
      </c>
      <c r="W258" s="26">
        <f>IFERROR(__xludf.DUMMYFUNCTION("""COMPUTED_VALUE"""),0.0)</f>
        <v>0</v>
      </c>
      <c r="X258" s="26">
        <f>IFERROR(__xludf.DUMMYFUNCTION("""COMPUTED_VALUE"""),0.0)</f>
        <v>0</v>
      </c>
      <c r="Y258" s="26">
        <f>IFERROR(__xludf.DUMMYFUNCTION("""COMPUTED_VALUE"""),0.0)</f>
        <v>0</v>
      </c>
      <c r="Z258" s="26">
        <f>IFERROR(__xludf.DUMMYFUNCTION("""COMPUTED_VALUE"""),0.0)</f>
        <v>0</v>
      </c>
      <c r="AA258" s="26">
        <f>IFERROR(__xludf.DUMMYFUNCTION("""COMPUTED_VALUE"""),0.0)</f>
        <v>0</v>
      </c>
      <c r="AB258" s="26">
        <f>IFERROR(__xludf.DUMMYFUNCTION("""COMPUTED_VALUE"""),0.0)</f>
        <v>0</v>
      </c>
      <c r="AC258" s="26">
        <f>IFERROR(__xludf.DUMMYFUNCTION("""COMPUTED_VALUE"""),0.0)</f>
        <v>0</v>
      </c>
      <c r="AD258" s="26">
        <f>IFERROR(__xludf.DUMMYFUNCTION("""COMPUTED_VALUE"""),0.0)</f>
        <v>0</v>
      </c>
      <c r="AE258" s="26">
        <f>IFERROR(__xludf.DUMMYFUNCTION("""COMPUTED_VALUE"""),0.0)</f>
        <v>0</v>
      </c>
    </row>
    <row r="259">
      <c r="A259" s="26">
        <f>IFERROR(__xludf.DUMMYFUNCTION("""COMPUTED_VALUE"""),18.0)</f>
        <v>18</v>
      </c>
      <c r="B259" s="26">
        <f>IFERROR(__xludf.DUMMYFUNCTION("""COMPUTED_VALUE"""),0.0)</f>
        <v>0</v>
      </c>
      <c r="C259" s="26">
        <f>IFERROR(__xludf.DUMMYFUNCTION("""COMPUTED_VALUE"""),0.0)</f>
        <v>0</v>
      </c>
      <c r="D259" s="26">
        <f>IFERROR(__xludf.DUMMYFUNCTION("""COMPUTED_VALUE"""),0.0)</f>
        <v>0</v>
      </c>
      <c r="E259" s="26">
        <f>IFERROR(__xludf.DUMMYFUNCTION("""COMPUTED_VALUE"""),0.0)</f>
        <v>0</v>
      </c>
      <c r="F259" s="26">
        <f>IFERROR(__xludf.DUMMYFUNCTION("""COMPUTED_VALUE"""),0.0)</f>
        <v>0</v>
      </c>
      <c r="G259" s="26">
        <f>IFERROR(__xludf.DUMMYFUNCTION("""COMPUTED_VALUE"""),0.0)</f>
        <v>0</v>
      </c>
      <c r="H259" s="26">
        <f>IFERROR(__xludf.DUMMYFUNCTION("""COMPUTED_VALUE"""),0.0)</f>
        <v>0</v>
      </c>
      <c r="I259" s="26">
        <f>IFERROR(__xludf.DUMMYFUNCTION("""COMPUTED_VALUE"""),0.0)</f>
        <v>0</v>
      </c>
      <c r="J259" s="26">
        <f>IFERROR(__xludf.DUMMYFUNCTION("""COMPUTED_VALUE"""),0.0)</f>
        <v>0</v>
      </c>
      <c r="K259" s="26">
        <f>IFERROR(__xludf.DUMMYFUNCTION("""COMPUTED_VALUE"""),0.0)</f>
        <v>0</v>
      </c>
      <c r="L259" s="26">
        <f>IFERROR(__xludf.DUMMYFUNCTION("""COMPUTED_VALUE"""),0.0)</f>
        <v>0</v>
      </c>
      <c r="M259" s="26"/>
      <c r="N259" s="26"/>
      <c r="O259" s="26"/>
      <c r="P259" s="26"/>
      <c r="Q259" s="26"/>
      <c r="R259" s="26">
        <f>IFERROR(__xludf.DUMMYFUNCTION("""COMPUTED_VALUE"""),18.0)</f>
        <v>18</v>
      </c>
      <c r="S259" s="26">
        <f>IFERROR(__xludf.DUMMYFUNCTION("""COMPUTED_VALUE"""),7020.0)</f>
        <v>7020</v>
      </c>
      <c r="T259" s="26">
        <f>IFERROR(__xludf.DUMMYFUNCTION("""COMPUTED_VALUE"""),2970.0)</f>
        <v>2970</v>
      </c>
      <c r="U259" s="26">
        <f>IFERROR(__xludf.DUMMYFUNCTION("""COMPUTED_VALUE"""),4040.8199999999997)</f>
        <v>4040.82</v>
      </c>
      <c r="V259" s="26">
        <f>IFERROR(__xludf.DUMMYFUNCTION("""COMPUTED_VALUE"""),0.0)</f>
        <v>0</v>
      </c>
      <c r="W259" s="26">
        <f>IFERROR(__xludf.DUMMYFUNCTION("""COMPUTED_VALUE"""),0.0)</f>
        <v>0</v>
      </c>
      <c r="X259" s="26">
        <f>IFERROR(__xludf.DUMMYFUNCTION("""COMPUTED_VALUE"""),1070.82)</f>
        <v>1070.82</v>
      </c>
      <c r="Y259" s="26">
        <f>IFERROR(__xludf.DUMMYFUNCTION("""COMPUTED_VALUE"""),1070.82)</f>
        <v>1070.82</v>
      </c>
      <c r="Z259" s="26">
        <f>IFERROR(__xludf.DUMMYFUNCTION("""COMPUTED_VALUE"""),4189.860000000001)</f>
        <v>4189.86</v>
      </c>
      <c r="AA259" s="26">
        <f>IFERROR(__xludf.DUMMYFUNCTION("""COMPUTED_VALUE"""),4189.860000000001)</f>
        <v>4189.86</v>
      </c>
      <c r="AB259" s="26">
        <f>IFERROR(__xludf.DUMMYFUNCTION("""COMPUTED_VALUE"""),2979.180000000001)</f>
        <v>2979.18</v>
      </c>
      <c r="AC259" s="26">
        <f>IFERROR(__xludf.DUMMYFUNCTION("""COMPUTED_VALUE"""),2830.14)</f>
        <v>2830.14</v>
      </c>
      <c r="AD259" s="26">
        <f>IFERROR(__xludf.DUMMYFUNCTION("""COMPUTED_VALUE"""),149.04)</f>
        <v>149.04</v>
      </c>
      <c r="AE259" s="26">
        <f>IFERROR(__xludf.DUMMYFUNCTION("""COMPUTED_VALUE"""),0.0)</f>
        <v>0</v>
      </c>
    </row>
    <row r="260">
      <c r="A260" s="26">
        <f>IFERROR(__xludf.DUMMYFUNCTION("""COMPUTED_VALUE"""),0.0)</f>
        <v>0</v>
      </c>
      <c r="B260" s="26">
        <f>IFERROR(__xludf.DUMMYFUNCTION("""COMPUTED_VALUE"""),0.0)</f>
        <v>0</v>
      </c>
      <c r="C260" s="26">
        <f>IFERROR(__xludf.DUMMYFUNCTION("""COMPUTED_VALUE"""),0.0)</f>
        <v>0</v>
      </c>
      <c r="D260" s="26">
        <f>IFERROR(__xludf.DUMMYFUNCTION("""COMPUTED_VALUE"""),0.0)</f>
        <v>0</v>
      </c>
      <c r="E260" s="26">
        <f>IFERROR(__xludf.DUMMYFUNCTION("""COMPUTED_VALUE"""),0.0)</f>
        <v>0</v>
      </c>
      <c r="F260" s="26">
        <f>IFERROR(__xludf.DUMMYFUNCTION("""COMPUTED_VALUE"""),0.0)</f>
        <v>0</v>
      </c>
      <c r="G260" s="26">
        <f>IFERROR(__xludf.DUMMYFUNCTION("""COMPUTED_VALUE"""),0.0)</f>
        <v>0</v>
      </c>
      <c r="H260" s="26">
        <f>IFERROR(__xludf.DUMMYFUNCTION("""COMPUTED_VALUE"""),0.0)</f>
        <v>0</v>
      </c>
      <c r="I260" s="26">
        <f>IFERROR(__xludf.DUMMYFUNCTION("""COMPUTED_VALUE"""),0.0)</f>
        <v>0</v>
      </c>
      <c r="J260" s="26">
        <f>IFERROR(__xludf.DUMMYFUNCTION("""COMPUTED_VALUE"""),0.0)</f>
        <v>0</v>
      </c>
      <c r="K260" s="26">
        <f>IFERROR(__xludf.DUMMYFUNCTION("""COMPUTED_VALUE"""),0.0)</f>
        <v>0</v>
      </c>
      <c r="L260" s="26">
        <f>IFERROR(__xludf.DUMMYFUNCTION("""COMPUTED_VALUE"""),0.0)</f>
        <v>0</v>
      </c>
      <c r="M260" s="26"/>
      <c r="N260" s="26"/>
      <c r="O260" s="26"/>
      <c r="P260" s="26"/>
      <c r="Q260" s="26"/>
      <c r="R260" s="26">
        <f>IFERROR(__xludf.DUMMYFUNCTION("""COMPUTED_VALUE"""),0.0)</f>
        <v>0</v>
      </c>
      <c r="S260" s="26">
        <f>IFERROR(__xludf.DUMMYFUNCTION("""COMPUTED_VALUE"""),0.0)</f>
        <v>0</v>
      </c>
      <c r="T260" s="26">
        <f>IFERROR(__xludf.DUMMYFUNCTION("""COMPUTED_VALUE"""),0.0)</f>
        <v>0</v>
      </c>
      <c r="U260" s="26">
        <f>IFERROR(__xludf.DUMMYFUNCTION("""COMPUTED_VALUE"""),0.0)</f>
        <v>0</v>
      </c>
      <c r="V260" s="26">
        <f>IFERROR(__xludf.DUMMYFUNCTION("""COMPUTED_VALUE"""),0.0)</f>
        <v>0</v>
      </c>
      <c r="W260" s="26">
        <f>IFERROR(__xludf.DUMMYFUNCTION("""COMPUTED_VALUE"""),0.0)</f>
        <v>0</v>
      </c>
      <c r="X260" s="26">
        <f>IFERROR(__xludf.DUMMYFUNCTION("""COMPUTED_VALUE"""),0.0)</f>
        <v>0</v>
      </c>
      <c r="Y260" s="26">
        <f>IFERROR(__xludf.DUMMYFUNCTION("""COMPUTED_VALUE"""),0.0)</f>
        <v>0</v>
      </c>
      <c r="Z260" s="26">
        <f>IFERROR(__xludf.DUMMYFUNCTION("""COMPUTED_VALUE"""),0.0)</f>
        <v>0</v>
      </c>
      <c r="AA260" s="26">
        <f>IFERROR(__xludf.DUMMYFUNCTION("""COMPUTED_VALUE"""),0.0)</f>
        <v>0</v>
      </c>
      <c r="AB260" s="26">
        <f>IFERROR(__xludf.DUMMYFUNCTION("""COMPUTED_VALUE"""),0.0)</f>
        <v>0</v>
      </c>
      <c r="AC260" s="26">
        <f>IFERROR(__xludf.DUMMYFUNCTION("""COMPUTED_VALUE"""),0.0)</f>
        <v>0</v>
      </c>
      <c r="AD260" s="26">
        <f>IFERROR(__xludf.DUMMYFUNCTION("""COMPUTED_VALUE"""),0.0)</f>
        <v>0</v>
      </c>
      <c r="AE260" s="26">
        <f>IFERROR(__xludf.DUMMYFUNCTION("""COMPUTED_VALUE"""),0.0)</f>
        <v>0</v>
      </c>
    </row>
    <row r="261">
      <c r="A261" s="26">
        <f>IFERROR(__xludf.DUMMYFUNCTION("""COMPUTED_VALUE"""),0.0)</f>
        <v>0</v>
      </c>
      <c r="B261" s="26">
        <f>IFERROR(__xludf.DUMMYFUNCTION("""COMPUTED_VALUE"""),0.0)</f>
        <v>0</v>
      </c>
      <c r="C261" s="26">
        <f>IFERROR(__xludf.DUMMYFUNCTION("""COMPUTED_VALUE"""),0.0)</f>
        <v>0</v>
      </c>
      <c r="D261" s="26">
        <f>IFERROR(__xludf.DUMMYFUNCTION("""COMPUTED_VALUE"""),0.0)</f>
        <v>0</v>
      </c>
      <c r="E261" s="26">
        <f>IFERROR(__xludf.DUMMYFUNCTION("""COMPUTED_VALUE"""),0.0)</f>
        <v>0</v>
      </c>
      <c r="F261" s="26">
        <f>IFERROR(__xludf.DUMMYFUNCTION("""COMPUTED_VALUE"""),0.0)</f>
        <v>0</v>
      </c>
      <c r="G261" s="26">
        <f>IFERROR(__xludf.DUMMYFUNCTION("""COMPUTED_VALUE"""),0.0)</f>
        <v>0</v>
      </c>
      <c r="H261" s="26">
        <f>IFERROR(__xludf.DUMMYFUNCTION("""COMPUTED_VALUE"""),0.0)</f>
        <v>0</v>
      </c>
      <c r="I261" s="26">
        <f>IFERROR(__xludf.DUMMYFUNCTION("""COMPUTED_VALUE"""),0.0)</f>
        <v>0</v>
      </c>
      <c r="J261" s="26">
        <f>IFERROR(__xludf.DUMMYFUNCTION("""COMPUTED_VALUE"""),0.0)</f>
        <v>0</v>
      </c>
      <c r="K261" s="26">
        <f>IFERROR(__xludf.DUMMYFUNCTION("""COMPUTED_VALUE"""),0.0)</f>
        <v>0</v>
      </c>
      <c r="L261" s="26">
        <f>IFERROR(__xludf.DUMMYFUNCTION("""COMPUTED_VALUE"""),0.0)</f>
        <v>0</v>
      </c>
      <c r="M261" s="26"/>
      <c r="N261" s="26"/>
      <c r="O261" s="26"/>
      <c r="P261" s="26"/>
      <c r="Q261" s="26"/>
      <c r="R261" s="26">
        <f>IFERROR(__xludf.DUMMYFUNCTION("""COMPUTED_VALUE"""),0.0)</f>
        <v>0</v>
      </c>
      <c r="S261" s="26">
        <f>IFERROR(__xludf.DUMMYFUNCTION("""COMPUTED_VALUE"""),0.0)</f>
        <v>0</v>
      </c>
      <c r="T261" s="26">
        <f>IFERROR(__xludf.DUMMYFUNCTION("""COMPUTED_VALUE"""),0.0)</f>
        <v>0</v>
      </c>
      <c r="U261" s="26">
        <f>IFERROR(__xludf.DUMMYFUNCTION("""COMPUTED_VALUE"""),0.0)</f>
        <v>0</v>
      </c>
      <c r="V261" s="26">
        <f>IFERROR(__xludf.DUMMYFUNCTION("""COMPUTED_VALUE"""),0.0)</f>
        <v>0</v>
      </c>
      <c r="W261" s="26">
        <f>IFERROR(__xludf.DUMMYFUNCTION("""COMPUTED_VALUE"""),0.0)</f>
        <v>0</v>
      </c>
      <c r="X261" s="26">
        <f>IFERROR(__xludf.DUMMYFUNCTION("""COMPUTED_VALUE"""),0.0)</f>
        <v>0</v>
      </c>
      <c r="Y261" s="26">
        <f>IFERROR(__xludf.DUMMYFUNCTION("""COMPUTED_VALUE"""),0.0)</f>
        <v>0</v>
      </c>
      <c r="Z261" s="26">
        <f>IFERROR(__xludf.DUMMYFUNCTION("""COMPUTED_VALUE"""),0.0)</f>
        <v>0</v>
      </c>
      <c r="AA261" s="26">
        <f>IFERROR(__xludf.DUMMYFUNCTION("""COMPUTED_VALUE"""),0.0)</f>
        <v>0</v>
      </c>
      <c r="AB261" s="26">
        <f>IFERROR(__xludf.DUMMYFUNCTION("""COMPUTED_VALUE"""),0.0)</f>
        <v>0</v>
      </c>
      <c r="AC261" s="26">
        <f>IFERROR(__xludf.DUMMYFUNCTION("""COMPUTED_VALUE"""),0.0)</f>
        <v>0</v>
      </c>
      <c r="AD261" s="26">
        <f>IFERROR(__xludf.DUMMYFUNCTION("""COMPUTED_VALUE"""),0.0)</f>
        <v>0</v>
      </c>
      <c r="AE261" s="26">
        <f>IFERROR(__xludf.DUMMYFUNCTION("""COMPUTED_VALUE"""),0.0)</f>
        <v>0</v>
      </c>
    </row>
    <row r="262">
      <c r="A262" s="26">
        <f>IFERROR(__xludf.DUMMYFUNCTION("""COMPUTED_VALUE"""),0.0)</f>
        <v>0</v>
      </c>
      <c r="B262" s="26">
        <f>IFERROR(__xludf.DUMMYFUNCTION("""COMPUTED_VALUE"""),0.0)</f>
        <v>0</v>
      </c>
      <c r="C262" s="26">
        <f>IFERROR(__xludf.DUMMYFUNCTION("""COMPUTED_VALUE"""),0.0)</f>
        <v>0</v>
      </c>
      <c r="D262" s="26">
        <f>IFERROR(__xludf.DUMMYFUNCTION("""COMPUTED_VALUE"""),0.0)</f>
        <v>0</v>
      </c>
      <c r="E262" s="26">
        <f>IFERROR(__xludf.DUMMYFUNCTION("""COMPUTED_VALUE"""),0.0)</f>
        <v>0</v>
      </c>
      <c r="F262" s="26">
        <f>IFERROR(__xludf.DUMMYFUNCTION("""COMPUTED_VALUE"""),0.0)</f>
        <v>0</v>
      </c>
      <c r="G262" s="26">
        <f>IFERROR(__xludf.DUMMYFUNCTION("""COMPUTED_VALUE"""),0.0)</f>
        <v>0</v>
      </c>
      <c r="H262" s="26">
        <f>IFERROR(__xludf.DUMMYFUNCTION("""COMPUTED_VALUE"""),0.0)</f>
        <v>0</v>
      </c>
      <c r="I262" s="26">
        <f>IFERROR(__xludf.DUMMYFUNCTION("""COMPUTED_VALUE"""),0.0)</f>
        <v>0</v>
      </c>
      <c r="J262" s="26">
        <f>IFERROR(__xludf.DUMMYFUNCTION("""COMPUTED_VALUE"""),0.0)</f>
        <v>0</v>
      </c>
      <c r="K262" s="26">
        <f>IFERROR(__xludf.DUMMYFUNCTION("""COMPUTED_VALUE"""),0.0)</f>
        <v>0</v>
      </c>
      <c r="L262" s="26">
        <f>IFERROR(__xludf.DUMMYFUNCTION("""COMPUTED_VALUE"""),0.0)</f>
        <v>0</v>
      </c>
      <c r="M262" s="26"/>
      <c r="N262" s="26"/>
      <c r="O262" s="26"/>
      <c r="P262" s="26"/>
      <c r="Q262" s="26"/>
      <c r="R262" s="26">
        <f>IFERROR(__xludf.DUMMYFUNCTION("""COMPUTED_VALUE"""),0.0)</f>
        <v>0</v>
      </c>
      <c r="S262" s="26">
        <f>IFERROR(__xludf.DUMMYFUNCTION("""COMPUTED_VALUE"""),0.0)</f>
        <v>0</v>
      </c>
      <c r="T262" s="26">
        <f>IFERROR(__xludf.DUMMYFUNCTION("""COMPUTED_VALUE"""),0.0)</f>
        <v>0</v>
      </c>
      <c r="U262" s="26">
        <f>IFERROR(__xludf.DUMMYFUNCTION("""COMPUTED_VALUE"""),0.0)</f>
        <v>0</v>
      </c>
      <c r="V262" s="26">
        <f>IFERROR(__xludf.DUMMYFUNCTION("""COMPUTED_VALUE"""),0.0)</f>
        <v>0</v>
      </c>
      <c r="W262" s="26">
        <f>IFERROR(__xludf.DUMMYFUNCTION("""COMPUTED_VALUE"""),0.0)</f>
        <v>0</v>
      </c>
      <c r="X262" s="26">
        <f>IFERROR(__xludf.DUMMYFUNCTION("""COMPUTED_VALUE"""),0.0)</f>
        <v>0</v>
      </c>
      <c r="Y262" s="26">
        <f>IFERROR(__xludf.DUMMYFUNCTION("""COMPUTED_VALUE"""),0.0)</f>
        <v>0</v>
      </c>
      <c r="Z262" s="26">
        <f>IFERROR(__xludf.DUMMYFUNCTION("""COMPUTED_VALUE"""),0.0)</f>
        <v>0</v>
      </c>
      <c r="AA262" s="26">
        <f>IFERROR(__xludf.DUMMYFUNCTION("""COMPUTED_VALUE"""),0.0)</f>
        <v>0</v>
      </c>
      <c r="AB262" s="26">
        <f>IFERROR(__xludf.DUMMYFUNCTION("""COMPUTED_VALUE"""),0.0)</f>
        <v>0</v>
      </c>
      <c r="AC262" s="26">
        <f>IFERROR(__xludf.DUMMYFUNCTION("""COMPUTED_VALUE"""),0.0)</f>
        <v>0</v>
      </c>
      <c r="AD262" s="26">
        <f>IFERROR(__xludf.DUMMYFUNCTION("""COMPUTED_VALUE"""),0.0)</f>
        <v>0</v>
      </c>
      <c r="AE262" s="26">
        <f>IFERROR(__xludf.DUMMYFUNCTION("""COMPUTED_VALUE"""),0.0)</f>
        <v>0</v>
      </c>
    </row>
    <row r="263">
      <c r="A263" s="26">
        <f>IFERROR(__xludf.DUMMYFUNCTION("""COMPUTED_VALUE"""),41.0)</f>
        <v>41</v>
      </c>
      <c r="B263" s="26">
        <f>IFERROR(__xludf.DUMMYFUNCTION("""COMPUTED_VALUE"""),0.0)</f>
        <v>0</v>
      </c>
      <c r="C263" s="26">
        <f>IFERROR(__xludf.DUMMYFUNCTION("""COMPUTED_VALUE"""),0.0)</f>
        <v>0</v>
      </c>
      <c r="D263" s="26">
        <f>IFERROR(__xludf.DUMMYFUNCTION("""COMPUTED_VALUE"""),0.0)</f>
        <v>0</v>
      </c>
      <c r="E263" s="26">
        <f>IFERROR(__xludf.DUMMYFUNCTION("""COMPUTED_VALUE"""),0.0)</f>
        <v>0</v>
      </c>
      <c r="F263" s="26">
        <f>IFERROR(__xludf.DUMMYFUNCTION("""COMPUTED_VALUE"""),0.0)</f>
        <v>0</v>
      </c>
      <c r="G263" s="26">
        <f>IFERROR(__xludf.DUMMYFUNCTION("""COMPUTED_VALUE"""),0.0)</f>
        <v>0</v>
      </c>
      <c r="H263" s="26">
        <f>IFERROR(__xludf.DUMMYFUNCTION("""COMPUTED_VALUE"""),0.0)</f>
        <v>0</v>
      </c>
      <c r="I263" s="26">
        <f>IFERROR(__xludf.DUMMYFUNCTION("""COMPUTED_VALUE"""),0.0)</f>
        <v>0</v>
      </c>
      <c r="J263" s="26">
        <f>IFERROR(__xludf.DUMMYFUNCTION("""COMPUTED_VALUE"""),0.0)</f>
        <v>0</v>
      </c>
      <c r="K263" s="26">
        <f>IFERROR(__xludf.DUMMYFUNCTION("""COMPUTED_VALUE"""),0.0)</f>
        <v>0</v>
      </c>
      <c r="L263" s="26">
        <f>IFERROR(__xludf.DUMMYFUNCTION("""COMPUTED_VALUE"""),0.0)</f>
        <v>0</v>
      </c>
      <c r="M263" s="26"/>
      <c r="N263" s="26"/>
      <c r="O263" s="26"/>
      <c r="P263" s="26"/>
      <c r="Q263" s="26"/>
      <c r="R263" s="26">
        <f>IFERROR(__xludf.DUMMYFUNCTION("""COMPUTED_VALUE"""),41.0)</f>
        <v>41</v>
      </c>
      <c r="S263" s="26">
        <f>IFERROR(__xludf.DUMMYFUNCTION("""COMPUTED_VALUE"""),18122.0)</f>
        <v>18122</v>
      </c>
      <c r="T263" s="26">
        <f>IFERROR(__xludf.DUMMYFUNCTION("""COMPUTED_VALUE"""),7872.0)</f>
        <v>7872</v>
      </c>
      <c r="U263" s="26">
        <f>IFERROR(__xludf.DUMMYFUNCTION("""COMPUTED_VALUE"""),10636.220000000001)</f>
        <v>10636.22</v>
      </c>
      <c r="V263" s="26">
        <f>IFERROR(__xludf.DUMMYFUNCTION("""COMPUTED_VALUE"""),0.0)</f>
        <v>0</v>
      </c>
      <c r="W263" s="26">
        <f>IFERROR(__xludf.DUMMYFUNCTION("""COMPUTED_VALUE"""),0.0)</f>
        <v>0</v>
      </c>
      <c r="X263" s="26">
        <f>IFERROR(__xludf.DUMMYFUNCTION("""COMPUTED_VALUE"""),2764.2200000000016)</f>
        <v>2764.22</v>
      </c>
      <c r="Y263" s="26">
        <f>IFERROR(__xludf.DUMMYFUNCTION("""COMPUTED_VALUE"""),2764.2200000000016)</f>
        <v>2764.22</v>
      </c>
      <c r="Z263" s="26">
        <f>IFERROR(__xludf.DUMMYFUNCTION("""COMPUTED_VALUE"""),0.0)</f>
        <v>0</v>
      </c>
      <c r="AA263" s="26">
        <f>IFERROR(__xludf.DUMMYFUNCTION("""COMPUTED_VALUE"""),0.0)</f>
        <v>0</v>
      </c>
      <c r="AB263" s="26">
        <f>IFERROR(__xludf.DUMMYFUNCTION("""COMPUTED_VALUE"""),0.0)</f>
        <v>0</v>
      </c>
      <c r="AC263" s="26">
        <f>IFERROR(__xludf.DUMMYFUNCTION("""COMPUTED_VALUE"""),0.0)</f>
        <v>0</v>
      </c>
      <c r="AD263" s="26">
        <f>IFERROR(__xludf.DUMMYFUNCTION("""COMPUTED_VALUE"""),0.0)</f>
        <v>0</v>
      </c>
      <c r="AE263" s="26">
        <f>IFERROR(__xludf.DUMMYFUNCTION("""COMPUTED_VALUE"""),0.0)</f>
        <v>0</v>
      </c>
    </row>
    <row r="264">
      <c r="A264" s="26">
        <f>IFERROR(__xludf.DUMMYFUNCTION("""COMPUTED_VALUE"""),90.0)</f>
        <v>90</v>
      </c>
      <c r="B264" s="26">
        <f>IFERROR(__xludf.DUMMYFUNCTION("""COMPUTED_VALUE"""),0.0)</f>
        <v>0</v>
      </c>
      <c r="C264" s="26">
        <f>IFERROR(__xludf.DUMMYFUNCTION("""COMPUTED_VALUE"""),0.0)</f>
        <v>0</v>
      </c>
      <c r="D264" s="26">
        <f>IFERROR(__xludf.DUMMYFUNCTION("""COMPUTED_VALUE"""),0.0)</f>
        <v>0</v>
      </c>
      <c r="E264" s="26">
        <f>IFERROR(__xludf.DUMMYFUNCTION("""COMPUTED_VALUE"""),0.0)</f>
        <v>0</v>
      </c>
      <c r="F264" s="26">
        <f>IFERROR(__xludf.DUMMYFUNCTION("""COMPUTED_VALUE"""),0.0)</f>
        <v>0</v>
      </c>
      <c r="G264" s="26">
        <f>IFERROR(__xludf.DUMMYFUNCTION("""COMPUTED_VALUE"""),0.0)</f>
        <v>0</v>
      </c>
      <c r="H264" s="26">
        <f>IFERROR(__xludf.DUMMYFUNCTION("""COMPUTED_VALUE"""),0.0)</f>
        <v>0</v>
      </c>
      <c r="I264" s="26">
        <f>IFERROR(__xludf.DUMMYFUNCTION("""COMPUTED_VALUE"""),0.0)</f>
        <v>0</v>
      </c>
      <c r="J264" s="26">
        <f>IFERROR(__xludf.DUMMYFUNCTION("""COMPUTED_VALUE"""),0.0)</f>
        <v>0</v>
      </c>
      <c r="K264" s="26">
        <f>IFERROR(__xludf.DUMMYFUNCTION("""COMPUTED_VALUE"""),0.0)</f>
        <v>0</v>
      </c>
      <c r="L264" s="26">
        <f>IFERROR(__xludf.DUMMYFUNCTION("""COMPUTED_VALUE"""),0.0)</f>
        <v>0</v>
      </c>
      <c r="M264" s="26"/>
      <c r="N264" s="26"/>
      <c r="O264" s="26"/>
      <c r="P264" s="26"/>
      <c r="Q264" s="26"/>
      <c r="R264" s="26">
        <f>IFERROR(__xludf.DUMMYFUNCTION("""COMPUTED_VALUE"""),90.0)</f>
        <v>90</v>
      </c>
      <c r="S264" s="26">
        <f>IFERROR(__xludf.DUMMYFUNCTION("""COMPUTED_VALUE"""),39780.0)</f>
        <v>39780</v>
      </c>
      <c r="T264" s="26">
        <f>IFERROR(__xludf.DUMMYFUNCTION("""COMPUTED_VALUE"""),17280.0)</f>
        <v>17280</v>
      </c>
      <c r="U264" s="26">
        <f>IFERROR(__xludf.DUMMYFUNCTION("""COMPUTED_VALUE"""),23347.800000000003)</f>
        <v>23347.8</v>
      </c>
      <c r="V264" s="26">
        <f>IFERROR(__xludf.DUMMYFUNCTION("""COMPUTED_VALUE"""),0.0)</f>
        <v>0</v>
      </c>
      <c r="W264" s="26">
        <f>IFERROR(__xludf.DUMMYFUNCTION("""COMPUTED_VALUE"""),0.0)</f>
        <v>0</v>
      </c>
      <c r="X264" s="26">
        <f>IFERROR(__xludf.DUMMYFUNCTION("""COMPUTED_VALUE"""),6067.800000000005)</f>
        <v>6067.8</v>
      </c>
      <c r="Y264" s="26">
        <f>IFERROR(__xludf.DUMMYFUNCTION("""COMPUTED_VALUE"""),6067.800000000005)</f>
        <v>6067.8</v>
      </c>
      <c r="Z264" s="26">
        <f>IFERROR(__xludf.DUMMYFUNCTION("""COMPUTED_VALUE"""),0.0)</f>
        <v>0</v>
      </c>
      <c r="AA264" s="26">
        <f>IFERROR(__xludf.DUMMYFUNCTION("""COMPUTED_VALUE"""),0.0)</f>
        <v>0</v>
      </c>
      <c r="AB264" s="26">
        <f>IFERROR(__xludf.DUMMYFUNCTION("""COMPUTED_VALUE"""),0.0)</f>
        <v>0</v>
      </c>
      <c r="AC264" s="26">
        <f>IFERROR(__xludf.DUMMYFUNCTION("""COMPUTED_VALUE"""),0.0)</f>
        <v>0</v>
      </c>
      <c r="AD264" s="26">
        <f>IFERROR(__xludf.DUMMYFUNCTION("""COMPUTED_VALUE"""),0.0)</f>
        <v>0</v>
      </c>
      <c r="AE264" s="26">
        <f>IFERROR(__xludf.DUMMYFUNCTION("""COMPUTED_VALUE"""),0.0)</f>
        <v>0</v>
      </c>
    </row>
    <row r="265">
      <c r="A265" s="26">
        <f>IFERROR(__xludf.DUMMYFUNCTION("""COMPUTED_VALUE"""),65.0)</f>
        <v>65</v>
      </c>
      <c r="B265" s="26">
        <f>IFERROR(__xludf.DUMMYFUNCTION("""COMPUTED_VALUE"""),0.0)</f>
        <v>0</v>
      </c>
      <c r="C265" s="26">
        <f>IFERROR(__xludf.DUMMYFUNCTION("""COMPUTED_VALUE"""),0.0)</f>
        <v>0</v>
      </c>
      <c r="D265" s="26">
        <f>IFERROR(__xludf.DUMMYFUNCTION("""COMPUTED_VALUE"""),0.0)</f>
        <v>0</v>
      </c>
      <c r="E265" s="26">
        <f>IFERROR(__xludf.DUMMYFUNCTION("""COMPUTED_VALUE"""),0.0)</f>
        <v>0</v>
      </c>
      <c r="F265" s="26">
        <f>IFERROR(__xludf.DUMMYFUNCTION("""COMPUTED_VALUE"""),0.0)</f>
        <v>0</v>
      </c>
      <c r="G265" s="26">
        <f>IFERROR(__xludf.DUMMYFUNCTION("""COMPUTED_VALUE"""),0.0)</f>
        <v>0</v>
      </c>
      <c r="H265" s="26">
        <f>IFERROR(__xludf.DUMMYFUNCTION("""COMPUTED_VALUE"""),0.0)</f>
        <v>0</v>
      </c>
      <c r="I265" s="26">
        <f>IFERROR(__xludf.DUMMYFUNCTION("""COMPUTED_VALUE"""),0.0)</f>
        <v>0</v>
      </c>
      <c r="J265" s="26">
        <f>IFERROR(__xludf.DUMMYFUNCTION("""COMPUTED_VALUE"""),0.0)</f>
        <v>0</v>
      </c>
      <c r="K265" s="26">
        <f>IFERROR(__xludf.DUMMYFUNCTION("""COMPUTED_VALUE"""),0.0)</f>
        <v>0</v>
      </c>
      <c r="L265" s="26">
        <f>IFERROR(__xludf.DUMMYFUNCTION("""COMPUTED_VALUE"""),0.0)</f>
        <v>0</v>
      </c>
      <c r="M265" s="26"/>
      <c r="N265" s="26"/>
      <c r="O265" s="26"/>
      <c r="P265" s="26"/>
      <c r="Q265" s="26"/>
      <c r="R265" s="26">
        <f>IFERROR(__xludf.DUMMYFUNCTION("""COMPUTED_VALUE"""),65.0)</f>
        <v>65</v>
      </c>
      <c r="S265" s="26">
        <f>IFERROR(__xludf.DUMMYFUNCTION("""COMPUTED_VALUE"""),13000.66000000001)</f>
        <v>13000.66</v>
      </c>
      <c r="T265" s="26">
        <f>IFERROR(__xludf.DUMMYFUNCTION("""COMPUTED_VALUE"""),11017.5)</f>
        <v>11017.5</v>
      </c>
      <c r="U265" s="26">
        <f>IFERROR(__xludf.DUMMYFUNCTION("""COMPUTED_VALUE"""),13000.66)</f>
        <v>13000.66</v>
      </c>
      <c r="V265" s="26">
        <f>IFERROR(__xludf.DUMMYFUNCTION("""COMPUTED_VALUE"""),15.26)</f>
        <v>15.26</v>
      </c>
      <c r="W265" s="26">
        <f>IFERROR(__xludf.DUMMYFUNCTION("""COMPUTED_VALUE"""),15.26)</f>
        <v>15.26</v>
      </c>
      <c r="X265" s="26">
        <f>IFERROR(__xludf.DUMMYFUNCTION("""COMPUTED_VALUE"""),1952.6399999999996)</f>
        <v>1952.64</v>
      </c>
      <c r="Y265" s="26">
        <f>IFERROR(__xludf.DUMMYFUNCTION("""COMPUTED_VALUE"""),1983.1599999999996)</f>
        <v>1983.16</v>
      </c>
      <c r="Z265" s="26">
        <f>IFERROR(__xludf.DUMMYFUNCTION("""COMPUTED_VALUE"""),0.0)</f>
        <v>0</v>
      </c>
      <c r="AA265" s="26">
        <f>IFERROR(__xludf.DUMMYFUNCTION("""COMPUTED_VALUE"""),0.0)</f>
        <v>0</v>
      </c>
      <c r="AB265" s="26">
        <f>IFERROR(__xludf.DUMMYFUNCTION("""COMPUTED_VALUE"""),0.0)</f>
        <v>0</v>
      </c>
      <c r="AC265" s="26">
        <f>IFERROR(__xludf.DUMMYFUNCTION("""COMPUTED_VALUE"""),0.0)</f>
        <v>0</v>
      </c>
      <c r="AD265" s="26">
        <f>IFERROR(__xludf.DUMMYFUNCTION("""COMPUTED_VALUE"""),0.0)</f>
        <v>0</v>
      </c>
      <c r="AE265" s="26">
        <f>IFERROR(__xludf.DUMMYFUNCTION("""COMPUTED_VALUE"""),0.0)</f>
        <v>0</v>
      </c>
    </row>
    <row r="266">
      <c r="A266" s="26">
        <f>IFERROR(__xludf.DUMMYFUNCTION("""COMPUTED_VALUE"""),20.0)</f>
        <v>20</v>
      </c>
      <c r="B266" s="26">
        <f>IFERROR(__xludf.DUMMYFUNCTION("""COMPUTED_VALUE"""),0.0)</f>
        <v>0</v>
      </c>
      <c r="C266" s="26">
        <f>IFERROR(__xludf.DUMMYFUNCTION("""COMPUTED_VALUE"""),0.0)</f>
        <v>0</v>
      </c>
      <c r="D266" s="26">
        <f>IFERROR(__xludf.DUMMYFUNCTION("""COMPUTED_VALUE"""),0.0)</f>
        <v>0</v>
      </c>
      <c r="E266" s="26">
        <f>IFERROR(__xludf.DUMMYFUNCTION("""COMPUTED_VALUE"""),0.0)</f>
        <v>0</v>
      </c>
      <c r="F266" s="26">
        <f>IFERROR(__xludf.DUMMYFUNCTION("""COMPUTED_VALUE"""),0.0)</f>
        <v>0</v>
      </c>
      <c r="G266" s="26">
        <f>IFERROR(__xludf.DUMMYFUNCTION("""COMPUTED_VALUE"""),0.0)</f>
        <v>0</v>
      </c>
      <c r="H266" s="26">
        <f>IFERROR(__xludf.DUMMYFUNCTION("""COMPUTED_VALUE"""),0.0)</f>
        <v>0</v>
      </c>
      <c r="I266" s="26">
        <f>IFERROR(__xludf.DUMMYFUNCTION("""COMPUTED_VALUE"""),0.0)</f>
        <v>0</v>
      </c>
      <c r="J266" s="26">
        <f>IFERROR(__xludf.DUMMYFUNCTION("""COMPUTED_VALUE"""),0.0)</f>
        <v>0</v>
      </c>
      <c r="K266" s="26">
        <f>IFERROR(__xludf.DUMMYFUNCTION("""COMPUTED_VALUE"""),0.0)</f>
        <v>0</v>
      </c>
      <c r="L266" s="26">
        <f>IFERROR(__xludf.DUMMYFUNCTION("""COMPUTED_VALUE"""),0.0)</f>
        <v>0</v>
      </c>
      <c r="M266" s="26"/>
      <c r="N266" s="26"/>
      <c r="O266" s="26"/>
      <c r="P266" s="26"/>
      <c r="Q266" s="26"/>
      <c r="R266" s="26">
        <f>IFERROR(__xludf.DUMMYFUNCTION("""COMPUTED_VALUE"""),20.0)</f>
        <v>20</v>
      </c>
      <c r="S266" s="26">
        <f>IFERROR(__xludf.DUMMYFUNCTION("""COMPUTED_VALUE"""),4000.2000000000016)</f>
        <v>4000.2</v>
      </c>
      <c r="T266" s="26">
        <f>IFERROR(__xludf.DUMMYFUNCTION("""COMPUTED_VALUE"""),3390.0)</f>
        <v>3390</v>
      </c>
      <c r="U266" s="26">
        <f>IFERROR(__xludf.DUMMYFUNCTION("""COMPUTED_VALUE"""),4000.2)</f>
        <v>4000.2</v>
      </c>
      <c r="V266" s="26">
        <f>IFERROR(__xludf.DUMMYFUNCTION("""COMPUTED_VALUE"""),0.0)</f>
        <v>0</v>
      </c>
      <c r="W266" s="26">
        <f>IFERROR(__xludf.DUMMYFUNCTION("""COMPUTED_VALUE"""),0.0)</f>
        <v>0</v>
      </c>
      <c r="X266" s="26">
        <f>IFERROR(__xludf.DUMMYFUNCTION("""COMPUTED_VALUE"""),610.1999999999999)</f>
        <v>610.2</v>
      </c>
      <c r="Y266" s="26">
        <f>IFERROR(__xludf.DUMMYFUNCTION("""COMPUTED_VALUE"""),610.1999999999999)</f>
        <v>610.2</v>
      </c>
      <c r="Z266" s="26">
        <f>IFERROR(__xludf.DUMMYFUNCTION("""COMPUTED_VALUE"""),0.0)</f>
        <v>0</v>
      </c>
      <c r="AA266" s="26">
        <f>IFERROR(__xludf.DUMMYFUNCTION("""COMPUTED_VALUE"""),0.0)</f>
        <v>0</v>
      </c>
      <c r="AB266" s="26">
        <f>IFERROR(__xludf.DUMMYFUNCTION("""COMPUTED_VALUE"""),0.0)</f>
        <v>0</v>
      </c>
      <c r="AC266" s="26">
        <f>IFERROR(__xludf.DUMMYFUNCTION("""COMPUTED_VALUE"""),0.0)</f>
        <v>0</v>
      </c>
      <c r="AD266" s="26">
        <f>IFERROR(__xludf.DUMMYFUNCTION("""COMPUTED_VALUE"""),0.0)</f>
        <v>0</v>
      </c>
      <c r="AE266" s="26">
        <f>IFERROR(__xludf.DUMMYFUNCTION("""COMPUTED_VALUE"""),0.0)</f>
        <v>0</v>
      </c>
    </row>
    <row r="267">
      <c r="A267" s="26">
        <f>IFERROR(__xludf.DUMMYFUNCTION("""COMPUTED_VALUE"""),0.0)</f>
        <v>0</v>
      </c>
      <c r="B267" s="26">
        <f>IFERROR(__xludf.DUMMYFUNCTION("""COMPUTED_VALUE"""),0.0)</f>
        <v>0</v>
      </c>
      <c r="C267" s="26">
        <f>IFERROR(__xludf.DUMMYFUNCTION("""COMPUTED_VALUE"""),0.0)</f>
        <v>0</v>
      </c>
      <c r="D267" s="26">
        <f>IFERROR(__xludf.DUMMYFUNCTION("""COMPUTED_VALUE"""),0.0)</f>
        <v>0</v>
      </c>
      <c r="E267" s="26">
        <f>IFERROR(__xludf.DUMMYFUNCTION("""COMPUTED_VALUE"""),2.0)</f>
        <v>2</v>
      </c>
      <c r="F267" s="26">
        <f>IFERROR(__xludf.DUMMYFUNCTION("""COMPUTED_VALUE"""),0.0)</f>
        <v>0</v>
      </c>
      <c r="G267" s="26">
        <f>IFERROR(__xludf.DUMMYFUNCTION("""COMPUTED_VALUE"""),0.0)</f>
        <v>0</v>
      </c>
      <c r="H267" s="26">
        <f>IFERROR(__xludf.DUMMYFUNCTION("""COMPUTED_VALUE"""),0.0)</f>
        <v>0</v>
      </c>
      <c r="I267" s="26">
        <f>IFERROR(__xludf.DUMMYFUNCTION("""COMPUTED_VALUE"""),0.0)</f>
        <v>0</v>
      </c>
      <c r="J267" s="26">
        <f>IFERROR(__xludf.DUMMYFUNCTION("""COMPUTED_VALUE"""),0.0)</f>
        <v>0</v>
      </c>
      <c r="K267" s="26">
        <f>IFERROR(__xludf.DUMMYFUNCTION("""COMPUTED_VALUE"""),0.0)</f>
        <v>0</v>
      </c>
      <c r="L267" s="26">
        <f>IFERROR(__xludf.DUMMYFUNCTION("""COMPUTED_VALUE"""),0.0)</f>
        <v>0</v>
      </c>
      <c r="M267" s="26"/>
      <c r="N267" s="26"/>
      <c r="O267" s="26"/>
      <c r="P267" s="26"/>
      <c r="Q267" s="26"/>
      <c r="R267" s="26">
        <f>IFERROR(__xludf.DUMMYFUNCTION("""COMPUTED_VALUE"""),2.0)</f>
        <v>2</v>
      </c>
      <c r="S267" s="26">
        <f>IFERROR(__xludf.DUMMYFUNCTION("""COMPUTED_VALUE"""),365.8)</f>
        <v>365.8</v>
      </c>
      <c r="T267" s="26">
        <f>IFERROR(__xludf.DUMMYFUNCTION("""COMPUTED_VALUE"""),310.0)</f>
        <v>310</v>
      </c>
      <c r="U267" s="26">
        <f>IFERROR(__xludf.DUMMYFUNCTION("""COMPUTED_VALUE"""),365.8)</f>
        <v>365.8</v>
      </c>
      <c r="V267" s="26">
        <f>IFERROR(__xludf.DUMMYFUNCTION("""COMPUTED_VALUE"""),0.0)</f>
        <v>0</v>
      </c>
      <c r="W267" s="26">
        <f>IFERROR(__xludf.DUMMYFUNCTION("""COMPUTED_VALUE"""),0.0)</f>
        <v>0</v>
      </c>
      <c r="X267" s="26">
        <f>IFERROR(__xludf.DUMMYFUNCTION("""COMPUTED_VALUE"""),55.8)</f>
        <v>55.8</v>
      </c>
      <c r="Y267" s="26">
        <f>IFERROR(__xludf.DUMMYFUNCTION("""COMPUTED_VALUE"""),55.8)</f>
        <v>55.8</v>
      </c>
      <c r="Z267" s="26">
        <f>IFERROR(__xludf.DUMMYFUNCTION("""COMPUTED_VALUE"""),0.0)</f>
        <v>0</v>
      </c>
      <c r="AA267" s="26">
        <f>IFERROR(__xludf.DUMMYFUNCTION("""COMPUTED_VALUE"""),0.0)</f>
        <v>0</v>
      </c>
      <c r="AB267" s="26">
        <f>IFERROR(__xludf.DUMMYFUNCTION("""COMPUTED_VALUE"""),0.0)</f>
        <v>0</v>
      </c>
      <c r="AC267" s="26">
        <f>IFERROR(__xludf.DUMMYFUNCTION("""COMPUTED_VALUE"""),0.0)</f>
        <v>0</v>
      </c>
      <c r="AD267" s="26">
        <f>IFERROR(__xludf.DUMMYFUNCTION("""COMPUTED_VALUE"""),0.0)</f>
        <v>0</v>
      </c>
      <c r="AE267" s="26">
        <f>IFERROR(__xludf.DUMMYFUNCTION("""COMPUTED_VALUE"""),0.0)</f>
        <v>0</v>
      </c>
    </row>
    <row r="268">
      <c r="A268" s="26">
        <f>IFERROR(__xludf.DUMMYFUNCTION("""COMPUTED_VALUE"""),0.0)</f>
        <v>0</v>
      </c>
      <c r="B268" s="26">
        <f>IFERROR(__xludf.DUMMYFUNCTION("""COMPUTED_VALUE"""),0.0)</f>
        <v>0</v>
      </c>
      <c r="C268" s="26">
        <f>IFERROR(__xludf.DUMMYFUNCTION("""COMPUTED_VALUE"""),0.0)</f>
        <v>0</v>
      </c>
      <c r="D268" s="26">
        <f>IFERROR(__xludf.DUMMYFUNCTION("""COMPUTED_VALUE"""),0.0)</f>
        <v>0</v>
      </c>
      <c r="E268" s="26">
        <f>IFERROR(__xludf.DUMMYFUNCTION("""COMPUTED_VALUE"""),0.0)</f>
        <v>0</v>
      </c>
      <c r="F268" s="26">
        <f>IFERROR(__xludf.DUMMYFUNCTION("""COMPUTED_VALUE"""),0.0)</f>
        <v>0</v>
      </c>
      <c r="G268" s="26">
        <f>IFERROR(__xludf.DUMMYFUNCTION("""COMPUTED_VALUE"""),0.0)</f>
        <v>0</v>
      </c>
      <c r="H268" s="26">
        <f>IFERROR(__xludf.DUMMYFUNCTION("""COMPUTED_VALUE"""),0.0)</f>
        <v>0</v>
      </c>
      <c r="I268" s="26">
        <f>IFERROR(__xludf.DUMMYFUNCTION("""COMPUTED_VALUE"""),0.0)</f>
        <v>0</v>
      </c>
      <c r="J268" s="26">
        <f>IFERROR(__xludf.DUMMYFUNCTION("""COMPUTED_VALUE"""),0.0)</f>
        <v>0</v>
      </c>
      <c r="K268" s="26">
        <f>IFERROR(__xludf.DUMMYFUNCTION("""COMPUTED_VALUE"""),0.0)</f>
        <v>0</v>
      </c>
      <c r="L268" s="26">
        <f>IFERROR(__xludf.DUMMYFUNCTION("""COMPUTED_VALUE"""),0.0)</f>
        <v>0</v>
      </c>
      <c r="M268" s="26"/>
      <c r="N268" s="26"/>
      <c r="O268" s="26"/>
      <c r="P268" s="26"/>
      <c r="Q268" s="26"/>
      <c r="R268" s="26">
        <f>IFERROR(__xludf.DUMMYFUNCTION("""COMPUTED_VALUE"""),0.0)</f>
        <v>0</v>
      </c>
      <c r="S268" s="26">
        <f>IFERROR(__xludf.DUMMYFUNCTION("""COMPUTED_VALUE"""),0.0)</f>
        <v>0</v>
      </c>
      <c r="T268" s="26">
        <f>IFERROR(__xludf.DUMMYFUNCTION("""COMPUTED_VALUE"""),0.0)</f>
        <v>0</v>
      </c>
      <c r="U268" s="26">
        <f>IFERROR(__xludf.DUMMYFUNCTION("""COMPUTED_VALUE"""),0.0)</f>
        <v>0</v>
      </c>
      <c r="V268" s="26">
        <f>IFERROR(__xludf.DUMMYFUNCTION("""COMPUTED_VALUE"""),0.0)</f>
        <v>0</v>
      </c>
      <c r="W268" s="26">
        <f>IFERROR(__xludf.DUMMYFUNCTION("""COMPUTED_VALUE"""),0.0)</f>
        <v>0</v>
      </c>
      <c r="X268" s="26">
        <f>IFERROR(__xludf.DUMMYFUNCTION("""COMPUTED_VALUE"""),0.0)</f>
        <v>0</v>
      </c>
      <c r="Y268" s="26">
        <f>IFERROR(__xludf.DUMMYFUNCTION("""COMPUTED_VALUE"""),0.0)</f>
        <v>0</v>
      </c>
      <c r="Z268" s="26">
        <f>IFERROR(__xludf.DUMMYFUNCTION("""COMPUTED_VALUE"""),0.0)</f>
        <v>0</v>
      </c>
      <c r="AA268" s="26">
        <f>IFERROR(__xludf.DUMMYFUNCTION("""COMPUTED_VALUE"""),0.0)</f>
        <v>0</v>
      </c>
      <c r="AB268" s="26">
        <f>IFERROR(__xludf.DUMMYFUNCTION("""COMPUTED_VALUE"""),0.0)</f>
        <v>0</v>
      </c>
      <c r="AC268" s="26">
        <f>IFERROR(__xludf.DUMMYFUNCTION("""COMPUTED_VALUE"""),0.0)</f>
        <v>0</v>
      </c>
      <c r="AD268" s="26">
        <f>IFERROR(__xludf.DUMMYFUNCTION("""COMPUTED_VALUE"""),0.0)</f>
        <v>0</v>
      </c>
      <c r="AE268" s="26">
        <f>IFERROR(__xludf.DUMMYFUNCTION("""COMPUTED_VALUE"""),0.0)</f>
        <v>0</v>
      </c>
    </row>
    <row r="269">
      <c r="A269" s="26">
        <f>IFERROR(__xludf.DUMMYFUNCTION("""COMPUTED_VALUE"""),382.0)</f>
        <v>382</v>
      </c>
      <c r="B269" s="26">
        <f>IFERROR(__xludf.DUMMYFUNCTION("""COMPUTED_VALUE"""),0.0)</f>
        <v>0</v>
      </c>
      <c r="C269" s="26">
        <f>IFERROR(__xludf.DUMMYFUNCTION("""COMPUTED_VALUE"""),0.0)</f>
        <v>0</v>
      </c>
      <c r="D269" s="26">
        <f>IFERROR(__xludf.DUMMYFUNCTION("""COMPUTED_VALUE"""),0.0)</f>
        <v>0</v>
      </c>
      <c r="E269" s="26">
        <f>IFERROR(__xludf.DUMMYFUNCTION("""COMPUTED_VALUE"""),0.0)</f>
        <v>0</v>
      </c>
      <c r="F269" s="26">
        <f>IFERROR(__xludf.DUMMYFUNCTION("""COMPUTED_VALUE"""),0.0)</f>
        <v>0</v>
      </c>
      <c r="G269" s="26">
        <f>IFERROR(__xludf.DUMMYFUNCTION("""COMPUTED_VALUE"""),0.0)</f>
        <v>0</v>
      </c>
      <c r="H269" s="26">
        <f>IFERROR(__xludf.DUMMYFUNCTION("""COMPUTED_VALUE"""),0.0)</f>
        <v>0</v>
      </c>
      <c r="I269" s="26">
        <f>IFERROR(__xludf.DUMMYFUNCTION("""COMPUTED_VALUE"""),0.0)</f>
        <v>0</v>
      </c>
      <c r="J269" s="26">
        <f>IFERROR(__xludf.DUMMYFUNCTION("""COMPUTED_VALUE"""),0.0)</f>
        <v>0</v>
      </c>
      <c r="K269" s="26">
        <f>IFERROR(__xludf.DUMMYFUNCTION("""COMPUTED_VALUE"""),0.0)</f>
        <v>0</v>
      </c>
      <c r="L269" s="26">
        <f>IFERROR(__xludf.DUMMYFUNCTION("""COMPUTED_VALUE"""),0.0)</f>
        <v>0</v>
      </c>
      <c r="M269" s="26"/>
      <c r="N269" s="26"/>
      <c r="O269" s="26"/>
      <c r="P269" s="26"/>
      <c r="Q269" s="26"/>
      <c r="R269" s="26">
        <f>IFERROR(__xludf.DUMMYFUNCTION("""COMPUTED_VALUE"""),382.0)</f>
        <v>382</v>
      </c>
      <c r="S269" s="26">
        <f>IFERROR(__xludf.DUMMYFUNCTION("""COMPUTED_VALUE"""),168844.0)</f>
        <v>168844</v>
      </c>
      <c r="T269" s="26">
        <f>IFERROR(__xludf.DUMMYFUNCTION("""COMPUTED_VALUE"""),66850.0)</f>
        <v>66850</v>
      </c>
      <c r="U269" s="26">
        <f>IFERROR(__xludf.DUMMYFUNCTION("""COMPUTED_VALUE"""),92604.43999999977)</f>
        <v>92604.44</v>
      </c>
      <c r="V269" s="26">
        <f>IFERROR(__xludf.DUMMYFUNCTION("""COMPUTED_VALUE"""),0.0)</f>
        <v>0</v>
      </c>
      <c r="W269" s="26">
        <f>IFERROR(__xludf.DUMMYFUNCTION("""COMPUTED_VALUE"""),0.0)</f>
        <v>0</v>
      </c>
      <c r="X269" s="26">
        <f>IFERROR(__xludf.DUMMYFUNCTION("""COMPUTED_VALUE"""),25754.439999999773)</f>
        <v>25754.44</v>
      </c>
      <c r="Y269" s="26">
        <f>IFERROR(__xludf.DUMMYFUNCTION("""COMPUTED_VALUE"""),25754.439999999773)</f>
        <v>25754.44</v>
      </c>
      <c r="Z269" s="26">
        <f>IFERROR(__xludf.DUMMYFUNCTION("""COMPUTED_VALUE"""),394753.60000000795)</f>
        <v>394753.6</v>
      </c>
      <c r="AA269" s="26">
        <f>IFERROR(__xludf.DUMMYFUNCTION("""COMPUTED_VALUE"""),394753.60000000795)</f>
        <v>394753.6</v>
      </c>
      <c r="AB269" s="26">
        <f>IFERROR(__xludf.DUMMYFUNCTION("""COMPUTED_VALUE"""),312143.1199999967)</f>
        <v>312143.12</v>
      </c>
      <c r="AC269" s="26">
        <f>IFERROR(__xludf.DUMMYFUNCTION("""COMPUTED_VALUE"""),296534.4000000015)</f>
        <v>296534.4</v>
      </c>
      <c r="AD269" s="26">
        <f>IFERROR(__xludf.DUMMYFUNCTION("""COMPUTED_VALUE"""),15608.719999999503)</f>
        <v>15608.72</v>
      </c>
      <c r="AE269" s="26">
        <f>IFERROR(__xludf.DUMMYFUNCTION("""COMPUTED_VALUE"""),0.0)</f>
        <v>0</v>
      </c>
    </row>
    <row r="270">
      <c r="A270" s="26">
        <f>IFERROR(__xludf.DUMMYFUNCTION("""COMPUTED_VALUE"""),93.0)</f>
        <v>93</v>
      </c>
      <c r="B270" s="26">
        <f>IFERROR(__xludf.DUMMYFUNCTION("""COMPUTED_VALUE"""),0.0)</f>
        <v>0</v>
      </c>
      <c r="C270" s="26">
        <f>IFERROR(__xludf.DUMMYFUNCTION("""COMPUTED_VALUE"""),0.0)</f>
        <v>0</v>
      </c>
      <c r="D270" s="26">
        <f>IFERROR(__xludf.DUMMYFUNCTION("""COMPUTED_VALUE"""),0.0)</f>
        <v>0</v>
      </c>
      <c r="E270" s="26">
        <f>IFERROR(__xludf.DUMMYFUNCTION("""COMPUTED_VALUE"""),0.0)</f>
        <v>0</v>
      </c>
      <c r="F270" s="26">
        <f>IFERROR(__xludf.DUMMYFUNCTION("""COMPUTED_VALUE"""),0.0)</f>
        <v>0</v>
      </c>
      <c r="G270" s="26">
        <f>IFERROR(__xludf.DUMMYFUNCTION("""COMPUTED_VALUE"""),0.0)</f>
        <v>0</v>
      </c>
      <c r="H270" s="26">
        <f>IFERROR(__xludf.DUMMYFUNCTION("""COMPUTED_VALUE"""),0.0)</f>
        <v>0</v>
      </c>
      <c r="I270" s="26">
        <f>IFERROR(__xludf.DUMMYFUNCTION("""COMPUTED_VALUE"""),0.0)</f>
        <v>0</v>
      </c>
      <c r="J270" s="26">
        <f>IFERROR(__xludf.DUMMYFUNCTION("""COMPUTED_VALUE"""),0.0)</f>
        <v>0</v>
      </c>
      <c r="K270" s="26">
        <f>IFERROR(__xludf.DUMMYFUNCTION("""COMPUTED_VALUE"""),0.0)</f>
        <v>0</v>
      </c>
      <c r="L270" s="26">
        <f>IFERROR(__xludf.DUMMYFUNCTION("""COMPUTED_VALUE"""),0.0)</f>
        <v>0</v>
      </c>
      <c r="M270" s="26"/>
      <c r="N270" s="26"/>
      <c r="O270" s="26"/>
      <c r="P270" s="26"/>
      <c r="Q270" s="26"/>
      <c r="R270" s="26">
        <f>IFERROR(__xludf.DUMMYFUNCTION("""COMPUTED_VALUE"""),93.0)</f>
        <v>93</v>
      </c>
      <c r="S270" s="26">
        <f>IFERROR(__xludf.DUMMYFUNCTION("""COMPUTED_VALUE"""),41106.0)</f>
        <v>41106</v>
      </c>
      <c r="T270" s="26">
        <f>IFERROR(__xludf.DUMMYFUNCTION("""COMPUTED_VALUE"""),15810.0)</f>
        <v>15810</v>
      </c>
      <c r="U270" s="26">
        <f>IFERROR(__xludf.DUMMYFUNCTION("""COMPUTED_VALUE"""),22080.060000000005)</f>
        <v>22080.06</v>
      </c>
      <c r="V270" s="26">
        <f>IFERROR(__xludf.DUMMYFUNCTION("""COMPUTED_VALUE"""),0.0)</f>
        <v>0</v>
      </c>
      <c r="W270" s="26">
        <f>IFERROR(__xludf.DUMMYFUNCTION("""COMPUTED_VALUE"""),0.0)</f>
        <v>0</v>
      </c>
      <c r="X270" s="26">
        <f>IFERROR(__xludf.DUMMYFUNCTION("""COMPUTED_VALUE"""),6270.060000000005)</f>
        <v>6270.06</v>
      </c>
      <c r="Y270" s="26">
        <f>IFERROR(__xludf.DUMMYFUNCTION("""COMPUTED_VALUE"""),6270.060000000005)</f>
        <v>6270.06</v>
      </c>
      <c r="Z270" s="26">
        <f>IFERROR(__xludf.DUMMYFUNCTION("""COMPUTED_VALUE"""),42595.800000000134)</f>
        <v>42595.8</v>
      </c>
      <c r="AA270" s="26">
        <f>IFERROR(__xludf.DUMMYFUNCTION("""COMPUTED_VALUE"""),42595.800000000134)</f>
        <v>42595.8</v>
      </c>
      <c r="AB270" s="26">
        <f>IFERROR(__xludf.DUMMYFUNCTION("""COMPUTED_VALUE"""),35187.760000000155)</f>
        <v>35187.76</v>
      </c>
      <c r="AC270" s="26">
        <f>IFERROR(__xludf.DUMMYFUNCTION("""COMPUTED_VALUE"""),33428.199999999895)</f>
        <v>33428.2</v>
      </c>
      <c r="AD270" s="26">
        <f>IFERROR(__xludf.DUMMYFUNCTION("""COMPUTED_VALUE"""),1759.5600000000024)</f>
        <v>1759.56</v>
      </c>
      <c r="AE270" s="26">
        <f>IFERROR(__xludf.DUMMYFUNCTION("""COMPUTED_VALUE"""),0.0)</f>
        <v>0</v>
      </c>
    </row>
    <row r="271">
      <c r="A271" s="26">
        <f>IFERROR(__xludf.DUMMYFUNCTION("""COMPUTED_VALUE"""),210.0)</f>
        <v>210</v>
      </c>
      <c r="B271" s="26">
        <f>IFERROR(__xludf.DUMMYFUNCTION("""COMPUTED_VALUE"""),0.0)</f>
        <v>0</v>
      </c>
      <c r="C271" s="26">
        <f>IFERROR(__xludf.DUMMYFUNCTION("""COMPUTED_VALUE"""),0.0)</f>
        <v>0</v>
      </c>
      <c r="D271" s="26">
        <f>IFERROR(__xludf.DUMMYFUNCTION("""COMPUTED_VALUE"""),0.0)</f>
        <v>0</v>
      </c>
      <c r="E271" s="26">
        <f>IFERROR(__xludf.DUMMYFUNCTION("""COMPUTED_VALUE"""),0.0)</f>
        <v>0</v>
      </c>
      <c r="F271" s="26">
        <f>IFERROR(__xludf.DUMMYFUNCTION("""COMPUTED_VALUE"""),0.0)</f>
        <v>0</v>
      </c>
      <c r="G271" s="26">
        <f>IFERROR(__xludf.DUMMYFUNCTION("""COMPUTED_VALUE"""),0.0)</f>
        <v>0</v>
      </c>
      <c r="H271" s="26">
        <f>IFERROR(__xludf.DUMMYFUNCTION("""COMPUTED_VALUE"""),0.0)</f>
        <v>0</v>
      </c>
      <c r="I271" s="26">
        <f>IFERROR(__xludf.DUMMYFUNCTION("""COMPUTED_VALUE"""),0.0)</f>
        <v>0</v>
      </c>
      <c r="J271" s="26">
        <f>IFERROR(__xludf.DUMMYFUNCTION("""COMPUTED_VALUE"""),0.0)</f>
        <v>0</v>
      </c>
      <c r="K271" s="26">
        <f>IFERROR(__xludf.DUMMYFUNCTION("""COMPUTED_VALUE"""),0.0)</f>
        <v>0</v>
      </c>
      <c r="L271" s="26">
        <f>IFERROR(__xludf.DUMMYFUNCTION("""COMPUTED_VALUE"""),0.0)</f>
        <v>0</v>
      </c>
      <c r="M271" s="26"/>
      <c r="N271" s="26"/>
      <c r="O271" s="26"/>
      <c r="P271" s="26"/>
      <c r="Q271" s="26"/>
      <c r="R271" s="26">
        <f>IFERROR(__xludf.DUMMYFUNCTION("""COMPUTED_VALUE"""),210.0)</f>
        <v>210</v>
      </c>
      <c r="S271" s="26">
        <f>IFERROR(__xludf.DUMMYFUNCTION("""COMPUTED_VALUE"""),92820.0)</f>
        <v>92820</v>
      </c>
      <c r="T271" s="26">
        <f>IFERROR(__xludf.DUMMYFUNCTION("""COMPUTED_VALUE"""),36750.0)</f>
        <v>36750</v>
      </c>
      <c r="U271" s="26">
        <f>IFERROR(__xludf.DUMMYFUNCTION("""COMPUTED_VALUE"""),50908.20000000001)</f>
        <v>50908.2</v>
      </c>
      <c r="V271" s="26">
        <f>IFERROR(__xludf.DUMMYFUNCTION("""COMPUTED_VALUE"""),0.0)</f>
        <v>0</v>
      </c>
      <c r="W271" s="26">
        <f>IFERROR(__xludf.DUMMYFUNCTION("""COMPUTED_VALUE"""),0.0)</f>
        <v>0</v>
      </c>
      <c r="X271" s="26">
        <f>IFERROR(__xludf.DUMMYFUNCTION("""COMPUTED_VALUE"""),14158.200000000013)</f>
        <v>14158.2</v>
      </c>
      <c r="Y271" s="26">
        <f>IFERROR(__xludf.DUMMYFUNCTION("""COMPUTED_VALUE"""),14158.200000000013)</f>
        <v>14158.2</v>
      </c>
      <c r="Z271" s="26">
        <f>IFERROR(__xludf.DUMMYFUNCTION("""COMPUTED_VALUE"""),0.0)</f>
        <v>0</v>
      </c>
      <c r="AA271" s="26">
        <f>IFERROR(__xludf.DUMMYFUNCTION("""COMPUTED_VALUE"""),0.0)</f>
        <v>0</v>
      </c>
      <c r="AB271" s="26">
        <f>IFERROR(__xludf.DUMMYFUNCTION("""COMPUTED_VALUE"""),0.0)</f>
        <v>0</v>
      </c>
      <c r="AC271" s="26">
        <f>IFERROR(__xludf.DUMMYFUNCTION("""COMPUTED_VALUE"""),0.0)</f>
        <v>0</v>
      </c>
      <c r="AD271" s="26">
        <f>IFERROR(__xludf.DUMMYFUNCTION("""COMPUTED_VALUE"""),0.0)</f>
        <v>0</v>
      </c>
      <c r="AE271" s="26">
        <f>IFERROR(__xludf.DUMMYFUNCTION("""COMPUTED_VALUE"""),0.0)</f>
        <v>0</v>
      </c>
    </row>
    <row r="272">
      <c r="A272" s="26">
        <f>IFERROR(__xludf.DUMMYFUNCTION("""COMPUTED_VALUE"""),29.0)</f>
        <v>29</v>
      </c>
      <c r="B272" s="26">
        <f>IFERROR(__xludf.DUMMYFUNCTION("""COMPUTED_VALUE"""),0.0)</f>
        <v>0</v>
      </c>
      <c r="C272" s="26">
        <f>IFERROR(__xludf.DUMMYFUNCTION("""COMPUTED_VALUE"""),0.0)</f>
        <v>0</v>
      </c>
      <c r="D272" s="26">
        <f>IFERROR(__xludf.DUMMYFUNCTION("""COMPUTED_VALUE"""),0.0)</f>
        <v>0</v>
      </c>
      <c r="E272" s="26">
        <f>IFERROR(__xludf.DUMMYFUNCTION("""COMPUTED_VALUE"""),0.0)</f>
        <v>0</v>
      </c>
      <c r="F272" s="26">
        <f>IFERROR(__xludf.DUMMYFUNCTION("""COMPUTED_VALUE"""),0.0)</f>
        <v>0</v>
      </c>
      <c r="G272" s="26">
        <f>IFERROR(__xludf.DUMMYFUNCTION("""COMPUTED_VALUE"""),0.0)</f>
        <v>0</v>
      </c>
      <c r="H272" s="26">
        <f>IFERROR(__xludf.DUMMYFUNCTION("""COMPUTED_VALUE"""),0.0)</f>
        <v>0</v>
      </c>
      <c r="I272" s="26">
        <f>IFERROR(__xludf.DUMMYFUNCTION("""COMPUTED_VALUE"""),0.0)</f>
        <v>0</v>
      </c>
      <c r="J272" s="26">
        <f>IFERROR(__xludf.DUMMYFUNCTION("""COMPUTED_VALUE"""),0.0)</f>
        <v>0</v>
      </c>
      <c r="K272" s="26">
        <f>IFERROR(__xludf.DUMMYFUNCTION("""COMPUTED_VALUE"""),0.0)</f>
        <v>0</v>
      </c>
      <c r="L272" s="26">
        <f>IFERROR(__xludf.DUMMYFUNCTION("""COMPUTED_VALUE"""),0.0)</f>
        <v>0</v>
      </c>
      <c r="M272" s="26"/>
      <c r="N272" s="26"/>
      <c r="O272" s="26"/>
      <c r="P272" s="26"/>
      <c r="Q272" s="26"/>
      <c r="R272" s="26">
        <f>IFERROR(__xludf.DUMMYFUNCTION("""COMPUTED_VALUE"""),29.0)</f>
        <v>29</v>
      </c>
      <c r="S272" s="26">
        <f>IFERROR(__xludf.DUMMYFUNCTION("""COMPUTED_VALUE"""),12818.0)</f>
        <v>12818</v>
      </c>
      <c r="T272" s="26">
        <f>IFERROR(__xludf.DUMMYFUNCTION("""COMPUTED_VALUE"""),5075.0)</f>
        <v>5075</v>
      </c>
      <c r="U272" s="26">
        <f>IFERROR(__xludf.DUMMYFUNCTION("""COMPUTED_VALUE"""),7030.18)</f>
        <v>7030.18</v>
      </c>
      <c r="V272" s="26">
        <f>IFERROR(__xludf.DUMMYFUNCTION("""COMPUTED_VALUE"""),0.0)</f>
        <v>0</v>
      </c>
      <c r="W272" s="26">
        <f>IFERROR(__xludf.DUMMYFUNCTION("""COMPUTED_VALUE"""),0.0)</f>
        <v>0</v>
      </c>
      <c r="X272" s="26">
        <f>IFERROR(__xludf.DUMMYFUNCTION("""COMPUTED_VALUE"""),1955.1800000000007)</f>
        <v>1955.18</v>
      </c>
      <c r="Y272" s="26">
        <f>IFERROR(__xludf.DUMMYFUNCTION("""COMPUTED_VALUE"""),1955.1800000000007)</f>
        <v>1955.18</v>
      </c>
      <c r="Z272" s="26">
        <f>IFERROR(__xludf.DUMMYFUNCTION("""COMPUTED_VALUE"""),0.0)</f>
        <v>0</v>
      </c>
      <c r="AA272" s="26">
        <f>IFERROR(__xludf.DUMMYFUNCTION("""COMPUTED_VALUE"""),0.0)</f>
        <v>0</v>
      </c>
      <c r="AB272" s="26">
        <f>IFERROR(__xludf.DUMMYFUNCTION("""COMPUTED_VALUE"""),0.0)</f>
        <v>0</v>
      </c>
      <c r="AC272" s="26">
        <f>IFERROR(__xludf.DUMMYFUNCTION("""COMPUTED_VALUE"""),0.0)</f>
        <v>0</v>
      </c>
      <c r="AD272" s="26">
        <f>IFERROR(__xludf.DUMMYFUNCTION("""COMPUTED_VALUE"""),0.0)</f>
        <v>0</v>
      </c>
      <c r="AE272" s="26">
        <f>IFERROR(__xludf.DUMMYFUNCTION("""COMPUTED_VALUE"""),0.0)</f>
        <v>0</v>
      </c>
    </row>
    <row r="273">
      <c r="A273" s="26">
        <f>IFERROR(__xludf.DUMMYFUNCTION("""COMPUTED_VALUE"""),0.0)</f>
        <v>0</v>
      </c>
      <c r="B273" s="26">
        <f>IFERROR(__xludf.DUMMYFUNCTION("""COMPUTED_VALUE"""),0.0)</f>
        <v>0</v>
      </c>
      <c r="C273" s="26">
        <f>IFERROR(__xludf.DUMMYFUNCTION("""COMPUTED_VALUE"""),0.0)</f>
        <v>0</v>
      </c>
      <c r="D273" s="26">
        <f>IFERROR(__xludf.DUMMYFUNCTION("""COMPUTED_VALUE"""),0.0)</f>
        <v>0</v>
      </c>
      <c r="E273" s="26">
        <f>IFERROR(__xludf.DUMMYFUNCTION("""COMPUTED_VALUE"""),0.0)</f>
        <v>0</v>
      </c>
      <c r="F273" s="26">
        <f>IFERROR(__xludf.DUMMYFUNCTION("""COMPUTED_VALUE"""),0.0)</f>
        <v>0</v>
      </c>
      <c r="G273" s="26">
        <f>IFERROR(__xludf.DUMMYFUNCTION("""COMPUTED_VALUE"""),0.0)</f>
        <v>0</v>
      </c>
      <c r="H273" s="26">
        <f>IFERROR(__xludf.DUMMYFUNCTION("""COMPUTED_VALUE"""),0.0)</f>
        <v>0</v>
      </c>
      <c r="I273" s="26">
        <f>IFERROR(__xludf.DUMMYFUNCTION("""COMPUTED_VALUE"""),0.0)</f>
        <v>0</v>
      </c>
      <c r="J273" s="26">
        <f>IFERROR(__xludf.DUMMYFUNCTION("""COMPUTED_VALUE"""),0.0)</f>
        <v>0</v>
      </c>
      <c r="K273" s="26">
        <f>IFERROR(__xludf.DUMMYFUNCTION("""COMPUTED_VALUE"""),0.0)</f>
        <v>0</v>
      </c>
      <c r="L273" s="26">
        <f>IFERROR(__xludf.DUMMYFUNCTION("""COMPUTED_VALUE"""),0.0)</f>
        <v>0</v>
      </c>
      <c r="M273" s="26"/>
      <c r="N273" s="26"/>
      <c r="O273" s="26"/>
      <c r="P273" s="26"/>
      <c r="Q273" s="26"/>
      <c r="R273" s="26">
        <f>IFERROR(__xludf.DUMMYFUNCTION("""COMPUTED_VALUE"""),0.0)</f>
        <v>0</v>
      </c>
      <c r="S273" s="26">
        <f>IFERROR(__xludf.DUMMYFUNCTION("""COMPUTED_VALUE"""),0.0)</f>
        <v>0</v>
      </c>
      <c r="T273" s="26">
        <f>IFERROR(__xludf.DUMMYFUNCTION("""COMPUTED_VALUE"""),0.0)</f>
        <v>0</v>
      </c>
      <c r="U273" s="26">
        <f>IFERROR(__xludf.DUMMYFUNCTION("""COMPUTED_VALUE"""),0.0)</f>
        <v>0</v>
      </c>
      <c r="V273" s="26">
        <f>IFERROR(__xludf.DUMMYFUNCTION("""COMPUTED_VALUE"""),0.0)</f>
        <v>0</v>
      </c>
      <c r="W273" s="26">
        <f>IFERROR(__xludf.DUMMYFUNCTION("""COMPUTED_VALUE"""),0.0)</f>
        <v>0</v>
      </c>
      <c r="X273" s="26">
        <f>IFERROR(__xludf.DUMMYFUNCTION("""COMPUTED_VALUE"""),0.0)</f>
        <v>0</v>
      </c>
      <c r="Y273" s="26">
        <f>IFERROR(__xludf.DUMMYFUNCTION("""COMPUTED_VALUE"""),0.0)</f>
        <v>0</v>
      </c>
      <c r="Z273" s="26">
        <f>IFERROR(__xludf.DUMMYFUNCTION("""COMPUTED_VALUE"""),0.0)</f>
        <v>0</v>
      </c>
      <c r="AA273" s="26">
        <f>IFERROR(__xludf.DUMMYFUNCTION("""COMPUTED_VALUE"""),0.0)</f>
        <v>0</v>
      </c>
      <c r="AB273" s="26">
        <f>IFERROR(__xludf.DUMMYFUNCTION("""COMPUTED_VALUE"""),0.0)</f>
        <v>0</v>
      </c>
      <c r="AC273" s="26">
        <f>IFERROR(__xludf.DUMMYFUNCTION("""COMPUTED_VALUE"""),0.0)</f>
        <v>0</v>
      </c>
      <c r="AD273" s="26">
        <f>IFERROR(__xludf.DUMMYFUNCTION("""COMPUTED_VALUE"""),0.0)</f>
        <v>0</v>
      </c>
      <c r="AE273" s="26">
        <f>IFERROR(__xludf.DUMMYFUNCTION("""COMPUTED_VALUE"""),0.0)</f>
        <v>0</v>
      </c>
    </row>
    <row r="274">
      <c r="A274" s="26">
        <f>IFERROR(__xludf.DUMMYFUNCTION("""COMPUTED_VALUE"""),16.0)</f>
        <v>16</v>
      </c>
      <c r="B274" s="26">
        <f>IFERROR(__xludf.DUMMYFUNCTION("""COMPUTED_VALUE"""),0.0)</f>
        <v>0</v>
      </c>
      <c r="C274" s="26">
        <f>IFERROR(__xludf.DUMMYFUNCTION("""COMPUTED_VALUE"""),0.0)</f>
        <v>0</v>
      </c>
      <c r="D274" s="26">
        <f>IFERROR(__xludf.DUMMYFUNCTION("""COMPUTED_VALUE"""),0.0)</f>
        <v>0</v>
      </c>
      <c r="E274" s="26">
        <f>IFERROR(__xludf.DUMMYFUNCTION("""COMPUTED_VALUE"""),0.0)</f>
        <v>0</v>
      </c>
      <c r="F274" s="26">
        <f>IFERROR(__xludf.DUMMYFUNCTION("""COMPUTED_VALUE"""),0.0)</f>
        <v>0</v>
      </c>
      <c r="G274" s="26">
        <f>IFERROR(__xludf.DUMMYFUNCTION("""COMPUTED_VALUE"""),0.0)</f>
        <v>0</v>
      </c>
      <c r="H274" s="26">
        <f>IFERROR(__xludf.DUMMYFUNCTION("""COMPUTED_VALUE"""),0.0)</f>
        <v>0</v>
      </c>
      <c r="I274" s="26">
        <f>IFERROR(__xludf.DUMMYFUNCTION("""COMPUTED_VALUE"""),0.0)</f>
        <v>0</v>
      </c>
      <c r="J274" s="26">
        <f>IFERROR(__xludf.DUMMYFUNCTION("""COMPUTED_VALUE"""),0.0)</f>
        <v>0</v>
      </c>
      <c r="K274" s="26">
        <f>IFERROR(__xludf.DUMMYFUNCTION("""COMPUTED_VALUE"""),0.0)</f>
        <v>0</v>
      </c>
      <c r="L274" s="26">
        <f>IFERROR(__xludf.DUMMYFUNCTION("""COMPUTED_VALUE"""),0.0)</f>
        <v>0</v>
      </c>
      <c r="M274" s="26"/>
      <c r="N274" s="26"/>
      <c r="O274" s="26"/>
      <c r="P274" s="26"/>
      <c r="Q274" s="26"/>
      <c r="R274" s="26">
        <f>IFERROR(__xludf.DUMMYFUNCTION("""COMPUTED_VALUE"""),16.0)</f>
        <v>16</v>
      </c>
      <c r="S274" s="26">
        <f>IFERROR(__xludf.DUMMYFUNCTION("""COMPUTED_VALUE"""),7072.0)</f>
        <v>7072</v>
      </c>
      <c r="T274" s="26">
        <f>IFERROR(__xludf.DUMMYFUNCTION("""COMPUTED_VALUE"""),2800.0)</f>
        <v>2800</v>
      </c>
      <c r="U274" s="26">
        <f>IFERROR(__xludf.DUMMYFUNCTION("""COMPUTED_VALUE"""),3878.72)</f>
        <v>3878.72</v>
      </c>
      <c r="V274" s="26">
        <f>IFERROR(__xludf.DUMMYFUNCTION("""COMPUTED_VALUE"""),0.0)</f>
        <v>0</v>
      </c>
      <c r="W274" s="26">
        <f>IFERROR(__xludf.DUMMYFUNCTION("""COMPUTED_VALUE"""),0.0)</f>
        <v>0</v>
      </c>
      <c r="X274" s="26">
        <f>IFERROR(__xludf.DUMMYFUNCTION("""COMPUTED_VALUE"""),1078.7199999999998)</f>
        <v>1078.72</v>
      </c>
      <c r="Y274" s="26">
        <f>IFERROR(__xludf.DUMMYFUNCTION("""COMPUTED_VALUE"""),1078.7199999999998)</f>
        <v>1078.72</v>
      </c>
      <c r="Z274" s="26">
        <f>IFERROR(__xludf.DUMMYFUNCTION("""COMPUTED_VALUE"""),0.0)</f>
        <v>0</v>
      </c>
      <c r="AA274" s="26">
        <f>IFERROR(__xludf.DUMMYFUNCTION("""COMPUTED_VALUE"""),0.0)</f>
        <v>0</v>
      </c>
      <c r="AB274" s="26">
        <f>IFERROR(__xludf.DUMMYFUNCTION("""COMPUTED_VALUE"""),0.0)</f>
        <v>0</v>
      </c>
      <c r="AC274" s="26">
        <f>IFERROR(__xludf.DUMMYFUNCTION("""COMPUTED_VALUE"""),0.0)</f>
        <v>0</v>
      </c>
      <c r="AD274" s="26">
        <f>IFERROR(__xludf.DUMMYFUNCTION("""COMPUTED_VALUE"""),0.0)</f>
        <v>0</v>
      </c>
      <c r="AE274" s="26">
        <f>IFERROR(__xludf.DUMMYFUNCTION("""COMPUTED_VALUE"""),0.0)</f>
        <v>0</v>
      </c>
    </row>
    <row r="275">
      <c r="A275" s="26">
        <f>IFERROR(__xludf.DUMMYFUNCTION("""COMPUTED_VALUE"""),0.0)</f>
        <v>0</v>
      </c>
      <c r="B275" s="26">
        <f>IFERROR(__xludf.DUMMYFUNCTION("""COMPUTED_VALUE"""),0.0)</f>
        <v>0</v>
      </c>
      <c r="C275" s="26">
        <f>IFERROR(__xludf.DUMMYFUNCTION("""COMPUTED_VALUE"""),0.0)</f>
        <v>0</v>
      </c>
      <c r="D275" s="26">
        <f>IFERROR(__xludf.DUMMYFUNCTION("""COMPUTED_VALUE"""),0.0)</f>
        <v>0</v>
      </c>
      <c r="E275" s="26">
        <f>IFERROR(__xludf.DUMMYFUNCTION("""COMPUTED_VALUE"""),0.0)</f>
        <v>0</v>
      </c>
      <c r="F275" s="26">
        <f>IFERROR(__xludf.DUMMYFUNCTION("""COMPUTED_VALUE"""),0.0)</f>
        <v>0</v>
      </c>
      <c r="G275" s="26">
        <f>IFERROR(__xludf.DUMMYFUNCTION("""COMPUTED_VALUE"""),0.0)</f>
        <v>0</v>
      </c>
      <c r="H275" s="26">
        <f>IFERROR(__xludf.DUMMYFUNCTION("""COMPUTED_VALUE"""),0.0)</f>
        <v>0</v>
      </c>
      <c r="I275" s="26">
        <f>IFERROR(__xludf.DUMMYFUNCTION("""COMPUTED_VALUE"""),0.0)</f>
        <v>0</v>
      </c>
      <c r="J275" s="26">
        <f>IFERROR(__xludf.DUMMYFUNCTION("""COMPUTED_VALUE"""),0.0)</f>
        <v>0</v>
      </c>
      <c r="K275" s="26">
        <f>IFERROR(__xludf.DUMMYFUNCTION("""COMPUTED_VALUE"""),0.0)</f>
        <v>0</v>
      </c>
      <c r="L275" s="26">
        <f>IFERROR(__xludf.DUMMYFUNCTION("""COMPUTED_VALUE"""),0.0)</f>
        <v>0</v>
      </c>
      <c r="M275" s="26"/>
      <c r="N275" s="26"/>
      <c r="O275" s="26"/>
      <c r="P275" s="26"/>
      <c r="Q275" s="26"/>
      <c r="R275" s="26">
        <f>IFERROR(__xludf.DUMMYFUNCTION("""COMPUTED_VALUE"""),0.0)</f>
        <v>0</v>
      </c>
      <c r="S275" s="26">
        <f>IFERROR(__xludf.DUMMYFUNCTION("""COMPUTED_VALUE"""),0.0)</f>
        <v>0</v>
      </c>
      <c r="T275" s="26">
        <f>IFERROR(__xludf.DUMMYFUNCTION("""COMPUTED_VALUE"""),0.0)</f>
        <v>0</v>
      </c>
      <c r="U275" s="26">
        <f>IFERROR(__xludf.DUMMYFUNCTION("""COMPUTED_VALUE"""),0.0)</f>
        <v>0</v>
      </c>
      <c r="V275" s="26">
        <f>IFERROR(__xludf.DUMMYFUNCTION("""COMPUTED_VALUE"""),0.0)</f>
        <v>0</v>
      </c>
      <c r="W275" s="26">
        <f>IFERROR(__xludf.DUMMYFUNCTION("""COMPUTED_VALUE"""),0.0)</f>
        <v>0</v>
      </c>
      <c r="X275" s="26">
        <f>IFERROR(__xludf.DUMMYFUNCTION("""COMPUTED_VALUE"""),0.0)</f>
        <v>0</v>
      </c>
      <c r="Y275" s="26">
        <f>IFERROR(__xludf.DUMMYFUNCTION("""COMPUTED_VALUE"""),0.0)</f>
        <v>0</v>
      </c>
      <c r="Z275" s="26">
        <f>IFERROR(__xludf.DUMMYFUNCTION("""COMPUTED_VALUE"""),0.0)</f>
        <v>0</v>
      </c>
      <c r="AA275" s="26">
        <f>IFERROR(__xludf.DUMMYFUNCTION("""COMPUTED_VALUE"""),0.0)</f>
        <v>0</v>
      </c>
      <c r="AB275" s="26">
        <f>IFERROR(__xludf.DUMMYFUNCTION("""COMPUTED_VALUE"""),0.0)</f>
        <v>0</v>
      </c>
      <c r="AC275" s="26">
        <f>IFERROR(__xludf.DUMMYFUNCTION("""COMPUTED_VALUE"""),0.0)</f>
        <v>0</v>
      </c>
      <c r="AD275" s="26">
        <f>IFERROR(__xludf.DUMMYFUNCTION("""COMPUTED_VALUE"""),0.0)</f>
        <v>0</v>
      </c>
      <c r="AE275" s="26">
        <f>IFERROR(__xludf.DUMMYFUNCTION("""COMPUTED_VALUE"""),0.0)</f>
        <v>0</v>
      </c>
    </row>
    <row r="276">
      <c r="A276" s="26">
        <f>IFERROR(__xludf.DUMMYFUNCTION("""COMPUTED_VALUE"""),0.0)</f>
        <v>0</v>
      </c>
      <c r="B276" s="26">
        <f>IFERROR(__xludf.DUMMYFUNCTION("""COMPUTED_VALUE"""),0.0)</f>
        <v>0</v>
      </c>
      <c r="C276" s="26">
        <f>IFERROR(__xludf.DUMMYFUNCTION("""COMPUTED_VALUE"""),0.0)</f>
        <v>0</v>
      </c>
      <c r="D276" s="26">
        <f>IFERROR(__xludf.DUMMYFUNCTION("""COMPUTED_VALUE"""),0.0)</f>
        <v>0</v>
      </c>
      <c r="E276" s="26">
        <f>IFERROR(__xludf.DUMMYFUNCTION("""COMPUTED_VALUE"""),0.0)</f>
        <v>0</v>
      </c>
      <c r="F276" s="26">
        <f>IFERROR(__xludf.DUMMYFUNCTION("""COMPUTED_VALUE"""),0.0)</f>
        <v>0</v>
      </c>
      <c r="G276" s="26">
        <f>IFERROR(__xludf.DUMMYFUNCTION("""COMPUTED_VALUE"""),0.0)</f>
        <v>0</v>
      </c>
      <c r="H276" s="26">
        <f>IFERROR(__xludf.DUMMYFUNCTION("""COMPUTED_VALUE"""),0.0)</f>
        <v>0</v>
      </c>
      <c r="I276" s="26">
        <f>IFERROR(__xludf.DUMMYFUNCTION("""COMPUTED_VALUE"""),0.0)</f>
        <v>0</v>
      </c>
      <c r="J276" s="26">
        <f>IFERROR(__xludf.DUMMYFUNCTION("""COMPUTED_VALUE"""),0.0)</f>
        <v>0</v>
      </c>
      <c r="K276" s="26">
        <f>IFERROR(__xludf.DUMMYFUNCTION("""COMPUTED_VALUE"""),0.0)</f>
        <v>0</v>
      </c>
      <c r="L276" s="26">
        <f>IFERROR(__xludf.DUMMYFUNCTION("""COMPUTED_VALUE"""),0.0)</f>
        <v>0</v>
      </c>
      <c r="M276" s="26"/>
      <c r="N276" s="26"/>
      <c r="O276" s="26"/>
      <c r="P276" s="26"/>
      <c r="Q276" s="26"/>
      <c r="R276" s="26">
        <f>IFERROR(__xludf.DUMMYFUNCTION("""COMPUTED_VALUE"""),0.0)</f>
        <v>0</v>
      </c>
      <c r="S276" s="26">
        <f>IFERROR(__xludf.DUMMYFUNCTION("""COMPUTED_VALUE"""),0.0)</f>
        <v>0</v>
      </c>
      <c r="T276" s="26">
        <f>IFERROR(__xludf.DUMMYFUNCTION("""COMPUTED_VALUE"""),0.0)</f>
        <v>0</v>
      </c>
      <c r="U276" s="26">
        <f>IFERROR(__xludf.DUMMYFUNCTION("""COMPUTED_VALUE"""),0.0)</f>
        <v>0</v>
      </c>
      <c r="V276" s="26">
        <f>IFERROR(__xludf.DUMMYFUNCTION("""COMPUTED_VALUE"""),0.0)</f>
        <v>0</v>
      </c>
      <c r="W276" s="26">
        <f>IFERROR(__xludf.DUMMYFUNCTION("""COMPUTED_VALUE"""),0.0)</f>
        <v>0</v>
      </c>
      <c r="X276" s="26">
        <f>IFERROR(__xludf.DUMMYFUNCTION("""COMPUTED_VALUE"""),0.0)</f>
        <v>0</v>
      </c>
      <c r="Y276" s="26">
        <f>IFERROR(__xludf.DUMMYFUNCTION("""COMPUTED_VALUE"""),0.0)</f>
        <v>0</v>
      </c>
      <c r="Z276" s="26">
        <f>IFERROR(__xludf.DUMMYFUNCTION("""COMPUTED_VALUE"""),0.0)</f>
        <v>0</v>
      </c>
      <c r="AA276" s="26">
        <f>IFERROR(__xludf.DUMMYFUNCTION("""COMPUTED_VALUE"""),0.0)</f>
        <v>0</v>
      </c>
      <c r="AB276" s="26">
        <f>IFERROR(__xludf.DUMMYFUNCTION("""COMPUTED_VALUE"""),0.0)</f>
        <v>0</v>
      </c>
      <c r="AC276" s="26">
        <f>IFERROR(__xludf.DUMMYFUNCTION("""COMPUTED_VALUE"""),0.0)</f>
        <v>0</v>
      </c>
      <c r="AD276" s="26">
        <f>IFERROR(__xludf.DUMMYFUNCTION("""COMPUTED_VALUE"""),0.0)</f>
        <v>0</v>
      </c>
      <c r="AE276" s="26">
        <f>IFERROR(__xludf.DUMMYFUNCTION("""COMPUTED_VALUE"""),0.0)</f>
        <v>0</v>
      </c>
    </row>
    <row r="277">
      <c r="A277" s="26">
        <f>IFERROR(__xludf.DUMMYFUNCTION("""COMPUTED_VALUE"""),0.0)</f>
        <v>0</v>
      </c>
      <c r="B277" s="26">
        <f>IFERROR(__xludf.DUMMYFUNCTION("""COMPUTED_VALUE"""),0.0)</f>
        <v>0</v>
      </c>
      <c r="C277" s="26">
        <f>IFERROR(__xludf.DUMMYFUNCTION("""COMPUTED_VALUE"""),0.0)</f>
        <v>0</v>
      </c>
      <c r="D277" s="26">
        <f>IFERROR(__xludf.DUMMYFUNCTION("""COMPUTED_VALUE"""),0.0)</f>
        <v>0</v>
      </c>
      <c r="E277" s="26">
        <f>IFERROR(__xludf.DUMMYFUNCTION("""COMPUTED_VALUE"""),0.0)</f>
        <v>0</v>
      </c>
      <c r="F277" s="26">
        <f>IFERROR(__xludf.DUMMYFUNCTION("""COMPUTED_VALUE"""),0.0)</f>
        <v>0</v>
      </c>
      <c r="G277" s="26">
        <f>IFERROR(__xludf.DUMMYFUNCTION("""COMPUTED_VALUE"""),0.0)</f>
        <v>0</v>
      </c>
      <c r="H277" s="26">
        <f>IFERROR(__xludf.DUMMYFUNCTION("""COMPUTED_VALUE"""),0.0)</f>
        <v>0</v>
      </c>
      <c r="I277" s="26">
        <f>IFERROR(__xludf.DUMMYFUNCTION("""COMPUTED_VALUE"""),0.0)</f>
        <v>0</v>
      </c>
      <c r="J277" s="26">
        <f>IFERROR(__xludf.DUMMYFUNCTION("""COMPUTED_VALUE"""),0.0)</f>
        <v>0</v>
      </c>
      <c r="K277" s="26">
        <f>IFERROR(__xludf.DUMMYFUNCTION("""COMPUTED_VALUE"""),0.0)</f>
        <v>0</v>
      </c>
      <c r="L277" s="26">
        <f>IFERROR(__xludf.DUMMYFUNCTION("""COMPUTED_VALUE"""),0.0)</f>
        <v>0</v>
      </c>
      <c r="M277" s="26"/>
      <c r="N277" s="26"/>
      <c r="O277" s="26"/>
      <c r="P277" s="26"/>
      <c r="Q277" s="26"/>
      <c r="R277" s="26">
        <f>IFERROR(__xludf.DUMMYFUNCTION("""COMPUTED_VALUE"""),0.0)</f>
        <v>0</v>
      </c>
      <c r="S277" s="26">
        <f>IFERROR(__xludf.DUMMYFUNCTION("""COMPUTED_VALUE"""),0.0)</f>
        <v>0</v>
      </c>
      <c r="T277" s="26">
        <f>IFERROR(__xludf.DUMMYFUNCTION("""COMPUTED_VALUE"""),0.0)</f>
        <v>0</v>
      </c>
      <c r="U277" s="26">
        <f>IFERROR(__xludf.DUMMYFUNCTION("""COMPUTED_VALUE"""),0.0)</f>
        <v>0</v>
      </c>
      <c r="V277" s="26">
        <f>IFERROR(__xludf.DUMMYFUNCTION("""COMPUTED_VALUE"""),0.0)</f>
        <v>0</v>
      </c>
      <c r="W277" s="26">
        <f>IFERROR(__xludf.DUMMYFUNCTION("""COMPUTED_VALUE"""),0.0)</f>
        <v>0</v>
      </c>
      <c r="X277" s="26">
        <f>IFERROR(__xludf.DUMMYFUNCTION("""COMPUTED_VALUE"""),0.0)</f>
        <v>0</v>
      </c>
      <c r="Y277" s="26">
        <f>IFERROR(__xludf.DUMMYFUNCTION("""COMPUTED_VALUE"""),0.0)</f>
        <v>0</v>
      </c>
      <c r="Z277" s="26">
        <f>IFERROR(__xludf.DUMMYFUNCTION("""COMPUTED_VALUE"""),0.0)</f>
        <v>0</v>
      </c>
      <c r="AA277" s="26">
        <f>IFERROR(__xludf.DUMMYFUNCTION("""COMPUTED_VALUE"""),0.0)</f>
        <v>0</v>
      </c>
      <c r="AB277" s="26">
        <f>IFERROR(__xludf.DUMMYFUNCTION("""COMPUTED_VALUE"""),0.0)</f>
        <v>0</v>
      </c>
      <c r="AC277" s="26">
        <f>IFERROR(__xludf.DUMMYFUNCTION("""COMPUTED_VALUE"""),0.0)</f>
        <v>0</v>
      </c>
      <c r="AD277" s="26">
        <f>IFERROR(__xludf.DUMMYFUNCTION("""COMPUTED_VALUE"""),0.0)</f>
        <v>0</v>
      </c>
      <c r="AE277" s="26">
        <f>IFERROR(__xludf.DUMMYFUNCTION("""COMPUTED_VALUE"""),0.0)</f>
        <v>0</v>
      </c>
    </row>
    <row r="278">
      <c r="A278" s="26">
        <f>IFERROR(__xludf.DUMMYFUNCTION("""COMPUTED_VALUE"""),0.0)</f>
        <v>0</v>
      </c>
      <c r="B278" s="26">
        <f>IFERROR(__xludf.DUMMYFUNCTION("""COMPUTED_VALUE"""),0.0)</f>
        <v>0</v>
      </c>
      <c r="C278" s="26">
        <f>IFERROR(__xludf.DUMMYFUNCTION("""COMPUTED_VALUE"""),0.0)</f>
        <v>0</v>
      </c>
      <c r="D278" s="26">
        <f>IFERROR(__xludf.DUMMYFUNCTION("""COMPUTED_VALUE"""),0.0)</f>
        <v>0</v>
      </c>
      <c r="E278" s="26">
        <f>IFERROR(__xludf.DUMMYFUNCTION("""COMPUTED_VALUE"""),0.0)</f>
        <v>0</v>
      </c>
      <c r="F278" s="26">
        <f>IFERROR(__xludf.DUMMYFUNCTION("""COMPUTED_VALUE"""),0.0)</f>
        <v>0</v>
      </c>
      <c r="G278" s="26">
        <f>IFERROR(__xludf.DUMMYFUNCTION("""COMPUTED_VALUE"""),0.0)</f>
        <v>0</v>
      </c>
      <c r="H278" s="26">
        <f>IFERROR(__xludf.DUMMYFUNCTION("""COMPUTED_VALUE"""),0.0)</f>
        <v>0</v>
      </c>
      <c r="I278" s="26">
        <f>IFERROR(__xludf.DUMMYFUNCTION("""COMPUTED_VALUE"""),0.0)</f>
        <v>0</v>
      </c>
      <c r="J278" s="26">
        <f>IFERROR(__xludf.DUMMYFUNCTION("""COMPUTED_VALUE"""),0.0)</f>
        <v>0</v>
      </c>
      <c r="K278" s="26">
        <f>IFERROR(__xludf.DUMMYFUNCTION("""COMPUTED_VALUE"""),0.0)</f>
        <v>0</v>
      </c>
      <c r="L278" s="26">
        <f>IFERROR(__xludf.DUMMYFUNCTION("""COMPUTED_VALUE"""),0.0)</f>
        <v>0</v>
      </c>
      <c r="M278" s="26"/>
      <c r="N278" s="26"/>
      <c r="O278" s="26"/>
      <c r="P278" s="26"/>
      <c r="Q278" s="26"/>
      <c r="R278" s="26">
        <f>IFERROR(__xludf.DUMMYFUNCTION("""COMPUTED_VALUE"""),0.0)</f>
        <v>0</v>
      </c>
      <c r="S278" s="26">
        <f>IFERROR(__xludf.DUMMYFUNCTION("""COMPUTED_VALUE"""),0.0)</f>
        <v>0</v>
      </c>
      <c r="T278" s="26">
        <f>IFERROR(__xludf.DUMMYFUNCTION("""COMPUTED_VALUE"""),0.0)</f>
        <v>0</v>
      </c>
      <c r="U278" s="26">
        <f>IFERROR(__xludf.DUMMYFUNCTION("""COMPUTED_VALUE"""),0.0)</f>
        <v>0</v>
      </c>
      <c r="V278" s="26">
        <f>IFERROR(__xludf.DUMMYFUNCTION("""COMPUTED_VALUE"""),0.0)</f>
        <v>0</v>
      </c>
      <c r="W278" s="26">
        <f>IFERROR(__xludf.DUMMYFUNCTION("""COMPUTED_VALUE"""),0.0)</f>
        <v>0</v>
      </c>
      <c r="X278" s="26">
        <f>IFERROR(__xludf.DUMMYFUNCTION("""COMPUTED_VALUE"""),0.0)</f>
        <v>0</v>
      </c>
      <c r="Y278" s="26">
        <f>IFERROR(__xludf.DUMMYFUNCTION("""COMPUTED_VALUE"""),0.0)</f>
        <v>0</v>
      </c>
      <c r="Z278" s="26">
        <f>IFERROR(__xludf.DUMMYFUNCTION("""COMPUTED_VALUE"""),0.0)</f>
        <v>0</v>
      </c>
      <c r="AA278" s="26">
        <f>IFERROR(__xludf.DUMMYFUNCTION("""COMPUTED_VALUE"""),0.0)</f>
        <v>0</v>
      </c>
      <c r="AB278" s="26">
        <f>IFERROR(__xludf.DUMMYFUNCTION("""COMPUTED_VALUE"""),0.0)</f>
        <v>0</v>
      </c>
      <c r="AC278" s="26">
        <f>IFERROR(__xludf.DUMMYFUNCTION("""COMPUTED_VALUE"""),0.0)</f>
        <v>0</v>
      </c>
      <c r="AD278" s="26">
        <f>IFERROR(__xludf.DUMMYFUNCTION("""COMPUTED_VALUE"""),0.0)</f>
        <v>0</v>
      </c>
      <c r="AE278" s="26">
        <f>IFERROR(__xludf.DUMMYFUNCTION("""COMPUTED_VALUE"""),0.0)</f>
        <v>0</v>
      </c>
    </row>
    <row r="279">
      <c r="A279" s="26">
        <f>IFERROR(__xludf.DUMMYFUNCTION("""COMPUTED_VALUE"""),184.0)</f>
        <v>184</v>
      </c>
      <c r="B279" s="26">
        <f>IFERROR(__xludf.DUMMYFUNCTION("""COMPUTED_VALUE"""),0.0)</f>
        <v>0</v>
      </c>
      <c r="C279" s="26">
        <f>IFERROR(__xludf.DUMMYFUNCTION("""COMPUTED_VALUE"""),0.0)</f>
        <v>0</v>
      </c>
      <c r="D279" s="26">
        <f>IFERROR(__xludf.DUMMYFUNCTION("""COMPUTED_VALUE"""),0.0)</f>
        <v>0</v>
      </c>
      <c r="E279" s="26">
        <f>IFERROR(__xludf.DUMMYFUNCTION("""COMPUTED_VALUE"""),0.0)</f>
        <v>0</v>
      </c>
      <c r="F279" s="26">
        <f>IFERROR(__xludf.DUMMYFUNCTION("""COMPUTED_VALUE"""),0.0)</f>
        <v>0</v>
      </c>
      <c r="G279" s="26">
        <f>IFERROR(__xludf.DUMMYFUNCTION("""COMPUTED_VALUE"""),0.0)</f>
        <v>0</v>
      </c>
      <c r="H279" s="26">
        <f>IFERROR(__xludf.DUMMYFUNCTION("""COMPUTED_VALUE"""),0.0)</f>
        <v>0</v>
      </c>
      <c r="I279" s="26">
        <f>IFERROR(__xludf.DUMMYFUNCTION("""COMPUTED_VALUE"""),0.0)</f>
        <v>0</v>
      </c>
      <c r="J279" s="26">
        <f>IFERROR(__xludf.DUMMYFUNCTION("""COMPUTED_VALUE"""),0.0)</f>
        <v>0</v>
      </c>
      <c r="K279" s="26">
        <f>IFERROR(__xludf.DUMMYFUNCTION("""COMPUTED_VALUE"""),0.0)</f>
        <v>0</v>
      </c>
      <c r="L279" s="26">
        <f>IFERROR(__xludf.DUMMYFUNCTION("""COMPUTED_VALUE"""),0.0)</f>
        <v>0</v>
      </c>
      <c r="M279" s="26"/>
      <c r="N279" s="26"/>
      <c r="O279" s="26"/>
      <c r="P279" s="26"/>
      <c r="Q279" s="26"/>
      <c r="R279" s="26">
        <f>IFERROR(__xludf.DUMMYFUNCTION("""COMPUTED_VALUE"""),184.0)</f>
        <v>184</v>
      </c>
      <c r="S279" s="26">
        <f>IFERROR(__xludf.DUMMYFUNCTION("""COMPUTED_VALUE"""),81328.0)</f>
        <v>81328</v>
      </c>
      <c r="T279" s="26">
        <f>IFERROR(__xludf.DUMMYFUNCTION("""COMPUTED_VALUE"""),32200.0)</f>
        <v>32200</v>
      </c>
      <c r="U279" s="26">
        <f>IFERROR(__xludf.DUMMYFUNCTION("""COMPUTED_VALUE"""),44605.28000000001)</f>
        <v>44605.28</v>
      </c>
      <c r="V279" s="26">
        <f>IFERROR(__xludf.DUMMYFUNCTION("""COMPUTED_VALUE"""),0.0)</f>
        <v>0</v>
      </c>
      <c r="W279" s="26">
        <f>IFERROR(__xludf.DUMMYFUNCTION("""COMPUTED_VALUE"""),0.0)</f>
        <v>0</v>
      </c>
      <c r="X279" s="26">
        <f>IFERROR(__xludf.DUMMYFUNCTION("""COMPUTED_VALUE"""),12405.280000000012)</f>
        <v>12405.28</v>
      </c>
      <c r="Y279" s="26">
        <f>IFERROR(__xludf.DUMMYFUNCTION("""COMPUTED_VALUE"""),12405.280000000012)</f>
        <v>12405.28</v>
      </c>
      <c r="Z279" s="26">
        <f>IFERROR(__xludf.DUMMYFUNCTION("""COMPUTED_VALUE"""),0.0)</f>
        <v>0</v>
      </c>
      <c r="AA279" s="26">
        <f>IFERROR(__xludf.DUMMYFUNCTION("""COMPUTED_VALUE"""),0.0)</f>
        <v>0</v>
      </c>
      <c r="AB279" s="26">
        <f>IFERROR(__xludf.DUMMYFUNCTION("""COMPUTED_VALUE"""),0.0)</f>
        <v>0</v>
      </c>
      <c r="AC279" s="26">
        <f>IFERROR(__xludf.DUMMYFUNCTION("""COMPUTED_VALUE"""),0.0)</f>
        <v>0</v>
      </c>
      <c r="AD279" s="26">
        <f>IFERROR(__xludf.DUMMYFUNCTION("""COMPUTED_VALUE"""),0.0)</f>
        <v>0</v>
      </c>
      <c r="AE279" s="26">
        <f>IFERROR(__xludf.DUMMYFUNCTION("""COMPUTED_VALUE"""),0.0)</f>
        <v>0</v>
      </c>
    </row>
    <row r="280">
      <c r="A280" s="26">
        <f>IFERROR(__xludf.DUMMYFUNCTION("""COMPUTED_VALUE"""),179.0)</f>
        <v>179</v>
      </c>
      <c r="B280" s="26">
        <f>IFERROR(__xludf.DUMMYFUNCTION("""COMPUTED_VALUE"""),0.0)</f>
        <v>0</v>
      </c>
      <c r="C280" s="26">
        <f>IFERROR(__xludf.DUMMYFUNCTION("""COMPUTED_VALUE"""),0.0)</f>
        <v>0</v>
      </c>
      <c r="D280" s="26">
        <f>IFERROR(__xludf.DUMMYFUNCTION("""COMPUTED_VALUE"""),0.0)</f>
        <v>0</v>
      </c>
      <c r="E280" s="26">
        <f>IFERROR(__xludf.DUMMYFUNCTION("""COMPUTED_VALUE"""),0.0)</f>
        <v>0</v>
      </c>
      <c r="F280" s="26">
        <f>IFERROR(__xludf.DUMMYFUNCTION("""COMPUTED_VALUE"""),0.0)</f>
        <v>0</v>
      </c>
      <c r="G280" s="26">
        <f>IFERROR(__xludf.DUMMYFUNCTION("""COMPUTED_VALUE"""),0.0)</f>
        <v>0</v>
      </c>
      <c r="H280" s="26">
        <f>IFERROR(__xludf.DUMMYFUNCTION("""COMPUTED_VALUE"""),0.0)</f>
        <v>0</v>
      </c>
      <c r="I280" s="26">
        <f>IFERROR(__xludf.DUMMYFUNCTION("""COMPUTED_VALUE"""),0.0)</f>
        <v>0</v>
      </c>
      <c r="J280" s="26">
        <f>IFERROR(__xludf.DUMMYFUNCTION("""COMPUTED_VALUE"""),0.0)</f>
        <v>0</v>
      </c>
      <c r="K280" s="26">
        <f>IFERROR(__xludf.DUMMYFUNCTION("""COMPUTED_VALUE"""),0.0)</f>
        <v>0</v>
      </c>
      <c r="L280" s="26">
        <f>IFERROR(__xludf.DUMMYFUNCTION("""COMPUTED_VALUE"""),0.0)</f>
        <v>0</v>
      </c>
      <c r="M280" s="26"/>
      <c r="N280" s="26"/>
      <c r="O280" s="26"/>
      <c r="P280" s="26"/>
      <c r="Q280" s="26"/>
      <c r="R280" s="26">
        <f>IFERROR(__xludf.DUMMYFUNCTION("""COMPUTED_VALUE"""),179.0)</f>
        <v>179</v>
      </c>
      <c r="S280" s="26">
        <f>IFERROR(__xludf.DUMMYFUNCTION("""COMPUTED_VALUE"""),79118.0)</f>
        <v>79118</v>
      </c>
      <c r="T280" s="26">
        <f>IFERROR(__xludf.DUMMYFUNCTION("""COMPUTED_VALUE"""),31325.0)</f>
        <v>31325</v>
      </c>
      <c r="U280" s="26">
        <f>IFERROR(__xludf.DUMMYFUNCTION("""COMPUTED_VALUE"""),43393.18000000001)</f>
        <v>43393.18</v>
      </c>
      <c r="V280" s="26">
        <f>IFERROR(__xludf.DUMMYFUNCTION("""COMPUTED_VALUE"""),0.0)</f>
        <v>0</v>
      </c>
      <c r="W280" s="26">
        <f>IFERROR(__xludf.DUMMYFUNCTION("""COMPUTED_VALUE"""),0.0)</f>
        <v>0</v>
      </c>
      <c r="X280" s="26">
        <f>IFERROR(__xludf.DUMMYFUNCTION("""COMPUTED_VALUE"""),12068.180000000011)</f>
        <v>12068.18</v>
      </c>
      <c r="Y280" s="26">
        <f>IFERROR(__xludf.DUMMYFUNCTION("""COMPUTED_VALUE"""),12068.180000000011)</f>
        <v>12068.18</v>
      </c>
      <c r="Z280" s="26">
        <f>IFERROR(__xludf.DUMMYFUNCTION("""COMPUTED_VALUE"""),0.0)</f>
        <v>0</v>
      </c>
      <c r="AA280" s="26">
        <f>IFERROR(__xludf.DUMMYFUNCTION("""COMPUTED_VALUE"""),0.0)</f>
        <v>0</v>
      </c>
      <c r="AB280" s="26">
        <f>IFERROR(__xludf.DUMMYFUNCTION("""COMPUTED_VALUE"""),0.0)</f>
        <v>0</v>
      </c>
      <c r="AC280" s="26">
        <f>IFERROR(__xludf.DUMMYFUNCTION("""COMPUTED_VALUE"""),0.0)</f>
        <v>0</v>
      </c>
      <c r="AD280" s="26">
        <f>IFERROR(__xludf.DUMMYFUNCTION("""COMPUTED_VALUE"""),0.0)</f>
        <v>0</v>
      </c>
      <c r="AE280" s="26">
        <f>IFERROR(__xludf.DUMMYFUNCTION("""COMPUTED_VALUE"""),0.0)</f>
        <v>0</v>
      </c>
    </row>
    <row r="281">
      <c r="A281" s="26">
        <f>IFERROR(__xludf.DUMMYFUNCTION("""COMPUTED_VALUE"""),98.0)</f>
        <v>98</v>
      </c>
      <c r="B281" s="26">
        <f>IFERROR(__xludf.DUMMYFUNCTION("""COMPUTED_VALUE"""),0.0)</f>
        <v>0</v>
      </c>
      <c r="C281" s="26">
        <f>IFERROR(__xludf.DUMMYFUNCTION("""COMPUTED_VALUE"""),0.0)</f>
        <v>0</v>
      </c>
      <c r="D281" s="26">
        <f>IFERROR(__xludf.DUMMYFUNCTION("""COMPUTED_VALUE"""),0.0)</f>
        <v>0</v>
      </c>
      <c r="E281" s="26">
        <f>IFERROR(__xludf.DUMMYFUNCTION("""COMPUTED_VALUE"""),0.0)</f>
        <v>0</v>
      </c>
      <c r="F281" s="26">
        <f>IFERROR(__xludf.DUMMYFUNCTION("""COMPUTED_VALUE"""),0.0)</f>
        <v>0</v>
      </c>
      <c r="G281" s="26">
        <f>IFERROR(__xludf.DUMMYFUNCTION("""COMPUTED_VALUE"""),0.0)</f>
        <v>0</v>
      </c>
      <c r="H281" s="26">
        <f>IFERROR(__xludf.DUMMYFUNCTION("""COMPUTED_VALUE"""),0.0)</f>
        <v>0</v>
      </c>
      <c r="I281" s="26">
        <f>IFERROR(__xludf.DUMMYFUNCTION("""COMPUTED_VALUE"""),0.0)</f>
        <v>0</v>
      </c>
      <c r="J281" s="26">
        <f>IFERROR(__xludf.DUMMYFUNCTION("""COMPUTED_VALUE"""),0.0)</f>
        <v>0</v>
      </c>
      <c r="K281" s="26">
        <f>IFERROR(__xludf.DUMMYFUNCTION("""COMPUTED_VALUE"""),0.0)</f>
        <v>0</v>
      </c>
      <c r="L281" s="26">
        <f>IFERROR(__xludf.DUMMYFUNCTION("""COMPUTED_VALUE"""),0.0)</f>
        <v>0</v>
      </c>
      <c r="M281" s="26"/>
      <c r="N281" s="26"/>
      <c r="O281" s="26"/>
      <c r="P281" s="26"/>
      <c r="Q281" s="26"/>
      <c r="R281" s="26">
        <f>IFERROR(__xludf.DUMMYFUNCTION("""COMPUTED_VALUE"""),98.0)</f>
        <v>98</v>
      </c>
      <c r="S281" s="26">
        <f>IFERROR(__xludf.DUMMYFUNCTION("""COMPUTED_VALUE"""),43316.0)</f>
        <v>43316</v>
      </c>
      <c r="T281" s="26">
        <f>IFERROR(__xludf.DUMMYFUNCTION("""COMPUTED_VALUE"""),17150.0)</f>
        <v>17150</v>
      </c>
      <c r="U281" s="26">
        <f>IFERROR(__xludf.DUMMYFUNCTION("""COMPUTED_VALUE"""),23757.160000000003)</f>
        <v>23757.16</v>
      </c>
      <c r="V281" s="26">
        <f>IFERROR(__xludf.DUMMYFUNCTION("""COMPUTED_VALUE"""),0.0)</f>
        <v>0</v>
      </c>
      <c r="W281" s="26">
        <f>IFERROR(__xludf.DUMMYFUNCTION("""COMPUTED_VALUE"""),0.0)</f>
        <v>0</v>
      </c>
      <c r="X281" s="26">
        <f>IFERROR(__xludf.DUMMYFUNCTION("""COMPUTED_VALUE"""),6607.160000000005)</f>
        <v>6607.16</v>
      </c>
      <c r="Y281" s="26">
        <f>IFERROR(__xludf.DUMMYFUNCTION("""COMPUTED_VALUE"""),6607.160000000005)</f>
        <v>6607.16</v>
      </c>
      <c r="Z281" s="26">
        <f>IFERROR(__xludf.DUMMYFUNCTION("""COMPUTED_VALUE"""),0.0)</f>
        <v>0</v>
      </c>
      <c r="AA281" s="26">
        <f>IFERROR(__xludf.DUMMYFUNCTION("""COMPUTED_VALUE"""),0.0)</f>
        <v>0</v>
      </c>
      <c r="AB281" s="26">
        <f>IFERROR(__xludf.DUMMYFUNCTION("""COMPUTED_VALUE"""),0.0)</f>
        <v>0</v>
      </c>
      <c r="AC281" s="26">
        <f>IFERROR(__xludf.DUMMYFUNCTION("""COMPUTED_VALUE"""),0.0)</f>
        <v>0</v>
      </c>
      <c r="AD281" s="26">
        <f>IFERROR(__xludf.DUMMYFUNCTION("""COMPUTED_VALUE"""),0.0)</f>
        <v>0</v>
      </c>
      <c r="AE281" s="26">
        <f>IFERROR(__xludf.DUMMYFUNCTION("""COMPUTED_VALUE"""),0.0)</f>
        <v>0</v>
      </c>
    </row>
    <row r="282">
      <c r="A282" s="26">
        <f>IFERROR(__xludf.DUMMYFUNCTION("""COMPUTED_VALUE"""),97.0)</f>
        <v>97</v>
      </c>
      <c r="B282" s="26">
        <f>IFERROR(__xludf.DUMMYFUNCTION("""COMPUTED_VALUE"""),0.0)</f>
        <v>0</v>
      </c>
      <c r="C282" s="26">
        <f>IFERROR(__xludf.DUMMYFUNCTION("""COMPUTED_VALUE"""),0.0)</f>
        <v>0</v>
      </c>
      <c r="D282" s="26">
        <f>IFERROR(__xludf.DUMMYFUNCTION("""COMPUTED_VALUE"""),0.0)</f>
        <v>0</v>
      </c>
      <c r="E282" s="26">
        <f>IFERROR(__xludf.DUMMYFUNCTION("""COMPUTED_VALUE"""),0.0)</f>
        <v>0</v>
      </c>
      <c r="F282" s="26">
        <f>IFERROR(__xludf.DUMMYFUNCTION("""COMPUTED_VALUE"""),0.0)</f>
        <v>0</v>
      </c>
      <c r="G282" s="26">
        <f>IFERROR(__xludf.DUMMYFUNCTION("""COMPUTED_VALUE"""),0.0)</f>
        <v>0</v>
      </c>
      <c r="H282" s="26">
        <f>IFERROR(__xludf.DUMMYFUNCTION("""COMPUTED_VALUE"""),0.0)</f>
        <v>0</v>
      </c>
      <c r="I282" s="26">
        <f>IFERROR(__xludf.DUMMYFUNCTION("""COMPUTED_VALUE"""),0.0)</f>
        <v>0</v>
      </c>
      <c r="J282" s="26">
        <f>IFERROR(__xludf.DUMMYFUNCTION("""COMPUTED_VALUE"""),0.0)</f>
        <v>0</v>
      </c>
      <c r="K282" s="26">
        <f>IFERROR(__xludf.DUMMYFUNCTION("""COMPUTED_VALUE"""),0.0)</f>
        <v>0</v>
      </c>
      <c r="L282" s="26">
        <f>IFERROR(__xludf.DUMMYFUNCTION("""COMPUTED_VALUE"""),0.0)</f>
        <v>0</v>
      </c>
      <c r="M282" s="26"/>
      <c r="N282" s="26"/>
      <c r="O282" s="26"/>
      <c r="P282" s="26"/>
      <c r="Q282" s="26"/>
      <c r="R282" s="26">
        <f>IFERROR(__xludf.DUMMYFUNCTION("""COMPUTED_VALUE"""),97.0)</f>
        <v>97</v>
      </c>
      <c r="S282" s="26">
        <f>IFERROR(__xludf.DUMMYFUNCTION("""COMPUTED_VALUE"""),42874.0)</f>
        <v>42874</v>
      </c>
      <c r="T282" s="26">
        <f>IFERROR(__xludf.DUMMYFUNCTION("""COMPUTED_VALUE"""),16975.0)</f>
        <v>16975</v>
      </c>
      <c r="U282" s="26">
        <f>IFERROR(__xludf.DUMMYFUNCTION("""COMPUTED_VALUE"""),23514.740000000005)</f>
        <v>23514.74</v>
      </c>
      <c r="V282" s="26">
        <f>IFERROR(__xludf.DUMMYFUNCTION("""COMPUTED_VALUE"""),0.0)</f>
        <v>0</v>
      </c>
      <c r="W282" s="26">
        <f>IFERROR(__xludf.DUMMYFUNCTION("""COMPUTED_VALUE"""),0.0)</f>
        <v>0</v>
      </c>
      <c r="X282" s="26">
        <f>IFERROR(__xludf.DUMMYFUNCTION("""COMPUTED_VALUE"""),6539.740000000005)</f>
        <v>6539.74</v>
      </c>
      <c r="Y282" s="26">
        <f>IFERROR(__xludf.DUMMYFUNCTION("""COMPUTED_VALUE"""),6539.740000000005)</f>
        <v>6539.74</v>
      </c>
      <c r="Z282" s="26">
        <f>IFERROR(__xludf.DUMMYFUNCTION("""COMPUTED_VALUE"""),0.0)</f>
        <v>0</v>
      </c>
      <c r="AA282" s="26">
        <f>IFERROR(__xludf.DUMMYFUNCTION("""COMPUTED_VALUE"""),0.0)</f>
        <v>0</v>
      </c>
      <c r="AB282" s="26">
        <f>IFERROR(__xludf.DUMMYFUNCTION("""COMPUTED_VALUE"""),0.0)</f>
        <v>0</v>
      </c>
      <c r="AC282" s="26">
        <f>IFERROR(__xludf.DUMMYFUNCTION("""COMPUTED_VALUE"""),0.0)</f>
        <v>0</v>
      </c>
      <c r="AD282" s="26">
        <f>IFERROR(__xludf.DUMMYFUNCTION("""COMPUTED_VALUE"""),0.0)</f>
        <v>0</v>
      </c>
      <c r="AE282" s="26">
        <f>IFERROR(__xludf.DUMMYFUNCTION("""COMPUTED_VALUE"""),0.0)</f>
        <v>0</v>
      </c>
    </row>
    <row r="283">
      <c r="A283" s="26">
        <f>IFERROR(__xludf.DUMMYFUNCTION("""COMPUTED_VALUE"""),2.0)</f>
        <v>2</v>
      </c>
      <c r="B283" s="26">
        <f>IFERROR(__xludf.DUMMYFUNCTION("""COMPUTED_VALUE"""),0.0)</f>
        <v>0</v>
      </c>
      <c r="C283" s="26">
        <f>IFERROR(__xludf.DUMMYFUNCTION("""COMPUTED_VALUE"""),0.0)</f>
        <v>0</v>
      </c>
      <c r="D283" s="26">
        <f>IFERROR(__xludf.DUMMYFUNCTION("""COMPUTED_VALUE"""),0.0)</f>
        <v>0</v>
      </c>
      <c r="E283" s="26">
        <f>IFERROR(__xludf.DUMMYFUNCTION("""COMPUTED_VALUE"""),0.0)</f>
        <v>0</v>
      </c>
      <c r="F283" s="26">
        <f>IFERROR(__xludf.DUMMYFUNCTION("""COMPUTED_VALUE"""),0.0)</f>
        <v>0</v>
      </c>
      <c r="G283" s="26">
        <f>IFERROR(__xludf.DUMMYFUNCTION("""COMPUTED_VALUE"""),0.0)</f>
        <v>0</v>
      </c>
      <c r="H283" s="26">
        <f>IFERROR(__xludf.DUMMYFUNCTION("""COMPUTED_VALUE"""),0.0)</f>
        <v>0</v>
      </c>
      <c r="I283" s="26">
        <f>IFERROR(__xludf.DUMMYFUNCTION("""COMPUTED_VALUE"""),0.0)</f>
        <v>0</v>
      </c>
      <c r="J283" s="26">
        <f>IFERROR(__xludf.DUMMYFUNCTION("""COMPUTED_VALUE"""),0.0)</f>
        <v>0</v>
      </c>
      <c r="K283" s="26">
        <f>IFERROR(__xludf.DUMMYFUNCTION("""COMPUTED_VALUE"""),0.0)</f>
        <v>0</v>
      </c>
      <c r="L283" s="26">
        <f>IFERROR(__xludf.DUMMYFUNCTION("""COMPUTED_VALUE"""),0.0)</f>
        <v>0</v>
      </c>
      <c r="M283" s="26"/>
      <c r="N283" s="26"/>
      <c r="O283" s="26"/>
      <c r="P283" s="26"/>
      <c r="Q283" s="26"/>
      <c r="R283" s="26">
        <f>IFERROR(__xludf.DUMMYFUNCTION("""COMPUTED_VALUE"""),2.0)</f>
        <v>2</v>
      </c>
      <c r="S283" s="26">
        <f>IFERROR(__xludf.DUMMYFUNCTION("""COMPUTED_VALUE"""),884.0)</f>
        <v>884</v>
      </c>
      <c r="T283" s="26">
        <f>IFERROR(__xludf.DUMMYFUNCTION("""COMPUTED_VALUE"""),350.0)</f>
        <v>350</v>
      </c>
      <c r="U283" s="26">
        <f>IFERROR(__xludf.DUMMYFUNCTION("""COMPUTED_VALUE"""),484.84000000000003)</f>
        <v>484.84</v>
      </c>
      <c r="V283" s="26">
        <f>IFERROR(__xludf.DUMMYFUNCTION("""COMPUTED_VALUE"""),0.0)</f>
        <v>0</v>
      </c>
      <c r="W283" s="26">
        <f>IFERROR(__xludf.DUMMYFUNCTION("""COMPUTED_VALUE"""),0.0)</f>
        <v>0</v>
      </c>
      <c r="X283" s="26">
        <f>IFERROR(__xludf.DUMMYFUNCTION("""COMPUTED_VALUE"""),134.84)</f>
        <v>134.84</v>
      </c>
      <c r="Y283" s="26">
        <f>IFERROR(__xludf.DUMMYFUNCTION("""COMPUTED_VALUE"""),134.84)</f>
        <v>134.84</v>
      </c>
      <c r="Z283" s="26">
        <f>IFERROR(__xludf.DUMMYFUNCTION("""COMPUTED_VALUE"""),0.0)</f>
        <v>0</v>
      </c>
      <c r="AA283" s="26">
        <f>IFERROR(__xludf.DUMMYFUNCTION("""COMPUTED_VALUE"""),0.0)</f>
        <v>0</v>
      </c>
      <c r="AB283" s="26">
        <f>IFERROR(__xludf.DUMMYFUNCTION("""COMPUTED_VALUE"""),0.0)</f>
        <v>0</v>
      </c>
      <c r="AC283" s="26">
        <f>IFERROR(__xludf.DUMMYFUNCTION("""COMPUTED_VALUE"""),0.0)</f>
        <v>0</v>
      </c>
      <c r="AD283" s="26">
        <f>IFERROR(__xludf.DUMMYFUNCTION("""COMPUTED_VALUE"""),0.0)</f>
        <v>0</v>
      </c>
      <c r="AE283" s="26">
        <f>IFERROR(__xludf.DUMMYFUNCTION("""COMPUTED_VALUE"""),0.0)</f>
        <v>0</v>
      </c>
    </row>
    <row r="284">
      <c r="A284" s="26">
        <f>IFERROR(__xludf.DUMMYFUNCTION("""COMPUTED_VALUE"""),46.0)</f>
        <v>46</v>
      </c>
      <c r="B284" s="26">
        <f>IFERROR(__xludf.DUMMYFUNCTION("""COMPUTED_VALUE"""),0.0)</f>
        <v>0</v>
      </c>
      <c r="C284" s="26">
        <f>IFERROR(__xludf.DUMMYFUNCTION("""COMPUTED_VALUE"""),0.0)</f>
        <v>0</v>
      </c>
      <c r="D284" s="26">
        <f>IFERROR(__xludf.DUMMYFUNCTION("""COMPUTED_VALUE"""),0.0)</f>
        <v>0</v>
      </c>
      <c r="E284" s="26">
        <f>IFERROR(__xludf.DUMMYFUNCTION("""COMPUTED_VALUE"""),0.0)</f>
        <v>0</v>
      </c>
      <c r="F284" s="26">
        <f>IFERROR(__xludf.DUMMYFUNCTION("""COMPUTED_VALUE"""),0.0)</f>
        <v>0</v>
      </c>
      <c r="G284" s="26">
        <f>IFERROR(__xludf.DUMMYFUNCTION("""COMPUTED_VALUE"""),0.0)</f>
        <v>0</v>
      </c>
      <c r="H284" s="26">
        <f>IFERROR(__xludf.DUMMYFUNCTION("""COMPUTED_VALUE"""),0.0)</f>
        <v>0</v>
      </c>
      <c r="I284" s="26">
        <f>IFERROR(__xludf.DUMMYFUNCTION("""COMPUTED_VALUE"""),0.0)</f>
        <v>0</v>
      </c>
      <c r="J284" s="26">
        <f>IFERROR(__xludf.DUMMYFUNCTION("""COMPUTED_VALUE"""),0.0)</f>
        <v>0</v>
      </c>
      <c r="K284" s="26">
        <f>IFERROR(__xludf.DUMMYFUNCTION("""COMPUTED_VALUE"""),0.0)</f>
        <v>0</v>
      </c>
      <c r="L284" s="26">
        <f>IFERROR(__xludf.DUMMYFUNCTION("""COMPUTED_VALUE"""),0.0)</f>
        <v>0</v>
      </c>
      <c r="M284" s="26"/>
      <c r="N284" s="26"/>
      <c r="O284" s="26"/>
      <c r="P284" s="26"/>
      <c r="Q284" s="26"/>
      <c r="R284" s="26">
        <f>IFERROR(__xludf.DUMMYFUNCTION("""COMPUTED_VALUE"""),46.0)</f>
        <v>46</v>
      </c>
      <c r="S284" s="26">
        <f>IFERROR(__xludf.DUMMYFUNCTION("""COMPUTED_VALUE"""),20332.0)</f>
        <v>20332</v>
      </c>
      <c r="T284" s="26">
        <f>IFERROR(__xludf.DUMMYFUNCTION("""COMPUTED_VALUE"""),8050.0)</f>
        <v>8050</v>
      </c>
      <c r="U284" s="26">
        <f>IFERROR(__xludf.DUMMYFUNCTION("""COMPUTED_VALUE"""),11151.320000000002)</f>
        <v>11151.32</v>
      </c>
      <c r="V284" s="26">
        <f>IFERROR(__xludf.DUMMYFUNCTION("""COMPUTED_VALUE"""),0.0)</f>
        <v>0</v>
      </c>
      <c r="W284" s="26">
        <f>IFERROR(__xludf.DUMMYFUNCTION("""COMPUTED_VALUE"""),0.0)</f>
        <v>0</v>
      </c>
      <c r="X284" s="26">
        <f>IFERROR(__xludf.DUMMYFUNCTION("""COMPUTED_VALUE"""),3101.320000000002)</f>
        <v>3101.32</v>
      </c>
      <c r="Y284" s="26">
        <f>IFERROR(__xludf.DUMMYFUNCTION("""COMPUTED_VALUE"""),3101.320000000002)</f>
        <v>3101.32</v>
      </c>
      <c r="Z284" s="26">
        <f>IFERROR(__xludf.DUMMYFUNCTION("""COMPUTED_VALUE"""),0.0)</f>
        <v>0</v>
      </c>
      <c r="AA284" s="26">
        <f>IFERROR(__xludf.DUMMYFUNCTION("""COMPUTED_VALUE"""),0.0)</f>
        <v>0</v>
      </c>
      <c r="AB284" s="26">
        <f>IFERROR(__xludf.DUMMYFUNCTION("""COMPUTED_VALUE"""),0.0)</f>
        <v>0</v>
      </c>
      <c r="AC284" s="26">
        <f>IFERROR(__xludf.DUMMYFUNCTION("""COMPUTED_VALUE"""),0.0)</f>
        <v>0</v>
      </c>
      <c r="AD284" s="26">
        <f>IFERROR(__xludf.DUMMYFUNCTION("""COMPUTED_VALUE"""),0.0)</f>
        <v>0</v>
      </c>
      <c r="AE284" s="26">
        <f>IFERROR(__xludf.DUMMYFUNCTION("""COMPUTED_VALUE"""),0.0)</f>
        <v>0</v>
      </c>
    </row>
    <row r="285">
      <c r="A285" s="26">
        <f>IFERROR(__xludf.DUMMYFUNCTION("""COMPUTED_VALUE"""),0.0)</f>
        <v>0</v>
      </c>
      <c r="B285" s="26">
        <f>IFERROR(__xludf.DUMMYFUNCTION("""COMPUTED_VALUE"""),0.0)</f>
        <v>0</v>
      </c>
      <c r="C285" s="26">
        <f>IFERROR(__xludf.DUMMYFUNCTION("""COMPUTED_VALUE"""),0.0)</f>
        <v>0</v>
      </c>
      <c r="D285" s="26">
        <f>IFERROR(__xludf.DUMMYFUNCTION("""COMPUTED_VALUE"""),0.0)</f>
        <v>0</v>
      </c>
      <c r="E285" s="26">
        <f>IFERROR(__xludf.DUMMYFUNCTION("""COMPUTED_VALUE"""),0.0)</f>
        <v>0</v>
      </c>
      <c r="F285" s="26">
        <f>IFERROR(__xludf.DUMMYFUNCTION("""COMPUTED_VALUE"""),0.0)</f>
        <v>0</v>
      </c>
      <c r="G285" s="26">
        <f>IFERROR(__xludf.DUMMYFUNCTION("""COMPUTED_VALUE"""),0.0)</f>
        <v>0</v>
      </c>
      <c r="H285" s="26">
        <f>IFERROR(__xludf.DUMMYFUNCTION("""COMPUTED_VALUE"""),0.0)</f>
        <v>0</v>
      </c>
      <c r="I285" s="26">
        <f>IFERROR(__xludf.DUMMYFUNCTION("""COMPUTED_VALUE"""),0.0)</f>
        <v>0</v>
      </c>
      <c r="J285" s="26">
        <f>IFERROR(__xludf.DUMMYFUNCTION("""COMPUTED_VALUE"""),0.0)</f>
        <v>0</v>
      </c>
      <c r="K285" s="26">
        <f>IFERROR(__xludf.DUMMYFUNCTION("""COMPUTED_VALUE"""),0.0)</f>
        <v>0</v>
      </c>
      <c r="L285" s="26">
        <f>IFERROR(__xludf.DUMMYFUNCTION("""COMPUTED_VALUE"""),0.0)</f>
        <v>0</v>
      </c>
      <c r="M285" s="26"/>
      <c r="N285" s="26"/>
      <c r="O285" s="26"/>
      <c r="P285" s="26"/>
      <c r="Q285" s="26"/>
      <c r="R285" s="26">
        <f>IFERROR(__xludf.DUMMYFUNCTION("""COMPUTED_VALUE"""),0.0)</f>
        <v>0</v>
      </c>
      <c r="S285" s="26">
        <f>IFERROR(__xludf.DUMMYFUNCTION("""COMPUTED_VALUE"""),0.0)</f>
        <v>0</v>
      </c>
      <c r="T285" s="26">
        <f>IFERROR(__xludf.DUMMYFUNCTION("""COMPUTED_VALUE"""),0.0)</f>
        <v>0</v>
      </c>
      <c r="U285" s="26">
        <f>IFERROR(__xludf.DUMMYFUNCTION("""COMPUTED_VALUE"""),0.0)</f>
        <v>0</v>
      </c>
      <c r="V285" s="26">
        <f>IFERROR(__xludf.DUMMYFUNCTION("""COMPUTED_VALUE"""),0.0)</f>
        <v>0</v>
      </c>
      <c r="W285" s="26">
        <f>IFERROR(__xludf.DUMMYFUNCTION("""COMPUTED_VALUE"""),0.0)</f>
        <v>0</v>
      </c>
      <c r="X285" s="26">
        <f>IFERROR(__xludf.DUMMYFUNCTION("""COMPUTED_VALUE"""),0.0)</f>
        <v>0</v>
      </c>
      <c r="Y285" s="26">
        <f>IFERROR(__xludf.DUMMYFUNCTION("""COMPUTED_VALUE"""),0.0)</f>
        <v>0</v>
      </c>
      <c r="Z285" s="26">
        <f>IFERROR(__xludf.DUMMYFUNCTION("""COMPUTED_VALUE"""),0.0)</f>
        <v>0</v>
      </c>
      <c r="AA285" s="26">
        <f>IFERROR(__xludf.DUMMYFUNCTION("""COMPUTED_VALUE"""),0.0)</f>
        <v>0</v>
      </c>
      <c r="AB285" s="26">
        <f>IFERROR(__xludf.DUMMYFUNCTION("""COMPUTED_VALUE"""),0.0)</f>
        <v>0</v>
      </c>
      <c r="AC285" s="26">
        <f>IFERROR(__xludf.DUMMYFUNCTION("""COMPUTED_VALUE"""),0.0)</f>
        <v>0</v>
      </c>
      <c r="AD285" s="26">
        <f>IFERROR(__xludf.DUMMYFUNCTION("""COMPUTED_VALUE"""),0.0)</f>
        <v>0</v>
      </c>
      <c r="AE285" s="26">
        <f>IFERROR(__xludf.DUMMYFUNCTION("""COMPUTED_VALUE"""),0.0)</f>
        <v>0</v>
      </c>
    </row>
    <row r="286">
      <c r="A286" s="26">
        <f>IFERROR(__xludf.DUMMYFUNCTION("""COMPUTED_VALUE"""),30.0)</f>
        <v>30</v>
      </c>
      <c r="B286" s="26">
        <f>IFERROR(__xludf.DUMMYFUNCTION("""COMPUTED_VALUE"""),0.0)</f>
        <v>0</v>
      </c>
      <c r="C286" s="26">
        <f>IFERROR(__xludf.DUMMYFUNCTION("""COMPUTED_VALUE"""),0.0)</f>
        <v>0</v>
      </c>
      <c r="D286" s="26">
        <f>IFERROR(__xludf.DUMMYFUNCTION("""COMPUTED_VALUE"""),0.0)</f>
        <v>0</v>
      </c>
      <c r="E286" s="26">
        <f>IFERROR(__xludf.DUMMYFUNCTION("""COMPUTED_VALUE"""),0.0)</f>
        <v>0</v>
      </c>
      <c r="F286" s="26">
        <f>IFERROR(__xludf.DUMMYFUNCTION("""COMPUTED_VALUE"""),0.0)</f>
        <v>0</v>
      </c>
      <c r="G286" s="26">
        <f>IFERROR(__xludf.DUMMYFUNCTION("""COMPUTED_VALUE"""),0.0)</f>
        <v>0</v>
      </c>
      <c r="H286" s="26">
        <f>IFERROR(__xludf.DUMMYFUNCTION("""COMPUTED_VALUE"""),0.0)</f>
        <v>0</v>
      </c>
      <c r="I286" s="26">
        <f>IFERROR(__xludf.DUMMYFUNCTION("""COMPUTED_VALUE"""),0.0)</f>
        <v>0</v>
      </c>
      <c r="J286" s="26">
        <f>IFERROR(__xludf.DUMMYFUNCTION("""COMPUTED_VALUE"""),0.0)</f>
        <v>0</v>
      </c>
      <c r="K286" s="26">
        <f>IFERROR(__xludf.DUMMYFUNCTION("""COMPUTED_VALUE"""),0.0)</f>
        <v>0</v>
      </c>
      <c r="L286" s="26">
        <f>IFERROR(__xludf.DUMMYFUNCTION("""COMPUTED_VALUE"""),0.0)</f>
        <v>0</v>
      </c>
      <c r="M286" s="26"/>
      <c r="N286" s="26"/>
      <c r="O286" s="26"/>
      <c r="P286" s="26"/>
      <c r="Q286" s="26"/>
      <c r="R286" s="26">
        <f>IFERROR(__xludf.DUMMYFUNCTION("""COMPUTED_VALUE"""),30.0)</f>
        <v>30</v>
      </c>
      <c r="S286" s="26">
        <f>IFERROR(__xludf.DUMMYFUNCTION("""COMPUTED_VALUE"""),13260.0)</f>
        <v>13260</v>
      </c>
      <c r="T286" s="26">
        <f>IFERROR(__xludf.DUMMYFUNCTION("""COMPUTED_VALUE"""),5250.0)</f>
        <v>5250</v>
      </c>
      <c r="U286" s="26">
        <f>IFERROR(__xludf.DUMMYFUNCTION("""COMPUTED_VALUE"""),7272.6)</f>
        <v>7272.6</v>
      </c>
      <c r="V286" s="26">
        <f>IFERROR(__xludf.DUMMYFUNCTION("""COMPUTED_VALUE"""),0.0)</f>
        <v>0</v>
      </c>
      <c r="W286" s="26">
        <f>IFERROR(__xludf.DUMMYFUNCTION("""COMPUTED_VALUE"""),0.0)</f>
        <v>0</v>
      </c>
      <c r="X286" s="26">
        <f>IFERROR(__xludf.DUMMYFUNCTION("""COMPUTED_VALUE"""),2022.6000000000008)</f>
        <v>2022.6</v>
      </c>
      <c r="Y286" s="26">
        <f>IFERROR(__xludf.DUMMYFUNCTION("""COMPUTED_VALUE"""),2022.6000000000008)</f>
        <v>2022.6</v>
      </c>
      <c r="Z286" s="26">
        <f>IFERROR(__xludf.DUMMYFUNCTION("""COMPUTED_VALUE"""),0.0)</f>
        <v>0</v>
      </c>
      <c r="AA286" s="26">
        <f>IFERROR(__xludf.DUMMYFUNCTION("""COMPUTED_VALUE"""),0.0)</f>
        <v>0</v>
      </c>
      <c r="AB286" s="26">
        <f>IFERROR(__xludf.DUMMYFUNCTION("""COMPUTED_VALUE"""),0.0)</f>
        <v>0</v>
      </c>
      <c r="AC286" s="26">
        <f>IFERROR(__xludf.DUMMYFUNCTION("""COMPUTED_VALUE"""),0.0)</f>
        <v>0</v>
      </c>
      <c r="AD286" s="26">
        <f>IFERROR(__xludf.DUMMYFUNCTION("""COMPUTED_VALUE"""),0.0)</f>
        <v>0</v>
      </c>
      <c r="AE286" s="26">
        <f>IFERROR(__xludf.DUMMYFUNCTION("""COMPUTED_VALUE"""),0.0)</f>
        <v>0</v>
      </c>
    </row>
    <row r="287">
      <c r="A287" s="26">
        <f>IFERROR(__xludf.DUMMYFUNCTION("""COMPUTED_VALUE"""),60.0)</f>
        <v>60</v>
      </c>
      <c r="B287" s="26">
        <f>IFERROR(__xludf.DUMMYFUNCTION("""COMPUTED_VALUE"""),0.0)</f>
        <v>0</v>
      </c>
      <c r="C287" s="26">
        <f>IFERROR(__xludf.DUMMYFUNCTION("""COMPUTED_VALUE"""),0.0)</f>
        <v>0</v>
      </c>
      <c r="D287" s="26">
        <f>IFERROR(__xludf.DUMMYFUNCTION("""COMPUTED_VALUE"""),0.0)</f>
        <v>0</v>
      </c>
      <c r="E287" s="26">
        <f>IFERROR(__xludf.DUMMYFUNCTION("""COMPUTED_VALUE"""),0.0)</f>
        <v>0</v>
      </c>
      <c r="F287" s="26">
        <f>IFERROR(__xludf.DUMMYFUNCTION("""COMPUTED_VALUE"""),0.0)</f>
        <v>0</v>
      </c>
      <c r="G287" s="26">
        <f>IFERROR(__xludf.DUMMYFUNCTION("""COMPUTED_VALUE"""),0.0)</f>
        <v>0</v>
      </c>
      <c r="H287" s="26">
        <f>IFERROR(__xludf.DUMMYFUNCTION("""COMPUTED_VALUE"""),0.0)</f>
        <v>0</v>
      </c>
      <c r="I287" s="26">
        <f>IFERROR(__xludf.DUMMYFUNCTION("""COMPUTED_VALUE"""),0.0)</f>
        <v>0</v>
      </c>
      <c r="J287" s="26">
        <f>IFERROR(__xludf.DUMMYFUNCTION("""COMPUTED_VALUE"""),0.0)</f>
        <v>0</v>
      </c>
      <c r="K287" s="26">
        <f>IFERROR(__xludf.DUMMYFUNCTION("""COMPUTED_VALUE"""),0.0)</f>
        <v>0</v>
      </c>
      <c r="L287" s="26">
        <f>IFERROR(__xludf.DUMMYFUNCTION("""COMPUTED_VALUE"""),0.0)</f>
        <v>0</v>
      </c>
      <c r="M287" s="26"/>
      <c r="N287" s="26"/>
      <c r="O287" s="26"/>
      <c r="P287" s="26"/>
      <c r="Q287" s="26"/>
      <c r="R287" s="26">
        <f>IFERROR(__xludf.DUMMYFUNCTION("""COMPUTED_VALUE"""),60.0)</f>
        <v>60</v>
      </c>
      <c r="S287" s="26">
        <f>IFERROR(__xludf.DUMMYFUNCTION("""COMPUTED_VALUE"""),26520.0)</f>
        <v>26520</v>
      </c>
      <c r="T287" s="26">
        <f>IFERROR(__xludf.DUMMYFUNCTION("""COMPUTED_VALUE"""),10500.0)</f>
        <v>10500</v>
      </c>
      <c r="U287" s="26">
        <f>IFERROR(__xludf.DUMMYFUNCTION("""COMPUTED_VALUE"""),14545.200000000003)</f>
        <v>14545.2</v>
      </c>
      <c r="V287" s="26">
        <f>IFERROR(__xludf.DUMMYFUNCTION("""COMPUTED_VALUE"""),0.0)</f>
        <v>0</v>
      </c>
      <c r="W287" s="26">
        <f>IFERROR(__xludf.DUMMYFUNCTION("""COMPUTED_VALUE"""),0.0)</f>
        <v>0</v>
      </c>
      <c r="X287" s="26">
        <f>IFERROR(__xludf.DUMMYFUNCTION("""COMPUTED_VALUE"""),4045.200000000003)</f>
        <v>4045.2</v>
      </c>
      <c r="Y287" s="26">
        <f>IFERROR(__xludf.DUMMYFUNCTION("""COMPUTED_VALUE"""),4045.200000000003)</f>
        <v>4045.2</v>
      </c>
      <c r="Z287" s="26">
        <f>IFERROR(__xludf.DUMMYFUNCTION("""COMPUTED_VALUE"""),0.0)</f>
        <v>0</v>
      </c>
      <c r="AA287" s="26">
        <f>IFERROR(__xludf.DUMMYFUNCTION("""COMPUTED_VALUE"""),0.0)</f>
        <v>0</v>
      </c>
      <c r="AB287" s="26">
        <f>IFERROR(__xludf.DUMMYFUNCTION("""COMPUTED_VALUE"""),0.0)</f>
        <v>0</v>
      </c>
      <c r="AC287" s="26">
        <f>IFERROR(__xludf.DUMMYFUNCTION("""COMPUTED_VALUE"""),0.0)</f>
        <v>0</v>
      </c>
      <c r="AD287" s="26">
        <f>IFERROR(__xludf.DUMMYFUNCTION("""COMPUTED_VALUE"""),0.0)</f>
        <v>0</v>
      </c>
      <c r="AE287" s="26">
        <f>IFERROR(__xludf.DUMMYFUNCTION("""COMPUTED_VALUE"""),0.0)</f>
        <v>0</v>
      </c>
    </row>
    <row r="288">
      <c r="A288" s="26">
        <f>IFERROR(__xludf.DUMMYFUNCTION("""COMPUTED_VALUE"""),0.0)</f>
        <v>0</v>
      </c>
      <c r="B288" s="26">
        <f>IFERROR(__xludf.DUMMYFUNCTION("""COMPUTED_VALUE"""),0.0)</f>
        <v>0</v>
      </c>
      <c r="C288" s="26">
        <f>IFERROR(__xludf.DUMMYFUNCTION("""COMPUTED_VALUE"""),0.0)</f>
        <v>0</v>
      </c>
      <c r="D288" s="26">
        <f>IFERROR(__xludf.DUMMYFUNCTION("""COMPUTED_VALUE"""),0.0)</f>
        <v>0</v>
      </c>
      <c r="E288" s="26">
        <f>IFERROR(__xludf.DUMMYFUNCTION("""COMPUTED_VALUE"""),0.0)</f>
        <v>0</v>
      </c>
      <c r="F288" s="26">
        <f>IFERROR(__xludf.DUMMYFUNCTION("""COMPUTED_VALUE"""),0.0)</f>
        <v>0</v>
      </c>
      <c r="G288" s="26">
        <f>IFERROR(__xludf.DUMMYFUNCTION("""COMPUTED_VALUE"""),0.0)</f>
        <v>0</v>
      </c>
      <c r="H288" s="26">
        <f>IFERROR(__xludf.DUMMYFUNCTION("""COMPUTED_VALUE"""),0.0)</f>
        <v>0</v>
      </c>
      <c r="I288" s="26">
        <f>IFERROR(__xludf.DUMMYFUNCTION("""COMPUTED_VALUE"""),0.0)</f>
        <v>0</v>
      </c>
      <c r="J288" s="26">
        <f>IFERROR(__xludf.DUMMYFUNCTION("""COMPUTED_VALUE"""),0.0)</f>
        <v>0</v>
      </c>
      <c r="K288" s="26">
        <f>IFERROR(__xludf.DUMMYFUNCTION("""COMPUTED_VALUE"""),0.0)</f>
        <v>0</v>
      </c>
      <c r="L288" s="26">
        <f>IFERROR(__xludf.DUMMYFUNCTION("""COMPUTED_VALUE"""),0.0)</f>
        <v>0</v>
      </c>
      <c r="M288" s="26"/>
      <c r="N288" s="26"/>
      <c r="O288" s="26"/>
      <c r="P288" s="26"/>
      <c r="Q288" s="26"/>
      <c r="R288" s="26">
        <f>IFERROR(__xludf.DUMMYFUNCTION("""COMPUTED_VALUE"""),0.0)</f>
        <v>0</v>
      </c>
      <c r="S288" s="26">
        <f>IFERROR(__xludf.DUMMYFUNCTION("""COMPUTED_VALUE"""),0.0)</f>
        <v>0</v>
      </c>
      <c r="T288" s="26">
        <f>IFERROR(__xludf.DUMMYFUNCTION("""COMPUTED_VALUE"""),0.0)</f>
        <v>0</v>
      </c>
      <c r="U288" s="26">
        <f>IFERROR(__xludf.DUMMYFUNCTION("""COMPUTED_VALUE"""),0.0)</f>
        <v>0</v>
      </c>
      <c r="V288" s="26">
        <f>IFERROR(__xludf.DUMMYFUNCTION("""COMPUTED_VALUE"""),0.0)</f>
        <v>0</v>
      </c>
      <c r="W288" s="26">
        <f>IFERROR(__xludf.DUMMYFUNCTION("""COMPUTED_VALUE"""),0.0)</f>
        <v>0</v>
      </c>
      <c r="X288" s="26">
        <f>IFERROR(__xludf.DUMMYFUNCTION("""COMPUTED_VALUE"""),0.0)</f>
        <v>0</v>
      </c>
      <c r="Y288" s="26">
        <f>IFERROR(__xludf.DUMMYFUNCTION("""COMPUTED_VALUE"""),0.0)</f>
        <v>0</v>
      </c>
      <c r="Z288" s="26">
        <f>IFERROR(__xludf.DUMMYFUNCTION("""COMPUTED_VALUE"""),0.0)</f>
        <v>0</v>
      </c>
      <c r="AA288" s="26">
        <f>IFERROR(__xludf.DUMMYFUNCTION("""COMPUTED_VALUE"""),0.0)</f>
        <v>0</v>
      </c>
      <c r="AB288" s="26">
        <f>IFERROR(__xludf.DUMMYFUNCTION("""COMPUTED_VALUE"""),0.0)</f>
        <v>0</v>
      </c>
      <c r="AC288" s="26">
        <f>IFERROR(__xludf.DUMMYFUNCTION("""COMPUTED_VALUE"""),0.0)</f>
        <v>0</v>
      </c>
      <c r="AD288" s="26">
        <f>IFERROR(__xludf.DUMMYFUNCTION("""COMPUTED_VALUE"""),0.0)</f>
        <v>0</v>
      </c>
      <c r="AE288" s="26">
        <f>IFERROR(__xludf.DUMMYFUNCTION("""COMPUTED_VALUE"""),0.0)</f>
        <v>0</v>
      </c>
    </row>
    <row r="289">
      <c r="A289" s="26">
        <f>IFERROR(__xludf.DUMMYFUNCTION("""COMPUTED_VALUE"""),49.0)</f>
        <v>49</v>
      </c>
      <c r="B289" s="26">
        <f>IFERROR(__xludf.DUMMYFUNCTION("""COMPUTED_VALUE"""),0.0)</f>
        <v>0</v>
      </c>
      <c r="C289" s="26">
        <f>IFERROR(__xludf.DUMMYFUNCTION("""COMPUTED_VALUE"""),0.0)</f>
        <v>0</v>
      </c>
      <c r="D289" s="26">
        <f>IFERROR(__xludf.DUMMYFUNCTION("""COMPUTED_VALUE"""),0.0)</f>
        <v>0</v>
      </c>
      <c r="E289" s="26">
        <f>IFERROR(__xludf.DUMMYFUNCTION("""COMPUTED_VALUE"""),0.0)</f>
        <v>0</v>
      </c>
      <c r="F289" s="26">
        <f>IFERROR(__xludf.DUMMYFUNCTION("""COMPUTED_VALUE"""),0.0)</f>
        <v>0</v>
      </c>
      <c r="G289" s="26">
        <f>IFERROR(__xludf.DUMMYFUNCTION("""COMPUTED_VALUE"""),0.0)</f>
        <v>0</v>
      </c>
      <c r="H289" s="26">
        <f>IFERROR(__xludf.DUMMYFUNCTION("""COMPUTED_VALUE"""),0.0)</f>
        <v>0</v>
      </c>
      <c r="I289" s="26">
        <f>IFERROR(__xludf.DUMMYFUNCTION("""COMPUTED_VALUE"""),0.0)</f>
        <v>0</v>
      </c>
      <c r="J289" s="26">
        <f>IFERROR(__xludf.DUMMYFUNCTION("""COMPUTED_VALUE"""),0.0)</f>
        <v>0</v>
      </c>
      <c r="K289" s="26">
        <f>IFERROR(__xludf.DUMMYFUNCTION("""COMPUTED_VALUE"""),0.0)</f>
        <v>0</v>
      </c>
      <c r="L289" s="26">
        <f>IFERROR(__xludf.DUMMYFUNCTION("""COMPUTED_VALUE"""),0.0)</f>
        <v>0</v>
      </c>
      <c r="M289" s="26"/>
      <c r="N289" s="26"/>
      <c r="O289" s="26"/>
      <c r="P289" s="26"/>
      <c r="Q289" s="26"/>
      <c r="R289" s="26">
        <f>IFERROR(__xludf.DUMMYFUNCTION("""COMPUTED_VALUE"""),49.0)</f>
        <v>49</v>
      </c>
      <c r="S289" s="26">
        <f>IFERROR(__xludf.DUMMYFUNCTION("""COMPUTED_VALUE"""),21658.0)</f>
        <v>21658</v>
      </c>
      <c r="T289" s="26">
        <f>IFERROR(__xludf.DUMMYFUNCTION("""COMPUTED_VALUE"""),8575.0)</f>
        <v>8575</v>
      </c>
      <c r="U289" s="26">
        <f>IFERROR(__xludf.DUMMYFUNCTION("""COMPUTED_VALUE"""),11878.580000000002)</f>
        <v>11878.58</v>
      </c>
      <c r="V289" s="26">
        <f>IFERROR(__xludf.DUMMYFUNCTION("""COMPUTED_VALUE"""),0.0)</f>
        <v>0</v>
      </c>
      <c r="W289" s="26">
        <f>IFERROR(__xludf.DUMMYFUNCTION("""COMPUTED_VALUE"""),0.0)</f>
        <v>0</v>
      </c>
      <c r="X289" s="26">
        <f>IFERROR(__xludf.DUMMYFUNCTION("""COMPUTED_VALUE"""),3303.580000000002)</f>
        <v>3303.58</v>
      </c>
      <c r="Y289" s="26">
        <f>IFERROR(__xludf.DUMMYFUNCTION("""COMPUTED_VALUE"""),3303.580000000002)</f>
        <v>3303.58</v>
      </c>
      <c r="Z289" s="26">
        <f>IFERROR(__xludf.DUMMYFUNCTION("""COMPUTED_VALUE"""),0.0)</f>
        <v>0</v>
      </c>
      <c r="AA289" s="26">
        <f>IFERROR(__xludf.DUMMYFUNCTION("""COMPUTED_VALUE"""),0.0)</f>
        <v>0</v>
      </c>
      <c r="AB289" s="26">
        <f>IFERROR(__xludf.DUMMYFUNCTION("""COMPUTED_VALUE"""),0.0)</f>
        <v>0</v>
      </c>
      <c r="AC289" s="26">
        <f>IFERROR(__xludf.DUMMYFUNCTION("""COMPUTED_VALUE"""),0.0)</f>
        <v>0</v>
      </c>
      <c r="AD289" s="26">
        <f>IFERROR(__xludf.DUMMYFUNCTION("""COMPUTED_VALUE"""),0.0)</f>
        <v>0</v>
      </c>
      <c r="AE289" s="26">
        <f>IFERROR(__xludf.DUMMYFUNCTION("""COMPUTED_VALUE"""),0.0)</f>
        <v>0</v>
      </c>
    </row>
    <row r="290">
      <c r="A290" s="26">
        <f>IFERROR(__xludf.DUMMYFUNCTION("""COMPUTED_VALUE"""),61.0)</f>
        <v>61</v>
      </c>
      <c r="B290" s="26">
        <f>IFERROR(__xludf.DUMMYFUNCTION("""COMPUTED_VALUE"""),0.0)</f>
        <v>0</v>
      </c>
      <c r="C290" s="26">
        <f>IFERROR(__xludf.DUMMYFUNCTION("""COMPUTED_VALUE"""),0.0)</f>
        <v>0</v>
      </c>
      <c r="D290" s="26">
        <f>IFERROR(__xludf.DUMMYFUNCTION("""COMPUTED_VALUE"""),0.0)</f>
        <v>0</v>
      </c>
      <c r="E290" s="26">
        <f>IFERROR(__xludf.DUMMYFUNCTION("""COMPUTED_VALUE"""),0.0)</f>
        <v>0</v>
      </c>
      <c r="F290" s="26">
        <f>IFERROR(__xludf.DUMMYFUNCTION("""COMPUTED_VALUE"""),0.0)</f>
        <v>0</v>
      </c>
      <c r="G290" s="26">
        <f>IFERROR(__xludf.DUMMYFUNCTION("""COMPUTED_VALUE"""),0.0)</f>
        <v>0</v>
      </c>
      <c r="H290" s="26">
        <f>IFERROR(__xludf.DUMMYFUNCTION("""COMPUTED_VALUE"""),0.0)</f>
        <v>0</v>
      </c>
      <c r="I290" s="26">
        <f>IFERROR(__xludf.DUMMYFUNCTION("""COMPUTED_VALUE"""),0.0)</f>
        <v>0</v>
      </c>
      <c r="J290" s="26">
        <f>IFERROR(__xludf.DUMMYFUNCTION("""COMPUTED_VALUE"""),0.0)</f>
        <v>0</v>
      </c>
      <c r="K290" s="26">
        <f>IFERROR(__xludf.DUMMYFUNCTION("""COMPUTED_VALUE"""),0.0)</f>
        <v>0</v>
      </c>
      <c r="L290" s="26">
        <f>IFERROR(__xludf.DUMMYFUNCTION("""COMPUTED_VALUE"""),0.0)</f>
        <v>0</v>
      </c>
      <c r="M290" s="26"/>
      <c r="N290" s="26"/>
      <c r="O290" s="26"/>
      <c r="P290" s="26"/>
      <c r="Q290" s="26"/>
      <c r="R290" s="26">
        <f>IFERROR(__xludf.DUMMYFUNCTION("""COMPUTED_VALUE"""),61.0)</f>
        <v>61</v>
      </c>
      <c r="S290" s="26">
        <f>IFERROR(__xludf.DUMMYFUNCTION("""COMPUTED_VALUE"""),26962.0)</f>
        <v>26962</v>
      </c>
      <c r="T290" s="26">
        <f>IFERROR(__xludf.DUMMYFUNCTION("""COMPUTED_VALUE"""),10675.0)</f>
        <v>10675</v>
      </c>
      <c r="U290" s="26">
        <f>IFERROR(__xludf.DUMMYFUNCTION("""COMPUTED_VALUE"""),14787.620000000003)</f>
        <v>14787.62</v>
      </c>
      <c r="V290" s="26">
        <f>IFERROR(__xludf.DUMMYFUNCTION("""COMPUTED_VALUE"""),0.0)</f>
        <v>0</v>
      </c>
      <c r="W290" s="26">
        <f>IFERROR(__xludf.DUMMYFUNCTION("""COMPUTED_VALUE"""),0.0)</f>
        <v>0</v>
      </c>
      <c r="X290" s="26">
        <f>IFERROR(__xludf.DUMMYFUNCTION("""COMPUTED_VALUE"""),4112.620000000003)</f>
        <v>4112.62</v>
      </c>
      <c r="Y290" s="26">
        <f>IFERROR(__xludf.DUMMYFUNCTION("""COMPUTED_VALUE"""),4112.620000000003)</f>
        <v>4112.62</v>
      </c>
      <c r="Z290" s="26">
        <f>IFERROR(__xludf.DUMMYFUNCTION("""COMPUTED_VALUE"""),0.0)</f>
        <v>0</v>
      </c>
      <c r="AA290" s="26">
        <f>IFERROR(__xludf.DUMMYFUNCTION("""COMPUTED_VALUE"""),0.0)</f>
        <v>0</v>
      </c>
      <c r="AB290" s="26">
        <f>IFERROR(__xludf.DUMMYFUNCTION("""COMPUTED_VALUE"""),0.0)</f>
        <v>0</v>
      </c>
      <c r="AC290" s="26">
        <f>IFERROR(__xludf.DUMMYFUNCTION("""COMPUTED_VALUE"""),0.0)</f>
        <v>0</v>
      </c>
      <c r="AD290" s="26">
        <f>IFERROR(__xludf.DUMMYFUNCTION("""COMPUTED_VALUE"""),0.0)</f>
        <v>0</v>
      </c>
      <c r="AE290" s="26">
        <f>IFERROR(__xludf.DUMMYFUNCTION("""COMPUTED_VALUE"""),0.0)</f>
        <v>0</v>
      </c>
    </row>
    <row r="291">
      <c r="A291" s="26">
        <f>IFERROR(__xludf.DUMMYFUNCTION("""COMPUTED_VALUE"""),28.0)</f>
        <v>28</v>
      </c>
      <c r="B291" s="26">
        <f>IFERROR(__xludf.DUMMYFUNCTION("""COMPUTED_VALUE"""),0.0)</f>
        <v>0</v>
      </c>
      <c r="C291" s="26">
        <f>IFERROR(__xludf.DUMMYFUNCTION("""COMPUTED_VALUE"""),0.0)</f>
        <v>0</v>
      </c>
      <c r="D291" s="26">
        <f>IFERROR(__xludf.DUMMYFUNCTION("""COMPUTED_VALUE"""),0.0)</f>
        <v>0</v>
      </c>
      <c r="E291" s="26">
        <f>IFERROR(__xludf.DUMMYFUNCTION("""COMPUTED_VALUE"""),0.0)</f>
        <v>0</v>
      </c>
      <c r="F291" s="26">
        <f>IFERROR(__xludf.DUMMYFUNCTION("""COMPUTED_VALUE"""),0.0)</f>
        <v>0</v>
      </c>
      <c r="G291" s="26">
        <f>IFERROR(__xludf.DUMMYFUNCTION("""COMPUTED_VALUE"""),0.0)</f>
        <v>0</v>
      </c>
      <c r="H291" s="26">
        <f>IFERROR(__xludf.DUMMYFUNCTION("""COMPUTED_VALUE"""),0.0)</f>
        <v>0</v>
      </c>
      <c r="I291" s="26">
        <f>IFERROR(__xludf.DUMMYFUNCTION("""COMPUTED_VALUE"""),0.0)</f>
        <v>0</v>
      </c>
      <c r="J291" s="26">
        <f>IFERROR(__xludf.DUMMYFUNCTION("""COMPUTED_VALUE"""),0.0)</f>
        <v>0</v>
      </c>
      <c r="K291" s="26">
        <f>IFERROR(__xludf.DUMMYFUNCTION("""COMPUTED_VALUE"""),0.0)</f>
        <v>0</v>
      </c>
      <c r="L291" s="26">
        <f>IFERROR(__xludf.DUMMYFUNCTION("""COMPUTED_VALUE"""),0.0)</f>
        <v>0</v>
      </c>
      <c r="M291" s="26"/>
      <c r="N291" s="26"/>
      <c r="O291" s="26"/>
      <c r="P291" s="26"/>
      <c r="Q291" s="26"/>
      <c r="R291" s="26">
        <f>IFERROR(__xludf.DUMMYFUNCTION("""COMPUTED_VALUE"""),28.0)</f>
        <v>28</v>
      </c>
      <c r="S291" s="26">
        <f>IFERROR(__xludf.DUMMYFUNCTION("""COMPUTED_VALUE"""),12376.0)</f>
        <v>12376</v>
      </c>
      <c r="T291" s="26">
        <f>IFERROR(__xludf.DUMMYFUNCTION("""COMPUTED_VALUE"""),4900.0)</f>
        <v>4900</v>
      </c>
      <c r="U291" s="26">
        <f>IFERROR(__xludf.DUMMYFUNCTION("""COMPUTED_VALUE"""),6787.76)</f>
        <v>6787.76</v>
      </c>
      <c r="V291" s="26">
        <f>IFERROR(__xludf.DUMMYFUNCTION("""COMPUTED_VALUE"""),0.0)</f>
        <v>0</v>
      </c>
      <c r="W291" s="26">
        <f>IFERROR(__xludf.DUMMYFUNCTION("""COMPUTED_VALUE"""),0.0)</f>
        <v>0</v>
      </c>
      <c r="X291" s="26">
        <f>IFERROR(__xludf.DUMMYFUNCTION("""COMPUTED_VALUE"""),1887.7600000000007)</f>
        <v>1887.76</v>
      </c>
      <c r="Y291" s="26">
        <f>IFERROR(__xludf.DUMMYFUNCTION("""COMPUTED_VALUE"""),1887.7600000000007)</f>
        <v>1887.76</v>
      </c>
      <c r="Z291" s="26">
        <f>IFERROR(__xludf.DUMMYFUNCTION("""COMPUTED_VALUE"""),0.0)</f>
        <v>0</v>
      </c>
      <c r="AA291" s="26">
        <f>IFERROR(__xludf.DUMMYFUNCTION("""COMPUTED_VALUE"""),0.0)</f>
        <v>0</v>
      </c>
      <c r="AB291" s="26">
        <f>IFERROR(__xludf.DUMMYFUNCTION("""COMPUTED_VALUE"""),0.0)</f>
        <v>0</v>
      </c>
      <c r="AC291" s="26">
        <f>IFERROR(__xludf.DUMMYFUNCTION("""COMPUTED_VALUE"""),0.0)</f>
        <v>0</v>
      </c>
      <c r="AD291" s="26">
        <f>IFERROR(__xludf.DUMMYFUNCTION("""COMPUTED_VALUE"""),0.0)</f>
        <v>0</v>
      </c>
      <c r="AE291" s="26">
        <f>IFERROR(__xludf.DUMMYFUNCTION("""COMPUTED_VALUE"""),0.0)</f>
        <v>0</v>
      </c>
    </row>
    <row r="292">
      <c r="A292" s="26">
        <f>IFERROR(__xludf.DUMMYFUNCTION("""COMPUTED_VALUE"""),0.0)</f>
        <v>0</v>
      </c>
      <c r="B292" s="26">
        <f>IFERROR(__xludf.DUMMYFUNCTION("""COMPUTED_VALUE"""),0.0)</f>
        <v>0</v>
      </c>
      <c r="C292" s="26">
        <f>IFERROR(__xludf.DUMMYFUNCTION("""COMPUTED_VALUE"""),0.0)</f>
        <v>0</v>
      </c>
      <c r="D292" s="26">
        <f>IFERROR(__xludf.DUMMYFUNCTION("""COMPUTED_VALUE"""),0.0)</f>
        <v>0</v>
      </c>
      <c r="E292" s="26">
        <f>IFERROR(__xludf.DUMMYFUNCTION("""COMPUTED_VALUE"""),0.0)</f>
        <v>0</v>
      </c>
      <c r="F292" s="26">
        <f>IFERROR(__xludf.DUMMYFUNCTION("""COMPUTED_VALUE"""),0.0)</f>
        <v>0</v>
      </c>
      <c r="G292" s="26">
        <f>IFERROR(__xludf.DUMMYFUNCTION("""COMPUTED_VALUE"""),0.0)</f>
        <v>0</v>
      </c>
      <c r="H292" s="26">
        <f>IFERROR(__xludf.DUMMYFUNCTION("""COMPUTED_VALUE"""),0.0)</f>
        <v>0</v>
      </c>
      <c r="I292" s="26">
        <f>IFERROR(__xludf.DUMMYFUNCTION("""COMPUTED_VALUE"""),0.0)</f>
        <v>0</v>
      </c>
      <c r="J292" s="26">
        <f>IFERROR(__xludf.DUMMYFUNCTION("""COMPUTED_VALUE"""),0.0)</f>
        <v>0</v>
      </c>
      <c r="K292" s="26">
        <f>IFERROR(__xludf.DUMMYFUNCTION("""COMPUTED_VALUE"""),0.0)</f>
        <v>0</v>
      </c>
      <c r="L292" s="26">
        <f>IFERROR(__xludf.DUMMYFUNCTION("""COMPUTED_VALUE"""),0.0)</f>
        <v>0</v>
      </c>
      <c r="M292" s="26"/>
      <c r="N292" s="26"/>
      <c r="O292" s="26"/>
      <c r="P292" s="26"/>
      <c r="Q292" s="26"/>
      <c r="R292" s="26">
        <f>IFERROR(__xludf.DUMMYFUNCTION("""COMPUTED_VALUE"""),0.0)</f>
        <v>0</v>
      </c>
      <c r="S292" s="26">
        <f>IFERROR(__xludf.DUMMYFUNCTION("""COMPUTED_VALUE"""),0.0)</f>
        <v>0</v>
      </c>
      <c r="T292" s="26">
        <f>IFERROR(__xludf.DUMMYFUNCTION("""COMPUTED_VALUE"""),0.0)</f>
        <v>0</v>
      </c>
      <c r="U292" s="26">
        <f>IFERROR(__xludf.DUMMYFUNCTION("""COMPUTED_VALUE"""),0.0)</f>
        <v>0</v>
      </c>
      <c r="V292" s="26">
        <f>IFERROR(__xludf.DUMMYFUNCTION("""COMPUTED_VALUE"""),0.0)</f>
        <v>0</v>
      </c>
      <c r="W292" s="26">
        <f>IFERROR(__xludf.DUMMYFUNCTION("""COMPUTED_VALUE"""),0.0)</f>
        <v>0</v>
      </c>
      <c r="X292" s="26">
        <f>IFERROR(__xludf.DUMMYFUNCTION("""COMPUTED_VALUE"""),0.0)</f>
        <v>0</v>
      </c>
      <c r="Y292" s="26">
        <f>IFERROR(__xludf.DUMMYFUNCTION("""COMPUTED_VALUE"""),0.0)</f>
        <v>0</v>
      </c>
      <c r="Z292" s="26">
        <f>IFERROR(__xludf.DUMMYFUNCTION("""COMPUTED_VALUE"""),0.0)</f>
        <v>0</v>
      </c>
      <c r="AA292" s="26">
        <f>IFERROR(__xludf.DUMMYFUNCTION("""COMPUTED_VALUE"""),0.0)</f>
        <v>0</v>
      </c>
      <c r="AB292" s="26">
        <f>IFERROR(__xludf.DUMMYFUNCTION("""COMPUTED_VALUE"""),0.0)</f>
        <v>0</v>
      </c>
      <c r="AC292" s="26">
        <f>IFERROR(__xludf.DUMMYFUNCTION("""COMPUTED_VALUE"""),0.0)</f>
        <v>0</v>
      </c>
      <c r="AD292" s="26">
        <f>IFERROR(__xludf.DUMMYFUNCTION("""COMPUTED_VALUE"""),0.0)</f>
        <v>0</v>
      </c>
      <c r="AE292" s="26">
        <f>IFERROR(__xludf.DUMMYFUNCTION("""COMPUTED_VALUE"""),0.0)</f>
        <v>0</v>
      </c>
    </row>
    <row r="293">
      <c r="A293" s="26">
        <f>IFERROR(__xludf.DUMMYFUNCTION("""COMPUTED_VALUE"""),53.0)</f>
        <v>53</v>
      </c>
      <c r="B293" s="26">
        <f>IFERROR(__xludf.DUMMYFUNCTION("""COMPUTED_VALUE"""),0.0)</f>
        <v>0</v>
      </c>
      <c r="C293" s="26">
        <f>IFERROR(__xludf.DUMMYFUNCTION("""COMPUTED_VALUE"""),0.0)</f>
        <v>0</v>
      </c>
      <c r="D293" s="26">
        <f>IFERROR(__xludf.DUMMYFUNCTION("""COMPUTED_VALUE"""),0.0)</f>
        <v>0</v>
      </c>
      <c r="E293" s="26">
        <f>IFERROR(__xludf.DUMMYFUNCTION("""COMPUTED_VALUE"""),0.0)</f>
        <v>0</v>
      </c>
      <c r="F293" s="26">
        <f>IFERROR(__xludf.DUMMYFUNCTION("""COMPUTED_VALUE"""),0.0)</f>
        <v>0</v>
      </c>
      <c r="G293" s="26">
        <f>IFERROR(__xludf.DUMMYFUNCTION("""COMPUTED_VALUE"""),0.0)</f>
        <v>0</v>
      </c>
      <c r="H293" s="26">
        <f>IFERROR(__xludf.DUMMYFUNCTION("""COMPUTED_VALUE"""),0.0)</f>
        <v>0</v>
      </c>
      <c r="I293" s="26">
        <f>IFERROR(__xludf.DUMMYFUNCTION("""COMPUTED_VALUE"""),0.0)</f>
        <v>0</v>
      </c>
      <c r="J293" s="26">
        <f>IFERROR(__xludf.DUMMYFUNCTION("""COMPUTED_VALUE"""),0.0)</f>
        <v>0</v>
      </c>
      <c r="K293" s="26">
        <f>IFERROR(__xludf.DUMMYFUNCTION("""COMPUTED_VALUE"""),0.0)</f>
        <v>0</v>
      </c>
      <c r="L293" s="26">
        <f>IFERROR(__xludf.DUMMYFUNCTION("""COMPUTED_VALUE"""),0.0)</f>
        <v>0</v>
      </c>
      <c r="M293" s="26"/>
      <c r="N293" s="26"/>
      <c r="O293" s="26"/>
      <c r="P293" s="26"/>
      <c r="Q293" s="26"/>
      <c r="R293" s="26">
        <f>IFERROR(__xludf.DUMMYFUNCTION("""COMPUTED_VALUE"""),53.0)</f>
        <v>53</v>
      </c>
      <c r="S293" s="26">
        <f>IFERROR(__xludf.DUMMYFUNCTION("""COMPUTED_VALUE"""),23426.0)</f>
        <v>23426</v>
      </c>
      <c r="T293" s="26">
        <f>IFERROR(__xludf.DUMMYFUNCTION("""COMPUTED_VALUE"""),9275.0)</f>
        <v>9275</v>
      </c>
      <c r="U293" s="26">
        <f>IFERROR(__xludf.DUMMYFUNCTION("""COMPUTED_VALUE"""),12848.260000000002)</f>
        <v>12848.26</v>
      </c>
      <c r="V293" s="26">
        <f>IFERROR(__xludf.DUMMYFUNCTION("""COMPUTED_VALUE"""),0.0)</f>
        <v>0</v>
      </c>
      <c r="W293" s="26">
        <f>IFERROR(__xludf.DUMMYFUNCTION("""COMPUTED_VALUE"""),0.0)</f>
        <v>0</v>
      </c>
      <c r="X293" s="26">
        <f>IFERROR(__xludf.DUMMYFUNCTION("""COMPUTED_VALUE"""),3573.2600000000025)</f>
        <v>3573.26</v>
      </c>
      <c r="Y293" s="26">
        <f>IFERROR(__xludf.DUMMYFUNCTION("""COMPUTED_VALUE"""),3573.2600000000025)</f>
        <v>3573.26</v>
      </c>
      <c r="Z293" s="26">
        <f>IFERROR(__xludf.DUMMYFUNCTION("""COMPUTED_VALUE"""),0.0)</f>
        <v>0</v>
      </c>
      <c r="AA293" s="26">
        <f>IFERROR(__xludf.DUMMYFUNCTION("""COMPUTED_VALUE"""),0.0)</f>
        <v>0</v>
      </c>
      <c r="AB293" s="26">
        <f>IFERROR(__xludf.DUMMYFUNCTION("""COMPUTED_VALUE"""),0.0)</f>
        <v>0</v>
      </c>
      <c r="AC293" s="26">
        <f>IFERROR(__xludf.DUMMYFUNCTION("""COMPUTED_VALUE"""),0.0)</f>
        <v>0</v>
      </c>
      <c r="AD293" s="26">
        <f>IFERROR(__xludf.DUMMYFUNCTION("""COMPUTED_VALUE"""),0.0)</f>
        <v>0</v>
      </c>
      <c r="AE293" s="26">
        <f>IFERROR(__xludf.DUMMYFUNCTION("""COMPUTED_VALUE"""),0.0)</f>
        <v>0</v>
      </c>
    </row>
    <row r="294">
      <c r="A294" s="26">
        <f>IFERROR(__xludf.DUMMYFUNCTION("""COMPUTED_VALUE"""),0.0)</f>
        <v>0</v>
      </c>
      <c r="B294" s="26">
        <f>IFERROR(__xludf.DUMMYFUNCTION("""COMPUTED_VALUE"""),0.0)</f>
        <v>0</v>
      </c>
      <c r="C294" s="26">
        <f>IFERROR(__xludf.DUMMYFUNCTION("""COMPUTED_VALUE"""),0.0)</f>
        <v>0</v>
      </c>
      <c r="D294" s="26">
        <f>IFERROR(__xludf.DUMMYFUNCTION("""COMPUTED_VALUE"""),0.0)</f>
        <v>0</v>
      </c>
      <c r="E294" s="26">
        <f>IFERROR(__xludf.DUMMYFUNCTION("""COMPUTED_VALUE"""),0.0)</f>
        <v>0</v>
      </c>
      <c r="F294" s="26">
        <f>IFERROR(__xludf.DUMMYFUNCTION("""COMPUTED_VALUE"""),0.0)</f>
        <v>0</v>
      </c>
      <c r="G294" s="26">
        <f>IFERROR(__xludf.DUMMYFUNCTION("""COMPUTED_VALUE"""),0.0)</f>
        <v>0</v>
      </c>
      <c r="H294" s="26">
        <f>IFERROR(__xludf.DUMMYFUNCTION("""COMPUTED_VALUE"""),0.0)</f>
        <v>0</v>
      </c>
      <c r="I294" s="26">
        <f>IFERROR(__xludf.DUMMYFUNCTION("""COMPUTED_VALUE"""),0.0)</f>
        <v>0</v>
      </c>
      <c r="J294" s="26">
        <f>IFERROR(__xludf.DUMMYFUNCTION("""COMPUTED_VALUE"""),0.0)</f>
        <v>0</v>
      </c>
      <c r="K294" s="26">
        <f>IFERROR(__xludf.DUMMYFUNCTION("""COMPUTED_VALUE"""),0.0)</f>
        <v>0</v>
      </c>
      <c r="L294" s="26">
        <f>IFERROR(__xludf.DUMMYFUNCTION("""COMPUTED_VALUE"""),0.0)</f>
        <v>0</v>
      </c>
      <c r="M294" s="26"/>
      <c r="N294" s="26"/>
      <c r="O294" s="26"/>
      <c r="P294" s="26"/>
      <c r="Q294" s="26"/>
      <c r="R294" s="26">
        <f>IFERROR(__xludf.DUMMYFUNCTION("""COMPUTED_VALUE"""),0.0)</f>
        <v>0</v>
      </c>
      <c r="S294" s="26">
        <f>IFERROR(__xludf.DUMMYFUNCTION("""COMPUTED_VALUE"""),0.0)</f>
        <v>0</v>
      </c>
      <c r="T294" s="26">
        <f>IFERROR(__xludf.DUMMYFUNCTION("""COMPUTED_VALUE"""),0.0)</f>
        <v>0</v>
      </c>
      <c r="U294" s="26">
        <f>IFERROR(__xludf.DUMMYFUNCTION("""COMPUTED_VALUE"""),0.0)</f>
        <v>0</v>
      </c>
      <c r="V294" s="26">
        <f>IFERROR(__xludf.DUMMYFUNCTION("""COMPUTED_VALUE"""),0.0)</f>
        <v>0</v>
      </c>
      <c r="W294" s="26">
        <f>IFERROR(__xludf.DUMMYFUNCTION("""COMPUTED_VALUE"""),0.0)</f>
        <v>0</v>
      </c>
      <c r="X294" s="26">
        <f>IFERROR(__xludf.DUMMYFUNCTION("""COMPUTED_VALUE"""),0.0)</f>
        <v>0</v>
      </c>
      <c r="Y294" s="26">
        <f>IFERROR(__xludf.DUMMYFUNCTION("""COMPUTED_VALUE"""),0.0)</f>
        <v>0</v>
      </c>
      <c r="Z294" s="26">
        <f>IFERROR(__xludf.DUMMYFUNCTION("""COMPUTED_VALUE"""),0.0)</f>
        <v>0</v>
      </c>
      <c r="AA294" s="26">
        <f>IFERROR(__xludf.DUMMYFUNCTION("""COMPUTED_VALUE"""),0.0)</f>
        <v>0</v>
      </c>
      <c r="AB294" s="26">
        <f>IFERROR(__xludf.DUMMYFUNCTION("""COMPUTED_VALUE"""),0.0)</f>
        <v>0</v>
      </c>
      <c r="AC294" s="26">
        <f>IFERROR(__xludf.DUMMYFUNCTION("""COMPUTED_VALUE"""),0.0)</f>
        <v>0</v>
      </c>
      <c r="AD294" s="26">
        <f>IFERROR(__xludf.DUMMYFUNCTION("""COMPUTED_VALUE"""),0.0)</f>
        <v>0</v>
      </c>
      <c r="AE294" s="26">
        <f>IFERROR(__xludf.DUMMYFUNCTION("""COMPUTED_VALUE"""),0.0)</f>
        <v>0</v>
      </c>
    </row>
    <row r="295">
      <c r="A295" s="26">
        <f>IFERROR(__xludf.DUMMYFUNCTION("""COMPUTED_VALUE"""),28.0)</f>
        <v>28</v>
      </c>
      <c r="B295" s="26">
        <f>IFERROR(__xludf.DUMMYFUNCTION("""COMPUTED_VALUE"""),0.0)</f>
        <v>0</v>
      </c>
      <c r="C295" s="26">
        <f>IFERROR(__xludf.DUMMYFUNCTION("""COMPUTED_VALUE"""),0.0)</f>
        <v>0</v>
      </c>
      <c r="D295" s="26">
        <f>IFERROR(__xludf.DUMMYFUNCTION("""COMPUTED_VALUE"""),0.0)</f>
        <v>0</v>
      </c>
      <c r="E295" s="26">
        <f>IFERROR(__xludf.DUMMYFUNCTION("""COMPUTED_VALUE"""),16.0)</f>
        <v>16</v>
      </c>
      <c r="F295" s="26">
        <f>IFERROR(__xludf.DUMMYFUNCTION("""COMPUTED_VALUE"""),0.0)</f>
        <v>0</v>
      </c>
      <c r="G295" s="26">
        <f>IFERROR(__xludf.DUMMYFUNCTION("""COMPUTED_VALUE"""),0.0)</f>
        <v>0</v>
      </c>
      <c r="H295" s="26">
        <f>IFERROR(__xludf.DUMMYFUNCTION("""COMPUTED_VALUE"""),0.0)</f>
        <v>0</v>
      </c>
      <c r="I295" s="26">
        <f>IFERROR(__xludf.DUMMYFUNCTION("""COMPUTED_VALUE"""),0.0)</f>
        <v>0</v>
      </c>
      <c r="J295" s="26">
        <f>IFERROR(__xludf.DUMMYFUNCTION("""COMPUTED_VALUE"""),0.0)</f>
        <v>0</v>
      </c>
      <c r="K295" s="26">
        <f>IFERROR(__xludf.DUMMYFUNCTION("""COMPUTED_VALUE"""),0.0)</f>
        <v>0</v>
      </c>
      <c r="L295" s="26">
        <f>IFERROR(__xludf.DUMMYFUNCTION("""COMPUTED_VALUE"""),0.0)</f>
        <v>0</v>
      </c>
      <c r="M295" s="26"/>
      <c r="N295" s="26"/>
      <c r="O295" s="26"/>
      <c r="P295" s="26"/>
      <c r="Q295" s="26"/>
      <c r="R295" s="26">
        <f>IFERROR(__xludf.DUMMYFUNCTION("""COMPUTED_VALUE"""),44.0)</f>
        <v>44</v>
      </c>
      <c r="S295" s="26">
        <f>IFERROR(__xludf.DUMMYFUNCTION("""COMPUTED_VALUE"""),12000.60000000001)</f>
        <v>12000.6</v>
      </c>
      <c r="T295" s="26">
        <f>IFERROR(__xludf.DUMMYFUNCTION("""COMPUTED_VALUE"""),10170.0)</f>
        <v>10170</v>
      </c>
      <c r="U295" s="26">
        <f>IFERROR(__xludf.DUMMYFUNCTION("""COMPUTED_VALUE"""),12000.6)</f>
        <v>12000.6</v>
      </c>
      <c r="V295" s="26">
        <f>IFERROR(__xludf.DUMMYFUNCTION("""COMPUTED_VALUE"""),0.0)</f>
        <v>0</v>
      </c>
      <c r="W295" s="26">
        <f>IFERROR(__xludf.DUMMYFUNCTION("""COMPUTED_VALUE"""),0.0)</f>
        <v>0</v>
      </c>
      <c r="X295" s="26">
        <f>IFERROR(__xludf.DUMMYFUNCTION("""COMPUTED_VALUE"""),1830.5999999999997)</f>
        <v>1830.6</v>
      </c>
      <c r="Y295" s="26">
        <f>IFERROR(__xludf.DUMMYFUNCTION("""COMPUTED_VALUE"""),1830.5999999999997)</f>
        <v>1830.6</v>
      </c>
      <c r="Z295" s="26">
        <f>IFERROR(__xludf.DUMMYFUNCTION("""COMPUTED_VALUE"""),0.0)</f>
        <v>0</v>
      </c>
      <c r="AA295" s="26">
        <f>IFERROR(__xludf.DUMMYFUNCTION("""COMPUTED_VALUE"""),0.0)</f>
        <v>0</v>
      </c>
      <c r="AB295" s="26">
        <f>IFERROR(__xludf.DUMMYFUNCTION("""COMPUTED_VALUE"""),0.0)</f>
        <v>0</v>
      </c>
      <c r="AC295" s="26">
        <f>IFERROR(__xludf.DUMMYFUNCTION("""COMPUTED_VALUE"""),0.0)</f>
        <v>0</v>
      </c>
      <c r="AD295" s="26">
        <f>IFERROR(__xludf.DUMMYFUNCTION("""COMPUTED_VALUE"""),0.0)</f>
        <v>0</v>
      </c>
      <c r="AE295" s="26">
        <f>IFERROR(__xludf.DUMMYFUNCTION("""COMPUTED_VALUE"""),0.0)</f>
        <v>0</v>
      </c>
    </row>
    <row r="296">
      <c r="A296" s="26">
        <f>IFERROR(__xludf.DUMMYFUNCTION("""COMPUTED_VALUE"""),0.0)</f>
        <v>0</v>
      </c>
      <c r="B296" s="26">
        <f>IFERROR(__xludf.DUMMYFUNCTION("""COMPUTED_VALUE"""),0.0)</f>
        <v>0</v>
      </c>
      <c r="C296" s="26">
        <f>IFERROR(__xludf.DUMMYFUNCTION("""COMPUTED_VALUE"""),0.0)</f>
        <v>0</v>
      </c>
      <c r="D296" s="26">
        <f>IFERROR(__xludf.DUMMYFUNCTION("""COMPUTED_VALUE"""),0.0)</f>
        <v>0</v>
      </c>
      <c r="E296" s="26">
        <f>IFERROR(__xludf.DUMMYFUNCTION("""COMPUTED_VALUE"""),0.0)</f>
        <v>0</v>
      </c>
      <c r="F296" s="26">
        <f>IFERROR(__xludf.DUMMYFUNCTION("""COMPUTED_VALUE"""),0.0)</f>
        <v>0</v>
      </c>
      <c r="G296" s="26">
        <f>IFERROR(__xludf.DUMMYFUNCTION("""COMPUTED_VALUE"""),0.0)</f>
        <v>0</v>
      </c>
      <c r="H296" s="26">
        <f>IFERROR(__xludf.DUMMYFUNCTION("""COMPUTED_VALUE"""),0.0)</f>
        <v>0</v>
      </c>
      <c r="I296" s="26">
        <f>IFERROR(__xludf.DUMMYFUNCTION("""COMPUTED_VALUE"""),0.0)</f>
        <v>0</v>
      </c>
      <c r="J296" s="26">
        <f>IFERROR(__xludf.DUMMYFUNCTION("""COMPUTED_VALUE"""),0.0)</f>
        <v>0</v>
      </c>
      <c r="K296" s="26">
        <f>IFERROR(__xludf.DUMMYFUNCTION("""COMPUTED_VALUE"""),0.0)</f>
        <v>0</v>
      </c>
      <c r="L296" s="26">
        <f>IFERROR(__xludf.DUMMYFUNCTION("""COMPUTED_VALUE"""),0.0)</f>
        <v>0</v>
      </c>
      <c r="M296" s="26"/>
      <c r="N296" s="26"/>
      <c r="O296" s="26"/>
      <c r="P296" s="26"/>
      <c r="Q296" s="26"/>
      <c r="R296" s="26">
        <f>IFERROR(__xludf.DUMMYFUNCTION("""COMPUTED_VALUE"""),0.0)</f>
        <v>0</v>
      </c>
      <c r="S296" s="26">
        <f>IFERROR(__xludf.DUMMYFUNCTION("""COMPUTED_VALUE"""),0.0)</f>
        <v>0</v>
      </c>
      <c r="T296" s="26">
        <f>IFERROR(__xludf.DUMMYFUNCTION("""COMPUTED_VALUE"""),0.0)</f>
        <v>0</v>
      </c>
      <c r="U296" s="26">
        <f>IFERROR(__xludf.DUMMYFUNCTION("""COMPUTED_VALUE"""),0.0)</f>
        <v>0</v>
      </c>
      <c r="V296" s="26">
        <f>IFERROR(__xludf.DUMMYFUNCTION("""COMPUTED_VALUE"""),0.0)</f>
        <v>0</v>
      </c>
      <c r="W296" s="26">
        <f>IFERROR(__xludf.DUMMYFUNCTION("""COMPUTED_VALUE"""),0.0)</f>
        <v>0</v>
      </c>
      <c r="X296" s="26">
        <f>IFERROR(__xludf.DUMMYFUNCTION("""COMPUTED_VALUE"""),0.0)</f>
        <v>0</v>
      </c>
      <c r="Y296" s="26">
        <f>IFERROR(__xludf.DUMMYFUNCTION("""COMPUTED_VALUE"""),0.0)</f>
        <v>0</v>
      </c>
      <c r="Z296" s="26">
        <f>IFERROR(__xludf.DUMMYFUNCTION("""COMPUTED_VALUE"""),0.0)</f>
        <v>0</v>
      </c>
      <c r="AA296" s="26">
        <f>IFERROR(__xludf.DUMMYFUNCTION("""COMPUTED_VALUE"""),0.0)</f>
        <v>0</v>
      </c>
      <c r="AB296" s="26">
        <f>IFERROR(__xludf.DUMMYFUNCTION("""COMPUTED_VALUE"""),0.0)</f>
        <v>0</v>
      </c>
      <c r="AC296" s="26">
        <f>IFERROR(__xludf.DUMMYFUNCTION("""COMPUTED_VALUE"""),0.0)</f>
        <v>0</v>
      </c>
      <c r="AD296" s="26">
        <f>IFERROR(__xludf.DUMMYFUNCTION("""COMPUTED_VALUE"""),0.0)</f>
        <v>0</v>
      </c>
      <c r="AE296" s="26">
        <f>IFERROR(__xludf.DUMMYFUNCTION("""COMPUTED_VALUE"""),0.0)</f>
        <v>0</v>
      </c>
    </row>
    <row r="297">
      <c r="A297" s="26">
        <f>IFERROR(__xludf.DUMMYFUNCTION("""COMPUTED_VALUE"""),0.0)</f>
        <v>0</v>
      </c>
      <c r="B297" s="26">
        <f>IFERROR(__xludf.DUMMYFUNCTION("""COMPUTED_VALUE"""),0.0)</f>
        <v>0</v>
      </c>
      <c r="C297" s="26">
        <f>IFERROR(__xludf.DUMMYFUNCTION("""COMPUTED_VALUE"""),0.0)</f>
        <v>0</v>
      </c>
      <c r="D297" s="26">
        <f>IFERROR(__xludf.DUMMYFUNCTION("""COMPUTED_VALUE"""),0.0)</f>
        <v>0</v>
      </c>
      <c r="E297" s="26">
        <f>IFERROR(__xludf.DUMMYFUNCTION("""COMPUTED_VALUE"""),0.0)</f>
        <v>0</v>
      </c>
      <c r="F297" s="26">
        <f>IFERROR(__xludf.DUMMYFUNCTION("""COMPUTED_VALUE"""),0.0)</f>
        <v>0</v>
      </c>
      <c r="G297" s="26">
        <f>IFERROR(__xludf.DUMMYFUNCTION("""COMPUTED_VALUE"""),0.0)</f>
        <v>0</v>
      </c>
      <c r="H297" s="26">
        <f>IFERROR(__xludf.DUMMYFUNCTION("""COMPUTED_VALUE"""),0.0)</f>
        <v>0</v>
      </c>
      <c r="I297" s="26">
        <f>IFERROR(__xludf.DUMMYFUNCTION("""COMPUTED_VALUE"""),0.0)</f>
        <v>0</v>
      </c>
      <c r="J297" s="26">
        <f>IFERROR(__xludf.DUMMYFUNCTION("""COMPUTED_VALUE"""),0.0)</f>
        <v>0</v>
      </c>
      <c r="K297" s="26">
        <f>IFERROR(__xludf.DUMMYFUNCTION("""COMPUTED_VALUE"""),0.0)</f>
        <v>0</v>
      </c>
      <c r="L297" s="26">
        <f>IFERROR(__xludf.DUMMYFUNCTION("""COMPUTED_VALUE"""),0.0)</f>
        <v>0</v>
      </c>
      <c r="M297" s="26"/>
      <c r="N297" s="26"/>
      <c r="O297" s="26"/>
      <c r="P297" s="26"/>
      <c r="Q297" s="26"/>
      <c r="R297" s="26">
        <f>IFERROR(__xludf.DUMMYFUNCTION("""COMPUTED_VALUE"""),0.0)</f>
        <v>0</v>
      </c>
      <c r="S297" s="26">
        <f>IFERROR(__xludf.DUMMYFUNCTION("""COMPUTED_VALUE"""),0.0)</f>
        <v>0</v>
      </c>
      <c r="T297" s="26">
        <f>IFERROR(__xludf.DUMMYFUNCTION("""COMPUTED_VALUE"""),0.0)</f>
        <v>0</v>
      </c>
      <c r="U297" s="26">
        <f>IFERROR(__xludf.DUMMYFUNCTION("""COMPUTED_VALUE"""),0.0)</f>
        <v>0</v>
      </c>
      <c r="V297" s="26">
        <f>IFERROR(__xludf.DUMMYFUNCTION("""COMPUTED_VALUE"""),0.0)</f>
        <v>0</v>
      </c>
      <c r="W297" s="26">
        <f>IFERROR(__xludf.DUMMYFUNCTION("""COMPUTED_VALUE"""),0.0)</f>
        <v>0</v>
      </c>
      <c r="X297" s="26">
        <f>IFERROR(__xludf.DUMMYFUNCTION("""COMPUTED_VALUE"""),0.0)</f>
        <v>0</v>
      </c>
      <c r="Y297" s="26">
        <f>IFERROR(__xludf.DUMMYFUNCTION("""COMPUTED_VALUE"""),0.0)</f>
        <v>0</v>
      </c>
      <c r="Z297" s="26">
        <f>IFERROR(__xludf.DUMMYFUNCTION("""COMPUTED_VALUE"""),0.0)</f>
        <v>0</v>
      </c>
      <c r="AA297" s="26">
        <f>IFERROR(__xludf.DUMMYFUNCTION("""COMPUTED_VALUE"""),0.0)</f>
        <v>0</v>
      </c>
      <c r="AB297" s="26">
        <f>IFERROR(__xludf.DUMMYFUNCTION("""COMPUTED_VALUE"""),0.0)</f>
        <v>0</v>
      </c>
      <c r="AC297" s="26">
        <f>IFERROR(__xludf.DUMMYFUNCTION("""COMPUTED_VALUE"""),0.0)</f>
        <v>0</v>
      </c>
      <c r="AD297" s="26">
        <f>IFERROR(__xludf.DUMMYFUNCTION("""COMPUTED_VALUE"""),0.0)</f>
        <v>0</v>
      </c>
      <c r="AE297" s="26">
        <f>IFERROR(__xludf.DUMMYFUNCTION("""COMPUTED_VALUE"""),0.0)</f>
        <v>0</v>
      </c>
    </row>
    <row r="298">
      <c r="A298" s="26">
        <f>IFERROR(__xludf.DUMMYFUNCTION("""COMPUTED_VALUE"""),0.0)</f>
        <v>0</v>
      </c>
      <c r="B298" s="26">
        <f>IFERROR(__xludf.DUMMYFUNCTION("""COMPUTED_VALUE"""),0.0)</f>
        <v>0</v>
      </c>
      <c r="C298" s="26">
        <f>IFERROR(__xludf.DUMMYFUNCTION("""COMPUTED_VALUE"""),0.0)</f>
        <v>0</v>
      </c>
      <c r="D298" s="26">
        <f>IFERROR(__xludf.DUMMYFUNCTION("""COMPUTED_VALUE"""),0.0)</f>
        <v>0</v>
      </c>
      <c r="E298" s="26">
        <f>IFERROR(__xludf.DUMMYFUNCTION("""COMPUTED_VALUE"""),0.0)</f>
        <v>0</v>
      </c>
      <c r="F298" s="26">
        <f>IFERROR(__xludf.DUMMYFUNCTION("""COMPUTED_VALUE"""),0.0)</f>
        <v>0</v>
      </c>
      <c r="G298" s="26">
        <f>IFERROR(__xludf.DUMMYFUNCTION("""COMPUTED_VALUE"""),0.0)</f>
        <v>0</v>
      </c>
      <c r="H298" s="26">
        <f>IFERROR(__xludf.DUMMYFUNCTION("""COMPUTED_VALUE"""),0.0)</f>
        <v>0</v>
      </c>
      <c r="I298" s="26">
        <f>IFERROR(__xludf.DUMMYFUNCTION("""COMPUTED_VALUE"""),0.0)</f>
        <v>0</v>
      </c>
      <c r="J298" s="26">
        <f>IFERROR(__xludf.DUMMYFUNCTION("""COMPUTED_VALUE"""),0.0)</f>
        <v>0</v>
      </c>
      <c r="K298" s="26">
        <f>IFERROR(__xludf.DUMMYFUNCTION("""COMPUTED_VALUE"""),0.0)</f>
        <v>0</v>
      </c>
      <c r="L298" s="26">
        <f>IFERROR(__xludf.DUMMYFUNCTION("""COMPUTED_VALUE"""),0.0)</f>
        <v>0</v>
      </c>
      <c r="M298" s="26"/>
      <c r="N298" s="26"/>
      <c r="O298" s="26"/>
      <c r="P298" s="26"/>
      <c r="Q298" s="26"/>
      <c r="R298" s="26">
        <f>IFERROR(__xludf.DUMMYFUNCTION("""COMPUTED_VALUE"""),0.0)</f>
        <v>0</v>
      </c>
      <c r="S298" s="26">
        <f>IFERROR(__xludf.DUMMYFUNCTION("""COMPUTED_VALUE"""),0.0)</f>
        <v>0</v>
      </c>
      <c r="T298" s="26">
        <f>IFERROR(__xludf.DUMMYFUNCTION("""COMPUTED_VALUE"""),0.0)</f>
        <v>0</v>
      </c>
      <c r="U298" s="26">
        <f>IFERROR(__xludf.DUMMYFUNCTION("""COMPUTED_VALUE"""),0.0)</f>
        <v>0</v>
      </c>
      <c r="V298" s="26">
        <f>IFERROR(__xludf.DUMMYFUNCTION("""COMPUTED_VALUE"""),0.0)</f>
        <v>0</v>
      </c>
      <c r="W298" s="26">
        <f>IFERROR(__xludf.DUMMYFUNCTION("""COMPUTED_VALUE"""),0.0)</f>
        <v>0</v>
      </c>
      <c r="X298" s="26">
        <f>IFERROR(__xludf.DUMMYFUNCTION("""COMPUTED_VALUE"""),0.0)</f>
        <v>0</v>
      </c>
      <c r="Y298" s="26">
        <f>IFERROR(__xludf.DUMMYFUNCTION("""COMPUTED_VALUE"""),0.0)</f>
        <v>0</v>
      </c>
      <c r="Z298" s="26">
        <f>IFERROR(__xludf.DUMMYFUNCTION("""COMPUTED_VALUE"""),0.0)</f>
        <v>0</v>
      </c>
      <c r="AA298" s="26">
        <f>IFERROR(__xludf.DUMMYFUNCTION("""COMPUTED_VALUE"""),0.0)</f>
        <v>0</v>
      </c>
      <c r="AB298" s="26">
        <f>IFERROR(__xludf.DUMMYFUNCTION("""COMPUTED_VALUE"""),0.0)</f>
        <v>0</v>
      </c>
      <c r="AC298" s="26">
        <f>IFERROR(__xludf.DUMMYFUNCTION("""COMPUTED_VALUE"""),0.0)</f>
        <v>0</v>
      </c>
      <c r="AD298" s="26">
        <f>IFERROR(__xludf.DUMMYFUNCTION("""COMPUTED_VALUE"""),0.0)</f>
        <v>0</v>
      </c>
      <c r="AE298" s="26">
        <f>IFERROR(__xludf.DUMMYFUNCTION("""COMPUTED_VALUE"""),0.0)</f>
        <v>0</v>
      </c>
    </row>
    <row r="299">
      <c r="A299" s="26">
        <f>IFERROR(__xludf.DUMMYFUNCTION("""COMPUTED_VALUE"""),0.0)</f>
        <v>0</v>
      </c>
      <c r="B299" s="26">
        <f>IFERROR(__xludf.DUMMYFUNCTION("""COMPUTED_VALUE"""),0.0)</f>
        <v>0</v>
      </c>
      <c r="C299" s="26">
        <f>IFERROR(__xludf.DUMMYFUNCTION("""COMPUTED_VALUE"""),0.0)</f>
        <v>0</v>
      </c>
      <c r="D299" s="26">
        <f>IFERROR(__xludf.DUMMYFUNCTION("""COMPUTED_VALUE"""),0.0)</f>
        <v>0</v>
      </c>
      <c r="E299" s="26">
        <f>IFERROR(__xludf.DUMMYFUNCTION("""COMPUTED_VALUE"""),0.0)</f>
        <v>0</v>
      </c>
      <c r="F299" s="26">
        <f>IFERROR(__xludf.DUMMYFUNCTION("""COMPUTED_VALUE"""),0.0)</f>
        <v>0</v>
      </c>
      <c r="G299" s="26">
        <f>IFERROR(__xludf.DUMMYFUNCTION("""COMPUTED_VALUE"""),0.0)</f>
        <v>0</v>
      </c>
      <c r="H299" s="26">
        <f>IFERROR(__xludf.DUMMYFUNCTION("""COMPUTED_VALUE"""),0.0)</f>
        <v>0</v>
      </c>
      <c r="I299" s="26">
        <f>IFERROR(__xludf.DUMMYFUNCTION("""COMPUTED_VALUE"""),0.0)</f>
        <v>0</v>
      </c>
      <c r="J299" s="26">
        <f>IFERROR(__xludf.DUMMYFUNCTION("""COMPUTED_VALUE"""),0.0)</f>
        <v>0</v>
      </c>
      <c r="K299" s="26">
        <f>IFERROR(__xludf.DUMMYFUNCTION("""COMPUTED_VALUE"""),0.0)</f>
        <v>0</v>
      </c>
      <c r="L299" s="26">
        <f>IFERROR(__xludf.DUMMYFUNCTION("""COMPUTED_VALUE"""),0.0)</f>
        <v>0</v>
      </c>
      <c r="M299" s="26"/>
      <c r="N299" s="26"/>
      <c r="O299" s="26"/>
      <c r="P299" s="26"/>
      <c r="Q299" s="26"/>
      <c r="R299" s="26">
        <f>IFERROR(__xludf.DUMMYFUNCTION("""COMPUTED_VALUE"""),0.0)</f>
        <v>0</v>
      </c>
      <c r="S299" s="26">
        <f>IFERROR(__xludf.DUMMYFUNCTION("""COMPUTED_VALUE"""),0.0)</f>
        <v>0</v>
      </c>
      <c r="T299" s="26">
        <f>IFERROR(__xludf.DUMMYFUNCTION("""COMPUTED_VALUE"""),0.0)</f>
        <v>0</v>
      </c>
      <c r="U299" s="26">
        <f>IFERROR(__xludf.DUMMYFUNCTION("""COMPUTED_VALUE"""),0.0)</f>
        <v>0</v>
      </c>
      <c r="V299" s="26">
        <f>IFERROR(__xludf.DUMMYFUNCTION("""COMPUTED_VALUE"""),0.0)</f>
        <v>0</v>
      </c>
      <c r="W299" s="26">
        <f>IFERROR(__xludf.DUMMYFUNCTION("""COMPUTED_VALUE"""),0.0)</f>
        <v>0</v>
      </c>
      <c r="X299" s="26">
        <f>IFERROR(__xludf.DUMMYFUNCTION("""COMPUTED_VALUE"""),0.0)</f>
        <v>0</v>
      </c>
      <c r="Y299" s="26">
        <f>IFERROR(__xludf.DUMMYFUNCTION("""COMPUTED_VALUE"""),0.0)</f>
        <v>0</v>
      </c>
      <c r="Z299" s="26">
        <f>IFERROR(__xludf.DUMMYFUNCTION("""COMPUTED_VALUE"""),0.0)</f>
        <v>0</v>
      </c>
      <c r="AA299" s="26">
        <f>IFERROR(__xludf.DUMMYFUNCTION("""COMPUTED_VALUE"""),0.0)</f>
        <v>0</v>
      </c>
      <c r="AB299" s="26">
        <f>IFERROR(__xludf.DUMMYFUNCTION("""COMPUTED_VALUE"""),0.0)</f>
        <v>0</v>
      </c>
      <c r="AC299" s="26">
        <f>IFERROR(__xludf.DUMMYFUNCTION("""COMPUTED_VALUE"""),0.0)</f>
        <v>0</v>
      </c>
      <c r="AD299" s="26">
        <f>IFERROR(__xludf.DUMMYFUNCTION("""COMPUTED_VALUE"""),0.0)</f>
        <v>0</v>
      </c>
      <c r="AE299" s="26">
        <f>IFERROR(__xludf.DUMMYFUNCTION("""COMPUTED_VALUE"""),0.0)</f>
        <v>0</v>
      </c>
    </row>
    <row r="300">
      <c r="A300" s="26">
        <f>IFERROR(__xludf.DUMMYFUNCTION("""COMPUTED_VALUE"""),0.0)</f>
        <v>0</v>
      </c>
      <c r="B300" s="26">
        <f>IFERROR(__xludf.DUMMYFUNCTION("""COMPUTED_VALUE"""),0.0)</f>
        <v>0</v>
      </c>
      <c r="C300" s="26">
        <f>IFERROR(__xludf.DUMMYFUNCTION("""COMPUTED_VALUE"""),0.0)</f>
        <v>0</v>
      </c>
      <c r="D300" s="26">
        <f>IFERROR(__xludf.DUMMYFUNCTION("""COMPUTED_VALUE"""),0.0)</f>
        <v>0</v>
      </c>
      <c r="E300" s="26">
        <f>IFERROR(__xludf.DUMMYFUNCTION("""COMPUTED_VALUE"""),32.0)</f>
        <v>32</v>
      </c>
      <c r="F300" s="26">
        <f>IFERROR(__xludf.DUMMYFUNCTION("""COMPUTED_VALUE"""),0.0)</f>
        <v>0</v>
      </c>
      <c r="G300" s="26">
        <f>IFERROR(__xludf.DUMMYFUNCTION("""COMPUTED_VALUE"""),0.0)</f>
        <v>0</v>
      </c>
      <c r="H300" s="26">
        <f>IFERROR(__xludf.DUMMYFUNCTION("""COMPUTED_VALUE"""),0.0)</f>
        <v>0</v>
      </c>
      <c r="I300" s="26">
        <f>IFERROR(__xludf.DUMMYFUNCTION("""COMPUTED_VALUE"""),0.0)</f>
        <v>0</v>
      </c>
      <c r="J300" s="26">
        <f>IFERROR(__xludf.DUMMYFUNCTION("""COMPUTED_VALUE"""),0.0)</f>
        <v>0</v>
      </c>
      <c r="K300" s="26">
        <f>IFERROR(__xludf.DUMMYFUNCTION("""COMPUTED_VALUE"""),0.0)</f>
        <v>0</v>
      </c>
      <c r="L300" s="26">
        <f>IFERROR(__xludf.DUMMYFUNCTION("""COMPUTED_VALUE"""),0.0)</f>
        <v>0</v>
      </c>
      <c r="M300" s="26"/>
      <c r="N300" s="26"/>
      <c r="O300" s="26"/>
      <c r="P300" s="26"/>
      <c r="Q300" s="26"/>
      <c r="R300" s="26">
        <f>IFERROR(__xludf.DUMMYFUNCTION("""COMPUTED_VALUE"""),32.0)</f>
        <v>32</v>
      </c>
      <c r="S300" s="26">
        <f>IFERROR(__xludf.DUMMYFUNCTION("""COMPUTED_VALUE"""),59200.0)</f>
        <v>59200</v>
      </c>
      <c r="T300" s="26">
        <f>IFERROR(__xludf.DUMMYFUNCTION("""COMPUTED_VALUE"""),5440.0)</f>
        <v>5440</v>
      </c>
      <c r="U300" s="26">
        <f>IFERROR(__xludf.DUMMYFUNCTION("""COMPUTED_VALUE"""),14470.399999999998)</f>
        <v>14470.4</v>
      </c>
      <c r="V300" s="26">
        <f>IFERROR(__xludf.DUMMYFUNCTION("""COMPUTED_VALUE"""),0.0)</f>
        <v>0</v>
      </c>
      <c r="W300" s="26">
        <f>IFERROR(__xludf.DUMMYFUNCTION("""COMPUTED_VALUE"""),0.0)</f>
        <v>0</v>
      </c>
      <c r="X300" s="26">
        <f>IFERROR(__xludf.DUMMYFUNCTION("""COMPUTED_VALUE"""),9030.399999999998)</f>
        <v>9030.4</v>
      </c>
      <c r="Y300" s="26">
        <f>IFERROR(__xludf.DUMMYFUNCTION("""COMPUTED_VALUE"""),9030.399999999998)</f>
        <v>9030.4</v>
      </c>
      <c r="Z300" s="26">
        <f>IFERROR(__xludf.DUMMYFUNCTION("""COMPUTED_VALUE"""),0.0)</f>
        <v>0</v>
      </c>
      <c r="AA300" s="26">
        <f>IFERROR(__xludf.DUMMYFUNCTION("""COMPUTED_VALUE"""),0.0)</f>
        <v>0</v>
      </c>
      <c r="AB300" s="26">
        <f>IFERROR(__xludf.DUMMYFUNCTION("""COMPUTED_VALUE"""),0.0)</f>
        <v>0</v>
      </c>
      <c r="AC300" s="26">
        <f>IFERROR(__xludf.DUMMYFUNCTION("""COMPUTED_VALUE"""),0.0)</f>
        <v>0</v>
      </c>
      <c r="AD300" s="26">
        <f>IFERROR(__xludf.DUMMYFUNCTION("""COMPUTED_VALUE"""),0.0)</f>
        <v>0</v>
      </c>
      <c r="AE300" s="26">
        <f>IFERROR(__xludf.DUMMYFUNCTION("""COMPUTED_VALUE"""),0.0)</f>
        <v>0</v>
      </c>
    </row>
    <row r="301">
      <c r="A301" s="26">
        <f>IFERROR(__xludf.DUMMYFUNCTION("""COMPUTED_VALUE"""),0.0)</f>
        <v>0</v>
      </c>
      <c r="B301" s="26">
        <f>IFERROR(__xludf.DUMMYFUNCTION("""COMPUTED_VALUE"""),0.0)</f>
        <v>0</v>
      </c>
      <c r="C301" s="26">
        <f>IFERROR(__xludf.DUMMYFUNCTION("""COMPUTED_VALUE"""),0.0)</f>
        <v>0</v>
      </c>
      <c r="D301" s="26">
        <f>IFERROR(__xludf.DUMMYFUNCTION("""COMPUTED_VALUE"""),0.0)</f>
        <v>0</v>
      </c>
      <c r="E301" s="26">
        <f>IFERROR(__xludf.DUMMYFUNCTION("""COMPUTED_VALUE"""),0.0)</f>
        <v>0</v>
      </c>
      <c r="F301" s="26">
        <f>IFERROR(__xludf.DUMMYFUNCTION("""COMPUTED_VALUE"""),0.0)</f>
        <v>0</v>
      </c>
      <c r="G301" s="26">
        <f>IFERROR(__xludf.DUMMYFUNCTION("""COMPUTED_VALUE"""),0.0)</f>
        <v>0</v>
      </c>
      <c r="H301" s="26">
        <f>IFERROR(__xludf.DUMMYFUNCTION("""COMPUTED_VALUE"""),0.0)</f>
        <v>0</v>
      </c>
      <c r="I301" s="26">
        <f>IFERROR(__xludf.DUMMYFUNCTION("""COMPUTED_VALUE"""),0.0)</f>
        <v>0</v>
      </c>
      <c r="J301" s="26">
        <f>IFERROR(__xludf.DUMMYFUNCTION("""COMPUTED_VALUE"""),0.0)</f>
        <v>0</v>
      </c>
      <c r="K301" s="26">
        <f>IFERROR(__xludf.DUMMYFUNCTION("""COMPUTED_VALUE"""),0.0)</f>
        <v>0</v>
      </c>
      <c r="L301" s="26">
        <f>IFERROR(__xludf.DUMMYFUNCTION("""COMPUTED_VALUE"""),0.0)</f>
        <v>0</v>
      </c>
      <c r="M301" s="26"/>
      <c r="N301" s="26"/>
      <c r="O301" s="26"/>
      <c r="P301" s="26"/>
      <c r="Q301" s="26"/>
      <c r="R301" s="26">
        <f>IFERROR(__xludf.DUMMYFUNCTION("""COMPUTED_VALUE"""),0.0)</f>
        <v>0</v>
      </c>
      <c r="S301" s="26">
        <f>IFERROR(__xludf.DUMMYFUNCTION("""COMPUTED_VALUE"""),0.0)</f>
        <v>0</v>
      </c>
      <c r="T301" s="26">
        <f>IFERROR(__xludf.DUMMYFUNCTION("""COMPUTED_VALUE"""),0.0)</f>
        <v>0</v>
      </c>
      <c r="U301" s="26">
        <f>IFERROR(__xludf.DUMMYFUNCTION("""COMPUTED_VALUE"""),0.0)</f>
        <v>0</v>
      </c>
      <c r="V301" s="26">
        <f>IFERROR(__xludf.DUMMYFUNCTION("""COMPUTED_VALUE"""),0.0)</f>
        <v>0</v>
      </c>
      <c r="W301" s="26">
        <f>IFERROR(__xludf.DUMMYFUNCTION("""COMPUTED_VALUE"""),0.0)</f>
        <v>0</v>
      </c>
      <c r="X301" s="26">
        <f>IFERROR(__xludf.DUMMYFUNCTION("""COMPUTED_VALUE"""),0.0)</f>
        <v>0</v>
      </c>
      <c r="Y301" s="26">
        <f>IFERROR(__xludf.DUMMYFUNCTION("""COMPUTED_VALUE"""),0.0)</f>
        <v>0</v>
      </c>
      <c r="Z301" s="26">
        <f>IFERROR(__xludf.DUMMYFUNCTION("""COMPUTED_VALUE"""),0.0)</f>
        <v>0</v>
      </c>
      <c r="AA301" s="26">
        <f>IFERROR(__xludf.DUMMYFUNCTION("""COMPUTED_VALUE"""),0.0)</f>
        <v>0</v>
      </c>
      <c r="AB301" s="26">
        <f>IFERROR(__xludf.DUMMYFUNCTION("""COMPUTED_VALUE"""),0.0)</f>
        <v>0</v>
      </c>
      <c r="AC301" s="26">
        <f>IFERROR(__xludf.DUMMYFUNCTION("""COMPUTED_VALUE"""),0.0)</f>
        <v>0</v>
      </c>
      <c r="AD301" s="26">
        <f>IFERROR(__xludf.DUMMYFUNCTION("""COMPUTED_VALUE"""),0.0)</f>
        <v>0</v>
      </c>
      <c r="AE301" s="26">
        <f>IFERROR(__xludf.DUMMYFUNCTION("""COMPUTED_VALUE"""),0.0)</f>
        <v>0</v>
      </c>
    </row>
    <row r="302">
      <c r="A302" s="26">
        <f>IFERROR(__xludf.DUMMYFUNCTION("""COMPUTED_VALUE"""),0.0)</f>
        <v>0</v>
      </c>
      <c r="B302" s="26">
        <f>IFERROR(__xludf.DUMMYFUNCTION("""COMPUTED_VALUE"""),0.0)</f>
        <v>0</v>
      </c>
      <c r="C302" s="26">
        <f>IFERROR(__xludf.DUMMYFUNCTION("""COMPUTED_VALUE"""),0.0)</f>
        <v>0</v>
      </c>
      <c r="D302" s="26">
        <f>IFERROR(__xludf.DUMMYFUNCTION("""COMPUTED_VALUE"""),0.0)</f>
        <v>0</v>
      </c>
      <c r="E302" s="26">
        <f>IFERROR(__xludf.DUMMYFUNCTION("""COMPUTED_VALUE"""),0.0)</f>
        <v>0</v>
      </c>
      <c r="F302" s="26">
        <f>IFERROR(__xludf.DUMMYFUNCTION("""COMPUTED_VALUE"""),0.0)</f>
        <v>0</v>
      </c>
      <c r="G302" s="26">
        <f>IFERROR(__xludf.DUMMYFUNCTION("""COMPUTED_VALUE"""),0.0)</f>
        <v>0</v>
      </c>
      <c r="H302" s="26">
        <f>IFERROR(__xludf.DUMMYFUNCTION("""COMPUTED_VALUE"""),0.0)</f>
        <v>0</v>
      </c>
      <c r="I302" s="26">
        <f>IFERROR(__xludf.DUMMYFUNCTION("""COMPUTED_VALUE"""),0.0)</f>
        <v>0</v>
      </c>
      <c r="J302" s="26">
        <f>IFERROR(__xludf.DUMMYFUNCTION("""COMPUTED_VALUE"""),0.0)</f>
        <v>0</v>
      </c>
      <c r="K302" s="26">
        <f>IFERROR(__xludf.DUMMYFUNCTION("""COMPUTED_VALUE"""),0.0)</f>
        <v>0</v>
      </c>
      <c r="L302" s="26">
        <f>IFERROR(__xludf.DUMMYFUNCTION("""COMPUTED_VALUE"""),0.0)</f>
        <v>0</v>
      </c>
      <c r="M302" s="26"/>
      <c r="N302" s="26"/>
      <c r="O302" s="26"/>
      <c r="P302" s="26"/>
      <c r="Q302" s="26"/>
      <c r="R302" s="26">
        <f>IFERROR(__xludf.DUMMYFUNCTION("""COMPUTED_VALUE"""),0.0)</f>
        <v>0</v>
      </c>
      <c r="S302" s="26">
        <f>IFERROR(__xludf.DUMMYFUNCTION("""COMPUTED_VALUE"""),0.0)</f>
        <v>0</v>
      </c>
      <c r="T302" s="26">
        <f>IFERROR(__xludf.DUMMYFUNCTION("""COMPUTED_VALUE"""),0.0)</f>
        <v>0</v>
      </c>
      <c r="U302" s="26">
        <f>IFERROR(__xludf.DUMMYFUNCTION("""COMPUTED_VALUE"""),0.0)</f>
        <v>0</v>
      </c>
      <c r="V302" s="26">
        <f>IFERROR(__xludf.DUMMYFUNCTION("""COMPUTED_VALUE"""),0.0)</f>
        <v>0</v>
      </c>
      <c r="W302" s="26">
        <f>IFERROR(__xludf.DUMMYFUNCTION("""COMPUTED_VALUE"""),0.0)</f>
        <v>0</v>
      </c>
      <c r="X302" s="26">
        <f>IFERROR(__xludf.DUMMYFUNCTION("""COMPUTED_VALUE"""),0.0)</f>
        <v>0</v>
      </c>
      <c r="Y302" s="26">
        <f>IFERROR(__xludf.DUMMYFUNCTION("""COMPUTED_VALUE"""),0.0)</f>
        <v>0</v>
      </c>
      <c r="Z302" s="26">
        <f>IFERROR(__xludf.DUMMYFUNCTION("""COMPUTED_VALUE"""),0.0)</f>
        <v>0</v>
      </c>
      <c r="AA302" s="26">
        <f>IFERROR(__xludf.DUMMYFUNCTION("""COMPUTED_VALUE"""),0.0)</f>
        <v>0</v>
      </c>
      <c r="AB302" s="26">
        <f>IFERROR(__xludf.DUMMYFUNCTION("""COMPUTED_VALUE"""),0.0)</f>
        <v>0</v>
      </c>
      <c r="AC302" s="26">
        <f>IFERROR(__xludf.DUMMYFUNCTION("""COMPUTED_VALUE"""),0.0)</f>
        <v>0</v>
      </c>
      <c r="AD302" s="26">
        <f>IFERROR(__xludf.DUMMYFUNCTION("""COMPUTED_VALUE"""),0.0)</f>
        <v>0</v>
      </c>
      <c r="AE302" s="26">
        <f>IFERROR(__xludf.DUMMYFUNCTION("""COMPUTED_VALUE"""),0.0)</f>
        <v>0</v>
      </c>
    </row>
    <row r="303">
      <c r="A303" s="26">
        <f>IFERROR(__xludf.DUMMYFUNCTION("""COMPUTED_VALUE"""),0.0)</f>
        <v>0</v>
      </c>
      <c r="B303" s="26">
        <f>IFERROR(__xludf.DUMMYFUNCTION("""COMPUTED_VALUE"""),0.0)</f>
        <v>0</v>
      </c>
      <c r="C303" s="26">
        <f>IFERROR(__xludf.DUMMYFUNCTION("""COMPUTED_VALUE"""),0.0)</f>
        <v>0</v>
      </c>
      <c r="D303" s="26">
        <f>IFERROR(__xludf.DUMMYFUNCTION("""COMPUTED_VALUE"""),0.0)</f>
        <v>0</v>
      </c>
      <c r="E303" s="26">
        <f>IFERROR(__xludf.DUMMYFUNCTION("""COMPUTED_VALUE"""),0.0)</f>
        <v>0</v>
      </c>
      <c r="F303" s="26">
        <f>IFERROR(__xludf.DUMMYFUNCTION("""COMPUTED_VALUE"""),0.0)</f>
        <v>0</v>
      </c>
      <c r="G303" s="26">
        <f>IFERROR(__xludf.DUMMYFUNCTION("""COMPUTED_VALUE"""),0.0)</f>
        <v>0</v>
      </c>
      <c r="H303" s="26">
        <f>IFERROR(__xludf.DUMMYFUNCTION("""COMPUTED_VALUE"""),0.0)</f>
        <v>0</v>
      </c>
      <c r="I303" s="26">
        <f>IFERROR(__xludf.DUMMYFUNCTION("""COMPUTED_VALUE"""),0.0)</f>
        <v>0</v>
      </c>
      <c r="J303" s="26">
        <f>IFERROR(__xludf.DUMMYFUNCTION("""COMPUTED_VALUE"""),0.0)</f>
        <v>0</v>
      </c>
      <c r="K303" s="26">
        <f>IFERROR(__xludf.DUMMYFUNCTION("""COMPUTED_VALUE"""),0.0)</f>
        <v>0</v>
      </c>
      <c r="L303" s="26">
        <f>IFERROR(__xludf.DUMMYFUNCTION("""COMPUTED_VALUE"""),0.0)</f>
        <v>0</v>
      </c>
      <c r="M303" s="26"/>
      <c r="N303" s="26"/>
      <c r="O303" s="26"/>
      <c r="P303" s="26"/>
      <c r="Q303" s="26"/>
      <c r="R303" s="26">
        <f>IFERROR(__xludf.DUMMYFUNCTION("""COMPUTED_VALUE"""),0.0)</f>
        <v>0</v>
      </c>
      <c r="S303" s="26">
        <f>IFERROR(__xludf.DUMMYFUNCTION("""COMPUTED_VALUE"""),0.0)</f>
        <v>0</v>
      </c>
      <c r="T303" s="26">
        <f>IFERROR(__xludf.DUMMYFUNCTION("""COMPUTED_VALUE"""),0.0)</f>
        <v>0</v>
      </c>
      <c r="U303" s="26">
        <f>IFERROR(__xludf.DUMMYFUNCTION("""COMPUTED_VALUE"""),0.0)</f>
        <v>0</v>
      </c>
      <c r="V303" s="26">
        <f>IFERROR(__xludf.DUMMYFUNCTION("""COMPUTED_VALUE"""),0.0)</f>
        <v>0</v>
      </c>
      <c r="W303" s="26">
        <f>IFERROR(__xludf.DUMMYFUNCTION("""COMPUTED_VALUE"""),0.0)</f>
        <v>0</v>
      </c>
      <c r="X303" s="26">
        <f>IFERROR(__xludf.DUMMYFUNCTION("""COMPUTED_VALUE"""),0.0)</f>
        <v>0</v>
      </c>
      <c r="Y303" s="26">
        <f>IFERROR(__xludf.DUMMYFUNCTION("""COMPUTED_VALUE"""),0.0)</f>
        <v>0</v>
      </c>
      <c r="Z303" s="26">
        <f>IFERROR(__xludf.DUMMYFUNCTION("""COMPUTED_VALUE"""),0.0)</f>
        <v>0</v>
      </c>
      <c r="AA303" s="26">
        <f>IFERROR(__xludf.DUMMYFUNCTION("""COMPUTED_VALUE"""),0.0)</f>
        <v>0</v>
      </c>
      <c r="AB303" s="26">
        <f>IFERROR(__xludf.DUMMYFUNCTION("""COMPUTED_VALUE"""),0.0)</f>
        <v>0</v>
      </c>
      <c r="AC303" s="26">
        <f>IFERROR(__xludf.DUMMYFUNCTION("""COMPUTED_VALUE"""),0.0)</f>
        <v>0</v>
      </c>
      <c r="AD303" s="26">
        <f>IFERROR(__xludf.DUMMYFUNCTION("""COMPUTED_VALUE"""),0.0)</f>
        <v>0</v>
      </c>
      <c r="AE303" s="26">
        <f>IFERROR(__xludf.DUMMYFUNCTION("""COMPUTED_VALUE"""),0.0)</f>
        <v>0</v>
      </c>
    </row>
    <row r="304">
      <c r="A304" s="26">
        <f>IFERROR(__xludf.DUMMYFUNCTION("""COMPUTED_VALUE"""),0.0)</f>
        <v>0</v>
      </c>
      <c r="B304" s="26">
        <f>IFERROR(__xludf.DUMMYFUNCTION("""COMPUTED_VALUE"""),0.0)</f>
        <v>0</v>
      </c>
      <c r="C304" s="26">
        <f>IFERROR(__xludf.DUMMYFUNCTION("""COMPUTED_VALUE"""),0.0)</f>
        <v>0</v>
      </c>
      <c r="D304" s="26">
        <f>IFERROR(__xludf.DUMMYFUNCTION("""COMPUTED_VALUE"""),0.0)</f>
        <v>0</v>
      </c>
      <c r="E304" s="26">
        <f>IFERROR(__xludf.DUMMYFUNCTION("""COMPUTED_VALUE"""),35.0)</f>
        <v>35</v>
      </c>
      <c r="F304" s="26">
        <f>IFERROR(__xludf.DUMMYFUNCTION("""COMPUTED_VALUE"""),0.0)</f>
        <v>0</v>
      </c>
      <c r="G304" s="26">
        <f>IFERROR(__xludf.DUMMYFUNCTION("""COMPUTED_VALUE"""),0.0)</f>
        <v>0</v>
      </c>
      <c r="H304" s="26">
        <f>IFERROR(__xludf.DUMMYFUNCTION("""COMPUTED_VALUE"""),0.0)</f>
        <v>0</v>
      </c>
      <c r="I304" s="26">
        <f>IFERROR(__xludf.DUMMYFUNCTION("""COMPUTED_VALUE"""),0.0)</f>
        <v>0</v>
      </c>
      <c r="J304" s="26">
        <f>IFERROR(__xludf.DUMMYFUNCTION("""COMPUTED_VALUE"""),0.0)</f>
        <v>0</v>
      </c>
      <c r="K304" s="26">
        <f>IFERROR(__xludf.DUMMYFUNCTION("""COMPUTED_VALUE"""),0.0)</f>
        <v>0</v>
      </c>
      <c r="L304" s="26">
        <f>IFERROR(__xludf.DUMMYFUNCTION("""COMPUTED_VALUE"""),0.0)</f>
        <v>0</v>
      </c>
      <c r="M304" s="26"/>
      <c r="N304" s="26"/>
      <c r="O304" s="26"/>
      <c r="P304" s="26"/>
      <c r="Q304" s="26"/>
      <c r="R304" s="26">
        <f>IFERROR(__xludf.DUMMYFUNCTION("""COMPUTED_VALUE"""),35.0)</f>
        <v>35</v>
      </c>
      <c r="S304" s="26">
        <f>IFERROR(__xludf.DUMMYFUNCTION("""COMPUTED_VALUE"""),6401.499999999997)</f>
        <v>6401.5</v>
      </c>
      <c r="T304" s="26">
        <f>IFERROR(__xludf.DUMMYFUNCTION("""COMPUTED_VALUE"""),5425.0)</f>
        <v>5425</v>
      </c>
      <c r="U304" s="26">
        <f>IFERROR(__xludf.DUMMYFUNCTION("""COMPUTED_VALUE"""),6401.499999999999)</f>
        <v>6401.5</v>
      </c>
      <c r="V304" s="26">
        <f>IFERROR(__xludf.DUMMYFUNCTION("""COMPUTED_VALUE"""),0.0)</f>
        <v>0</v>
      </c>
      <c r="W304" s="26">
        <f>IFERROR(__xludf.DUMMYFUNCTION("""COMPUTED_VALUE"""),0.0)</f>
        <v>0</v>
      </c>
      <c r="X304" s="26">
        <f>IFERROR(__xludf.DUMMYFUNCTION("""COMPUTED_VALUE"""),976.4999999999994)</f>
        <v>976.5</v>
      </c>
      <c r="Y304" s="26">
        <f>IFERROR(__xludf.DUMMYFUNCTION("""COMPUTED_VALUE"""),976.4999999999994)</f>
        <v>976.5</v>
      </c>
      <c r="Z304" s="26">
        <f>IFERROR(__xludf.DUMMYFUNCTION("""COMPUTED_VALUE"""),0.0)</f>
        <v>0</v>
      </c>
      <c r="AA304" s="26">
        <f>IFERROR(__xludf.DUMMYFUNCTION("""COMPUTED_VALUE"""),0.0)</f>
        <v>0</v>
      </c>
      <c r="AB304" s="26">
        <f>IFERROR(__xludf.DUMMYFUNCTION("""COMPUTED_VALUE"""),0.0)</f>
        <v>0</v>
      </c>
      <c r="AC304" s="26">
        <f>IFERROR(__xludf.DUMMYFUNCTION("""COMPUTED_VALUE"""),0.0)</f>
        <v>0</v>
      </c>
      <c r="AD304" s="26">
        <f>IFERROR(__xludf.DUMMYFUNCTION("""COMPUTED_VALUE"""),0.0)</f>
        <v>0</v>
      </c>
      <c r="AE304" s="26">
        <f>IFERROR(__xludf.DUMMYFUNCTION("""COMPUTED_VALUE"""),0.0)</f>
        <v>0</v>
      </c>
    </row>
    <row r="305">
      <c r="A305" s="26">
        <f>IFERROR(__xludf.DUMMYFUNCTION("""COMPUTED_VALUE"""),9.0)</f>
        <v>9</v>
      </c>
      <c r="B305" s="26">
        <f>IFERROR(__xludf.DUMMYFUNCTION("""COMPUTED_VALUE"""),0.0)</f>
        <v>0</v>
      </c>
      <c r="C305" s="26">
        <f>IFERROR(__xludf.DUMMYFUNCTION("""COMPUTED_VALUE"""),0.0)</f>
        <v>0</v>
      </c>
      <c r="D305" s="26">
        <f>IFERROR(__xludf.DUMMYFUNCTION("""COMPUTED_VALUE"""),0.0)</f>
        <v>0</v>
      </c>
      <c r="E305" s="26">
        <f>IFERROR(__xludf.DUMMYFUNCTION("""COMPUTED_VALUE"""),0.0)</f>
        <v>0</v>
      </c>
      <c r="F305" s="26">
        <f>IFERROR(__xludf.DUMMYFUNCTION("""COMPUTED_VALUE"""),0.0)</f>
        <v>0</v>
      </c>
      <c r="G305" s="26">
        <f>IFERROR(__xludf.DUMMYFUNCTION("""COMPUTED_VALUE"""),0.0)</f>
        <v>0</v>
      </c>
      <c r="H305" s="26">
        <f>IFERROR(__xludf.DUMMYFUNCTION("""COMPUTED_VALUE"""),0.0)</f>
        <v>0</v>
      </c>
      <c r="I305" s="26">
        <f>IFERROR(__xludf.DUMMYFUNCTION("""COMPUTED_VALUE"""),0.0)</f>
        <v>0</v>
      </c>
      <c r="J305" s="26">
        <f>IFERROR(__xludf.DUMMYFUNCTION("""COMPUTED_VALUE"""),0.0)</f>
        <v>0</v>
      </c>
      <c r="K305" s="26">
        <f>IFERROR(__xludf.DUMMYFUNCTION("""COMPUTED_VALUE"""),0.0)</f>
        <v>0</v>
      </c>
      <c r="L305" s="26">
        <f>IFERROR(__xludf.DUMMYFUNCTION("""COMPUTED_VALUE"""),0.0)</f>
        <v>0</v>
      </c>
      <c r="M305" s="26"/>
      <c r="N305" s="26"/>
      <c r="O305" s="26"/>
      <c r="P305" s="26"/>
      <c r="Q305" s="26"/>
      <c r="R305" s="26">
        <f>IFERROR(__xludf.DUMMYFUNCTION("""COMPUTED_VALUE"""),9.0)</f>
        <v>9</v>
      </c>
      <c r="S305" s="26">
        <f>IFERROR(__xludf.DUMMYFUNCTION("""COMPUTED_VALUE"""),3978.0)</f>
        <v>3978</v>
      </c>
      <c r="T305" s="26">
        <f>IFERROR(__xludf.DUMMYFUNCTION("""COMPUTED_VALUE"""),1935.0)</f>
        <v>1935</v>
      </c>
      <c r="U305" s="26">
        <f>IFERROR(__xludf.DUMMYFUNCTION("""COMPUTED_VALUE"""),2541.7799999999997)</f>
        <v>2541.78</v>
      </c>
      <c r="V305" s="26">
        <f>IFERROR(__xludf.DUMMYFUNCTION("""COMPUTED_VALUE"""),0.0)</f>
        <v>0</v>
      </c>
      <c r="W305" s="26">
        <f>IFERROR(__xludf.DUMMYFUNCTION("""COMPUTED_VALUE"""),0.0)</f>
        <v>0</v>
      </c>
      <c r="X305" s="26">
        <f>IFERROR(__xludf.DUMMYFUNCTION("""COMPUTED_VALUE"""),606.78)</f>
        <v>606.78</v>
      </c>
      <c r="Y305" s="26">
        <f>IFERROR(__xludf.DUMMYFUNCTION("""COMPUTED_VALUE"""),606.78)</f>
        <v>606.78</v>
      </c>
      <c r="Z305" s="26">
        <f>IFERROR(__xludf.DUMMYFUNCTION("""COMPUTED_VALUE"""),3978.0)</f>
        <v>3978</v>
      </c>
      <c r="AA305" s="26">
        <f>IFERROR(__xludf.DUMMYFUNCTION("""COMPUTED_VALUE"""),2613.6000000000004)</f>
        <v>2613.6</v>
      </c>
      <c r="AB305" s="26">
        <f>IFERROR(__xludf.DUMMYFUNCTION("""COMPUTED_VALUE"""),1755.3799999999999)</f>
        <v>1755.38</v>
      </c>
      <c r="AC305" s="26">
        <f>IFERROR(__xludf.DUMMYFUNCTION("""COMPUTED_VALUE"""),0.0)</f>
        <v>0</v>
      </c>
      <c r="AD305" s="26">
        <f>IFERROR(__xludf.DUMMYFUNCTION("""COMPUTED_VALUE"""),87.78000000000003)</f>
        <v>87.78</v>
      </c>
      <c r="AE305" s="26">
        <f>IFERROR(__xludf.DUMMYFUNCTION("""COMPUTED_VALUE"""),1667.5999999999997)</f>
        <v>1667.6</v>
      </c>
    </row>
    <row r="306">
      <c r="A306" s="26">
        <f>IFERROR(__xludf.DUMMYFUNCTION("""COMPUTED_VALUE"""),0.0)</f>
        <v>0</v>
      </c>
      <c r="B306" s="26">
        <f>IFERROR(__xludf.DUMMYFUNCTION("""COMPUTED_VALUE"""),0.0)</f>
        <v>0</v>
      </c>
      <c r="C306" s="26">
        <f>IFERROR(__xludf.DUMMYFUNCTION("""COMPUTED_VALUE"""),0.0)</f>
        <v>0</v>
      </c>
      <c r="D306" s="26">
        <f>IFERROR(__xludf.DUMMYFUNCTION("""COMPUTED_VALUE"""),0.0)</f>
        <v>0</v>
      </c>
      <c r="E306" s="26">
        <f>IFERROR(__xludf.DUMMYFUNCTION("""COMPUTED_VALUE"""),0.0)</f>
        <v>0</v>
      </c>
      <c r="F306" s="26">
        <f>IFERROR(__xludf.DUMMYFUNCTION("""COMPUTED_VALUE"""),0.0)</f>
        <v>0</v>
      </c>
      <c r="G306" s="26">
        <f>IFERROR(__xludf.DUMMYFUNCTION("""COMPUTED_VALUE"""),0.0)</f>
        <v>0</v>
      </c>
      <c r="H306" s="26">
        <f>IFERROR(__xludf.DUMMYFUNCTION("""COMPUTED_VALUE"""),0.0)</f>
        <v>0</v>
      </c>
      <c r="I306" s="26">
        <f>IFERROR(__xludf.DUMMYFUNCTION("""COMPUTED_VALUE"""),0.0)</f>
        <v>0</v>
      </c>
      <c r="J306" s="26">
        <f>IFERROR(__xludf.DUMMYFUNCTION("""COMPUTED_VALUE"""),0.0)</f>
        <v>0</v>
      </c>
      <c r="K306" s="26">
        <f>IFERROR(__xludf.DUMMYFUNCTION("""COMPUTED_VALUE"""),0.0)</f>
        <v>0</v>
      </c>
      <c r="L306" s="26">
        <f>IFERROR(__xludf.DUMMYFUNCTION("""COMPUTED_VALUE"""),0.0)</f>
        <v>0</v>
      </c>
      <c r="M306" s="26"/>
      <c r="N306" s="26"/>
      <c r="O306" s="26"/>
      <c r="P306" s="26"/>
      <c r="Q306" s="26"/>
      <c r="R306" s="26">
        <f>IFERROR(__xludf.DUMMYFUNCTION("""COMPUTED_VALUE"""),0.0)</f>
        <v>0</v>
      </c>
      <c r="S306" s="26">
        <f>IFERROR(__xludf.DUMMYFUNCTION("""COMPUTED_VALUE"""),0.0)</f>
        <v>0</v>
      </c>
      <c r="T306" s="26">
        <f>IFERROR(__xludf.DUMMYFUNCTION("""COMPUTED_VALUE"""),0.0)</f>
        <v>0</v>
      </c>
      <c r="U306" s="26">
        <f>IFERROR(__xludf.DUMMYFUNCTION("""COMPUTED_VALUE"""),0.0)</f>
        <v>0</v>
      </c>
      <c r="V306" s="26">
        <f>IFERROR(__xludf.DUMMYFUNCTION("""COMPUTED_VALUE"""),0.0)</f>
        <v>0</v>
      </c>
      <c r="W306" s="26">
        <f>IFERROR(__xludf.DUMMYFUNCTION("""COMPUTED_VALUE"""),0.0)</f>
        <v>0</v>
      </c>
      <c r="X306" s="26">
        <f>IFERROR(__xludf.DUMMYFUNCTION("""COMPUTED_VALUE"""),0.0)</f>
        <v>0</v>
      </c>
      <c r="Y306" s="26">
        <f>IFERROR(__xludf.DUMMYFUNCTION("""COMPUTED_VALUE"""),0.0)</f>
        <v>0</v>
      </c>
      <c r="Z306" s="26">
        <f>IFERROR(__xludf.DUMMYFUNCTION("""COMPUTED_VALUE"""),0.0)</f>
        <v>0</v>
      </c>
      <c r="AA306" s="26">
        <f>IFERROR(__xludf.DUMMYFUNCTION("""COMPUTED_VALUE"""),0.0)</f>
        <v>0</v>
      </c>
      <c r="AB306" s="26">
        <f>IFERROR(__xludf.DUMMYFUNCTION("""COMPUTED_VALUE"""),0.0)</f>
        <v>0</v>
      </c>
      <c r="AC306" s="26">
        <f>IFERROR(__xludf.DUMMYFUNCTION("""COMPUTED_VALUE"""),0.0)</f>
        <v>0</v>
      </c>
      <c r="AD306" s="26">
        <f>IFERROR(__xludf.DUMMYFUNCTION("""COMPUTED_VALUE"""),0.0)</f>
        <v>0</v>
      </c>
      <c r="AE306" s="26">
        <f>IFERROR(__xludf.DUMMYFUNCTION("""COMPUTED_VALUE"""),0.0)</f>
        <v>0</v>
      </c>
    </row>
    <row r="307">
      <c r="A307" s="26">
        <f>IFERROR(__xludf.DUMMYFUNCTION("""COMPUTED_VALUE"""),2.0)</f>
        <v>2</v>
      </c>
      <c r="B307" s="26">
        <f>IFERROR(__xludf.DUMMYFUNCTION("""COMPUTED_VALUE"""),0.0)</f>
        <v>0</v>
      </c>
      <c r="C307" s="26">
        <f>IFERROR(__xludf.DUMMYFUNCTION("""COMPUTED_VALUE"""),0.0)</f>
        <v>0</v>
      </c>
      <c r="D307" s="26">
        <f>IFERROR(__xludf.DUMMYFUNCTION("""COMPUTED_VALUE"""),0.0)</f>
        <v>0</v>
      </c>
      <c r="E307" s="26">
        <f>IFERROR(__xludf.DUMMYFUNCTION("""COMPUTED_VALUE"""),0.0)</f>
        <v>0</v>
      </c>
      <c r="F307" s="26">
        <f>IFERROR(__xludf.DUMMYFUNCTION("""COMPUTED_VALUE"""),0.0)</f>
        <v>0</v>
      </c>
      <c r="G307" s="26">
        <f>IFERROR(__xludf.DUMMYFUNCTION("""COMPUTED_VALUE"""),0.0)</f>
        <v>0</v>
      </c>
      <c r="H307" s="26">
        <f>IFERROR(__xludf.DUMMYFUNCTION("""COMPUTED_VALUE"""),0.0)</f>
        <v>0</v>
      </c>
      <c r="I307" s="26">
        <f>IFERROR(__xludf.DUMMYFUNCTION("""COMPUTED_VALUE"""),0.0)</f>
        <v>0</v>
      </c>
      <c r="J307" s="26">
        <f>IFERROR(__xludf.DUMMYFUNCTION("""COMPUTED_VALUE"""),0.0)</f>
        <v>0</v>
      </c>
      <c r="K307" s="26">
        <f>IFERROR(__xludf.DUMMYFUNCTION("""COMPUTED_VALUE"""),0.0)</f>
        <v>0</v>
      </c>
      <c r="L307" s="26">
        <f>IFERROR(__xludf.DUMMYFUNCTION("""COMPUTED_VALUE"""),0.0)</f>
        <v>0</v>
      </c>
      <c r="M307" s="26"/>
      <c r="N307" s="26"/>
      <c r="O307" s="26"/>
      <c r="P307" s="26"/>
      <c r="Q307" s="26"/>
      <c r="R307" s="26">
        <f>IFERROR(__xludf.DUMMYFUNCTION("""COMPUTED_VALUE"""),2.0)</f>
        <v>2</v>
      </c>
      <c r="S307" s="26">
        <f>IFERROR(__xludf.DUMMYFUNCTION("""COMPUTED_VALUE"""),884.0)</f>
        <v>884</v>
      </c>
      <c r="T307" s="26">
        <f>IFERROR(__xludf.DUMMYFUNCTION("""COMPUTED_VALUE"""),350.0)</f>
        <v>350</v>
      </c>
      <c r="U307" s="26">
        <f>IFERROR(__xludf.DUMMYFUNCTION("""COMPUTED_VALUE"""),484.84000000000003)</f>
        <v>484.84</v>
      </c>
      <c r="V307" s="26">
        <f>IFERROR(__xludf.DUMMYFUNCTION("""COMPUTED_VALUE"""),0.0)</f>
        <v>0</v>
      </c>
      <c r="W307" s="26">
        <f>IFERROR(__xludf.DUMMYFUNCTION("""COMPUTED_VALUE"""),0.0)</f>
        <v>0</v>
      </c>
      <c r="X307" s="26">
        <f>IFERROR(__xludf.DUMMYFUNCTION("""COMPUTED_VALUE"""),134.84)</f>
        <v>134.84</v>
      </c>
      <c r="Y307" s="26">
        <f>IFERROR(__xludf.DUMMYFUNCTION("""COMPUTED_VALUE"""),134.84)</f>
        <v>134.84</v>
      </c>
      <c r="Z307" s="26">
        <f>IFERROR(__xludf.DUMMYFUNCTION("""COMPUTED_VALUE"""),884.0)</f>
        <v>884</v>
      </c>
      <c r="AA307" s="26">
        <f>IFERROR(__xludf.DUMMYFUNCTION("""COMPUTED_VALUE"""),504.8)</f>
        <v>504.8</v>
      </c>
      <c r="AB307" s="26">
        <f>IFERROR(__xludf.DUMMYFUNCTION("""COMPUTED_VALUE"""),399.16)</f>
        <v>399.16</v>
      </c>
      <c r="AC307" s="26">
        <f>IFERROR(__xludf.DUMMYFUNCTION("""COMPUTED_VALUE"""),0.0)</f>
        <v>0</v>
      </c>
      <c r="AD307" s="26">
        <f>IFERROR(__xludf.DUMMYFUNCTION("""COMPUTED_VALUE"""),19.96)</f>
        <v>19.96</v>
      </c>
      <c r="AE307" s="26">
        <f>IFERROR(__xludf.DUMMYFUNCTION("""COMPUTED_VALUE"""),379.2)</f>
        <v>379.2</v>
      </c>
    </row>
    <row r="308">
      <c r="A308" s="26">
        <f>IFERROR(__xludf.DUMMYFUNCTION("""COMPUTED_VALUE"""),2.0)</f>
        <v>2</v>
      </c>
      <c r="B308" s="26">
        <f>IFERROR(__xludf.DUMMYFUNCTION("""COMPUTED_VALUE"""),0.0)</f>
        <v>0</v>
      </c>
      <c r="C308" s="26">
        <f>IFERROR(__xludf.DUMMYFUNCTION("""COMPUTED_VALUE"""),0.0)</f>
        <v>0</v>
      </c>
      <c r="D308" s="26">
        <f>IFERROR(__xludf.DUMMYFUNCTION("""COMPUTED_VALUE"""),0.0)</f>
        <v>0</v>
      </c>
      <c r="E308" s="26">
        <f>IFERROR(__xludf.DUMMYFUNCTION("""COMPUTED_VALUE"""),0.0)</f>
        <v>0</v>
      </c>
      <c r="F308" s="26">
        <f>IFERROR(__xludf.DUMMYFUNCTION("""COMPUTED_VALUE"""),0.0)</f>
        <v>0</v>
      </c>
      <c r="G308" s="26">
        <f>IFERROR(__xludf.DUMMYFUNCTION("""COMPUTED_VALUE"""),0.0)</f>
        <v>0</v>
      </c>
      <c r="H308" s="26">
        <f>IFERROR(__xludf.DUMMYFUNCTION("""COMPUTED_VALUE"""),0.0)</f>
        <v>0</v>
      </c>
      <c r="I308" s="26">
        <f>IFERROR(__xludf.DUMMYFUNCTION("""COMPUTED_VALUE"""),0.0)</f>
        <v>0</v>
      </c>
      <c r="J308" s="26">
        <f>IFERROR(__xludf.DUMMYFUNCTION("""COMPUTED_VALUE"""),0.0)</f>
        <v>0</v>
      </c>
      <c r="K308" s="26">
        <f>IFERROR(__xludf.DUMMYFUNCTION("""COMPUTED_VALUE"""),0.0)</f>
        <v>0</v>
      </c>
      <c r="L308" s="26">
        <f>IFERROR(__xludf.DUMMYFUNCTION("""COMPUTED_VALUE"""),0.0)</f>
        <v>0</v>
      </c>
      <c r="M308" s="26"/>
      <c r="N308" s="26"/>
      <c r="O308" s="26"/>
      <c r="P308" s="26"/>
      <c r="Q308" s="26"/>
      <c r="R308" s="26">
        <f>IFERROR(__xludf.DUMMYFUNCTION("""COMPUTED_VALUE"""),2.0)</f>
        <v>2</v>
      </c>
      <c r="S308" s="26">
        <f>IFERROR(__xludf.DUMMYFUNCTION("""COMPUTED_VALUE"""),884.0)</f>
        <v>884</v>
      </c>
      <c r="T308" s="26">
        <f>IFERROR(__xludf.DUMMYFUNCTION("""COMPUTED_VALUE"""),430.0)</f>
        <v>430</v>
      </c>
      <c r="U308" s="26">
        <f>IFERROR(__xludf.DUMMYFUNCTION("""COMPUTED_VALUE"""),564.84)</f>
        <v>564.84</v>
      </c>
      <c r="V308" s="26">
        <f>IFERROR(__xludf.DUMMYFUNCTION("""COMPUTED_VALUE"""),0.0)</f>
        <v>0</v>
      </c>
      <c r="W308" s="26">
        <f>IFERROR(__xludf.DUMMYFUNCTION("""COMPUTED_VALUE"""),0.0)</f>
        <v>0</v>
      </c>
      <c r="X308" s="26">
        <f>IFERROR(__xludf.DUMMYFUNCTION("""COMPUTED_VALUE"""),134.84)</f>
        <v>134.84</v>
      </c>
      <c r="Y308" s="26">
        <f>IFERROR(__xludf.DUMMYFUNCTION("""COMPUTED_VALUE"""),134.84)</f>
        <v>134.84</v>
      </c>
      <c r="Z308" s="26">
        <f>IFERROR(__xludf.DUMMYFUNCTION("""COMPUTED_VALUE"""),884.0)</f>
        <v>884</v>
      </c>
      <c r="AA308" s="26">
        <f>IFERROR(__xludf.DUMMYFUNCTION("""COMPUTED_VALUE"""),580.8)</f>
        <v>580.8</v>
      </c>
      <c r="AB308" s="26">
        <f>IFERROR(__xludf.DUMMYFUNCTION("""COMPUTED_VALUE"""),0.0)</f>
        <v>0</v>
      </c>
      <c r="AC308" s="26">
        <f>IFERROR(__xludf.DUMMYFUNCTION("""COMPUTED_VALUE"""),0.0)</f>
        <v>0</v>
      </c>
      <c r="AD308" s="26">
        <f>IFERROR(__xludf.DUMMYFUNCTION("""COMPUTED_VALUE"""),0.0)</f>
        <v>0</v>
      </c>
      <c r="AE308" s="26">
        <f>IFERROR(__xludf.DUMMYFUNCTION("""COMPUTED_VALUE"""),0.0)</f>
        <v>0</v>
      </c>
    </row>
    <row r="309">
      <c r="A309" s="26">
        <f>IFERROR(__xludf.DUMMYFUNCTION("""COMPUTED_VALUE"""),0.0)</f>
        <v>0</v>
      </c>
      <c r="B309" s="26">
        <f>IFERROR(__xludf.DUMMYFUNCTION("""COMPUTED_VALUE"""),0.0)</f>
        <v>0</v>
      </c>
      <c r="C309" s="26">
        <f>IFERROR(__xludf.DUMMYFUNCTION("""COMPUTED_VALUE"""),0.0)</f>
        <v>0</v>
      </c>
      <c r="D309" s="26">
        <f>IFERROR(__xludf.DUMMYFUNCTION("""COMPUTED_VALUE"""),0.0)</f>
        <v>0</v>
      </c>
      <c r="E309" s="26">
        <f>IFERROR(__xludf.DUMMYFUNCTION("""COMPUTED_VALUE"""),0.0)</f>
        <v>0</v>
      </c>
      <c r="F309" s="26">
        <f>IFERROR(__xludf.DUMMYFUNCTION("""COMPUTED_VALUE"""),0.0)</f>
        <v>0</v>
      </c>
      <c r="G309" s="26">
        <f>IFERROR(__xludf.DUMMYFUNCTION("""COMPUTED_VALUE"""),0.0)</f>
        <v>0</v>
      </c>
      <c r="H309" s="26">
        <f>IFERROR(__xludf.DUMMYFUNCTION("""COMPUTED_VALUE"""),0.0)</f>
        <v>0</v>
      </c>
      <c r="I309" s="26">
        <f>IFERROR(__xludf.DUMMYFUNCTION("""COMPUTED_VALUE"""),0.0)</f>
        <v>0</v>
      </c>
      <c r="J309" s="26">
        <f>IFERROR(__xludf.DUMMYFUNCTION("""COMPUTED_VALUE"""),0.0)</f>
        <v>0</v>
      </c>
      <c r="K309" s="26">
        <f>IFERROR(__xludf.DUMMYFUNCTION("""COMPUTED_VALUE"""),0.0)</f>
        <v>0</v>
      </c>
      <c r="L309" s="26">
        <f>IFERROR(__xludf.DUMMYFUNCTION("""COMPUTED_VALUE"""),0.0)</f>
        <v>0</v>
      </c>
      <c r="M309" s="26"/>
      <c r="N309" s="26"/>
      <c r="O309" s="26"/>
      <c r="P309" s="26"/>
      <c r="Q309" s="26"/>
      <c r="R309" s="26">
        <f>IFERROR(__xludf.DUMMYFUNCTION("""COMPUTED_VALUE"""),0.0)</f>
        <v>0</v>
      </c>
      <c r="S309" s="26">
        <f>IFERROR(__xludf.DUMMYFUNCTION("""COMPUTED_VALUE"""),0.0)</f>
        <v>0</v>
      </c>
      <c r="T309" s="26">
        <f>IFERROR(__xludf.DUMMYFUNCTION("""COMPUTED_VALUE"""),0.0)</f>
        <v>0</v>
      </c>
      <c r="U309" s="26">
        <f>IFERROR(__xludf.DUMMYFUNCTION("""COMPUTED_VALUE"""),0.0)</f>
        <v>0</v>
      </c>
      <c r="V309" s="26">
        <f>IFERROR(__xludf.DUMMYFUNCTION("""COMPUTED_VALUE"""),0.0)</f>
        <v>0</v>
      </c>
      <c r="W309" s="26">
        <f>IFERROR(__xludf.DUMMYFUNCTION("""COMPUTED_VALUE"""),0.0)</f>
        <v>0</v>
      </c>
      <c r="X309" s="26">
        <f>IFERROR(__xludf.DUMMYFUNCTION("""COMPUTED_VALUE"""),0.0)</f>
        <v>0</v>
      </c>
      <c r="Y309" s="26">
        <f>IFERROR(__xludf.DUMMYFUNCTION("""COMPUTED_VALUE"""),0.0)</f>
        <v>0</v>
      </c>
      <c r="Z309" s="26">
        <f>IFERROR(__xludf.DUMMYFUNCTION("""COMPUTED_VALUE"""),0.0)</f>
        <v>0</v>
      </c>
      <c r="AA309" s="26">
        <f>IFERROR(__xludf.DUMMYFUNCTION("""COMPUTED_VALUE"""),0.0)</f>
        <v>0</v>
      </c>
      <c r="AB309" s="26">
        <f>IFERROR(__xludf.DUMMYFUNCTION("""COMPUTED_VALUE"""),0.0)</f>
        <v>0</v>
      </c>
      <c r="AC309" s="26">
        <f>IFERROR(__xludf.DUMMYFUNCTION("""COMPUTED_VALUE"""),0.0)</f>
        <v>0</v>
      </c>
      <c r="AD309" s="26">
        <f>IFERROR(__xludf.DUMMYFUNCTION("""COMPUTED_VALUE"""),0.0)</f>
        <v>0</v>
      </c>
      <c r="AE309" s="26">
        <f>IFERROR(__xludf.DUMMYFUNCTION("""COMPUTED_VALUE"""),0.0)</f>
        <v>0</v>
      </c>
    </row>
    <row r="310">
      <c r="A310" s="26">
        <f>IFERROR(__xludf.DUMMYFUNCTION("""COMPUTED_VALUE"""),0.0)</f>
        <v>0</v>
      </c>
      <c r="B310" s="26">
        <f>IFERROR(__xludf.DUMMYFUNCTION("""COMPUTED_VALUE"""),0.0)</f>
        <v>0</v>
      </c>
      <c r="C310" s="26">
        <f>IFERROR(__xludf.DUMMYFUNCTION("""COMPUTED_VALUE"""),0.0)</f>
        <v>0</v>
      </c>
      <c r="D310" s="26">
        <f>IFERROR(__xludf.DUMMYFUNCTION("""COMPUTED_VALUE"""),0.0)</f>
        <v>0</v>
      </c>
      <c r="E310" s="26">
        <f>IFERROR(__xludf.DUMMYFUNCTION("""COMPUTED_VALUE"""),0.0)</f>
        <v>0</v>
      </c>
      <c r="F310" s="26">
        <f>IFERROR(__xludf.DUMMYFUNCTION("""COMPUTED_VALUE"""),0.0)</f>
        <v>0</v>
      </c>
      <c r="G310" s="26">
        <f>IFERROR(__xludf.DUMMYFUNCTION("""COMPUTED_VALUE"""),0.0)</f>
        <v>0</v>
      </c>
      <c r="H310" s="26">
        <f>IFERROR(__xludf.DUMMYFUNCTION("""COMPUTED_VALUE"""),0.0)</f>
        <v>0</v>
      </c>
      <c r="I310" s="26">
        <f>IFERROR(__xludf.DUMMYFUNCTION("""COMPUTED_VALUE"""),0.0)</f>
        <v>0</v>
      </c>
      <c r="J310" s="26">
        <f>IFERROR(__xludf.DUMMYFUNCTION("""COMPUTED_VALUE"""),0.0)</f>
        <v>0</v>
      </c>
      <c r="K310" s="26">
        <f>IFERROR(__xludf.DUMMYFUNCTION("""COMPUTED_VALUE"""),0.0)</f>
        <v>0</v>
      </c>
      <c r="L310" s="26">
        <f>IFERROR(__xludf.DUMMYFUNCTION("""COMPUTED_VALUE"""),0.0)</f>
        <v>0</v>
      </c>
      <c r="M310" s="26"/>
      <c r="N310" s="26"/>
      <c r="O310" s="26"/>
      <c r="P310" s="26"/>
      <c r="Q310" s="26"/>
      <c r="R310" s="26">
        <f>IFERROR(__xludf.DUMMYFUNCTION("""COMPUTED_VALUE"""),0.0)</f>
        <v>0</v>
      </c>
      <c r="S310" s="26">
        <f>IFERROR(__xludf.DUMMYFUNCTION("""COMPUTED_VALUE"""),0.0)</f>
        <v>0</v>
      </c>
      <c r="T310" s="26">
        <f>IFERROR(__xludf.DUMMYFUNCTION("""COMPUTED_VALUE"""),0.0)</f>
        <v>0</v>
      </c>
      <c r="U310" s="26">
        <f>IFERROR(__xludf.DUMMYFUNCTION("""COMPUTED_VALUE"""),0.0)</f>
        <v>0</v>
      </c>
      <c r="V310" s="26">
        <f>IFERROR(__xludf.DUMMYFUNCTION("""COMPUTED_VALUE"""),0.0)</f>
        <v>0</v>
      </c>
      <c r="W310" s="26">
        <f>IFERROR(__xludf.DUMMYFUNCTION("""COMPUTED_VALUE"""),0.0)</f>
        <v>0</v>
      </c>
      <c r="X310" s="26">
        <f>IFERROR(__xludf.DUMMYFUNCTION("""COMPUTED_VALUE"""),0.0)</f>
        <v>0</v>
      </c>
      <c r="Y310" s="26">
        <f>IFERROR(__xludf.DUMMYFUNCTION("""COMPUTED_VALUE"""),0.0)</f>
        <v>0</v>
      </c>
      <c r="Z310" s="26">
        <f>IFERROR(__xludf.DUMMYFUNCTION("""COMPUTED_VALUE"""),0.0)</f>
        <v>0</v>
      </c>
      <c r="AA310" s="26">
        <f>IFERROR(__xludf.DUMMYFUNCTION("""COMPUTED_VALUE"""),0.0)</f>
        <v>0</v>
      </c>
      <c r="AB310" s="26">
        <f>IFERROR(__xludf.DUMMYFUNCTION("""COMPUTED_VALUE"""),0.0)</f>
        <v>0</v>
      </c>
      <c r="AC310" s="26">
        <f>IFERROR(__xludf.DUMMYFUNCTION("""COMPUTED_VALUE"""),0.0)</f>
        <v>0</v>
      </c>
      <c r="AD310" s="26">
        <f>IFERROR(__xludf.DUMMYFUNCTION("""COMPUTED_VALUE"""),0.0)</f>
        <v>0</v>
      </c>
      <c r="AE310" s="26">
        <f>IFERROR(__xludf.DUMMYFUNCTION("""COMPUTED_VALUE"""),0.0)</f>
        <v>0</v>
      </c>
    </row>
    <row r="311">
      <c r="A311" s="26">
        <f>IFERROR(__xludf.DUMMYFUNCTION("""COMPUTED_VALUE"""),0.0)</f>
        <v>0</v>
      </c>
      <c r="B311" s="26">
        <f>IFERROR(__xludf.DUMMYFUNCTION("""COMPUTED_VALUE"""),0.0)</f>
        <v>0</v>
      </c>
      <c r="C311" s="26">
        <f>IFERROR(__xludf.DUMMYFUNCTION("""COMPUTED_VALUE"""),0.0)</f>
        <v>0</v>
      </c>
      <c r="D311" s="26">
        <f>IFERROR(__xludf.DUMMYFUNCTION("""COMPUTED_VALUE"""),0.0)</f>
        <v>0</v>
      </c>
      <c r="E311" s="26">
        <f>IFERROR(__xludf.DUMMYFUNCTION("""COMPUTED_VALUE"""),0.0)</f>
        <v>0</v>
      </c>
      <c r="F311" s="26">
        <f>IFERROR(__xludf.DUMMYFUNCTION("""COMPUTED_VALUE"""),0.0)</f>
        <v>0</v>
      </c>
      <c r="G311" s="26">
        <f>IFERROR(__xludf.DUMMYFUNCTION("""COMPUTED_VALUE"""),0.0)</f>
        <v>0</v>
      </c>
      <c r="H311" s="26">
        <f>IFERROR(__xludf.DUMMYFUNCTION("""COMPUTED_VALUE"""),0.0)</f>
        <v>0</v>
      </c>
      <c r="I311" s="26">
        <f>IFERROR(__xludf.DUMMYFUNCTION("""COMPUTED_VALUE"""),0.0)</f>
        <v>0</v>
      </c>
      <c r="J311" s="26">
        <f>IFERROR(__xludf.DUMMYFUNCTION("""COMPUTED_VALUE"""),0.0)</f>
        <v>0</v>
      </c>
      <c r="K311" s="26">
        <f>IFERROR(__xludf.DUMMYFUNCTION("""COMPUTED_VALUE"""),0.0)</f>
        <v>0</v>
      </c>
      <c r="L311" s="26">
        <f>IFERROR(__xludf.DUMMYFUNCTION("""COMPUTED_VALUE"""),0.0)</f>
        <v>0</v>
      </c>
      <c r="M311" s="26"/>
      <c r="N311" s="26"/>
      <c r="O311" s="26"/>
      <c r="P311" s="26"/>
      <c r="Q311" s="26"/>
      <c r="R311" s="26">
        <f>IFERROR(__xludf.DUMMYFUNCTION("""COMPUTED_VALUE"""),0.0)</f>
        <v>0</v>
      </c>
      <c r="S311" s="26">
        <f>IFERROR(__xludf.DUMMYFUNCTION("""COMPUTED_VALUE"""),0.0)</f>
        <v>0</v>
      </c>
      <c r="T311" s="26">
        <f>IFERROR(__xludf.DUMMYFUNCTION("""COMPUTED_VALUE"""),0.0)</f>
        <v>0</v>
      </c>
      <c r="U311" s="26">
        <f>IFERROR(__xludf.DUMMYFUNCTION("""COMPUTED_VALUE"""),0.0)</f>
        <v>0</v>
      </c>
      <c r="V311" s="26">
        <f>IFERROR(__xludf.DUMMYFUNCTION("""COMPUTED_VALUE"""),0.0)</f>
        <v>0</v>
      </c>
      <c r="W311" s="26">
        <f>IFERROR(__xludf.DUMMYFUNCTION("""COMPUTED_VALUE"""),0.0)</f>
        <v>0</v>
      </c>
      <c r="X311" s="26">
        <f>IFERROR(__xludf.DUMMYFUNCTION("""COMPUTED_VALUE"""),0.0)</f>
        <v>0</v>
      </c>
      <c r="Y311" s="26">
        <f>IFERROR(__xludf.DUMMYFUNCTION("""COMPUTED_VALUE"""),0.0)</f>
        <v>0</v>
      </c>
      <c r="Z311" s="26">
        <f>IFERROR(__xludf.DUMMYFUNCTION("""COMPUTED_VALUE"""),0.0)</f>
        <v>0</v>
      </c>
      <c r="AA311" s="26">
        <f>IFERROR(__xludf.DUMMYFUNCTION("""COMPUTED_VALUE"""),0.0)</f>
        <v>0</v>
      </c>
      <c r="AB311" s="26">
        <f>IFERROR(__xludf.DUMMYFUNCTION("""COMPUTED_VALUE"""),0.0)</f>
        <v>0</v>
      </c>
      <c r="AC311" s="26">
        <f>IFERROR(__xludf.DUMMYFUNCTION("""COMPUTED_VALUE"""),0.0)</f>
        <v>0</v>
      </c>
      <c r="AD311" s="26">
        <f>IFERROR(__xludf.DUMMYFUNCTION("""COMPUTED_VALUE"""),0.0)</f>
        <v>0</v>
      </c>
      <c r="AE311" s="26">
        <f>IFERROR(__xludf.DUMMYFUNCTION("""COMPUTED_VALUE"""),0.0)</f>
        <v>0</v>
      </c>
    </row>
    <row r="312">
      <c r="A312" s="26">
        <f>IFERROR(__xludf.DUMMYFUNCTION("""COMPUTED_VALUE"""),35.0)</f>
        <v>35</v>
      </c>
      <c r="B312" s="26">
        <f>IFERROR(__xludf.DUMMYFUNCTION("""COMPUTED_VALUE"""),0.0)</f>
        <v>0</v>
      </c>
      <c r="C312" s="26">
        <f>IFERROR(__xludf.DUMMYFUNCTION("""COMPUTED_VALUE"""),0.0)</f>
        <v>0</v>
      </c>
      <c r="D312" s="26">
        <f>IFERROR(__xludf.DUMMYFUNCTION("""COMPUTED_VALUE"""),0.0)</f>
        <v>0</v>
      </c>
      <c r="E312" s="26">
        <f>IFERROR(__xludf.DUMMYFUNCTION("""COMPUTED_VALUE"""),0.0)</f>
        <v>0</v>
      </c>
      <c r="F312" s="26">
        <f>IFERROR(__xludf.DUMMYFUNCTION("""COMPUTED_VALUE"""),0.0)</f>
        <v>0</v>
      </c>
      <c r="G312" s="26">
        <f>IFERROR(__xludf.DUMMYFUNCTION("""COMPUTED_VALUE"""),0.0)</f>
        <v>0</v>
      </c>
      <c r="H312" s="26">
        <f>IFERROR(__xludf.DUMMYFUNCTION("""COMPUTED_VALUE"""),0.0)</f>
        <v>0</v>
      </c>
      <c r="I312" s="26">
        <f>IFERROR(__xludf.DUMMYFUNCTION("""COMPUTED_VALUE"""),0.0)</f>
        <v>0</v>
      </c>
      <c r="J312" s="26">
        <f>IFERROR(__xludf.DUMMYFUNCTION("""COMPUTED_VALUE"""),0.0)</f>
        <v>0</v>
      </c>
      <c r="K312" s="26">
        <f>IFERROR(__xludf.DUMMYFUNCTION("""COMPUTED_VALUE"""),0.0)</f>
        <v>0</v>
      </c>
      <c r="L312" s="26">
        <f>IFERROR(__xludf.DUMMYFUNCTION("""COMPUTED_VALUE"""),0.0)</f>
        <v>0</v>
      </c>
      <c r="M312" s="26"/>
      <c r="N312" s="26"/>
      <c r="O312" s="26"/>
      <c r="P312" s="26"/>
      <c r="Q312" s="26"/>
      <c r="R312" s="26">
        <f>IFERROR(__xludf.DUMMYFUNCTION("""COMPUTED_VALUE"""),35.0)</f>
        <v>35</v>
      </c>
      <c r="S312" s="26">
        <f>IFERROR(__xludf.DUMMYFUNCTION("""COMPUTED_VALUE"""),13650.0)</f>
        <v>13650</v>
      </c>
      <c r="T312" s="26">
        <f>IFERROR(__xludf.DUMMYFUNCTION("""COMPUTED_VALUE"""),5950.0)</f>
        <v>5950</v>
      </c>
      <c r="U312" s="26">
        <f>IFERROR(__xludf.DUMMYFUNCTION("""COMPUTED_VALUE"""),8032.15)</f>
        <v>8032.15</v>
      </c>
      <c r="V312" s="26">
        <f>IFERROR(__xludf.DUMMYFUNCTION("""COMPUTED_VALUE"""),0.0)</f>
        <v>0</v>
      </c>
      <c r="W312" s="26">
        <f>IFERROR(__xludf.DUMMYFUNCTION("""COMPUTED_VALUE"""),0.0)</f>
        <v>0</v>
      </c>
      <c r="X312" s="26">
        <f>IFERROR(__xludf.DUMMYFUNCTION("""COMPUTED_VALUE"""),2082.15)</f>
        <v>2082.15</v>
      </c>
      <c r="Y312" s="26">
        <f>IFERROR(__xludf.DUMMYFUNCTION("""COMPUTED_VALUE"""),2082.15)</f>
        <v>2082.15</v>
      </c>
      <c r="Z312" s="26">
        <f>IFERROR(__xludf.DUMMYFUNCTION("""COMPUTED_VALUE"""),8313.200000000008)</f>
        <v>8313.2</v>
      </c>
      <c r="AA312" s="26">
        <f>IFERROR(__xludf.DUMMYFUNCTION("""COMPUTED_VALUE"""),8313.200000000008)</f>
        <v>8313.2</v>
      </c>
      <c r="AB312" s="26">
        <f>IFERROR(__xludf.DUMMYFUNCTION("""COMPUTED_VALUE"""),5617.850000000005)</f>
        <v>5617.85</v>
      </c>
      <c r="AC312" s="26">
        <f>IFERROR(__xludf.DUMMYFUNCTION("""COMPUTED_VALUE"""),5336.7999999999965)</f>
        <v>5336.8</v>
      </c>
      <c r="AD312" s="26">
        <f>IFERROR(__xludf.DUMMYFUNCTION("""COMPUTED_VALUE"""),281.0499999999999)</f>
        <v>281.05</v>
      </c>
      <c r="AE312" s="26">
        <f>IFERROR(__xludf.DUMMYFUNCTION("""COMPUTED_VALUE"""),0.0)</f>
        <v>0</v>
      </c>
    </row>
    <row r="313">
      <c r="A313" s="26">
        <f>IFERROR(__xludf.DUMMYFUNCTION("""COMPUTED_VALUE"""),0.0)</f>
        <v>0</v>
      </c>
      <c r="B313" s="26">
        <f>IFERROR(__xludf.DUMMYFUNCTION("""COMPUTED_VALUE"""),0.0)</f>
        <v>0</v>
      </c>
      <c r="C313" s="26">
        <f>IFERROR(__xludf.DUMMYFUNCTION("""COMPUTED_VALUE"""),0.0)</f>
        <v>0</v>
      </c>
      <c r="D313" s="26">
        <f>IFERROR(__xludf.DUMMYFUNCTION("""COMPUTED_VALUE"""),0.0)</f>
        <v>0</v>
      </c>
      <c r="E313" s="26">
        <f>IFERROR(__xludf.DUMMYFUNCTION("""COMPUTED_VALUE"""),0.0)</f>
        <v>0</v>
      </c>
      <c r="F313" s="26">
        <f>IFERROR(__xludf.DUMMYFUNCTION("""COMPUTED_VALUE"""),0.0)</f>
        <v>0</v>
      </c>
      <c r="G313" s="26">
        <f>IFERROR(__xludf.DUMMYFUNCTION("""COMPUTED_VALUE"""),0.0)</f>
        <v>0</v>
      </c>
      <c r="H313" s="26">
        <f>IFERROR(__xludf.DUMMYFUNCTION("""COMPUTED_VALUE"""),0.0)</f>
        <v>0</v>
      </c>
      <c r="I313" s="26">
        <f>IFERROR(__xludf.DUMMYFUNCTION("""COMPUTED_VALUE"""),0.0)</f>
        <v>0</v>
      </c>
      <c r="J313" s="26">
        <f>IFERROR(__xludf.DUMMYFUNCTION("""COMPUTED_VALUE"""),0.0)</f>
        <v>0</v>
      </c>
      <c r="K313" s="26">
        <f>IFERROR(__xludf.DUMMYFUNCTION("""COMPUTED_VALUE"""),0.0)</f>
        <v>0</v>
      </c>
      <c r="L313" s="26">
        <f>IFERROR(__xludf.DUMMYFUNCTION("""COMPUTED_VALUE"""),0.0)</f>
        <v>0</v>
      </c>
      <c r="M313" s="26"/>
      <c r="N313" s="26"/>
      <c r="O313" s="26"/>
      <c r="P313" s="26"/>
      <c r="Q313" s="26"/>
      <c r="R313" s="26">
        <f>IFERROR(__xludf.DUMMYFUNCTION("""COMPUTED_VALUE"""),0.0)</f>
        <v>0</v>
      </c>
      <c r="S313" s="26">
        <f>IFERROR(__xludf.DUMMYFUNCTION("""COMPUTED_VALUE"""),0.0)</f>
        <v>0</v>
      </c>
      <c r="T313" s="26">
        <f>IFERROR(__xludf.DUMMYFUNCTION("""COMPUTED_VALUE"""),0.0)</f>
        <v>0</v>
      </c>
      <c r="U313" s="26">
        <f>IFERROR(__xludf.DUMMYFUNCTION("""COMPUTED_VALUE"""),0.0)</f>
        <v>0</v>
      </c>
      <c r="V313" s="26">
        <f>IFERROR(__xludf.DUMMYFUNCTION("""COMPUTED_VALUE"""),0.0)</f>
        <v>0</v>
      </c>
      <c r="W313" s="26">
        <f>IFERROR(__xludf.DUMMYFUNCTION("""COMPUTED_VALUE"""),0.0)</f>
        <v>0</v>
      </c>
      <c r="X313" s="26">
        <f>IFERROR(__xludf.DUMMYFUNCTION("""COMPUTED_VALUE"""),0.0)</f>
        <v>0</v>
      </c>
      <c r="Y313" s="26">
        <f>IFERROR(__xludf.DUMMYFUNCTION("""COMPUTED_VALUE"""),0.0)</f>
        <v>0</v>
      </c>
      <c r="Z313" s="26">
        <f>IFERROR(__xludf.DUMMYFUNCTION("""COMPUTED_VALUE"""),0.0)</f>
        <v>0</v>
      </c>
      <c r="AA313" s="26">
        <f>IFERROR(__xludf.DUMMYFUNCTION("""COMPUTED_VALUE"""),0.0)</f>
        <v>0</v>
      </c>
      <c r="AB313" s="26">
        <f>IFERROR(__xludf.DUMMYFUNCTION("""COMPUTED_VALUE"""),0.0)</f>
        <v>0</v>
      </c>
      <c r="AC313" s="26">
        <f>IFERROR(__xludf.DUMMYFUNCTION("""COMPUTED_VALUE"""),0.0)</f>
        <v>0</v>
      </c>
      <c r="AD313" s="26">
        <f>IFERROR(__xludf.DUMMYFUNCTION("""COMPUTED_VALUE"""),0.0)</f>
        <v>0</v>
      </c>
      <c r="AE313" s="26">
        <f>IFERROR(__xludf.DUMMYFUNCTION("""COMPUTED_VALUE"""),0.0)</f>
        <v>0</v>
      </c>
    </row>
    <row r="314">
      <c r="A314" s="26">
        <f>IFERROR(__xludf.DUMMYFUNCTION("""COMPUTED_VALUE"""),0.0)</f>
        <v>0</v>
      </c>
      <c r="B314" s="26">
        <f>IFERROR(__xludf.DUMMYFUNCTION("""COMPUTED_VALUE"""),0.0)</f>
        <v>0</v>
      </c>
      <c r="C314" s="26">
        <f>IFERROR(__xludf.DUMMYFUNCTION("""COMPUTED_VALUE"""),0.0)</f>
        <v>0</v>
      </c>
      <c r="D314" s="26">
        <f>IFERROR(__xludf.DUMMYFUNCTION("""COMPUTED_VALUE"""),0.0)</f>
        <v>0</v>
      </c>
      <c r="E314" s="26">
        <f>IFERROR(__xludf.DUMMYFUNCTION("""COMPUTED_VALUE"""),0.0)</f>
        <v>0</v>
      </c>
      <c r="F314" s="26">
        <f>IFERROR(__xludf.DUMMYFUNCTION("""COMPUTED_VALUE"""),0.0)</f>
        <v>0</v>
      </c>
      <c r="G314" s="26">
        <f>IFERROR(__xludf.DUMMYFUNCTION("""COMPUTED_VALUE"""),0.0)</f>
        <v>0</v>
      </c>
      <c r="H314" s="26">
        <f>IFERROR(__xludf.DUMMYFUNCTION("""COMPUTED_VALUE"""),0.0)</f>
        <v>0</v>
      </c>
      <c r="I314" s="26">
        <f>IFERROR(__xludf.DUMMYFUNCTION("""COMPUTED_VALUE"""),0.0)</f>
        <v>0</v>
      </c>
      <c r="J314" s="26">
        <f>IFERROR(__xludf.DUMMYFUNCTION("""COMPUTED_VALUE"""),0.0)</f>
        <v>0</v>
      </c>
      <c r="K314" s="26">
        <f>IFERROR(__xludf.DUMMYFUNCTION("""COMPUTED_VALUE"""),0.0)</f>
        <v>0</v>
      </c>
      <c r="L314" s="26">
        <f>IFERROR(__xludf.DUMMYFUNCTION("""COMPUTED_VALUE"""),0.0)</f>
        <v>0</v>
      </c>
      <c r="M314" s="26"/>
      <c r="N314" s="26"/>
      <c r="O314" s="26"/>
      <c r="P314" s="26"/>
      <c r="Q314" s="26"/>
      <c r="R314" s="26">
        <f>IFERROR(__xludf.DUMMYFUNCTION("""COMPUTED_VALUE"""),0.0)</f>
        <v>0</v>
      </c>
      <c r="S314" s="26">
        <f>IFERROR(__xludf.DUMMYFUNCTION("""COMPUTED_VALUE"""),0.0)</f>
        <v>0</v>
      </c>
      <c r="T314" s="26">
        <f>IFERROR(__xludf.DUMMYFUNCTION("""COMPUTED_VALUE"""),0.0)</f>
        <v>0</v>
      </c>
      <c r="U314" s="26">
        <f>IFERROR(__xludf.DUMMYFUNCTION("""COMPUTED_VALUE"""),0.0)</f>
        <v>0</v>
      </c>
      <c r="V314" s="26">
        <f>IFERROR(__xludf.DUMMYFUNCTION("""COMPUTED_VALUE"""),0.0)</f>
        <v>0</v>
      </c>
      <c r="W314" s="26">
        <f>IFERROR(__xludf.DUMMYFUNCTION("""COMPUTED_VALUE"""),0.0)</f>
        <v>0</v>
      </c>
      <c r="X314" s="26">
        <f>IFERROR(__xludf.DUMMYFUNCTION("""COMPUTED_VALUE"""),0.0)</f>
        <v>0</v>
      </c>
      <c r="Y314" s="26">
        <f>IFERROR(__xludf.DUMMYFUNCTION("""COMPUTED_VALUE"""),0.0)</f>
        <v>0</v>
      </c>
      <c r="Z314" s="26">
        <f>IFERROR(__xludf.DUMMYFUNCTION("""COMPUTED_VALUE"""),0.0)</f>
        <v>0</v>
      </c>
      <c r="AA314" s="26">
        <f>IFERROR(__xludf.DUMMYFUNCTION("""COMPUTED_VALUE"""),0.0)</f>
        <v>0</v>
      </c>
      <c r="AB314" s="26">
        <f>IFERROR(__xludf.DUMMYFUNCTION("""COMPUTED_VALUE"""),0.0)</f>
        <v>0</v>
      </c>
      <c r="AC314" s="26">
        <f>IFERROR(__xludf.DUMMYFUNCTION("""COMPUTED_VALUE"""),0.0)</f>
        <v>0</v>
      </c>
      <c r="AD314" s="26">
        <f>IFERROR(__xludf.DUMMYFUNCTION("""COMPUTED_VALUE"""),0.0)</f>
        <v>0</v>
      </c>
      <c r="AE314" s="26">
        <f>IFERROR(__xludf.DUMMYFUNCTION("""COMPUTED_VALUE"""),0.0)</f>
        <v>0</v>
      </c>
    </row>
    <row r="315">
      <c r="A315" s="26">
        <f>IFERROR(__xludf.DUMMYFUNCTION("""COMPUTED_VALUE"""),0.0)</f>
        <v>0</v>
      </c>
      <c r="B315" s="26">
        <f>IFERROR(__xludf.DUMMYFUNCTION("""COMPUTED_VALUE"""),0.0)</f>
        <v>0</v>
      </c>
      <c r="C315" s="26">
        <f>IFERROR(__xludf.DUMMYFUNCTION("""COMPUTED_VALUE"""),0.0)</f>
        <v>0</v>
      </c>
      <c r="D315" s="26">
        <f>IFERROR(__xludf.DUMMYFUNCTION("""COMPUTED_VALUE"""),0.0)</f>
        <v>0</v>
      </c>
      <c r="E315" s="26">
        <f>IFERROR(__xludf.DUMMYFUNCTION("""COMPUTED_VALUE"""),0.0)</f>
        <v>0</v>
      </c>
      <c r="F315" s="26">
        <f>IFERROR(__xludf.DUMMYFUNCTION("""COMPUTED_VALUE"""),0.0)</f>
        <v>0</v>
      </c>
      <c r="G315" s="26">
        <f>IFERROR(__xludf.DUMMYFUNCTION("""COMPUTED_VALUE"""),0.0)</f>
        <v>0</v>
      </c>
      <c r="H315" s="26">
        <f>IFERROR(__xludf.DUMMYFUNCTION("""COMPUTED_VALUE"""),0.0)</f>
        <v>0</v>
      </c>
      <c r="I315" s="26">
        <f>IFERROR(__xludf.DUMMYFUNCTION("""COMPUTED_VALUE"""),0.0)</f>
        <v>0</v>
      </c>
      <c r="J315" s="26">
        <f>IFERROR(__xludf.DUMMYFUNCTION("""COMPUTED_VALUE"""),0.0)</f>
        <v>0</v>
      </c>
      <c r="K315" s="26">
        <f>IFERROR(__xludf.DUMMYFUNCTION("""COMPUTED_VALUE"""),0.0)</f>
        <v>0</v>
      </c>
      <c r="L315" s="26">
        <f>IFERROR(__xludf.DUMMYFUNCTION("""COMPUTED_VALUE"""),0.0)</f>
        <v>0</v>
      </c>
      <c r="M315" s="26"/>
      <c r="N315" s="26"/>
      <c r="O315" s="26"/>
      <c r="P315" s="26"/>
      <c r="Q315" s="26"/>
      <c r="R315" s="26">
        <f>IFERROR(__xludf.DUMMYFUNCTION("""COMPUTED_VALUE"""),0.0)</f>
        <v>0</v>
      </c>
      <c r="S315" s="26">
        <f>IFERROR(__xludf.DUMMYFUNCTION("""COMPUTED_VALUE"""),0.0)</f>
        <v>0</v>
      </c>
      <c r="T315" s="26">
        <f>IFERROR(__xludf.DUMMYFUNCTION("""COMPUTED_VALUE"""),0.0)</f>
        <v>0</v>
      </c>
      <c r="U315" s="26">
        <f>IFERROR(__xludf.DUMMYFUNCTION("""COMPUTED_VALUE"""),0.0)</f>
        <v>0</v>
      </c>
      <c r="V315" s="26">
        <f>IFERROR(__xludf.DUMMYFUNCTION("""COMPUTED_VALUE"""),0.0)</f>
        <v>0</v>
      </c>
      <c r="W315" s="26">
        <f>IFERROR(__xludf.DUMMYFUNCTION("""COMPUTED_VALUE"""),0.0)</f>
        <v>0</v>
      </c>
      <c r="X315" s="26">
        <f>IFERROR(__xludf.DUMMYFUNCTION("""COMPUTED_VALUE"""),0.0)</f>
        <v>0</v>
      </c>
      <c r="Y315" s="26">
        <f>IFERROR(__xludf.DUMMYFUNCTION("""COMPUTED_VALUE"""),0.0)</f>
        <v>0</v>
      </c>
      <c r="Z315" s="26">
        <f>IFERROR(__xludf.DUMMYFUNCTION("""COMPUTED_VALUE"""),0.0)</f>
        <v>0</v>
      </c>
      <c r="AA315" s="26">
        <f>IFERROR(__xludf.DUMMYFUNCTION("""COMPUTED_VALUE"""),0.0)</f>
        <v>0</v>
      </c>
      <c r="AB315" s="26">
        <f>IFERROR(__xludf.DUMMYFUNCTION("""COMPUTED_VALUE"""),0.0)</f>
        <v>0</v>
      </c>
      <c r="AC315" s="26">
        <f>IFERROR(__xludf.DUMMYFUNCTION("""COMPUTED_VALUE"""),0.0)</f>
        <v>0</v>
      </c>
      <c r="AD315" s="26">
        <f>IFERROR(__xludf.DUMMYFUNCTION("""COMPUTED_VALUE"""),0.0)</f>
        <v>0</v>
      </c>
      <c r="AE315" s="26">
        <f>IFERROR(__xludf.DUMMYFUNCTION("""COMPUTED_VALUE"""),0.0)</f>
        <v>0</v>
      </c>
    </row>
    <row r="316">
      <c r="A316" s="26">
        <f>IFERROR(__xludf.DUMMYFUNCTION("""COMPUTED_VALUE"""),0.0)</f>
        <v>0</v>
      </c>
      <c r="B316" s="26">
        <f>IFERROR(__xludf.DUMMYFUNCTION("""COMPUTED_VALUE"""),0.0)</f>
        <v>0</v>
      </c>
      <c r="C316" s="26">
        <f>IFERROR(__xludf.DUMMYFUNCTION("""COMPUTED_VALUE"""),0.0)</f>
        <v>0</v>
      </c>
      <c r="D316" s="26">
        <f>IFERROR(__xludf.DUMMYFUNCTION("""COMPUTED_VALUE"""),0.0)</f>
        <v>0</v>
      </c>
      <c r="E316" s="26">
        <f>IFERROR(__xludf.DUMMYFUNCTION("""COMPUTED_VALUE"""),0.0)</f>
        <v>0</v>
      </c>
      <c r="F316" s="26">
        <f>IFERROR(__xludf.DUMMYFUNCTION("""COMPUTED_VALUE"""),0.0)</f>
        <v>0</v>
      </c>
      <c r="G316" s="26">
        <f>IFERROR(__xludf.DUMMYFUNCTION("""COMPUTED_VALUE"""),0.0)</f>
        <v>0</v>
      </c>
      <c r="H316" s="26">
        <f>IFERROR(__xludf.DUMMYFUNCTION("""COMPUTED_VALUE"""),0.0)</f>
        <v>0</v>
      </c>
      <c r="I316" s="26">
        <f>IFERROR(__xludf.DUMMYFUNCTION("""COMPUTED_VALUE"""),0.0)</f>
        <v>0</v>
      </c>
      <c r="J316" s="26">
        <f>IFERROR(__xludf.DUMMYFUNCTION("""COMPUTED_VALUE"""),0.0)</f>
        <v>0</v>
      </c>
      <c r="K316" s="26">
        <f>IFERROR(__xludf.DUMMYFUNCTION("""COMPUTED_VALUE"""),0.0)</f>
        <v>0</v>
      </c>
      <c r="L316" s="26">
        <f>IFERROR(__xludf.DUMMYFUNCTION("""COMPUTED_VALUE"""),0.0)</f>
        <v>0</v>
      </c>
      <c r="M316" s="26"/>
      <c r="N316" s="26"/>
      <c r="O316" s="26"/>
      <c r="P316" s="26"/>
      <c r="Q316" s="26"/>
      <c r="R316" s="26">
        <f>IFERROR(__xludf.DUMMYFUNCTION("""COMPUTED_VALUE"""),0.0)</f>
        <v>0</v>
      </c>
      <c r="S316" s="26">
        <f>IFERROR(__xludf.DUMMYFUNCTION("""COMPUTED_VALUE"""),0.0)</f>
        <v>0</v>
      </c>
      <c r="T316" s="26">
        <f>IFERROR(__xludf.DUMMYFUNCTION("""COMPUTED_VALUE"""),0.0)</f>
        <v>0</v>
      </c>
      <c r="U316" s="26">
        <f>IFERROR(__xludf.DUMMYFUNCTION("""COMPUTED_VALUE"""),0.0)</f>
        <v>0</v>
      </c>
      <c r="V316" s="26">
        <f>IFERROR(__xludf.DUMMYFUNCTION("""COMPUTED_VALUE"""),0.0)</f>
        <v>0</v>
      </c>
      <c r="W316" s="26">
        <f>IFERROR(__xludf.DUMMYFUNCTION("""COMPUTED_VALUE"""),0.0)</f>
        <v>0</v>
      </c>
      <c r="X316" s="26">
        <f>IFERROR(__xludf.DUMMYFUNCTION("""COMPUTED_VALUE"""),0.0)</f>
        <v>0</v>
      </c>
      <c r="Y316" s="26">
        <f>IFERROR(__xludf.DUMMYFUNCTION("""COMPUTED_VALUE"""),0.0)</f>
        <v>0</v>
      </c>
      <c r="Z316" s="26">
        <f>IFERROR(__xludf.DUMMYFUNCTION("""COMPUTED_VALUE"""),0.0)</f>
        <v>0</v>
      </c>
      <c r="AA316" s="26">
        <f>IFERROR(__xludf.DUMMYFUNCTION("""COMPUTED_VALUE"""),0.0)</f>
        <v>0</v>
      </c>
      <c r="AB316" s="26">
        <f>IFERROR(__xludf.DUMMYFUNCTION("""COMPUTED_VALUE"""),0.0)</f>
        <v>0</v>
      </c>
      <c r="AC316" s="26">
        <f>IFERROR(__xludf.DUMMYFUNCTION("""COMPUTED_VALUE"""),0.0)</f>
        <v>0</v>
      </c>
      <c r="AD316" s="26">
        <f>IFERROR(__xludf.DUMMYFUNCTION("""COMPUTED_VALUE"""),0.0)</f>
        <v>0</v>
      </c>
      <c r="AE316" s="26">
        <f>IFERROR(__xludf.DUMMYFUNCTION("""COMPUTED_VALUE"""),0.0)</f>
        <v>0</v>
      </c>
    </row>
    <row r="317">
      <c r="A317" s="26">
        <f>IFERROR(__xludf.DUMMYFUNCTION("""COMPUTED_VALUE"""),258.0)</f>
        <v>258</v>
      </c>
      <c r="B317" s="26">
        <f>IFERROR(__xludf.DUMMYFUNCTION("""COMPUTED_VALUE"""),0.0)</f>
        <v>0</v>
      </c>
      <c r="C317" s="26">
        <f>IFERROR(__xludf.DUMMYFUNCTION("""COMPUTED_VALUE"""),0.0)</f>
        <v>0</v>
      </c>
      <c r="D317" s="26">
        <f>IFERROR(__xludf.DUMMYFUNCTION("""COMPUTED_VALUE"""),0.0)</f>
        <v>0</v>
      </c>
      <c r="E317" s="26">
        <f>IFERROR(__xludf.DUMMYFUNCTION("""COMPUTED_VALUE"""),0.0)</f>
        <v>0</v>
      </c>
      <c r="F317" s="26">
        <f>IFERROR(__xludf.DUMMYFUNCTION("""COMPUTED_VALUE"""),0.0)</f>
        <v>0</v>
      </c>
      <c r="G317" s="26">
        <f>IFERROR(__xludf.DUMMYFUNCTION("""COMPUTED_VALUE"""),0.0)</f>
        <v>0</v>
      </c>
      <c r="H317" s="26">
        <f>IFERROR(__xludf.DUMMYFUNCTION("""COMPUTED_VALUE"""),0.0)</f>
        <v>0</v>
      </c>
      <c r="I317" s="26">
        <f>IFERROR(__xludf.DUMMYFUNCTION("""COMPUTED_VALUE"""),0.0)</f>
        <v>0</v>
      </c>
      <c r="J317" s="26">
        <f>IFERROR(__xludf.DUMMYFUNCTION("""COMPUTED_VALUE"""),0.0)</f>
        <v>0</v>
      </c>
      <c r="K317" s="26">
        <f>IFERROR(__xludf.DUMMYFUNCTION("""COMPUTED_VALUE"""),0.0)</f>
        <v>0</v>
      </c>
      <c r="L317" s="26">
        <f>IFERROR(__xludf.DUMMYFUNCTION("""COMPUTED_VALUE"""),0.0)</f>
        <v>0</v>
      </c>
      <c r="M317" s="26"/>
      <c r="N317" s="26"/>
      <c r="O317" s="26"/>
      <c r="P317" s="26"/>
      <c r="Q317" s="26"/>
      <c r="R317" s="26">
        <f>IFERROR(__xludf.DUMMYFUNCTION("""COMPUTED_VALUE"""),258.0)</f>
        <v>258</v>
      </c>
      <c r="S317" s="26">
        <f>IFERROR(__xludf.DUMMYFUNCTION("""COMPUTED_VALUE"""),114036.0)</f>
        <v>114036</v>
      </c>
      <c r="T317" s="26">
        <f>IFERROR(__xludf.DUMMYFUNCTION("""COMPUTED_VALUE"""),45150.0)</f>
        <v>45150</v>
      </c>
      <c r="U317" s="26">
        <f>IFERROR(__xludf.DUMMYFUNCTION("""COMPUTED_VALUE"""),62544.359999999986)</f>
        <v>62544.36</v>
      </c>
      <c r="V317" s="26">
        <f>IFERROR(__xludf.DUMMYFUNCTION("""COMPUTED_VALUE"""),0.0)</f>
        <v>0</v>
      </c>
      <c r="W317" s="26">
        <f>IFERROR(__xludf.DUMMYFUNCTION("""COMPUTED_VALUE"""),0.0)</f>
        <v>0</v>
      </c>
      <c r="X317" s="26">
        <f>IFERROR(__xludf.DUMMYFUNCTION("""COMPUTED_VALUE"""),17394.35999999999)</f>
        <v>17394.36</v>
      </c>
      <c r="Y317" s="26">
        <f>IFERROR(__xludf.DUMMYFUNCTION("""COMPUTED_VALUE"""),17394.35999999999)</f>
        <v>17394.36</v>
      </c>
      <c r="Z317" s="26">
        <f>IFERROR(__xludf.DUMMYFUNCTION("""COMPUTED_VALUE"""),114036.0)</f>
        <v>114036</v>
      </c>
      <c r="AA317" s="26">
        <f>IFERROR(__xludf.DUMMYFUNCTION("""COMPUTED_VALUE"""),65119.200000000266)</f>
        <v>65119.2</v>
      </c>
      <c r="AB317" s="26">
        <f>IFERROR(__xludf.DUMMYFUNCTION("""COMPUTED_VALUE"""),106176.56000000077)</f>
        <v>106176.56</v>
      </c>
      <c r="AC317" s="26">
        <f>IFERROR(__xludf.DUMMYFUNCTION("""COMPUTED_VALUE"""),51950.399999999754)</f>
        <v>51950.4</v>
      </c>
      <c r="AD317" s="26">
        <f>IFERROR(__xludf.DUMMYFUNCTION("""COMPUTED_VALUE"""),5309.359999999953)</f>
        <v>5309.36</v>
      </c>
      <c r="AE317" s="26">
        <f>IFERROR(__xludf.DUMMYFUNCTION("""COMPUTED_VALUE"""),48916.79999999978)</f>
        <v>48916.8</v>
      </c>
    </row>
    <row r="318">
      <c r="A318" s="26">
        <f>IFERROR(__xludf.DUMMYFUNCTION("""COMPUTED_VALUE"""),274.0)</f>
        <v>274</v>
      </c>
      <c r="B318" s="26">
        <f>IFERROR(__xludf.DUMMYFUNCTION("""COMPUTED_VALUE"""),0.0)</f>
        <v>0</v>
      </c>
      <c r="C318" s="26">
        <f>IFERROR(__xludf.DUMMYFUNCTION("""COMPUTED_VALUE"""),0.0)</f>
        <v>0</v>
      </c>
      <c r="D318" s="26">
        <f>IFERROR(__xludf.DUMMYFUNCTION("""COMPUTED_VALUE"""),0.0)</f>
        <v>0</v>
      </c>
      <c r="E318" s="26">
        <f>IFERROR(__xludf.DUMMYFUNCTION("""COMPUTED_VALUE"""),0.0)</f>
        <v>0</v>
      </c>
      <c r="F318" s="26">
        <f>IFERROR(__xludf.DUMMYFUNCTION("""COMPUTED_VALUE"""),0.0)</f>
        <v>0</v>
      </c>
      <c r="G318" s="26">
        <f>IFERROR(__xludf.DUMMYFUNCTION("""COMPUTED_VALUE"""),0.0)</f>
        <v>0</v>
      </c>
      <c r="H318" s="26">
        <f>IFERROR(__xludf.DUMMYFUNCTION("""COMPUTED_VALUE"""),0.0)</f>
        <v>0</v>
      </c>
      <c r="I318" s="26">
        <f>IFERROR(__xludf.DUMMYFUNCTION("""COMPUTED_VALUE"""),0.0)</f>
        <v>0</v>
      </c>
      <c r="J318" s="26">
        <f>IFERROR(__xludf.DUMMYFUNCTION("""COMPUTED_VALUE"""),0.0)</f>
        <v>0</v>
      </c>
      <c r="K318" s="26">
        <f>IFERROR(__xludf.DUMMYFUNCTION("""COMPUTED_VALUE"""),0.0)</f>
        <v>0</v>
      </c>
      <c r="L318" s="26">
        <f>IFERROR(__xludf.DUMMYFUNCTION("""COMPUTED_VALUE"""),0.0)</f>
        <v>0</v>
      </c>
      <c r="M318" s="26"/>
      <c r="N318" s="26"/>
      <c r="O318" s="26"/>
      <c r="P318" s="26"/>
      <c r="Q318" s="26"/>
      <c r="R318" s="26">
        <f>IFERROR(__xludf.DUMMYFUNCTION("""COMPUTED_VALUE"""),274.0)</f>
        <v>274</v>
      </c>
      <c r="S318" s="26">
        <f>IFERROR(__xludf.DUMMYFUNCTION("""COMPUTED_VALUE"""),121108.0)</f>
        <v>121108</v>
      </c>
      <c r="T318" s="26">
        <f>IFERROR(__xludf.DUMMYFUNCTION("""COMPUTED_VALUE"""),47950.0)</f>
        <v>47950</v>
      </c>
      <c r="U318" s="26">
        <f>IFERROR(__xludf.DUMMYFUNCTION("""COMPUTED_VALUE"""),66423.07999999996)</f>
        <v>66423.08</v>
      </c>
      <c r="V318" s="26">
        <f>IFERROR(__xludf.DUMMYFUNCTION("""COMPUTED_VALUE"""),33.71)</f>
        <v>33.71</v>
      </c>
      <c r="W318" s="26">
        <f>IFERROR(__xludf.DUMMYFUNCTION("""COMPUTED_VALUE"""),33.71)</f>
        <v>33.71</v>
      </c>
      <c r="X318" s="26">
        <f>IFERROR(__xludf.DUMMYFUNCTION("""COMPUTED_VALUE"""),18405.659999999963)</f>
        <v>18405.66</v>
      </c>
      <c r="Y318" s="26">
        <f>IFERROR(__xludf.DUMMYFUNCTION("""COMPUTED_VALUE"""),18473.07999999996)</f>
        <v>18473.08</v>
      </c>
      <c r="Z318" s="26">
        <f>IFERROR(__xludf.DUMMYFUNCTION("""COMPUTED_VALUE"""),69157.60000000018)</f>
        <v>69157.6</v>
      </c>
      <c r="AA318" s="26">
        <f>IFERROR(__xludf.DUMMYFUNCTION("""COMPUTED_VALUE"""),69157.60000000018)</f>
        <v>69157.6</v>
      </c>
      <c r="AB318" s="26">
        <f>IFERROR(__xludf.DUMMYFUNCTION("""COMPUTED_VALUE"""),0.0)</f>
        <v>0</v>
      </c>
      <c r="AC318" s="26">
        <f>IFERROR(__xludf.DUMMYFUNCTION("""COMPUTED_VALUE"""),0.0)</f>
        <v>0</v>
      </c>
      <c r="AD318" s="26">
        <f>IFERROR(__xludf.DUMMYFUNCTION("""COMPUTED_VALUE"""),0.0)</f>
        <v>0</v>
      </c>
      <c r="AE318" s="26">
        <f>IFERROR(__xludf.DUMMYFUNCTION("""COMPUTED_VALUE"""),0.0)</f>
        <v>0</v>
      </c>
    </row>
    <row r="319">
      <c r="A319" s="26">
        <f>IFERROR(__xludf.DUMMYFUNCTION("""COMPUTED_VALUE"""),0.0)</f>
        <v>0</v>
      </c>
      <c r="B319" s="26">
        <f>IFERROR(__xludf.DUMMYFUNCTION("""COMPUTED_VALUE"""),0.0)</f>
        <v>0</v>
      </c>
      <c r="C319" s="26">
        <f>IFERROR(__xludf.DUMMYFUNCTION("""COMPUTED_VALUE"""),0.0)</f>
        <v>0</v>
      </c>
      <c r="D319" s="26">
        <f>IFERROR(__xludf.DUMMYFUNCTION("""COMPUTED_VALUE"""),0.0)</f>
        <v>0</v>
      </c>
      <c r="E319" s="26">
        <f>IFERROR(__xludf.DUMMYFUNCTION("""COMPUTED_VALUE"""),0.0)</f>
        <v>0</v>
      </c>
      <c r="F319" s="26">
        <f>IFERROR(__xludf.DUMMYFUNCTION("""COMPUTED_VALUE"""),0.0)</f>
        <v>0</v>
      </c>
      <c r="G319" s="26">
        <f>IFERROR(__xludf.DUMMYFUNCTION("""COMPUTED_VALUE"""),0.0)</f>
        <v>0</v>
      </c>
      <c r="H319" s="26">
        <f>IFERROR(__xludf.DUMMYFUNCTION("""COMPUTED_VALUE"""),0.0)</f>
        <v>0</v>
      </c>
      <c r="I319" s="26">
        <f>IFERROR(__xludf.DUMMYFUNCTION("""COMPUTED_VALUE"""),0.0)</f>
        <v>0</v>
      </c>
      <c r="J319" s="26">
        <f>IFERROR(__xludf.DUMMYFUNCTION("""COMPUTED_VALUE"""),0.0)</f>
        <v>0</v>
      </c>
      <c r="K319" s="26">
        <f>IFERROR(__xludf.DUMMYFUNCTION("""COMPUTED_VALUE"""),0.0)</f>
        <v>0</v>
      </c>
      <c r="L319" s="26">
        <f>IFERROR(__xludf.DUMMYFUNCTION("""COMPUTED_VALUE"""),0.0)</f>
        <v>0</v>
      </c>
      <c r="M319" s="26"/>
      <c r="N319" s="26"/>
      <c r="O319" s="26"/>
      <c r="P319" s="26"/>
      <c r="Q319" s="26"/>
      <c r="R319" s="26">
        <f>IFERROR(__xludf.DUMMYFUNCTION("""COMPUTED_VALUE"""),0.0)</f>
        <v>0</v>
      </c>
      <c r="S319" s="26">
        <f>IFERROR(__xludf.DUMMYFUNCTION("""COMPUTED_VALUE"""),0.0)</f>
        <v>0</v>
      </c>
      <c r="T319" s="26">
        <f>IFERROR(__xludf.DUMMYFUNCTION("""COMPUTED_VALUE"""),0.0)</f>
        <v>0</v>
      </c>
      <c r="U319" s="26">
        <f>IFERROR(__xludf.DUMMYFUNCTION("""COMPUTED_VALUE"""),0.0)</f>
        <v>0</v>
      </c>
      <c r="V319" s="26">
        <f>IFERROR(__xludf.DUMMYFUNCTION("""COMPUTED_VALUE"""),0.0)</f>
        <v>0</v>
      </c>
      <c r="W319" s="26">
        <f>IFERROR(__xludf.DUMMYFUNCTION("""COMPUTED_VALUE"""),0.0)</f>
        <v>0</v>
      </c>
      <c r="X319" s="26">
        <f>IFERROR(__xludf.DUMMYFUNCTION("""COMPUTED_VALUE"""),0.0)</f>
        <v>0</v>
      </c>
      <c r="Y319" s="26">
        <f>IFERROR(__xludf.DUMMYFUNCTION("""COMPUTED_VALUE"""),0.0)</f>
        <v>0</v>
      </c>
      <c r="Z319" s="26">
        <f>IFERROR(__xludf.DUMMYFUNCTION("""COMPUTED_VALUE"""),0.0)</f>
        <v>0</v>
      </c>
      <c r="AA319" s="26">
        <f>IFERROR(__xludf.DUMMYFUNCTION("""COMPUTED_VALUE"""),0.0)</f>
        <v>0</v>
      </c>
      <c r="AB319" s="26">
        <f>IFERROR(__xludf.DUMMYFUNCTION("""COMPUTED_VALUE"""),0.0)</f>
        <v>0</v>
      </c>
      <c r="AC319" s="26">
        <f>IFERROR(__xludf.DUMMYFUNCTION("""COMPUTED_VALUE"""),0.0)</f>
        <v>0</v>
      </c>
      <c r="AD319" s="26">
        <f>IFERROR(__xludf.DUMMYFUNCTION("""COMPUTED_VALUE"""),0.0)</f>
        <v>0</v>
      </c>
      <c r="AE319" s="26">
        <f>IFERROR(__xludf.DUMMYFUNCTION("""COMPUTED_VALUE"""),0.0)</f>
        <v>0</v>
      </c>
    </row>
    <row r="320">
      <c r="A320" s="26">
        <f>IFERROR(__xludf.DUMMYFUNCTION("""COMPUTED_VALUE"""),0.0)</f>
        <v>0</v>
      </c>
      <c r="B320" s="26">
        <f>IFERROR(__xludf.DUMMYFUNCTION("""COMPUTED_VALUE"""),0.0)</f>
        <v>0</v>
      </c>
      <c r="C320" s="26">
        <f>IFERROR(__xludf.DUMMYFUNCTION("""COMPUTED_VALUE"""),0.0)</f>
        <v>0</v>
      </c>
      <c r="D320" s="26">
        <f>IFERROR(__xludf.DUMMYFUNCTION("""COMPUTED_VALUE"""),0.0)</f>
        <v>0</v>
      </c>
      <c r="E320" s="26">
        <f>IFERROR(__xludf.DUMMYFUNCTION("""COMPUTED_VALUE"""),0.0)</f>
        <v>0</v>
      </c>
      <c r="F320" s="26">
        <f>IFERROR(__xludf.DUMMYFUNCTION("""COMPUTED_VALUE"""),0.0)</f>
        <v>0</v>
      </c>
      <c r="G320" s="26">
        <f>IFERROR(__xludf.DUMMYFUNCTION("""COMPUTED_VALUE"""),0.0)</f>
        <v>0</v>
      </c>
      <c r="H320" s="26">
        <f>IFERROR(__xludf.DUMMYFUNCTION("""COMPUTED_VALUE"""),0.0)</f>
        <v>0</v>
      </c>
      <c r="I320" s="26">
        <f>IFERROR(__xludf.DUMMYFUNCTION("""COMPUTED_VALUE"""),0.0)</f>
        <v>0</v>
      </c>
      <c r="J320" s="26">
        <f>IFERROR(__xludf.DUMMYFUNCTION("""COMPUTED_VALUE"""),0.0)</f>
        <v>0</v>
      </c>
      <c r="K320" s="26">
        <f>IFERROR(__xludf.DUMMYFUNCTION("""COMPUTED_VALUE"""),0.0)</f>
        <v>0</v>
      </c>
      <c r="L320" s="26">
        <f>IFERROR(__xludf.DUMMYFUNCTION("""COMPUTED_VALUE"""),0.0)</f>
        <v>0</v>
      </c>
      <c r="M320" s="26"/>
      <c r="N320" s="26"/>
      <c r="O320" s="26"/>
      <c r="P320" s="26"/>
      <c r="Q320" s="26"/>
      <c r="R320" s="26">
        <f>IFERROR(__xludf.DUMMYFUNCTION("""COMPUTED_VALUE"""),0.0)</f>
        <v>0</v>
      </c>
      <c r="S320" s="26">
        <f>IFERROR(__xludf.DUMMYFUNCTION("""COMPUTED_VALUE"""),0.0)</f>
        <v>0</v>
      </c>
      <c r="T320" s="26">
        <f>IFERROR(__xludf.DUMMYFUNCTION("""COMPUTED_VALUE"""),0.0)</f>
        <v>0</v>
      </c>
      <c r="U320" s="26">
        <f>IFERROR(__xludf.DUMMYFUNCTION("""COMPUTED_VALUE"""),0.0)</f>
        <v>0</v>
      </c>
      <c r="V320" s="26">
        <f>IFERROR(__xludf.DUMMYFUNCTION("""COMPUTED_VALUE"""),0.0)</f>
        <v>0</v>
      </c>
      <c r="W320" s="26">
        <f>IFERROR(__xludf.DUMMYFUNCTION("""COMPUTED_VALUE"""),0.0)</f>
        <v>0</v>
      </c>
      <c r="X320" s="26">
        <f>IFERROR(__xludf.DUMMYFUNCTION("""COMPUTED_VALUE"""),0.0)</f>
        <v>0</v>
      </c>
      <c r="Y320" s="26">
        <f>IFERROR(__xludf.DUMMYFUNCTION("""COMPUTED_VALUE"""),0.0)</f>
        <v>0</v>
      </c>
      <c r="Z320" s="26">
        <f>IFERROR(__xludf.DUMMYFUNCTION("""COMPUTED_VALUE"""),0.0)</f>
        <v>0</v>
      </c>
      <c r="AA320" s="26">
        <f>IFERROR(__xludf.DUMMYFUNCTION("""COMPUTED_VALUE"""),0.0)</f>
        <v>0</v>
      </c>
      <c r="AB320" s="26">
        <f>IFERROR(__xludf.DUMMYFUNCTION("""COMPUTED_VALUE"""),0.0)</f>
        <v>0</v>
      </c>
      <c r="AC320" s="26">
        <f>IFERROR(__xludf.DUMMYFUNCTION("""COMPUTED_VALUE"""),0.0)</f>
        <v>0</v>
      </c>
      <c r="AD320" s="26">
        <f>IFERROR(__xludf.DUMMYFUNCTION("""COMPUTED_VALUE"""),0.0)</f>
        <v>0</v>
      </c>
      <c r="AE320" s="26">
        <f>IFERROR(__xludf.DUMMYFUNCTION("""COMPUTED_VALUE"""),0.0)</f>
        <v>0</v>
      </c>
    </row>
    <row r="321">
      <c r="A321" s="26">
        <f>IFERROR(__xludf.DUMMYFUNCTION("""COMPUTED_VALUE"""),0.0)</f>
        <v>0</v>
      </c>
      <c r="B321" s="26">
        <f>IFERROR(__xludf.DUMMYFUNCTION("""COMPUTED_VALUE"""),0.0)</f>
        <v>0</v>
      </c>
      <c r="C321" s="26">
        <f>IFERROR(__xludf.DUMMYFUNCTION("""COMPUTED_VALUE"""),0.0)</f>
        <v>0</v>
      </c>
      <c r="D321" s="26">
        <f>IFERROR(__xludf.DUMMYFUNCTION("""COMPUTED_VALUE"""),0.0)</f>
        <v>0</v>
      </c>
      <c r="E321" s="26">
        <f>IFERROR(__xludf.DUMMYFUNCTION("""COMPUTED_VALUE"""),0.0)</f>
        <v>0</v>
      </c>
      <c r="F321" s="26">
        <f>IFERROR(__xludf.DUMMYFUNCTION("""COMPUTED_VALUE"""),0.0)</f>
        <v>0</v>
      </c>
      <c r="G321" s="26">
        <f>IFERROR(__xludf.DUMMYFUNCTION("""COMPUTED_VALUE"""),0.0)</f>
        <v>0</v>
      </c>
      <c r="H321" s="26">
        <f>IFERROR(__xludf.DUMMYFUNCTION("""COMPUTED_VALUE"""),0.0)</f>
        <v>0</v>
      </c>
      <c r="I321" s="26">
        <f>IFERROR(__xludf.DUMMYFUNCTION("""COMPUTED_VALUE"""),0.0)</f>
        <v>0</v>
      </c>
      <c r="J321" s="26">
        <f>IFERROR(__xludf.DUMMYFUNCTION("""COMPUTED_VALUE"""),0.0)</f>
        <v>0</v>
      </c>
      <c r="K321" s="26">
        <f>IFERROR(__xludf.DUMMYFUNCTION("""COMPUTED_VALUE"""),0.0)</f>
        <v>0</v>
      </c>
      <c r="L321" s="26">
        <f>IFERROR(__xludf.DUMMYFUNCTION("""COMPUTED_VALUE"""),0.0)</f>
        <v>0</v>
      </c>
      <c r="M321" s="26"/>
      <c r="N321" s="26"/>
      <c r="O321" s="26"/>
      <c r="P321" s="26"/>
      <c r="Q321" s="26"/>
      <c r="R321" s="26">
        <f>IFERROR(__xludf.DUMMYFUNCTION("""COMPUTED_VALUE"""),0.0)</f>
        <v>0</v>
      </c>
      <c r="S321" s="26">
        <f>IFERROR(__xludf.DUMMYFUNCTION("""COMPUTED_VALUE"""),0.0)</f>
        <v>0</v>
      </c>
      <c r="T321" s="26">
        <f>IFERROR(__xludf.DUMMYFUNCTION("""COMPUTED_VALUE"""),0.0)</f>
        <v>0</v>
      </c>
      <c r="U321" s="26">
        <f>IFERROR(__xludf.DUMMYFUNCTION("""COMPUTED_VALUE"""),0.0)</f>
        <v>0</v>
      </c>
      <c r="V321" s="26">
        <f>IFERROR(__xludf.DUMMYFUNCTION("""COMPUTED_VALUE"""),0.0)</f>
        <v>0</v>
      </c>
      <c r="W321" s="26">
        <f>IFERROR(__xludf.DUMMYFUNCTION("""COMPUTED_VALUE"""),0.0)</f>
        <v>0</v>
      </c>
      <c r="X321" s="26">
        <f>IFERROR(__xludf.DUMMYFUNCTION("""COMPUTED_VALUE"""),0.0)</f>
        <v>0</v>
      </c>
      <c r="Y321" s="26">
        <f>IFERROR(__xludf.DUMMYFUNCTION("""COMPUTED_VALUE"""),0.0)</f>
        <v>0</v>
      </c>
      <c r="Z321" s="26">
        <f>IFERROR(__xludf.DUMMYFUNCTION("""COMPUTED_VALUE"""),0.0)</f>
        <v>0</v>
      </c>
      <c r="AA321" s="26">
        <f>IFERROR(__xludf.DUMMYFUNCTION("""COMPUTED_VALUE"""),0.0)</f>
        <v>0</v>
      </c>
      <c r="AB321" s="26">
        <f>IFERROR(__xludf.DUMMYFUNCTION("""COMPUTED_VALUE"""),0.0)</f>
        <v>0</v>
      </c>
      <c r="AC321" s="26">
        <f>IFERROR(__xludf.DUMMYFUNCTION("""COMPUTED_VALUE"""),0.0)</f>
        <v>0</v>
      </c>
      <c r="AD321" s="26">
        <f>IFERROR(__xludf.DUMMYFUNCTION("""COMPUTED_VALUE"""),0.0)</f>
        <v>0</v>
      </c>
      <c r="AE321" s="26">
        <f>IFERROR(__xludf.DUMMYFUNCTION("""COMPUTED_VALUE"""),0.0)</f>
        <v>0</v>
      </c>
    </row>
    <row r="322">
      <c r="A322" s="26">
        <f>IFERROR(__xludf.DUMMYFUNCTION("""COMPUTED_VALUE"""),0.0)</f>
        <v>0</v>
      </c>
      <c r="B322" s="26">
        <f>IFERROR(__xludf.DUMMYFUNCTION("""COMPUTED_VALUE"""),0.0)</f>
        <v>0</v>
      </c>
      <c r="C322" s="26">
        <f>IFERROR(__xludf.DUMMYFUNCTION("""COMPUTED_VALUE"""),0.0)</f>
        <v>0</v>
      </c>
      <c r="D322" s="26">
        <f>IFERROR(__xludf.DUMMYFUNCTION("""COMPUTED_VALUE"""),0.0)</f>
        <v>0</v>
      </c>
      <c r="E322" s="26">
        <f>IFERROR(__xludf.DUMMYFUNCTION("""COMPUTED_VALUE"""),0.0)</f>
        <v>0</v>
      </c>
      <c r="F322" s="26">
        <f>IFERROR(__xludf.DUMMYFUNCTION("""COMPUTED_VALUE"""),0.0)</f>
        <v>0</v>
      </c>
      <c r="G322" s="26">
        <f>IFERROR(__xludf.DUMMYFUNCTION("""COMPUTED_VALUE"""),0.0)</f>
        <v>0</v>
      </c>
      <c r="H322" s="26">
        <f>IFERROR(__xludf.DUMMYFUNCTION("""COMPUTED_VALUE"""),0.0)</f>
        <v>0</v>
      </c>
      <c r="I322" s="26">
        <f>IFERROR(__xludf.DUMMYFUNCTION("""COMPUTED_VALUE"""),0.0)</f>
        <v>0</v>
      </c>
      <c r="J322" s="26">
        <f>IFERROR(__xludf.DUMMYFUNCTION("""COMPUTED_VALUE"""),0.0)</f>
        <v>0</v>
      </c>
      <c r="K322" s="26">
        <f>IFERROR(__xludf.DUMMYFUNCTION("""COMPUTED_VALUE"""),0.0)</f>
        <v>0</v>
      </c>
      <c r="L322" s="26">
        <f>IFERROR(__xludf.DUMMYFUNCTION("""COMPUTED_VALUE"""),0.0)</f>
        <v>0</v>
      </c>
      <c r="M322" s="26"/>
      <c r="N322" s="26"/>
      <c r="O322" s="26"/>
      <c r="P322" s="26"/>
      <c r="Q322" s="26"/>
      <c r="R322" s="26">
        <f>IFERROR(__xludf.DUMMYFUNCTION("""COMPUTED_VALUE"""),0.0)</f>
        <v>0</v>
      </c>
      <c r="S322" s="26">
        <f>IFERROR(__xludf.DUMMYFUNCTION("""COMPUTED_VALUE"""),0.0)</f>
        <v>0</v>
      </c>
      <c r="T322" s="26">
        <f>IFERROR(__xludf.DUMMYFUNCTION("""COMPUTED_VALUE"""),0.0)</f>
        <v>0</v>
      </c>
      <c r="U322" s="26">
        <f>IFERROR(__xludf.DUMMYFUNCTION("""COMPUTED_VALUE"""),0.0)</f>
        <v>0</v>
      </c>
      <c r="V322" s="26">
        <f>IFERROR(__xludf.DUMMYFUNCTION("""COMPUTED_VALUE"""),0.0)</f>
        <v>0</v>
      </c>
      <c r="W322" s="26">
        <f>IFERROR(__xludf.DUMMYFUNCTION("""COMPUTED_VALUE"""),0.0)</f>
        <v>0</v>
      </c>
      <c r="X322" s="26">
        <f>IFERROR(__xludf.DUMMYFUNCTION("""COMPUTED_VALUE"""),0.0)</f>
        <v>0</v>
      </c>
      <c r="Y322" s="26">
        <f>IFERROR(__xludf.DUMMYFUNCTION("""COMPUTED_VALUE"""),0.0)</f>
        <v>0</v>
      </c>
      <c r="Z322" s="26">
        <f>IFERROR(__xludf.DUMMYFUNCTION("""COMPUTED_VALUE"""),0.0)</f>
        <v>0</v>
      </c>
      <c r="AA322" s="26">
        <f>IFERROR(__xludf.DUMMYFUNCTION("""COMPUTED_VALUE"""),0.0)</f>
        <v>0</v>
      </c>
      <c r="AB322" s="26">
        <f>IFERROR(__xludf.DUMMYFUNCTION("""COMPUTED_VALUE"""),0.0)</f>
        <v>0</v>
      </c>
      <c r="AC322" s="26">
        <f>IFERROR(__xludf.DUMMYFUNCTION("""COMPUTED_VALUE"""),0.0)</f>
        <v>0</v>
      </c>
      <c r="AD322" s="26">
        <f>IFERROR(__xludf.DUMMYFUNCTION("""COMPUTED_VALUE"""),0.0)</f>
        <v>0</v>
      </c>
      <c r="AE322" s="26">
        <f>IFERROR(__xludf.DUMMYFUNCTION("""COMPUTED_VALUE"""),0.0)</f>
        <v>0</v>
      </c>
    </row>
    <row r="323">
      <c r="A323" s="26">
        <f>IFERROR(__xludf.DUMMYFUNCTION("""COMPUTED_VALUE"""),44.0)</f>
        <v>44</v>
      </c>
      <c r="B323" s="26">
        <f>IFERROR(__xludf.DUMMYFUNCTION("""COMPUTED_VALUE"""),0.0)</f>
        <v>0</v>
      </c>
      <c r="C323" s="26">
        <f>IFERROR(__xludf.DUMMYFUNCTION("""COMPUTED_VALUE"""),0.0)</f>
        <v>0</v>
      </c>
      <c r="D323" s="26">
        <f>IFERROR(__xludf.DUMMYFUNCTION("""COMPUTED_VALUE"""),0.0)</f>
        <v>0</v>
      </c>
      <c r="E323" s="26">
        <f>IFERROR(__xludf.DUMMYFUNCTION("""COMPUTED_VALUE"""),0.0)</f>
        <v>0</v>
      </c>
      <c r="F323" s="26">
        <f>IFERROR(__xludf.DUMMYFUNCTION("""COMPUTED_VALUE"""),0.0)</f>
        <v>0</v>
      </c>
      <c r="G323" s="26">
        <f>IFERROR(__xludf.DUMMYFUNCTION("""COMPUTED_VALUE"""),0.0)</f>
        <v>0</v>
      </c>
      <c r="H323" s="26">
        <f>IFERROR(__xludf.DUMMYFUNCTION("""COMPUTED_VALUE"""),0.0)</f>
        <v>0</v>
      </c>
      <c r="I323" s="26">
        <f>IFERROR(__xludf.DUMMYFUNCTION("""COMPUTED_VALUE"""),0.0)</f>
        <v>0</v>
      </c>
      <c r="J323" s="26">
        <f>IFERROR(__xludf.DUMMYFUNCTION("""COMPUTED_VALUE"""),0.0)</f>
        <v>0</v>
      </c>
      <c r="K323" s="26">
        <f>IFERROR(__xludf.DUMMYFUNCTION("""COMPUTED_VALUE"""),0.0)</f>
        <v>0</v>
      </c>
      <c r="L323" s="26">
        <f>IFERROR(__xludf.DUMMYFUNCTION("""COMPUTED_VALUE"""),0.0)</f>
        <v>0</v>
      </c>
      <c r="M323" s="26"/>
      <c r="N323" s="26"/>
      <c r="O323" s="26"/>
      <c r="P323" s="26"/>
      <c r="Q323" s="26"/>
      <c r="R323" s="26">
        <f>IFERROR(__xludf.DUMMYFUNCTION("""COMPUTED_VALUE"""),44.0)</f>
        <v>44</v>
      </c>
      <c r="S323" s="26">
        <f>IFERROR(__xludf.DUMMYFUNCTION("""COMPUTED_VALUE"""),19448.0)</f>
        <v>19448</v>
      </c>
      <c r="T323" s="26">
        <f>IFERROR(__xludf.DUMMYFUNCTION("""COMPUTED_VALUE"""),7480.0)</f>
        <v>7480</v>
      </c>
      <c r="U323" s="26">
        <f>IFERROR(__xludf.DUMMYFUNCTION("""COMPUTED_VALUE"""),10446.480000000001)</f>
        <v>10446.48</v>
      </c>
      <c r="V323" s="26">
        <f>IFERROR(__xludf.DUMMYFUNCTION("""COMPUTED_VALUE"""),0.0)</f>
        <v>0</v>
      </c>
      <c r="W323" s="26">
        <f>IFERROR(__xludf.DUMMYFUNCTION("""COMPUTED_VALUE"""),0.0)</f>
        <v>0</v>
      </c>
      <c r="X323" s="26">
        <f>IFERROR(__xludf.DUMMYFUNCTION("""COMPUTED_VALUE"""),2966.480000000002)</f>
        <v>2966.48</v>
      </c>
      <c r="Y323" s="26">
        <f>IFERROR(__xludf.DUMMYFUNCTION("""COMPUTED_VALUE"""),2966.480000000002)</f>
        <v>2966.48</v>
      </c>
      <c r="Z323" s="26">
        <f>IFERROR(__xludf.DUMMYFUNCTION("""COMPUTED_VALUE"""),0.0)</f>
        <v>0</v>
      </c>
      <c r="AA323" s="26">
        <f>IFERROR(__xludf.DUMMYFUNCTION("""COMPUTED_VALUE"""),0.0)</f>
        <v>0</v>
      </c>
      <c r="AB323" s="26">
        <f>IFERROR(__xludf.DUMMYFUNCTION("""COMPUTED_VALUE"""),0.0)</f>
        <v>0</v>
      </c>
      <c r="AC323" s="26">
        <f>IFERROR(__xludf.DUMMYFUNCTION("""COMPUTED_VALUE"""),0.0)</f>
        <v>0</v>
      </c>
      <c r="AD323" s="26">
        <f>IFERROR(__xludf.DUMMYFUNCTION("""COMPUTED_VALUE"""),0.0)</f>
        <v>0</v>
      </c>
      <c r="AE323" s="26">
        <f>IFERROR(__xludf.DUMMYFUNCTION("""COMPUTED_VALUE"""),0.0)</f>
        <v>0</v>
      </c>
    </row>
    <row r="324">
      <c r="A324" s="26">
        <f>IFERROR(__xludf.DUMMYFUNCTION("""COMPUTED_VALUE"""),35.0)</f>
        <v>35</v>
      </c>
      <c r="B324" s="26">
        <f>IFERROR(__xludf.DUMMYFUNCTION("""COMPUTED_VALUE"""),0.0)</f>
        <v>0</v>
      </c>
      <c r="C324" s="26">
        <f>IFERROR(__xludf.DUMMYFUNCTION("""COMPUTED_VALUE"""),0.0)</f>
        <v>0</v>
      </c>
      <c r="D324" s="26">
        <f>IFERROR(__xludf.DUMMYFUNCTION("""COMPUTED_VALUE"""),0.0)</f>
        <v>0</v>
      </c>
      <c r="E324" s="26">
        <f>IFERROR(__xludf.DUMMYFUNCTION("""COMPUTED_VALUE"""),0.0)</f>
        <v>0</v>
      </c>
      <c r="F324" s="26">
        <f>IFERROR(__xludf.DUMMYFUNCTION("""COMPUTED_VALUE"""),0.0)</f>
        <v>0</v>
      </c>
      <c r="G324" s="26">
        <f>IFERROR(__xludf.DUMMYFUNCTION("""COMPUTED_VALUE"""),0.0)</f>
        <v>0</v>
      </c>
      <c r="H324" s="26">
        <f>IFERROR(__xludf.DUMMYFUNCTION("""COMPUTED_VALUE"""),0.0)</f>
        <v>0</v>
      </c>
      <c r="I324" s="26">
        <f>IFERROR(__xludf.DUMMYFUNCTION("""COMPUTED_VALUE"""),0.0)</f>
        <v>0</v>
      </c>
      <c r="J324" s="26">
        <f>IFERROR(__xludf.DUMMYFUNCTION("""COMPUTED_VALUE"""),0.0)</f>
        <v>0</v>
      </c>
      <c r="K324" s="26">
        <f>IFERROR(__xludf.DUMMYFUNCTION("""COMPUTED_VALUE"""),0.0)</f>
        <v>0</v>
      </c>
      <c r="L324" s="26">
        <f>IFERROR(__xludf.DUMMYFUNCTION("""COMPUTED_VALUE"""),0.0)</f>
        <v>0</v>
      </c>
      <c r="M324" s="26"/>
      <c r="N324" s="26"/>
      <c r="O324" s="26"/>
      <c r="P324" s="26"/>
      <c r="Q324" s="26"/>
      <c r="R324" s="26">
        <f>IFERROR(__xludf.DUMMYFUNCTION("""COMPUTED_VALUE"""),35.0)</f>
        <v>35</v>
      </c>
      <c r="S324" s="26">
        <f>IFERROR(__xludf.DUMMYFUNCTION("""COMPUTED_VALUE"""),15470.0)</f>
        <v>15470</v>
      </c>
      <c r="T324" s="26">
        <f>IFERROR(__xludf.DUMMYFUNCTION("""COMPUTED_VALUE"""),5950.0)</f>
        <v>5950</v>
      </c>
      <c r="U324" s="26">
        <f>IFERROR(__xludf.DUMMYFUNCTION("""COMPUTED_VALUE"""),8309.7)</f>
        <v>8309.7</v>
      </c>
      <c r="V324" s="26">
        <f>IFERROR(__xludf.DUMMYFUNCTION("""COMPUTED_VALUE"""),0.0)</f>
        <v>0</v>
      </c>
      <c r="W324" s="26">
        <f>IFERROR(__xludf.DUMMYFUNCTION("""COMPUTED_VALUE"""),0.0)</f>
        <v>0</v>
      </c>
      <c r="X324" s="26">
        <f>IFERROR(__xludf.DUMMYFUNCTION("""COMPUTED_VALUE"""),2359.700000000001)</f>
        <v>2359.7</v>
      </c>
      <c r="Y324" s="26">
        <f>IFERROR(__xludf.DUMMYFUNCTION("""COMPUTED_VALUE"""),2359.700000000001)</f>
        <v>2359.7</v>
      </c>
      <c r="Z324" s="26">
        <f>IFERROR(__xludf.DUMMYFUNCTION("""COMPUTED_VALUE"""),0.0)</f>
        <v>0</v>
      </c>
      <c r="AA324" s="26">
        <f>IFERROR(__xludf.DUMMYFUNCTION("""COMPUTED_VALUE"""),0.0)</f>
        <v>0</v>
      </c>
      <c r="AB324" s="26">
        <f>IFERROR(__xludf.DUMMYFUNCTION("""COMPUTED_VALUE"""),0.0)</f>
        <v>0</v>
      </c>
      <c r="AC324" s="26">
        <f>IFERROR(__xludf.DUMMYFUNCTION("""COMPUTED_VALUE"""),0.0)</f>
        <v>0</v>
      </c>
      <c r="AD324" s="26">
        <f>IFERROR(__xludf.DUMMYFUNCTION("""COMPUTED_VALUE"""),0.0)</f>
        <v>0</v>
      </c>
      <c r="AE324" s="26">
        <f>IFERROR(__xludf.DUMMYFUNCTION("""COMPUTED_VALUE"""),0.0)</f>
        <v>0</v>
      </c>
    </row>
    <row r="325">
      <c r="A325" s="26">
        <f>IFERROR(__xludf.DUMMYFUNCTION("""COMPUTED_VALUE"""),1303.0)</f>
        <v>1303</v>
      </c>
      <c r="B325" s="26">
        <f>IFERROR(__xludf.DUMMYFUNCTION("""COMPUTED_VALUE"""),0.0)</f>
        <v>0</v>
      </c>
      <c r="C325" s="26">
        <f>IFERROR(__xludf.DUMMYFUNCTION("""COMPUTED_VALUE"""),0.0)</f>
        <v>0</v>
      </c>
      <c r="D325" s="26">
        <f>IFERROR(__xludf.DUMMYFUNCTION("""COMPUTED_VALUE"""),0.0)</f>
        <v>0</v>
      </c>
      <c r="E325" s="26">
        <f>IFERROR(__xludf.DUMMYFUNCTION("""COMPUTED_VALUE"""),0.0)</f>
        <v>0</v>
      </c>
      <c r="F325" s="26">
        <f>IFERROR(__xludf.DUMMYFUNCTION("""COMPUTED_VALUE"""),0.0)</f>
        <v>0</v>
      </c>
      <c r="G325" s="26">
        <f>IFERROR(__xludf.DUMMYFUNCTION("""COMPUTED_VALUE"""),0.0)</f>
        <v>0</v>
      </c>
      <c r="H325" s="26">
        <f>IFERROR(__xludf.DUMMYFUNCTION("""COMPUTED_VALUE"""),0.0)</f>
        <v>0</v>
      </c>
      <c r="I325" s="26">
        <f>IFERROR(__xludf.DUMMYFUNCTION("""COMPUTED_VALUE"""),0.0)</f>
        <v>0</v>
      </c>
      <c r="J325" s="26">
        <f>IFERROR(__xludf.DUMMYFUNCTION("""COMPUTED_VALUE"""),0.0)</f>
        <v>0</v>
      </c>
      <c r="K325" s="26">
        <f>IFERROR(__xludf.DUMMYFUNCTION("""COMPUTED_VALUE"""),0.0)</f>
        <v>0</v>
      </c>
      <c r="L325" s="26">
        <f>IFERROR(__xludf.DUMMYFUNCTION("""COMPUTED_VALUE"""),0.0)</f>
        <v>0</v>
      </c>
      <c r="M325" s="26"/>
      <c r="N325" s="26"/>
      <c r="O325" s="26"/>
      <c r="P325" s="26"/>
      <c r="Q325" s="26"/>
      <c r="R325" s="26">
        <f>IFERROR(__xludf.DUMMYFUNCTION("""COMPUTED_VALUE"""),1303.0)</f>
        <v>1303</v>
      </c>
      <c r="S325" s="26">
        <f>IFERROR(__xludf.DUMMYFUNCTION("""COMPUTED_VALUE"""),508170.0)</f>
        <v>508170</v>
      </c>
      <c r="T325" s="26">
        <f>IFERROR(__xludf.DUMMYFUNCTION("""COMPUTED_VALUE"""),170693.0)</f>
        <v>170693</v>
      </c>
      <c r="U325" s="26">
        <f>IFERROR(__xludf.DUMMYFUNCTION("""COMPUTED_VALUE"""),248208.47000000032)</f>
        <v>248208.47</v>
      </c>
      <c r="V325" s="26">
        <f>IFERROR(__xludf.DUMMYFUNCTION("""COMPUTED_VALUE"""),0.0)</f>
        <v>0</v>
      </c>
      <c r="W325" s="26">
        <f>IFERROR(__xludf.DUMMYFUNCTION("""COMPUTED_VALUE"""),0.0)</f>
        <v>0</v>
      </c>
      <c r="X325" s="26">
        <f>IFERROR(__xludf.DUMMYFUNCTION("""COMPUTED_VALUE"""),77515.47000000032)</f>
        <v>77515.47</v>
      </c>
      <c r="Y325" s="26">
        <f>IFERROR(__xludf.DUMMYFUNCTION("""COMPUTED_VALUE"""),77515.47000000032)</f>
        <v>77515.47</v>
      </c>
      <c r="Z325" s="26">
        <f>IFERROR(__xludf.DUMMYFUNCTION("""COMPUTED_VALUE"""),261212.41000000137)</f>
        <v>261212.41</v>
      </c>
      <c r="AA325" s="26">
        <f>IFERROR(__xludf.DUMMYFUNCTION("""COMPUTED_VALUE"""),261212.41000000137)</f>
        <v>261212.41</v>
      </c>
      <c r="AB325" s="26">
        <f>IFERROR(__xludf.DUMMYFUNCTION("""COMPUTED_VALUE"""),259961.5300000045)</f>
        <v>259961.53</v>
      </c>
      <c r="AC325" s="26">
        <f>IFERROR(__xludf.DUMMYFUNCTION("""COMPUTED_VALUE"""),246957.58999999863)</f>
        <v>246957.59</v>
      </c>
      <c r="AD325" s="26">
        <f>IFERROR(__xludf.DUMMYFUNCTION("""COMPUTED_VALUE"""),13003.939999999617)</f>
        <v>13003.94</v>
      </c>
      <c r="AE325" s="26">
        <f>IFERROR(__xludf.DUMMYFUNCTION("""COMPUTED_VALUE"""),0.0)</f>
        <v>0</v>
      </c>
    </row>
    <row r="326">
      <c r="A326" s="26">
        <f>IFERROR(__xludf.DUMMYFUNCTION("""COMPUTED_VALUE"""),3.0)</f>
        <v>3</v>
      </c>
      <c r="B326" s="26">
        <f>IFERROR(__xludf.DUMMYFUNCTION("""COMPUTED_VALUE"""),0.0)</f>
        <v>0</v>
      </c>
      <c r="C326" s="26">
        <f>IFERROR(__xludf.DUMMYFUNCTION("""COMPUTED_VALUE"""),0.0)</f>
        <v>0</v>
      </c>
      <c r="D326" s="26">
        <f>IFERROR(__xludf.DUMMYFUNCTION("""COMPUTED_VALUE"""),0.0)</f>
        <v>0</v>
      </c>
      <c r="E326" s="26">
        <f>IFERROR(__xludf.DUMMYFUNCTION("""COMPUTED_VALUE"""),0.0)</f>
        <v>0</v>
      </c>
      <c r="F326" s="26">
        <f>IFERROR(__xludf.DUMMYFUNCTION("""COMPUTED_VALUE"""),0.0)</f>
        <v>0</v>
      </c>
      <c r="G326" s="26">
        <f>IFERROR(__xludf.DUMMYFUNCTION("""COMPUTED_VALUE"""),0.0)</f>
        <v>0</v>
      </c>
      <c r="H326" s="26">
        <f>IFERROR(__xludf.DUMMYFUNCTION("""COMPUTED_VALUE"""),0.0)</f>
        <v>0</v>
      </c>
      <c r="I326" s="26">
        <f>IFERROR(__xludf.DUMMYFUNCTION("""COMPUTED_VALUE"""),0.0)</f>
        <v>0</v>
      </c>
      <c r="J326" s="26">
        <f>IFERROR(__xludf.DUMMYFUNCTION("""COMPUTED_VALUE"""),0.0)</f>
        <v>0</v>
      </c>
      <c r="K326" s="26">
        <f>IFERROR(__xludf.DUMMYFUNCTION("""COMPUTED_VALUE"""),0.0)</f>
        <v>0</v>
      </c>
      <c r="L326" s="26">
        <f>IFERROR(__xludf.DUMMYFUNCTION("""COMPUTED_VALUE"""),0.0)</f>
        <v>0</v>
      </c>
      <c r="M326" s="26"/>
      <c r="N326" s="26"/>
      <c r="O326" s="26"/>
      <c r="P326" s="26"/>
      <c r="Q326" s="26"/>
      <c r="R326" s="26">
        <f>IFERROR(__xludf.DUMMYFUNCTION("""COMPUTED_VALUE"""),3.0)</f>
        <v>3</v>
      </c>
      <c r="S326" s="26">
        <f>IFERROR(__xludf.DUMMYFUNCTION("""COMPUTED_VALUE"""),1170.0)</f>
        <v>1170</v>
      </c>
      <c r="T326" s="26">
        <f>IFERROR(__xludf.DUMMYFUNCTION("""COMPUTED_VALUE"""),510.0)</f>
        <v>510</v>
      </c>
      <c r="U326" s="26">
        <f>IFERROR(__xludf.DUMMYFUNCTION("""COMPUTED_VALUE"""),688.47)</f>
        <v>688.47</v>
      </c>
      <c r="V326" s="26">
        <f>IFERROR(__xludf.DUMMYFUNCTION("""COMPUTED_VALUE"""),0.0)</f>
        <v>0</v>
      </c>
      <c r="W326" s="26">
        <f>IFERROR(__xludf.DUMMYFUNCTION("""COMPUTED_VALUE"""),0.0)</f>
        <v>0</v>
      </c>
      <c r="X326" s="26">
        <f>IFERROR(__xludf.DUMMYFUNCTION("""COMPUTED_VALUE"""),178.47)</f>
        <v>178.47</v>
      </c>
      <c r="Y326" s="26">
        <f>IFERROR(__xludf.DUMMYFUNCTION("""COMPUTED_VALUE"""),178.47)</f>
        <v>178.47</v>
      </c>
      <c r="Z326" s="26">
        <f>IFERROR(__xludf.DUMMYFUNCTION("""COMPUTED_VALUE"""),712.5600000000001)</f>
        <v>712.56</v>
      </c>
      <c r="AA326" s="26">
        <f>IFERROR(__xludf.DUMMYFUNCTION("""COMPUTED_VALUE"""),712.5600000000001)</f>
        <v>712.56</v>
      </c>
      <c r="AB326" s="26">
        <f>IFERROR(__xludf.DUMMYFUNCTION("""COMPUTED_VALUE"""),481.53)</f>
        <v>481.53</v>
      </c>
      <c r="AC326" s="26">
        <f>IFERROR(__xludf.DUMMYFUNCTION("""COMPUTED_VALUE"""),457.43999999999994)</f>
        <v>457.44</v>
      </c>
      <c r="AD326" s="26">
        <f>IFERROR(__xludf.DUMMYFUNCTION("""COMPUTED_VALUE"""),24.089999999999996)</f>
        <v>24.09</v>
      </c>
      <c r="AE326" s="26">
        <f>IFERROR(__xludf.DUMMYFUNCTION("""COMPUTED_VALUE"""),0.0)</f>
        <v>0</v>
      </c>
    </row>
    <row r="327">
      <c r="A327" s="26">
        <f>IFERROR(__xludf.DUMMYFUNCTION("""COMPUTED_VALUE"""),0.0)</f>
        <v>0</v>
      </c>
      <c r="B327" s="26">
        <f>IFERROR(__xludf.DUMMYFUNCTION("""COMPUTED_VALUE"""),0.0)</f>
        <v>0</v>
      </c>
      <c r="C327" s="26">
        <f>IFERROR(__xludf.DUMMYFUNCTION("""COMPUTED_VALUE"""),0.0)</f>
        <v>0</v>
      </c>
      <c r="D327" s="26">
        <f>IFERROR(__xludf.DUMMYFUNCTION("""COMPUTED_VALUE"""),0.0)</f>
        <v>0</v>
      </c>
      <c r="E327" s="26">
        <f>IFERROR(__xludf.DUMMYFUNCTION("""COMPUTED_VALUE"""),0.0)</f>
        <v>0</v>
      </c>
      <c r="F327" s="26">
        <f>IFERROR(__xludf.DUMMYFUNCTION("""COMPUTED_VALUE"""),0.0)</f>
        <v>0</v>
      </c>
      <c r="G327" s="26">
        <f>IFERROR(__xludf.DUMMYFUNCTION("""COMPUTED_VALUE"""),0.0)</f>
        <v>0</v>
      </c>
      <c r="H327" s="26">
        <f>IFERROR(__xludf.DUMMYFUNCTION("""COMPUTED_VALUE"""),0.0)</f>
        <v>0</v>
      </c>
      <c r="I327" s="26">
        <f>IFERROR(__xludf.DUMMYFUNCTION("""COMPUTED_VALUE"""),0.0)</f>
        <v>0</v>
      </c>
      <c r="J327" s="26">
        <f>IFERROR(__xludf.DUMMYFUNCTION("""COMPUTED_VALUE"""),0.0)</f>
        <v>0</v>
      </c>
      <c r="K327" s="26">
        <f>IFERROR(__xludf.DUMMYFUNCTION("""COMPUTED_VALUE"""),0.0)</f>
        <v>0</v>
      </c>
      <c r="L327" s="26">
        <f>IFERROR(__xludf.DUMMYFUNCTION("""COMPUTED_VALUE"""),0.0)</f>
        <v>0</v>
      </c>
      <c r="M327" s="26"/>
      <c r="N327" s="26"/>
      <c r="O327" s="26"/>
      <c r="P327" s="26"/>
      <c r="Q327" s="26"/>
      <c r="R327" s="26">
        <f>IFERROR(__xludf.DUMMYFUNCTION("""COMPUTED_VALUE"""),0.0)</f>
        <v>0</v>
      </c>
      <c r="S327" s="26">
        <f>IFERROR(__xludf.DUMMYFUNCTION("""COMPUTED_VALUE"""),0.0)</f>
        <v>0</v>
      </c>
      <c r="T327" s="26">
        <f>IFERROR(__xludf.DUMMYFUNCTION("""COMPUTED_VALUE"""),0.0)</f>
        <v>0</v>
      </c>
      <c r="U327" s="26">
        <f>IFERROR(__xludf.DUMMYFUNCTION("""COMPUTED_VALUE"""),0.0)</f>
        <v>0</v>
      </c>
      <c r="V327" s="26">
        <f>IFERROR(__xludf.DUMMYFUNCTION("""COMPUTED_VALUE"""),0.0)</f>
        <v>0</v>
      </c>
      <c r="W327" s="26">
        <f>IFERROR(__xludf.DUMMYFUNCTION("""COMPUTED_VALUE"""),0.0)</f>
        <v>0</v>
      </c>
      <c r="X327" s="26">
        <f>IFERROR(__xludf.DUMMYFUNCTION("""COMPUTED_VALUE"""),0.0)</f>
        <v>0</v>
      </c>
      <c r="Y327" s="26">
        <f>IFERROR(__xludf.DUMMYFUNCTION("""COMPUTED_VALUE"""),0.0)</f>
        <v>0</v>
      </c>
      <c r="Z327" s="26">
        <f>IFERROR(__xludf.DUMMYFUNCTION("""COMPUTED_VALUE"""),0.0)</f>
        <v>0</v>
      </c>
      <c r="AA327" s="26">
        <f>IFERROR(__xludf.DUMMYFUNCTION("""COMPUTED_VALUE"""),0.0)</f>
        <v>0</v>
      </c>
      <c r="AB327" s="26">
        <f>IFERROR(__xludf.DUMMYFUNCTION("""COMPUTED_VALUE"""),0.0)</f>
        <v>0</v>
      </c>
      <c r="AC327" s="26">
        <f>IFERROR(__xludf.DUMMYFUNCTION("""COMPUTED_VALUE"""),0.0)</f>
        <v>0</v>
      </c>
      <c r="AD327" s="26">
        <f>IFERROR(__xludf.DUMMYFUNCTION("""COMPUTED_VALUE"""),0.0)</f>
        <v>0</v>
      </c>
      <c r="AE327" s="26">
        <f>IFERROR(__xludf.DUMMYFUNCTION("""COMPUTED_VALUE"""),0.0)</f>
        <v>0</v>
      </c>
    </row>
    <row r="328">
      <c r="A328" s="26">
        <f>IFERROR(__xludf.DUMMYFUNCTION("""COMPUTED_VALUE"""),165.0)</f>
        <v>165</v>
      </c>
      <c r="B328" s="26">
        <f>IFERROR(__xludf.DUMMYFUNCTION("""COMPUTED_VALUE"""),0.0)</f>
        <v>0</v>
      </c>
      <c r="C328" s="26">
        <f>IFERROR(__xludf.DUMMYFUNCTION("""COMPUTED_VALUE"""),0.0)</f>
        <v>0</v>
      </c>
      <c r="D328" s="26">
        <f>IFERROR(__xludf.DUMMYFUNCTION("""COMPUTED_VALUE"""),0.0)</f>
        <v>0</v>
      </c>
      <c r="E328" s="26">
        <f>IFERROR(__xludf.DUMMYFUNCTION("""COMPUTED_VALUE"""),0.0)</f>
        <v>0</v>
      </c>
      <c r="F328" s="26">
        <f>IFERROR(__xludf.DUMMYFUNCTION("""COMPUTED_VALUE"""),0.0)</f>
        <v>0</v>
      </c>
      <c r="G328" s="26">
        <f>IFERROR(__xludf.DUMMYFUNCTION("""COMPUTED_VALUE"""),0.0)</f>
        <v>0</v>
      </c>
      <c r="H328" s="26">
        <f>IFERROR(__xludf.DUMMYFUNCTION("""COMPUTED_VALUE"""),0.0)</f>
        <v>0</v>
      </c>
      <c r="I328" s="26">
        <f>IFERROR(__xludf.DUMMYFUNCTION("""COMPUTED_VALUE"""),0.0)</f>
        <v>0</v>
      </c>
      <c r="J328" s="26">
        <f>IFERROR(__xludf.DUMMYFUNCTION("""COMPUTED_VALUE"""),0.0)</f>
        <v>0</v>
      </c>
      <c r="K328" s="26">
        <f>IFERROR(__xludf.DUMMYFUNCTION("""COMPUTED_VALUE"""),0.0)</f>
        <v>0</v>
      </c>
      <c r="L328" s="26">
        <f>IFERROR(__xludf.DUMMYFUNCTION("""COMPUTED_VALUE"""),0.0)</f>
        <v>0</v>
      </c>
      <c r="M328" s="26"/>
      <c r="N328" s="26"/>
      <c r="O328" s="26"/>
      <c r="P328" s="26"/>
      <c r="Q328" s="26"/>
      <c r="R328" s="26">
        <f>IFERROR(__xludf.DUMMYFUNCTION("""COMPUTED_VALUE"""),165.0)</f>
        <v>165</v>
      </c>
      <c r="S328" s="26">
        <f>IFERROR(__xludf.DUMMYFUNCTION("""COMPUTED_VALUE"""),57890.0)</f>
        <v>57890</v>
      </c>
      <c r="T328" s="26">
        <f>IFERROR(__xludf.DUMMYFUNCTION("""COMPUTED_VALUE"""),25575.0)</f>
        <v>25575</v>
      </c>
      <c r="U328" s="26">
        <f>IFERROR(__xludf.DUMMYFUNCTION("""COMPUTED_VALUE"""),34404.899999999994)</f>
        <v>34404.9</v>
      </c>
      <c r="V328" s="26">
        <f>IFERROR(__xludf.DUMMYFUNCTION("""COMPUTED_VALUE"""),0.0)</f>
        <v>0</v>
      </c>
      <c r="W328" s="26">
        <f>IFERROR(__xludf.DUMMYFUNCTION("""COMPUTED_VALUE"""),0.0)</f>
        <v>0</v>
      </c>
      <c r="X328" s="26">
        <f>IFERROR(__xludf.DUMMYFUNCTION("""COMPUTED_VALUE"""),8829.89999999999)</f>
        <v>8829.9</v>
      </c>
      <c r="Y328" s="26">
        <f>IFERROR(__xludf.DUMMYFUNCTION("""COMPUTED_VALUE"""),8829.89999999999)</f>
        <v>8829.9</v>
      </c>
      <c r="Z328" s="26">
        <f>IFERROR(__xludf.DUMMYFUNCTION("""COMPUTED_VALUE"""),57890.0)</f>
        <v>57890</v>
      </c>
      <c r="AA328" s="26">
        <f>IFERROR(__xludf.DUMMYFUNCTION("""COMPUTED_VALUE"""),35579.80000000015)</f>
        <v>35579.8</v>
      </c>
      <c r="AB328" s="26">
        <f>IFERROR(__xludf.DUMMYFUNCTION("""COMPUTED_VALUE"""),23485.099999999922)</f>
        <v>23485.1</v>
      </c>
      <c r="AC328" s="26">
        <f>IFERROR(__xludf.DUMMYFUNCTION("""COMPUTED_VALUE"""),0.0)</f>
        <v>0</v>
      </c>
      <c r="AD328" s="26">
        <f>IFERROR(__xludf.DUMMYFUNCTION("""COMPUTED_VALUE"""),1174.9)</f>
        <v>1174.9</v>
      </c>
      <c r="AE328" s="26">
        <f>IFERROR(__xludf.DUMMYFUNCTION("""COMPUTED_VALUE"""),22310.19999999993)</f>
        <v>22310.2</v>
      </c>
    </row>
    <row r="329">
      <c r="A329" s="26">
        <f>IFERROR(__xludf.DUMMYFUNCTION("""COMPUTED_VALUE"""),0.0)</f>
        <v>0</v>
      </c>
      <c r="B329" s="26">
        <f>IFERROR(__xludf.DUMMYFUNCTION("""COMPUTED_VALUE"""),0.0)</f>
        <v>0</v>
      </c>
      <c r="C329" s="26">
        <f>IFERROR(__xludf.DUMMYFUNCTION("""COMPUTED_VALUE"""),0.0)</f>
        <v>0</v>
      </c>
      <c r="D329" s="26">
        <f>IFERROR(__xludf.DUMMYFUNCTION("""COMPUTED_VALUE"""),0.0)</f>
        <v>0</v>
      </c>
      <c r="E329" s="26">
        <f>IFERROR(__xludf.DUMMYFUNCTION("""COMPUTED_VALUE"""),0.0)</f>
        <v>0</v>
      </c>
      <c r="F329" s="26">
        <f>IFERROR(__xludf.DUMMYFUNCTION("""COMPUTED_VALUE"""),0.0)</f>
        <v>0</v>
      </c>
      <c r="G329" s="26">
        <f>IFERROR(__xludf.DUMMYFUNCTION("""COMPUTED_VALUE"""),0.0)</f>
        <v>0</v>
      </c>
      <c r="H329" s="26">
        <f>IFERROR(__xludf.DUMMYFUNCTION("""COMPUTED_VALUE"""),0.0)</f>
        <v>0</v>
      </c>
      <c r="I329" s="26">
        <f>IFERROR(__xludf.DUMMYFUNCTION("""COMPUTED_VALUE"""),0.0)</f>
        <v>0</v>
      </c>
      <c r="J329" s="26">
        <f>IFERROR(__xludf.DUMMYFUNCTION("""COMPUTED_VALUE"""),0.0)</f>
        <v>0</v>
      </c>
      <c r="K329" s="26">
        <f>IFERROR(__xludf.DUMMYFUNCTION("""COMPUTED_VALUE"""),0.0)</f>
        <v>0</v>
      </c>
      <c r="L329" s="26">
        <f>IFERROR(__xludf.DUMMYFUNCTION("""COMPUTED_VALUE"""),0.0)</f>
        <v>0</v>
      </c>
      <c r="M329" s="26"/>
      <c r="N329" s="26"/>
      <c r="O329" s="26"/>
      <c r="P329" s="26"/>
      <c r="Q329" s="26"/>
      <c r="R329" s="26">
        <f>IFERROR(__xludf.DUMMYFUNCTION("""COMPUTED_VALUE"""),0.0)</f>
        <v>0</v>
      </c>
      <c r="S329" s="26">
        <f>IFERROR(__xludf.DUMMYFUNCTION("""COMPUTED_VALUE"""),0.0)</f>
        <v>0</v>
      </c>
      <c r="T329" s="26">
        <f>IFERROR(__xludf.DUMMYFUNCTION("""COMPUTED_VALUE"""),0.0)</f>
        <v>0</v>
      </c>
      <c r="U329" s="26">
        <f>IFERROR(__xludf.DUMMYFUNCTION("""COMPUTED_VALUE"""),0.0)</f>
        <v>0</v>
      </c>
      <c r="V329" s="26">
        <f>IFERROR(__xludf.DUMMYFUNCTION("""COMPUTED_VALUE"""),0.0)</f>
        <v>0</v>
      </c>
      <c r="W329" s="26">
        <f>IFERROR(__xludf.DUMMYFUNCTION("""COMPUTED_VALUE"""),0.0)</f>
        <v>0</v>
      </c>
      <c r="X329" s="26">
        <f>IFERROR(__xludf.DUMMYFUNCTION("""COMPUTED_VALUE"""),0.0)</f>
        <v>0</v>
      </c>
      <c r="Y329" s="26">
        <f>IFERROR(__xludf.DUMMYFUNCTION("""COMPUTED_VALUE"""),0.0)</f>
        <v>0</v>
      </c>
      <c r="Z329" s="26">
        <f>IFERROR(__xludf.DUMMYFUNCTION("""COMPUTED_VALUE"""),0.0)</f>
        <v>0</v>
      </c>
      <c r="AA329" s="26">
        <f>IFERROR(__xludf.DUMMYFUNCTION("""COMPUTED_VALUE"""),0.0)</f>
        <v>0</v>
      </c>
      <c r="AB329" s="26">
        <f>IFERROR(__xludf.DUMMYFUNCTION("""COMPUTED_VALUE"""),0.0)</f>
        <v>0</v>
      </c>
      <c r="AC329" s="26">
        <f>IFERROR(__xludf.DUMMYFUNCTION("""COMPUTED_VALUE"""),0.0)</f>
        <v>0</v>
      </c>
      <c r="AD329" s="26">
        <f>IFERROR(__xludf.DUMMYFUNCTION("""COMPUTED_VALUE"""),0.0)</f>
        <v>0</v>
      </c>
      <c r="AE329" s="26">
        <f>IFERROR(__xludf.DUMMYFUNCTION("""COMPUTED_VALUE"""),0.0)</f>
        <v>0</v>
      </c>
    </row>
    <row r="330">
      <c r="A330" s="26">
        <f>IFERROR(__xludf.DUMMYFUNCTION("""COMPUTED_VALUE"""),71.0)</f>
        <v>71</v>
      </c>
      <c r="B330" s="26">
        <f>IFERROR(__xludf.DUMMYFUNCTION("""COMPUTED_VALUE"""),0.0)</f>
        <v>0</v>
      </c>
      <c r="C330" s="26">
        <f>IFERROR(__xludf.DUMMYFUNCTION("""COMPUTED_VALUE"""),0.0)</f>
        <v>0</v>
      </c>
      <c r="D330" s="26">
        <f>IFERROR(__xludf.DUMMYFUNCTION("""COMPUTED_VALUE"""),0.0)</f>
        <v>0</v>
      </c>
      <c r="E330" s="26">
        <f>IFERROR(__xludf.DUMMYFUNCTION("""COMPUTED_VALUE"""),0.0)</f>
        <v>0</v>
      </c>
      <c r="F330" s="26">
        <f>IFERROR(__xludf.DUMMYFUNCTION("""COMPUTED_VALUE"""),0.0)</f>
        <v>0</v>
      </c>
      <c r="G330" s="26">
        <f>IFERROR(__xludf.DUMMYFUNCTION("""COMPUTED_VALUE"""),0.0)</f>
        <v>0</v>
      </c>
      <c r="H330" s="26">
        <f>IFERROR(__xludf.DUMMYFUNCTION("""COMPUTED_VALUE"""),0.0)</f>
        <v>0</v>
      </c>
      <c r="I330" s="26">
        <f>IFERROR(__xludf.DUMMYFUNCTION("""COMPUTED_VALUE"""),0.0)</f>
        <v>0</v>
      </c>
      <c r="J330" s="26">
        <f>IFERROR(__xludf.DUMMYFUNCTION("""COMPUTED_VALUE"""),0.0)</f>
        <v>0</v>
      </c>
      <c r="K330" s="26">
        <f>IFERROR(__xludf.DUMMYFUNCTION("""COMPUTED_VALUE"""),0.0)</f>
        <v>0</v>
      </c>
      <c r="L330" s="26">
        <f>IFERROR(__xludf.DUMMYFUNCTION("""COMPUTED_VALUE"""),0.0)</f>
        <v>0</v>
      </c>
      <c r="M330" s="26"/>
      <c r="N330" s="26"/>
      <c r="O330" s="26"/>
      <c r="P330" s="26"/>
      <c r="Q330" s="26"/>
      <c r="R330" s="26">
        <f>IFERROR(__xludf.DUMMYFUNCTION("""COMPUTED_VALUE"""),71.0)</f>
        <v>71</v>
      </c>
      <c r="S330" s="26">
        <f>IFERROR(__xludf.DUMMYFUNCTION("""COMPUTED_VALUE"""),27690.0)</f>
        <v>27690</v>
      </c>
      <c r="T330" s="26">
        <f>IFERROR(__xludf.DUMMYFUNCTION("""COMPUTED_VALUE"""),12070.0)</f>
        <v>12070</v>
      </c>
      <c r="U330" s="26">
        <f>IFERROR(__xludf.DUMMYFUNCTION("""COMPUTED_VALUE"""),16293.789999999994)</f>
        <v>16293.79</v>
      </c>
      <c r="V330" s="26">
        <f>IFERROR(__xludf.DUMMYFUNCTION("""COMPUTED_VALUE"""),0.0)</f>
        <v>0</v>
      </c>
      <c r="W330" s="26">
        <f>IFERROR(__xludf.DUMMYFUNCTION("""COMPUTED_VALUE"""),0.0)</f>
        <v>0</v>
      </c>
      <c r="X330" s="26">
        <f>IFERROR(__xludf.DUMMYFUNCTION("""COMPUTED_VALUE"""),4223.789999999993)</f>
        <v>4223.79</v>
      </c>
      <c r="Y330" s="26">
        <f>IFERROR(__xludf.DUMMYFUNCTION("""COMPUTED_VALUE"""),4223.789999999993)</f>
        <v>4223.79</v>
      </c>
      <c r="Z330" s="26">
        <f>IFERROR(__xludf.DUMMYFUNCTION("""COMPUTED_VALUE"""),16863.920000000024)</f>
        <v>16863.92</v>
      </c>
      <c r="AA330" s="26">
        <f>IFERROR(__xludf.DUMMYFUNCTION("""COMPUTED_VALUE"""),16863.920000000024)</f>
        <v>16863.92</v>
      </c>
      <c r="AB330" s="26">
        <f>IFERROR(__xludf.DUMMYFUNCTION("""COMPUTED_VALUE"""),11396.210000000012)</f>
        <v>11396.21</v>
      </c>
      <c r="AC330" s="26">
        <f>IFERROR(__xludf.DUMMYFUNCTION("""COMPUTED_VALUE"""),10826.079999999982)</f>
        <v>10826.08</v>
      </c>
      <c r="AD330" s="26">
        <f>IFERROR(__xludf.DUMMYFUNCTION("""COMPUTED_VALUE"""),570.129999999999)</f>
        <v>570.13</v>
      </c>
      <c r="AE330" s="26">
        <f>IFERROR(__xludf.DUMMYFUNCTION("""COMPUTED_VALUE"""),0.0)</f>
        <v>0</v>
      </c>
    </row>
    <row r="331">
      <c r="A331" s="26">
        <f>IFERROR(__xludf.DUMMYFUNCTION("""COMPUTED_VALUE"""),0.0)</f>
        <v>0</v>
      </c>
      <c r="B331" s="26">
        <f>IFERROR(__xludf.DUMMYFUNCTION("""COMPUTED_VALUE"""),0.0)</f>
        <v>0</v>
      </c>
      <c r="C331" s="26">
        <f>IFERROR(__xludf.DUMMYFUNCTION("""COMPUTED_VALUE"""),0.0)</f>
        <v>0</v>
      </c>
      <c r="D331" s="26">
        <f>IFERROR(__xludf.DUMMYFUNCTION("""COMPUTED_VALUE"""),0.0)</f>
        <v>0</v>
      </c>
      <c r="E331" s="26">
        <f>IFERROR(__xludf.DUMMYFUNCTION("""COMPUTED_VALUE"""),0.0)</f>
        <v>0</v>
      </c>
      <c r="F331" s="26">
        <f>IFERROR(__xludf.DUMMYFUNCTION("""COMPUTED_VALUE"""),0.0)</f>
        <v>0</v>
      </c>
      <c r="G331" s="26">
        <f>IFERROR(__xludf.DUMMYFUNCTION("""COMPUTED_VALUE"""),0.0)</f>
        <v>0</v>
      </c>
      <c r="H331" s="26">
        <f>IFERROR(__xludf.DUMMYFUNCTION("""COMPUTED_VALUE"""),0.0)</f>
        <v>0</v>
      </c>
      <c r="I331" s="26">
        <f>IFERROR(__xludf.DUMMYFUNCTION("""COMPUTED_VALUE"""),0.0)</f>
        <v>0</v>
      </c>
      <c r="J331" s="26">
        <f>IFERROR(__xludf.DUMMYFUNCTION("""COMPUTED_VALUE"""),0.0)</f>
        <v>0</v>
      </c>
      <c r="K331" s="26">
        <f>IFERROR(__xludf.DUMMYFUNCTION("""COMPUTED_VALUE"""),0.0)</f>
        <v>0</v>
      </c>
      <c r="L331" s="26">
        <f>IFERROR(__xludf.DUMMYFUNCTION("""COMPUTED_VALUE"""),0.0)</f>
        <v>0</v>
      </c>
      <c r="M331" s="26"/>
      <c r="N331" s="26"/>
      <c r="O331" s="26"/>
      <c r="P331" s="26"/>
      <c r="Q331" s="26"/>
      <c r="R331" s="26">
        <f>IFERROR(__xludf.DUMMYFUNCTION("""COMPUTED_VALUE"""),0.0)</f>
        <v>0</v>
      </c>
      <c r="S331" s="26">
        <f>IFERROR(__xludf.DUMMYFUNCTION("""COMPUTED_VALUE"""),0.0)</f>
        <v>0</v>
      </c>
      <c r="T331" s="26">
        <f>IFERROR(__xludf.DUMMYFUNCTION("""COMPUTED_VALUE"""),0.0)</f>
        <v>0</v>
      </c>
      <c r="U331" s="26">
        <f>IFERROR(__xludf.DUMMYFUNCTION("""COMPUTED_VALUE"""),0.0)</f>
        <v>0</v>
      </c>
      <c r="V331" s="26">
        <f>IFERROR(__xludf.DUMMYFUNCTION("""COMPUTED_VALUE"""),0.0)</f>
        <v>0</v>
      </c>
      <c r="W331" s="26">
        <f>IFERROR(__xludf.DUMMYFUNCTION("""COMPUTED_VALUE"""),0.0)</f>
        <v>0</v>
      </c>
      <c r="X331" s="26">
        <f>IFERROR(__xludf.DUMMYFUNCTION("""COMPUTED_VALUE"""),0.0)</f>
        <v>0</v>
      </c>
      <c r="Y331" s="26">
        <f>IFERROR(__xludf.DUMMYFUNCTION("""COMPUTED_VALUE"""),0.0)</f>
        <v>0</v>
      </c>
      <c r="Z331" s="26">
        <f>IFERROR(__xludf.DUMMYFUNCTION("""COMPUTED_VALUE"""),0.0)</f>
        <v>0</v>
      </c>
      <c r="AA331" s="26">
        <f>IFERROR(__xludf.DUMMYFUNCTION("""COMPUTED_VALUE"""),0.0)</f>
        <v>0</v>
      </c>
      <c r="AB331" s="26">
        <f>IFERROR(__xludf.DUMMYFUNCTION("""COMPUTED_VALUE"""),0.0)</f>
        <v>0</v>
      </c>
      <c r="AC331" s="26">
        <f>IFERROR(__xludf.DUMMYFUNCTION("""COMPUTED_VALUE"""),0.0)</f>
        <v>0</v>
      </c>
      <c r="AD331" s="26">
        <f>IFERROR(__xludf.DUMMYFUNCTION("""COMPUTED_VALUE"""),0.0)</f>
        <v>0</v>
      </c>
      <c r="AE331" s="26">
        <f>IFERROR(__xludf.DUMMYFUNCTION("""COMPUTED_VALUE"""),0.0)</f>
        <v>0</v>
      </c>
    </row>
    <row r="332">
      <c r="A332" s="26">
        <f>IFERROR(__xludf.DUMMYFUNCTION("""COMPUTED_VALUE"""),0.0)</f>
        <v>0</v>
      </c>
      <c r="B332" s="26">
        <f>IFERROR(__xludf.DUMMYFUNCTION("""COMPUTED_VALUE"""),0.0)</f>
        <v>0</v>
      </c>
      <c r="C332" s="26">
        <f>IFERROR(__xludf.DUMMYFUNCTION("""COMPUTED_VALUE"""),0.0)</f>
        <v>0</v>
      </c>
      <c r="D332" s="26">
        <f>IFERROR(__xludf.DUMMYFUNCTION("""COMPUTED_VALUE"""),0.0)</f>
        <v>0</v>
      </c>
      <c r="E332" s="26">
        <f>IFERROR(__xludf.DUMMYFUNCTION("""COMPUTED_VALUE"""),0.0)</f>
        <v>0</v>
      </c>
      <c r="F332" s="26">
        <f>IFERROR(__xludf.DUMMYFUNCTION("""COMPUTED_VALUE"""),0.0)</f>
        <v>0</v>
      </c>
      <c r="G332" s="26">
        <f>IFERROR(__xludf.DUMMYFUNCTION("""COMPUTED_VALUE"""),0.0)</f>
        <v>0</v>
      </c>
      <c r="H332" s="26">
        <f>IFERROR(__xludf.DUMMYFUNCTION("""COMPUTED_VALUE"""),0.0)</f>
        <v>0</v>
      </c>
      <c r="I332" s="26">
        <f>IFERROR(__xludf.DUMMYFUNCTION("""COMPUTED_VALUE"""),0.0)</f>
        <v>0</v>
      </c>
      <c r="J332" s="26">
        <f>IFERROR(__xludf.DUMMYFUNCTION("""COMPUTED_VALUE"""),0.0)</f>
        <v>0</v>
      </c>
      <c r="K332" s="26">
        <f>IFERROR(__xludf.DUMMYFUNCTION("""COMPUTED_VALUE"""),0.0)</f>
        <v>0</v>
      </c>
      <c r="L332" s="26">
        <f>IFERROR(__xludf.DUMMYFUNCTION("""COMPUTED_VALUE"""),0.0)</f>
        <v>0</v>
      </c>
      <c r="M332" s="26"/>
      <c r="N332" s="26"/>
      <c r="O332" s="26"/>
      <c r="P332" s="26"/>
      <c r="Q332" s="26"/>
      <c r="R332" s="26">
        <f>IFERROR(__xludf.DUMMYFUNCTION("""COMPUTED_VALUE"""),0.0)</f>
        <v>0</v>
      </c>
      <c r="S332" s="26">
        <f>IFERROR(__xludf.DUMMYFUNCTION("""COMPUTED_VALUE"""),0.0)</f>
        <v>0</v>
      </c>
      <c r="T332" s="26">
        <f>IFERROR(__xludf.DUMMYFUNCTION("""COMPUTED_VALUE"""),0.0)</f>
        <v>0</v>
      </c>
      <c r="U332" s="26">
        <f>IFERROR(__xludf.DUMMYFUNCTION("""COMPUTED_VALUE"""),0.0)</f>
        <v>0</v>
      </c>
      <c r="V332" s="26">
        <f>IFERROR(__xludf.DUMMYFUNCTION("""COMPUTED_VALUE"""),0.0)</f>
        <v>0</v>
      </c>
      <c r="W332" s="26">
        <f>IFERROR(__xludf.DUMMYFUNCTION("""COMPUTED_VALUE"""),0.0)</f>
        <v>0</v>
      </c>
      <c r="X332" s="26">
        <f>IFERROR(__xludf.DUMMYFUNCTION("""COMPUTED_VALUE"""),0.0)</f>
        <v>0</v>
      </c>
      <c r="Y332" s="26">
        <f>IFERROR(__xludf.DUMMYFUNCTION("""COMPUTED_VALUE"""),0.0)</f>
        <v>0</v>
      </c>
      <c r="Z332" s="26">
        <f>IFERROR(__xludf.DUMMYFUNCTION("""COMPUTED_VALUE"""),0.0)</f>
        <v>0</v>
      </c>
      <c r="AA332" s="26">
        <f>IFERROR(__xludf.DUMMYFUNCTION("""COMPUTED_VALUE"""),0.0)</f>
        <v>0</v>
      </c>
      <c r="AB332" s="26">
        <f>IFERROR(__xludf.DUMMYFUNCTION("""COMPUTED_VALUE"""),0.0)</f>
        <v>0</v>
      </c>
      <c r="AC332" s="26">
        <f>IFERROR(__xludf.DUMMYFUNCTION("""COMPUTED_VALUE"""),0.0)</f>
        <v>0</v>
      </c>
      <c r="AD332" s="26">
        <f>IFERROR(__xludf.DUMMYFUNCTION("""COMPUTED_VALUE"""),0.0)</f>
        <v>0</v>
      </c>
      <c r="AE332" s="26">
        <f>IFERROR(__xludf.DUMMYFUNCTION("""COMPUTED_VALUE"""),0.0)</f>
        <v>0</v>
      </c>
    </row>
    <row r="333">
      <c r="A333" s="26">
        <f>IFERROR(__xludf.DUMMYFUNCTION("""COMPUTED_VALUE"""),1.0)</f>
        <v>1</v>
      </c>
      <c r="B333" s="26">
        <f>IFERROR(__xludf.DUMMYFUNCTION("""COMPUTED_VALUE"""),0.0)</f>
        <v>0</v>
      </c>
      <c r="C333" s="26">
        <f>IFERROR(__xludf.DUMMYFUNCTION("""COMPUTED_VALUE"""),0.0)</f>
        <v>0</v>
      </c>
      <c r="D333" s="26">
        <f>IFERROR(__xludf.DUMMYFUNCTION("""COMPUTED_VALUE"""),0.0)</f>
        <v>0</v>
      </c>
      <c r="E333" s="26">
        <f>IFERROR(__xludf.DUMMYFUNCTION("""COMPUTED_VALUE"""),0.0)</f>
        <v>0</v>
      </c>
      <c r="F333" s="26">
        <f>IFERROR(__xludf.DUMMYFUNCTION("""COMPUTED_VALUE"""),0.0)</f>
        <v>0</v>
      </c>
      <c r="G333" s="26">
        <f>IFERROR(__xludf.DUMMYFUNCTION("""COMPUTED_VALUE"""),0.0)</f>
        <v>0</v>
      </c>
      <c r="H333" s="26">
        <f>IFERROR(__xludf.DUMMYFUNCTION("""COMPUTED_VALUE"""),0.0)</f>
        <v>0</v>
      </c>
      <c r="I333" s="26">
        <f>IFERROR(__xludf.DUMMYFUNCTION("""COMPUTED_VALUE"""),0.0)</f>
        <v>0</v>
      </c>
      <c r="J333" s="26">
        <f>IFERROR(__xludf.DUMMYFUNCTION("""COMPUTED_VALUE"""),0.0)</f>
        <v>0</v>
      </c>
      <c r="K333" s="26">
        <f>IFERROR(__xludf.DUMMYFUNCTION("""COMPUTED_VALUE"""),0.0)</f>
        <v>0</v>
      </c>
      <c r="L333" s="26">
        <f>IFERROR(__xludf.DUMMYFUNCTION("""COMPUTED_VALUE"""),0.0)</f>
        <v>0</v>
      </c>
      <c r="M333" s="26"/>
      <c r="N333" s="26"/>
      <c r="O333" s="26"/>
      <c r="P333" s="26"/>
      <c r="Q333" s="26"/>
      <c r="R333" s="26">
        <f>IFERROR(__xludf.DUMMYFUNCTION("""COMPUTED_VALUE"""),1.0)</f>
        <v>1</v>
      </c>
      <c r="S333" s="26">
        <f>IFERROR(__xludf.DUMMYFUNCTION("""COMPUTED_VALUE"""),390.0)</f>
        <v>390</v>
      </c>
      <c r="T333" s="26">
        <f>IFERROR(__xludf.DUMMYFUNCTION("""COMPUTED_VALUE"""),170.0)</f>
        <v>170</v>
      </c>
      <c r="U333" s="26">
        <f>IFERROR(__xludf.DUMMYFUNCTION("""COMPUTED_VALUE"""),229.49)</f>
        <v>229.49</v>
      </c>
      <c r="V333" s="26">
        <f>IFERROR(__xludf.DUMMYFUNCTION("""COMPUTED_VALUE"""),0.0)</f>
        <v>0</v>
      </c>
      <c r="W333" s="26">
        <f>IFERROR(__xludf.DUMMYFUNCTION("""COMPUTED_VALUE"""),0.0)</f>
        <v>0</v>
      </c>
      <c r="X333" s="26">
        <f>IFERROR(__xludf.DUMMYFUNCTION("""COMPUTED_VALUE"""),59.49)</f>
        <v>59.49</v>
      </c>
      <c r="Y333" s="26">
        <f>IFERROR(__xludf.DUMMYFUNCTION("""COMPUTED_VALUE"""),59.49)</f>
        <v>59.49</v>
      </c>
      <c r="Z333" s="26">
        <f>IFERROR(__xludf.DUMMYFUNCTION("""COMPUTED_VALUE"""),390.0)</f>
        <v>390</v>
      </c>
      <c r="AA333" s="26">
        <f>IFERROR(__xludf.DUMMYFUNCTION("""COMPUTED_VALUE"""),237.52)</f>
        <v>237.52</v>
      </c>
      <c r="AB333" s="26">
        <f>IFERROR(__xludf.DUMMYFUNCTION("""COMPUTED_VALUE"""),160.51)</f>
        <v>160.51</v>
      </c>
      <c r="AC333" s="26">
        <f>IFERROR(__xludf.DUMMYFUNCTION("""COMPUTED_VALUE"""),0.0)</f>
        <v>0</v>
      </c>
      <c r="AD333" s="26">
        <f>IFERROR(__xludf.DUMMYFUNCTION("""COMPUTED_VALUE"""),8.03)</f>
        <v>8.03</v>
      </c>
      <c r="AE333" s="26">
        <f>IFERROR(__xludf.DUMMYFUNCTION("""COMPUTED_VALUE"""),152.48)</f>
        <v>152.48</v>
      </c>
    </row>
    <row r="334">
      <c r="A334" s="26">
        <f>IFERROR(__xludf.DUMMYFUNCTION("""COMPUTED_VALUE"""),5.0)</f>
        <v>5</v>
      </c>
      <c r="B334" s="26">
        <f>IFERROR(__xludf.DUMMYFUNCTION("""COMPUTED_VALUE"""),0.0)</f>
        <v>0</v>
      </c>
      <c r="C334" s="26">
        <f>IFERROR(__xludf.DUMMYFUNCTION("""COMPUTED_VALUE"""),0.0)</f>
        <v>0</v>
      </c>
      <c r="D334" s="26">
        <f>IFERROR(__xludf.DUMMYFUNCTION("""COMPUTED_VALUE"""),0.0)</f>
        <v>0</v>
      </c>
      <c r="E334" s="26">
        <f>IFERROR(__xludf.DUMMYFUNCTION("""COMPUTED_VALUE"""),0.0)</f>
        <v>0</v>
      </c>
      <c r="F334" s="26">
        <f>IFERROR(__xludf.DUMMYFUNCTION("""COMPUTED_VALUE"""),0.0)</f>
        <v>0</v>
      </c>
      <c r="G334" s="26">
        <f>IFERROR(__xludf.DUMMYFUNCTION("""COMPUTED_VALUE"""),0.0)</f>
        <v>0</v>
      </c>
      <c r="H334" s="26">
        <f>IFERROR(__xludf.DUMMYFUNCTION("""COMPUTED_VALUE"""),0.0)</f>
        <v>0</v>
      </c>
      <c r="I334" s="26">
        <f>IFERROR(__xludf.DUMMYFUNCTION("""COMPUTED_VALUE"""),0.0)</f>
        <v>0</v>
      </c>
      <c r="J334" s="26">
        <f>IFERROR(__xludf.DUMMYFUNCTION("""COMPUTED_VALUE"""),0.0)</f>
        <v>0</v>
      </c>
      <c r="K334" s="26">
        <f>IFERROR(__xludf.DUMMYFUNCTION("""COMPUTED_VALUE"""),0.0)</f>
        <v>0</v>
      </c>
      <c r="L334" s="26">
        <f>IFERROR(__xludf.DUMMYFUNCTION("""COMPUTED_VALUE"""),0.0)</f>
        <v>0</v>
      </c>
      <c r="M334" s="26"/>
      <c r="N334" s="26"/>
      <c r="O334" s="26"/>
      <c r="P334" s="26"/>
      <c r="Q334" s="26"/>
      <c r="R334" s="26">
        <f>IFERROR(__xludf.DUMMYFUNCTION("""COMPUTED_VALUE"""),5.0)</f>
        <v>5</v>
      </c>
      <c r="S334" s="26">
        <f>IFERROR(__xludf.DUMMYFUNCTION("""COMPUTED_VALUE"""),2210.0)</f>
        <v>2210</v>
      </c>
      <c r="T334" s="26">
        <f>IFERROR(__xludf.DUMMYFUNCTION("""COMPUTED_VALUE"""),875.0)</f>
        <v>875</v>
      </c>
      <c r="U334" s="26">
        <f>IFERROR(__xludf.DUMMYFUNCTION("""COMPUTED_VALUE"""),1212.1)</f>
        <v>1212.1</v>
      </c>
      <c r="V334" s="26">
        <f>IFERROR(__xludf.DUMMYFUNCTION("""COMPUTED_VALUE"""),0.0)</f>
        <v>0</v>
      </c>
      <c r="W334" s="26">
        <f>IFERROR(__xludf.DUMMYFUNCTION("""COMPUTED_VALUE"""),0.0)</f>
        <v>0</v>
      </c>
      <c r="X334" s="26">
        <f>IFERROR(__xludf.DUMMYFUNCTION("""COMPUTED_VALUE"""),337.1)</f>
        <v>337.1</v>
      </c>
      <c r="Y334" s="26">
        <f>IFERROR(__xludf.DUMMYFUNCTION("""COMPUTED_VALUE"""),337.1)</f>
        <v>337.1</v>
      </c>
      <c r="Z334" s="26">
        <f>IFERROR(__xludf.DUMMYFUNCTION("""COMPUTED_VALUE"""),1262.0)</f>
        <v>1262</v>
      </c>
      <c r="AA334" s="26">
        <f>IFERROR(__xludf.DUMMYFUNCTION("""COMPUTED_VALUE"""),1262.0)</f>
        <v>1262</v>
      </c>
      <c r="AB334" s="26">
        <f>IFERROR(__xludf.DUMMYFUNCTION("""COMPUTED_VALUE"""),997.9000000000001)</f>
        <v>997.9</v>
      </c>
      <c r="AC334" s="26">
        <f>IFERROR(__xludf.DUMMYFUNCTION("""COMPUTED_VALUE"""),948.0)</f>
        <v>948</v>
      </c>
      <c r="AD334" s="26">
        <f>IFERROR(__xludf.DUMMYFUNCTION("""COMPUTED_VALUE"""),49.900000000000006)</f>
        <v>49.9</v>
      </c>
      <c r="AE334" s="26">
        <f>IFERROR(__xludf.DUMMYFUNCTION("""COMPUTED_VALUE"""),0.0)</f>
        <v>0</v>
      </c>
    </row>
    <row r="335">
      <c r="A335" s="26">
        <f>IFERROR(__xludf.DUMMYFUNCTION("""COMPUTED_VALUE"""),205.0)</f>
        <v>205</v>
      </c>
      <c r="B335" s="26">
        <f>IFERROR(__xludf.DUMMYFUNCTION("""COMPUTED_VALUE"""),0.0)</f>
        <v>0</v>
      </c>
      <c r="C335" s="26">
        <f>IFERROR(__xludf.DUMMYFUNCTION("""COMPUTED_VALUE"""),0.0)</f>
        <v>0</v>
      </c>
      <c r="D335" s="26">
        <f>IFERROR(__xludf.DUMMYFUNCTION("""COMPUTED_VALUE"""),0.0)</f>
        <v>0</v>
      </c>
      <c r="E335" s="26">
        <f>IFERROR(__xludf.DUMMYFUNCTION("""COMPUTED_VALUE"""),0.0)</f>
        <v>0</v>
      </c>
      <c r="F335" s="26">
        <f>IFERROR(__xludf.DUMMYFUNCTION("""COMPUTED_VALUE"""),0.0)</f>
        <v>0</v>
      </c>
      <c r="G335" s="26">
        <f>IFERROR(__xludf.DUMMYFUNCTION("""COMPUTED_VALUE"""),0.0)</f>
        <v>0</v>
      </c>
      <c r="H335" s="26">
        <f>IFERROR(__xludf.DUMMYFUNCTION("""COMPUTED_VALUE"""),0.0)</f>
        <v>0</v>
      </c>
      <c r="I335" s="26">
        <f>IFERROR(__xludf.DUMMYFUNCTION("""COMPUTED_VALUE"""),0.0)</f>
        <v>0</v>
      </c>
      <c r="J335" s="26">
        <f>IFERROR(__xludf.DUMMYFUNCTION("""COMPUTED_VALUE"""),0.0)</f>
        <v>0</v>
      </c>
      <c r="K335" s="26">
        <f>IFERROR(__xludf.DUMMYFUNCTION("""COMPUTED_VALUE"""),0.0)</f>
        <v>0</v>
      </c>
      <c r="L335" s="26">
        <f>IFERROR(__xludf.DUMMYFUNCTION("""COMPUTED_VALUE"""),0.0)</f>
        <v>0</v>
      </c>
      <c r="M335" s="26"/>
      <c r="N335" s="26"/>
      <c r="O335" s="26"/>
      <c r="P335" s="26"/>
      <c r="Q335" s="26"/>
      <c r="R335" s="26">
        <f>IFERROR(__xludf.DUMMYFUNCTION("""COMPUTED_VALUE"""),205.0)</f>
        <v>205</v>
      </c>
      <c r="S335" s="26">
        <f>IFERROR(__xludf.DUMMYFUNCTION("""COMPUTED_VALUE"""),79950.0)</f>
        <v>79950</v>
      </c>
      <c r="T335" s="26">
        <f>IFERROR(__xludf.DUMMYFUNCTION("""COMPUTED_VALUE"""),32800.0)</f>
        <v>32800</v>
      </c>
      <c r="U335" s="26">
        <f>IFERROR(__xludf.DUMMYFUNCTION("""COMPUTED_VALUE"""),44995.44999999997)</f>
        <v>44995.45</v>
      </c>
      <c r="V335" s="26">
        <f>IFERROR(__xludf.DUMMYFUNCTION("""COMPUTED_VALUE"""),0.0)</f>
        <v>0</v>
      </c>
      <c r="W335" s="26">
        <f>IFERROR(__xludf.DUMMYFUNCTION("""COMPUTED_VALUE"""),0.0)</f>
        <v>0</v>
      </c>
      <c r="X335" s="26">
        <f>IFERROR(__xludf.DUMMYFUNCTION("""COMPUTED_VALUE"""),12195.449999999964)</f>
        <v>12195.45</v>
      </c>
      <c r="Y335" s="26">
        <f>IFERROR(__xludf.DUMMYFUNCTION("""COMPUTED_VALUE"""),12195.449999999964)</f>
        <v>12195.45</v>
      </c>
      <c r="Z335" s="26">
        <f>IFERROR(__xludf.DUMMYFUNCTION("""COMPUTED_VALUE"""),79950.0)</f>
        <v>79950</v>
      </c>
      <c r="AA335" s="26">
        <f>IFERROR(__xludf.DUMMYFUNCTION("""COMPUTED_VALUE"""),46744.09999999986)</f>
        <v>46744.1</v>
      </c>
      <c r="AB335" s="26">
        <f>IFERROR(__xludf.DUMMYFUNCTION("""COMPUTED_VALUE"""),34954.54999999989)</f>
        <v>34954.55</v>
      </c>
      <c r="AC335" s="26">
        <f>IFERROR(__xludf.DUMMYFUNCTION("""COMPUTED_VALUE"""),0.0)</f>
        <v>0</v>
      </c>
      <c r="AD335" s="26">
        <f>IFERROR(__xludf.DUMMYFUNCTION("""COMPUTED_VALUE"""),1748.6499999999953)</f>
        <v>1748.65</v>
      </c>
      <c r="AE335" s="26">
        <f>IFERROR(__xludf.DUMMYFUNCTION("""COMPUTED_VALUE"""),33205.89999999993)</f>
        <v>33205.9</v>
      </c>
    </row>
    <row r="336">
      <c r="A336" s="26">
        <f>IFERROR(__xludf.DUMMYFUNCTION("""COMPUTED_VALUE"""),80.0)</f>
        <v>80</v>
      </c>
      <c r="B336" s="26">
        <f>IFERROR(__xludf.DUMMYFUNCTION("""COMPUTED_VALUE"""),0.0)</f>
        <v>0</v>
      </c>
      <c r="C336" s="26">
        <f>IFERROR(__xludf.DUMMYFUNCTION("""COMPUTED_VALUE"""),0.0)</f>
        <v>0</v>
      </c>
      <c r="D336" s="26">
        <f>IFERROR(__xludf.DUMMYFUNCTION("""COMPUTED_VALUE"""),0.0)</f>
        <v>0</v>
      </c>
      <c r="E336" s="26">
        <f>IFERROR(__xludf.DUMMYFUNCTION("""COMPUTED_VALUE"""),0.0)</f>
        <v>0</v>
      </c>
      <c r="F336" s="26">
        <f>IFERROR(__xludf.DUMMYFUNCTION("""COMPUTED_VALUE"""),0.0)</f>
        <v>0</v>
      </c>
      <c r="G336" s="26">
        <f>IFERROR(__xludf.DUMMYFUNCTION("""COMPUTED_VALUE"""),0.0)</f>
        <v>0</v>
      </c>
      <c r="H336" s="26">
        <f>IFERROR(__xludf.DUMMYFUNCTION("""COMPUTED_VALUE"""),0.0)</f>
        <v>0</v>
      </c>
      <c r="I336" s="26">
        <f>IFERROR(__xludf.DUMMYFUNCTION("""COMPUTED_VALUE"""),0.0)</f>
        <v>0</v>
      </c>
      <c r="J336" s="26">
        <f>IFERROR(__xludf.DUMMYFUNCTION("""COMPUTED_VALUE"""),0.0)</f>
        <v>0</v>
      </c>
      <c r="K336" s="26">
        <f>IFERROR(__xludf.DUMMYFUNCTION("""COMPUTED_VALUE"""),0.0)</f>
        <v>0</v>
      </c>
      <c r="L336" s="26">
        <f>IFERROR(__xludf.DUMMYFUNCTION("""COMPUTED_VALUE"""),0.0)</f>
        <v>0</v>
      </c>
      <c r="M336" s="26"/>
      <c r="N336" s="26"/>
      <c r="O336" s="26"/>
      <c r="P336" s="26"/>
      <c r="Q336" s="26"/>
      <c r="R336" s="26">
        <f>IFERROR(__xludf.DUMMYFUNCTION("""COMPUTED_VALUE"""),80.0)</f>
        <v>80</v>
      </c>
      <c r="S336" s="26">
        <f>IFERROR(__xludf.DUMMYFUNCTION("""COMPUTED_VALUE"""),35360.0)</f>
        <v>35360</v>
      </c>
      <c r="T336" s="26">
        <f>IFERROR(__xludf.DUMMYFUNCTION("""COMPUTED_VALUE"""),14800.0)</f>
        <v>14800</v>
      </c>
      <c r="U336" s="26">
        <f>IFERROR(__xludf.DUMMYFUNCTION("""COMPUTED_VALUE"""),20193.600000000006)</f>
        <v>20193.6</v>
      </c>
      <c r="V336" s="26">
        <f>IFERROR(__xludf.DUMMYFUNCTION("""COMPUTED_VALUE"""),0.0)</f>
        <v>0</v>
      </c>
      <c r="W336" s="26">
        <f>IFERROR(__xludf.DUMMYFUNCTION("""COMPUTED_VALUE"""),0.0)</f>
        <v>0</v>
      </c>
      <c r="X336" s="26">
        <f>IFERROR(__xludf.DUMMYFUNCTION("""COMPUTED_VALUE"""),5393.600000000004)</f>
        <v>5393.6</v>
      </c>
      <c r="Y336" s="26">
        <f>IFERROR(__xludf.DUMMYFUNCTION("""COMPUTED_VALUE"""),5393.600000000004)</f>
        <v>5393.6</v>
      </c>
      <c r="Z336" s="26">
        <f>IFERROR(__xludf.DUMMYFUNCTION("""COMPUTED_VALUE"""),20952.00000000001)</f>
        <v>20952</v>
      </c>
      <c r="AA336" s="26">
        <f>IFERROR(__xludf.DUMMYFUNCTION("""COMPUTED_VALUE"""),20952.00000000001)</f>
        <v>20952</v>
      </c>
      <c r="AB336" s="26">
        <f>IFERROR(__xludf.DUMMYFUNCTION("""COMPUTED_VALUE"""),15166.399999999996)</f>
        <v>15166.4</v>
      </c>
      <c r="AC336" s="26">
        <f>IFERROR(__xludf.DUMMYFUNCTION("""COMPUTED_VALUE"""),14408.000000000018)</f>
        <v>14408</v>
      </c>
      <c r="AD336" s="26">
        <f>IFERROR(__xludf.DUMMYFUNCTION("""COMPUTED_VALUE"""),758.4000000000008)</f>
        <v>758.4</v>
      </c>
      <c r="AE336" s="26">
        <f>IFERROR(__xludf.DUMMYFUNCTION("""COMPUTED_VALUE"""),0.0)</f>
        <v>0</v>
      </c>
    </row>
    <row r="337">
      <c r="A337" s="26">
        <f>IFERROR(__xludf.DUMMYFUNCTION("""COMPUTED_VALUE"""),27.0)</f>
        <v>27</v>
      </c>
      <c r="B337" s="26">
        <f>IFERROR(__xludf.DUMMYFUNCTION("""COMPUTED_VALUE"""),0.0)</f>
        <v>0</v>
      </c>
      <c r="C337" s="26">
        <f>IFERROR(__xludf.DUMMYFUNCTION("""COMPUTED_VALUE"""),0.0)</f>
        <v>0</v>
      </c>
      <c r="D337" s="26">
        <f>IFERROR(__xludf.DUMMYFUNCTION("""COMPUTED_VALUE"""),0.0)</f>
        <v>0</v>
      </c>
      <c r="E337" s="26">
        <f>IFERROR(__xludf.DUMMYFUNCTION("""COMPUTED_VALUE"""),0.0)</f>
        <v>0</v>
      </c>
      <c r="F337" s="26">
        <f>IFERROR(__xludf.DUMMYFUNCTION("""COMPUTED_VALUE"""),0.0)</f>
        <v>0</v>
      </c>
      <c r="G337" s="26">
        <f>IFERROR(__xludf.DUMMYFUNCTION("""COMPUTED_VALUE"""),0.0)</f>
        <v>0</v>
      </c>
      <c r="H337" s="26">
        <f>IFERROR(__xludf.DUMMYFUNCTION("""COMPUTED_VALUE"""),0.0)</f>
        <v>0</v>
      </c>
      <c r="I337" s="26">
        <f>IFERROR(__xludf.DUMMYFUNCTION("""COMPUTED_VALUE"""),0.0)</f>
        <v>0</v>
      </c>
      <c r="J337" s="26">
        <f>IFERROR(__xludf.DUMMYFUNCTION("""COMPUTED_VALUE"""),0.0)</f>
        <v>0</v>
      </c>
      <c r="K337" s="26">
        <f>IFERROR(__xludf.DUMMYFUNCTION("""COMPUTED_VALUE"""),0.0)</f>
        <v>0</v>
      </c>
      <c r="L337" s="26">
        <f>IFERROR(__xludf.DUMMYFUNCTION("""COMPUTED_VALUE"""),0.0)</f>
        <v>0</v>
      </c>
      <c r="M337" s="26"/>
      <c r="N337" s="26"/>
      <c r="O337" s="26"/>
      <c r="P337" s="26"/>
      <c r="Q337" s="26"/>
      <c r="R337" s="26">
        <f>IFERROR(__xludf.DUMMYFUNCTION("""COMPUTED_VALUE"""),27.0)</f>
        <v>27</v>
      </c>
      <c r="S337" s="26">
        <f>IFERROR(__xludf.DUMMYFUNCTION("""COMPUTED_VALUE"""),11934.0)</f>
        <v>11934</v>
      </c>
      <c r="T337" s="26">
        <f>IFERROR(__xludf.DUMMYFUNCTION("""COMPUTED_VALUE"""),4725.0)</f>
        <v>4725</v>
      </c>
      <c r="U337" s="26">
        <f>IFERROR(__xludf.DUMMYFUNCTION("""COMPUTED_VALUE"""),6545.34)</f>
        <v>6545.34</v>
      </c>
      <c r="V337" s="26">
        <f>IFERROR(__xludf.DUMMYFUNCTION("""COMPUTED_VALUE"""),0.0)</f>
        <v>0</v>
      </c>
      <c r="W337" s="26">
        <f>IFERROR(__xludf.DUMMYFUNCTION("""COMPUTED_VALUE"""),0.0)</f>
        <v>0</v>
      </c>
      <c r="X337" s="26">
        <f>IFERROR(__xludf.DUMMYFUNCTION("""COMPUTED_VALUE"""),1820.3400000000006)</f>
        <v>1820.34</v>
      </c>
      <c r="Y337" s="26">
        <f>IFERROR(__xludf.DUMMYFUNCTION("""COMPUTED_VALUE"""),1820.3400000000006)</f>
        <v>1820.34</v>
      </c>
      <c r="Z337" s="26">
        <f>IFERROR(__xludf.DUMMYFUNCTION("""COMPUTED_VALUE"""),0.0)</f>
        <v>0</v>
      </c>
      <c r="AA337" s="26">
        <f>IFERROR(__xludf.DUMMYFUNCTION("""COMPUTED_VALUE"""),0.0)</f>
        <v>0</v>
      </c>
      <c r="AB337" s="26">
        <f>IFERROR(__xludf.DUMMYFUNCTION("""COMPUTED_VALUE"""),0.0)</f>
        <v>0</v>
      </c>
      <c r="AC337" s="26">
        <f>IFERROR(__xludf.DUMMYFUNCTION("""COMPUTED_VALUE"""),0.0)</f>
        <v>0</v>
      </c>
      <c r="AD337" s="26">
        <f>IFERROR(__xludf.DUMMYFUNCTION("""COMPUTED_VALUE"""),0.0)</f>
        <v>0</v>
      </c>
      <c r="AE337" s="26">
        <f>IFERROR(__xludf.DUMMYFUNCTION("""COMPUTED_VALUE"""),0.0)</f>
        <v>0</v>
      </c>
    </row>
    <row r="338">
      <c r="A338" s="26">
        <f>IFERROR(__xludf.DUMMYFUNCTION("""COMPUTED_VALUE"""),50.0)</f>
        <v>50</v>
      </c>
      <c r="B338" s="26">
        <f>IFERROR(__xludf.DUMMYFUNCTION("""COMPUTED_VALUE"""),0.0)</f>
        <v>0</v>
      </c>
      <c r="C338" s="26">
        <f>IFERROR(__xludf.DUMMYFUNCTION("""COMPUTED_VALUE"""),0.0)</f>
        <v>0</v>
      </c>
      <c r="D338" s="26">
        <f>IFERROR(__xludf.DUMMYFUNCTION("""COMPUTED_VALUE"""),0.0)</f>
        <v>0</v>
      </c>
      <c r="E338" s="26">
        <f>IFERROR(__xludf.DUMMYFUNCTION("""COMPUTED_VALUE"""),0.0)</f>
        <v>0</v>
      </c>
      <c r="F338" s="26">
        <f>IFERROR(__xludf.DUMMYFUNCTION("""COMPUTED_VALUE"""),0.0)</f>
        <v>0</v>
      </c>
      <c r="G338" s="26">
        <f>IFERROR(__xludf.DUMMYFUNCTION("""COMPUTED_VALUE"""),0.0)</f>
        <v>0</v>
      </c>
      <c r="H338" s="26">
        <f>IFERROR(__xludf.DUMMYFUNCTION("""COMPUTED_VALUE"""),0.0)</f>
        <v>0</v>
      </c>
      <c r="I338" s="26">
        <f>IFERROR(__xludf.DUMMYFUNCTION("""COMPUTED_VALUE"""),0.0)</f>
        <v>0</v>
      </c>
      <c r="J338" s="26">
        <f>IFERROR(__xludf.DUMMYFUNCTION("""COMPUTED_VALUE"""),0.0)</f>
        <v>0</v>
      </c>
      <c r="K338" s="26">
        <f>IFERROR(__xludf.DUMMYFUNCTION("""COMPUTED_VALUE"""),0.0)</f>
        <v>0</v>
      </c>
      <c r="L338" s="26">
        <f>IFERROR(__xludf.DUMMYFUNCTION("""COMPUTED_VALUE"""),0.0)</f>
        <v>0</v>
      </c>
      <c r="M338" s="26"/>
      <c r="N338" s="26"/>
      <c r="O338" s="26"/>
      <c r="P338" s="26"/>
      <c r="Q338" s="26"/>
      <c r="R338" s="26">
        <f>IFERROR(__xludf.DUMMYFUNCTION("""COMPUTED_VALUE"""),50.0)</f>
        <v>50</v>
      </c>
      <c r="S338" s="26">
        <f>IFERROR(__xludf.DUMMYFUNCTION("""COMPUTED_VALUE"""),22048.0)</f>
        <v>22048</v>
      </c>
      <c r="T338" s="26">
        <f>IFERROR(__xludf.DUMMYFUNCTION("""COMPUTED_VALUE"""),9250.0)</f>
        <v>9250</v>
      </c>
      <c r="U338" s="26">
        <f>IFERROR(__xludf.DUMMYFUNCTION("""COMPUTED_VALUE"""),12613.070000000002)</f>
        <v>12613.07</v>
      </c>
      <c r="V338" s="26">
        <f>IFERROR(__xludf.DUMMYFUNCTION("""COMPUTED_VALUE"""),0.0)</f>
        <v>0</v>
      </c>
      <c r="W338" s="26">
        <f>IFERROR(__xludf.DUMMYFUNCTION("""COMPUTED_VALUE"""),0.0)</f>
        <v>0</v>
      </c>
      <c r="X338" s="26">
        <f>IFERROR(__xludf.DUMMYFUNCTION("""COMPUTED_VALUE"""),3363.070000000002)</f>
        <v>3363.07</v>
      </c>
      <c r="Y338" s="26">
        <f>IFERROR(__xludf.DUMMYFUNCTION("""COMPUTED_VALUE"""),3363.070000000002)</f>
        <v>3363.07</v>
      </c>
      <c r="Z338" s="26">
        <f>IFERROR(__xludf.DUMMYFUNCTION("""COMPUTED_VALUE"""),22048.0)</f>
        <v>22048</v>
      </c>
      <c r="AA338" s="26">
        <f>IFERROR(__xludf.DUMMYFUNCTION("""COMPUTED_VALUE"""),13084.869999999988)</f>
        <v>13084.87</v>
      </c>
      <c r="AB338" s="26">
        <f>IFERROR(__xludf.DUMMYFUNCTION("""COMPUTED_VALUE"""),9434.929999999998)</f>
        <v>9434.93</v>
      </c>
      <c r="AC338" s="26">
        <f>IFERROR(__xludf.DUMMYFUNCTION("""COMPUTED_VALUE"""),0.0)</f>
        <v>0</v>
      </c>
      <c r="AD338" s="26">
        <f>IFERROR(__xludf.DUMMYFUNCTION("""COMPUTED_VALUE"""),471.8000000000003)</f>
        <v>471.8</v>
      </c>
      <c r="AE338" s="26">
        <f>IFERROR(__xludf.DUMMYFUNCTION("""COMPUTED_VALUE"""),8963.130000000008)</f>
        <v>8963.13</v>
      </c>
    </row>
    <row r="339">
      <c r="A339" s="26">
        <f>IFERROR(__xludf.DUMMYFUNCTION("""COMPUTED_VALUE"""),140.0)</f>
        <v>140</v>
      </c>
      <c r="B339" s="26">
        <f>IFERROR(__xludf.DUMMYFUNCTION("""COMPUTED_VALUE"""),0.0)</f>
        <v>0</v>
      </c>
      <c r="C339" s="26">
        <f>IFERROR(__xludf.DUMMYFUNCTION("""COMPUTED_VALUE"""),0.0)</f>
        <v>0</v>
      </c>
      <c r="D339" s="26">
        <f>IFERROR(__xludf.DUMMYFUNCTION("""COMPUTED_VALUE"""),0.0)</f>
        <v>0</v>
      </c>
      <c r="E339" s="26">
        <f>IFERROR(__xludf.DUMMYFUNCTION("""COMPUTED_VALUE"""),0.0)</f>
        <v>0</v>
      </c>
      <c r="F339" s="26">
        <f>IFERROR(__xludf.DUMMYFUNCTION("""COMPUTED_VALUE"""),0.0)</f>
        <v>0</v>
      </c>
      <c r="G339" s="26">
        <f>IFERROR(__xludf.DUMMYFUNCTION("""COMPUTED_VALUE"""),0.0)</f>
        <v>0</v>
      </c>
      <c r="H339" s="26">
        <f>IFERROR(__xludf.DUMMYFUNCTION("""COMPUTED_VALUE"""),0.0)</f>
        <v>0</v>
      </c>
      <c r="I339" s="26">
        <f>IFERROR(__xludf.DUMMYFUNCTION("""COMPUTED_VALUE"""),0.0)</f>
        <v>0</v>
      </c>
      <c r="J339" s="26">
        <f>IFERROR(__xludf.DUMMYFUNCTION("""COMPUTED_VALUE"""),0.0)</f>
        <v>0</v>
      </c>
      <c r="K339" s="26">
        <f>IFERROR(__xludf.DUMMYFUNCTION("""COMPUTED_VALUE"""),0.0)</f>
        <v>0</v>
      </c>
      <c r="L339" s="26">
        <f>IFERROR(__xludf.DUMMYFUNCTION("""COMPUTED_VALUE"""),0.0)</f>
        <v>0</v>
      </c>
      <c r="M339" s="26"/>
      <c r="N339" s="26"/>
      <c r="O339" s="26"/>
      <c r="P339" s="26"/>
      <c r="Q339" s="26"/>
      <c r="R339" s="26">
        <f>IFERROR(__xludf.DUMMYFUNCTION("""COMPUTED_VALUE"""),140.0)</f>
        <v>140</v>
      </c>
      <c r="S339" s="26">
        <f>IFERROR(__xludf.DUMMYFUNCTION("""COMPUTED_VALUE"""),61880.0)</f>
        <v>61880</v>
      </c>
      <c r="T339" s="26">
        <f>IFERROR(__xludf.DUMMYFUNCTION("""COMPUTED_VALUE"""),24500.0)</f>
        <v>24500</v>
      </c>
      <c r="U339" s="26">
        <f>IFERROR(__xludf.DUMMYFUNCTION("""COMPUTED_VALUE"""),33938.80000000001)</f>
        <v>33938.8</v>
      </c>
      <c r="V339" s="26">
        <f>IFERROR(__xludf.DUMMYFUNCTION("""COMPUTED_VALUE"""),0.0)</f>
        <v>0</v>
      </c>
      <c r="W339" s="26">
        <f>IFERROR(__xludf.DUMMYFUNCTION("""COMPUTED_VALUE"""),0.0)</f>
        <v>0</v>
      </c>
      <c r="X339" s="26">
        <f>IFERROR(__xludf.DUMMYFUNCTION("""COMPUTED_VALUE"""),9438.800000000008)</f>
        <v>9438.8</v>
      </c>
      <c r="Y339" s="26">
        <f>IFERROR(__xludf.DUMMYFUNCTION("""COMPUTED_VALUE"""),9438.800000000008)</f>
        <v>9438.8</v>
      </c>
      <c r="Z339" s="26">
        <f>IFERROR(__xludf.DUMMYFUNCTION("""COMPUTED_VALUE"""),51994.40000000019)</f>
        <v>51994.4</v>
      </c>
      <c r="AA339" s="26">
        <f>IFERROR(__xludf.DUMMYFUNCTION("""COMPUTED_VALUE"""),51994.40000000019)</f>
        <v>51994.4</v>
      </c>
      <c r="AB339" s="26">
        <f>IFERROR(__xludf.DUMMYFUNCTION("""COMPUTED_VALUE"""),41113.48000000021)</f>
        <v>41113.48</v>
      </c>
      <c r="AC339" s="26">
        <f>IFERROR(__xludf.DUMMYFUNCTION("""COMPUTED_VALUE"""),39057.59999999985)</f>
        <v>39057.6</v>
      </c>
      <c r="AD339" s="26">
        <f>IFERROR(__xludf.DUMMYFUNCTION("""COMPUTED_VALUE"""),2055.880000000003)</f>
        <v>2055.88</v>
      </c>
      <c r="AE339" s="26">
        <f>IFERROR(__xludf.DUMMYFUNCTION("""COMPUTED_VALUE"""),0.0)</f>
        <v>0</v>
      </c>
    </row>
    <row r="340">
      <c r="A340" s="26">
        <f>IFERROR(__xludf.DUMMYFUNCTION("""COMPUTED_VALUE"""),37.0)</f>
        <v>37</v>
      </c>
      <c r="B340" s="26">
        <f>IFERROR(__xludf.DUMMYFUNCTION("""COMPUTED_VALUE"""),0.0)</f>
        <v>0</v>
      </c>
      <c r="C340" s="26">
        <f>IFERROR(__xludf.DUMMYFUNCTION("""COMPUTED_VALUE"""),0.0)</f>
        <v>0</v>
      </c>
      <c r="D340" s="26">
        <f>IFERROR(__xludf.DUMMYFUNCTION("""COMPUTED_VALUE"""),0.0)</f>
        <v>0</v>
      </c>
      <c r="E340" s="26">
        <f>IFERROR(__xludf.DUMMYFUNCTION("""COMPUTED_VALUE"""),0.0)</f>
        <v>0</v>
      </c>
      <c r="F340" s="26">
        <f>IFERROR(__xludf.DUMMYFUNCTION("""COMPUTED_VALUE"""),0.0)</f>
        <v>0</v>
      </c>
      <c r="G340" s="26">
        <f>IFERROR(__xludf.DUMMYFUNCTION("""COMPUTED_VALUE"""),0.0)</f>
        <v>0</v>
      </c>
      <c r="H340" s="26">
        <f>IFERROR(__xludf.DUMMYFUNCTION("""COMPUTED_VALUE"""),0.0)</f>
        <v>0</v>
      </c>
      <c r="I340" s="26">
        <f>IFERROR(__xludf.DUMMYFUNCTION("""COMPUTED_VALUE"""),0.0)</f>
        <v>0</v>
      </c>
      <c r="J340" s="26">
        <f>IFERROR(__xludf.DUMMYFUNCTION("""COMPUTED_VALUE"""),0.0)</f>
        <v>0</v>
      </c>
      <c r="K340" s="26">
        <f>IFERROR(__xludf.DUMMYFUNCTION("""COMPUTED_VALUE"""),0.0)</f>
        <v>0</v>
      </c>
      <c r="L340" s="26">
        <f>IFERROR(__xludf.DUMMYFUNCTION("""COMPUTED_VALUE"""),0.0)</f>
        <v>0</v>
      </c>
      <c r="M340" s="26"/>
      <c r="N340" s="26"/>
      <c r="O340" s="26"/>
      <c r="P340" s="26"/>
      <c r="Q340" s="26"/>
      <c r="R340" s="26">
        <f>IFERROR(__xludf.DUMMYFUNCTION("""COMPUTED_VALUE"""),37.0)</f>
        <v>37</v>
      </c>
      <c r="S340" s="26">
        <f>IFERROR(__xludf.DUMMYFUNCTION("""COMPUTED_VALUE"""),16354.0)</f>
        <v>16354</v>
      </c>
      <c r="T340" s="26">
        <f>IFERROR(__xludf.DUMMYFUNCTION("""COMPUTED_VALUE"""),6475.0)</f>
        <v>6475</v>
      </c>
      <c r="U340" s="26">
        <f>IFERROR(__xludf.DUMMYFUNCTION("""COMPUTED_VALUE"""),8969.54)</f>
        <v>8969.54</v>
      </c>
      <c r="V340" s="26">
        <f>IFERROR(__xludf.DUMMYFUNCTION("""COMPUTED_VALUE"""),0.0)</f>
        <v>0</v>
      </c>
      <c r="W340" s="26">
        <f>IFERROR(__xludf.DUMMYFUNCTION("""COMPUTED_VALUE"""),0.0)</f>
        <v>0</v>
      </c>
      <c r="X340" s="26">
        <f>IFERROR(__xludf.DUMMYFUNCTION("""COMPUTED_VALUE"""),2494.5400000000013)</f>
        <v>2494.54</v>
      </c>
      <c r="Y340" s="26">
        <f>IFERROR(__xludf.DUMMYFUNCTION("""COMPUTED_VALUE"""),2494.5400000000013)</f>
        <v>2494.54</v>
      </c>
      <c r="Z340" s="26">
        <f>IFERROR(__xludf.DUMMYFUNCTION("""COMPUTED_VALUE"""),0.0)</f>
        <v>0</v>
      </c>
      <c r="AA340" s="26">
        <f>IFERROR(__xludf.DUMMYFUNCTION("""COMPUTED_VALUE"""),0.0)</f>
        <v>0</v>
      </c>
      <c r="AB340" s="26">
        <f>IFERROR(__xludf.DUMMYFUNCTION("""COMPUTED_VALUE"""),0.0)</f>
        <v>0</v>
      </c>
      <c r="AC340" s="26">
        <f>IFERROR(__xludf.DUMMYFUNCTION("""COMPUTED_VALUE"""),0.0)</f>
        <v>0</v>
      </c>
      <c r="AD340" s="26">
        <f>IFERROR(__xludf.DUMMYFUNCTION("""COMPUTED_VALUE"""),0.0)</f>
        <v>0</v>
      </c>
      <c r="AE340" s="26">
        <f>IFERROR(__xludf.DUMMYFUNCTION("""COMPUTED_VALUE"""),0.0)</f>
        <v>0</v>
      </c>
    </row>
    <row r="341">
      <c r="A341" s="26">
        <f>IFERROR(__xludf.DUMMYFUNCTION("""COMPUTED_VALUE"""),24.0)</f>
        <v>24</v>
      </c>
      <c r="B341" s="26">
        <f>IFERROR(__xludf.DUMMYFUNCTION("""COMPUTED_VALUE"""),0.0)</f>
        <v>0</v>
      </c>
      <c r="C341" s="26">
        <f>IFERROR(__xludf.DUMMYFUNCTION("""COMPUTED_VALUE"""),0.0)</f>
        <v>0</v>
      </c>
      <c r="D341" s="26">
        <f>IFERROR(__xludf.DUMMYFUNCTION("""COMPUTED_VALUE"""),0.0)</f>
        <v>0</v>
      </c>
      <c r="E341" s="26">
        <f>IFERROR(__xludf.DUMMYFUNCTION("""COMPUTED_VALUE"""),0.0)</f>
        <v>0</v>
      </c>
      <c r="F341" s="26">
        <f>IFERROR(__xludf.DUMMYFUNCTION("""COMPUTED_VALUE"""),0.0)</f>
        <v>0</v>
      </c>
      <c r="G341" s="26">
        <f>IFERROR(__xludf.DUMMYFUNCTION("""COMPUTED_VALUE"""),0.0)</f>
        <v>0</v>
      </c>
      <c r="H341" s="26">
        <f>IFERROR(__xludf.DUMMYFUNCTION("""COMPUTED_VALUE"""),0.0)</f>
        <v>0</v>
      </c>
      <c r="I341" s="26">
        <f>IFERROR(__xludf.DUMMYFUNCTION("""COMPUTED_VALUE"""),0.0)</f>
        <v>0</v>
      </c>
      <c r="J341" s="26">
        <f>IFERROR(__xludf.DUMMYFUNCTION("""COMPUTED_VALUE"""),0.0)</f>
        <v>0</v>
      </c>
      <c r="K341" s="26">
        <f>IFERROR(__xludf.DUMMYFUNCTION("""COMPUTED_VALUE"""),0.0)</f>
        <v>0</v>
      </c>
      <c r="L341" s="26">
        <f>IFERROR(__xludf.DUMMYFUNCTION("""COMPUTED_VALUE"""),0.0)</f>
        <v>0</v>
      </c>
      <c r="M341" s="26"/>
      <c r="N341" s="26"/>
      <c r="O341" s="26"/>
      <c r="P341" s="26"/>
      <c r="Q341" s="26"/>
      <c r="R341" s="26">
        <f>IFERROR(__xludf.DUMMYFUNCTION("""COMPUTED_VALUE"""),24.0)</f>
        <v>24</v>
      </c>
      <c r="S341" s="26">
        <f>IFERROR(__xludf.DUMMYFUNCTION("""COMPUTED_VALUE"""),10608.0)</f>
        <v>10608</v>
      </c>
      <c r="T341" s="26">
        <f>IFERROR(__xludf.DUMMYFUNCTION("""COMPUTED_VALUE"""),4200.0)</f>
        <v>4200</v>
      </c>
      <c r="U341" s="26">
        <f>IFERROR(__xludf.DUMMYFUNCTION("""COMPUTED_VALUE"""),5818.08)</f>
        <v>5818.08</v>
      </c>
      <c r="V341" s="26">
        <f>IFERROR(__xludf.DUMMYFUNCTION("""COMPUTED_VALUE"""),0.0)</f>
        <v>0</v>
      </c>
      <c r="W341" s="26">
        <f>IFERROR(__xludf.DUMMYFUNCTION("""COMPUTED_VALUE"""),0.0)</f>
        <v>0</v>
      </c>
      <c r="X341" s="26">
        <f>IFERROR(__xludf.DUMMYFUNCTION("""COMPUTED_VALUE"""),1618.0800000000004)</f>
        <v>1618.08</v>
      </c>
      <c r="Y341" s="26">
        <f>IFERROR(__xludf.DUMMYFUNCTION("""COMPUTED_VALUE"""),1618.0800000000004)</f>
        <v>1618.08</v>
      </c>
      <c r="Z341" s="26">
        <f>IFERROR(__xludf.DUMMYFUNCTION("""COMPUTED_VALUE"""),0.0)</f>
        <v>0</v>
      </c>
      <c r="AA341" s="26">
        <f>IFERROR(__xludf.DUMMYFUNCTION("""COMPUTED_VALUE"""),0.0)</f>
        <v>0</v>
      </c>
      <c r="AB341" s="26">
        <f>IFERROR(__xludf.DUMMYFUNCTION("""COMPUTED_VALUE"""),0.0)</f>
        <v>0</v>
      </c>
      <c r="AC341" s="26">
        <f>IFERROR(__xludf.DUMMYFUNCTION("""COMPUTED_VALUE"""),0.0)</f>
        <v>0</v>
      </c>
      <c r="AD341" s="26">
        <f>IFERROR(__xludf.DUMMYFUNCTION("""COMPUTED_VALUE"""),0.0)</f>
        <v>0</v>
      </c>
      <c r="AE341" s="26">
        <f>IFERROR(__xludf.DUMMYFUNCTION("""COMPUTED_VALUE"""),0.0)</f>
        <v>0</v>
      </c>
    </row>
    <row r="342">
      <c r="A342" s="26">
        <f>IFERROR(__xludf.DUMMYFUNCTION("""COMPUTED_VALUE"""),4.0)</f>
        <v>4</v>
      </c>
      <c r="B342" s="26">
        <f>IFERROR(__xludf.DUMMYFUNCTION("""COMPUTED_VALUE"""),0.0)</f>
        <v>0</v>
      </c>
      <c r="C342" s="26">
        <f>IFERROR(__xludf.DUMMYFUNCTION("""COMPUTED_VALUE"""),0.0)</f>
        <v>0</v>
      </c>
      <c r="D342" s="26">
        <f>IFERROR(__xludf.DUMMYFUNCTION("""COMPUTED_VALUE"""),0.0)</f>
        <v>0</v>
      </c>
      <c r="E342" s="26">
        <f>IFERROR(__xludf.DUMMYFUNCTION("""COMPUTED_VALUE"""),0.0)</f>
        <v>0</v>
      </c>
      <c r="F342" s="26">
        <f>IFERROR(__xludf.DUMMYFUNCTION("""COMPUTED_VALUE"""),0.0)</f>
        <v>0</v>
      </c>
      <c r="G342" s="26">
        <f>IFERROR(__xludf.DUMMYFUNCTION("""COMPUTED_VALUE"""),0.0)</f>
        <v>0</v>
      </c>
      <c r="H342" s="26">
        <f>IFERROR(__xludf.DUMMYFUNCTION("""COMPUTED_VALUE"""),0.0)</f>
        <v>0</v>
      </c>
      <c r="I342" s="26">
        <f>IFERROR(__xludf.DUMMYFUNCTION("""COMPUTED_VALUE"""),0.0)</f>
        <v>0</v>
      </c>
      <c r="J342" s="26">
        <f>IFERROR(__xludf.DUMMYFUNCTION("""COMPUTED_VALUE"""),0.0)</f>
        <v>0</v>
      </c>
      <c r="K342" s="26">
        <f>IFERROR(__xludf.DUMMYFUNCTION("""COMPUTED_VALUE"""),0.0)</f>
        <v>0</v>
      </c>
      <c r="L342" s="26">
        <f>IFERROR(__xludf.DUMMYFUNCTION("""COMPUTED_VALUE"""),0.0)</f>
        <v>0</v>
      </c>
      <c r="M342" s="26"/>
      <c r="N342" s="26"/>
      <c r="O342" s="26"/>
      <c r="P342" s="26"/>
      <c r="Q342" s="26"/>
      <c r="R342" s="26">
        <f>IFERROR(__xludf.DUMMYFUNCTION("""COMPUTED_VALUE"""),4.0)</f>
        <v>4</v>
      </c>
      <c r="S342" s="26">
        <f>IFERROR(__xludf.DUMMYFUNCTION("""COMPUTED_VALUE"""),1768.0)</f>
        <v>1768</v>
      </c>
      <c r="T342" s="26">
        <f>IFERROR(__xludf.DUMMYFUNCTION("""COMPUTED_VALUE"""),740.0)</f>
        <v>740</v>
      </c>
      <c r="U342" s="26">
        <f>IFERROR(__xludf.DUMMYFUNCTION("""COMPUTED_VALUE"""),1009.6800000000001)</f>
        <v>1009.68</v>
      </c>
      <c r="V342" s="26">
        <f>IFERROR(__xludf.DUMMYFUNCTION("""COMPUTED_VALUE"""),0.0)</f>
        <v>0</v>
      </c>
      <c r="W342" s="26">
        <f>IFERROR(__xludf.DUMMYFUNCTION("""COMPUTED_VALUE"""),0.0)</f>
        <v>0</v>
      </c>
      <c r="X342" s="26">
        <f>IFERROR(__xludf.DUMMYFUNCTION("""COMPUTED_VALUE"""),269.68)</f>
        <v>269.68</v>
      </c>
      <c r="Y342" s="26">
        <f>IFERROR(__xludf.DUMMYFUNCTION("""COMPUTED_VALUE"""),269.68)</f>
        <v>269.68</v>
      </c>
      <c r="Z342" s="26">
        <f>IFERROR(__xludf.DUMMYFUNCTION("""COMPUTED_VALUE"""),1768.0)</f>
        <v>1768</v>
      </c>
      <c r="AA342" s="26">
        <f>IFERROR(__xludf.DUMMYFUNCTION("""COMPUTED_VALUE"""),1047.6)</f>
        <v>1047.6</v>
      </c>
      <c r="AB342" s="26">
        <f>IFERROR(__xludf.DUMMYFUNCTION("""COMPUTED_VALUE"""),758.32)</f>
        <v>758.32</v>
      </c>
      <c r="AC342" s="26">
        <f>IFERROR(__xludf.DUMMYFUNCTION("""COMPUTED_VALUE"""),0.0)</f>
        <v>0</v>
      </c>
      <c r="AD342" s="26">
        <f>IFERROR(__xludf.DUMMYFUNCTION("""COMPUTED_VALUE"""),37.92)</f>
        <v>37.92</v>
      </c>
      <c r="AE342" s="26">
        <f>IFERROR(__xludf.DUMMYFUNCTION("""COMPUTED_VALUE"""),720.4)</f>
        <v>720.4</v>
      </c>
    </row>
    <row r="343">
      <c r="A343" s="26">
        <f>IFERROR(__xludf.DUMMYFUNCTION("""COMPUTED_VALUE"""),227.0)</f>
        <v>227</v>
      </c>
      <c r="B343" s="26">
        <f>IFERROR(__xludf.DUMMYFUNCTION("""COMPUTED_VALUE"""),0.0)</f>
        <v>0</v>
      </c>
      <c r="C343" s="26">
        <f>IFERROR(__xludf.DUMMYFUNCTION("""COMPUTED_VALUE"""),0.0)</f>
        <v>0</v>
      </c>
      <c r="D343" s="26">
        <f>IFERROR(__xludf.DUMMYFUNCTION("""COMPUTED_VALUE"""),0.0)</f>
        <v>0</v>
      </c>
      <c r="E343" s="26">
        <f>IFERROR(__xludf.DUMMYFUNCTION("""COMPUTED_VALUE"""),0.0)</f>
        <v>0</v>
      </c>
      <c r="F343" s="26">
        <f>IFERROR(__xludf.DUMMYFUNCTION("""COMPUTED_VALUE"""),0.0)</f>
        <v>0</v>
      </c>
      <c r="G343" s="26">
        <f>IFERROR(__xludf.DUMMYFUNCTION("""COMPUTED_VALUE"""),0.0)</f>
        <v>0</v>
      </c>
      <c r="H343" s="26">
        <f>IFERROR(__xludf.DUMMYFUNCTION("""COMPUTED_VALUE"""),0.0)</f>
        <v>0</v>
      </c>
      <c r="I343" s="26">
        <f>IFERROR(__xludf.DUMMYFUNCTION("""COMPUTED_VALUE"""),0.0)</f>
        <v>0</v>
      </c>
      <c r="J343" s="26">
        <f>IFERROR(__xludf.DUMMYFUNCTION("""COMPUTED_VALUE"""),0.0)</f>
        <v>0</v>
      </c>
      <c r="K343" s="26">
        <f>IFERROR(__xludf.DUMMYFUNCTION("""COMPUTED_VALUE"""),0.0)</f>
        <v>0</v>
      </c>
      <c r="L343" s="26">
        <f>IFERROR(__xludf.DUMMYFUNCTION("""COMPUTED_VALUE"""),0.0)</f>
        <v>0</v>
      </c>
      <c r="M343" s="26"/>
      <c r="N343" s="26"/>
      <c r="O343" s="26"/>
      <c r="P343" s="26"/>
      <c r="Q343" s="26"/>
      <c r="R343" s="26">
        <f>IFERROR(__xludf.DUMMYFUNCTION("""COMPUTED_VALUE"""),227.0)</f>
        <v>227</v>
      </c>
      <c r="S343" s="26">
        <f>IFERROR(__xludf.DUMMYFUNCTION("""COMPUTED_VALUE"""),100334.0)</f>
        <v>100334</v>
      </c>
      <c r="T343" s="26">
        <f>IFERROR(__xludf.DUMMYFUNCTION("""COMPUTED_VALUE"""),41995.0)</f>
        <v>41995</v>
      </c>
      <c r="U343" s="26">
        <f>IFERROR(__xludf.DUMMYFUNCTION("""COMPUTED_VALUE"""),57299.34000000001)</f>
        <v>57299.34</v>
      </c>
      <c r="V343" s="26">
        <f>IFERROR(__xludf.DUMMYFUNCTION("""COMPUTED_VALUE"""),0.0)</f>
        <v>0</v>
      </c>
      <c r="W343" s="26">
        <f>IFERROR(__xludf.DUMMYFUNCTION("""COMPUTED_VALUE"""),0.0)</f>
        <v>0</v>
      </c>
      <c r="X343" s="26">
        <f>IFERROR(__xludf.DUMMYFUNCTION("""COMPUTED_VALUE"""),15304.340000000015)</f>
        <v>15304.34</v>
      </c>
      <c r="Y343" s="26">
        <f>IFERROR(__xludf.DUMMYFUNCTION("""COMPUTED_VALUE"""),15304.340000000015)</f>
        <v>15304.34</v>
      </c>
      <c r="Z343" s="26">
        <f>IFERROR(__xludf.DUMMYFUNCTION("""COMPUTED_VALUE"""),171282.5999999979)</f>
        <v>171282.6</v>
      </c>
      <c r="AA343" s="26">
        <f>IFERROR(__xludf.DUMMYFUNCTION("""COMPUTED_VALUE"""),171282.5999999979)</f>
        <v>171282.6</v>
      </c>
      <c r="AB343" s="26">
        <f>IFERROR(__xludf.DUMMYFUNCTION("""COMPUTED_VALUE"""),123985.32000000098)</f>
        <v>123985.32</v>
      </c>
      <c r="AC343" s="26">
        <f>IFERROR(__xludf.DUMMYFUNCTION("""COMPUTED_VALUE"""),117785.40000000132)</f>
        <v>117785.4</v>
      </c>
      <c r="AD343" s="26">
        <f>IFERROR(__xludf.DUMMYFUNCTION("""COMPUTED_VALUE"""),6199.91999999991)</f>
        <v>6199.92</v>
      </c>
      <c r="AE343" s="26">
        <f>IFERROR(__xludf.DUMMYFUNCTION("""COMPUTED_VALUE"""),0.0)</f>
        <v>0</v>
      </c>
    </row>
    <row r="344">
      <c r="A344" s="26">
        <f>IFERROR(__xludf.DUMMYFUNCTION("""COMPUTED_VALUE"""),125.0)</f>
        <v>125</v>
      </c>
      <c r="B344" s="26">
        <f>IFERROR(__xludf.DUMMYFUNCTION("""COMPUTED_VALUE"""),0.0)</f>
        <v>0</v>
      </c>
      <c r="C344" s="26">
        <f>IFERROR(__xludf.DUMMYFUNCTION("""COMPUTED_VALUE"""),0.0)</f>
        <v>0</v>
      </c>
      <c r="D344" s="26">
        <f>IFERROR(__xludf.DUMMYFUNCTION("""COMPUTED_VALUE"""),0.0)</f>
        <v>0</v>
      </c>
      <c r="E344" s="26">
        <f>IFERROR(__xludf.DUMMYFUNCTION("""COMPUTED_VALUE"""),0.0)</f>
        <v>0</v>
      </c>
      <c r="F344" s="26">
        <f>IFERROR(__xludf.DUMMYFUNCTION("""COMPUTED_VALUE"""),0.0)</f>
        <v>0</v>
      </c>
      <c r="G344" s="26">
        <f>IFERROR(__xludf.DUMMYFUNCTION("""COMPUTED_VALUE"""),0.0)</f>
        <v>0</v>
      </c>
      <c r="H344" s="26">
        <f>IFERROR(__xludf.DUMMYFUNCTION("""COMPUTED_VALUE"""),0.0)</f>
        <v>0</v>
      </c>
      <c r="I344" s="26">
        <f>IFERROR(__xludf.DUMMYFUNCTION("""COMPUTED_VALUE"""),0.0)</f>
        <v>0</v>
      </c>
      <c r="J344" s="26">
        <f>IFERROR(__xludf.DUMMYFUNCTION("""COMPUTED_VALUE"""),0.0)</f>
        <v>0</v>
      </c>
      <c r="K344" s="26">
        <f>IFERROR(__xludf.DUMMYFUNCTION("""COMPUTED_VALUE"""),0.0)</f>
        <v>0</v>
      </c>
      <c r="L344" s="26">
        <f>IFERROR(__xludf.DUMMYFUNCTION("""COMPUTED_VALUE"""),0.0)</f>
        <v>0</v>
      </c>
      <c r="M344" s="26"/>
      <c r="N344" s="26"/>
      <c r="O344" s="26"/>
      <c r="P344" s="26"/>
      <c r="Q344" s="26"/>
      <c r="R344" s="26">
        <f>IFERROR(__xludf.DUMMYFUNCTION("""COMPUTED_VALUE"""),125.0)</f>
        <v>125</v>
      </c>
      <c r="S344" s="26">
        <f>IFERROR(__xludf.DUMMYFUNCTION("""COMPUTED_VALUE"""),48750.0)</f>
        <v>48750</v>
      </c>
      <c r="T344" s="26">
        <f>IFERROR(__xludf.DUMMYFUNCTION("""COMPUTED_VALUE"""),20000.0)</f>
        <v>20000</v>
      </c>
      <c r="U344" s="26">
        <f>IFERROR(__xludf.DUMMYFUNCTION("""COMPUTED_VALUE"""),27436.24999999998)</f>
        <v>27436.25</v>
      </c>
      <c r="V344" s="26">
        <f>IFERROR(__xludf.DUMMYFUNCTION("""COMPUTED_VALUE"""),0.0)</f>
        <v>0</v>
      </c>
      <c r="W344" s="26">
        <f>IFERROR(__xludf.DUMMYFUNCTION("""COMPUTED_VALUE"""),0.0)</f>
        <v>0</v>
      </c>
      <c r="X344" s="26">
        <f>IFERROR(__xludf.DUMMYFUNCTION("""COMPUTED_VALUE"""),7436.249999999981)</f>
        <v>7436.25</v>
      </c>
      <c r="Y344" s="26">
        <f>IFERROR(__xludf.DUMMYFUNCTION("""COMPUTED_VALUE"""),7436.249999999981)</f>
        <v>7436.25</v>
      </c>
      <c r="Z344" s="26">
        <f>IFERROR(__xludf.DUMMYFUNCTION("""COMPUTED_VALUE"""),28502.500000000047)</f>
        <v>28502.5</v>
      </c>
      <c r="AA344" s="26">
        <f>IFERROR(__xludf.DUMMYFUNCTION("""COMPUTED_VALUE"""),28502.500000000047)</f>
        <v>28502.5</v>
      </c>
      <c r="AB344" s="26">
        <f>IFERROR(__xludf.DUMMYFUNCTION("""COMPUTED_VALUE"""),21313.74999999997)</f>
        <v>21313.75</v>
      </c>
      <c r="AC344" s="26">
        <f>IFERROR(__xludf.DUMMYFUNCTION("""COMPUTED_VALUE"""),20247.499999999956)</f>
        <v>20247.5</v>
      </c>
      <c r="AD344" s="26">
        <f>IFERROR(__xludf.DUMMYFUNCTION("""COMPUTED_VALUE"""),1066.2499999999975)</f>
        <v>1066.25</v>
      </c>
      <c r="AE344" s="26">
        <f>IFERROR(__xludf.DUMMYFUNCTION("""COMPUTED_VALUE"""),0.0)</f>
        <v>0</v>
      </c>
    </row>
    <row r="345">
      <c r="A345" s="26">
        <f>IFERROR(__xludf.DUMMYFUNCTION("""COMPUTED_VALUE"""),55.0)</f>
        <v>55</v>
      </c>
      <c r="B345" s="26">
        <f>IFERROR(__xludf.DUMMYFUNCTION("""COMPUTED_VALUE"""),0.0)</f>
        <v>0</v>
      </c>
      <c r="C345" s="26">
        <f>IFERROR(__xludf.DUMMYFUNCTION("""COMPUTED_VALUE"""),0.0)</f>
        <v>0</v>
      </c>
      <c r="D345" s="26">
        <f>IFERROR(__xludf.DUMMYFUNCTION("""COMPUTED_VALUE"""),0.0)</f>
        <v>0</v>
      </c>
      <c r="E345" s="26">
        <f>IFERROR(__xludf.DUMMYFUNCTION("""COMPUTED_VALUE"""),0.0)</f>
        <v>0</v>
      </c>
      <c r="F345" s="26">
        <f>IFERROR(__xludf.DUMMYFUNCTION("""COMPUTED_VALUE"""),0.0)</f>
        <v>0</v>
      </c>
      <c r="G345" s="26">
        <f>IFERROR(__xludf.DUMMYFUNCTION("""COMPUTED_VALUE"""),0.0)</f>
        <v>0</v>
      </c>
      <c r="H345" s="26">
        <f>IFERROR(__xludf.DUMMYFUNCTION("""COMPUTED_VALUE"""),0.0)</f>
        <v>0</v>
      </c>
      <c r="I345" s="26">
        <f>IFERROR(__xludf.DUMMYFUNCTION("""COMPUTED_VALUE"""),0.0)</f>
        <v>0</v>
      </c>
      <c r="J345" s="26">
        <f>IFERROR(__xludf.DUMMYFUNCTION("""COMPUTED_VALUE"""),0.0)</f>
        <v>0</v>
      </c>
      <c r="K345" s="26">
        <f>IFERROR(__xludf.DUMMYFUNCTION("""COMPUTED_VALUE"""),0.0)</f>
        <v>0</v>
      </c>
      <c r="L345" s="26">
        <f>IFERROR(__xludf.DUMMYFUNCTION("""COMPUTED_VALUE"""),0.0)</f>
        <v>0</v>
      </c>
      <c r="M345" s="26"/>
      <c r="N345" s="26"/>
      <c r="O345" s="26"/>
      <c r="P345" s="26"/>
      <c r="Q345" s="26"/>
      <c r="R345" s="26">
        <f>IFERROR(__xludf.DUMMYFUNCTION("""COMPUTED_VALUE"""),55.0)</f>
        <v>55</v>
      </c>
      <c r="S345" s="26">
        <f>IFERROR(__xludf.DUMMYFUNCTION("""COMPUTED_VALUE"""),24310.0)</f>
        <v>24310</v>
      </c>
      <c r="T345" s="26">
        <f>IFERROR(__xludf.DUMMYFUNCTION("""COMPUTED_VALUE"""),10175.0)</f>
        <v>10175</v>
      </c>
      <c r="U345" s="26">
        <f>IFERROR(__xludf.DUMMYFUNCTION("""COMPUTED_VALUE"""),13883.100000000002)</f>
        <v>13883.1</v>
      </c>
      <c r="V345" s="26">
        <f>IFERROR(__xludf.DUMMYFUNCTION("""COMPUTED_VALUE"""),0.0)</f>
        <v>0</v>
      </c>
      <c r="W345" s="26">
        <f>IFERROR(__xludf.DUMMYFUNCTION("""COMPUTED_VALUE"""),0.0)</f>
        <v>0</v>
      </c>
      <c r="X345" s="26">
        <f>IFERROR(__xludf.DUMMYFUNCTION("""COMPUTED_VALUE"""),3708.1000000000026)</f>
        <v>3708.1</v>
      </c>
      <c r="Y345" s="26">
        <f>IFERROR(__xludf.DUMMYFUNCTION("""COMPUTED_VALUE"""),3708.1000000000026)</f>
        <v>3708.1</v>
      </c>
      <c r="Z345" s="26">
        <f>IFERROR(__xludf.DUMMYFUNCTION("""COMPUTED_VALUE"""),24310.0)</f>
        <v>24310</v>
      </c>
      <c r="AA345" s="26">
        <f>IFERROR(__xludf.DUMMYFUNCTION("""COMPUTED_VALUE"""),14404.499999999987)</f>
        <v>14404.5</v>
      </c>
      <c r="AB345" s="26">
        <f>IFERROR(__xludf.DUMMYFUNCTION("""COMPUTED_VALUE"""),10426.899999999998)</f>
        <v>10426.9</v>
      </c>
      <c r="AC345" s="26">
        <f>IFERROR(__xludf.DUMMYFUNCTION("""COMPUTED_VALUE"""),0.0)</f>
        <v>0</v>
      </c>
      <c r="AD345" s="26">
        <f>IFERROR(__xludf.DUMMYFUNCTION("""COMPUTED_VALUE"""),521.4000000000003)</f>
        <v>521.4</v>
      </c>
      <c r="AE345" s="26">
        <f>IFERROR(__xludf.DUMMYFUNCTION("""COMPUTED_VALUE"""),9905.50000000001)</f>
        <v>9905.5</v>
      </c>
    </row>
    <row r="346">
      <c r="A346" s="26">
        <f>IFERROR(__xludf.DUMMYFUNCTION("""COMPUTED_VALUE"""),350.0)</f>
        <v>350</v>
      </c>
      <c r="B346" s="26">
        <f>IFERROR(__xludf.DUMMYFUNCTION("""COMPUTED_VALUE"""),0.0)</f>
        <v>0</v>
      </c>
      <c r="C346" s="26">
        <f>IFERROR(__xludf.DUMMYFUNCTION("""COMPUTED_VALUE"""),0.0)</f>
        <v>0</v>
      </c>
      <c r="D346" s="26">
        <f>IFERROR(__xludf.DUMMYFUNCTION("""COMPUTED_VALUE"""),0.0)</f>
        <v>0</v>
      </c>
      <c r="E346" s="26">
        <f>IFERROR(__xludf.DUMMYFUNCTION("""COMPUTED_VALUE"""),0.0)</f>
        <v>0</v>
      </c>
      <c r="F346" s="26">
        <f>IFERROR(__xludf.DUMMYFUNCTION("""COMPUTED_VALUE"""),0.0)</f>
        <v>0</v>
      </c>
      <c r="G346" s="26">
        <f>IFERROR(__xludf.DUMMYFUNCTION("""COMPUTED_VALUE"""),0.0)</f>
        <v>0</v>
      </c>
      <c r="H346" s="26">
        <f>IFERROR(__xludf.DUMMYFUNCTION("""COMPUTED_VALUE"""),0.0)</f>
        <v>0</v>
      </c>
      <c r="I346" s="26">
        <f>IFERROR(__xludf.DUMMYFUNCTION("""COMPUTED_VALUE"""),0.0)</f>
        <v>0</v>
      </c>
      <c r="J346" s="26">
        <f>IFERROR(__xludf.DUMMYFUNCTION("""COMPUTED_VALUE"""),0.0)</f>
        <v>0</v>
      </c>
      <c r="K346" s="26">
        <f>IFERROR(__xludf.DUMMYFUNCTION("""COMPUTED_VALUE"""),0.0)</f>
        <v>0</v>
      </c>
      <c r="L346" s="26">
        <f>IFERROR(__xludf.DUMMYFUNCTION("""COMPUTED_VALUE"""),0.0)</f>
        <v>0</v>
      </c>
      <c r="M346" s="26"/>
      <c r="N346" s="26"/>
      <c r="O346" s="26"/>
      <c r="P346" s="26"/>
      <c r="Q346" s="26"/>
      <c r="R346" s="26">
        <f>IFERROR(__xludf.DUMMYFUNCTION("""COMPUTED_VALUE"""),350.0)</f>
        <v>350</v>
      </c>
      <c r="S346" s="26">
        <f>IFERROR(__xludf.DUMMYFUNCTION("""COMPUTED_VALUE"""),154700.0)</f>
        <v>154700</v>
      </c>
      <c r="T346" s="26">
        <f>IFERROR(__xludf.DUMMYFUNCTION("""COMPUTED_VALUE"""),64750.0)</f>
        <v>64750</v>
      </c>
      <c r="U346" s="26">
        <f>IFERROR(__xludf.DUMMYFUNCTION("""COMPUTED_VALUE"""),88346.99999999983)</f>
        <v>88347</v>
      </c>
      <c r="V346" s="26">
        <f>IFERROR(__xludf.DUMMYFUNCTION("""COMPUTED_VALUE"""),0.0)</f>
        <v>0</v>
      </c>
      <c r="W346" s="26">
        <f>IFERROR(__xludf.DUMMYFUNCTION("""COMPUTED_VALUE"""),0.0)</f>
        <v>0</v>
      </c>
      <c r="X346" s="26">
        <f>IFERROR(__xludf.DUMMYFUNCTION("""COMPUTED_VALUE"""),23596.99999999983)</f>
        <v>23597</v>
      </c>
      <c r="Y346" s="26">
        <f>IFERROR(__xludf.DUMMYFUNCTION("""COMPUTED_VALUE"""),23596.99999999983)</f>
        <v>23597</v>
      </c>
      <c r="Z346" s="26">
        <f>IFERROR(__xludf.DUMMYFUNCTION("""COMPUTED_VALUE"""),0.0)</f>
        <v>0</v>
      </c>
      <c r="AA346" s="26">
        <f>IFERROR(__xludf.DUMMYFUNCTION("""COMPUTED_VALUE"""),0.0)</f>
        <v>0</v>
      </c>
      <c r="AB346" s="26">
        <f>IFERROR(__xludf.DUMMYFUNCTION("""COMPUTED_VALUE"""),0.0)</f>
        <v>0</v>
      </c>
      <c r="AC346" s="26">
        <f>IFERROR(__xludf.DUMMYFUNCTION("""COMPUTED_VALUE"""),0.0)</f>
        <v>0</v>
      </c>
      <c r="AD346" s="26">
        <f>IFERROR(__xludf.DUMMYFUNCTION("""COMPUTED_VALUE"""),0.0)</f>
        <v>0</v>
      </c>
      <c r="AE346" s="26">
        <f>IFERROR(__xludf.DUMMYFUNCTION("""COMPUTED_VALUE"""),0.0)</f>
        <v>0</v>
      </c>
    </row>
    <row r="347">
      <c r="A347" s="26">
        <f>IFERROR(__xludf.DUMMYFUNCTION("""COMPUTED_VALUE"""),0.0)</f>
        <v>0</v>
      </c>
      <c r="B347" s="26">
        <f>IFERROR(__xludf.DUMMYFUNCTION("""COMPUTED_VALUE"""),0.0)</f>
        <v>0</v>
      </c>
      <c r="C347" s="26">
        <f>IFERROR(__xludf.DUMMYFUNCTION("""COMPUTED_VALUE"""),0.0)</f>
        <v>0</v>
      </c>
      <c r="D347" s="26">
        <f>IFERROR(__xludf.DUMMYFUNCTION("""COMPUTED_VALUE"""),0.0)</f>
        <v>0</v>
      </c>
      <c r="E347" s="26">
        <f>IFERROR(__xludf.DUMMYFUNCTION("""COMPUTED_VALUE"""),0.0)</f>
        <v>0</v>
      </c>
      <c r="F347" s="26">
        <f>IFERROR(__xludf.DUMMYFUNCTION("""COMPUTED_VALUE"""),0.0)</f>
        <v>0</v>
      </c>
      <c r="G347" s="26">
        <f>IFERROR(__xludf.DUMMYFUNCTION("""COMPUTED_VALUE"""),0.0)</f>
        <v>0</v>
      </c>
      <c r="H347" s="26">
        <f>IFERROR(__xludf.DUMMYFUNCTION("""COMPUTED_VALUE"""),0.0)</f>
        <v>0</v>
      </c>
      <c r="I347" s="26">
        <f>IFERROR(__xludf.DUMMYFUNCTION("""COMPUTED_VALUE"""),0.0)</f>
        <v>0</v>
      </c>
      <c r="J347" s="26">
        <f>IFERROR(__xludf.DUMMYFUNCTION("""COMPUTED_VALUE"""),0.0)</f>
        <v>0</v>
      </c>
      <c r="K347" s="26">
        <f>IFERROR(__xludf.DUMMYFUNCTION("""COMPUTED_VALUE"""),0.0)</f>
        <v>0</v>
      </c>
      <c r="L347" s="26">
        <f>IFERROR(__xludf.DUMMYFUNCTION("""COMPUTED_VALUE"""),0.0)</f>
        <v>0</v>
      </c>
      <c r="M347" s="26"/>
      <c r="N347" s="26"/>
      <c r="O347" s="26"/>
      <c r="P347" s="26"/>
      <c r="Q347" s="26"/>
      <c r="R347" s="26">
        <f>IFERROR(__xludf.DUMMYFUNCTION("""COMPUTED_VALUE"""),0.0)</f>
        <v>0</v>
      </c>
      <c r="S347" s="26">
        <f>IFERROR(__xludf.DUMMYFUNCTION("""COMPUTED_VALUE"""),0.0)</f>
        <v>0</v>
      </c>
      <c r="T347" s="26">
        <f>IFERROR(__xludf.DUMMYFUNCTION("""COMPUTED_VALUE"""),0.0)</f>
        <v>0</v>
      </c>
      <c r="U347" s="26">
        <f>IFERROR(__xludf.DUMMYFUNCTION("""COMPUTED_VALUE"""),0.0)</f>
        <v>0</v>
      </c>
      <c r="V347" s="26">
        <f>IFERROR(__xludf.DUMMYFUNCTION("""COMPUTED_VALUE"""),0.0)</f>
        <v>0</v>
      </c>
      <c r="W347" s="26">
        <f>IFERROR(__xludf.DUMMYFUNCTION("""COMPUTED_VALUE"""),0.0)</f>
        <v>0</v>
      </c>
      <c r="X347" s="26">
        <f>IFERROR(__xludf.DUMMYFUNCTION("""COMPUTED_VALUE"""),0.0)</f>
        <v>0</v>
      </c>
      <c r="Y347" s="26">
        <f>IFERROR(__xludf.DUMMYFUNCTION("""COMPUTED_VALUE"""),0.0)</f>
        <v>0</v>
      </c>
      <c r="Z347" s="26">
        <f>IFERROR(__xludf.DUMMYFUNCTION("""COMPUTED_VALUE"""),0.0)</f>
        <v>0</v>
      </c>
      <c r="AA347" s="26">
        <f>IFERROR(__xludf.DUMMYFUNCTION("""COMPUTED_VALUE"""),0.0)</f>
        <v>0</v>
      </c>
      <c r="AB347" s="26">
        <f>IFERROR(__xludf.DUMMYFUNCTION("""COMPUTED_VALUE"""),0.0)</f>
        <v>0</v>
      </c>
      <c r="AC347" s="26">
        <f>IFERROR(__xludf.DUMMYFUNCTION("""COMPUTED_VALUE"""),0.0)</f>
        <v>0</v>
      </c>
      <c r="AD347" s="26">
        <f>IFERROR(__xludf.DUMMYFUNCTION("""COMPUTED_VALUE"""),0.0)</f>
        <v>0</v>
      </c>
      <c r="AE347" s="26">
        <f>IFERROR(__xludf.DUMMYFUNCTION("""COMPUTED_VALUE"""),0.0)</f>
        <v>0</v>
      </c>
    </row>
    <row r="348">
      <c r="A348" s="26">
        <f>IFERROR(__xludf.DUMMYFUNCTION("""COMPUTED_VALUE"""),0.0)</f>
        <v>0</v>
      </c>
      <c r="B348" s="26">
        <f>IFERROR(__xludf.DUMMYFUNCTION("""COMPUTED_VALUE"""),0.0)</f>
        <v>0</v>
      </c>
      <c r="C348" s="26">
        <f>IFERROR(__xludf.DUMMYFUNCTION("""COMPUTED_VALUE"""),0.0)</f>
        <v>0</v>
      </c>
      <c r="D348" s="26">
        <f>IFERROR(__xludf.DUMMYFUNCTION("""COMPUTED_VALUE"""),0.0)</f>
        <v>0</v>
      </c>
      <c r="E348" s="26">
        <f>IFERROR(__xludf.DUMMYFUNCTION("""COMPUTED_VALUE"""),0.0)</f>
        <v>0</v>
      </c>
      <c r="F348" s="26">
        <f>IFERROR(__xludf.DUMMYFUNCTION("""COMPUTED_VALUE"""),0.0)</f>
        <v>0</v>
      </c>
      <c r="G348" s="26">
        <f>IFERROR(__xludf.DUMMYFUNCTION("""COMPUTED_VALUE"""),0.0)</f>
        <v>0</v>
      </c>
      <c r="H348" s="26">
        <f>IFERROR(__xludf.DUMMYFUNCTION("""COMPUTED_VALUE"""),0.0)</f>
        <v>0</v>
      </c>
      <c r="I348" s="26">
        <f>IFERROR(__xludf.DUMMYFUNCTION("""COMPUTED_VALUE"""),0.0)</f>
        <v>0</v>
      </c>
      <c r="J348" s="26">
        <f>IFERROR(__xludf.DUMMYFUNCTION("""COMPUTED_VALUE"""),0.0)</f>
        <v>0</v>
      </c>
      <c r="K348" s="26">
        <f>IFERROR(__xludf.DUMMYFUNCTION("""COMPUTED_VALUE"""),0.0)</f>
        <v>0</v>
      </c>
      <c r="L348" s="26">
        <f>IFERROR(__xludf.DUMMYFUNCTION("""COMPUTED_VALUE"""),0.0)</f>
        <v>0</v>
      </c>
      <c r="M348" s="26"/>
      <c r="N348" s="26"/>
      <c r="O348" s="26"/>
      <c r="P348" s="26"/>
      <c r="Q348" s="26"/>
      <c r="R348" s="26">
        <f>IFERROR(__xludf.DUMMYFUNCTION("""COMPUTED_VALUE"""),0.0)</f>
        <v>0</v>
      </c>
      <c r="S348" s="26">
        <f>IFERROR(__xludf.DUMMYFUNCTION("""COMPUTED_VALUE"""),0.0)</f>
        <v>0</v>
      </c>
      <c r="T348" s="26">
        <f>IFERROR(__xludf.DUMMYFUNCTION("""COMPUTED_VALUE"""),0.0)</f>
        <v>0</v>
      </c>
      <c r="U348" s="26">
        <f>IFERROR(__xludf.DUMMYFUNCTION("""COMPUTED_VALUE"""),0.0)</f>
        <v>0</v>
      </c>
      <c r="V348" s="26">
        <f>IFERROR(__xludf.DUMMYFUNCTION("""COMPUTED_VALUE"""),0.0)</f>
        <v>0</v>
      </c>
      <c r="W348" s="26">
        <f>IFERROR(__xludf.DUMMYFUNCTION("""COMPUTED_VALUE"""),0.0)</f>
        <v>0</v>
      </c>
      <c r="X348" s="26">
        <f>IFERROR(__xludf.DUMMYFUNCTION("""COMPUTED_VALUE"""),0.0)</f>
        <v>0</v>
      </c>
      <c r="Y348" s="26">
        <f>IFERROR(__xludf.DUMMYFUNCTION("""COMPUTED_VALUE"""),0.0)</f>
        <v>0</v>
      </c>
      <c r="Z348" s="26">
        <f>IFERROR(__xludf.DUMMYFUNCTION("""COMPUTED_VALUE"""),0.0)</f>
        <v>0</v>
      </c>
      <c r="AA348" s="26">
        <f>IFERROR(__xludf.DUMMYFUNCTION("""COMPUTED_VALUE"""),0.0)</f>
        <v>0</v>
      </c>
      <c r="AB348" s="26">
        <f>IFERROR(__xludf.DUMMYFUNCTION("""COMPUTED_VALUE"""),0.0)</f>
        <v>0</v>
      </c>
      <c r="AC348" s="26">
        <f>IFERROR(__xludf.DUMMYFUNCTION("""COMPUTED_VALUE"""),0.0)</f>
        <v>0</v>
      </c>
      <c r="AD348" s="26">
        <f>IFERROR(__xludf.DUMMYFUNCTION("""COMPUTED_VALUE"""),0.0)</f>
        <v>0</v>
      </c>
      <c r="AE348" s="26">
        <f>IFERROR(__xludf.DUMMYFUNCTION("""COMPUTED_VALUE"""),0.0)</f>
        <v>0</v>
      </c>
    </row>
    <row r="349">
      <c r="A349" s="26">
        <f>IFERROR(__xludf.DUMMYFUNCTION("""COMPUTED_VALUE"""),77.0)</f>
        <v>77</v>
      </c>
      <c r="B349" s="26">
        <f>IFERROR(__xludf.DUMMYFUNCTION("""COMPUTED_VALUE"""),0.0)</f>
        <v>0</v>
      </c>
      <c r="C349" s="26">
        <f>IFERROR(__xludf.DUMMYFUNCTION("""COMPUTED_VALUE"""),0.0)</f>
        <v>0</v>
      </c>
      <c r="D349" s="26">
        <f>IFERROR(__xludf.DUMMYFUNCTION("""COMPUTED_VALUE"""),0.0)</f>
        <v>0</v>
      </c>
      <c r="E349" s="26">
        <f>IFERROR(__xludf.DUMMYFUNCTION("""COMPUTED_VALUE"""),0.0)</f>
        <v>0</v>
      </c>
      <c r="F349" s="26">
        <f>IFERROR(__xludf.DUMMYFUNCTION("""COMPUTED_VALUE"""),0.0)</f>
        <v>0</v>
      </c>
      <c r="G349" s="26">
        <f>IFERROR(__xludf.DUMMYFUNCTION("""COMPUTED_VALUE"""),0.0)</f>
        <v>0</v>
      </c>
      <c r="H349" s="26">
        <f>IFERROR(__xludf.DUMMYFUNCTION("""COMPUTED_VALUE"""),0.0)</f>
        <v>0</v>
      </c>
      <c r="I349" s="26">
        <f>IFERROR(__xludf.DUMMYFUNCTION("""COMPUTED_VALUE"""),0.0)</f>
        <v>0</v>
      </c>
      <c r="J349" s="26">
        <f>IFERROR(__xludf.DUMMYFUNCTION("""COMPUTED_VALUE"""),0.0)</f>
        <v>0</v>
      </c>
      <c r="K349" s="26">
        <f>IFERROR(__xludf.DUMMYFUNCTION("""COMPUTED_VALUE"""),0.0)</f>
        <v>0</v>
      </c>
      <c r="L349" s="26">
        <f>IFERROR(__xludf.DUMMYFUNCTION("""COMPUTED_VALUE"""),0.0)</f>
        <v>0</v>
      </c>
      <c r="M349" s="26"/>
      <c r="N349" s="26"/>
      <c r="O349" s="26"/>
      <c r="P349" s="26"/>
      <c r="Q349" s="26"/>
      <c r="R349" s="26">
        <f>IFERROR(__xludf.DUMMYFUNCTION("""COMPUTED_VALUE"""),77.0)</f>
        <v>77</v>
      </c>
      <c r="S349" s="26">
        <f>IFERROR(__xludf.DUMMYFUNCTION("""COMPUTED_VALUE"""),34034.0)</f>
        <v>34034</v>
      </c>
      <c r="T349" s="26">
        <f>IFERROR(__xludf.DUMMYFUNCTION("""COMPUTED_VALUE"""),14245.0)</f>
        <v>14245</v>
      </c>
      <c r="U349" s="26">
        <f>IFERROR(__xludf.DUMMYFUNCTION("""COMPUTED_VALUE"""),19436.340000000004)</f>
        <v>19436.34</v>
      </c>
      <c r="V349" s="26">
        <f>IFERROR(__xludf.DUMMYFUNCTION("""COMPUTED_VALUE"""),0.0)</f>
        <v>0</v>
      </c>
      <c r="W349" s="26">
        <f>IFERROR(__xludf.DUMMYFUNCTION("""COMPUTED_VALUE"""),0.0)</f>
        <v>0</v>
      </c>
      <c r="X349" s="26">
        <f>IFERROR(__xludf.DUMMYFUNCTION("""COMPUTED_VALUE"""),5191.340000000004)</f>
        <v>5191.34</v>
      </c>
      <c r="Y349" s="26">
        <f>IFERROR(__xludf.DUMMYFUNCTION("""COMPUTED_VALUE"""),5191.340000000004)</f>
        <v>5191.34</v>
      </c>
      <c r="Z349" s="26">
        <f>IFERROR(__xludf.DUMMYFUNCTION("""COMPUTED_VALUE"""),0.0)</f>
        <v>0</v>
      </c>
      <c r="AA349" s="26">
        <f>IFERROR(__xludf.DUMMYFUNCTION("""COMPUTED_VALUE"""),0.0)</f>
        <v>0</v>
      </c>
      <c r="AB349" s="26">
        <f>IFERROR(__xludf.DUMMYFUNCTION("""COMPUTED_VALUE"""),0.0)</f>
        <v>0</v>
      </c>
      <c r="AC349" s="26">
        <f>IFERROR(__xludf.DUMMYFUNCTION("""COMPUTED_VALUE"""),0.0)</f>
        <v>0</v>
      </c>
      <c r="AD349" s="26">
        <f>IFERROR(__xludf.DUMMYFUNCTION("""COMPUTED_VALUE"""),0.0)</f>
        <v>0</v>
      </c>
      <c r="AE349" s="26">
        <f>IFERROR(__xludf.DUMMYFUNCTION("""COMPUTED_VALUE"""),0.0)</f>
        <v>0</v>
      </c>
    </row>
    <row r="350">
      <c r="A350" s="26">
        <f>IFERROR(__xludf.DUMMYFUNCTION("""COMPUTED_VALUE"""),27.0)</f>
        <v>27</v>
      </c>
      <c r="B350" s="26">
        <f>IFERROR(__xludf.DUMMYFUNCTION("""COMPUTED_VALUE"""),0.0)</f>
        <v>0</v>
      </c>
      <c r="C350" s="26">
        <f>IFERROR(__xludf.DUMMYFUNCTION("""COMPUTED_VALUE"""),0.0)</f>
        <v>0</v>
      </c>
      <c r="D350" s="26">
        <f>IFERROR(__xludf.DUMMYFUNCTION("""COMPUTED_VALUE"""),0.0)</f>
        <v>0</v>
      </c>
      <c r="E350" s="26">
        <f>IFERROR(__xludf.DUMMYFUNCTION("""COMPUTED_VALUE"""),0.0)</f>
        <v>0</v>
      </c>
      <c r="F350" s="26">
        <f>IFERROR(__xludf.DUMMYFUNCTION("""COMPUTED_VALUE"""),0.0)</f>
        <v>0</v>
      </c>
      <c r="G350" s="26">
        <f>IFERROR(__xludf.DUMMYFUNCTION("""COMPUTED_VALUE"""),0.0)</f>
        <v>0</v>
      </c>
      <c r="H350" s="26">
        <f>IFERROR(__xludf.DUMMYFUNCTION("""COMPUTED_VALUE"""),0.0)</f>
        <v>0</v>
      </c>
      <c r="I350" s="26">
        <f>IFERROR(__xludf.DUMMYFUNCTION("""COMPUTED_VALUE"""),0.0)</f>
        <v>0</v>
      </c>
      <c r="J350" s="26">
        <f>IFERROR(__xludf.DUMMYFUNCTION("""COMPUTED_VALUE"""),0.0)</f>
        <v>0</v>
      </c>
      <c r="K350" s="26">
        <f>IFERROR(__xludf.DUMMYFUNCTION("""COMPUTED_VALUE"""),0.0)</f>
        <v>0</v>
      </c>
      <c r="L350" s="26">
        <f>IFERROR(__xludf.DUMMYFUNCTION("""COMPUTED_VALUE"""),0.0)</f>
        <v>0</v>
      </c>
      <c r="M350" s="26"/>
      <c r="N350" s="26"/>
      <c r="O350" s="26"/>
      <c r="P350" s="26"/>
      <c r="Q350" s="26"/>
      <c r="R350" s="26">
        <f>IFERROR(__xludf.DUMMYFUNCTION("""COMPUTED_VALUE"""),27.0)</f>
        <v>27</v>
      </c>
      <c r="S350" s="26">
        <f>IFERROR(__xludf.DUMMYFUNCTION("""COMPUTED_VALUE"""),10530.0)</f>
        <v>10530</v>
      </c>
      <c r="T350" s="26">
        <f>IFERROR(__xludf.DUMMYFUNCTION("""COMPUTED_VALUE"""),4590.0)</f>
        <v>4590</v>
      </c>
      <c r="U350" s="26">
        <f>IFERROR(__xludf.DUMMYFUNCTION("""COMPUTED_VALUE"""),6196.23)</f>
        <v>6196.23</v>
      </c>
      <c r="V350" s="26">
        <f>IFERROR(__xludf.DUMMYFUNCTION("""COMPUTED_VALUE"""),0.0)</f>
        <v>0</v>
      </c>
      <c r="W350" s="26">
        <f>IFERROR(__xludf.DUMMYFUNCTION("""COMPUTED_VALUE"""),0.0)</f>
        <v>0</v>
      </c>
      <c r="X350" s="26">
        <f>IFERROR(__xludf.DUMMYFUNCTION("""COMPUTED_VALUE"""),1606.23)</f>
        <v>1606.23</v>
      </c>
      <c r="Y350" s="26">
        <f>IFERROR(__xludf.DUMMYFUNCTION("""COMPUTED_VALUE"""),1606.23)</f>
        <v>1606.23</v>
      </c>
      <c r="Z350" s="26">
        <f>IFERROR(__xludf.DUMMYFUNCTION("""COMPUTED_VALUE"""),6413.0400000000045)</f>
        <v>6413.04</v>
      </c>
      <c r="AA350" s="26">
        <f>IFERROR(__xludf.DUMMYFUNCTION("""COMPUTED_VALUE"""),6413.0400000000045)</f>
        <v>6413.04</v>
      </c>
      <c r="AB350" s="26">
        <f>IFERROR(__xludf.DUMMYFUNCTION("""COMPUTED_VALUE"""),4333.770000000003)</f>
        <v>4333.77</v>
      </c>
      <c r="AC350" s="26">
        <f>IFERROR(__xludf.DUMMYFUNCTION("""COMPUTED_VALUE"""),4116.96)</f>
        <v>4116.96</v>
      </c>
      <c r="AD350" s="26">
        <f>IFERROR(__xludf.DUMMYFUNCTION("""COMPUTED_VALUE"""),216.81)</f>
        <v>216.81</v>
      </c>
      <c r="AE350" s="26">
        <f>IFERROR(__xludf.DUMMYFUNCTION("""COMPUTED_VALUE"""),0.0)</f>
        <v>0</v>
      </c>
    </row>
    <row r="351">
      <c r="A351" s="26">
        <f>IFERROR(__xludf.DUMMYFUNCTION("""COMPUTED_VALUE"""),18.0)</f>
        <v>18</v>
      </c>
      <c r="B351" s="26">
        <f>IFERROR(__xludf.DUMMYFUNCTION("""COMPUTED_VALUE"""),0.0)</f>
        <v>0</v>
      </c>
      <c r="C351" s="26">
        <f>IFERROR(__xludf.DUMMYFUNCTION("""COMPUTED_VALUE"""),0.0)</f>
        <v>0</v>
      </c>
      <c r="D351" s="26">
        <f>IFERROR(__xludf.DUMMYFUNCTION("""COMPUTED_VALUE"""),0.0)</f>
        <v>0</v>
      </c>
      <c r="E351" s="26">
        <f>IFERROR(__xludf.DUMMYFUNCTION("""COMPUTED_VALUE"""),0.0)</f>
        <v>0</v>
      </c>
      <c r="F351" s="26">
        <f>IFERROR(__xludf.DUMMYFUNCTION("""COMPUTED_VALUE"""),0.0)</f>
        <v>0</v>
      </c>
      <c r="G351" s="26">
        <f>IFERROR(__xludf.DUMMYFUNCTION("""COMPUTED_VALUE"""),0.0)</f>
        <v>0</v>
      </c>
      <c r="H351" s="26">
        <f>IFERROR(__xludf.DUMMYFUNCTION("""COMPUTED_VALUE"""),0.0)</f>
        <v>0</v>
      </c>
      <c r="I351" s="26">
        <f>IFERROR(__xludf.DUMMYFUNCTION("""COMPUTED_VALUE"""),0.0)</f>
        <v>0</v>
      </c>
      <c r="J351" s="26">
        <f>IFERROR(__xludf.DUMMYFUNCTION("""COMPUTED_VALUE"""),0.0)</f>
        <v>0</v>
      </c>
      <c r="K351" s="26">
        <f>IFERROR(__xludf.DUMMYFUNCTION("""COMPUTED_VALUE"""),0.0)</f>
        <v>0</v>
      </c>
      <c r="L351" s="26">
        <f>IFERROR(__xludf.DUMMYFUNCTION("""COMPUTED_VALUE"""),0.0)</f>
        <v>0</v>
      </c>
      <c r="M351" s="26"/>
      <c r="N351" s="26"/>
      <c r="O351" s="26"/>
      <c r="P351" s="26"/>
      <c r="Q351" s="26"/>
      <c r="R351" s="26">
        <f>IFERROR(__xludf.DUMMYFUNCTION("""COMPUTED_VALUE"""),18.0)</f>
        <v>18</v>
      </c>
      <c r="S351" s="26">
        <f>IFERROR(__xludf.DUMMYFUNCTION("""COMPUTED_VALUE"""),7956.0)</f>
        <v>7956</v>
      </c>
      <c r="T351" s="26">
        <f>IFERROR(__xludf.DUMMYFUNCTION("""COMPUTED_VALUE"""),3150.0)</f>
        <v>3150</v>
      </c>
      <c r="U351" s="26">
        <f>IFERROR(__xludf.DUMMYFUNCTION("""COMPUTED_VALUE"""),4363.5599999999995)</f>
        <v>4363.56</v>
      </c>
      <c r="V351" s="26">
        <f>IFERROR(__xludf.DUMMYFUNCTION("""COMPUTED_VALUE"""),0.0)</f>
        <v>0</v>
      </c>
      <c r="W351" s="26">
        <f>IFERROR(__xludf.DUMMYFUNCTION("""COMPUTED_VALUE"""),0.0)</f>
        <v>0</v>
      </c>
      <c r="X351" s="26">
        <f>IFERROR(__xludf.DUMMYFUNCTION("""COMPUTED_VALUE"""),1213.56)</f>
        <v>1213.56</v>
      </c>
      <c r="Y351" s="26">
        <f>IFERROR(__xludf.DUMMYFUNCTION("""COMPUTED_VALUE"""),1213.56)</f>
        <v>1213.56</v>
      </c>
      <c r="Z351" s="26">
        <f>IFERROR(__xludf.DUMMYFUNCTION("""COMPUTED_VALUE"""),0.0)</f>
        <v>0</v>
      </c>
      <c r="AA351" s="26">
        <f>IFERROR(__xludf.DUMMYFUNCTION("""COMPUTED_VALUE"""),0.0)</f>
        <v>0</v>
      </c>
      <c r="AB351" s="26">
        <f>IFERROR(__xludf.DUMMYFUNCTION("""COMPUTED_VALUE"""),0.0)</f>
        <v>0</v>
      </c>
      <c r="AC351" s="26">
        <f>IFERROR(__xludf.DUMMYFUNCTION("""COMPUTED_VALUE"""),0.0)</f>
        <v>0</v>
      </c>
      <c r="AD351" s="26">
        <f>IFERROR(__xludf.DUMMYFUNCTION("""COMPUTED_VALUE"""),0.0)</f>
        <v>0</v>
      </c>
      <c r="AE351" s="26">
        <f>IFERROR(__xludf.DUMMYFUNCTION("""COMPUTED_VALUE"""),0.0)</f>
        <v>0</v>
      </c>
    </row>
    <row r="352">
      <c r="A352" s="26">
        <f>IFERROR(__xludf.DUMMYFUNCTION("""COMPUTED_VALUE"""),0.0)</f>
        <v>0</v>
      </c>
      <c r="B352" s="26">
        <f>IFERROR(__xludf.DUMMYFUNCTION("""COMPUTED_VALUE"""),0.0)</f>
        <v>0</v>
      </c>
      <c r="C352" s="26">
        <f>IFERROR(__xludf.DUMMYFUNCTION("""COMPUTED_VALUE"""),0.0)</f>
        <v>0</v>
      </c>
      <c r="D352" s="26">
        <f>IFERROR(__xludf.DUMMYFUNCTION("""COMPUTED_VALUE"""),0.0)</f>
        <v>0</v>
      </c>
      <c r="E352" s="26">
        <f>IFERROR(__xludf.DUMMYFUNCTION("""COMPUTED_VALUE"""),0.0)</f>
        <v>0</v>
      </c>
      <c r="F352" s="26">
        <f>IFERROR(__xludf.DUMMYFUNCTION("""COMPUTED_VALUE"""),0.0)</f>
        <v>0</v>
      </c>
      <c r="G352" s="26">
        <f>IFERROR(__xludf.DUMMYFUNCTION("""COMPUTED_VALUE"""),0.0)</f>
        <v>0</v>
      </c>
      <c r="H352" s="26">
        <f>IFERROR(__xludf.DUMMYFUNCTION("""COMPUTED_VALUE"""),0.0)</f>
        <v>0</v>
      </c>
      <c r="I352" s="26">
        <f>IFERROR(__xludf.DUMMYFUNCTION("""COMPUTED_VALUE"""),0.0)</f>
        <v>0</v>
      </c>
      <c r="J352" s="26">
        <f>IFERROR(__xludf.DUMMYFUNCTION("""COMPUTED_VALUE"""),0.0)</f>
        <v>0</v>
      </c>
      <c r="K352" s="26">
        <f>IFERROR(__xludf.DUMMYFUNCTION("""COMPUTED_VALUE"""),0.0)</f>
        <v>0</v>
      </c>
      <c r="L352" s="26">
        <f>IFERROR(__xludf.DUMMYFUNCTION("""COMPUTED_VALUE"""),0.0)</f>
        <v>0</v>
      </c>
      <c r="M352" s="26"/>
      <c r="N352" s="26"/>
      <c r="O352" s="26"/>
      <c r="P352" s="26"/>
      <c r="Q352" s="26"/>
      <c r="R352" s="26">
        <f>IFERROR(__xludf.DUMMYFUNCTION("""COMPUTED_VALUE"""),0.0)</f>
        <v>0</v>
      </c>
      <c r="S352" s="26">
        <f>IFERROR(__xludf.DUMMYFUNCTION("""COMPUTED_VALUE"""),0.0)</f>
        <v>0</v>
      </c>
      <c r="T352" s="26">
        <f>IFERROR(__xludf.DUMMYFUNCTION("""COMPUTED_VALUE"""),0.0)</f>
        <v>0</v>
      </c>
      <c r="U352" s="26">
        <f>IFERROR(__xludf.DUMMYFUNCTION("""COMPUTED_VALUE"""),0.0)</f>
        <v>0</v>
      </c>
      <c r="V352" s="26">
        <f>IFERROR(__xludf.DUMMYFUNCTION("""COMPUTED_VALUE"""),0.0)</f>
        <v>0</v>
      </c>
      <c r="W352" s="26">
        <f>IFERROR(__xludf.DUMMYFUNCTION("""COMPUTED_VALUE"""),0.0)</f>
        <v>0</v>
      </c>
      <c r="X352" s="26">
        <f>IFERROR(__xludf.DUMMYFUNCTION("""COMPUTED_VALUE"""),0.0)</f>
        <v>0</v>
      </c>
      <c r="Y352" s="26">
        <f>IFERROR(__xludf.DUMMYFUNCTION("""COMPUTED_VALUE"""),0.0)</f>
        <v>0</v>
      </c>
      <c r="Z352" s="26">
        <f>IFERROR(__xludf.DUMMYFUNCTION("""COMPUTED_VALUE"""),0.0)</f>
        <v>0</v>
      </c>
      <c r="AA352" s="26">
        <f>IFERROR(__xludf.DUMMYFUNCTION("""COMPUTED_VALUE"""),0.0)</f>
        <v>0</v>
      </c>
      <c r="AB352" s="26">
        <f>IFERROR(__xludf.DUMMYFUNCTION("""COMPUTED_VALUE"""),0.0)</f>
        <v>0</v>
      </c>
      <c r="AC352" s="26">
        <f>IFERROR(__xludf.DUMMYFUNCTION("""COMPUTED_VALUE"""),0.0)</f>
        <v>0</v>
      </c>
      <c r="AD352" s="26">
        <f>IFERROR(__xludf.DUMMYFUNCTION("""COMPUTED_VALUE"""),0.0)</f>
        <v>0</v>
      </c>
      <c r="AE352" s="26">
        <f>IFERROR(__xludf.DUMMYFUNCTION("""COMPUTED_VALUE"""),0.0)</f>
        <v>0</v>
      </c>
    </row>
    <row r="353">
      <c r="A353" s="26">
        <f>IFERROR(__xludf.DUMMYFUNCTION("""COMPUTED_VALUE"""),23.0)</f>
        <v>23</v>
      </c>
      <c r="B353" s="26">
        <f>IFERROR(__xludf.DUMMYFUNCTION("""COMPUTED_VALUE"""),0.0)</f>
        <v>0</v>
      </c>
      <c r="C353" s="26">
        <f>IFERROR(__xludf.DUMMYFUNCTION("""COMPUTED_VALUE"""),0.0)</f>
        <v>0</v>
      </c>
      <c r="D353" s="26">
        <f>IFERROR(__xludf.DUMMYFUNCTION("""COMPUTED_VALUE"""),0.0)</f>
        <v>0</v>
      </c>
      <c r="E353" s="26">
        <f>IFERROR(__xludf.DUMMYFUNCTION("""COMPUTED_VALUE"""),0.0)</f>
        <v>0</v>
      </c>
      <c r="F353" s="26">
        <f>IFERROR(__xludf.DUMMYFUNCTION("""COMPUTED_VALUE"""),0.0)</f>
        <v>0</v>
      </c>
      <c r="G353" s="26">
        <f>IFERROR(__xludf.DUMMYFUNCTION("""COMPUTED_VALUE"""),0.0)</f>
        <v>0</v>
      </c>
      <c r="H353" s="26">
        <f>IFERROR(__xludf.DUMMYFUNCTION("""COMPUTED_VALUE"""),0.0)</f>
        <v>0</v>
      </c>
      <c r="I353" s="26">
        <f>IFERROR(__xludf.DUMMYFUNCTION("""COMPUTED_VALUE"""),0.0)</f>
        <v>0</v>
      </c>
      <c r="J353" s="26">
        <f>IFERROR(__xludf.DUMMYFUNCTION("""COMPUTED_VALUE"""),0.0)</f>
        <v>0</v>
      </c>
      <c r="K353" s="26">
        <f>IFERROR(__xludf.DUMMYFUNCTION("""COMPUTED_VALUE"""),0.0)</f>
        <v>0</v>
      </c>
      <c r="L353" s="26">
        <f>IFERROR(__xludf.DUMMYFUNCTION("""COMPUTED_VALUE"""),0.0)</f>
        <v>0</v>
      </c>
      <c r="M353" s="26"/>
      <c r="N353" s="26"/>
      <c r="O353" s="26"/>
      <c r="P353" s="26"/>
      <c r="Q353" s="26"/>
      <c r="R353" s="26">
        <f>IFERROR(__xludf.DUMMYFUNCTION("""COMPUTED_VALUE"""),23.0)</f>
        <v>23</v>
      </c>
      <c r="S353" s="26">
        <f>IFERROR(__xludf.DUMMYFUNCTION("""COMPUTED_VALUE"""),10166.0)</f>
        <v>10166</v>
      </c>
      <c r="T353" s="26">
        <f>IFERROR(__xludf.DUMMYFUNCTION("""COMPUTED_VALUE"""),4025.0)</f>
        <v>4025</v>
      </c>
      <c r="U353" s="26">
        <f>IFERROR(__xludf.DUMMYFUNCTION("""COMPUTED_VALUE"""),5575.66)</f>
        <v>5575.66</v>
      </c>
      <c r="V353" s="26">
        <f>IFERROR(__xludf.DUMMYFUNCTION("""COMPUTED_VALUE"""),0.0)</f>
        <v>0</v>
      </c>
      <c r="W353" s="26">
        <f>IFERROR(__xludf.DUMMYFUNCTION("""COMPUTED_VALUE"""),0.0)</f>
        <v>0</v>
      </c>
      <c r="X353" s="26">
        <f>IFERROR(__xludf.DUMMYFUNCTION("""COMPUTED_VALUE"""),1550.6600000000003)</f>
        <v>1550.66</v>
      </c>
      <c r="Y353" s="26">
        <f>IFERROR(__xludf.DUMMYFUNCTION("""COMPUTED_VALUE"""),1550.6600000000003)</f>
        <v>1550.66</v>
      </c>
      <c r="Z353" s="26">
        <f>IFERROR(__xludf.DUMMYFUNCTION("""COMPUTED_VALUE"""),0.0)</f>
        <v>0</v>
      </c>
      <c r="AA353" s="26">
        <f>IFERROR(__xludf.DUMMYFUNCTION("""COMPUTED_VALUE"""),0.0)</f>
        <v>0</v>
      </c>
      <c r="AB353" s="26">
        <f>IFERROR(__xludf.DUMMYFUNCTION("""COMPUTED_VALUE"""),0.0)</f>
        <v>0</v>
      </c>
      <c r="AC353" s="26">
        <f>IFERROR(__xludf.DUMMYFUNCTION("""COMPUTED_VALUE"""),0.0)</f>
        <v>0</v>
      </c>
      <c r="AD353" s="26">
        <f>IFERROR(__xludf.DUMMYFUNCTION("""COMPUTED_VALUE"""),0.0)</f>
        <v>0</v>
      </c>
      <c r="AE353" s="26">
        <f>IFERROR(__xludf.DUMMYFUNCTION("""COMPUTED_VALUE"""),0.0)</f>
        <v>0</v>
      </c>
    </row>
    <row r="354">
      <c r="A354" s="26">
        <f>IFERROR(__xludf.DUMMYFUNCTION("""COMPUTED_VALUE"""),21.0)</f>
        <v>21</v>
      </c>
      <c r="B354" s="26">
        <f>IFERROR(__xludf.DUMMYFUNCTION("""COMPUTED_VALUE"""),0.0)</f>
        <v>0</v>
      </c>
      <c r="C354" s="26">
        <f>IFERROR(__xludf.DUMMYFUNCTION("""COMPUTED_VALUE"""),0.0)</f>
        <v>0</v>
      </c>
      <c r="D354" s="26">
        <f>IFERROR(__xludf.DUMMYFUNCTION("""COMPUTED_VALUE"""),0.0)</f>
        <v>0</v>
      </c>
      <c r="E354" s="26">
        <f>IFERROR(__xludf.DUMMYFUNCTION("""COMPUTED_VALUE"""),0.0)</f>
        <v>0</v>
      </c>
      <c r="F354" s="26">
        <f>IFERROR(__xludf.DUMMYFUNCTION("""COMPUTED_VALUE"""),0.0)</f>
        <v>0</v>
      </c>
      <c r="G354" s="26">
        <f>IFERROR(__xludf.DUMMYFUNCTION("""COMPUTED_VALUE"""),0.0)</f>
        <v>0</v>
      </c>
      <c r="H354" s="26">
        <f>IFERROR(__xludf.DUMMYFUNCTION("""COMPUTED_VALUE"""),0.0)</f>
        <v>0</v>
      </c>
      <c r="I354" s="26">
        <f>IFERROR(__xludf.DUMMYFUNCTION("""COMPUTED_VALUE"""),0.0)</f>
        <v>0</v>
      </c>
      <c r="J354" s="26">
        <f>IFERROR(__xludf.DUMMYFUNCTION("""COMPUTED_VALUE"""),0.0)</f>
        <v>0</v>
      </c>
      <c r="K354" s="26">
        <f>IFERROR(__xludf.DUMMYFUNCTION("""COMPUTED_VALUE"""),0.0)</f>
        <v>0</v>
      </c>
      <c r="L354" s="26">
        <f>IFERROR(__xludf.DUMMYFUNCTION("""COMPUTED_VALUE"""),0.0)</f>
        <v>0</v>
      </c>
      <c r="M354" s="26"/>
      <c r="N354" s="26"/>
      <c r="O354" s="26"/>
      <c r="P354" s="26"/>
      <c r="Q354" s="26"/>
      <c r="R354" s="26">
        <f>IFERROR(__xludf.DUMMYFUNCTION("""COMPUTED_VALUE"""),21.0)</f>
        <v>21</v>
      </c>
      <c r="S354" s="26">
        <f>IFERROR(__xludf.DUMMYFUNCTION("""COMPUTED_VALUE"""),9282.0)</f>
        <v>9282</v>
      </c>
      <c r="T354" s="26">
        <f>IFERROR(__xludf.DUMMYFUNCTION("""COMPUTED_VALUE"""),3675.0)</f>
        <v>3675</v>
      </c>
      <c r="U354" s="26">
        <f>IFERROR(__xludf.DUMMYFUNCTION("""COMPUTED_VALUE"""),5090.82)</f>
        <v>5090.82</v>
      </c>
      <c r="V354" s="26">
        <f>IFERROR(__xludf.DUMMYFUNCTION("""COMPUTED_VALUE"""),0.0)</f>
        <v>0</v>
      </c>
      <c r="W354" s="26">
        <f>IFERROR(__xludf.DUMMYFUNCTION("""COMPUTED_VALUE"""),0.0)</f>
        <v>0</v>
      </c>
      <c r="X354" s="26">
        <f>IFERROR(__xludf.DUMMYFUNCTION("""COMPUTED_VALUE"""),1415.8200000000002)</f>
        <v>1415.82</v>
      </c>
      <c r="Y354" s="26">
        <f>IFERROR(__xludf.DUMMYFUNCTION("""COMPUTED_VALUE"""),1415.8200000000002)</f>
        <v>1415.82</v>
      </c>
      <c r="Z354" s="26">
        <f>IFERROR(__xludf.DUMMYFUNCTION("""COMPUTED_VALUE"""),0.0)</f>
        <v>0</v>
      </c>
      <c r="AA354" s="26">
        <f>IFERROR(__xludf.DUMMYFUNCTION("""COMPUTED_VALUE"""),0.0)</f>
        <v>0</v>
      </c>
      <c r="AB354" s="26">
        <f>IFERROR(__xludf.DUMMYFUNCTION("""COMPUTED_VALUE"""),0.0)</f>
        <v>0</v>
      </c>
      <c r="AC354" s="26">
        <f>IFERROR(__xludf.DUMMYFUNCTION("""COMPUTED_VALUE"""),0.0)</f>
        <v>0</v>
      </c>
      <c r="AD354" s="26">
        <f>IFERROR(__xludf.DUMMYFUNCTION("""COMPUTED_VALUE"""),0.0)</f>
        <v>0</v>
      </c>
      <c r="AE354" s="26">
        <f>IFERROR(__xludf.DUMMYFUNCTION("""COMPUTED_VALUE"""),0.0)</f>
        <v>0</v>
      </c>
    </row>
    <row r="355">
      <c r="A355" s="26">
        <f>IFERROR(__xludf.DUMMYFUNCTION("""COMPUTED_VALUE"""),4.0)</f>
        <v>4</v>
      </c>
      <c r="B355" s="26">
        <f>IFERROR(__xludf.DUMMYFUNCTION("""COMPUTED_VALUE"""),0.0)</f>
        <v>0</v>
      </c>
      <c r="C355" s="26">
        <f>IFERROR(__xludf.DUMMYFUNCTION("""COMPUTED_VALUE"""),0.0)</f>
        <v>0</v>
      </c>
      <c r="D355" s="26">
        <f>IFERROR(__xludf.DUMMYFUNCTION("""COMPUTED_VALUE"""),0.0)</f>
        <v>0</v>
      </c>
      <c r="E355" s="26">
        <f>IFERROR(__xludf.DUMMYFUNCTION("""COMPUTED_VALUE"""),0.0)</f>
        <v>0</v>
      </c>
      <c r="F355" s="26">
        <f>IFERROR(__xludf.DUMMYFUNCTION("""COMPUTED_VALUE"""),0.0)</f>
        <v>0</v>
      </c>
      <c r="G355" s="26">
        <f>IFERROR(__xludf.DUMMYFUNCTION("""COMPUTED_VALUE"""),0.0)</f>
        <v>0</v>
      </c>
      <c r="H355" s="26">
        <f>IFERROR(__xludf.DUMMYFUNCTION("""COMPUTED_VALUE"""),0.0)</f>
        <v>0</v>
      </c>
      <c r="I355" s="26">
        <f>IFERROR(__xludf.DUMMYFUNCTION("""COMPUTED_VALUE"""),0.0)</f>
        <v>0</v>
      </c>
      <c r="J355" s="26">
        <f>IFERROR(__xludf.DUMMYFUNCTION("""COMPUTED_VALUE"""),0.0)</f>
        <v>0</v>
      </c>
      <c r="K355" s="26">
        <f>IFERROR(__xludf.DUMMYFUNCTION("""COMPUTED_VALUE"""),0.0)</f>
        <v>0</v>
      </c>
      <c r="L355" s="26">
        <f>IFERROR(__xludf.DUMMYFUNCTION("""COMPUTED_VALUE"""),0.0)</f>
        <v>0</v>
      </c>
      <c r="M355" s="26"/>
      <c r="N355" s="26"/>
      <c r="O355" s="26"/>
      <c r="P355" s="26"/>
      <c r="Q355" s="26"/>
      <c r="R355" s="26">
        <f>IFERROR(__xludf.DUMMYFUNCTION("""COMPUTED_VALUE"""),4.0)</f>
        <v>4</v>
      </c>
      <c r="S355" s="26">
        <f>IFERROR(__xludf.DUMMYFUNCTION("""COMPUTED_VALUE"""),1768.0)</f>
        <v>1768</v>
      </c>
      <c r="T355" s="26">
        <f>IFERROR(__xludf.DUMMYFUNCTION("""COMPUTED_VALUE"""),700.0)</f>
        <v>700</v>
      </c>
      <c r="U355" s="26">
        <f>IFERROR(__xludf.DUMMYFUNCTION("""COMPUTED_VALUE"""),969.6800000000001)</f>
        <v>969.68</v>
      </c>
      <c r="V355" s="26">
        <f>IFERROR(__xludf.DUMMYFUNCTION("""COMPUTED_VALUE"""),0.0)</f>
        <v>0</v>
      </c>
      <c r="W355" s="26">
        <f>IFERROR(__xludf.DUMMYFUNCTION("""COMPUTED_VALUE"""),0.0)</f>
        <v>0</v>
      </c>
      <c r="X355" s="26">
        <f>IFERROR(__xludf.DUMMYFUNCTION("""COMPUTED_VALUE"""),269.68)</f>
        <v>269.68</v>
      </c>
      <c r="Y355" s="26">
        <f>IFERROR(__xludf.DUMMYFUNCTION("""COMPUTED_VALUE"""),269.68)</f>
        <v>269.68</v>
      </c>
      <c r="Z355" s="26">
        <f>IFERROR(__xludf.DUMMYFUNCTION("""COMPUTED_VALUE"""),0.0)</f>
        <v>0</v>
      </c>
      <c r="AA355" s="26">
        <f>IFERROR(__xludf.DUMMYFUNCTION("""COMPUTED_VALUE"""),0.0)</f>
        <v>0</v>
      </c>
      <c r="AB355" s="26">
        <f>IFERROR(__xludf.DUMMYFUNCTION("""COMPUTED_VALUE"""),0.0)</f>
        <v>0</v>
      </c>
      <c r="AC355" s="26">
        <f>IFERROR(__xludf.DUMMYFUNCTION("""COMPUTED_VALUE"""),0.0)</f>
        <v>0</v>
      </c>
      <c r="AD355" s="26">
        <f>IFERROR(__xludf.DUMMYFUNCTION("""COMPUTED_VALUE"""),0.0)</f>
        <v>0</v>
      </c>
      <c r="AE355" s="26">
        <f>IFERROR(__xludf.DUMMYFUNCTION("""COMPUTED_VALUE"""),0.0)</f>
        <v>0</v>
      </c>
    </row>
    <row r="356">
      <c r="A356" s="26">
        <f>IFERROR(__xludf.DUMMYFUNCTION("""COMPUTED_VALUE"""),0.0)</f>
        <v>0</v>
      </c>
      <c r="B356" s="26">
        <f>IFERROR(__xludf.DUMMYFUNCTION("""COMPUTED_VALUE"""),0.0)</f>
        <v>0</v>
      </c>
      <c r="C356" s="26">
        <f>IFERROR(__xludf.DUMMYFUNCTION("""COMPUTED_VALUE"""),0.0)</f>
        <v>0</v>
      </c>
      <c r="D356" s="26">
        <f>IFERROR(__xludf.DUMMYFUNCTION("""COMPUTED_VALUE"""),0.0)</f>
        <v>0</v>
      </c>
      <c r="E356" s="26">
        <f>IFERROR(__xludf.DUMMYFUNCTION("""COMPUTED_VALUE"""),0.0)</f>
        <v>0</v>
      </c>
      <c r="F356" s="26">
        <f>IFERROR(__xludf.DUMMYFUNCTION("""COMPUTED_VALUE"""),0.0)</f>
        <v>0</v>
      </c>
      <c r="G356" s="26">
        <f>IFERROR(__xludf.DUMMYFUNCTION("""COMPUTED_VALUE"""),0.0)</f>
        <v>0</v>
      </c>
      <c r="H356" s="26">
        <f>IFERROR(__xludf.DUMMYFUNCTION("""COMPUTED_VALUE"""),0.0)</f>
        <v>0</v>
      </c>
      <c r="I356" s="26">
        <f>IFERROR(__xludf.DUMMYFUNCTION("""COMPUTED_VALUE"""),0.0)</f>
        <v>0</v>
      </c>
      <c r="J356" s="26">
        <f>IFERROR(__xludf.DUMMYFUNCTION("""COMPUTED_VALUE"""),0.0)</f>
        <v>0</v>
      </c>
      <c r="K356" s="26">
        <f>IFERROR(__xludf.DUMMYFUNCTION("""COMPUTED_VALUE"""),0.0)</f>
        <v>0</v>
      </c>
      <c r="L356" s="26">
        <f>IFERROR(__xludf.DUMMYFUNCTION("""COMPUTED_VALUE"""),0.0)</f>
        <v>0</v>
      </c>
      <c r="M356" s="26"/>
      <c r="N356" s="26"/>
      <c r="O356" s="26"/>
      <c r="P356" s="26"/>
      <c r="Q356" s="26"/>
      <c r="R356" s="26">
        <f>IFERROR(__xludf.DUMMYFUNCTION("""COMPUTED_VALUE"""),0.0)</f>
        <v>0</v>
      </c>
      <c r="S356" s="26">
        <f>IFERROR(__xludf.DUMMYFUNCTION("""COMPUTED_VALUE"""),0.0)</f>
        <v>0</v>
      </c>
      <c r="T356" s="26">
        <f>IFERROR(__xludf.DUMMYFUNCTION("""COMPUTED_VALUE"""),0.0)</f>
        <v>0</v>
      </c>
      <c r="U356" s="26">
        <f>IFERROR(__xludf.DUMMYFUNCTION("""COMPUTED_VALUE"""),0.0)</f>
        <v>0</v>
      </c>
      <c r="V356" s="26">
        <f>IFERROR(__xludf.DUMMYFUNCTION("""COMPUTED_VALUE"""),0.0)</f>
        <v>0</v>
      </c>
      <c r="W356" s="26">
        <f>IFERROR(__xludf.DUMMYFUNCTION("""COMPUTED_VALUE"""),0.0)</f>
        <v>0</v>
      </c>
      <c r="X356" s="26">
        <f>IFERROR(__xludf.DUMMYFUNCTION("""COMPUTED_VALUE"""),0.0)</f>
        <v>0</v>
      </c>
      <c r="Y356" s="26">
        <f>IFERROR(__xludf.DUMMYFUNCTION("""COMPUTED_VALUE"""),0.0)</f>
        <v>0</v>
      </c>
      <c r="Z356" s="26">
        <f>IFERROR(__xludf.DUMMYFUNCTION("""COMPUTED_VALUE"""),0.0)</f>
        <v>0</v>
      </c>
      <c r="AA356" s="26">
        <f>IFERROR(__xludf.DUMMYFUNCTION("""COMPUTED_VALUE"""),0.0)</f>
        <v>0</v>
      </c>
      <c r="AB356" s="26">
        <f>IFERROR(__xludf.DUMMYFUNCTION("""COMPUTED_VALUE"""),0.0)</f>
        <v>0</v>
      </c>
      <c r="AC356" s="26">
        <f>IFERROR(__xludf.DUMMYFUNCTION("""COMPUTED_VALUE"""),0.0)</f>
        <v>0</v>
      </c>
      <c r="AD356" s="26">
        <f>IFERROR(__xludf.DUMMYFUNCTION("""COMPUTED_VALUE"""),0.0)</f>
        <v>0</v>
      </c>
      <c r="AE356" s="26">
        <f>IFERROR(__xludf.DUMMYFUNCTION("""COMPUTED_VALUE"""),0.0)</f>
        <v>0</v>
      </c>
    </row>
    <row r="357">
      <c r="A357" s="26">
        <f>IFERROR(__xludf.DUMMYFUNCTION("""COMPUTED_VALUE"""),21.0)</f>
        <v>21</v>
      </c>
      <c r="B357" s="26">
        <f>IFERROR(__xludf.DUMMYFUNCTION("""COMPUTED_VALUE"""),0.0)</f>
        <v>0</v>
      </c>
      <c r="C357" s="26">
        <f>IFERROR(__xludf.DUMMYFUNCTION("""COMPUTED_VALUE"""),0.0)</f>
        <v>0</v>
      </c>
      <c r="D357" s="26">
        <f>IFERROR(__xludf.DUMMYFUNCTION("""COMPUTED_VALUE"""),0.0)</f>
        <v>0</v>
      </c>
      <c r="E357" s="26">
        <f>IFERROR(__xludf.DUMMYFUNCTION("""COMPUTED_VALUE"""),0.0)</f>
        <v>0</v>
      </c>
      <c r="F357" s="26">
        <f>IFERROR(__xludf.DUMMYFUNCTION("""COMPUTED_VALUE"""),0.0)</f>
        <v>0</v>
      </c>
      <c r="G357" s="26">
        <f>IFERROR(__xludf.DUMMYFUNCTION("""COMPUTED_VALUE"""),0.0)</f>
        <v>0</v>
      </c>
      <c r="H357" s="26">
        <f>IFERROR(__xludf.DUMMYFUNCTION("""COMPUTED_VALUE"""),0.0)</f>
        <v>0</v>
      </c>
      <c r="I357" s="26">
        <f>IFERROR(__xludf.DUMMYFUNCTION("""COMPUTED_VALUE"""),0.0)</f>
        <v>0</v>
      </c>
      <c r="J357" s="26">
        <f>IFERROR(__xludf.DUMMYFUNCTION("""COMPUTED_VALUE"""),0.0)</f>
        <v>0</v>
      </c>
      <c r="K357" s="26">
        <f>IFERROR(__xludf.DUMMYFUNCTION("""COMPUTED_VALUE"""),0.0)</f>
        <v>0</v>
      </c>
      <c r="L357" s="26">
        <f>IFERROR(__xludf.DUMMYFUNCTION("""COMPUTED_VALUE"""),0.0)</f>
        <v>0</v>
      </c>
      <c r="M357" s="26"/>
      <c r="N357" s="26"/>
      <c r="O357" s="26"/>
      <c r="P357" s="26"/>
      <c r="Q357" s="26"/>
      <c r="R357" s="26">
        <f>IFERROR(__xludf.DUMMYFUNCTION("""COMPUTED_VALUE"""),21.0)</f>
        <v>21</v>
      </c>
      <c r="S357" s="26">
        <f>IFERROR(__xludf.DUMMYFUNCTION("""COMPUTED_VALUE"""),8190.0)</f>
        <v>8190</v>
      </c>
      <c r="T357" s="26">
        <f>IFERROR(__xludf.DUMMYFUNCTION("""COMPUTED_VALUE"""),3360.0)</f>
        <v>3360</v>
      </c>
      <c r="U357" s="26">
        <f>IFERROR(__xludf.DUMMYFUNCTION("""COMPUTED_VALUE"""),4609.29)</f>
        <v>4609.29</v>
      </c>
      <c r="V357" s="26">
        <f>IFERROR(__xludf.DUMMYFUNCTION("""COMPUTED_VALUE"""),0.0)</f>
        <v>0</v>
      </c>
      <c r="W357" s="26">
        <f>IFERROR(__xludf.DUMMYFUNCTION("""COMPUTED_VALUE"""),0.0)</f>
        <v>0</v>
      </c>
      <c r="X357" s="26">
        <f>IFERROR(__xludf.DUMMYFUNCTION("""COMPUTED_VALUE"""),1249.29)</f>
        <v>1249.29</v>
      </c>
      <c r="Y357" s="26">
        <f>IFERROR(__xludf.DUMMYFUNCTION("""COMPUTED_VALUE"""),1249.29)</f>
        <v>1249.29</v>
      </c>
      <c r="Z357" s="26">
        <f>IFERROR(__xludf.DUMMYFUNCTION("""COMPUTED_VALUE"""),4788.420000000002)</f>
        <v>4788.42</v>
      </c>
      <c r="AA357" s="26">
        <f>IFERROR(__xludf.DUMMYFUNCTION("""COMPUTED_VALUE"""),4788.420000000002)</f>
        <v>4788.42</v>
      </c>
      <c r="AB357" s="26">
        <f>IFERROR(__xludf.DUMMYFUNCTION("""COMPUTED_VALUE"""),3580.710000000002)</f>
        <v>3580.71</v>
      </c>
      <c r="AC357" s="26">
        <f>IFERROR(__xludf.DUMMYFUNCTION("""COMPUTED_VALUE"""),3401.58)</f>
        <v>3401.58</v>
      </c>
      <c r="AD357" s="26">
        <f>IFERROR(__xludf.DUMMYFUNCTION("""COMPUTED_VALUE"""),179.13)</f>
        <v>179.13</v>
      </c>
      <c r="AE357" s="26">
        <f>IFERROR(__xludf.DUMMYFUNCTION("""COMPUTED_VALUE"""),0.0)</f>
        <v>0</v>
      </c>
    </row>
    <row r="358">
      <c r="A358" s="26">
        <f>IFERROR(__xludf.DUMMYFUNCTION("""COMPUTED_VALUE"""),0.0)</f>
        <v>0</v>
      </c>
      <c r="B358" s="26">
        <f>IFERROR(__xludf.DUMMYFUNCTION("""COMPUTED_VALUE"""),0.0)</f>
        <v>0</v>
      </c>
      <c r="C358" s="26">
        <f>IFERROR(__xludf.DUMMYFUNCTION("""COMPUTED_VALUE"""),0.0)</f>
        <v>0</v>
      </c>
      <c r="D358" s="26">
        <f>IFERROR(__xludf.DUMMYFUNCTION("""COMPUTED_VALUE"""),0.0)</f>
        <v>0</v>
      </c>
      <c r="E358" s="26">
        <f>IFERROR(__xludf.DUMMYFUNCTION("""COMPUTED_VALUE"""),0.0)</f>
        <v>0</v>
      </c>
      <c r="F358" s="26">
        <f>IFERROR(__xludf.DUMMYFUNCTION("""COMPUTED_VALUE"""),0.0)</f>
        <v>0</v>
      </c>
      <c r="G358" s="26">
        <f>IFERROR(__xludf.DUMMYFUNCTION("""COMPUTED_VALUE"""),0.0)</f>
        <v>0</v>
      </c>
      <c r="H358" s="26">
        <f>IFERROR(__xludf.DUMMYFUNCTION("""COMPUTED_VALUE"""),0.0)</f>
        <v>0</v>
      </c>
      <c r="I358" s="26">
        <f>IFERROR(__xludf.DUMMYFUNCTION("""COMPUTED_VALUE"""),0.0)</f>
        <v>0</v>
      </c>
      <c r="J358" s="26">
        <f>IFERROR(__xludf.DUMMYFUNCTION("""COMPUTED_VALUE"""),0.0)</f>
        <v>0</v>
      </c>
      <c r="K358" s="26">
        <f>IFERROR(__xludf.DUMMYFUNCTION("""COMPUTED_VALUE"""),0.0)</f>
        <v>0</v>
      </c>
      <c r="L358" s="26">
        <f>IFERROR(__xludf.DUMMYFUNCTION("""COMPUTED_VALUE"""),0.0)</f>
        <v>0</v>
      </c>
      <c r="M358" s="26"/>
      <c r="N358" s="26"/>
      <c r="O358" s="26"/>
      <c r="P358" s="26"/>
      <c r="Q358" s="26"/>
      <c r="R358" s="26">
        <f>IFERROR(__xludf.DUMMYFUNCTION("""COMPUTED_VALUE"""),0.0)</f>
        <v>0</v>
      </c>
      <c r="S358" s="26">
        <f>IFERROR(__xludf.DUMMYFUNCTION("""COMPUTED_VALUE"""),0.0)</f>
        <v>0</v>
      </c>
      <c r="T358" s="26">
        <f>IFERROR(__xludf.DUMMYFUNCTION("""COMPUTED_VALUE"""),0.0)</f>
        <v>0</v>
      </c>
      <c r="U358" s="26">
        <f>IFERROR(__xludf.DUMMYFUNCTION("""COMPUTED_VALUE"""),0.0)</f>
        <v>0</v>
      </c>
      <c r="V358" s="26">
        <f>IFERROR(__xludf.DUMMYFUNCTION("""COMPUTED_VALUE"""),0.0)</f>
        <v>0</v>
      </c>
      <c r="W358" s="26">
        <f>IFERROR(__xludf.DUMMYFUNCTION("""COMPUTED_VALUE"""),0.0)</f>
        <v>0</v>
      </c>
      <c r="X358" s="26">
        <f>IFERROR(__xludf.DUMMYFUNCTION("""COMPUTED_VALUE"""),0.0)</f>
        <v>0</v>
      </c>
      <c r="Y358" s="26">
        <f>IFERROR(__xludf.DUMMYFUNCTION("""COMPUTED_VALUE"""),0.0)</f>
        <v>0</v>
      </c>
      <c r="Z358" s="26">
        <f>IFERROR(__xludf.DUMMYFUNCTION("""COMPUTED_VALUE"""),0.0)</f>
        <v>0</v>
      </c>
      <c r="AA358" s="26">
        <f>IFERROR(__xludf.DUMMYFUNCTION("""COMPUTED_VALUE"""),0.0)</f>
        <v>0</v>
      </c>
      <c r="AB358" s="26">
        <f>IFERROR(__xludf.DUMMYFUNCTION("""COMPUTED_VALUE"""),0.0)</f>
        <v>0</v>
      </c>
      <c r="AC358" s="26">
        <f>IFERROR(__xludf.DUMMYFUNCTION("""COMPUTED_VALUE"""),0.0)</f>
        <v>0</v>
      </c>
      <c r="AD358" s="26">
        <f>IFERROR(__xludf.DUMMYFUNCTION("""COMPUTED_VALUE"""),0.0)</f>
        <v>0</v>
      </c>
      <c r="AE358" s="26">
        <f>IFERROR(__xludf.DUMMYFUNCTION("""COMPUTED_VALUE"""),0.0)</f>
        <v>0</v>
      </c>
    </row>
    <row r="359">
      <c r="A359" s="26">
        <f>IFERROR(__xludf.DUMMYFUNCTION("""COMPUTED_VALUE"""),13.0)</f>
        <v>13</v>
      </c>
      <c r="B359" s="26">
        <f>IFERROR(__xludf.DUMMYFUNCTION("""COMPUTED_VALUE"""),0.0)</f>
        <v>0</v>
      </c>
      <c r="C359" s="26">
        <f>IFERROR(__xludf.DUMMYFUNCTION("""COMPUTED_VALUE"""),0.0)</f>
        <v>0</v>
      </c>
      <c r="D359" s="26">
        <f>IFERROR(__xludf.DUMMYFUNCTION("""COMPUTED_VALUE"""),0.0)</f>
        <v>0</v>
      </c>
      <c r="E359" s="26">
        <f>IFERROR(__xludf.DUMMYFUNCTION("""COMPUTED_VALUE"""),0.0)</f>
        <v>0</v>
      </c>
      <c r="F359" s="26">
        <f>IFERROR(__xludf.DUMMYFUNCTION("""COMPUTED_VALUE"""),0.0)</f>
        <v>0</v>
      </c>
      <c r="G359" s="26">
        <f>IFERROR(__xludf.DUMMYFUNCTION("""COMPUTED_VALUE"""),0.0)</f>
        <v>0</v>
      </c>
      <c r="H359" s="26">
        <f>IFERROR(__xludf.DUMMYFUNCTION("""COMPUTED_VALUE"""),0.0)</f>
        <v>0</v>
      </c>
      <c r="I359" s="26">
        <f>IFERROR(__xludf.DUMMYFUNCTION("""COMPUTED_VALUE"""),0.0)</f>
        <v>0</v>
      </c>
      <c r="J359" s="26">
        <f>IFERROR(__xludf.DUMMYFUNCTION("""COMPUTED_VALUE"""),0.0)</f>
        <v>0</v>
      </c>
      <c r="K359" s="26">
        <f>IFERROR(__xludf.DUMMYFUNCTION("""COMPUTED_VALUE"""),0.0)</f>
        <v>0</v>
      </c>
      <c r="L359" s="26">
        <f>IFERROR(__xludf.DUMMYFUNCTION("""COMPUTED_VALUE"""),0.0)</f>
        <v>0</v>
      </c>
      <c r="M359" s="26"/>
      <c r="N359" s="26"/>
      <c r="O359" s="26"/>
      <c r="P359" s="26"/>
      <c r="Q359" s="26"/>
      <c r="R359" s="26">
        <f>IFERROR(__xludf.DUMMYFUNCTION("""COMPUTED_VALUE"""),13.0)</f>
        <v>13</v>
      </c>
      <c r="S359" s="26">
        <f>IFERROR(__xludf.DUMMYFUNCTION("""COMPUTED_VALUE"""),5746.0)</f>
        <v>5746</v>
      </c>
      <c r="T359" s="26">
        <f>IFERROR(__xludf.DUMMYFUNCTION("""COMPUTED_VALUE"""),2275.0)</f>
        <v>2275</v>
      </c>
      <c r="U359" s="26">
        <f>IFERROR(__xludf.DUMMYFUNCTION("""COMPUTED_VALUE"""),3151.46)</f>
        <v>3151.46</v>
      </c>
      <c r="V359" s="26">
        <f>IFERROR(__xludf.DUMMYFUNCTION("""COMPUTED_VALUE"""),0.0)</f>
        <v>0</v>
      </c>
      <c r="W359" s="26">
        <f>IFERROR(__xludf.DUMMYFUNCTION("""COMPUTED_VALUE"""),0.0)</f>
        <v>0</v>
      </c>
      <c r="X359" s="26">
        <f>IFERROR(__xludf.DUMMYFUNCTION("""COMPUTED_VALUE"""),876.4599999999998)</f>
        <v>876.46</v>
      </c>
      <c r="Y359" s="26">
        <f>IFERROR(__xludf.DUMMYFUNCTION("""COMPUTED_VALUE"""),876.4599999999998)</f>
        <v>876.46</v>
      </c>
      <c r="Z359" s="26">
        <f>IFERROR(__xludf.DUMMYFUNCTION("""COMPUTED_VALUE"""),0.0)</f>
        <v>0</v>
      </c>
      <c r="AA359" s="26">
        <f>IFERROR(__xludf.DUMMYFUNCTION("""COMPUTED_VALUE"""),0.0)</f>
        <v>0</v>
      </c>
      <c r="AB359" s="26">
        <f>IFERROR(__xludf.DUMMYFUNCTION("""COMPUTED_VALUE"""),0.0)</f>
        <v>0</v>
      </c>
      <c r="AC359" s="26">
        <f>IFERROR(__xludf.DUMMYFUNCTION("""COMPUTED_VALUE"""),0.0)</f>
        <v>0</v>
      </c>
      <c r="AD359" s="26">
        <f>IFERROR(__xludf.DUMMYFUNCTION("""COMPUTED_VALUE"""),0.0)</f>
        <v>0</v>
      </c>
      <c r="AE359" s="26">
        <f>IFERROR(__xludf.DUMMYFUNCTION("""COMPUTED_VALUE"""),0.0)</f>
        <v>0</v>
      </c>
    </row>
    <row r="360">
      <c r="A360" s="26">
        <f>IFERROR(__xludf.DUMMYFUNCTION("""COMPUTED_VALUE"""),0.0)</f>
        <v>0</v>
      </c>
      <c r="B360" s="26">
        <f>IFERROR(__xludf.DUMMYFUNCTION("""COMPUTED_VALUE"""),0.0)</f>
        <v>0</v>
      </c>
      <c r="C360" s="26">
        <f>IFERROR(__xludf.DUMMYFUNCTION("""COMPUTED_VALUE"""),0.0)</f>
        <v>0</v>
      </c>
      <c r="D360" s="26">
        <f>IFERROR(__xludf.DUMMYFUNCTION("""COMPUTED_VALUE"""),0.0)</f>
        <v>0</v>
      </c>
      <c r="E360" s="26">
        <f>IFERROR(__xludf.DUMMYFUNCTION("""COMPUTED_VALUE"""),0.0)</f>
        <v>0</v>
      </c>
      <c r="F360" s="26">
        <f>IFERROR(__xludf.DUMMYFUNCTION("""COMPUTED_VALUE"""),0.0)</f>
        <v>0</v>
      </c>
      <c r="G360" s="26">
        <f>IFERROR(__xludf.DUMMYFUNCTION("""COMPUTED_VALUE"""),0.0)</f>
        <v>0</v>
      </c>
      <c r="H360" s="26">
        <f>IFERROR(__xludf.DUMMYFUNCTION("""COMPUTED_VALUE"""),0.0)</f>
        <v>0</v>
      </c>
      <c r="I360" s="26">
        <f>IFERROR(__xludf.DUMMYFUNCTION("""COMPUTED_VALUE"""),0.0)</f>
        <v>0</v>
      </c>
      <c r="J360" s="26">
        <f>IFERROR(__xludf.DUMMYFUNCTION("""COMPUTED_VALUE"""),0.0)</f>
        <v>0</v>
      </c>
      <c r="K360" s="26">
        <f>IFERROR(__xludf.DUMMYFUNCTION("""COMPUTED_VALUE"""),0.0)</f>
        <v>0</v>
      </c>
      <c r="L360" s="26"/>
      <c r="M360" s="26"/>
      <c r="N360" s="26"/>
      <c r="O360" s="26"/>
      <c r="P360" s="26"/>
      <c r="Q360" s="26"/>
      <c r="R360" s="26">
        <f>IFERROR(__xludf.DUMMYFUNCTION("""COMPUTED_VALUE"""),0.0)</f>
        <v>0</v>
      </c>
      <c r="S360" s="26">
        <f>IFERROR(__xludf.DUMMYFUNCTION("""COMPUTED_VALUE"""),0.0)</f>
        <v>0</v>
      </c>
      <c r="T360" s="26">
        <f>IFERROR(__xludf.DUMMYFUNCTION("""COMPUTED_VALUE"""),0.0)</f>
        <v>0</v>
      </c>
      <c r="U360" s="26">
        <f>IFERROR(__xludf.DUMMYFUNCTION("""COMPUTED_VALUE"""),0.0)</f>
        <v>0</v>
      </c>
      <c r="V360" s="26">
        <f>IFERROR(__xludf.DUMMYFUNCTION("""COMPUTED_VALUE"""),0.0)</f>
        <v>0</v>
      </c>
      <c r="W360" s="26">
        <f>IFERROR(__xludf.DUMMYFUNCTION("""COMPUTED_VALUE"""),0.0)</f>
        <v>0</v>
      </c>
      <c r="X360" s="26">
        <f>IFERROR(__xludf.DUMMYFUNCTION("""COMPUTED_VALUE"""),0.0)</f>
        <v>0</v>
      </c>
      <c r="Y360" s="26">
        <f>IFERROR(__xludf.DUMMYFUNCTION("""COMPUTED_VALUE"""),0.0)</f>
        <v>0</v>
      </c>
      <c r="Z360" s="26">
        <f>IFERROR(__xludf.DUMMYFUNCTION("""COMPUTED_VALUE"""),0.0)</f>
        <v>0</v>
      </c>
      <c r="AA360" s="26">
        <f>IFERROR(__xludf.DUMMYFUNCTION("""COMPUTED_VALUE"""),0.0)</f>
        <v>0</v>
      </c>
      <c r="AB360" s="26">
        <f>IFERROR(__xludf.DUMMYFUNCTION("""COMPUTED_VALUE"""),0.0)</f>
        <v>0</v>
      </c>
      <c r="AC360" s="26">
        <f>IFERROR(__xludf.DUMMYFUNCTION("""COMPUTED_VALUE"""),0.0)</f>
        <v>0</v>
      </c>
      <c r="AD360" s="26">
        <f>IFERROR(__xludf.DUMMYFUNCTION("""COMPUTED_VALUE"""),0.0)</f>
        <v>0</v>
      </c>
      <c r="AE360" s="26">
        <f>IFERROR(__xludf.DUMMYFUNCTION("""COMPUTED_VALUE"""),0.0)</f>
        <v>0</v>
      </c>
    </row>
    <row r="361">
      <c r="A361" s="26">
        <f>IFERROR(__xludf.DUMMYFUNCTION("""COMPUTED_VALUE"""),0.0)</f>
        <v>0</v>
      </c>
      <c r="B361" s="26">
        <f>IFERROR(__xludf.DUMMYFUNCTION("""COMPUTED_VALUE"""),0.0)</f>
        <v>0</v>
      </c>
      <c r="C361" s="26">
        <f>IFERROR(__xludf.DUMMYFUNCTION("""COMPUTED_VALUE"""),0.0)</f>
        <v>0</v>
      </c>
      <c r="D361" s="26">
        <f>IFERROR(__xludf.DUMMYFUNCTION("""COMPUTED_VALUE"""),0.0)</f>
        <v>0</v>
      </c>
      <c r="E361" s="26">
        <f>IFERROR(__xludf.DUMMYFUNCTION("""COMPUTED_VALUE"""),0.0)</f>
        <v>0</v>
      </c>
      <c r="F361" s="26">
        <f>IFERROR(__xludf.DUMMYFUNCTION("""COMPUTED_VALUE"""),0.0)</f>
        <v>0</v>
      </c>
      <c r="G361" s="26">
        <f>IFERROR(__xludf.DUMMYFUNCTION("""COMPUTED_VALUE"""),0.0)</f>
        <v>0</v>
      </c>
      <c r="H361" s="26">
        <f>IFERROR(__xludf.DUMMYFUNCTION("""COMPUTED_VALUE"""),0.0)</f>
        <v>0</v>
      </c>
      <c r="I361" s="26">
        <f>IFERROR(__xludf.DUMMYFUNCTION("""COMPUTED_VALUE"""),0.0)</f>
        <v>0</v>
      </c>
      <c r="J361" s="26">
        <f>IFERROR(__xludf.DUMMYFUNCTION("""COMPUTED_VALUE"""),0.0)</f>
        <v>0</v>
      </c>
      <c r="K361" s="26">
        <f>IFERROR(__xludf.DUMMYFUNCTION("""COMPUTED_VALUE"""),0.0)</f>
        <v>0</v>
      </c>
      <c r="L361" s="26"/>
      <c r="M361" s="26"/>
      <c r="N361" s="26"/>
      <c r="O361" s="26"/>
      <c r="P361" s="26"/>
      <c r="Q361" s="26"/>
      <c r="R361" s="26">
        <f>IFERROR(__xludf.DUMMYFUNCTION("""COMPUTED_VALUE"""),0.0)</f>
        <v>0</v>
      </c>
      <c r="S361" s="26">
        <f>IFERROR(__xludf.DUMMYFUNCTION("""COMPUTED_VALUE"""),0.0)</f>
        <v>0</v>
      </c>
      <c r="T361" s="26">
        <f>IFERROR(__xludf.DUMMYFUNCTION("""COMPUTED_VALUE"""),0.0)</f>
        <v>0</v>
      </c>
      <c r="U361" s="26">
        <f>IFERROR(__xludf.DUMMYFUNCTION("""COMPUTED_VALUE"""),0.0)</f>
        <v>0</v>
      </c>
      <c r="V361" s="26">
        <f>IFERROR(__xludf.DUMMYFUNCTION("""COMPUTED_VALUE"""),0.0)</f>
        <v>0</v>
      </c>
      <c r="W361" s="26">
        <f>IFERROR(__xludf.DUMMYFUNCTION("""COMPUTED_VALUE"""),0.0)</f>
        <v>0</v>
      </c>
      <c r="X361" s="26">
        <f>IFERROR(__xludf.DUMMYFUNCTION("""COMPUTED_VALUE"""),0.0)</f>
        <v>0</v>
      </c>
      <c r="Y361" s="26">
        <f>IFERROR(__xludf.DUMMYFUNCTION("""COMPUTED_VALUE"""),0.0)</f>
        <v>0</v>
      </c>
      <c r="Z361" s="26">
        <f>IFERROR(__xludf.DUMMYFUNCTION("""COMPUTED_VALUE"""),0.0)</f>
        <v>0</v>
      </c>
      <c r="AA361" s="26">
        <f>IFERROR(__xludf.DUMMYFUNCTION("""COMPUTED_VALUE"""),0.0)</f>
        <v>0</v>
      </c>
      <c r="AB361" s="26">
        <f>IFERROR(__xludf.DUMMYFUNCTION("""COMPUTED_VALUE"""),0.0)</f>
        <v>0</v>
      </c>
      <c r="AC361" s="26">
        <f>IFERROR(__xludf.DUMMYFUNCTION("""COMPUTED_VALUE"""),0.0)</f>
        <v>0</v>
      </c>
      <c r="AD361" s="26">
        <f>IFERROR(__xludf.DUMMYFUNCTION("""COMPUTED_VALUE"""),0.0)</f>
        <v>0</v>
      </c>
      <c r="AE361" s="26">
        <f>IFERROR(__xludf.DUMMYFUNCTION("""COMPUTED_VALUE"""),0.0)</f>
        <v>0</v>
      </c>
    </row>
    <row r="362">
      <c r="A362" s="26">
        <f>IFERROR(__xludf.DUMMYFUNCTION("""COMPUTED_VALUE"""),0.0)</f>
        <v>0</v>
      </c>
      <c r="B362" s="26">
        <f>IFERROR(__xludf.DUMMYFUNCTION("""COMPUTED_VALUE"""),0.0)</f>
        <v>0</v>
      </c>
      <c r="C362" s="26">
        <f>IFERROR(__xludf.DUMMYFUNCTION("""COMPUTED_VALUE"""),0.0)</f>
        <v>0</v>
      </c>
      <c r="D362" s="26">
        <f>IFERROR(__xludf.DUMMYFUNCTION("""COMPUTED_VALUE"""),0.0)</f>
        <v>0</v>
      </c>
      <c r="E362" s="26">
        <f>IFERROR(__xludf.DUMMYFUNCTION("""COMPUTED_VALUE"""),0.0)</f>
        <v>0</v>
      </c>
      <c r="F362" s="26">
        <f>IFERROR(__xludf.DUMMYFUNCTION("""COMPUTED_VALUE"""),0.0)</f>
        <v>0</v>
      </c>
      <c r="G362" s="26">
        <f>IFERROR(__xludf.DUMMYFUNCTION("""COMPUTED_VALUE"""),0.0)</f>
        <v>0</v>
      </c>
      <c r="H362" s="26">
        <f>IFERROR(__xludf.DUMMYFUNCTION("""COMPUTED_VALUE"""),0.0)</f>
        <v>0</v>
      </c>
      <c r="I362" s="26">
        <f>IFERROR(__xludf.DUMMYFUNCTION("""COMPUTED_VALUE"""),0.0)</f>
        <v>0</v>
      </c>
      <c r="J362" s="26">
        <f>IFERROR(__xludf.DUMMYFUNCTION("""COMPUTED_VALUE"""),0.0)</f>
        <v>0</v>
      </c>
      <c r="K362" s="26">
        <f>IFERROR(__xludf.DUMMYFUNCTION("""COMPUTED_VALUE"""),0.0)</f>
        <v>0</v>
      </c>
      <c r="L362" s="26"/>
      <c r="M362" s="26"/>
      <c r="N362" s="26"/>
      <c r="O362" s="26"/>
      <c r="P362" s="26"/>
      <c r="Q362" s="26"/>
      <c r="R362" s="26">
        <f>IFERROR(__xludf.DUMMYFUNCTION("""COMPUTED_VALUE"""),0.0)</f>
        <v>0</v>
      </c>
      <c r="S362" s="26">
        <f>IFERROR(__xludf.DUMMYFUNCTION("""COMPUTED_VALUE"""),0.0)</f>
        <v>0</v>
      </c>
      <c r="T362" s="26">
        <f>IFERROR(__xludf.DUMMYFUNCTION("""COMPUTED_VALUE"""),0.0)</f>
        <v>0</v>
      </c>
      <c r="U362" s="26">
        <f>IFERROR(__xludf.DUMMYFUNCTION("""COMPUTED_VALUE"""),0.0)</f>
        <v>0</v>
      </c>
      <c r="V362" s="26">
        <f>IFERROR(__xludf.DUMMYFUNCTION("""COMPUTED_VALUE"""),0.0)</f>
        <v>0</v>
      </c>
      <c r="W362" s="26">
        <f>IFERROR(__xludf.DUMMYFUNCTION("""COMPUTED_VALUE"""),0.0)</f>
        <v>0</v>
      </c>
      <c r="X362" s="26">
        <f>IFERROR(__xludf.DUMMYFUNCTION("""COMPUTED_VALUE"""),0.0)</f>
        <v>0</v>
      </c>
      <c r="Y362" s="26">
        <f>IFERROR(__xludf.DUMMYFUNCTION("""COMPUTED_VALUE"""),0.0)</f>
        <v>0</v>
      </c>
      <c r="Z362" s="26">
        <f>IFERROR(__xludf.DUMMYFUNCTION("""COMPUTED_VALUE"""),0.0)</f>
        <v>0</v>
      </c>
      <c r="AA362" s="26">
        <f>IFERROR(__xludf.DUMMYFUNCTION("""COMPUTED_VALUE"""),0.0)</f>
        <v>0</v>
      </c>
      <c r="AB362" s="26">
        <f>IFERROR(__xludf.DUMMYFUNCTION("""COMPUTED_VALUE"""),0.0)</f>
        <v>0</v>
      </c>
      <c r="AC362" s="26">
        <f>IFERROR(__xludf.DUMMYFUNCTION("""COMPUTED_VALUE"""),0.0)</f>
        <v>0</v>
      </c>
      <c r="AD362" s="26">
        <f>IFERROR(__xludf.DUMMYFUNCTION("""COMPUTED_VALUE"""),0.0)</f>
        <v>0</v>
      </c>
      <c r="AE362" s="26">
        <f>IFERROR(__xludf.DUMMYFUNCTION("""COMPUTED_VALUE"""),0.0)</f>
        <v>0</v>
      </c>
    </row>
    <row r="36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row>
    <row r="364">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row>
    <row r="36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row>
    <row r="366">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row>
    <row r="367">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row>
    <row r="368">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row>
    <row r="369">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row>
    <row r="370">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row>
    <row r="37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row>
    <row r="37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row>
    <row r="37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row>
    <row r="374">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row>
    <row r="37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row>
    <row r="376">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row>
    <row r="377">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row>
    <row r="378">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row>
    <row r="379">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row>
    <row r="380">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row>
    <row r="38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row>
    <row r="38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row>
    <row r="38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row>
    <row r="384">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row>
    <row r="38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row>
    <row r="386">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row>
    <row r="387">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row>
    <row r="388">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row>
    <row r="389">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row>
    <row r="390">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row>
    <row r="39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row>
    <row r="39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row>
    <row r="39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row>
    <row r="394">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row>
    <row r="39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row>
    <row r="396">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row>
    <row r="397">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row>
    <row r="398">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row>
    <row r="399">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row>
    <row r="400">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row>
    <row r="40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row>
    <row r="4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row>
    <row r="4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row>
    <row r="404">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row>
    <row r="40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row>
    <row r="406">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row>
    <row r="407">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row>
    <row r="40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row>
    <row r="409">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row>
    <row r="410">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row>
    <row r="41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row>
    <row r="41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row>
    <row r="41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row>
    <row r="414">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row>
    <row r="41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row>
    <row r="416">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row>
    <row r="417">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row>
    <row r="41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row>
    <row r="419">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row>
    <row r="420">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row>
    <row r="42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row>
    <row r="42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row>
    <row r="42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row>
    <row r="424">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row>
    <row r="4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row>
    <row r="426">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row>
    <row r="427">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row>
    <row r="42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row>
    <row r="429">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row>
    <row r="430">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row>
    <row r="43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row>
    <row r="43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row>
    <row r="43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row>
    <row r="434">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row>
    <row r="43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row>
    <row r="436">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row>
    <row r="437">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row>
    <row r="43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row>
    <row r="439">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row>
    <row r="440">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row>
    <row r="44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row>
    <row r="44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row>
    <row r="44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row>
    <row r="444">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row>
    <row r="44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row>
    <row r="446">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row>
    <row r="447">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row>
    <row r="44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row>
    <row r="449">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row>
    <row r="450">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row>
    <row r="45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row>
    <row r="45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row>
    <row r="45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row>
    <row r="454">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row>
    <row r="45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row>
    <row r="456">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row>
    <row r="457">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row>
    <row r="45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row>
    <row r="459">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row>
    <row r="460">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row>
    <row r="46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row>
    <row r="46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row>
    <row r="46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row>
    <row r="464">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row>
    <row r="46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row>
    <row r="466">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row>
    <row r="467">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row>
    <row r="46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row>
    <row r="469">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row>
    <row r="470">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row>
    <row r="47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row>
    <row r="47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row>
    <row r="47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row>
    <row r="474">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row>
    <row r="47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row>
    <row r="476">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row>
    <row r="477">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row>
    <row r="4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row>
    <row r="479">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row>
    <row r="480">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row>
    <row r="48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row>
    <row r="48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row>
    <row r="48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row>
    <row r="484">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row>
    <row r="48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row>
    <row r="486">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row>
    <row r="487">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row>
    <row r="48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row>
    <row r="489">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row>
    <row r="490">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row>
    <row r="49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row>
    <row r="49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row>
    <row r="49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row>
    <row r="494">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row>
    <row r="49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row>
    <row r="496">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row>
    <row r="497">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row>
    <row r="498">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row>
    <row r="499">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row>
    <row r="500">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row>
    <row r="50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row>
    <row r="5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row>
    <row r="5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row>
    <row r="504">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row>
    <row r="50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row>
    <row r="506">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row>
    <row r="507">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row>
    <row r="508">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row>
    <row r="509">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row>
    <row r="510">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row>
    <row r="51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row>
    <row r="51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row>
    <row r="51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row>
    <row r="514">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row>
    <row r="51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row>
    <row r="516">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row>
    <row r="517">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row>
    <row r="518">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row>
    <row r="519">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row>
    <row r="520">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row>
    <row r="52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row>
    <row r="52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row>
    <row r="52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row>
    <row r="524">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row>
    <row r="5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row>
    <row r="526">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row>
    <row r="527">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row>
    <row r="528">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row>
    <row r="529">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row>
    <row r="530">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row>
    <row r="53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row>
    <row r="53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row>
    <row r="53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row>
    <row r="534">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row>
    <row r="53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row>
    <row r="536">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row>
    <row r="537">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row>
    <row r="538">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row>
    <row r="539">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row>
    <row r="540">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row>
    <row r="54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row>
    <row r="54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row>
    <row r="54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row>
    <row r="544">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row>
    <row r="54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row>
    <row r="546">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row>
    <row r="547">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row>
    <row r="548">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row>
    <row r="549">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row>
    <row r="550">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row>
    <row r="55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row>
    <row r="55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row>
    <row r="55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row>
    <row r="554">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row>
    <row r="55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row>
    <row r="556">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row>
    <row r="557">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row>
    <row r="558">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row>
    <row r="559">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row>
    <row r="560">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row>
    <row r="56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row>
    <row r="56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row>
    <row r="56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row>
    <row r="564">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row>
    <row r="56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row>
    <row r="566">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row>
    <row r="567">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row>
    <row r="568">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row>
    <row r="569">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row>
    <row r="570">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row>
    <row r="57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row>
    <row r="57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row>
    <row r="57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row>
    <row r="574">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row>
    <row r="57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row>
    <row r="576">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row>
    <row r="577">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row>
    <row r="578">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row>
    <row r="579">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row>
    <row r="580">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row>
    <row r="58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row>
    <row r="58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row>
    <row r="58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row>
    <row r="584">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row>
    <row r="58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row>
    <row r="58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row>
    <row r="587">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row>
    <row r="588">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row>
    <row r="589">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row>
    <row r="590">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row>
    <row r="59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row>
    <row r="59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row>
    <row r="59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row>
    <row r="594">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row>
    <row r="59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row>
    <row r="59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row>
    <row r="597">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row>
    <row r="598">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row>
    <row r="599">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row>
    <row r="600">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row>
    <row r="60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row>
    <row r="6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row>
    <row r="6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row>
    <row r="604">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row>
    <row r="60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row>
    <row r="60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row>
    <row r="607">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row>
    <row r="608">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row>
    <row r="609">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row>
    <row r="610">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row>
    <row r="61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row>
    <row r="61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row>
    <row r="61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row>
    <row r="614">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row>
    <row r="61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row>
    <row r="61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row>
    <row r="617">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row>
    <row r="618">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row>
    <row r="619">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row>
    <row r="620">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row>
    <row r="62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row>
    <row r="62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row>
    <row r="62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row>
    <row r="624">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row>
    <row r="6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row>
    <row r="6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row>
    <row r="627">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row>
    <row r="628">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row>
    <row r="629">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row>
    <row r="630">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row>
    <row r="63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row>
    <row r="63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row>
    <row r="63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row>
    <row r="634">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row>
    <row r="63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row>
    <row r="63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row>
    <row r="637">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row>
    <row r="638">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row>
    <row r="639">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row>
    <row r="640">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row>
    <row r="64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row>
    <row r="64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row>
    <row r="64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row>
    <row r="644">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row>
    <row r="64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row>
    <row r="64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row>
    <row r="647">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row>
    <row r="648">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row>
    <row r="649">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row>
    <row r="650">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row>
    <row r="65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row>
    <row r="65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row>
    <row r="65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row>
    <row r="654">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row>
    <row r="65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row>
    <row r="65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row>
    <row r="657">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row>
    <row r="658">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row>
    <row r="659">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row>
    <row r="660">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row>
    <row r="66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row>
    <row r="66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row>
    <row r="66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row>
    <row r="664">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row>
    <row r="66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row>
    <row r="66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row>
    <row r="667">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row>
    <row r="668">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row>
    <row r="669">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row>
    <row r="670">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row>
    <row r="67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row>
    <row r="67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row>
    <row r="67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row>
    <row r="674">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row>
    <row r="67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row>
    <row r="67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row>
    <row r="677">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row>
    <row r="678">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row>
    <row r="679">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row>
    <row r="680">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row>
    <row r="68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row>
    <row r="68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row>
    <row r="68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row>
    <row r="684">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row>
    <row r="68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row>
    <row r="68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row>
    <row r="687">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row>
    <row r="688">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row>
    <row r="689">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row>
    <row r="690">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row>
    <row r="69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row>
    <row r="69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row>
    <row r="69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row>
    <row r="694">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row>
    <row r="69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row>
    <row r="69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row>
    <row r="697">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row>
    <row r="698">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row>
    <row r="699">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row>
    <row r="700">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row>
    <row r="70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row>
    <row r="7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row>
    <row r="7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row>
    <row r="704">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row>
    <row r="70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row>
    <row r="70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row>
    <row r="707">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row>
    <row r="708">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row>
    <row r="709">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row>
    <row r="710">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row>
    <row r="71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row>
    <row r="71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row>
    <row r="71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row>
    <row r="714">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row>
    <row r="71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row>
    <row r="71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row>
    <row r="717">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row>
    <row r="718">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row>
    <row r="719">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row>
    <row r="720">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row>
    <row r="72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row>
    <row r="72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row>
    <row r="72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row>
    <row r="724">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row>
    <row r="7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row>
    <row r="7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row>
    <row r="727">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row>
    <row r="728">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row>
    <row r="729">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row>
    <row r="730">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row>
    <row r="73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row>
    <row r="73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row>
    <row r="73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row>
    <row r="734">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row>
    <row r="73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row>
    <row r="73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row>
    <row r="737">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row>
    <row r="738">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row>
    <row r="739">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row>
    <row r="740">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row>
    <row r="74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row>
    <row r="74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row>
    <row r="74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row>
    <row r="744">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row>
    <row r="74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row>
    <row r="74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row>
    <row r="747">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row>
    <row r="748">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row>
    <row r="749">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row>
    <row r="750">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row>
    <row r="75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row>
    <row r="75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row>
    <row r="75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row>
    <row r="754">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row>
    <row r="75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row>
    <row r="75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row>
    <row r="757">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row>
    <row r="758">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row>
    <row r="759">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row>
    <row r="760">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row>
    <row r="76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row>
    <row r="76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row>
    <row r="76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row>
    <row r="764">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row>
    <row r="76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row>
    <row r="76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row>
    <row r="767">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row>
    <row r="768">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row>
    <row r="769">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row>
    <row r="770">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row>
    <row r="77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row>
    <row r="77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row>
    <row r="77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row>
    <row r="774">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row>
    <row r="77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row>
    <row r="77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row>
    <row r="777">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row>
    <row r="778">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row>
    <row r="779">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row>
    <row r="780">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row>
    <row r="78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row>
    <row r="78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row>
    <row r="78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row>
    <row r="784">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row>
    <row r="78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row>
    <row r="78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row>
    <row r="787">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row>
    <row r="788">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row>
    <row r="789">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row>
    <row r="790">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row>
    <row r="79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row>
    <row r="79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row>
    <row r="79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row>
    <row r="794">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row>
    <row r="79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row>
    <row r="79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row>
    <row r="797">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row>
    <row r="798">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row>
    <row r="799">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row>
    <row r="800">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row>
    <row r="80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row>
    <row r="8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row>
    <row r="8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row>
    <row r="804">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row>
    <row r="80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row>
    <row r="80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row>
    <row r="807">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row>
    <row r="808">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row>
    <row r="809">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row>
    <row r="810">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row>
    <row r="81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row>
    <row r="81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row>
    <row r="81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row>
    <row r="814">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row>
    <row r="81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row>
    <row r="81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row>
    <row r="817">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row>
    <row r="818">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row>
    <row r="819">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row>
    <row r="820">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row>
    <row r="82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row>
    <row r="82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row>
    <row r="82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row>
    <row r="824">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row>
    <row r="8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row>
    <row r="8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row>
    <row r="827">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row>
    <row r="828">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row>
    <row r="829">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row>
    <row r="830">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row>
    <row r="83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row>
    <row r="83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row>
    <row r="83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row>
    <row r="834">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row>
    <row r="83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row>
    <row r="83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row>
    <row r="837">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row>
    <row r="838">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row>
    <row r="839">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row>
    <row r="840">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row>
    <row r="84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row>
    <row r="84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row>
    <row r="84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row>
    <row r="844">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row>
    <row r="84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row>
    <row r="84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row>
    <row r="847">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row>
    <row r="848">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row>
    <row r="849">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row>
    <row r="850">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row>
    <row r="85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row>
    <row r="85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row>
    <row r="85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row>
    <row r="854">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row>
    <row r="85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row>
    <row r="85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row>
    <row r="857">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row>
    <row r="858">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row>
    <row r="859">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row>
    <row r="860">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row>
    <row r="86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row>
    <row r="86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row>
    <row r="86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row>
    <row r="864">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row>
    <row r="86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row>
    <row r="86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row>
    <row r="867">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row>
    <row r="868">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row>
    <row r="869">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row>
    <row r="870">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row>
    <row r="87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row>
    <row r="87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row>
    <row r="87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row>
    <row r="874">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row>
    <row r="87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row>
    <row r="87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row>
    <row r="877">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row>
    <row r="878">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row>
    <row r="879">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row>
    <row r="880">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row>
    <row r="88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row>
    <row r="88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row>
    <row r="88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row>
    <row r="884">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row>
    <row r="88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row>
    <row r="88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row>
    <row r="887">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row>
    <row r="888">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row>
    <row r="889">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row>
    <row r="890">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row>
    <row r="89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row>
    <row r="89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row>
    <row r="89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row>
    <row r="894">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row>
    <row r="89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row>
    <row r="89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row>
    <row r="897">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row>
    <row r="898">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row>
    <row r="899">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row>
    <row r="900">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row>
    <row r="90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row>
    <row r="9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row>
    <row r="9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row>
    <row r="904">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row>
    <row r="90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row>
    <row r="90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row>
    <row r="907">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row>
    <row r="908">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row>
    <row r="909">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row>
    <row r="910">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row>
    <row r="91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row>
    <row r="91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row>
    <row r="91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row>
    <row r="914">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row>
    <row r="91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row>
    <row r="91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row>
    <row r="917">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row>
    <row r="918">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row>
    <row r="919">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row>
    <row r="920">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row>
    <row r="92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row>
    <row r="92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row>
    <row r="92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row>
    <row r="924">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row>
    <row r="9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row>
    <row r="9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row>
    <row r="927">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row>
    <row r="928">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row>
    <row r="929">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row>
    <row r="930">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row>
    <row r="93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row>
    <row r="93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row>
    <row r="93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row>
    <row r="934">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row>
    <row r="93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row>
    <row r="93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row>
    <row r="937">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row>
    <row r="938">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row>
    <row r="939">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row>
    <row r="940">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row>
    <row r="94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row>
    <row r="94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row>
    <row r="94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row>
    <row r="944">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row>
    <row r="94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row>
    <row r="94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row>
    <row r="947">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row>
    <row r="948">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row>
    <row r="949">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row>
    <row r="950">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row>
    <row r="95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row>
    <row r="95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row>
    <row r="95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row>
    <row r="954">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row>
    <row r="95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row>
    <row r="95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row>
    <row r="957">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row>
    <row r="958">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row>
    <row r="959">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row>
    <row r="960">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row>
    <row r="96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row>
    <row r="96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row>
    <row r="96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row>
    <row r="964">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row>
    <row r="96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row>
    <row r="96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row>
    <row r="967">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row>
    <row r="968">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row>
    <row r="969">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row>
    <row r="970">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row>
    <row r="97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row>
    <row r="97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row>
    <row r="97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row>
    <row r="974">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row>
    <row r="97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row>
    <row r="97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row>
    <row r="977">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row>
    <row r="978">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row>
    <row r="979">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row>
    <row r="980">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row>
    <row r="98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row>
    <row r="98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row>
    <row r="98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row>
    <row r="984">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row>
    <row r="98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row>
    <row r="986">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row>
    <row r="987">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row>
    <row r="988">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row>
    <row r="989">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row>
    <row r="990">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row>
    <row r="99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row>
    <row r="99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row>
    <row r="99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row>
    <row r="994">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row>
    <row r="99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row>
    <row r="99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row>
    <row r="997">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row>
    <row r="998">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row>
    <row r="999">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row>
    <row r="1000">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2" width="14.63"/>
    <col customWidth="1" min="3" max="3" width="19.88"/>
    <col customWidth="1" min="4" max="4" width="26.38"/>
    <col customWidth="1" min="5" max="5" width="32.0"/>
    <col customWidth="1" min="6" max="6" width="26.75"/>
    <col customWidth="1" min="7" max="7" width="33.13"/>
    <col customWidth="1" min="8" max="8" width="31.13"/>
    <col customWidth="1" min="9" max="9" width="17.63"/>
    <col customWidth="1" min="10" max="10" width="26.88"/>
    <col customWidth="1" min="11" max="11" width="25.88"/>
    <col customWidth="1" hidden="1" min="12" max="17" width="14.13"/>
    <col customWidth="1" min="18" max="18" width="10.75"/>
    <col customWidth="1" min="19" max="19" width="16.5"/>
    <col customWidth="1" min="20" max="20" width="20.75"/>
    <col customWidth="1" min="21" max="21" width="26.0"/>
    <col customWidth="1" min="22" max="22" width="9.63"/>
    <col customWidth="1" min="23" max="23" width="9.5"/>
    <col customWidth="1" min="24" max="24" width="8.88"/>
    <col customWidth="1" min="25" max="25" width="16.5"/>
    <col customWidth="1" min="26" max="26" width="13.25"/>
    <col customWidth="1" min="27" max="27" width="12.25"/>
    <col customWidth="1" min="28" max="28" width="19.13"/>
    <col customWidth="1" min="29" max="29" width="30.5"/>
    <col customWidth="1" min="30" max="30" width="12.25"/>
    <col customWidth="1" min="31" max="31" width="16.88"/>
  </cols>
  <sheetData>
    <row r="1">
      <c r="A1" s="44" t="str">
        <f>IFERROR(__xludf.DUMMYFUNCTION("IMPORTRANGE(""1CbVC-80NOD301bA2Jgxy8lf4vxuXi98pb6ABejRerJc"", ""Calculations!A:AE"")"),"Total CPA Policies")</f>
        <v>Total CPA Policies</v>
      </c>
      <c r="B1" s="44" t="str">
        <f>IFERROR(__xludf.DUMMYFUNCTION("""COMPUTED_VALUE"""),"Total RSA Policies")</f>
        <v>Total RSA Policies</v>
      </c>
      <c r="C1" s="44" t="str">
        <f>IFERROR(__xludf.DUMMYFUNCTION("""COMPUTED_VALUE"""),"Total CPA + RSA Policies")</f>
        <v>Total CPA + RSA Policies</v>
      </c>
      <c r="D1" s="44" t="str">
        <f>IFERROR(__xludf.DUMMYFUNCTION("""COMPUTED_VALUE"""),"Total CPA + RSA + AHDC Policies")</f>
        <v>Total CPA + RSA + AHDC Policies</v>
      </c>
      <c r="E1" s="44" t="str">
        <f>IFERROR(__xludf.DUMMYFUNCTION("""COMPUTED_VALUE"""),"Total CPA + RSA + AHDC + DOC Policies")</f>
        <v>Total CPA + RSA + AHDC + DOC Policies</v>
      </c>
      <c r="F1" s="44" t="str">
        <f>IFERROR(__xludf.DUMMYFUNCTION("""COMPUTED_VALUE"""),"Total CPA + RSA : 5 Years Policies")</f>
        <v>Total CPA + RSA : 5 Years Policies</v>
      </c>
      <c r="G1" s="44" t="str">
        <f>IFERROR(__xludf.DUMMYFUNCTION("""COMPUTED_VALUE"""),"Total Assistance + CPA + AHDC2X Policies")</f>
        <v>Total Assistance + CPA + AHDC2X Policies</v>
      </c>
      <c r="H1" s="44" t="str">
        <f>IFERROR(__xludf.DUMMYFUNCTION("""COMPUTED_VALUE"""),"Total Assistance + CPA + AHDC Policies")</f>
        <v>Total Assistance + CPA + AHDC Policies</v>
      </c>
      <c r="I1" s="44" t="str">
        <f>IFERROR(__xludf.DUMMYFUNCTION("""COMPUTED_VALUE"""),"Total ACPA5Y Policies")</f>
        <v>Total ACPA5Y Policies</v>
      </c>
      <c r="J1" s="44" t="str">
        <f>IFERROR(__xludf.DUMMYFUNCTION("""COMPUTED_VALUE"""),"Total RSA + AHDC + DOC Policies")</f>
        <v>Total RSA + AHDC + DOC Policies</v>
      </c>
      <c r="K1" s="44" t="str">
        <f>IFERROR(__xludf.DUMMYFUNCTION("""COMPUTED_VALUE"""),"Total Assistance + AHDC Policies")</f>
        <v>Total Assistance + AHDC Policies</v>
      </c>
      <c r="L1" s="44" t="str">
        <f>IFERROR(__xludf.DUMMYFUNCTION("""COMPUTED_VALUE"""),"Total RSA - EV Policies")</f>
        <v>Total RSA - EV Policies</v>
      </c>
      <c r="M1" s="44" t="str">
        <f>IFERROR(__xludf.DUMMYFUNCTION("""COMPUTED_VALUE"""),"&lt;For Future Use&gt;")</f>
        <v>&lt;For Future Use&gt;</v>
      </c>
      <c r="N1" s="44" t="str">
        <f>IFERROR(__xludf.DUMMYFUNCTION("""COMPUTED_VALUE"""),"&lt;For Future Use&gt;")</f>
        <v>&lt;For Future Use&gt;</v>
      </c>
      <c r="O1" s="44" t="str">
        <f>IFERROR(__xludf.DUMMYFUNCTION("""COMPUTED_VALUE"""),"&lt;For Future Use&gt;")</f>
        <v>&lt;For Future Use&gt;</v>
      </c>
      <c r="P1" s="44" t="str">
        <f>IFERROR(__xludf.DUMMYFUNCTION("""COMPUTED_VALUE"""),"&lt;For Future Use&gt;")</f>
        <v>&lt;For Future Use&gt;</v>
      </c>
      <c r="Q1" s="44" t="str">
        <f>IFERROR(__xludf.DUMMYFUNCTION("""COMPUTED_VALUE"""),"&lt;For Future Use&gt;")</f>
        <v>&lt;For Future Use&gt;</v>
      </c>
      <c r="R1" s="44" t="str">
        <f>IFERROR(__xludf.DUMMYFUNCTION("""COMPUTED_VALUE"""),"Total Policies")</f>
        <v>Total Policies</v>
      </c>
      <c r="S1" s="44" t="str">
        <f>IFERROR(__xludf.DUMMYFUNCTION("""COMPUTED_VALUE"""),"Total Invoice Amount")</f>
        <v>Total Invoice Amount</v>
      </c>
      <c r="T1" s="44" t="str">
        <f>IFERROR(__xludf.DUMMYFUNCTION("""COMPUTED_VALUE"""),"Total Base Cost of Policies")</f>
        <v>Total Base Cost of Policies</v>
      </c>
      <c r="U1" s="44" t="str">
        <f>IFERROR(__xludf.DUMMYFUNCTION("""COMPUTED_VALUE"""),"Total Costing of Policies with GST")</f>
        <v>Total Costing of Policies with GST</v>
      </c>
      <c r="V1" s="44" t="str">
        <f>IFERROR(__xludf.DUMMYFUNCTION("""COMPUTED_VALUE"""),"Total CGST")</f>
        <v>Total CGST</v>
      </c>
      <c r="W1" s="44" t="str">
        <f>IFERROR(__xludf.DUMMYFUNCTION("""COMPUTED_VALUE"""),"Total SGST")</f>
        <v>Total SGST</v>
      </c>
      <c r="X1" s="44" t="str">
        <f>IFERROR(__xludf.DUMMYFUNCTION("""COMPUTED_VALUE"""),"Total IGST")</f>
        <v>Total IGST</v>
      </c>
      <c r="Y1" s="44" t="str">
        <f>IFERROR(__xludf.DUMMYFUNCTION("""COMPUTED_VALUE"""),"Total Combined GST")</f>
        <v>Total Combined GST</v>
      </c>
      <c r="Z1" s="44" t="str">
        <f>IFERROR(__xludf.DUMMYFUNCTION("""COMPUTED_VALUE"""),"Total Receivable")</f>
        <v>Total Receivable</v>
      </c>
      <c r="AA1" s="44" t="str">
        <f>IFERROR(__xludf.DUMMYFUNCTION("""COMPUTED_VALUE"""),"Net Receivable")</f>
        <v>Net Receivable</v>
      </c>
      <c r="AB1" s="44" t="str">
        <f>IFERROR(__xludf.DUMMYFUNCTION("""COMPUTED_VALUE"""),"Total Payout before TDS")</f>
        <v>Total Payout before TDS</v>
      </c>
      <c r="AC1" s="44" t="str">
        <f>IFERROR(__xludf.DUMMYFUNCTION("""COMPUTED_VALUE"""),"Payout Adjusted in Balance (Cut &amp; Pay)")</f>
        <v>Payout Adjusted in Balance (Cut &amp; Pay)</v>
      </c>
      <c r="AD1" s="44" t="str">
        <f>IFERROR(__xludf.DUMMYFUNCTION("""COMPUTED_VALUE"""),"TDS on Payout")</f>
        <v>TDS on Payout</v>
      </c>
      <c r="AE1" s="44" t="str">
        <f>IFERROR(__xludf.DUMMYFUNCTION("""COMPUTED_VALUE"""),"Net Payout after TDS")</f>
        <v>Net Payout after TDS</v>
      </c>
    </row>
    <row r="2">
      <c r="A2" s="26">
        <f>IFERROR(__xludf.DUMMYFUNCTION("""COMPUTED_VALUE"""),0.0)</f>
        <v>0</v>
      </c>
      <c r="B2" s="26">
        <f>IFERROR(__xludf.DUMMYFUNCTION("""COMPUTED_VALUE"""),0.0)</f>
        <v>0</v>
      </c>
      <c r="C2" s="26">
        <f>IFERROR(__xludf.DUMMYFUNCTION("""COMPUTED_VALUE"""),2.0)</f>
        <v>2</v>
      </c>
      <c r="D2" s="26">
        <f>IFERROR(__xludf.DUMMYFUNCTION("""COMPUTED_VALUE"""),0.0)</f>
        <v>0</v>
      </c>
      <c r="E2" s="26">
        <f>IFERROR(__xludf.DUMMYFUNCTION("""COMPUTED_VALUE"""),0.0)</f>
        <v>0</v>
      </c>
      <c r="F2" s="26">
        <f>IFERROR(__xludf.DUMMYFUNCTION("""COMPUTED_VALUE"""),0.0)</f>
        <v>0</v>
      </c>
      <c r="G2" s="26">
        <f>IFERROR(__xludf.DUMMYFUNCTION("""COMPUTED_VALUE"""),0.0)</f>
        <v>0</v>
      </c>
      <c r="H2" s="26">
        <f>IFERROR(__xludf.DUMMYFUNCTION("""COMPUTED_VALUE"""),0.0)</f>
        <v>0</v>
      </c>
      <c r="I2" s="26">
        <f>IFERROR(__xludf.DUMMYFUNCTION("""COMPUTED_VALUE"""),0.0)</f>
        <v>0</v>
      </c>
      <c r="J2" s="26">
        <f>IFERROR(__xludf.DUMMYFUNCTION("""COMPUTED_VALUE"""),0.0)</f>
        <v>0</v>
      </c>
      <c r="K2" s="26">
        <f>IFERROR(__xludf.DUMMYFUNCTION("""COMPUTED_VALUE"""),0.0)</f>
        <v>0</v>
      </c>
      <c r="L2" s="26">
        <f>IFERROR(__xludf.DUMMYFUNCTION("""COMPUTED_VALUE"""),0.0)</f>
        <v>0</v>
      </c>
      <c r="M2" s="26"/>
      <c r="N2" s="26"/>
      <c r="O2" s="26"/>
      <c r="P2" s="26"/>
      <c r="Q2" s="26"/>
      <c r="R2" s="26">
        <f>IFERROR(__xludf.DUMMYFUNCTION("""COMPUTED_VALUE"""),2.0)</f>
        <v>2</v>
      </c>
      <c r="S2" s="26">
        <f>IFERROR(__xludf.DUMMYFUNCTION("""COMPUTED_VALUE"""),884.0)</f>
        <v>884</v>
      </c>
      <c r="T2" s="26">
        <f>IFERROR(__xludf.DUMMYFUNCTION("""COMPUTED_VALUE"""),410.0)</f>
        <v>410</v>
      </c>
      <c r="U2" s="26">
        <f>IFERROR(__xludf.DUMMYFUNCTION("""COMPUTED_VALUE"""),544.84)</f>
        <v>544.84</v>
      </c>
      <c r="V2" s="26">
        <f>IFERROR(__xludf.DUMMYFUNCTION("""COMPUTED_VALUE"""),33.71)</f>
        <v>33.71</v>
      </c>
      <c r="W2" s="26">
        <f>IFERROR(__xludf.DUMMYFUNCTION("""COMPUTED_VALUE"""),33.71)</f>
        <v>33.71</v>
      </c>
      <c r="X2" s="26">
        <f>IFERROR(__xludf.DUMMYFUNCTION("""COMPUTED_VALUE"""),67.42)</f>
        <v>67.42</v>
      </c>
      <c r="Y2" s="26">
        <f>IFERROR(__xludf.DUMMYFUNCTION("""COMPUTED_VALUE"""),134.84)</f>
        <v>134.84</v>
      </c>
      <c r="Z2" s="26">
        <f>IFERROR(__xludf.DUMMYFUNCTION("""COMPUTED_VALUE"""),561.8)</f>
        <v>561.8</v>
      </c>
      <c r="AA2" s="26">
        <f>IFERROR(__xludf.DUMMYFUNCTION("""COMPUTED_VALUE"""),561.8)</f>
        <v>561.8</v>
      </c>
      <c r="AB2" s="26">
        <f>IFERROR(__xludf.DUMMYFUNCTION("""COMPUTED_VALUE"""),339.16)</f>
        <v>339.16</v>
      </c>
      <c r="AC2" s="26">
        <f>IFERROR(__xludf.DUMMYFUNCTION("""COMPUTED_VALUE"""),322.2)</f>
        <v>322.2</v>
      </c>
      <c r="AD2" s="26">
        <f>IFERROR(__xludf.DUMMYFUNCTION("""COMPUTED_VALUE"""),16.96)</f>
        <v>16.96</v>
      </c>
      <c r="AE2" s="26">
        <f>IFERROR(__xludf.DUMMYFUNCTION("""COMPUTED_VALUE"""),0.0)</f>
        <v>0</v>
      </c>
    </row>
    <row r="3">
      <c r="A3" s="26">
        <f>IFERROR(__xludf.DUMMYFUNCTION("""COMPUTED_VALUE"""),0.0)</f>
        <v>0</v>
      </c>
      <c r="B3" s="26">
        <f>IFERROR(__xludf.DUMMYFUNCTION("""COMPUTED_VALUE"""),0.0)</f>
        <v>0</v>
      </c>
      <c r="C3" s="26">
        <f>IFERROR(__xludf.DUMMYFUNCTION("""COMPUTED_VALUE"""),0.0)</f>
        <v>0</v>
      </c>
      <c r="D3" s="26">
        <f>IFERROR(__xludf.DUMMYFUNCTION("""COMPUTED_VALUE"""),0.0)</f>
        <v>0</v>
      </c>
      <c r="E3" s="26">
        <f>IFERROR(__xludf.DUMMYFUNCTION("""COMPUTED_VALUE"""),0.0)</f>
        <v>0</v>
      </c>
      <c r="F3" s="26">
        <f>IFERROR(__xludf.DUMMYFUNCTION("""COMPUTED_VALUE"""),0.0)</f>
        <v>0</v>
      </c>
      <c r="G3" s="26">
        <f>IFERROR(__xludf.DUMMYFUNCTION("""COMPUTED_VALUE"""),0.0)</f>
        <v>0</v>
      </c>
      <c r="H3" s="26">
        <f>IFERROR(__xludf.DUMMYFUNCTION("""COMPUTED_VALUE"""),0.0)</f>
        <v>0</v>
      </c>
      <c r="I3" s="26">
        <f>IFERROR(__xludf.DUMMYFUNCTION("""COMPUTED_VALUE"""),0.0)</f>
        <v>0</v>
      </c>
      <c r="J3" s="26">
        <f>IFERROR(__xludf.DUMMYFUNCTION("""COMPUTED_VALUE"""),0.0)</f>
        <v>0</v>
      </c>
      <c r="K3" s="26">
        <f>IFERROR(__xludf.DUMMYFUNCTION("""COMPUTED_VALUE"""),0.0)</f>
        <v>0</v>
      </c>
      <c r="L3" s="26">
        <f>IFERROR(__xludf.DUMMYFUNCTION("""COMPUTED_VALUE"""),0.0)</f>
        <v>0</v>
      </c>
      <c r="M3" s="26"/>
      <c r="N3" s="26"/>
      <c r="O3" s="26"/>
      <c r="P3" s="26"/>
      <c r="Q3" s="26"/>
      <c r="R3" s="26">
        <f>IFERROR(__xludf.DUMMYFUNCTION("""COMPUTED_VALUE"""),0.0)</f>
        <v>0</v>
      </c>
      <c r="S3" s="26">
        <f>IFERROR(__xludf.DUMMYFUNCTION("""COMPUTED_VALUE"""),0.0)</f>
        <v>0</v>
      </c>
      <c r="T3" s="26">
        <f>IFERROR(__xludf.DUMMYFUNCTION("""COMPUTED_VALUE"""),0.0)</f>
        <v>0</v>
      </c>
      <c r="U3" s="26">
        <f>IFERROR(__xludf.DUMMYFUNCTION("""COMPUTED_VALUE"""),0.0)</f>
        <v>0</v>
      </c>
      <c r="V3" s="26">
        <f>IFERROR(__xludf.DUMMYFUNCTION("""COMPUTED_VALUE"""),0.0)</f>
        <v>0</v>
      </c>
      <c r="W3" s="26">
        <f>IFERROR(__xludf.DUMMYFUNCTION("""COMPUTED_VALUE"""),0.0)</f>
        <v>0</v>
      </c>
      <c r="X3" s="26">
        <f>IFERROR(__xludf.DUMMYFUNCTION("""COMPUTED_VALUE"""),0.0)</f>
        <v>0</v>
      </c>
      <c r="Y3" s="26">
        <f>IFERROR(__xludf.DUMMYFUNCTION("""COMPUTED_VALUE"""),0.0)</f>
        <v>0</v>
      </c>
      <c r="Z3" s="26">
        <f>IFERROR(__xludf.DUMMYFUNCTION("""COMPUTED_VALUE"""),0.0)</f>
        <v>0</v>
      </c>
      <c r="AA3" s="26">
        <f>IFERROR(__xludf.DUMMYFUNCTION("""COMPUTED_VALUE"""),0.0)</f>
        <v>0</v>
      </c>
      <c r="AB3" s="26">
        <f>IFERROR(__xludf.DUMMYFUNCTION("""COMPUTED_VALUE"""),0.0)</f>
        <v>0</v>
      </c>
      <c r="AC3" s="26">
        <f>IFERROR(__xludf.DUMMYFUNCTION("""COMPUTED_VALUE"""),0.0)</f>
        <v>0</v>
      </c>
      <c r="AD3" s="26">
        <f>IFERROR(__xludf.DUMMYFUNCTION("""COMPUTED_VALUE"""),0.0)</f>
        <v>0</v>
      </c>
      <c r="AE3" s="26">
        <f>IFERROR(__xludf.DUMMYFUNCTION("""COMPUTED_VALUE"""),0.0)</f>
        <v>0</v>
      </c>
    </row>
    <row r="4">
      <c r="A4" s="26">
        <f>IFERROR(__xludf.DUMMYFUNCTION("""COMPUTED_VALUE"""),25.0)</f>
        <v>25</v>
      </c>
      <c r="B4" s="26">
        <f>IFERROR(__xludf.DUMMYFUNCTION("""COMPUTED_VALUE"""),0.0)</f>
        <v>0</v>
      </c>
      <c r="C4" s="26">
        <f>IFERROR(__xludf.DUMMYFUNCTION("""COMPUTED_VALUE"""),0.0)</f>
        <v>0</v>
      </c>
      <c r="D4" s="26">
        <f>IFERROR(__xludf.DUMMYFUNCTION("""COMPUTED_VALUE"""),0.0)</f>
        <v>0</v>
      </c>
      <c r="E4" s="26">
        <f>IFERROR(__xludf.DUMMYFUNCTION("""COMPUTED_VALUE"""),204.0)</f>
        <v>204</v>
      </c>
      <c r="F4" s="26">
        <f>IFERROR(__xludf.DUMMYFUNCTION("""COMPUTED_VALUE"""),0.0)</f>
        <v>0</v>
      </c>
      <c r="G4" s="26">
        <f>IFERROR(__xludf.DUMMYFUNCTION("""COMPUTED_VALUE"""),0.0)</f>
        <v>0</v>
      </c>
      <c r="H4" s="26">
        <f>IFERROR(__xludf.DUMMYFUNCTION("""COMPUTED_VALUE"""),0.0)</f>
        <v>0</v>
      </c>
      <c r="I4" s="26">
        <f>IFERROR(__xludf.DUMMYFUNCTION("""COMPUTED_VALUE"""),0.0)</f>
        <v>0</v>
      </c>
      <c r="J4" s="26">
        <f>IFERROR(__xludf.DUMMYFUNCTION("""COMPUTED_VALUE"""),0.0)</f>
        <v>0</v>
      </c>
      <c r="K4" s="26">
        <f>IFERROR(__xludf.DUMMYFUNCTION("""COMPUTED_VALUE"""),0.0)</f>
        <v>0</v>
      </c>
      <c r="L4" s="26">
        <f>IFERROR(__xludf.DUMMYFUNCTION("""COMPUTED_VALUE"""),0.0)</f>
        <v>0</v>
      </c>
      <c r="M4" s="26"/>
      <c r="N4" s="26"/>
      <c r="O4" s="26"/>
      <c r="P4" s="26"/>
      <c r="Q4" s="26"/>
      <c r="R4" s="26">
        <f>IFERROR(__xludf.DUMMYFUNCTION("""COMPUTED_VALUE"""),229.0)</f>
        <v>229</v>
      </c>
      <c r="S4" s="26">
        <f>IFERROR(__xludf.DUMMYFUNCTION("""COMPUTED_VALUE"""),255550.0)</f>
        <v>255550</v>
      </c>
      <c r="T4" s="26">
        <f>IFERROR(__xludf.DUMMYFUNCTION("""COMPUTED_VALUE"""),36640.0)</f>
        <v>36640</v>
      </c>
      <c r="U4" s="26">
        <f>IFERROR(__xludf.DUMMYFUNCTION("""COMPUTED_VALUE"""),75622.04999999999)</f>
        <v>75622.05</v>
      </c>
      <c r="V4" s="26">
        <f>IFERROR(__xludf.DUMMYFUNCTION("""COMPUTED_VALUE"""),0.0)</f>
        <v>0</v>
      </c>
      <c r="W4" s="26">
        <f>IFERROR(__xludf.DUMMYFUNCTION("""COMPUTED_VALUE"""),0.0)</f>
        <v>0</v>
      </c>
      <c r="X4" s="26">
        <f>IFERROR(__xludf.DUMMYFUNCTION("""COMPUTED_VALUE"""),38982.049999999996)</f>
        <v>38982.05</v>
      </c>
      <c r="Y4" s="26">
        <f>IFERROR(__xludf.DUMMYFUNCTION("""COMPUTED_VALUE"""),38982.049999999996)</f>
        <v>38982.05</v>
      </c>
      <c r="Z4" s="26">
        <f>IFERROR(__xludf.DUMMYFUNCTION("""COMPUTED_VALUE"""),313810.0)</f>
        <v>313810</v>
      </c>
      <c r="AA4" s="26">
        <f>IFERROR(__xludf.DUMMYFUNCTION("""COMPUTED_VALUE"""),114823.08999999946)</f>
        <v>114823.09</v>
      </c>
      <c r="AB4" s="26">
        <f>IFERROR(__xludf.DUMMYFUNCTION("""COMPUTED_VALUE"""),209460.45000000068)</f>
        <v>209460.45</v>
      </c>
      <c r="AC4" s="26">
        <f>IFERROR(__xludf.DUMMYFUNCTION("""COMPUTED_VALUE"""),0.0)</f>
        <v>0</v>
      </c>
      <c r="AD4" s="26">
        <f>IFERROR(__xludf.DUMMYFUNCTION("""COMPUTED_VALUE"""),10473.540000000068)</f>
        <v>10473.54</v>
      </c>
      <c r="AE4" s="26">
        <f>IFERROR(__xludf.DUMMYFUNCTION("""COMPUTED_VALUE"""),198986.91000000044)</f>
        <v>198986.91</v>
      </c>
    </row>
    <row r="5">
      <c r="A5" s="26">
        <f>IFERROR(__xludf.DUMMYFUNCTION("""COMPUTED_VALUE"""),0.0)</f>
        <v>0</v>
      </c>
      <c r="B5" s="26">
        <f>IFERROR(__xludf.DUMMYFUNCTION("""COMPUTED_VALUE"""),0.0)</f>
        <v>0</v>
      </c>
      <c r="C5" s="26">
        <f>IFERROR(__xludf.DUMMYFUNCTION("""COMPUTED_VALUE"""),0.0)</f>
        <v>0</v>
      </c>
      <c r="D5" s="26">
        <f>IFERROR(__xludf.DUMMYFUNCTION("""COMPUTED_VALUE"""),0.0)</f>
        <v>0</v>
      </c>
      <c r="E5" s="26">
        <f>IFERROR(__xludf.DUMMYFUNCTION("""COMPUTED_VALUE"""),0.0)</f>
        <v>0</v>
      </c>
      <c r="F5" s="26">
        <f>IFERROR(__xludf.DUMMYFUNCTION("""COMPUTED_VALUE"""),0.0)</f>
        <v>0</v>
      </c>
      <c r="G5" s="26">
        <f>IFERROR(__xludf.DUMMYFUNCTION("""COMPUTED_VALUE"""),0.0)</f>
        <v>0</v>
      </c>
      <c r="H5" s="26">
        <f>IFERROR(__xludf.DUMMYFUNCTION("""COMPUTED_VALUE"""),0.0)</f>
        <v>0</v>
      </c>
      <c r="I5" s="26">
        <f>IFERROR(__xludf.DUMMYFUNCTION("""COMPUTED_VALUE"""),0.0)</f>
        <v>0</v>
      </c>
      <c r="J5" s="26">
        <f>IFERROR(__xludf.DUMMYFUNCTION("""COMPUTED_VALUE"""),0.0)</f>
        <v>0</v>
      </c>
      <c r="K5" s="26">
        <f>IFERROR(__xludf.DUMMYFUNCTION("""COMPUTED_VALUE"""),0.0)</f>
        <v>0</v>
      </c>
      <c r="L5" s="26">
        <f>IFERROR(__xludf.DUMMYFUNCTION("""COMPUTED_VALUE"""),0.0)</f>
        <v>0</v>
      </c>
      <c r="M5" s="26"/>
      <c r="N5" s="26"/>
      <c r="O5" s="26"/>
      <c r="P5" s="26"/>
      <c r="Q5" s="26"/>
      <c r="R5" s="26">
        <f>IFERROR(__xludf.DUMMYFUNCTION("""COMPUTED_VALUE"""),0.0)</f>
        <v>0</v>
      </c>
      <c r="S5" s="26">
        <f>IFERROR(__xludf.DUMMYFUNCTION("""COMPUTED_VALUE"""),0.0)</f>
        <v>0</v>
      </c>
      <c r="T5" s="26">
        <f>IFERROR(__xludf.DUMMYFUNCTION("""COMPUTED_VALUE"""),0.0)</f>
        <v>0</v>
      </c>
      <c r="U5" s="26">
        <f>IFERROR(__xludf.DUMMYFUNCTION("""COMPUTED_VALUE"""),0.0)</f>
        <v>0</v>
      </c>
      <c r="V5" s="26">
        <f>IFERROR(__xludf.DUMMYFUNCTION("""COMPUTED_VALUE"""),0.0)</f>
        <v>0</v>
      </c>
      <c r="W5" s="26">
        <f>IFERROR(__xludf.DUMMYFUNCTION("""COMPUTED_VALUE"""),0.0)</f>
        <v>0</v>
      </c>
      <c r="X5" s="26">
        <f>IFERROR(__xludf.DUMMYFUNCTION("""COMPUTED_VALUE"""),0.0)</f>
        <v>0</v>
      </c>
      <c r="Y5" s="26">
        <f>IFERROR(__xludf.DUMMYFUNCTION("""COMPUTED_VALUE"""),0.0)</f>
        <v>0</v>
      </c>
      <c r="Z5" s="26">
        <f>IFERROR(__xludf.DUMMYFUNCTION("""COMPUTED_VALUE"""),0.0)</f>
        <v>0</v>
      </c>
      <c r="AA5" s="26">
        <f>IFERROR(__xludf.DUMMYFUNCTION("""COMPUTED_VALUE"""),0.0)</f>
        <v>0</v>
      </c>
      <c r="AB5" s="26">
        <f>IFERROR(__xludf.DUMMYFUNCTION("""COMPUTED_VALUE"""),0.0)</f>
        <v>0</v>
      </c>
      <c r="AC5" s="26">
        <f>IFERROR(__xludf.DUMMYFUNCTION("""COMPUTED_VALUE"""),0.0)</f>
        <v>0</v>
      </c>
      <c r="AD5" s="26">
        <f>IFERROR(__xludf.DUMMYFUNCTION("""COMPUTED_VALUE"""),0.0)</f>
        <v>0</v>
      </c>
      <c r="AE5" s="26">
        <f>IFERROR(__xludf.DUMMYFUNCTION("""COMPUTED_VALUE"""),0.0)</f>
        <v>0</v>
      </c>
    </row>
    <row r="6">
      <c r="A6" s="26">
        <f>IFERROR(__xludf.DUMMYFUNCTION("""COMPUTED_VALUE"""),0.0)</f>
        <v>0</v>
      </c>
      <c r="B6" s="26">
        <f>IFERROR(__xludf.DUMMYFUNCTION("""COMPUTED_VALUE"""),0.0)</f>
        <v>0</v>
      </c>
      <c r="C6" s="26">
        <f>IFERROR(__xludf.DUMMYFUNCTION("""COMPUTED_VALUE"""),0.0)</f>
        <v>0</v>
      </c>
      <c r="D6" s="26">
        <f>IFERROR(__xludf.DUMMYFUNCTION("""COMPUTED_VALUE"""),0.0)</f>
        <v>0</v>
      </c>
      <c r="E6" s="26">
        <f>IFERROR(__xludf.DUMMYFUNCTION("""COMPUTED_VALUE"""),0.0)</f>
        <v>0</v>
      </c>
      <c r="F6" s="26">
        <f>IFERROR(__xludf.DUMMYFUNCTION("""COMPUTED_VALUE"""),0.0)</f>
        <v>0</v>
      </c>
      <c r="G6" s="26">
        <f>IFERROR(__xludf.DUMMYFUNCTION("""COMPUTED_VALUE"""),0.0)</f>
        <v>0</v>
      </c>
      <c r="H6" s="26">
        <f>IFERROR(__xludf.DUMMYFUNCTION("""COMPUTED_VALUE"""),0.0)</f>
        <v>0</v>
      </c>
      <c r="I6" s="26">
        <f>IFERROR(__xludf.DUMMYFUNCTION("""COMPUTED_VALUE"""),0.0)</f>
        <v>0</v>
      </c>
      <c r="J6" s="26">
        <f>IFERROR(__xludf.DUMMYFUNCTION("""COMPUTED_VALUE"""),0.0)</f>
        <v>0</v>
      </c>
      <c r="K6" s="26">
        <f>IFERROR(__xludf.DUMMYFUNCTION("""COMPUTED_VALUE"""),0.0)</f>
        <v>0</v>
      </c>
      <c r="L6" s="26">
        <f>IFERROR(__xludf.DUMMYFUNCTION("""COMPUTED_VALUE"""),0.0)</f>
        <v>0</v>
      </c>
      <c r="M6" s="26"/>
      <c r="N6" s="26"/>
      <c r="O6" s="26"/>
      <c r="P6" s="26"/>
      <c r="Q6" s="26"/>
      <c r="R6" s="26">
        <f>IFERROR(__xludf.DUMMYFUNCTION("""COMPUTED_VALUE"""),0.0)</f>
        <v>0</v>
      </c>
      <c r="S6" s="26">
        <f>IFERROR(__xludf.DUMMYFUNCTION("""COMPUTED_VALUE"""),0.0)</f>
        <v>0</v>
      </c>
      <c r="T6" s="26">
        <f>IFERROR(__xludf.DUMMYFUNCTION("""COMPUTED_VALUE"""),0.0)</f>
        <v>0</v>
      </c>
      <c r="U6" s="26">
        <f>IFERROR(__xludf.DUMMYFUNCTION("""COMPUTED_VALUE"""),0.0)</f>
        <v>0</v>
      </c>
      <c r="V6" s="26">
        <f>IFERROR(__xludf.DUMMYFUNCTION("""COMPUTED_VALUE"""),0.0)</f>
        <v>0</v>
      </c>
      <c r="W6" s="26">
        <f>IFERROR(__xludf.DUMMYFUNCTION("""COMPUTED_VALUE"""),0.0)</f>
        <v>0</v>
      </c>
      <c r="X6" s="26">
        <f>IFERROR(__xludf.DUMMYFUNCTION("""COMPUTED_VALUE"""),0.0)</f>
        <v>0</v>
      </c>
      <c r="Y6" s="26">
        <f>IFERROR(__xludf.DUMMYFUNCTION("""COMPUTED_VALUE"""),0.0)</f>
        <v>0</v>
      </c>
      <c r="Z6" s="26">
        <f>IFERROR(__xludf.DUMMYFUNCTION("""COMPUTED_VALUE"""),0.0)</f>
        <v>0</v>
      </c>
      <c r="AA6" s="26">
        <f>IFERROR(__xludf.DUMMYFUNCTION("""COMPUTED_VALUE"""),0.0)</f>
        <v>0</v>
      </c>
      <c r="AB6" s="26">
        <f>IFERROR(__xludf.DUMMYFUNCTION("""COMPUTED_VALUE"""),0.0)</f>
        <v>0</v>
      </c>
      <c r="AC6" s="26">
        <f>IFERROR(__xludf.DUMMYFUNCTION("""COMPUTED_VALUE"""),0.0)</f>
        <v>0</v>
      </c>
      <c r="AD6" s="26">
        <f>IFERROR(__xludf.DUMMYFUNCTION("""COMPUTED_VALUE"""),0.0)</f>
        <v>0</v>
      </c>
      <c r="AE6" s="26">
        <f>IFERROR(__xludf.DUMMYFUNCTION("""COMPUTED_VALUE"""),0.0)</f>
        <v>0</v>
      </c>
    </row>
    <row r="7">
      <c r="A7" s="26">
        <f>IFERROR(__xludf.DUMMYFUNCTION("""COMPUTED_VALUE"""),9.0)</f>
        <v>9</v>
      </c>
      <c r="B7" s="26">
        <f>IFERROR(__xludf.DUMMYFUNCTION("""COMPUTED_VALUE"""),0.0)</f>
        <v>0</v>
      </c>
      <c r="C7" s="26">
        <f>IFERROR(__xludf.DUMMYFUNCTION("""COMPUTED_VALUE"""),0.0)</f>
        <v>0</v>
      </c>
      <c r="D7" s="26">
        <f>IFERROR(__xludf.DUMMYFUNCTION("""COMPUTED_VALUE"""),0.0)</f>
        <v>0</v>
      </c>
      <c r="E7" s="26">
        <f>IFERROR(__xludf.DUMMYFUNCTION("""COMPUTED_VALUE"""),181.0)</f>
        <v>181</v>
      </c>
      <c r="F7" s="26">
        <f>IFERROR(__xludf.DUMMYFUNCTION("""COMPUTED_VALUE"""),0.0)</f>
        <v>0</v>
      </c>
      <c r="G7" s="26">
        <f>IFERROR(__xludf.DUMMYFUNCTION("""COMPUTED_VALUE"""),0.0)</f>
        <v>0</v>
      </c>
      <c r="H7" s="26">
        <f>IFERROR(__xludf.DUMMYFUNCTION("""COMPUTED_VALUE"""),0.0)</f>
        <v>0</v>
      </c>
      <c r="I7" s="26">
        <f>IFERROR(__xludf.DUMMYFUNCTION("""COMPUTED_VALUE"""),0.0)</f>
        <v>0</v>
      </c>
      <c r="J7" s="26">
        <f>IFERROR(__xludf.DUMMYFUNCTION("""COMPUTED_VALUE"""),0.0)</f>
        <v>0</v>
      </c>
      <c r="K7" s="26">
        <f>IFERROR(__xludf.DUMMYFUNCTION("""COMPUTED_VALUE"""),0.0)</f>
        <v>0</v>
      </c>
      <c r="L7" s="26">
        <f>IFERROR(__xludf.DUMMYFUNCTION("""COMPUTED_VALUE"""),0.0)</f>
        <v>0</v>
      </c>
      <c r="M7" s="26"/>
      <c r="N7" s="26"/>
      <c r="O7" s="26"/>
      <c r="P7" s="26"/>
      <c r="Q7" s="26"/>
      <c r="R7" s="26">
        <f>IFERROR(__xludf.DUMMYFUNCTION("""COMPUTED_VALUE"""),190.0)</f>
        <v>190</v>
      </c>
      <c r="S7" s="26">
        <f>IFERROR(__xludf.DUMMYFUNCTION("""COMPUTED_VALUE"""),339260.0)</f>
        <v>339260</v>
      </c>
      <c r="T7" s="26">
        <f>IFERROR(__xludf.DUMMYFUNCTION("""COMPUTED_VALUE"""),32300.0)</f>
        <v>32300</v>
      </c>
      <c r="U7" s="26">
        <f>IFERROR(__xludf.DUMMYFUNCTION("""COMPUTED_VALUE"""),84050.94999999987)</f>
        <v>84050.95</v>
      </c>
      <c r="V7" s="26">
        <f>IFERROR(__xludf.DUMMYFUNCTION("""COMPUTED_VALUE"""),0.0)</f>
        <v>0</v>
      </c>
      <c r="W7" s="26">
        <f>IFERROR(__xludf.DUMMYFUNCTION("""COMPUTED_VALUE"""),0.0)</f>
        <v>0</v>
      </c>
      <c r="X7" s="26">
        <f>IFERROR(__xludf.DUMMYFUNCTION("""COMPUTED_VALUE"""),51750.949999999866)</f>
        <v>51750.95</v>
      </c>
      <c r="Y7" s="26">
        <f>IFERROR(__xludf.DUMMYFUNCTION("""COMPUTED_VALUE"""),51750.949999999866)</f>
        <v>51750.95</v>
      </c>
      <c r="Z7" s="26">
        <f>IFERROR(__xludf.DUMMYFUNCTION("""COMPUTED_VALUE"""),956210.0)</f>
        <v>956210</v>
      </c>
      <c r="AA7" s="26">
        <f>IFERROR(__xludf.DUMMYFUNCTION("""COMPUTED_VALUE"""),272134.79999999906)</f>
        <v>272134.8</v>
      </c>
      <c r="AB7" s="26">
        <f>IFERROR(__xludf.DUMMYFUNCTION("""COMPUTED_VALUE"""),720079.1300000034)</f>
        <v>720079.13</v>
      </c>
      <c r="AC7" s="26">
        <f>IFERROR(__xludf.DUMMYFUNCTION("""COMPUTED_VALUE"""),0.0)</f>
        <v>0</v>
      </c>
      <c r="AD7" s="26">
        <f>IFERROR(__xludf.DUMMYFUNCTION("""COMPUTED_VALUE"""),36003.92999999978)</f>
        <v>36003.93</v>
      </c>
      <c r="AE7" s="26">
        <f>IFERROR(__xludf.DUMMYFUNCTION("""COMPUTED_VALUE"""),684075.1999999994)</f>
        <v>684075.2</v>
      </c>
    </row>
    <row r="8">
      <c r="A8" s="26">
        <f>IFERROR(__xludf.DUMMYFUNCTION("""COMPUTED_VALUE"""),0.0)</f>
        <v>0</v>
      </c>
      <c r="B8" s="26">
        <f>IFERROR(__xludf.DUMMYFUNCTION("""COMPUTED_VALUE"""),0.0)</f>
        <v>0</v>
      </c>
      <c r="C8" s="26">
        <f>IFERROR(__xludf.DUMMYFUNCTION("""COMPUTED_VALUE"""),0.0)</f>
        <v>0</v>
      </c>
      <c r="D8" s="26">
        <f>IFERROR(__xludf.DUMMYFUNCTION("""COMPUTED_VALUE"""),0.0)</f>
        <v>0</v>
      </c>
      <c r="E8" s="26">
        <f>IFERROR(__xludf.DUMMYFUNCTION("""COMPUTED_VALUE"""),0.0)</f>
        <v>0</v>
      </c>
      <c r="F8" s="26">
        <f>IFERROR(__xludf.DUMMYFUNCTION("""COMPUTED_VALUE"""),0.0)</f>
        <v>0</v>
      </c>
      <c r="G8" s="26">
        <f>IFERROR(__xludf.DUMMYFUNCTION("""COMPUTED_VALUE"""),0.0)</f>
        <v>0</v>
      </c>
      <c r="H8" s="26">
        <f>IFERROR(__xludf.DUMMYFUNCTION("""COMPUTED_VALUE"""),0.0)</f>
        <v>0</v>
      </c>
      <c r="I8" s="26">
        <f>IFERROR(__xludf.DUMMYFUNCTION("""COMPUTED_VALUE"""),0.0)</f>
        <v>0</v>
      </c>
      <c r="J8" s="26">
        <f>IFERROR(__xludf.DUMMYFUNCTION("""COMPUTED_VALUE"""),0.0)</f>
        <v>0</v>
      </c>
      <c r="K8" s="26">
        <f>IFERROR(__xludf.DUMMYFUNCTION("""COMPUTED_VALUE"""),0.0)</f>
        <v>0</v>
      </c>
      <c r="L8" s="26">
        <f>IFERROR(__xludf.DUMMYFUNCTION("""COMPUTED_VALUE"""),0.0)</f>
        <v>0</v>
      </c>
      <c r="M8" s="26"/>
      <c r="N8" s="26"/>
      <c r="O8" s="26"/>
      <c r="P8" s="26"/>
      <c r="Q8" s="26"/>
      <c r="R8" s="26">
        <f>IFERROR(__xludf.DUMMYFUNCTION("""COMPUTED_VALUE"""),0.0)</f>
        <v>0</v>
      </c>
      <c r="S8" s="26">
        <f>IFERROR(__xludf.DUMMYFUNCTION("""COMPUTED_VALUE"""),0.0)</f>
        <v>0</v>
      </c>
      <c r="T8" s="26">
        <f>IFERROR(__xludf.DUMMYFUNCTION("""COMPUTED_VALUE"""),0.0)</f>
        <v>0</v>
      </c>
      <c r="U8" s="26">
        <f>IFERROR(__xludf.DUMMYFUNCTION("""COMPUTED_VALUE"""),0.0)</f>
        <v>0</v>
      </c>
      <c r="V8" s="26">
        <f>IFERROR(__xludf.DUMMYFUNCTION("""COMPUTED_VALUE"""),0.0)</f>
        <v>0</v>
      </c>
      <c r="W8" s="26">
        <f>IFERROR(__xludf.DUMMYFUNCTION("""COMPUTED_VALUE"""),0.0)</f>
        <v>0</v>
      </c>
      <c r="X8" s="26">
        <f>IFERROR(__xludf.DUMMYFUNCTION("""COMPUTED_VALUE"""),0.0)</f>
        <v>0</v>
      </c>
      <c r="Y8" s="26">
        <f>IFERROR(__xludf.DUMMYFUNCTION("""COMPUTED_VALUE"""),0.0)</f>
        <v>0</v>
      </c>
      <c r="Z8" s="26">
        <f>IFERROR(__xludf.DUMMYFUNCTION("""COMPUTED_VALUE"""),0.0)</f>
        <v>0</v>
      </c>
      <c r="AA8" s="26">
        <f>IFERROR(__xludf.DUMMYFUNCTION("""COMPUTED_VALUE"""),0.0)</f>
        <v>0</v>
      </c>
      <c r="AB8" s="26">
        <f>IFERROR(__xludf.DUMMYFUNCTION("""COMPUTED_VALUE"""),0.0)</f>
        <v>0</v>
      </c>
      <c r="AC8" s="26">
        <f>IFERROR(__xludf.DUMMYFUNCTION("""COMPUTED_VALUE"""),0.0)</f>
        <v>0</v>
      </c>
      <c r="AD8" s="26">
        <f>IFERROR(__xludf.DUMMYFUNCTION("""COMPUTED_VALUE"""),0.0)</f>
        <v>0</v>
      </c>
      <c r="AE8" s="26">
        <f>IFERROR(__xludf.DUMMYFUNCTION("""COMPUTED_VALUE"""),0.0)</f>
        <v>0</v>
      </c>
    </row>
    <row r="9">
      <c r="A9" s="26">
        <f>IFERROR(__xludf.DUMMYFUNCTION("""COMPUTED_VALUE"""),0.0)</f>
        <v>0</v>
      </c>
      <c r="B9" s="26">
        <f>IFERROR(__xludf.DUMMYFUNCTION("""COMPUTED_VALUE"""),0.0)</f>
        <v>0</v>
      </c>
      <c r="C9" s="26">
        <f>IFERROR(__xludf.DUMMYFUNCTION("""COMPUTED_VALUE"""),0.0)</f>
        <v>0</v>
      </c>
      <c r="D9" s="26">
        <f>IFERROR(__xludf.DUMMYFUNCTION("""COMPUTED_VALUE"""),0.0)</f>
        <v>0</v>
      </c>
      <c r="E9" s="26">
        <f>IFERROR(__xludf.DUMMYFUNCTION("""COMPUTED_VALUE"""),0.0)</f>
        <v>0</v>
      </c>
      <c r="F9" s="26">
        <f>IFERROR(__xludf.DUMMYFUNCTION("""COMPUTED_VALUE"""),0.0)</f>
        <v>0</v>
      </c>
      <c r="G9" s="26">
        <f>IFERROR(__xludf.DUMMYFUNCTION("""COMPUTED_VALUE"""),0.0)</f>
        <v>0</v>
      </c>
      <c r="H9" s="26">
        <f>IFERROR(__xludf.DUMMYFUNCTION("""COMPUTED_VALUE"""),0.0)</f>
        <v>0</v>
      </c>
      <c r="I9" s="26">
        <f>IFERROR(__xludf.DUMMYFUNCTION("""COMPUTED_VALUE"""),0.0)</f>
        <v>0</v>
      </c>
      <c r="J9" s="26">
        <f>IFERROR(__xludf.DUMMYFUNCTION("""COMPUTED_VALUE"""),0.0)</f>
        <v>0</v>
      </c>
      <c r="K9" s="26">
        <f>IFERROR(__xludf.DUMMYFUNCTION("""COMPUTED_VALUE"""),0.0)</f>
        <v>0</v>
      </c>
      <c r="L9" s="26">
        <f>IFERROR(__xludf.DUMMYFUNCTION("""COMPUTED_VALUE"""),0.0)</f>
        <v>0</v>
      </c>
      <c r="M9" s="26"/>
      <c r="N9" s="26"/>
      <c r="O9" s="26"/>
      <c r="P9" s="26"/>
      <c r="Q9" s="26"/>
      <c r="R9" s="26">
        <f>IFERROR(__xludf.DUMMYFUNCTION("""COMPUTED_VALUE"""),0.0)</f>
        <v>0</v>
      </c>
      <c r="S9" s="26">
        <f>IFERROR(__xludf.DUMMYFUNCTION("""COMPUTED_VALUE"""),0.0)</f>
        <v>0</v>
      </c>
      <c r="T9" s="26">
        <f>IFERROR(__xludf.DUMMYFUNCTION("""COMPUTED_VALUE"""),0.0)</f>
        <v>0</v>
      </c>
      <c r="U9" s="26">
        <f>IFERROR(__xludf.DUMMYFUNCTION("""COMPUTED_VALUE"""),0.0)</f>
        <v>0</v>
      </c>
      <c r="V9" s="26">
        <f>IFERROR(__xludf.DUMMYFUNCTION("""COMPUTED_VALUE"""),0.0)</f>
        <v>0</v>
      </c>
      <c r="W9" s="26">
        <f>IFERROR(__xludf.DUMMYFUNCTION("""COMPUTED_VALUE"""),0.0)</f>
        <v>0</v>
      </c>
      <c r="X9" s="26">
        <f>IFERROR(__xludf.DUMMYFUNCTION("""COMPUTED_VALUE"""),0.0)</f>
        <v>0</v>
      </c>
      <c r="Y9" s="26">
        <f>IFERROR(__xludf.DUMMYFUNCTION("""COMPUTED_VALUE"""),0.0)</f>
        <v>0</v>
      </c>
      <c r="Z9" s="26">
        <f>IFERROR(__xludf.DUMMYFUNCTION("""COMPUTED_VALUE"""),0.0)</f>
        <v>0</v>
      </c>
      <c r="AA9" s="26">
        <f>IFERROR(__xludf.DUMMYFUNCTION("""COMPUTED_VALUE"""),0.0)</f>
        <v>0</v>
      </c>
      <c r="AB9" s="26">
        <f>IFERROR(__xludf.DUMMYFUNCTION("""COMPUTED_VALUE"""),0.0)</f>
        <v>0</v>
      </c>
      <c r="AC9" s="26">
        <f>IFERROR(__xludf.DUMMYFUNCTION("""COMPUTED_VALUE"""),0.0)</f>
        <v>0</v>
      </c>
      <c r="AD9" s="26">
        <f>IFERROR(__xludf.DUMMYFUNCTION("""COMPUTED_VALUE"""),0.0)</f>
        <v>0</v>
      </c>
      <c r="AE9" s="26">
        <f>IFERROR(__xludf.DUMMYFUNCTION("""COMPUTED_VALUE"""),0.0)</f>
        <v>0</v>
      </c>
    </row>
    <row r="10">
      <c r="A10" s="26">
        <f>IFERROR(__xludf.DUMMYFUNCTION("""COMPUTED_VALUE"""),0.0)</f>
        <v>0</v>
      </c>
      <c r="B10" s="26">
        <f>IFERROR(__xludf.DUMMYFUNCTION("""COMPUTED_VALUE"""),0.0)</f>
        <v>0</v>
      </c>
      <c r="C10" s="26">
        <f>IFERROR(__xludf.DUMMYFUNCTION("""COMPUTED_VALUE"""),0.0)</f>
        <v>0</v>
      </c>
      <c r="D10" s="26">
        <f>IFERROR(__xludf.DUMMYFUNCTION("""COMPUTED_VALUE"""),0.0)</f>
        <v>0</v>
      </c>
      <c r="E10" s="26">
        <f>IFERROR(__xludf.DUMMYFUNCTION("""COMPUTED_VALUE"""),0.0)</f>
        <v>0</v>
      </c>
      <c r="F10" s="26">
        <f>IFERROR(__xludf.DUMMYFUNCTION("""COMPUTED_VALUE"""),0.0)</f>
        <v>0</v>
      </c>
      <c r="G10" s="26">
        <f>IFERROR(__xludf.DUMMYFUNCTION("""COMPUTED_VALUE"""),0.0)</f>
        <v>0</v>
      </c>
      <c r="H10" s="26">
        <f>IFERROR(__xludf.DUMMYFUNCTION("""COMPUTED_VALUE"""),0.0)</f>
        <v>0</v>
      </c>
      <c r="I10" s="26">
        <f>IFERROR(__xludf.DUMMYFUNCTION("""COMPUTED_VALUE"""),0.0)</f>
        <v>0</v>
      </c>
      <c r="J10" s="26">
        <f>IFERROR(__xludf.DUMMYFUNCTION("""COMPUTED_VALUE"""),0.0)</f>
        <v>0</v>
      </c>
      <c r="K10" s="26">
        <f>IFERROR(__xludf.DUMMYFUNCTION("""COMPUTED_VALUE"""),0.0)</f>
        <v>0</v>
      </c>
      <c r="L10" s="26">
        <f>IFERROR(__xludf.DUMMYFUNCTION("""COMPUTED_VALUE"""),0.0)</f>
        <v>0</v>
      </c>
      <c r="M10" s="26"/>
      <c r="N10" s="26"/>
      <c r="O10" s="26"/>
      <c r="P10" s="26"/>
      <c r="Q10" s="26"/>
      <c r="R10" s="26">
        <f>IFERROR(__xludf.DUMMYFUNCTION("""COMPUTED_VALUE"""),0.0)</f>
        <v>0</v>
      </c>
      <c r="S10" s="26">
        <f>IFERROR(__xludf.DUMMYFUNCTION("""COMPUTED_VALUE"""),0.0)</f>
        <v>0</v>
      </c>
      <c r="T10" s="26">
        <f>IFERROR(__xludf.DUMMYFUNCTION("""COMPUTED_VALUE"""),0.0)</f>
        <v>0</v>
      </c>
      <c r="U10" s="26">
        <f>IFERROR(__xludf.DUMMYFUNCTION("""COMPUTED_VALUE"""),0.0)</f>
        <v>0</v>
      </c>
      <c r="V10" s="26">
        <f>IFERROR(__xludf.DUMMYFUNCTION("""COMPUTED_VALUE"""),0.0)</f>
        <v>0</v>
      </c>
      <c r="W10" s="26">
        <f>IFERROR(__xludf.DUMMYFUNCTION("""COMPUTED_VALUE"""),0.0)</f>
        <v>0</v>
      </c>
      <c r="X10" s="26">
        <f>IFERROR(__xludf.DUMMYFUNCTION("""COMPUTED_VALUE"""),0.0)</f>
        <v>0</v>
      </c>
      <c r="Y10" s="26">
        <f>IFERROR(__xludf.DUMMYFUNCTION("""COMPUTED_VALUE"""),0.0)</f>
        <v>0</v>
      </c>
      <c r="Z10" s="26">
        <f>IFERROR(__xludf.DUMMYFUNCTION("""COMPUTED_VALUE"""),0.0)</f>
        <v>0</v>
      </c>
      <c r="AA10" s="26">
        <f>IFERROR(__xludf.DUMMYFUNCTION("""COMPUTED_VALUE"""),0.0)</f>
        <v>0</v>
      </c>
      <c r="AB10" s="26">
        <f>IFERROR(__xludf.DUMMYFUNCTION("""COMPUTED_VALUE"""),0.0)</f>
        <v>0</v>
      </c>
      <c r="AC10" s="26">
        <f>IFERROR(__xludf.DUMMYFUNCTION("""COMPUTED_VALUE"""),0.0)</f>
        <v>0</v>
      </c>
      <c r="AD10" s="26">
        <f>IFERROR(__xludf.DUMMYFUNCTION("""COMPUTED_VALUE"""),0.0)</f>
        <v>0</v>
      </c>
      <c r="AE10" s="26">
        <f>IFERROR(__xludf.DUMMYFUNCTION("""COMPUTED_VALUE"""),0.0)</f>
        <v>0</v>
      </c>
    </row>
    <row r="11">
      <c r="A11" s="26">
        <f>IFERROR(__xludf.DUMMYFUNCTION("""COMPUTED_VALUE"""),0.0)</f>
        <v>0</v>
      </c>
      <c r="B11" s="26">
        <f>IFERROR(__xludf.DUMMYFUNCTION("""COMPUTED_VALUE"""),0.0)</f>
        <v>0</v>
      </c>
      <c r="C11" s="26">
        <f>IFERROR(__xludf.DUMMYFUNCTION("""COMPUTED_VALUE"""),0.0)</f>
        <v>0</v>
      </c>
      <c r="D11" s="26">
        <f>IFERROR(__xludf.DUMMYFUNCTION("""COMPUTED_VALUE"""),0.0)</f>
        <v>0</v>
      </c>
      <c r="E11" s="26">
        <f>IFERROR(__xludf.DUMMYFUNCTION("""COMPUTED_VALUE"""),0.0)</f>
        <v>0</v>
      </c>
      <c r="F11" s="26">
        <f>IFERROR(__xludf.DUMMYFUNCTION("""COMPUTED_VALUE"""),0.0)</f>
        <v>0</v>
      </c>
      <c r="G11" s="26">
        <f>IFERROR(__xludf.DUMMYFUNCTION("""COMPUTED_VALUE"""),0.0)</f>
        <v>0</v>
      </c>
      <c r="H11" s="26">
        <f>IFERROR(__xludf.DUMMYFUNCTION("""COMPUTED_VALUE"""),0.0)</f>
        <v>0</v>
      </c>
      <c r="I11" s="26">
        <f>IFERROR(__xludf.DUMMYFUNCTION("""COMPUTED_VALUE"""),0.0)</f>
        <v>0</v>
      </c>
      <c r="J11" s="26">
        <f>IFERROR(__xludf.DUMMYFUNCTION("""COMPUTED_VALUE"""),0.0)</f>
        <v>0</v>
      </c>
      <c r="K11" s="26">
        <f>IFERROR(__xludf.DUMMYFUNCTION("""COMPUTED_VALUE"""),0.0)</f>
        <v>0</v>
      </c>
      <c r="L11" s="26">
        <f>IFERROR(__xludf.DUMMYFUNCTION("""COMPUTED_VALUE"""),0.0)</f>
        <v>0</v>
      </c>
      <c r="M11" s="26"/>
      <c r="N11" s="26"/>
      <c r="O11" s="26"/>
      <c r="P11" s="26"/>
      <c r="Q11" s="26"/>
      <c r="R11" s="26">
        <f>IFERROR(__xludf.DUMMYFUNCTION("""COMPUTED_VALUE"""),0.0)</f>
        <v>0</v>
      </c>
      <c r="S11" s="26">
        <f>IFERROR(__xludf.DUMMYFUNCTION("""COMPUTED_VALUE"""),0.0)</f>
        <v>0</v>
      </c>
      <c r="T11" s="26">
        <f>IFERROR(__xludf.DUMMYFUNCTION("""COMPUTED_VALUE"""),0.0)</f>
        <v>0</v>
      </c>
      <c r="U11" s="26">
        <f>IFERROR(__xludf.DUMMYFUNCTION("""COMPUTED_VALUE"""),0.0)</f>
        <v>0</v>
      </c>
      <c r="V11" s="26">
        <f>IFERROR(__xludf.DUMMYFUNCTION("""COMPUTED_VALUE"""),0.0)</f>
        <v>0</v>
      </c>
      <c r="W11" s="26">
        <f>IFERROR(__xludf.DUMMYFUNCTION("""COMPUTED_VALUE"""),0.0)</f>
        <v>0</v>
      </c>
      <c r="X11" s="26">
        <f>IFERROR(__xludf.DUMMYFUNCTION("""COMPUTED_VALUE"""),0.0)</f>
        <v>0</v>
      </c>
      <c r="Y11" s="26">
        <f>IFERROR(__xludf.DUMMYFUNCTION("""COMPUTED_VALUE"""),0.0)</f>
        <v>0</v>
      </c>
      <c r="Z11" s="26">
        <f>IFERROR(__xludf.DUMMYFUNCTION("""COMPUTED_VALUE"""),0.0)</f>
        <v>0</v>
      </c>
      <c r="AA11" s="26">
        <f>IFERROR(__xludf.DUMMYFUNCTION("""COMPUTED_VALUE"""),0.0)</f>
        <v>0</v>
      </c>
      <c r="AB11" s="26">
        <f>IFERROR(__xludf.DUMMYFUNCTION("""COMPUTED_VALUE"""),0.0)</f>
        <v>0</v>
      </c>
      <c r="AC11" s="26">
        <f>IFERROR(__xludf.DUMMYFUNCTION("""COMPUTED_VALUE"""),0.0)</f>
        <v>0</v>
      </c>
      <c r="AD11" s="26">
        <f>IFERROR(__xludf.DUMMYFUNCTION("""COMPUTED_VALUE"""),0.0)</f>
        <v>0</v>
      </c>
      <c r="AE11" s="26">
        <f>IFERROR(__xludf.DUMMYFUNCTION("""COMPUTED_VALUE"""),0.0)</f>
        <v>0</v>
      </c>
    </row>
    <row r="12">
      <c r="A12" s="26">
        <f>IFERROR(__xludf.DUMMYFUNCTION("""COMPUTED_VALUE"""),0.0)</f>
        <v>0</v>
      </c>
      <c r="B12" s="26">
        <f>IFERROR(__xludf.DUMMYFUNCTION("""COMPUTED_VALUE"""),0.0)</f>
        <v>0</v>
      </c>
      <c r="C12" s="26">
        <f>IFERROR(__xludf.DUMMYFUNCTION("""COMPUTED_VALUE"""),0.0)</f>
        <v>0</v>
      </c>
      <c r="D12" s="26">
        <f>IFERROR(__xludf.DUMMYFUNCTION("""COMPUTED_VALUE"""),0.0)</f>
        <v>0</v>
      </c>
      <c r="E12" s="26">
        <f>IFERROR(__xludf.DUMMYFUNCTION("""COMPUTED_VALUE"""),0.0)</f>
        <v>0</v>
      </c>
      <c r="F12" s="26">
        <f>IFERROR(__xludf.DUMMYFUNCTION("""COMPUTED_VALUE"""),0.0)</f>
        <v>0</v>
      </c>
      <c r="G12" s="26">
        <f>IFERROR(__xludf.DUMMYFUNCTION("""COMPUTED_VALUE"""),0.0)</f>
        <v>0</v>
      </c>
      <c r="H12" s="26">
        <f>IFERROR(__xludf.DUMMYFUNCTION("""COMPUTED_VALUE"""),0.0)</f>
        <v>0</v>
      </c>
      <c r="I12" s="26">
        <f>IFERROR(__xludf.DUMMYFUNCTION("""COMPUTED_VALUE"""),0.0)</f>
        <v>0</v>
      </c>
      <c r="J12" s="26">
        <f>IFERROR(__xludf.DUMMYFUNCTION("""COMPUTED_VALUE"""),0.0)</f>
        <v>0</v>
      </c>
      <c r="K12" s="26">
        <f>IFERROR(__xludf.DUMMYFUNCTION("""COMPUTED_VALUE"""),0.0)</f>
        <v>0</v>
      </c>
      <c r="L12" s="26">
        <f>IFERROR(__xludf.DUMMYFUNCTION("""COMPUTED_VALUE"""),0.0)</f>
        <v>0</v>
      </c>
      <c r="M12" s="26"/>
      <c r="N12" s="26"/>
      <c r="O12" s="26"/>
      <c r="P12" s="26"/>
      <c r="Q12" s="26"/>
      <c r="R12" s="26">
        <f>IFERROR(__xludf.DUMMYFUNCTION("""COMPUTED_VALUE"""),0.0)</f>
        <v>0</v>
      </c>
      <c r="S12" s="26">
        <f>IFERROR(__xludf.DUMMYFUNCTION("""COMPUTED_VALUE"""),0.0)</f>
        <v>0</v>
      </c>
      <c r="T12" s="26">
        <f>IFERROR(__xludf.DUMMYFUNCTION("""COMPUTED_VALUE"""),0.0)</f>
        <v>0</v>
      </c>
      <c r="U12" s="26">
        <f>IFERROR(__xludf.DUMMYFUNCTION("""COMPUTED_VALUE"""),0.0)</f>
        <v>0</v>
      </c>
      <c r="V12" s="26">
        <f>IFERROR(__xludf.DUMMYFUNCTION("""COMPUTED_VALUE"""),0.0)</f>
        <v>0</v>
      </c>
      <c r="W12" s="26">
        <f>IFERROR(__xludf.DUMMYFUNCTION("""COMPUTED_VALUE"""),0.0)</f>
        <v>0</v>
      </c>
      <c r="X12" s="26">
        <f>IFERROR(__xludf.DUMMYFUNCTION("""COMPUTED_VALUE"""),0.0)</f>
        <v>0</v>
      </c>
      <c r="Y12" s="26">
        <f>IFERROR(__xludf.DUMMYFUNCTION("""COMPUTED_VALUE"""),0.0)</f>
        <v>0</v>
      </c>
      <c r="Z12" s="26">
        <f>IFERROR(__xludf.DUMMYFUNCTION("""COMPUTED_VALUE"""),0.0)</f>
        <v>0</v>
      </c>
      <c r="AA12" s="26">
        <f>IFERROR(__xludf.DUMMYFUNCTION("""COMPUTED_VALUE"""),0.0)</f>
        <v>0</v>
      </c>
      <c r="AB12" s="26">
        <f>IFERROR(__xludf.DUMMYFUNCTION("""COMPUTED_VALUE"""),0.0)</f>
        <v>0</v>
      </c>
      <c r="AC12" s="26">
        <f>IFERROR(__xludf.DUMMYFUNCTION("""COMPUTED_VALUE"""),0.0)</f>
        <v>0</v>
      </c>
      <c r="AD12" s="26">
        <f>IFERROR(__xludf.DUMMYFUNCTION("""COMPUTED_VALUE"""),0.0)</f>
        <v>0</v>
      </c>
      <c r="AE12" s="26">
        <f>IFERROR(__xludf.DUMMYFUNCTION("""COMPUTED_VALUE"""),0.0)</f>
        <v>0</v>
      </c>
    </row>
    <row r="13">
      <c r="A13" s="26">
        <f>IFERROR(__xludf.DUMMYFUNCTION("""COMPUTED_VALUE"""),0.0)</f>
        <v>0</v>
      </c>
      <c r="B13" s="26">
        <f>IFERROR(__xludf.DUMMYFUNCTION("""COMPUTED_VALUE"""),0.0)</f>
        <v>0</v>
      </c>
      <c r="C13" s="26">
        <f>IFERROR(__xludf.DUMMYFUNCTION("""COMPUTED_VALUE"""),0.0)</f>
        <v>0</v>
      </c>
      <c r="D13" s="26">
        <f>IFERROR(__xludf.DUMMYFUNCTION("""COMPUTED_VALUE"""),0.0)</f>
        <v>0</v>
      </c>
      <c r="E13" s="26">
        <f>IFERROR(__xludf.DUMMYFUNCTION("""COMPUTED_VALUE"""),0.0)</f>
        <v>0</v>
      </c>
      <c r="F13" s="26">
        <f>IFERROR(__xludf.DUMMYFUNCTION("""COMPUTED_VALUE"""),0.0)</f>
        <v>0</v>
      </c>
      <c r="G13" s="26">
        <f>IFERROR(__xludf.DUMMYFUNCTION("""COMPUTED_VALUE"""),0.0)</f>
        <v>0</v>
      </c>
      <c r="H13" s="26">
        <f>IFERROR(__xludf.DUMMYFUNCTION("""COMPUTED_VALUE"""),0.0)</f>
        <v>0</v>
      </c>
      <c r="I13" s="26">
        <f>IFERROR(__xludf.DUMMYFUNCTION("""COMPUTED_VALUE"""),0.0)</f>
        <v>0</v>
      </c>
      <c r="J13" s="26">
        <f>IFERROR(__xludf.DUMMYFUNCTION("""COMPUTED_VALUE"""),0.0)</f>
        <v>0</v>
      </c>
      <c r="K13" s="26">
        <f>IFERROR(__xludf.DUMMYFUNCTION("""COMPUTED_VALUE"""),0.0)</f>
        <v>0</v>
      </c>
      <c r="L13" s="26">
        <f>IFERROR(__xludf.DUMMYFUNCTION("""COMPUTED_VALUE"""),0.0)</f>
        <v>0</v>
      </c>
      <c r="M13" s="26"/>
      <c r="N13" s="26"/>
      <c r="O13" s="26"/>
      <c r="P13" s="26"/>
      <c r="Q13" s="26"/>
      <c r="R13" s="26">
        <f>IFERROR(__xludf.DUMMYFUNCTION("""COMPUTED_VALUE"""),0.0)</f>
        <v>0</v>
      </c>
      <c r="S13" s="26">
        <f>IFERROR(__xludf.DUMMYFUNCTION("""COMPUTED_VALUE"""),0.0)</f>
        <v>0</v>
      </c>
      <c r="T13" s="26">
        <f>IFERROR(__xludf.DUMMYFUNCTION("""COMPUTED_VALUE"""),0.0)</f>
        <v>0</v>
      </c>
      <c r="U13" s="26">
        <f>IFERROR(__xludf.DUMMYFUNCTION("""COMPUTED_VALUE"""),0.0)</f>
        <v>0</v>
      </c>
      <c r="V13" s="26">
        <f>IFERROR(__xludf.DUMMYFUNCTION("""COMPUTED_VALUE"""),0.0)</f>
        <v>0</v>
      </c>
      <c r="W13" s="26">
        <f>IFERROR(__xludf.DUMMYFUNCTION("""COMPUTED_VALUE"""),0.0)</f>
        <v>0</v>
      </c>
      <c r="X13" s="26">
        <f>IFERROR(__xludf.DUMMYFUNCTION("""COMPUTED_VALUE"""),0.0)</f>
        <v>0</v>
      </c>
      <c r="Y13" s="26">
        <f>IFERROR(__xludf.DUMMYFUNCTION("""COMPUTED_VALUE"""),0.0)</f>
        <v>0</v>
      </c>
      <c r="Z13" s="26">
        <f>IFERROR(__xludf.DUMMYFUNCTION("""COMPUTED_VALUE"""),0.0)</f>
        <v>0</v>
      </c>
      <c r="AA13" s="26">
        <f>IFERROR(__xludf.DUMMYFUNCTION("""COMPUTED_VALUE"""),0.0)</f>
        <v>0</v>
      </c>
      <c r="AB13" s="26">
        <f>IFERROR(__xludf.DUMMYFUNCTION("""COMPUTED_VALUE"""),0.0)</f>
        <v>0</v>
      </c>
      <c r="AC13" s="26">
        <f>IFERROR(__xludf.DUMMYFUNCTION("""COMPUTED_VALUE"""),0.0)</f>
        <v>0</v>
      </c>
      <c r="AD13" s="26">
        <f>IFERROR(__xludf.DUMMYFUNCTION("""COMPUTED_VALUE"""),0.0)</f>
        <v>0</v>
      </c>
      <c r="AE13" s="26">
        <f>IFERROR(__xludf.DUMMYFUNCTION("""COMPUTED_VALUE"""),0.0)</f>
        <v>0</v>
      </c>
    </row>
    <row r="14">
      <c r="A14" s="26">
        <f>IFERROR(__xludf.DUMMYFUNCTION("""COMPUTED_VALUE"""),0.0)</f>
        <v>0</v>
      </c>
      <c r="B14" s="26">
        <f>IFERROR(__xludf.DUMMYFUNCTION("""COMPUTED_VALUE"""),0.0)</f>
        <v>0</v>
      </c>
      <c r="C14" s="26">
        <f>IFERROR(__xludf.DUMMYFUNCTION("""COMPUTED_VALUE"""),0.0)</f>
        <v>0</v>
      </c>
      <c r="D14" s="26">
        <f>IFERROR(__xludf.DUMMYFUNCTION("""COMPUTED_VALUE"""),0.0)</f>
        <v>0</v>
      </c>
      <c r="E14" s="26">
        <f>IFERROR(__xludf.DUMMYFUNCTION("""COMPUTED_VALUE"""),0.0)</f>
        <v>0</v>
      </c>
      <c r="F14" s="26">
        <f>IFERROR(__xludf.DUMMYFUNCTION("""COMPUTED_VALUE"""),0.0)</f>
        <v>0</v>
      </c>
      <c r="G14" s="26">
        <f>IFERROR(__xludf.DUMMYFUNCTION("""COMPUTED_VALUE"""),0.0)</f>
        <v>0</v>
      </c>
      <c r="H14" s="26">
        <f>IFERROR(__xludf.DUMMYFUNCTION("""COMPUTED_VALUE"""),0.0)</f>
        <v>0</v>
      </c>
      <c r="I14" s="26">
        <f>IFERROR(__xludf.DUMMYFUNCTION("""COMPUTED_VALUE"""),0.0)</f>
        <v>0</v>
      </c>
      <c r="J14" s="26">
        <f>IFERROR(__xludf.DUMMYFUNCTION("""COMPUTED_VALUE"""),0.0)</f>
        <v>0</v>
      </c>
      <c r="K14" s="26">
        <f>IFERROR(__xludf.DUMMYFUNCTION("""COMPUTED_VALUE"""),0.0)</f>
        <v>0</v>
      </c>
      <c r="L14" s="26">
        <f>IFERROR(__xludf.DUMMYFUNCTION("""COMPUTED_VALUE"""),0.0)</f>
        <v>0</v>
      </c>
      <c r="M14" s="26"/>
      <c r="N14" s="26"/>
      <c r="O14" s="26"/>
      <c r="P14" s="26"/>
      <c r="Q14" s="26"/>
      <c r="R14" s="26">
        <f>IFERROR(__xludf.DUMMYFUNCTION("""COMPUTED_VALUE"""),0.0)</f>
        <v>0</v>
      </c>
      <c r="S14" s="26">
        <f>IFERROR(__xludf.DUMMYFUNCTION("""COMPUTED_VALUE"""),0.0)</f>
        <v>0</v>
      </c>
      <c r="T14" s="26">
        <f>IFERROR(__xludf.DUMMYFUNCTION("""COMPUTED_VALUE"""),0.0)</f>
        <v>0</v>
      </c>
      <c r="U14" s="26">
        <f>IFERROR(__xludf.DUMMYFUNCTION("""COMPUTED_VALUE"""),0.0)</f>
        <v>0</v>
      </c>
      <c r="V14" s="26">
        <f>IFERROR(__xludf.DUMMYFUNCTION("""COMPUTED_VALUE"""),0.0)</f>
        <v>0</v>
      </c>
      <c r="W14" s="26">
        <f>IFERROR(__xludf.DUMMYFUNCTION("""COMPUTED_VALUE"""),0.0)</f>
        <v>0</v>
      </c>
      <c r="X14" s="26">
        <f>IFERROR(__xludf.DUMMYFUNCTION("""COMPUTED_VALUE"""),0.0)</f>
        <v>0</v>
      </c>
      <c r="Y14" s="26">
        <f>IFERROR(__xludf.DUMMYFUNCTION("""COMPUTED_VALUE"""),0.0)</f>
        <v>0</v>
      </c>
      <c r="Z14" s="26">
        <f>IFERROR(__xludf.DUMMYFUNCTION("""COMPUTED_VALUE"""),0.0)</f>
        <v>0</v>
      </c>
      <c r="AA14" s="26">
        <f>IFERROR(__xludf.DUMMYFUNCTION("""COMPUTED_VALUE"""),0.0)</f>
        <v>0</v>
      </c>
      <c r="AB14" s="26">
        <f>IFERROR(__xludf.DUMMYFUNCTION("""COMPUTED_VALUE"""),0.0)</f>
        <v>0</v>
      </c>
      <c r="AC14" s="26">
        <f>IFERROR(__xludf.DUMMYFUNCTION("""COMPUTED_VALUE"""),0.0)</f>
        <v>0</v>
      </c>
      <c r="AD14" s="26">
        <f>IFERROR(__xludf.DUMMYFUNCTION("""COMPUTED_VALUE"""),0.0)</f>
        <v>0</v>
      </c>
      <c r="AE14" s="26">
        <f>IFERROR(__xludf.DUMMYFUNCTION("""COMPUTED_VALUE"""),0.0)</f>
        <v>0</v>
      </c>
    </row>
    <row r="15">
      <c r="A15" s="26">
        <f>IFERROR(__xludf.DUMMYFUNCTION("""COMPUTED_VALUE"""),0.0)</f>
        <v>0</v>
      </c>
      <c r="B15" s="26">
        <f>IFERROR(__xludf.DUMMYFUNCTION("""COMPUTED_VALUE"""),0.0)</f>
        <v>0</v>
      </c>
      <c r="C15" s="26">
        <f>IFERROR(__xludf.DUMMYFUNCTION("""COMPUTED_VALUE"""),0.0)</f>
        <v>0</v>
      </c>
      <c r="D15" s="26">
        <f>IFERROR(__xludf.DUMMYFUNCTION("""COMPUTED_VALUE"""),0.0)</f>
        <v>0</v>
      </c>
      <c r="E15" s="26">
        <f>IFERROR(__xludf.DUMMYFUNCTION("""COMPUTED_VALUE"""),0.0)</f>
        <v>0</v>
      </c>
      <c r="F15" s="26">
        <f>IFERROR(__xludf.DUMMYFUNCTION("""COMPUTED_VALUE"""),0.0)</f>
        <v>0</v>
      </c>
      <c r="G15" s="26">
        <f>IFERROR(__xludf.DUMMYFUNCTION("""COMPUTED_VALUE"""),0.0)</f>
        <v>0</v>
      </c>
      <c r="H15" s="26">
        <f>IFERROR(__xludf.DUMMYFUNCTION("""COMPUTED_VALUE"""),0.0)</f>
        <v>0</v>
      </c>
      <c r="I15" s="26">
        <f>IFERROR(__xludf.DUMMYFUNCTION("""COMPUTED_VALUE"""),0.0)</f>
        <v>0</v>
      </c>
      <c r="J15" s="26">
        <f>IFERROR(__xludf.DUMMYFUNCTION("""COMPUTED_VALUE"""),0.0)</f>
        <v>0</v>
      </c>
      <c r="K15" s="26">
        <f>IFERROR(__xludf.DUMMYFUNCTION("""COMPUTED_VALUE"""),0.0)</f>
        <v>0</v>
      </c>
      <c r="L15" s="26">
        <f>IFERROR(__xludf.DUMMYFUNCTION("""COMPUTED_VALUE"""),0.0)</f>
        <v>0</v>
      </c>
      <c r="M15" s="26"/>
      <c r="N15" s="26"/>
      <c r="O15" s="26"/>
      <c r="P15" s="26"/>
      <c r="Q15" s="26"/>
      <c r="R15" s="26">
        <f>IFERROR(__xludf.DUMMYFUNCTION("""COMPUTED_VALUE"""),0.0)</f>
        <v>0</v>
      </c>
      <c r="S15" s="26">
        <f>IFERROR(__xludf.DUMMYFUNCTION("""COMPUTED_VALUE"""),0.0)</f>
        <v>0</v>
      </c>
      <c r="T15" s="26">
        <f>IFERROR(__xludf.DUMMYFUNCTION("""COMPUTED_VALUE"""),0.0)</f>
        <v>0</v>
      </c>
      <c r="U15" s="26">
        <f>IFERROR(__xludf.DUMMYFUNCTION("""COMPUTED_VALUE"""),0.0)</f>
        <v>0</v>
      </c>
      <c r="V15" s="26">
        <f>IFERROR(__xludf.DUMMYFUNCTION("""COMPUTED_VALUE"""),0.0)</f>
        <v>0</v>
      </c>
      <c r="W15" s="26">
        <f>IFERROR(__xludf.DUMMYFUNCTION("""COMPUTED_VALUE"""),0.0)</f>
        <v>0</v>
      </c>
      <c r="X15" s="26">
        <f>IFERROR(__xludf.DUMMYFUNCTION("""COMPUTED_VALUE"""),0.0)</f>
        <v>0</v>
      </c>
      <c r="Y15" s="26">
        <f>IFERROR(__xludf.DUMMYFUNCTION("""COMPUTED_VALUE"""),0.0)</f>
        <v>0</v>
      </c>
      <c r="Z15" s="26">
        <f>IFERROR(__xludf.DUMMYFUNCTION("""COMPUTED_VALUE"""),0.0)</f>
        <v>0</v>
      </c>
      <c r="AA15" s="26">
        <f>IFERROR(__xludf.DUMMYFUNCTION("""COMPUTED_VALUE"""),0.0)</f>
        <v>0</v>
      </c>
      <c r="AB15" s="26">
        <f>IFERROR(__xludf.DUMMYFUNCTION("""COMPUTED_VALUE"""),0.0)</f>
        <v>0</v>
      </c>
      <c r="AC15" s="26">
        <f>IFERROR(__xludf.DUMMYFUNCTION("""COMPUTED_VALUE"""),0.0)</f>
        <v>0</v>
      </c>
      <c r="AD15" s="26">
        <f>IFERROR(__xludf.DUMMYFUNCTION("""COMPUTED_VALUE"""),0.0)</f>
        <v>0</v>
      </c>
      <c r="AE15" s="26">
        <f>IFERROR(__xludf.DUMMYFUNCTION("""COMPUTED_VALUE"""),0.0)</f>
        <v>0</v>
      </c>
    </row>
    <row r="16">
      <c r="A16" s="26">
        <f>IFERROR(__xludf.DUMMYFUNCTION("""COMPUTED_VALUE"""),0.0)</f>
        <v>0</v>
      </c>
      <c r="B16" s="26">
        <f>IFERROR(__xludf.DUMMYFUNCTION("""COMPUTED_VALUE"""),0.0)</f>
        <v>0</v>
      </c>
      <c r="C16" s="26">
        <f>IFERROR(__xludf.DUMMYFUNCTION("""COMPUTED_VALUE"""),0.0)</f>
        <v>0</v>
      </c>
      <c r="D16" s="26">
        <f>IFERROR(__xludf.DUMMYFUNCTION("""COMPUTED_VALUE"""),0.0)</f>
        <v>0</v>
      </c>
      <c r="E16" s="26">
        <f>IFERROR(__xludf.DUMMYFUNCTION("""COMPUTED_VALUE"""),0.0)</f>
        <v>0</v>
      </c>
      <c r="F16" s="26">
        <f>IFERROR(__xludf.DUMMYFUNCTION("""COMPUTED_VALUE"""),0.0)</f>
        <v>0</v>
      </c>
      <c r="G16" s="26">
        <f>IFERROR(__xludf.DUMMYFUNCTION("""COMPUTED_VALUE"""),0.0)</f>
        <v>0</v>
      </c>
      <c r="H16" s="26">
        <f>IFERROR(__xludf.DUMMYFUNCTION("""COMPUTED_VALUE"""),0.0)</f>
        <v>0</v>
      </c>
      <c r="I16" s="26">
        <f>IFERROR(__xludf.DUMMYFUNCTION("""COMPUTED_VALUE"""),0.0)</f>
        <v>0</v>
      </c>
      <c r="J16" s="26">
        <f>IFERROR(__xludf.DUMMYFUNCTION("""COMPUTED_VALUE"""),0.0)</f>
        <v>0</v>
      </c>
      <c r="K16" s="26">
        <f>IFERROR(__xludf.DUMMYFUNCTION("""COMPUTED_VALUE"""),0.0)</f>
        <v>0</v>
      </c>
      <c r="L16" s="26">
        <f>IFERROR(__xludf.DUMMYFUNCTION("""COMPUTED_VALUE"""),0.0)</f>
        <v>0</v>
      </c>
      <c r="M16" s="26"/>
      <c r="N16" s="26"/>
      <c r="O16" s="26"/>
      <c r="P16" s="26"/>
      <c r="Q16" s="26"/>
      <c r="R16" s="26">
        <f>IFERROR(__xludf.DUMMYFUNCTION("""COMPUTED_VALUE"""),0.0)</f>
        <v>0</v>
      </c>
      <c r="S16" s="26">
        <f>IFERROR(__xludf.DUMMYFUNCTION("""COMPUTED_VALUE"""),0.0)</f>
        <v>0</v>
      </c>
      <c r="T16" s="26">
        <f>IFERROR(__xludf.DUMMYFUNCTION("""COMPUTED_VALUE"""),0.0)</f>
        <v>0</v>
      </c>
      <c r="U16" s="26">
        <f>IFERROR(__xludf.DUMMYFUNCTION("""COMPUTED_VALUE"""),0.0)</f>
        <v>0</v>
      </c>
      <c r="V16" s="26">
        <f>IFERROR(__xludf.DUMMYFUNCTION("""COMPUTED_VALUE"""),0.0)</f>
        <v>0</v>
      </c>
      <c r="W16" s="26">
        <f>IFERROR(__xludf.DUMMYFUNCTION("""COMPUTED_VALUE"""),0.0)</f>
        <v>0</v>
      </c>
      <c r="X16" s="26">
        <f>IFERROR(__xludf.DUMMYFUNCTION("""COMPUTED_VALUE"""),0.0)</f>
        <v>0</v>
      </c>
      <c r="Y16" s="26">
        <f>IFERROR(__xludf.DUMMYFUNCTION("""COMPUTED_VALUE"""),0.0)</f>
        <v>0</v>
      </c>
      <c r="Z16" s="26">
        <f>IFERROR(__xludf.DUMMYFUNCTION("""COMPUTED_VALUE"""),0.0)</f>
        <v>0</v>
      </c>
      <c r="AA16" s="26">
        <f>IFERROR(__xludf.DUMMYFUNCTION("""COMPUTED_VALUE"""),0.0)</f>
        <v>0</v>
      </c>
      <c r="AB16" s="26">
        <f>IFERROR(__xludf.DUMMYFUNCTION("""COMPUTED_VALUE"""),0.0)</f>
        <v>0</v>
      </c>
      <c r="AC16" s="26">
        <f>IFERROR(__xludf.DUMMYFUNCTION("""COMPUTED_VALUE"""),0.0)</f>
        <v>0</v>
      </c>
      <c r="AD16" s="26">
        <f>IFERROR(__xludf.DUMMYFUNCTION("""COMPUTED_VALUE"""),0.0)</f>
        <v>0</v>
      </c>
      <c r="AE16" s="26">
        <f>IFERROR(__xludf.DUMMYFUNCTION("""COMPUTED_VALUE"""),0.0)</f>
        <v>0</v>
      </c>
    </row>
    <row r="17">
      <c r="A17" s="26">
        <f>IFERROR(__xludf.DUMMYFUNCTION("""COMPUTED_VALUE"""),0.0)</f>
        <v>0</v>
      </c>
      <c r="B17" s="26">
        <f>IFERROR(__xludf.DUMMYFUNCTION("""COMPUTED_VALUE"""),0.0)</f>
        <v>0</v>
      </c>
      <c r="C17" s="26">
        <f>IFERROR(__xludf.DUMMYFUNCTION("""COMPUTED_VALUE"""),0.0)</f>
        <v>0</v>
      </c>
      <c r="D17" s="26">
        <f>IFERROR(__xludf.DUMMYFUNCTION("""COMPUTED_VALUE"""),0.0)</f>
        <v>0</v>
      </c>
      <c r="E17" s="26">
        <f>IFERROR(__xludf.DUMMYFUNCTION("""COMPUTED_VALUE"""),0.0)</f>
        <v>0</v>
      </c>
      <c r="F17" s="26">
        <f>IFERROR(__xludf.DUMMYFUNCTION("""COMPUTED_VALUE"""),0.0)</f>
        <v>0</v>
      </c>
      <c r="G17" s="26">
        <f>IFERROR(__xludf.DUMMYFUNCTION("""COMPUTED_VALUE"""),0.0)</f>
        <v>0</v>
      </c>
      <c r="H17" s="26">
        <f>IFERROR(__xludf.DUMMYFUNCTION("""COMPUTED_VALUE"""),0.0)</f>
        <v>0</v>
      </c>
      <c r="I17" s="26">
        <f>IFERROR(__xludf.DUMMYFUNCTION("""COMPUTED_VALUE"""),0.0)</f>
        <v>0</v>
      </c>
      <c r="J17" s="26">
        <f>IFERROR(__xludf.DUMMYFUNCTION("""COMPUTED_VALUE"""),0.0)</f>
        <v>0</v>
      </c>
      <c r="K17" s="26">
        <f>IFERROR(__xludf.DUMMYFUNCTION("""COMPUTED_VALUE"""),0.0)</f>
        <v>0</v>
      </c>
      <c r="L17" s="26">
        <f>IFERROR(__xludf.DUMMYFUNCTION("""COMPUTED_VALUE"""),0.0)</f>
        <v>0</v>
      </c>
      <c r="M17" s="26"/>
      <c r="N17" s="26"/>
      <c r="O17" s="26"/>
      <c r="P17" s="26"/>
      <c r="Q17" s="26"/>
      <c r="R17" s="26">
        <f>IFERROR(__xludf.DUMMYFUNCTION("""COMPUTED_VALUE"""),0.0)</f>
        <v>0</v>
      </c>
      <c r="S17" s="26">
        <f>IFERROR(__xludf.DUMMYFUNCTION("""COMPUTED_VALUE"""),0.0)</f>
        <v>0</v>
      </c>
      <c r="T17" s="26">
        <f>IFERROR(__xludf.DUMMYFUNCTION("""COMPUTED_VALUE"""),0.0)</f>
        <v>0</v>
      </c>
      <c r="U17" s="26">
        <f>IFERROR(__xludf.DUMMYFUNCTION("""COMPUTED_VALUE"""),0.0)</f>
        <v>0</v>
      </c>
      <c r="V17" s="26">
        <f>IFERROR(__xludf.DUMMYFUNCTION("""COMPUTED_VALUE"""),0.0)</f>
        <v>0</v>
      </c>
      <c r="W17" s="26">
        <f>IFERROR(__xludf.DUMMYFUNCTION("""COMPUTED_VALUE"""),0.0)</f>
        <v>0</v>
      </c>
      <c r="X17" s="26">
        <f>IFERROR(__xludf.DUMMYFUNCTION("""COMPUTED_VALUE"""),0.0)</f>
        <v>0</v>
      </c>
      <c r="Y17" s="26">
        <f>IFERROR(__xludf.DUMMYFUNCTION("""COMPUTED_VALUE"""),0.0)</f>
        <v>0</v>
      </c>
      <c r="Z17" s="26">
        <f>IFERROR(__xludf.DUMMYFUNCTION("""COMPUTED_VALUE"""),0.0)</f>
        <v>0</v>
      </c>
      <c r="AA17" s="26">
        <f>IFERROR(__xludf.DUMMYFUNCTION("""COMPUTED_VALUE"""),0.0)</f>
        <v>0</v>
      </c>
      <c r="AB17" s="26">
        <f>IFERROR(__xludf.DUMMYFUNCTION("""COMPUTED_VALUE"""),0.0)</f>
        <v>0</v>
      </c>
      <c r="AC17" s="26">
        <f>IFERROR(__xludf.DUMMYFUNCTION("""COMPUTED_VALUE"""),0.0)</f>
        <v>0</v>
      </c>
      <c r="AD17" s="26">
        <f>IFERROR(__xludf.DUMMYFUNCTION("""COMPUTED_VALUE"""),0.0)</f>
        <v>0</v>
      </c>
      <c r="AE17" s="26">
        <f>IFERROR(__xludf.DUMMYFUNCTION("""COMPUTED_VALUE"""),0.0)</f>
        <v>0</v>
      </c>
    </row>
    <row r="18">
      <c r="A18" s="26">
        <f>IFERROR(__xludf.DUMMYFUNCTION("""COMPUTED_VALUE"""),0.0)</f>
        <v>0</v>
      </c>
      <c r="B18" s="26">
        <f>IFERROR(__xludf.DUMMYFUNCTION("""COMPUTED_VALUE"""),0.0)</f>
        <v>0</v>
      </c>
      <c r="C18" s="26">
        <f>IFERROR(__xludf.DUMMYFUNCTION("""COMPUTED_VALUE"""),0.0)</f>
        <v>0</v>
      </c>
      <c r="D18" s="26">
        <f>IFERROR(__xludf.DUMMYFUNCTION("""COMPUTED_VALUE"""),0.0)</f>
        <v>0</v>
      </c>
      <c r="E18" s="26">
        <f>IFERROR(__xludf.DUMMYFUNCTION("""COMPUTED_VALUE"""),0.0)</f>
        <v>0</v>
      </c>
      <c r="F18" s="26">
        <f>IFERROR(__xludf.DUMMYFUNCTION("""COMPUTED_VALUE"""),0.0)</f>
        <v>0</v>
      </c>
      <c r="G18" s="26">
        <f>IFERROR(__xludf.DUMMYFUNCTION("""COMPUTED_VALUE"""),0.0)</f>
        <v>0</v>
      </c>
      <c r="H18" s="26">
        <f>IFERROR(__xludf.DUMMYFUNCTION("""COMPUTED_VALUE"""),0.0)</f>
        <v>0</v>
      </c>
      <c r="I18" s="26">
        <f>IFERROR(__xludf.DUMMYFUNCTION("""COMPUTED_VALUE"""),0.0)</f>
        <v>0</v>
      </c>
      <c r="J18" s="26">
        <f>IFERROR(__xludf.DUMMYFUNCTION("""COMPUTED_VALUE"""),0.0)</f>
        <v>0</v>
      </c>
      <c r="K18" s="26">
        <f>IFERROR(__xludf.DUMMYFUNCTION("""COMPUTED_VALUE"""),0.0)</f>
        <v>0</v>
      </c>
      <c r="L18" s="26">
        <f>IFERROR(__xludf.DUMMYFUNCTION("""COMPUTED_VALUE"""),0.0)</f>
        <v>0</v>
      </c>
      <c r="M18" s="26"/>
      <c r="N18" s="26"/>
      <c r="O18" s="26"/>
      <c r="P18" s="26"/>
      <c r="Q18" s="26"/>
      <c r="R18" s="26">
        <f>IFERROR(__xludf.DUMMYFUNCTION("""COMPUTED_VALUE"""),0.0)</f>
        <v>0</v>
      </c>
      <c r="S18" s="26">
        <f>IFERROR(__xludf.DUMMYFUNCTION("""COMPUTED_VALUE"""),0.0)</f>
        <v>0</v>
      </c>
      <c r="T18" s="26">
        <f>IFERROR(__xludf.DUMMYFUNCTION("""COMPUTED_VALUE"""),0.0)</f>
        <v>0</v>
      </c>
      <c r="U18" s="26">
        <f>IFERROR(__xludf.DUMMYFUNCTION("""COMPUTED_VALUE"""),0.0)</f>
        <v>0</v>
      </c>
      <c r="V18" s="26">
        <f>IFERROR(__xludf.DUMMYFUNCTION("""COMPUTED_VALUE"""),0.0)</f>
        <v>0</v>
      </c>
      <c r="W18" s="26">
        <f>IFERROR(__xludf.DUMMYFUNCTION("""COMPUTED_VALUE"""),0.0)</f>
        <v>0</v>
      </c>
      <c r="X18" s="26">
        <f>IFERROR(__xludf.DUMMYFUNCTION("""COMPUTED_VALUE"""),0.0)</f>
        <v>0</v>
      </c>
      <c r="Y18" s="26">
        <f>IFERROR(__xludf.DUMMYFUNCTION("""COMPUTED_VALUE"""),0.0)</f>
        <v>0</v>
      </c>
      <c r="Z18" s="26">
        <f>IFERROR(__xludf.DUMMYFUNCTION("""COMPUTED_VALUE"""),0.0)</f>
        <v>0</v>
      </c>
      <c r="AA18" s="26">
        <f>IFERROR(__xludf.DUMMYFUNCTION("""COMPUTED_VALUE"""),0.0)</f>
        <v>0</v>
      </c>
      <c r="AB18" s="26">
        <f>IFERROR(__xludf.DUMMYFUNCTION("""COMPUTED_VALUE"""),0.0)</f>
        <v>0</v>
      </c>
      <c r="AC18" s="26">
        <f>IFERROR(__xludf.DUMMYFUNCTION("""COMPUTED_VALUE"""),0.0)</f>
        <v>0</v>
      </c>
      <c r="AD18" s="26">
        <f>IFERROR(__xludf.DUMMYFUNCTION("""COMPUTED_VALUE"""),0.0)</f>
        <v>0</v>
      </c>
      <c r="AE18" s="26">
        <f>IFERROR(__xludf.DUMMYFUNCTION("""COMPUTED_VALUE"""),0.0)</f>
        <v>0</v>
      </c>
    </row>
    <row r="19">
      <c r="A19" s="26">
        <f>IFERROR(__xludf.DUMMYFUNCTION("""COMPUTED_VALUE"""),0.0)</f>
        <v>0</v>
      </c>
      <c r="B19" s="26">
        <f>IFERROR(__xludf.DUMMYFUNCTION("""COMPUTED_VALUE"""),0.0)</f>
        <v>0</v>
      </c>
      <c r="C19" s="26">
        <f>IFERROR(__xludf.DUMMYFUNCTION("""COMPUTED_VALUE"""),0.0)</f>
        <v>0</v>
      </c>
      <c r="D19" s="26">
        <f>IFERROR(__xludf.DUMMYFUNCTION("""COMPUTED_VALUE"""),0.0)</f>
        <v>0</v>
      </c>
      <c r="E19" s="26">
        <f>IFERROR(__xludf.DUMMYFUNCTION("""COMPUTED_VALUE"""),0.0)</f>
        <v>0</v>
      </c>
      <c r="F19" s="26">
        <f>IFERROR(__xludf.DUMMYFUNCTION("""COMPUTED_VALUE"""),0.0)</f>
        <v>0</v>
      </c>
      <c r="G19" s="26">
        <f>IFERROR(__xludf.DUMMYFUNCTION("""COMPUTED_VALUE"""),0.0)</f>
        <v>0</v>
      </c>
      <c r="H19" s="26">
        <f>IFERROR(__xludf.DUMMYFUNCTION("""COMPUTED_VALUE"""),0.0)</f>
        <v>0</v>
      </c>
      <c r="I19" s="26">
        <f>IFERROR(__xludf.DUMMYFUNCTION("""COMPUTED_VALUE"""),0.0)</f>
        <v>0</v>
      </c>
      <c r="J19" s="26">
        <f>IFERROR(__xludf.DUMMYFUNCTION("""COMPUTED_VALUE"""),0.0)</f>
        <v>0</v>
      </c>
      <c r="K19" s="26">
        <f>IFERROR(__xludf.DUMMYFUNCTION("""COMPUTED_VALUE"""),0.0)</f>
        <v>0</v>
      </c>
      <c r="L19" s="26">
        <f>IFERROR(__xludf.DUMMYFUNCTION("""COMPUTED_VALUE"""),0.0)</f>
        <v>0</v>
      </c>
      <c r="M19" s="26"/>
      <c r="N19" s="26"/>
      <c r="O19" s="26"/>
      <c r="P19" s="26"/>
      <c r="Q19" s="26"/>
      <c r="R19" s="26">
        <f>IFERROR(__xludf.DUMMYFUNCTION("""COMPUTED_VALUE"""),0.0)</f>
        <v>0</v>
      </c>
      <c r="S19" s="26">
        <f>IFERROR(__xludf.DUMMYFUNCTION("""COMPUTED_VALUE"""),0.0)</f>
        <v>0</v>
      </c>
      <c r="T19" s="26">
        <f>IFERROR(__xludf.DUMMYFUNCTION("""COMPUTED_VALUE"""),0.0)</f>
        <v>0</v>
      </c>
      <c r="U19" s="26">
        <f>IFERROR(__xludf.DUMMYFUNCTION("""COMPUTED_VALUE"""),0.0)</f>
        <v>0</v>
      </c>
      <c r="V19" s="26">
        <f>IFERROR(__xludf.DUMMYFUNCTION("""COMPUTED_VALUE"""),0.0)</f>
        <v>0</v>
      </c>
      <c r="W19" s="26">
        <f>IFERROR(__xludf.DUMMYFUNCTION("""COMPUTED_VALUE"""),0.0)</f>
        <v>0</v>
      </c>
      <c r="X19" s="26">
        <f>IFERROR(__xludf.DUMMYFUNCTION("""COMPUTED_VALUE"""),0.0)</f>
        <v>0</v>
      </c>
      <c r="Y19" s="26">
        <f>IFERROR(__xludf.DUMMYFUNCTION("""COMPUTED_VALUE"""),0.0)</f>
        <v>0</v>
      </c>
      <c r="Z19" s="26">
        <f>IFERROR(__xludf.DUMMYFUNCTION("""COMPUTED_VALUE"""),0.0)</f>
        <v>0</v>
      </c>
      <c r="AA19" s="26">
        <f>IFERROR(__xludf.DUMMYFUNCTION("""COMPUTED_VALUE"""),0.0)</f>
        <v>0</v>
      </c>
      <c r="AB19" s="26">
        <f>IFERROR(__xludf.DUMMYFUNCTION("""COMPUTED_VALUE"""),0.0)</f>
        <v>0</v>
      </c>
      <c r="AC19" s="26">
        <f>IFERROR(__xludf.DUMMYFUNCTION("""COMPUTED_VALUE"""),0.0)</f>
        <v>0</v>
      </c>
      <c r="AD19" s="26">
        <f>IFERROR(__xludf.DUMMYFUNCTION("""COMPUTED_VALUE"""),0.0)</f>
        <v>0</v>
      </c>
      <c r="AE19" s="26">
        <f>IFERROR(__xludf.DUMMYFUNCTION("""COMPUTED_VALUE"""),0.0)</f>
        <v>0</v>
      </c>
    </row>
    <row r="20">
      <c r="A20" s="26">
        <f>IFERROR(__xludf.DUMMYFUNCTION("""COMPUTED_VALUE"""),0.0)</f>
        <v>0</v>
      </c>
      <c r="B20" s="26">
        <f>IFERROR(__xludf.DUMMYFUNCTION("""COMPUTED_VALUE"""),0.0)</f>
        <v>0</v>
      </c>
      <c r="C20" s="26">
        <f>IFERROR(__xludf.DUMMYFUNCTION("""COMPUTED_VALUE"""),0.0)</f>
        <v>0</v>
      </c>
      <c r="D20" s="26">
        <f>IFERROR(__xludf.DUMMYFUNCTION("""COMPUTED_VALUE"""),0.0)</f>
        <v>0</v>
      </c>
      <c r="E20" s="26">
        <f>IFERROR(__xludf.DUMMYFUNCTION("""COMPUTED_VALUE"""),0.0)</f>
        <v>0</v>
      </c>
      <c r="F20" s="26">
        <f>IFERROR(__xludf.DUMMYFUNCTION("""COMPUTED_VALUE"""),0.0)</f>
        <v>0</v>
      </c>
      <c r="G20" s="26">
        <f>IFERROR(__xludf.DUMMYFUNCTION("""COMPUTED_VALUE"""),0.0)</f>
        <v>0</v>
      </c>
      <c r="H20" s="26">
        <f>IFERROR(__xludf.DUMMYFUNCTION("""COMPUTED_VALUE"""),0.0)</f>
        <v>0</v>
      </c>
      <c r="I20" s="26">
        <f>IFERROR(__xludf.DUMMYFUNCTION("""COMPUTED_VALUE"""),0.0)</f>
        <v>0</v>
      </c>
      <c r="J20" s="26">
        <f>IFERROR(__xludf.DUMMYFUNCTION("""COMPUTED_VALUE"""),0.0)</f>
        <v>0</v>
      </c>
      <c r="K20" s="26">
        <f>IFERROR(__xludf.DUMMYFUNCTION("""COMPUTED_VALUE"""),0.0)</f>
        <v>0</v>
      </c>
      <c r="L20" s="26">
        <f>IFERROR(__xludf.DUMMYFUNCTION("""COMPUTED_VALUE"""),0.0)</f>
        <v>0</v>
      </c>
      <c r="M20" s="26"/>
      <c r="N20" s="26"/>
      <c r="O20" s="26"/>
      <c r="P20" s="26"/>
      <c r="Q20" s="26"/>
      <c r="R20" s="26">
        <f>IFERROR(__xludf.DUMMYFUNCTION("""COMPUTED_VALUE"""),0.0)</f>
        <v>0</v>
      </c>
      <c r="S20" s="26">
        <f>IFERROR(__xludf.DUMMYFUNCTION("""COMPUTED_VALUE"""),0.0)</f>
        <v>0</v>
      </c>
      <c r="T20" s="26">
        <f>IFERROR(__xludf.DUMMYFUNCTION("""COMPUTED_VALUE"""),0.0)</f>
        <v>0</v>
      </c>
      <c r="U20" s="26">
        <f>IFERROR(__xludf.DUMMYFUNCTION("""COMPUTED_VALUE"""),0.0)</f>
        <v>0</v>
      </c>
      <c r="V20" s="26">
        <f>IFERROR(__xludf.DUMMYFUNCTION("""COMPUTED_VALUE"""),0.0)</f>
        <v>0</v>
      </c>
      <c r="W20" s="26">
        <f>IFERROR(__xludf.DUMMYFUNCTION("""COMPUTED_VALUE"""),0.0)</f>
        <v>0</v>
      </c>
      <c r="X20" s="26">
        <f>IFERROR(__xludf.DUMMYFUNCTION("""COMPUTED_VALUE"""),0.0)</f>
        <v>0</v>
      </c>
      <c r="Y20" s="26">
        <f>IFERROR(__xludf.DUMMYFUNCTION("""COMPUTED_VALUE"""),0.0)</f>
        <v>0</v>
      </c>
      <c r="Z20" s="26">
        <f>IFERROR(__xludf.DUMMYFUNCTION("""COMPUTED_VALUE"""),0.0)</f>
        <v>0</v>
      </c>
      <c r="AA20" s="26">
        <f>IFERROR(__xludf.DUMMYFUNCTION("""COMPUTED_VALUE"""),0.0)</f>
        <v>0</v>
      </c>
      <c r="AB20" s="26">
        <f>IFERROR(__xludf.DUMMYFUNCTION("""COMPUTED_VALUE"""),0.0)</f>
        <v>0</v>
      </c>
      <c r="AC20" s="26">
        <f>IFERROR(__xludf.DUMMYFUNCTION("""COMPUTED_VALUE"""),0.0)</f>
        <v>0</v>
      </c>
      <c r="AD20" s="26">
        <f>IFERROR(__xludf.DUMMYFUNCTION("""COMPUTED_VALUE"""),0.0)</f>
        <v>0</v>
      </c>
      <c r="AE20" s="26">
        <f>IFERROR(__xludf.DUMMYFUNCTION("""COMPUTED_VALUE"""),0.0)</f>
        <v>0</v>
      </c>
    </row>
    <row r="21">
      <c r="A21" s="26">
        <f>IFERROR(__xludf.DUMMYFUNCTION("""COMPUTED_VALUE"""),0.0)</f>
        <v>0</v>
      </c>
      <c r="B21" s="26">
        <f>IFERROR(__xludf.DUMMYFUNCTION("""COMPUTED_VALUE"""),0.0)</f>
        <v>0</v>
      </c>
      <c r="C21" s="26">
        <f>IFERROR(__xludf.DUMMYFUNCTION("""COMPUTED_VALUE"""),0.0)</f>
        <v>0</v>
      </c>
      <c r="D21" s="26">
        <f>IFERROR(__xludf.DUMMYFUNCTION("""COMPUTED_VALUE"""),0.0)</f>
        <v>0</v>
      </c>
      <c r="E21" s="26">
        <f>IFERROR(__xludf.DUMMYFUNCTION("""COMPUTED_VALUE"""),0.0)</f>
        <v>0</v>
      </c>
      <c r="F21" s="26">
        <f>IFERROR(__xludf.DUMMYFUNCTION("""COMPUTED_VALUE"""),0.0)</f>
        <v>0</v>
      </c>
      <c r="G21" s="26">
        <f>IFERROR(__xludf.DUMMYFUNCTION("""COMPUTED_VALUE"""),0.0)</f>
        <v>0</v>
      </c>
      <c r="H21" s="26">
        <f>IFERROR(__xludf.DUMMYFUNCTION("""COMPUTED_VALUE"""),0.0)</f>
        <v>0</v>
      </c>
      <c r="I21" s="26">
        <f>IFERROR(__xludf.DUMMYFUNCTION("""COMPUTED_VALUE"""),0.0)</f>
        <v>0</v>
      </c>
      <c r="J21" s="26">
        <f>IFERROR(__xludf.DUMMYFUNCTION("""COMPUTED_VALUE"""),0.0)</f>
        <v>0</v>
      </c>
      <c r="K21" s="26">
        <f>IFERROR(__xludf.DUMMYFUNCTION("""COMPUTED_VALUE"""),0.0)</f>
        <v>0</v>
      </c>
      <c r="L21" s="26">
        <f>IFERROR(__xludf.DUMMYFUNCTION("""COMPUTED_VALUE"""),0.0)</f>
        <v>0</v>
      </c>
      <c r="M21" s="26"/>
      <c r="N21" s="26"/>
      <c r="O21" s="26"/>
      <c r="P21" s="26"/>
      <c r="Q21" s="26"/>
      <c r="R21" s="26">
        <f>IFERROR(__xludf.DUMMYFUNCTION("""COMPUTED_VALUE"""),0.0)</f>
        <v>0</v>
      </c>
      <c r="S21" s="26">
        <f>IFERROR(__xludf.DUMMYFUNCTION("""COMPUTED_VALUE"""),0.0)</f>
        <v>0</v>
      </c>
      <c r="T21" s="26">
        <f>IFERROR(__xludf.DUMMYFUNCTION("""COMPUTED_VALUE"""),0.0)</f>
        <v>0</v>
      </c>
      <c r="U21" s="26">
        <f>IFERROR(__xludf.DUMMYFUNCTION("""COMPUTED_VALUE"""),0.0)</f>
        <v>0</v>
      </c>
      <c r="V21" s="26">
        <f>IFERROR(__xludf.DUMMYFUNCTION("""COMPUTED_VALUE"""),0.0)</f>
        <v>0</v>
      </c>
      <c r="W21" s="26">
        <f>IFERROR(__xludf.DUMMYFUNCTION("""COMPUTED_VALUE"""),0.0)</f>
        <v>0</v>
      </c>
      <c r="X21" s="26">
        <f>IFERROR(__xludf.DUMMYFUNCTION("""COMPUTED_VALUE"""),0.0)</f>
        <v>0</v>
      </c>
      <c r="Y21" s="26">
        <f>IFERROR(__xludf.DUMMYFUNCTION("""COMPUTED_VALUE"""),0.0)</f>
        <v>0</v>
      </c>
      <c r="Z21" s="26">
        <f>IFERROR(__xludf.DUMMYFUNCTION("""COMPUTED_VALUE"""),0.0)</f>
        <v>0</v>
      </c>
      <c r="AA21" s="26">
        <f>IFERROR(__xludf.DUMMYFUNCTION("""COMPUTED_VALUE"""),0.0)</f>
        <v>0</v>
      </c>
      <c r="AB21" s="26">
        <f>IFERROR(__xludf.DUMMYFUNCTION("""COMPUTED_VALUE"""),0.0)</f>
        <v>0</v>
      </c>
      <c r="AC21" s="26">
        <f>IFERROR(__xludf.DUMMYFUNCTION("""COMPUTED_VALUE"""),0.0)</f>
        <v>0</v>
      </c>
      <c r="AD21" s="26">
        <f>IFERROR(__xludf.DUMMYFUNCTION("""COMPUTED_VALUE"""),0.0)</f>
        <v>0</v>
      </c>
      <c r="AE21" s="26">
        <f>IFERROR(__xludf.DUMMYFUNCTION("""COMPUTED_VALUE"""),0.0)</f>
        <v>0</v>
      </c>
    </row>
    <row r="22">
      <c r="A22" s="26">
        <f>IFERROR(__xludf.DUMMYFUNCTION("""COMPUTED_VALUE"""),0.0)</f>
        <v>0</v>
      </c>
      <c r="B22" s="26">
        <f>IFERROR(__xludf.DUMMYFUNCTION("""COMPUTED_VALUE"""),0.0)</f>
        <v>0</v>
      </c>
      <c r="C22" s="26">
        <f>IFERROR(__xludf.DUMMYFUNCTION("""COMPUTED_VALUE"""),0.0)</f>
        <v>0</v>
      </c>
      <c r="D22" s="26">
        <f>IFERROR(__xludf.DUMMYFUNCTION("""COMPUTED_VALUE"""),0.0)</f>
        <v>0</v>
      </c>
      <c r="E22" s="26">
        <f>IFERROR(__xludf.DUMMYFUNCTION("""COMPUTED_VALUE"""),0.0)</f>
        <v>0</v>
      </c>
      <c r="F22" s="26">
        <f>IFERROR(__xludf.DUMMYFUNCTION("""COMPUTED_VALUE"""),0.0)</f>
        <v>0</v>
      </c>
      <c r="G22" s="26">
        <f>IFERROR(__xludf.DUMMYFUNCTION("""COMPUTED_VALUE"""),0.0)</f>
        <v>0</v>
      </c>
      <c r="H22" s="26">
        <f>IFERROR(__xludf.DUMMYFUNCTION("""COMPUTED_VALUE"""),0.0)</f>
        <v>0</v>
      </c>
      <c r="I22" s="26">
        <f>IFERROR(__xludf.DUMMYFUNCTION("""COMPUTED_VALUE"""),0.0)</f>
        <v>0</v>
      </c>
      <c r="J22" s="26">
        <f>IFERROR(__xludf.DUMMYFUNCTION("""COMPUTED_VALUE"""),0.0)</f>
        <v>0</v>
      </c>
      <c r="K22" s="26">
        <f>IFERROR(__xludf.DUMMYFUNCTION("""COMPUTED_VALUE"""),0.0)</f>
        <v>0</v>
      </c>
      <c r="L22" s="26">
        <f>IFERROR(__xludf.DUMMYFUNCTION("""COMPUTED_VALUE"""),0.0)</f>
        <v>0</v>
      </c>
      <c r="M22" s="26"/>
      <c r="N22" s="26"/>
      <c r="O22" s="26"/>
      <c r="P22" s="26"/>
      <c r="Q22" s="26"/>
      <c r="R22" s="26">
        <f>IFERROR(__xludf.DUMMYFUNCTION("""COMPUTED_VALUE"""),0.0)</f>
        <v>0</v>
      </c>
      <c r="S22" s="26">
        <f>IFERROR(__xludf.DUMMYFUNCTION("""COMPUTED_VALUE"""),0.0)</f>
        <v>0</v>
      </c>
      <c r="T22" s="26">
        <f>IFERROR(__xludf.DUMMYFUNCTION("""COMPUTED_VALUE"""),0.0)</f>
        <v>0</v>
      </c>
      <c r="U22" s="26">
        <f>IFERROR(__xludf.DUMMYFUNCTION("""COMPUTED_VALUE"""),0.0)</f>
        <v>0</v>
      </c>
      <c r="V22" s="26">
        <f>IFERROR(__xludf.DUMMYFUNCTION("""COMPUTED_VALUE"""),0.0)</f>
        <v>0</v>
      </c>
      <c r="W22" s="26">
        <f>IFERROR(__xludf.DUMMYFUNCTION("""COMPUTED_VALUE"""),0.0)</f>
        <v>0</v>
      </c>
      <c r="X22" s="26">
        <f>IFERROR(__xludf.DUMMYFUNCTION("""COMPUTED_VALUE"""),0.0)</f>
        <v>0</v>
      </c>
      <c r="Y22" s="26">
        <f>IFERROR(__xludf.DUMMYFUNCTION("""COMPUTED_VALUE"""),0.0)</f>
        <v>0</v>
      </c>
      <c r="Z22" s="26">
        <f>IFERROR(__xludf.DUMMYFUNCTION("""COMPUTED_VALUE"""),0.0)</f>
        <v>0</v>
      </c>
      <c r="AA22" s="26">
        <f>IFERROR(__xludf.DUMMYFUNCTION("""COMPUTED_VALUE"""),0.0)</f>
        <v>0</v>
      </c>
      <c r="AB22" s="26">
        <f>IFERROR(__xludf.DUMMYFUNCTION("""COMPUTED_VALUE"""),0.0)</f>
        <v>0</v>
      </c>
      <c r="AC22" s="26">
        <f>IFERROR(__xludf.DUMMYFUNCTION("""COMPUTED_VALUE"""),0.0)</f>
        <v>0</v>
      </c>
      <c r="AD22" s="26">
        <f>IFERROR(__xludf.DUMMYFUNCTION("""COMPUTED_VALUE"""),0.0)</f>
        <v>0</v>
      </c>
      <c r="AE22" s="26">
        <f>IFERROR(__xludf.DUMMYFUNCTION("""COMPUTED_VALUE"""),0.0)</f>
        <v>0</v>
      </c>
    </row>
    <row r="23">
      <c r="A23" s="26">
        <f>IFERROR(__xludf.DUMMYFUNCTION("""COMPUTED_VALUE"""),96.0)</f>
        <v>96</v>
      </c>
      <c r="B23" s="26">
        <f>IFERROR(__xludf.DUMMYFUNCTION("""COMPUTED_VALUE"""),0.0)</f>
        <v>0</v>
      </c>
      <c r="C23" s="26">
        <f>IFERROR(__xludf.DUMMYFUNCTION("""COMPUTED_VALUE"""),0.0)</f>
        <v>0</v>
      </c>
      <c r="D23" s="26">
        <f>IFERROR(__xludf.DUMMYFUNCTION("""COMPUTED_VALUE"""),0.0)</f>
        <v>0</v>
      </c>
      <c r="E23" s="26">
        <f>IFERROR(__xludf.DUMMYFUNCTION("""COMPUTED_VALUE"""),38.0)</f>
        <v>38</v>
      </c>
      <c r="F23" s="26">
        <f>IFERROR(__xludf.DUMMYFUNCTION("""COMPUTED_VALUE"""),0.0)</f>
        <v>0</v>
      </c>
      <c r="G23" s="26">
        <f>IFERROR(__xludf.DUMMYFUNCTION("""COMPUTED_VALUE"""),0.0)</f>
        <v>0</v>
      </c>
      <c r="H23" s="26">
        <f>IFERROR(__xludf.DUMMYFUNCTION("""COMPUTED_VALUE"""),0.0)</f>
        <v>0</v>
      </c>
      <c r="I23" s="26">
        <f>IFERROR(__xludf.DUMMYFUNCTION("""COMPUTED_VALUE"""),0.0)</f>
        <v>0</v>
      </c>
      <c r="J23" s="26">
        <f>IFERROR(__xludf.DUMMYFUNCTION("""COMPUTED_VALUE"""),0.0)</f>
        <v>0</v>
      </c>
      <c r="K23" s="26">
        <f>IFERROR(__xludf.DUMMYFUNCTION("""COMPUTED_VALUE"""),0.0)</f>
        <v>0</v>
      </c>
      <c r="L23" s="26">
        <f>IFERROR(__xludf.DUMMYFUNCTION("""COMPUTED_VALUE"""),0.0)</f>
        <v>0</v>
      </c>
      <c r="M23" s="26"/>
      <c r="N23" s="26"/>
      <c r="O23" s="26"/>
      <c r="P23" s="26"/>
      <c r="Q23" s="26"/>
      <c r="R23" s="26">
        <f>IFERROR(__xludf.DUMMYFUNCTION("""COMPUTED_VALUE"""),134.0)</f>
        <v>134</v>
      </c>
      <c r="S23" s="26">
        <f>IFERROR(__xludf.DUMMYFUNCTION("""COMPUTED_VALUE"""),90210.0)</f>
        <v>90210</v>
      </c>
      <c r="T23" s="26">
        <f>IFERROR(__xludf.DUMMYFUNCTION("""COMPUTED_VALUE"""),22780.0)</f>
        <v>22780</v>
      </c>
      <c r="U23" s="26">
        <f>IFERROR(__xludf.DUMMYFUNCTION("""COMPUTED_VALUE"""),36540.76999999999)</f>
        <v>36540.77</v>
      </c>
      <c r="V23" s="26">
        <f>IFERROR(__xludf.DUMMYFUNCTION("""COMPUTED_VALUE"""),0.0)</f>
        <v>0</v>
      </c>
      <c r="W23" s="26">
        <f>IFERROR(__xludf.DUMMYFUNCTION("""COMPUTED_VALUE"""),0.0)</f>
        <v>0</v>
      </c>
      <c r="X23" s="26">
        <f>IFERROR(__xludf.DUMMYFUNCTION("""COMPUTED_VALUE"""),13760.76999999999)</f>
        <v>13760.77</v>
      </c>
      <c r="Y23" s="26">
        <f>IFERROR(__xludf.DUMMYFUNCTION("""COMPUTED_VALUE"""),13760.76999999999)</f>
        <v>13760.77</v>
      </c>
      <c r="Z23" s="26">
        <f>IFERROR(__xludf.DUMMYFUNCTION("""COMPUTED_VALUE"""),90210.0)</f>
        <v>90210</v>
      </c>
      <c r="AA23" s="26">
        <f>IFERROR(__xludf.DUMMYFUNCTION("""COMPUTED_VALUE"""),39224.72999999998)</f>
        <v>39224.73</v>
      </c>
      <c r="AB23" s="26">
        <f>IFERROR(__xludf.DUMMYFUNCTION("""COMPUTED_VALUE"""),53669.22999999998)</f>
        <v>53669.23</v>
      </c>
      <c r="AC23" s="26">
        <f>IFERROR(__xludf.DUMMYFUNCTION("""COMPUTED_VALUE"""),0.0)</f>
        <v>0</v>
      </c>
      <c r="AD23" s="26">
        <f>IFERROR(__xludf.DUMMYFUNCTION("""COMPUTED_VALUE"""),2684.070000000001)</f>
        <v>2684.07</v>
      </c>
      <c r="AE23" s="26">
        <f>IFERROR(__xludf.DUMMYFUNCTION("""COMPUTED_VALUE"""),50985.27000000007)</f>
        <v>50985.27</v>
      </c>
    </row>
    <row r="24">
      <c r="A24" s="26">
        <f>IFERROR(__xludf.DUMMYFUNCTION("""COMPUTED_VALUE"""),17.0)</f>
        <v>17</v>
      </c>
      <c r="B24" s="26">
        <f>IFERROR(__xludf.DUMMYFUNCTION("""COMPUTED_VALUE"""),0.0)</f>
        <v>0</v>
      </c>
      <c r="C24" s="26">
        <f>IFERROR(__xludf.DUMMYFUNCTION("""COMPUTED_VALUE"""),0.0)</f>
        <v>0</v>
      </c>
      <c r="D24" s="26">
        <f>IFERROR(__xludf.DUMMYFUNCTION("""COMPUTED_VALUE"""),0.0)</f>
        <v>0</v>
      </c>
      <c r="E24" s="26">
        <f>IFERROR(__xludf.DUMMYFUNCTION("""COMPUTED_VALUE"""),99.0)</f>
        <v>99</v>
      </c>
      <c r="F24" s="26">
        <f>IFERROR(__xludf.DUMMYFUNCTION("""COMPUTED_VALUE"""),0.0)</f>
        <v>0</v>
      </c>
      <c r="G24" s="26">
        <f>IFERROR(__xludf.DUMMYFUNCTION("""COMPUTED_VALUE"""),0.0)</f>
        <v>0</v>
      </c>
      <c r="H24" s="26">
        <f>IFERROR(__xludf.DUMMYFUNCTION("""COMPUTED_VALUE"""),0.0)</f>
        <v>0</v>
      </c>
      <c r="I24" s="26">
        <f>IFERROR(__xludf.DUMMYFUNCTION("""COMPUTED_VALUE"""),0.0)</f>
        <v>0</v>
      </c>
      <c r="J24" s="26">
        <f>IFERROR(__xludf.DUMMYFUNCTION("""COMPUTED_VALUE"""),0.0)</f>
        <v>0</v>
      </c>
      <c r="K24" s="26">
        <f>IFERROR(__xludf.DUMMYFUNCTION("""COMPUTED_VALUE"""),0.0)</f>
        <v>0</v>
      </c>
      <c r="L24" s="26">
        <f>IFERROR(__xludf.DUMMYFUNCTION("""COMPUTED_VALUE"""),0.0)</f>
        <v>0</v>
      </c>
      <c r="M24" s="26"/>
      <c r="N24" s="26"/>
      <c r="O24" s="26"/>
      <c r="P24" s="26"/>
      <c r="Q24" s="26"/>
      <c r="R24" s="26">
        <f>IFERROR(__xludf.DUMMYFUNCTION("""COMPUTED_VALUE"""),116.0)</f>
        <v>116</v>
      </c>
      <c r="S24" s="26">
        <f>IFERROR(__xludf.DUMMYFUNCTION("""COMPUTED_VALUE"""),195928.0)</f>
        <v>195928</v>
      </c>
      <c r="T24" s="26">
        <f>IFERROR(__xludf.DUMMYFUNCTION("""COMPUTED_VALUE"""),19720.0)</f>
        <v>19720</v>
      </c>
      <c r="U24" s="26">
        <f>IFERROR(__xludf.DUMMYFUNCTION("""COMPUTED_VALUE"""),49607.22999999996)</f>
        <v>49607.23</v>
      </c>
      <c r="V24" s="26">
        <f>IFERROR(__xludf.DUMMYFUNCTION("""COMPUTED_VALUE"""),0.0)</f>
        <v>0</v>
      </c>
      <c r="W24" s="26">
        <f>IFERROR(__xludf.DUMMYFUNCTION("""COMPUTED_VALUE"""),0.0)</f>
        <v>0</v>
      </c>
      <c r="X24" s="26">
        <f>IFERROR(__xludf.DUMMYFUNCTION("""COMPUTED_VALUE"""),29887.22999999996)</f>
        <v>29887.23</v>
      </c>
      <c r="Y24" s="26">
        <f>IFERROR(__xludf.DUMMYFUNCTION("""COMPUTED_VALUE"""),29887.22999999996)</f>
        <v>29887.23</v>
      </c>
      <c r="Z24" s="26">
        <f>IFERROR(__xludf.DUMMYFUNCTION("""COMPUTED_VALUE"""),411178.0)</f>
        <v>411178</v>
      </c>
      <c r="AA24" s="26">
        <f>IFERROR(__xludf.DUMMYFUNCTION("""COMPUTED_VALUE"""),118743.16000000019)</f>
        <v>118743.16</v>
      </c>
      <c r="AB24" s="26">
        <f>IFERROR(__xludf.DUMMYFUNCTION("""COMPUTED_VALUE"""),307825.9199999991)</f>
        <v>307825.92</v>
      </c>
      <c r="AC24" s="26">
        <f>IFERROR(__xludf.DUMMYFUNCTION("""COMPUTED_VALUE"""),0.0)</f>
        <v>0</v>
      </c>
      <c r="AD24" s="26">
        <f>IFERROR(__xludf.DUMMYFUNCTION("""COMPUTED_VALUE"""),15391.07999999997)</f>
        <v>15391.08</v>
      </c>
      <c r="AE24" s="26">
        <f>IFERROR(__xludf.DUMMYFUNCTION("""COMPUTED_VALUE"""),292434.83999999985)</f>
        <v>292434.84</v>
      </c>
    </row>
    <row r="25">
      <c r="A25" s="26">
        <f>IFERROR(__xludf.DUMMYFUNCTION("""COMPUTED_VALUE"""),0.0)</f>
        <v>0</v>
      </c>
      <c r="B25" s="26">
        <f>IFERROR(__xludf.DUMMYFUNCTION("""COMPUTED_VALUE"""),0.0)</f>
        <v>0</v>
      </c>
      <c r="C25" s="26">
        <f>IFERROR(__xludf.DUMMYFUNCTION("""COMPUTED_VALUE"""),0.0)</f>
        <v>0</v>
      </c>
      <c r="D25" s="26">
        <f>IFERROR(__xludf.DUMMYFUNCTION("""COMPUTED_VALUE"""),0.0)</f>
        <v>0</v>
      </c>
      <c r="E25" s="26">
        <f>IFERROR(__xludf.DUMMYFUNCTION("""COMPUTED_VALUE"""),0.0)</f>
        <v>0</v>
      </c>
      <c r="F25" s="26">
        <f>IFERROR(__xludf.DUMMYFUNCTION("""COMPUTED_VALUE"""),0.0)</f>
        <v>0</v>
      </c>
      <c r="G25" s="26">
        <f>IFERROR(__xludf.DUMMYFUNCTION("""COMPUTED_VALUE"""),0.0)</f>
        <v>0</v>
      </c>
      <c r="H25" s="26">
        <f>IFERROR(__xludf.DUMMYFUNCTION("""COMPUTED_VALUE"""),0.0)</f>
        <v>0</v>
      </c>
      <c r="I25" s="26">
        <f>IFERROR(__xludf.DUMMYFUNCTION("""COMPUTED_VALUE"""),0.0)</f>
        <v>0</v>
      </c>
      <c r="J25" s="26">
        <f>IFERROR(__xludf.DUMMYFUNCTION("""COMPUTED_VALUE"""),0.0)</f>
        <v>0</v>
      </c>
      <c r="K25" s="26">
        <f>IFERROR(__xludf.DUMMYFUNCTION("""COMPUTED_VALUE"""),0.0)</f>
        <v>0</v>
      </c>
      <c r="L25" s="26">
        <f>IFERROR(__xludf.DUMMYFUNCTION("""COMPUTED_VALUE"""),0.0)</f>
        <v>0</v>
      </c>
      <c r="M25" s="26"/>
      <c r="N25" s="26"/>
      <c r="O25" s="26"/>
      <c r="P25" s="26"/>
      <c r="Q25" s="26"/>
      <c r="R25" s="26">
        <f>IFERROR(__xludf.DUMMYFUNCTION("""COMPUTED_VALUE"""),0.0)</f>
        <v>0</v>
      </c>
      <c r="S25" s="26">
        <f>IFERROR(__xludf.DUMMYFUNCTION("""COMPUTED_VALUE"""),0.0)</f>
        <v>0</v>
      </c>
      <c r="T25" s="26">
        <f>IFERROR(__xludf.DUMMYFUNCTION("""COMPUTED_VALUE"""),0.0)</f>
        <v>0</v>
      </c>
      <c r="U25" s="26">
        <f>IFERROR(__xludf.DUMMYFUNCTION("""COMPUTED_VALUE"""),0.0)</f>
        <v>0</v>
      </c>
      <c r="V25" s="26">
        <f>IFERROR(__xludf.DUMMYFUNCTION("""COMPUTED_VALUE"""),0.0)</f>
        <v>0</v>
      </c>
      <c r="W25" s="26">
        <f>IFERROR(__xludf.DUMMYFUNCTION("""COMPUTED_VALUE"""),0.0)</f>
        <v>0</v>
      </c>
      <c r="X25" s="26">
        <f>IFERROR(__xludf.DUMMYFUNCTION("""COMPUTED_VALUE"""),0.0)</f>
        <v>0</v>
      </c>
      <c r="Y25" s="26">
        <f>IFERROR(__xludf.DUMMYFUNCTION("""COMPUTED_VALUE"""),0.0)</f>
        <v>0</v>
      </c>
      <c r="Z25" s="26">
        <f>IFERROR(__xludf.DUMMYFUNCTION("""COMPUTED_VALUE"""),0.0)</f>
        <v>0</v>
      </c>
      <c r="AA25" s="26">
        <f>IFERROR(__xludf.DUMMYFUNCTION("""COMPUTED_VALUE"""),0.0)</f>
        <v>0</v>
      </c>
      <c r="AB25" s="26">
        <f>IFERROR(__xludf.DUMMYFUNCTION("""COMPUTED_VALUE"""),0.0)</f>
        <v>0</v>
      </c>
      <c r="AC25" s="26">
        <f>IFERROR(__xludf.DUMMYFUNCTION("""COMPUTED_VALUE"""),0.0)</f>
        <v>0</v>
      </c>
      <c r="AD25" s="26">
        <f>IFERROR(__xludf.DUMMYFUNCTION("""COMPUTED_VALUE"""),0.0)</f>
        <v>0</v>
      </c>
      <c r="AE25" s="26">
        <f>IFERROR(__xludf.DUMMYFUNCTION("""COMPUTED_VALUE"""),0.0)</f>
        <v>0</v>
      </c>
    </row>
    <row r="26">
      <c r="A26" s="26">
        <f>IFERROR(__xludf.DUMMYFUNCTION("""COMPUTED_VALUE"""),0.0)</f>
        <v>0</v>
      </c>
      <c r="B26" s="26">
        <f>IFERROR(__xludf.DUMMYFUNCTION("""COMPUTED_VALUE"""),0.0)</f>
        <v>0</v>
      </c>
      <c r="C26" s="26">
        <f>IFERROR(__xludf.DUMMYFUNCTION("""COMPUTED_VALUE"""),0.0)</f>
        <v>0</v>
      </c>
      <c r="D26" s="26">
        <f>IFERROR(__xludf.DUMMYFUNCTION("""COMPUTED_VALUE"""),0.0)</f>
        <v>0</v>
      </c>
      <c r="E26" s="26">
        <f>IFERROR(__xludf.DUMMYFUNCTION("""COMPUTED_VALUE"""),0.0)</f>
        <v>0</v>
      </c>
      <c r="F26" s="26">
        <f>IFERROR(__xludf.DUMMYFUNCTION("""COMPUTED_VALUE"""),0.0)</f>
        <v>0</v>
      </c>
      <c r="G26" s="26">
        <f>IFERROR(__xludf.DUMMYFUNCTION("""COMPUTED_VALUE"""),0.0)</f>
        <v>0</v>
      </c>
      <c r="H26" s="26">
        <f>IFERROR(__xludf.DUMMYFUNCTION("""COMPUTED_VALUE"""),0.0)</f>
        <v>0</v>
      </c>
      <c r="I26" s="26">
        <f>IFERROR(__xludf.DUMMYFUNCTION("""COMPUTED_VALUE"""),0.0)</f>
        <v>0</v>
      </c>
      <c r="J26" s="26">
        <f>IFERROR(__xludf.DUMMYFUNCTION("""COMPUTED_VALUE"""),0.0)</f>
        <v>0</v>
      </c>
      <c r="K26" s="26">
        <f>IFERROR(__xludf.DUMMYFUNCTION("""COMPUTED_VALUE"""),0.0)</f>
        <v>0</v>
      </c>
      <c r="L26" s="26">
        <f>IFERROR(__xludf.DUMMYFUNCTION("""COMPUTED_VALUE"""),0.0)</f>
        <v>0</v>
      </c>
      <c r="M26" s="26"/>
      <c r="N26" s="26"/>
      <c r="O26" s="26"/>
      <c r="P26" s="26"/>
      <c r="Q26" s="26"/>
      <c r="R26" s="26">
        <f>IFERROR(__xludf.DUMMYFUNCTION("""COMPUTED_VALUE"""),0.0)</f>
        <v>0</v>
      </c>
      <c r="S26" s="26">
        <f>IFERROR(__xludf.DUMMYFUNCTION("""COMPUTED_VALUE"""),0.0)</f>
        <v>0</v>
      </c>
      <c r="T26" s="26">
        <f>IFERROR(__xludf.DUMMYFUNCTION("""COMPUTED_VALUE"""),0.0)</f>
        <v>0</v>
      </c>
      <c r="U26" s="26">
        <f>IFERROR(__xludf.DUMMYFUNCTION("""COMPUTED_VALUE"""),0.0)</f>
        <v>0</v>
      </c>
      <c r="V26" s="26">
        <f>IFERROR(__xludf.DUMMYFUNCTION("""COMPUTED_VALUE"""),0.0)</f>
        <v>0</v>
      </c>
      <c r="W26" s="26">
        <f>IFERROR(__xludf.DUMMYFUNCTION("""COMPUTED_VALUE"""),0.0)</f>
        <v>0</v>
      </c>
      <c r="X26" s="26">
        <f>IFERROR(__xludf.DUMMYFUNCTION("""COMPUTED_VALUE"""),0.0)</f>
        <v>0</v>
      </c>
      <c r="Y26" s="26">
        <f>IFERROR(__xludf.DUMMYFUNCTION("""COMPUTED_VALUE"""),0.0)</f>
        <v>0</v>
      </c>
      <c r="Z26" s="26">
        <f>IFERROR(__xludf.DUMMYFUNCTION("""COMPUTED_VALUE"""),0.0)</f>
        <v>0</v>
      </c>
      <c r="AA26" s="26">
        <f>IFERROR(__xludf.DUMMYFUNCTION("""COMPUTED_VALUE"""),0.0)</f>
        <v>0</v>
      </c>
      <c r="AB26" s="26">
        <f>IFERROR(__xludf.DUMMYFUNCTION("""COMPUTED_VALUE"""),0.0)</f>
        <v>0</v>
      </c>
      <c r="AC26" s="26">
        <f>IFERROR(__xludf.DUMMYFUNCTION("""COMPUTED_VALUE"""),0.0)</f>
        <v>0</v>
      </c>
      <c r="AD26" s="26">
        <f>IFERROR(__xludf.DUMMYFUNCTION("""COMPUTED_VALUE"""),0.0)</f>
        <v>0</v>
      </c>
      <c r="AE26" s="26">
        <f>IFERROR(__xludf.DUMMYFUNCTION("""COMPUTED_VALUE"""),0.0)</f>
        <v>0</v>
      </c>
    </row>
    <row r="27">
      <c r="A27" s="26">
        <f>IFERROR(__xludf.DUMMYFUNCTION("""COMPUTED_VALUE"""),160.0)</f>
        <v>160</v>
      </c>
      <c r="B27" s="26">
        <f>IFERROR(__xludf.DUMMYFUNCTION("""COMPUTED_VALUE"""),0.0)</f>
        <v>0</v>
      </c>
      <c r="C27" s="26">
        <f>IFERROR(__xludf.DUMMYFUNCTION("""COMPUTED_VALUE"""),0.0)</f>
        <v>0</v>
      </c>
      <c r="D27" s="26">
        <f>IFERROR(__xludf.DUMMYFUNCTION("""COMPUTED_VALUE"""),0.0)</f>
        <v>0</v>
      </c>
      <c r="E27" s="26">
        <f>IFERROR(__xludf.DUMMYFUNCTION("""COMPUTED_VALUE"""),0.0)</f>
        <v>0</v>
      </c>
      <c r="F27" s="26">
        <f>IFERROR(__xludf.DUMMYFUNCTION("""COMPUTED_VALUE"""),0.0)</f>
        <v>0</v>
      </c>
      <c r="G27" s="26">
        <f>IFERROR(__xludf.DUMMYFUNCTION("""COMPUTED_VALUE"""),0.0)</f>
        <v>0</v>
      </c>
      <c r="H27" s="26">
        <f>IFERROR(__xludf.DUMMYFUNCTION("""COMPUTED_VALUE"""),0.0)</f>
        <v>0</v>
      </c>
      <c r="I27" s="26">
        <f>IFERROR(__xludf.DUMMYFUNCTION("""COMPUTED_VALUE"""),0.0)</f>
        <v>0</v>
      </c>
      <c r="J27" s="26">
        <f>IFERROR(__xludf.DUMMYFUNCTION("""COMPUTED_VALUE"""),0.0)</f>
        <v>0</v>
      </c>
      <c r="K27" s="26">
        <f>IFERROR(__xludf.DUMMYFUNCTION("""COMPUTED_VALUE"""),0.0)</f>
        <v>0</v>
      </c>
      <c r="L27" s="26">
        <f>IFERROR(__xludf.DUMMYFUNCTION("""COMPUTED_VALUE"""),0.0)</f>
        <v>0</v>
      </c>
      <c r="M27" s="26"/>
      <c r="N27" s="26"/>
      <c r="O27" s="26"/>
      <c r="P27" s="26"/>
      <c r="Q27" s="26"/>
      <c r="R27" s="26">
        <f>IFERROR(__xludf.DUMMYFUNCTION("""COMPUTED_VALUE"""),160.0)</f>
        <v>160</v>
      </c>
      <c r="S27" s="26">
        <f>IFERROR(__xludf.DUMMYFUNCTION("""COMPUTED_VALUE"""),78400.0)</f>
        <v>78400</v>
      </c>
      <c r="T27" s="26">
        <f>IFERROR(__xludf.DUMMYFUNCTION("""COMPUTED_VALUE"""),27200.0)</f>
        <v>27200</v>
      </c>
      <c r="U27" s="26">
        <f>IFERROR(__xludf.DUMMYFUNCTION("""COMPUTED_VALUE"""),39160.0)</f>
        <v>39160</v>
      </c>
      <c r="V27" s="26">
        <f>IFERROR(__xludf.DUMMYFUNCTION("""COMPUTED_VALUE"""),0.0)</f>
        <v>0</v>
      </c>
      <c r="W27" s="26">
        <f>IFERROR(__xludf.DUMMYFUNCTION("""COMPUTED_VALUE"""),0.0)</f>
        <v>0</v>
      </c>
      <c r="X27" s="26">
        <f>IFERROR(__xludf.DUMMYFUNCTION("""COMPUTED_VALUE"""),11960.0)</f>
        <v>11960</v>
      </c>
      <c r="Y27" s="26">
        <f>IFERROR(__xludf.DUMMYFUNCTION("""COMPUTED_VALUE"""),11960.0)</f>
        <v>11960</v>
      </c>
      <c r="Z27" s="26">
        <f>IFERROR(__xludf.DUMMYFUNCTION("""COMPUTED_VALUE"""),78400.0)</f>
        <v>78400</v>
      </c>
      <c r="AA27" s="26">
        <f>IFERROR(__xludf.DUMMYFUNCTION("""COMPUTED_VALUE"""),41121.59999999998)</f>
        <v>41121.6</v>
      </c>
      <c r="AB27" s="26">
        <f>IFERROR(__xludf.DUMMYFUNCTION("""COMPUTED_VALUE"""),39240.0)</f>
        <v>39240</v>
      </c>
      <c r="AC27" s="26">
        <f>IFERROR(__xludf.DUMMYFUNCTION("""COMPUTED_VALUE"""),0.0)</f>
        <v>0</v>
      </c>
      <c r="AD27" s="26">
        <f>IFERROR(__xludf.DUMMYFUNCTION("""COMPUTED_VALUE"""),1961.5999999999988)</f>
        <v>1961.6</v>
      </c>
      <c r="AE27" s="26">
        <f>IFERROR(__xludf.DUMMYFUNCTION("""COMPUTED_VALUE"""),37278.40000000006)</f>
        <v>37278.4</v>
      </c>
    </row>
    <row r="28">
      <c r="A28" s="26">
        <f>IFERROR(__xludf.DUMMYFUNCTION("""COMPUTED_VALUE"""),0.0)</f>
        <v>0</v>
      </c>
      <c r="B28" s="26">
        <f>IFERROR(__xludf.DUMMYFUNCTION("""COMPUTED_VALUE"""),0.0)</f>
        <v>0</v>
      </c>
      <c r="C28" s="26">
        <f>IFERROR(__xludf.DUMMYFUNCTION("""COMPUTED_VALUE"""),0.0)</f>
        <v>0</v>
      </c>
      <c r="D28" s="26">
        <f>IFERROR(__xludf.DUMMYFUNCTION("""COMPUTED_VALUE"""),0.0)</f>
        <v>0</v>
      </c>
      <c r="E28" s="26">
        <f>IFERROR(__xludf.DUMMYFUNCTION("""COMPUTED_VALUE"""),0.0)</f>
        <v>0</v>
      </c>
      <c r="F28" s="26">
        <f>IFERROR(__xludf.DUMMYFUNCTION("""COMPUTED_VALUE"""),0.0)</f>
        <v>0</v>
      </c>
      <c r="G28" s="26">
        <f>IFERROR(__xludf.DUMMYFUNCTION("""COMPUTED_VALUE"""),0.0)</f>
        <v>0</v>
      </c>
      <c r="H28" s="26">
        <f>IFERROR(__xludf.DUMMYFUNCTION("""COMPUTED_VALUE"""),0.0)</f>
        <v>0</v>
      </c>
      <c r="I28" s="26">
        <f>IFERROR(__xludf.DUMMYFUNCTION("""COMPUTED_VALUE"""),0.0)</f>
        <v>0</v>
      </c>
      <c r="J28" s="26">
        <f>IFERROR(__xludf.DUMMYFUNCTION("""COMPUTED_VALUE"""),0.0)</f>
        <v>0</v>
      </c>
      <c r="K28" s="26">
        <f>IFERROR(__xludf.DUMMYFUNCTION("""COMPUTED_VALUE"""),0.0)</f>
        <v>0</v>
      </c>
      <c r="L28" s="26">
        <f>IFERROR(__xludf.DUMMYFUNCTION("""COMPUTED_VALUE"""),0.0)</f>
        <v>0</v>
      </c>
      <c r="M28" s="26"/>
      <c r="N28" s="26"/>
      <c r="O28" s="26"/>
      <c r="P28" s="26"/>
      <c r="Q28" s="26"/>
      <c r="R28" s="26">
        <f>IFERROR(__xludf.DUMMYFUNCTION("""COMPUTED_VALUE"""),0.0)</f>
        <v>0</v>
      </c>
      <c r="S28" s="26">
        <f>IFERROR(__xludf.DUMMYFUNCTION("""COMPUTED_VALUE"""),0.0)</f>
        <v>0</v>
      </c>
      <c r="T28" s="26">
        <f>IFERROR(__xludf.DUMMYFUNCTION("""COMPUTED_VALUE"""),0.0)</f>
        <v>0</v>
      </c>
      <c r="U28" s="26">
        <f>IFERROR(__xludf.DUMMYFUNCTION("""COMPUTED_VALUE"""),0.0)</f>
        <v>0</v>
      </c>
      <c r="V28" s="26">
        <f>IFERROR(__xludf.DUMMYFUNCTION("""COMPUTED_VALUE"""),0.0)</f>
        <v>0</v>
      </c>
      <c r="W28" s="26">
        <f>IFERROR(__xludf.DUMMYFUNCTION("""COMPUTED_VALUE"""),0.0)</f>
        <v>0</v>
      </c>
      <c r="X28" s="26">
        <f>IFERROR(__xludf.DUMMYFUNCTION("""COMPUTED_VALUE"""),0.0)</f>
        <v>0</v>
      </c>
      <c r="Y28" s="26">
        <f>IFERROR(__xludf.DUMMYFUNCTION("""COMPUTED_VALUE"""),0.0)</f>
        <v>0</v>
      </c>
      <c r="Z28" s="26">
        <f>IFERROR(__xludf.DUMMYFUNCTION("""COMPUTED_VALUE"""),0.0)</f>
        <v>0</v>
      </c>
      <c r="AA28" s="26">
        <f>IFERROR(__xludf.DUMMYFUNCTION("""COMPUTED_VALUE"""),0.0)</f>
        <v>0</v>
      </c>
      <c r="AB28" s="26">
        <f>IFERROR(__xludf.DUMMYFUNCTION("""COMPUTED_VALUE"""),0.0)</f>
        <v>0</v>
      </c>
      <c r="AC28" s="26">
        <f>IFERROR(__xludf.DUMMYFUNCTION("""COMPUTED_VALUE"""),0.0)</f>
        <v>0</v>
      </c>
      <c r="AD28" s="26">
        <f>IFERROR(__xludf.DUMMYFUNCTION("""COMPUTED_VALUE"""),0.0)</f>
        <v>0</v>
      </c>
      <c r="AE28" s="26">
        <f>IFERROR(__xludf.DUMMYFUNCTION("""COMPUTED_VALUE"""),0.0)</f>
        <v>0</v>
      </c>
    </row>
    <row r="29">
      <c r="A29" s="26">
        <f>IFERROR(__xludf.DUMMYFUNCTION("""COMPUTED_VALUE"""),1.0)</f>
        <v>1</v>
      </c>
      <c r="B29" s="26">
        <f>IFERROR(__xludf.DUMMYFUNCTION("""COMPUTED_VALUE"""),0.0)</f>
        <v>0</v>
      </c>
      <c r="C29" s="26">
        <f>IFERROR(__xludf.DUMMYFUNCTION("""COMPUTED_VALUE"""),0.0)</f>
        <v>0</v>
      </c>
      <c r="D29" s="26">
        <f>IFERROR(__xludf.DUMMYFUNCTION("""COMPUTED_VALUE"""),0.0)</f>
        <v>0</v>
      </c>
      <c r="E29" s="26">
        <f>IFERROR(__xludf.DUMMYFUNCTION("""COMPUTED_VALUE"""),0.0)</f>
        <v>0</v>
      </c>
      <c r="F29" s="26">
        <f>IFERROR(__xludf.DUMMYFUNCTION("""COMPUTED_VALUE"""),0.0)</f>
        <v>0</v>
      </c>
      <c r="G29" s="26">
        <f>IFERROR(__xludf.DUMMYFUNCTION("""COMPUTED_VALUE"""),0.0)</f>
        <v>0</v>
      </c>
      <c r="H29" s="26">
        <f>IFERROR(__xludf.DUMMYFUNCTION("""COMPUTED_VALUE"""),0.0)</f>
        <v>0</v>
      </c>
      <c r="I29" s="26">
        <f>IFERROR(__xludf.DUMMYFUNCTION("""COMPUTED_VALUE"""),0.0)</f>
        <v>0</v>
      </c>
      <c r="J29" s="26">
        <f>IFERROR(__xludf.DUMMYFUNCTION("""COMPUTED_VALUE"""),0.0)</f>
        <v>0</v>
      </c>
      <c r="K29" s="26">
        <f>IFERROR(__xludf.DUMMYFUNCTION("""COMPUTED_VALUE"""),0.0)</f>
        <v>0</v>
      </c>
      <c r="L29" s="26">
        <f>IFERROR(__xludf.DUMMYFUNCTION("""COMPUTED_VALUE"""),0.0)</f>
        <v>0</v>
      </c>
      <c r="M29" s="26"/>
      <c r="N29" s="26"/>
      <c r="O29" s="26"/>
      <c r="P29" s="26"/>
      <c r="Q29" s="26"/>
      <c r="R29" s="26">
        <f>IFERROR(__xludf.DUMMYFUNCTION("""COMPUTED_VALUE"""),1.0)</f>
        <v>1</v>
      </c>
      <c r="S29" s="26">
        <f>IFERROR(__xludf.DUMMYFUNCTION("""COMPUTED_VALUE"""),390.0)</f>
        <v>390</v>
      </c>
      <c r="T29" s="26">
        <f>IFERROR(__xludf.DUMMYFUNCTION("""COMPUTED_VALUE"""),160.0)</f>
        <v>160</v>
      </c>
      <c r="U29" s="26">
        <f>IFERROR(__xludf.DUMMYFUNCTION("""COMPUTED_VALUE"""),219.49)</f>
        <v>219.49</v>
      </c>
      <c r="V29" s="26">
        <f>IFERROR(__xludf.DUMMYFUNCTION("""COMPUTED_VALUE"""),0.0)</f>
        <v>0</v>
      </c>
      <c r="W29" s="26">
        <f>IFERROR(__xludf.DUMMYFUNCTION("""COMPUTED_VALUE"""),0.0)</f>
        <v>0</v>
      </c>
      <c r="X29" s="26">
        <f>IFERROR(__xludf.DUMMYFUNCTION("""COMPUTED_VALUE"""),59.49)</f>
        <v>59.49</v>
      </c>
      <c r="Y29" s="26">
        <f>IFERROR(__xludf.DUMMYFUNCTION("""COMPUTED_VALUE"""),59.49)</f>
        <v>59.49</v>
      </c>
      <c r="Z29" s="26">
        <f>IFERROR(__xludf.DUMMYFUNCTION("""COMPUTED_VALUE"""),0.0)</f>
        <v>0</v>
      </c>
      <c r="AA29" s="26">
        <f>IFERROR(__xludf.DUMMYFUNCTION("""COMPUTED_VALUE"""),0.0)</f>
        <v>0</v>
      </c>
      <c r="AB29" s="26">
        <f>IFERROR(__xludf.DUMMYFUNCTION("""COMPUTED_VALUE"""),0.0)</f>
        <v>0</v>
      </c>
      <c r="AC29" s="26">
        <f>IFERROR(__xludf.DUMMYFUNCTION("""COMPUTED_VALUE"""),0.0)</f>
        <v>0</v>
      </c>
      <c r="AD29" s="26">
        <f>IFERROR(__xludf.DUMMYFUNCTION("""COMPUTED_VALUE"""),0.0)</f>
        <v>0</v>
      </c>
      <c r="AE29" s="26">
        <f>IFERROR(__xludf.DUMMYFUNCTION("""COMPUTED_VALUE"""),0.0)</f>
        <v>0</v>
      </c>
    </row>
    <row r="30">
      <c r="A30" s="26">
        <f>IFERROR(__xludf.DUMMYFUNCTION("""COMPUTED_VALUE"""),20.0)</f>
        <v>20</v>
      </c>
      <c r="B30" s="26">
        <f>IFERROR(__xludf.DUMMYFUNCTION("""COMPUTED_VALUE"""),0.0)</f>
        <v>0</v>
      </c>
      <c r="C30" s="26">
        <f>IFERROR(__xludf.DUMMYFUNCTION("""COMPUTED_VALUE"""),0.0)</f>
        <v>0</v>
      </c>
      <c r="D30" s="26">
        <f>IFERROR(__xludf.DUMMYFUNCTION("""COMPUTED_VALUE"""),0.0)</f>
        <v>0</v>
      </c>
      <c r="E30" s="26">
        <f>IFERROR(__xludf.DUMMYFUNCTION("""COMPUTED_VALUE"""),0.0)</f>
        <v>0</v>
      </c>
      <c r="F30" s="26">
        <f>IFERROR(__xludf.DUMMYFUNCTION("""COMPUTED_VALUE"""),0.0)</f>
        <v>0</v>
      </c>
      <c r="G30" s="26">
        <f>IFERROR(__xludf.DUMMYFUNCTION("""COMPUTED_VALUE"""),0.0)</f>
        <v>0</v>
      </c>
      <c r="H30" s="26">
        <f>IFERROR(__xludf.DUMMYFUNCTION("""COMPUTED_VALUE"""),0.0)</f>
        <v>0</v>
      </c>
      <c r="I30" s="26">
        <f>IFERROR(__xludf.DUMMYFUNCTION("""COMPUTED_VALUE"""),0.0)</f>
        <v>0</v>
      </c>
      <c r="J30" s="26">
        <f>IFERROR(__xludf.DUMMYFUNCTION("""COMPUTED_VALUE"""),0.0)</f>
        <v>0</v>
      </c>
      <c r="K30" s="26">
        <f>IFERROR(__xludf.DUMMYFUNCTION("""COMPUTED_VALUE"""),0.0)</f>
        <v>0</v>
      </c>
      <c r="L30" s="26">
        <f>IFERROR(__xludf.DUMMYFUNCTION("""COMPUTED_VALUE"""),0.0)</f>
        <v>0</v>
      </c>
      <c r="M30" s="26"/>
      <c r="N30" s="26"/>
      <c r="O30" s="26"/>
      <c r="P30" s="26"/>
      <c r="Q30" s="26"/>
      <c r="R30" s="26">
        <f>IFERROR(__xludf.DUMMYFUNCTION("""COMPUTED_VALUE"""),20.0)</f>
        <v>20</v>
      </c>
      <c r="S30" s="26">
        <f>IFERROR(__xludf.DUMMYFUNCTION("""COMPUTED_VALUE"""),7800.0)</f>
        <v>7800</v>
      </c>
      <c r="T30" s="26">
        <f>IFERROR(__xludf.DUMMYFUNCTION("""COMPUTED_VALUE"""),3200.0)</f>
        <v>3200</v>
      </c>
      <c r="U30" s="26">
        <f>IFERROR(__xludf.DUMMYFUNCTION("""COMPUTED_VALUE"""),4389.8)</f>
        <v>4389.8</v>
      </c>
      <c r="V30" s="26">
        <f>IFERROR(__xludf.DUMMYFUNCTION("""COMPUTED_VALUE"""),0.0)</f>
        <v>0</v>
      </c>
      <c r="W30" s="26">
        <f>IFERROR(__xludf.DUMMYFUNCTION("""COMPUTED_VALUE"""),0.0)</f>
        <v>0</v>
      </c>
      <c r="X30" s="26">
        <f>IFERROR(__xludf.DUMMYFUNCTION("""COMPUTED_VALUE"""),1189.8)</f>
        <v>1189.8</v>
      </c>
      <c r="Y30" s="26">
        <f>IFERROR(__xludf.DUMMYFUNCTION("""COMPUTED_VALUE"""),1189.8)</f>
        <v>1189.8</v>
      </c>
      <c r="Z30" s="26">
        <f>IFERROR(__xludf.DUMMYFUNCTION("""COMPUTED_VALUE"""),0.0)</f>
        <v>0</v>
      </c>
      <c r="AA30" s="26">
        <f>IFERROR(__xludf.DUMMYFUNCTION("""COMPUTED_VALUE"""),0.0)</f>
        <v>0</v>
      </c>
      <c r="AB30" s="26">
        <f>IFERROR(__xludf.DUMMYFUNCTION("""COMPUTED_VALUE"""),0.0)</f>
        <v>0</v>
      </c>
      <c r="AC30" s="26">
        <f>IFERROR(__xludf.DUMMYFUNCTION("""COMPUTED_VALUE"""),0.0)</f>
        <v>0</v>
      </c>
      <c r="AD30" s="26">
        <f>IFERROR(__xludf.DUMMYFUNCTION("""COMPUTED_VALUE"""),0.0)</f>
        <v>0</v>
      </c>
      <c r="AE30" s="26">
        <f>IFERROR(__xludf.DUMMYFUNCTION("""COMPUTED_VALUE"""),0.0)</f>
        <v>0</v>
      </c>
    </row>
    <row r="31">
      <c r="A31" s="26">
        <f>IFERROR(__xludf.DUMMYFUNCTION("""COMPUTED_VALUE"""),13.0)</f>
        <v>13</v>
      </c>
      <c r="B31" s="26">
        <f>IFERROR(__xludf.DUMMYFUNCTION("""COMPUTED_VALUE"""),0.0)</f>
        <v>0</v>
      </c>
      <c r="C31" s="26">
        <f>IFERROR(__xludf.DUMMYFUNCTION("""COMPUTED_VALUE"""),0.0)</f>
        <v>0</v>
      </c>
      <c r="D31" s="26">
        <f>IFERROR(__xludf.DUMMYFUNCTION("""COMPUTED_VALUE"""),0.0)</f>
        <v>0</v>
      </c>
      <c r="E31" s="26">
        <f>IFERROR(__xludf.DUMMYFUNCTION("""COMPUTED_VALUE"""),0.0)</f>
        <v>0</v>
      </c>
      <c r="F31" s="26">
        <f>IFERROR(__xludf.DUMMYFUNCTION("""COMPUTED_VALUE"""),0.0)</f>
        <v>0</v>
      </c>
      <c r="G31" s="26">
        <f>IFERROR(__xludf.DUMMYFUNCTION("""COMPUTED_VALUE"""),0.0)</f>
        <v>0</v>
      </c>
      <c r="H31" s="26">
        <f>IFERROR(__xludf.DUMMYFUNCTION("""COMPUTED_VALUE"""),0.0)</f>
        <v>0</v>
      </c>
      <c r="I31" s="26">
        <f>IFERROR(__xludf.DUMMYFUNCTION("""COMPUTED_VALUE"""),0.0)</f>
        <v>0</v>
      </c>
      <c r="J31" s="26">
        <f>IFERROR(__xludf.DUMMYFUNCTION("""COMPUTED_VALUE"""),0.0)</f>
        <v>0</v>
      </c>
      <c r="K31" s="26">
        <f>IFERROR(__xludf.DUMMYFUNCTION("""COMPUTED_VALUE"""),0.0)</f>
        <v>0</v>
      </c>
      <c r="L31" s="26">
        <f>IFERROR(__xludf.DUMMYFUNCTION("""COMPUTED_VALUE"""),0.0)</f>
        <v>0</v>
      </c>
      <c r="M31" s="26"/>
      <c r="N31" s="26"/>
      <c r="O31" s="26"/>
      <c r="P31" s="26"/>
      <c r="Q31" s="26"/>
      <c r="R31" s="26">
        <f>IFERROR(__xludf.DUMMYFUNCTION("""COMPUTED_VALUE"""),13.0)</f>
        <v>13</v>
      </c>
      <c r="S31" s="26">
        <f>IFERROR(__xludf.DUMMYFUNCTION("""COMPUTED_VALUE"""),6370.0)</f>
        <v>6370</v>
      </c>
      <c r="T31" s="26">
        <f>IFERROR(__xludf.DUMMYFUNCTION("""COMPUTED_VALUE"""),2080.0)</f>
        <v>2080</v>
      </c>
      <c r="U31" s="26">
        <f>IFERROR(__xludf.DUMMYFUNCTION("""COMPUTED_VALUE"""),3051.75)</f>
        <v>3051.75</v>
      </c>
      <c r="V31" s="26">
        <f>IFERROR(__xludf.DUMMYFUNCTION("""COMPUTED_VALUE"""),0.0)</f>
        <v>0</v>
      </c>
      <c r="W31" s="26">
        <f>IFERROR(__xludf.DUMMYFUNCTION("""COMPUTED_VALUE"""),0.0)</f>
        <v>0</v>
      </c>
      <c r="X31" s="26">
        <f>IFERROR(__xludf.DUMMYFUNCTION("""COMPUTED_VALUE"""),971.75)</f>
        <v>971.75</v>
      </c>
      <c r="Y31" s="26">
        <f>IFERROR(__xludf.DUMMYFUNCTION("""COMPUTED_VALUE"""),971.75)</f>
        <v>971.75</v>
      </c>
      <c r="Z31" s="26">
        <f>IFERROR(__xludf.DUMMYFUNCTION("""COMPUTED_VALUE"""),0.0)</f>
        <v>0</v>
      </c>
      <c r="AA31" s="26">
        <f>IFERROR(__xludf.DUMMYFUNCTION("""COMPUTED_VALUE"""),0.0)</f>
        <v>0</v>
      </c>
      <c r="AB31" s="26">
        <f>IFERROR(__xludf.DUMMYFUNCTION("""COMPUTED_VALUE"""),0.0)</f>
        <v>0</v>
      </c>
      <c r="AC31" s="26">
        <f>IFERROR(__xludf.DUMMYFUNCTION("""COMPUTED_VALUE"""),0.0)</f>
        <v>0</v>
      </c>
      <c r="AD31" s="26">
        <f>IFERROR(__xludf.DUMMYFUNCTION("""COMPUTED_VALUE"""),0.0)</f>
        <v>0</v>
      </c>
      <c r="AE31" s="26">
        <f>IFERROR(__xludf.DUMMYFUNCTION("""COMPUTED_VALUE"""),0.0)</f>
        <v>0</v>
      </c>
    </row>
    <row r="32">
      <c r="A32" s="26">
        <f>IFERROR(__xludf.DUMMYFUNCTION("""COMPUTED_VALUE"""),9.0)</f>
        <v>9</v>
      </c>
      <c r="B32" s="26">
        <f>IFERROR(__xludf.DUMMYFUNCTION("""COMPUTED_VALUE"""),0.0)</f>
        <v>0</v>
      </c>
      <c r="C32" s="45">
        <f>IFERROR(__xludf.DUMMYFUNCTION("""COMPUTED_VALUE"""),0.0)</f>
        <v>0</v>
      </c>
      <c r="D32" s="26">
        <f>IFERROR(__xludf.DUMMYFUNCTION("""COMPUTED_VALUE"""),0.0)</f>
        <v>0</v>
      </c>
      <c r="E32" s="26">
        <f>IFERROR(__xludf.DUMMYFUNCTION("""COMPUTED_VALUE"""),0.0)</f>
        <v>0</v>
      </c>
      <c r="F32" s="26">
        <f>IFERROR(__xludf.DUMMYFUNCTION("""COMPUTED_VALUE"""),0.0)</f>
        <v>0</v>
      </c>
      <c r="G32" s="26">
        <f>IFERROR(__xludf.DUMMYFUNCTION("""COMPUTED_VALUE"""),0.0)</f>
        <v>0</v>
      </c>
      <c r="H32" s="26">
        <f>IFERROR(__xludf.DUMMYFUNCTION("""COMPUTED_VALUE"""),0.0)</f>
        <v>0</v>
      </c>
      <c r="I32" s="26">
        <f>IFERROR(__xludf.DUMMYFUNCTION("""COMPUTED_VALUE"""),0.0)</f>
        <v>0</v>
      </c>
      <c r="J32" s="26">
        <f>IFERROR(__xludf.DUMMYFUNCTION("""COMPUTED_VALUE"""),0.0)</f>
        <v>0</v>
      </c>
      <c r="K32" s="26">
        <f>IFERROR(__xludf.DUMMYFUNCTION("""COMPUTED_VALUE"""),0.0)</f>
        <v>0</v>
      </c>
      <c r="L32" s="26">
        <f>IFERROR(__xludf.DUMMYFUNCTION("""COMPUTED_VALUE"""),0.0)</f>
        <v>0</v>
      </c>
      <c r="M32" s="26"/>
      <c r="N32" s="26"/>
      <c r="O32" s="26"/>
      <c r="P32" s="26"/>
      <c r="Q32" s="26"/>
      <c r="R32" s="45">
        <f>IFERROR(__xludf.DUMMYFUNCTION("""COMPUTED_VALUE"""),9.0)</f>
        <v>9</v>
      </c>
      <c r="S32" s="26">
        <f>IFERROR(__xludf.DUMMYFUNCTION("""COMPUTED_VALUE"""),4410.0)</f>
        <v>4410</v>
      </c>
      <c r="T32" s="26">
        <f>IFERROR(__xludf.DUMMYFUNCTION("""COMPUTED_VALUE"""),1440.0)</f>
        <v>1440</v>
      </c>
      <c r="U32" s="26">
        <f>IFERROR(__xludf.DUMMYFUNCTION("""COMPUTED_VALUE"""),2112.75)</f>
        <v>2112.75</v>
      </c>
      <c r="V32" s="26">
        <f>IFERROR(__xludf.DUMMYFUNCTION("""COMPUTED_VALUE"""),0.0)</f>
        <v>0</v>
      </c>
      <c r="W32" s="26">
        <f>IFERROR(__xludf.DUMMYFUNCTION("""COMPUTED_VALUE"""),0.0)</f>
        <v>0</v>
      </c>
      <c r="X32" s="26">
        <f>IFERROR(__xludf.DUMMYFUNCTION("""COMPUTED_VALUE"""),672.75)</f>
        <v>672.75</v>
      </c>
      <c r="Y32" s="26">
        <f>IFERROR(__xludf.DUMMYFUNCTION("""COMPUTED_VALUE"""),672.75)</f>
        <v>672.75</v>
      </c>
      <c r="Z32" s="26">
        <f>IFERROR(__xludf.DUMMYFUNCTION("""COMPUTED_VALUE"""),0.0)</f>
        <v>0</v>
      </c>
      <c r="AA32" s="26">
        <f>IFERROR(__xludf.DUMMYFUNCTION("""COMPUTED_VALUE"""),0.0)</f>
        <v>0</v>
      </c>
      <c r="AB32" s="26">
        <f>IFERROR(__xludf.DUMMYFUNCTION("""COMPUTED_VALUE"""),0.0)</f>
        <v>0</v>
      </c>
      <c r="AC32" s="26">
        <f>IFERROR(__xludf.DUMMYFUNCTION("""COMPUTED_VALUE"""),0.0)</f>
        <v>0</v>
      </c>
      <c r="AD32" s="26">
        <f>IFERROR(__xludf.DUMMYFUNCTION("""COMPUTED_VALUE"""),0.0)</f>
        <v>0</v>
      </c>
      <c r="AE32" s="26">
        <f>IFERROR(__xludf.DUMMYFUNCTION("""COMPUTED_VALUE"""),0.0)</f>
        <v>0</v>
      </c>
    </row>
    <row r="33">
      <c r="A33" s="26">
        <f>IFERROR(__xludf.DUMMYFUNCTION("""COMPUTED_VALUE"""),33.0)</f>
        <v>33</v>
      </c>
      <c r="B33" s="26">
        <f>IFERROR(__xludf.DUMMYFUNCTION("""COMPUTED_VALUE"""),0.0)</f>
        <v>0</v>
      </c>
      <c r="C33" s="26">
        <f>IFERROR(__xludf.DUMMYFUNCTION("""COMPUTED_VALUE"""),0.0)</f>
        <v>0</v>
      </c>
      <c r="D33" s="26">
        <f>IFERROR(__xludf.DUMMYFUNCTION("""COMPUTED_VALUE"""),0.0)</f>
        <v>0</v>
      </c>
      <c r="E33" s="26">
        <f>IFERROR(__xludf.DUMMYFUNCTION("""COMPUTED_VALUE"""),0.0)</f>
        <v>0</v>
      </c>
      <c r="F33" s="26">
        <f>IFERROR(__xludf.DUMMYFUNCTION("""COMPUTED_VALUE"""),0.0)</f>
        <v>0</v>
      </c>
      <c r="G33" s="26">
        <f>IFERROR(__xludf.DUMMYFUNCTION("""COMPUTED_VALUE"""),0.0)</f>
        <v>0</v>
      </c>
      <c r="H33" s="26">
        <f>IFERROR(__xludf.DUMMYFUNCTION("""COMPUTED_VALUE"""),0.0)</f>
        <v>0</v>
      </c>
      <c r="I33" s="26">
        <f>IFERROR(__xludf.DUMMYFUNCTION("""COMPUTED_VALUE"""),0.0)</f>
        <v>0</v>
      </c>
      <c r="J33" s="26">
        <f>IFERROR(__xludf.DUMMYFUNCTION("""COMPUTED_VALUE"""),0.0)</f>
        <v>0</v>
      </c>
      <c r="K33" s="26">
        <f>IFERROR(__xludf.DUMMYFUNCTION("""COMPUTED_VALUE"""),0.0)</f>
        <v>0</v>
      </c>
      <c r="L33" s="26">
        <f>IFERROR(__xludf.DUMMYFUNCTION("""COMPUTED_VALUE"""),0.0)</f>
        <v>0</v>
      </c>
      <c r="M33" s="26"/>
      <c r="N33" s="26"/>
      <c r="O33" s="26"/>
      <c r="P33" s="26"/>
      <c r="Q33" s="26"/>
      <c r="R33" s="26">
        <f>IFERROR(__xludf.DUMMYFUNCTION("""COMPUTED_VALUE"""),33.0)</f>
        <v>33</v>
      </c>
      <c r="S33" s="26">
        <f>IFERROR(__xludf.DUMMYFUNCTION("""COMPUTED_VALUE"""),16170.0)</f>
        <v>16170</v>
      </c>
      <c r="T33" s="26">
        <f>IFERROR(__xludf.DUMMYFUNCTION("""COMPUTED_VALUE"""),5280.0)</f>
        <v>5280</v>
      </c>
      <c r="U33" s="26">
        <f>IFERROR(__xludf.DUMMYFUNCTION("""COMPUTED_VALUE"""),7746.75)</f>
        <v>7746.75</v>
      </c>
      <c r="V33" s="26">
        <f>IFERROR(__xludf.DUMMYFUNCTION("""COMPUTED_VALUE"""),0.0)</f>
        <v>0</v>
      </c>
      <c r="W33" s="26">
        <f>IFERROR(__xludf.DUMMYFUNCTION("""COMPUTED_VALUE"""),0.0)</f>
        <v>0</v>
      </c>
      <c r="X33" s="26">
        <f>IFERROR(__xludf.DUMMYFUNCTION("""COMPUTED_VALUE"""),2466.75)</f>
        <v>2466.75</v>
      </c>
      <c r="Y33" s="26">
        <f>IFERROR(__xludf.DUMMYFUNCTION("""COMPUTED_VALUE"""),2466.75)</f>
        <v>2466.75</v>
      </c>
      <c r="Z33" s="26">
        <f>IFERROR(__xludf.DUMMYFUNCTION("""COMPUTED_VALUE"""),0.0)</f>
        <v>0</v>
      </c>
      <c r="AA33" s="26">
        <f>IFERROR(__xludf.DUMMYFUNCTION("""COMPUTED_VALUE"""),0.0)</f>
        <v>0</v>
      </c>
      <c r="AB33" s="26">
        <f>IFERROR(__xludf.DUMMYFUNCTION("""COMPUTED_VALUE"""),0.0)</f>
        <v>0</v>
      </c>
      <c r="AC33" s="26">
        <f>IFERROR(__xludf.DUMMYFUNCTION("""COMPUTED_VALUE"""),0.0)</f>
        <v>0</v>
      </c>
      <c r="AD33" s="26">
        <f>IFERROR(__xludf.DUMMYFUNCTION("""COMPUTED_VALUE"""),0.0)</f>
        <v>0</v>
      </c>
      <c r="AE33" s="26">
        <f>IFERROR(__xludf.DUMMYFUNCTION("""COMPUTED_VALUE"""),0.0)</f>
        <v>0</v>
      </c>
    </row>
    <row r="34">
      <c r="A34" s="26">
        <f>IFERROR(__xludf.DUMMYFUNCTION("""COMPUTED_VALUE"""),19.0)</f>
        <v>19</v>
      </c>
      <c r="B34" s="26">
        <f>IFERROR(__xludf.DUMMYFUNCTION("""COMPUTED_VALUE"""),0.0)</f>
        <v>0</v>
      </c>
      <c r="C34" s="26">
        <f>IFERROR(__xludf.DUMMYFUNCTION("""COMPUTED_VALUE"""),0.0)</f>
        <v>0</v>
      </c>
      <c r="D34" s="26">
        <f>IFERROR(__xludf.DUMMYFUNCTION("""COMPUTED_VALUE"""),0.0)</f>
        <v>0</v>
      </c>
      <c r="E34" s="26">
        <f>IFERROR(__xludf.DUMMYFUNCTION("""COMPUTED_VALUE"""),0.0)</f>
        <v>0</v>
      </c>
      <c r="F34" s="26">
        <f>IFERROR(__xludf.DUMMYFUNCTION("""COMPUTED_VALUE"""),0.0)</f>
        <v>0</v>
      </c>
      <c r="G34" s="26">
        <f>IFERROR(__xludf.DUMMYFUNCTION("""COMPUTED_VALUE"""),0.0)</f>
        <v>0</v>
      </c>
      <c r="H34" s="26">
        <f>IFERROR(__xludf.DUMMYFUNCTION("""COMPUTED_VALUE"""),0.0)</f>
        <v>0</v>
      </c>
      <c r="I34" s="26">
        <f>IFERROR(__xludf.DUMMYFUNCTION("""COMPUTED_VALUE"""),0.0)</f>
        <v>0</v>
      </c>
      <c r="J34" s="26">
        <f>IFERROR(__xludf.DUMMYFUNCTION("""COMPUTED_VALUE"""),0.0)</f>
        <v>0</v>
      </c>
      <c r="K34" s="26">
        <f>IFERROR(__xludf.DUMMYFUNCTION("""COMPUTED_VALUE"""),0.0)</f>
        <v>0</v>
      </c>
      <c r="L34" s="26">
        <f>IFERROR(__xludf.DUMMYFUNCTION("""COMPUTED_VALUE"""),0.0)</f>
        <v>0</v>
      </c>
      <c r="M34" s="26"/>
      <c r="N34" s="26"/>
      <c r="O34" s="26"/>
      <c r="P34" s="26"/>
      <c r="Q34" s="26"/>
      <c r="R34" s="26">
        <f>IFERROR(__xludf.DUMMYFUNCTION("""COMPUTED_VALUE"""),19.0)</f>
        <v>19</v>
      </c>
      <c r="S34" s="26">
        <f>IFERROR(__xludf.DUMMYFUNCTION("""COMPUTED_VALUE"""),9310.0)</f>
        <v>9310</v>
      </c>
      <c r="T34" s="26">
        <f>IFERROR(__xludf.DUMMYFUNCTION("""COMPUTED_VALUE"""),3040.0)</f>
        <v>3040</v>
      </c>
      <c r="U34" s="26">
        <f>IFERROR(__xludf.DUMMYFUNCTION("""COMPUTED_VALUE"""),4460.25)</f>
        <v>4460.25</v>
      </c>
      <c r="V34" s="26">
        <f>IFERROR(__xludf.DUMMYFUNCTION("""COMPUTED_VALUE"""),0.0)</f>
        <v>0</v>
      </c>
      <c r="W34" s="26">
        <f>IFERROR(__xludf.DUMMYFUNCTION("""COMPUTED_VALUE"""),0.0)</f>
        <v>0</v>
      </c>
      <c r="X34" s="26">
        <f>IFERROR(__xludf.DUMMYFUNCTION("""COMPUTED_VALUE"""),1420.25)</f>
        <v>1420.25</v>
      </c>
      <c r="Y34" s="26">
        <f>IFERROR(__xludf.DUMMYFUNCTION("""COMPUTED_VALUE"""),1420.25)</f>
        <v>1420.25</v>
      </c>
      <c r="Z34" s="26">
        <f>IFERROR(__xludf.DUMMYFUNCTION("""COMPUTED_VALUE"""),0.0)</f>
        <v>0</v>
      </c>
      <c r="AA34" s="26">
        <f>IFERROR(__xludf.DUMMYFUNCTION("""COMPUTED_VALUE"""),0.0)</f>
        <v>0</v>
      </c>
      <c r="AB34" s="26">
        <f>IFERROR(__xludf.DUMMYFUNCTION("""COMPUTED_VALUE"""),0.0)</f>
        <v>0</v>
      </c>
      <c r="AC34" s="26">
        <f>IFERROR(__xludf.DUMMYFUNCTION("""COMPUTED_VALUE"""),0.0)</f>
        <v>0</v>
      </c>
      <c r="AD34" s="26">
        <f>IFERROR(__xludf.DUMMYFUNCTION("""COMPUTED_VALUE"""),0.0)</f>
        <v>0</v>
      </c>
      <c r="AE34" s="26">
        <f>IFERROR(__xludf.DUMMYFUNCTION("""COMPUTED_VALUE"""),0.0)</f>
        <v>0</v>
      </c>
    </row>
    <row r="35">
      <c r="A35" s="26">
        <f>IFERROR(__xludf.DUMMYFUNCTION("""COMPUTED_VALUE"""),0.0)</f>
        <v>0</v>
      </c>
      <c r="B35" s="26">
        <f>IFERROR(__xludf.DUMMYFUNCTION("""COMPUTED_VALUE"""),0.0)</f>
        <v>0</v>
      </c>
      <c r="C35" s="26">
        <f>IFERROR(__xludf.DUMMYFUNCTION("""COMPUTED_VALUE"""),0.0)</f>
        <v>0</v>
      </c>
      <c r="D35" s="26">
        <f>IFERROR(__xludf.DUMMYFUNCTION("""COMPUTED_VALUE"""),0.0)</f>
        <v>0</v>
      </c>
      <c r="E35" s="26">
        <f>IFERROR(__xludf.DUMMYFUNCTION("""COMPUTED_VALUE"""),0.0)</f>
        <v>0</v>
      </c>
      <c r="F35" s="26">
        <f>IFERROR(__xludf.DUMMYFUNCTION("""COMPUTED_VALUE"""),0.0)</f>
        <v>0</v>
      </c>
      <c r="G35" s="26">
        <f>IFERROR(__xludf.DUMMYFUNCTION("""COMPUTED_VALUE"""),0.0)</f>
        <v>0</v>
      </c>
      <c r="H35" s="26">
        <f>IFERROR(__xludf.DUMMYFUNCTION("""COMPUTED_VALUE"""),0.0)</f>
        <v>0</v>
      </c>
      <c r="I35" s="26">
        <f>IFERROR(__xludf.DUMMYFUNCTION("""COMPUTED_VALUE"""),0.0)</f>
        <v>0</v>
      </c>
      <c r="J35" s="26">
        <f>IFERROR(__xludf.DUMMYFUNCTION("""COMPUTED_VALUE"""),0.0)</f>
        <v>0</v>
      </c>
      <c r="K35" s="26">
        <f>IFERROR(__xludf.DUMMYFUNCTION("""COMPUTED_VALUE"""),0.0)</f>
        <v>0</v>
      </c>
      <c r="L35" s="26">
        <f>IFERROR(__xludf.DUMMYFUNCTION("""COMPUTED_VALUE"""),0.0)</f>
        <v>0</v>
      </c>
      <c r="M35" s="26"/>
      <c r="N35" s="26"/>
      <c r="O35" s="26"/>
      <c r="P35" s="26"/>
      <c r="Q35" s="26"/>
      <c r="R35" s="26">
        <f>IFERROR(__xludf.DUMMYFUNCTION("""COMPUTED_VALUE"""),0.0)</f>
        <v>0</v>
      </c>
      <c r="S35" s="26">
        <f>IFERROR(__xludf.DUMMYFUNCTION("""COMPUTED_VALUE"""),0.0)</f>
        <v>0</v>
      </c>
      <c r="T35" s="26">
        <f>IFERROR(__xludf.DUMMYFUNCTION("""COMPUTED_VALUE"""),0.0)</f>
        <v>0</v>
      </c>
      <c r="U35" s="26">
        <f>IFERROR(__xludf.DUMMYFUNCTION("""COMPUTED_VALUE"""),0.0)</f>
        <v>0</v>
      </c>
      <c r="V35" s="26">
        <f>IFERROR(__xludf.DUMMYFUNCTION("""COMPUTED_VALUE"""),0.0)</f>
        <v>0</v>
      </c>
      <c r="W35" s="26">
        <f>IFERROR(__xludf.DUMMYFUNCTION("""COMPUTED_VALUE"""),0.0)</f>
        <v>0</v>
      </c>
      <c r="X35" s="26">
        <f>IFERROR(__xludf.DUMMYFUNCTION("""COMPUTED_VALUE"""),0.0)</f>
        <v>0</v>
      </c>
      <c r="Y35" s="26">
        <f>IFERROR(__xludf.DUMMYFUNCTION("""COMPUTED_VALUE"""),0.0)</f>
        <v>0</v>
      </c>
      <c r="Z35" s="26">
        <f>IFERROR(__xludf.DUMMYFUNCTION("""COMPUTED_VALUE"""),0.0)</f>
        <v>0</v>
      </c>
      <c r="AA35" s="26">
        <f>IFERROR(__xludf.DUMMYFUNCTION("""COMPUTED_VALUE"""),0.0)</f>
        <v>0</v>
      </c>
      <c r="AB35" s="26">
        <f>IFERROR(__xludf.DUMMYFUNCTION("""COMPUTED_VALUE"""),0.0)</f>
        <v>0</v>
      </c>
      <c r="AC35" s="26">
        <f>IFERROR(__xludf.DUMMYFUNCTION("""COMPUTED_VALUE"""),0.0)</f>
        <v>0</v>
      </c>
      <c r="AD35" s="26">
        <f>IFERROR(__xludf.DUMMYFUNCTION("""COMPUTED_VALUE"""),0.0)</f>
        <v>0</v>
      </c>
      <c r="AE35" s="26">
        <f>IFERROR(__xludf.DUMMYFUNCTION("""COMPUTED_VALUE"""),0.0)</f>
        <v>0</v>
      </c>
    </row>
    <row r="36">
      <c r="A36" s="26">
        <f>IFERROR(__xludf.DUMMYFUNCTION("""COMPUTED_VALUE"""),3.0)</f>
        <v>3</v>
      </c>
      <c r="B36" s="26">
        <f>IFERROR(__xludf.DUMMYFUNCTION("""COMPUTED_VALUE"""),0.0)</f>
        <v>0</v>
      </c>
      <c r="C36" s="26">
        <f>IFERROR(__xludf.DUMMYFUNCTION("""COMPUTED_VALUE"""),29.0)</f>
        <v>29</v>
      </c>
      <c r="D36" s="26">
        <f>IFERROR(__xludf.DUMMYFUNCTION("""COMPUTED_VALUE"""),0.0)</f>
        <v>0</v>
      </c>
      <c r="E36" s="26">
        <f>IFERROR(__xludf.DUMMYFUNCTION("""COMPUTED_VALUE"""),118.0)</f>
        <v>118</v>
      </c>
      <c r="F36" s="26">
        <f>IFERROR(__xludf.DUMMYFUNCTION("""COMPUTED_VALUE"""),0.0)</f>
        <v>0</v>
      </c>
      <c r="G36" s="26">
        <f>IFERROR(__xludf.DUMMYFUNCTION("""COMPUTED_VALUE"""),0.0)</f>
        <v>0</v>
      </c>
      <c r="H36" s="26">
        <f>IFERROR(__xludf.DUMMYFUNCTION("""COMPUTED_VALUE"""),0.0)</f>
        <v>0</v>
      </c>
      <c r="I36" s="26">
        <f>IFERROR(__xludf.DUMMYFUNCTION("""COMPUTED_VALUE"""),0.0)</f>
        <v>0</v>
      </c>
      <c r="J36" s="26">
        <f>IFERROR(__xludf.DUMMYFUNCTION("""COMPUTED_VALUE"""),0.0)</f>
        <v>0</v>
      </c>
      <c r="K36" s="26">
        <f>IFERROR(__xludf.DUMMYFUNCTION("""COMPUTED_VALUE"""),0.0)</f>
        <v>0</v>
      </c>
      <c r="L36" s="26">
        <f>IFERROR(__xludf.DUMMYFUNCTION("""COMPUTED_VALUE"""),0.0)</f>
        <v>0</v>
      </c>
      <c r="M36" s="26"/>
      <c r="N36" s="26"/>
      <c r="O36" s="26"/>
      <c r="P36" s="26"/>
      <c r="Q36" s="26"/>
      <c r="R36" s="26">
        <f>IFERROR(__xludf.DUMMYFUNCTION("""COMPUTED_VALUE"""),150.0)</f>
        <v>150</v>
      </c>
      <c r="S36" s="26">
        <f>IFERROR(__xludf.DUMMYFUNCTION("""COMPUTED_VALUE"""),27435.000000000065)</f>
        <v>27435</v>
      </c>
      <c r="T36" s="26">
        <f>IFERROR(__xludf.DUMMYFUNCTION("""COMPUTED_VALUE"""),23250.0)</f>
        <v>23250</v>
      </c>
      <c r="U36" s="26">
        <f>IFERROR(__xludf.DUMMYFUNCTION("""COMPUTED_VALUE"""),27435.000000000007)</f>
        <v>27435</v>
      </c>
      <c r="V36" s="26">
        <f>IFERROR(__xludf.DUMMYFUNCTION("""COMPUTED_VALUE"""),0.0)</f>
        <v>0</v>
      </c>
      <c r="W36" s="26">
        <f>IFERROR(__xludf.DUMMYFUNCTION("""COMPUTED_VALUE"""),0.0)</f>
        <v>0</v>
      </c>
      <c r="X36" s="26">
        <f>IFERROR(__xludf.DUMMYFUNCTION("""COMPUTED_VALUE"""),4185.000000000008)</f>
        <v>4185</v>
      </c>
      <c r="Y36" s="26">
        <f>IFERROR(__xludf.DUMMYFUNCTION("""COMPUTED_VALUE"""),4185.000000000008)</f>
        <v>4185</v>
      </c>
      <c r="Z36" s="26">
        <f>IFERROR(__xludf.DUMMYFUNCTION("""COMPUTED_VALUE"""),50480.40000000025)</f>
        <v>50480.4</v>
      </c>
      <c r="AA36" s="26">
        <f>IFERROR(__xludf.DUMMYFUNCTION("""COMPUTED_VALUE"""),50480.40000000025)</f>
        <v>50480.4</v>
      </c>
      <c r="AB36" s="26">
        <f>IFERROR(__xludf.DUMMYFUNCTION("""COMPUTED_VALUE"""),0.0)</f>
        <v>0</v>
      </c>
      <c r="AC36" s="26">
        <f>IFERROR(__xludf.DUMMYFUNCTION("""COMPUTED_VALUE"""),0.0)</f>
        <v>0</v>
      </c>
      <c r="AD36" s="26">
        <f>IFERROR(__xludf.DUMMYFUNCTION("""COMPUTED_VALUE"""),0.0)</f>
        <v>0</v>
      </c>
      <c r="AE36" s="26">
        <f>IFERROR(__xludf.DUMMYFUNCTION("""COMPUTED_VALUE"""),0.0)</f>
        <v>0</v>
      </c>
    </row>
    <row r="37">
      <c r="A37" s="26">
        <f>IFERROR(__xludf.DUMMYFUNCTION("""COMPUTED_VALUE"""),0.0)</f>
        <v>0</v>
      </c>
      <c r="B37" s="26">
        <f>IFERROR(__xludf.DUMMYFUNCTION("""COMPUTED_VALUE"""),0.0)</f>
        <v>0</v>
      </c>
      <c r="C37" s="26">
        <f>IFERROR(__xludf.DUMMYFUNCTION("""COMPUTED_VALUE"""),0.0)</f>
        <v>0</v>
      </c>
      <c r="D37" s="26">
        <f>IFERROR(__xludf.DUMMYFUNCTION("""COMPUTED_VALUE"""),0.0)</f>
        <v>0</v>
      </c>
      <c r="E37" s="26">
        <f>IFERROR(__xludf.DUMMYFUNCTION("""COMPUTED_VALUE"""),0.0)</f>
        <v>0</v>
      </c>
      <c r="F37" s="26">
        <f>IFERROR(__xludf.DUMMYFUNCTION("""COMPUTED_VALUE"""),0.0)</f>
        <v>0</v>
      </c>
      <c r="G37" s="26">
        <f>IFERROR(__xludf.DUMMYFUNCTION("""COMPUTED_VALUE"""),0.0)</f>
        <v>0</v>
      </c>
      <c r="H37" s="26">
        <f>IFERROR(__xludf.DUMMYFUNCTION("""COMPUTED_VALUE"""),0.0)</f>
        <v>0</v>
      </c>
      <c r="I37" s="26">
        <f>IFERROR(__xludf.DUMMYFUNCTION("""COMPUTED_VALUE"""),0.0)</f>
        <v>0</v>
      </c>
      <c r="J37" s="26">
        <f>IFERROR(__xludf.DUMMYFUNCTION("""COMPUTED_VALUE"""),0.0)</f>
        <v>0</v>
      </c>
      <c r="K37" s="26">
        <f>IFERROR(__xludf.DUMMYFUNCTION("""COMPUTED_VALUE"""),0.0)</f>
        <v>0</v>
      </c>
      <c r="L37" s="26">
        <f>IFERROR(__xludf.DUMMYFUNCTION("""COMPUTED_VALUE"""),0.0)</f>
        <v>0</v>
      </c>
      <c r="M37" s="26"/>
      <c r="N37" s="26"/>
      <c r="O37" s="26"/>
      <c r="P37" s="26"/>
      <c r="Q37" s="26"/>
      <c r="R37" s="26">
        <f>IFERROR(__xludf.DUMMYFUNCTION("""COMPUTED_VALUE"""),0.0)</f>
        <v>0</v>
      </c>
      <c r="S37" s="26">
        <f>IFERROR(__xludf.DUMMYFUNCTION("""COMPUTED_VALUE"""),0.0)</f>
        <v>0</v>
      </c>
      <c r="T37" s="26">
        <f>IFERROR(__xludf.DUMMYFUNCTION("""COMPUTED_VALUE"""),0.0)</f>
        <v>0</v>
      </c>
      <c r="U37" s="26">
        <f>IFERROR(__xludf.DUMMYFUNCTION("""COMPUTED_VALUE"""),0.0)</f>
        <v>0</v>
      </c>
      <c r="V37" s="26">
        <f>IFERROR(__xludf.DUMMYFUNCTION("""COMPUTED_VALUE"""),0.0)</f>
        <v>0</v>
      </c>
      <c r="W37" s="26">
        <f>IFERROR(__xludf.DUMMYFUNCTION("""COMPUTED_VALUE"""),0.0)</f>
        <v>0</v>
      </c>
      <c r="X37" s="26">
        <f>IFERROR(__xludf.DUMMYFUNCTION("""COMPUTED_VALUE"""),0.0)</f>
        <v>0</v>
      </c>
      <c r="Y37" s="26">
        <f>IFERROR(__xludf.DUMMYFUNCTION("""COMPUTED_VALUE"""),0.0)</f>
        <v>0</v>
      </c>
      <c r="Z37" s="26">
        <f>IFERROR(__xludf.DUMMYFUNCTION("""COMPUTED_VALUE"""),0.0)</f>
        <v>0</v>
      </c>
      <c r="AA37" s="26">
        <f>IFERROR(__xludf.DUMMYFUNCTION("""COMPUTED_VALUE"""),0.0)</f>
        <v>0</v>
      </c>
      <c r="AB37" s="26">
        <f>IFERROR(__xludf.DUMMYFUNCTION("""COMPUTED_VALUE"""),0.0)</f>
        <v>0</v>
      </c>
      <c r="AC37" s="26">
        <f>IFERROR(__xludf.DUMMYFUNCTION("""COMPUTED_VALUE"""),0.0)</f>
        <v>0</v>
      </c>
      <c r="AD37" s="26">
        <f>IFERROR(__xludf.DUMMYFUNCTION("""COMPUTED_VALUE"""),0.0)</f>
        <v>0</v>
      </c>
      <c r="AE37" s="26">
        <f>IFERROR(__xludf.DUMMYFUNCTION("""COMPUTED_VALUE"""),0.0)</f>
        <v>0</v>
      </c>
    </row>
    <row r="38">
      <c r="A38" s="26">
        <f>IFERROR(__xludf.DUMMYFUNCTION("""COMPUTED_VALUE"""),0.0)</f>
        <v>0</v>
      </c>
      <c r="B38" s="26">
        <f>IFERROR(__xludf.DUMMYFUNCTION("""COMPUTED_VALUE"""),0.0)</f>
        <v>0</v>
      </c>
      <c r="C38" s="26">
        <f>IFERROR(__xludf.DUMMYFUNCTION("""COMPUTED_VALUE"""),0.0)</f>
        <v>0</v>
      </c>
      <c r="D38" s="26">
        <f>IFERROR(__xludf.DUMMYFUNCTION("""COMPUTED_VALUE"""),0.0)</f>
        <v>0</v>
      </c>
      <c r="E38" s="26">
        <f>IFERROR(__xludf.DUMMYFUNCTION("""COMPUTED_VALUE"""),0.0)</f>
        <v>0</v>
      </c>
      <c r="F38" s="26">
        <f>IFERROR(__xludf.DUMMYFUNCTION("""COMPUTED_VALUE"""),0.0)</f>
        <v>0</v>
      </c>
      <c r="G38" s="26">
        <f>IFERROR(__xludf.DUMMYFUNCTION("""COMPUTED_VALUE"""),0.0)</f>
        <v>0</v>
      </c>
      <c r="H38" s="26">
        <f>IFERROR(__xludf.DUMMYFUNCTION("""COMPUTED_VALUE"""),0.0)</f>
        <v>0</v>
      </c>
      <c r="I38" s="26">
        <f>IFERROR(__xludf.DUMMYFUNCTION("""COMPUTED_VALUE"""),0.0)</f>
        <v>0</v>
      </c>
      <c r="J38" s="26">
        <f>IFERROR(__xludf.DUMMYFUNCTION("""COMPUTED_VALUE"""),0.0)</f>
        <v>0</v>
      </c>
      <c r="K38" s="26">
        <f>IFERROR(__xludf.DUMMYFUNCTION("""COMPUTED_VALUE"""),0.0)</f>
        <v>0</v>
      </c>
      <c r="L38" s="26">
        <f>IFERROR(__xludf.DUMMYFUNCTION("""COMPUTED_VALUE"""),0.0)</f>
        <v>0</v>
      </c>
      <c r="M38" s="26"/>
      <c r="N38" s="26"/>
      <c r="O38" s="26"/>
      <c r="P38" s="26"/>
      <c r="Q38" s="26"/>
      <c r="R38" s="26">
        <f>IFERROR(__xludf.DUMMYFUNCTION("""COMPUTED_VALUE"""),0.0)</f>
        <v>0</v>
      </c>
      <c r="S38" s="26">
        <f>IFERROR(__xludf.DUMMYFUNCTION("""COMPUTED_VALUE"""),0.0)</f>
        <v>0</v>
      </c>
      <c r="T38" s="26">
        <f>IFERROR(__xludf.DUMMYFUNCTION("""COMPUTED_VALUE"""),0.0)</f>
        <v>0</v>
      </c>
      <c r="U38" s="26">
        <f>IFERROR(__xludf.DUMMYFUNCTION("""COMPUTED_VALUE"""),0.0)</f>
        <v>0</v>
      </c>
      <c r="V38" s="26">
        <f>IFERROR(__xludf.DUMMYFUNCTION("""COMPUTED_VALUE"""),0.0)</f>
        <v>0</v>
      </c>
      <c r="W38" s="26">
        <f>IFERROR(__xludf.DUMMYFUNCTION("""COMPUTED_VALUE"""),0.0)</f>
        <v>0</v>
      </c>
      <c r="X38" s="26">
        <f>IFERROR(__xludf.DUMMYFUNCTION("""COMPUTED_VALUE"""),0.0)</f>
        <v>0</v>
      </c>
      <c r="Y38" s="26">
        <f>IFERROR(__xludf.DUMMYFUNCTION("""COMPUTED_VALUE"""),0.0)</f>
        <v>0</v>
      </c>
      <c r="Z38" s="26">
        <f>IFERROR(__xludf.DUMMYFUNCTION("""COMPUTED_VALUE"""),0.0)</f>
        <v>0</v>
      </c>
      <c r="AA38" s="26">
        <f>IFERROR(__xludf.DUMMYFUNCTION("""COMPUTED_VALUE"""),0.0)</f>
        <v>0</v>
      </c>
      <c r="AB38" s="26">
        <f>IFERROR(__xludf.DUMMYFUNCTION("""COMPUTED_VALUE"""),0.0)</f>
        <v>0</v>
      </c>
      <c r="AC38" s="26">
        <f>IFERROR(__xludf.DUMMYFUNCTION("""COMPUTED_VALUE"""),0.0)</f>
        <v>0</v>
      </c>
      <c r="AD38" s="26">
        <f>IFERROR(__xludf.DUMMYFUNCTION("""COMPUTED_VALUE"""),0.0)</f>
        <v>0</v>
      </c>
      <c r="AE38" s="26">
        <f>IFERROR(__xludf.DUMMYFUNCTION("""COMPUTED_VALUE"""),0.0)</f>
        <v>0</v>
      </c>
    </row>
    <row r="39">
      <c r="A39" s="26">
        <f>IFERROR(__xludf.DUMMYFUNCTION("""COMPUTED_VALUE"""),0.0)</f>
        <v>0</v>
      </c>
      <c r="B39" s="26">
        <f>IFERROR(__xludf.DUMMYFUNCTION("""COMPUTED_VALUE"""),0.0)</f>
        <v>0</v>
      </c>
      <c r="C39" s="26">
        <f>IFERROR(__xludf.DUMMYFUNCTION("""COMPUTED_VALUE"""),0.0)</f>
        <v>0</v>
      </c>
      <c r="D39" s="26">
        <f>IFERROR(__xludf.DUMMYFUNCTION("""COMPUTED_VALUE"""),0.0)</f>
        <v>0</v>
      </c>
      <c r="E39" s="26">
        <f>IFERROR(__xludf.DUMMYFUNCTION("""COMPUTED_VALUE"""),0.0)</f>
        <v>0</v>
      </c>
      <c r="F39" s="26">
        <f>IFERROR(__xludf.DUMMYFUNCTION("""COMPUTED_VALUE"""),0.0)</f>
        <v>0</v>
      </c>
      <c r="G39" s="26">
        <f>IFERROR(__xludf.DUMMYFUNCTION("""COMPUTED_VALUE"""),0.0)</f>
        <v>0</v>
      </c>
      <c r="H39" s="26">
        <f>IFERROR(__xludf.DUMMYFUNCTION("""COMPUTED_VALUE"""),0.0)</f>
        <v>0</v>
      </c>
      <c r="I39" s="26">
        <f>IFERROR(__xludf.DUMMYFUNCTION("""COMPUTED_VALUE"""),0.0)</f>
        <v>0</v>
      </c>
      <c r="J39" s="26">
        <f>IFERROR(__xludf.DUMMYFUNCTION("""COMPUTED_VALUE"""),0.0)</f>
        <v>0</v>
      </c>
      <c r="K39" s="26">
        <f>IFERROR(__xludf.DUMMYFUNCTION("""COMPUTED_VALUE"""),0.0)</f>
        <v>0</v>
      </c>
      <c r="L39" s="26">
        <f>IFERROR(__xludf.DUMMYFUNCTION("""COMPUTED_VALUE"""),0.0)</f>
        <v>0</v>
      </c>
      <c r="M39" s="26"/>
      <c r="N39" s="26"/>
      <c r="O39" s="26"/>
      <c r="P39" s="26"/>
      <c r="Q39" s="26"/>
      <c r="R39" s="26">
        <f>IFERROR(__xludf.DUMMYFUNCTION("""COMPUTED_VALUE"""),0.0)</f>
        <v>0</v>
      </c>
      <c r="S39" s="26">
        <f>IFERROR(__xludf.DUMMYFUNCTION("""COMPUTED_VALUE"""),0.0)</f>
        <v>0</v>
      </c>
      <c r="T39" s="26">
        <f>IFERROR(__xludf.DUMMYFUNCTION("""COMPUTED_VALUE"""),0.0)</f>
        <v>0</v>
      </c>
      <c r="U39" s="26">
        <f>IFERROR(__xludf.DUMMYFUNCTION("""COMPUTED_VALUE"""),0.0)</f>
        <v>0</v>
      </c>
      <c r="V39" s="26">
        <f>IFERROR(__xludf.DUMMYFUNCTION("""COMPUTED_VALUE"""),0.0)</f>
        <v>0</v>
      </c>
      <c r="W39" s="26">
        <f>IFERROR(__xludf.DUMMYFUNCTION("""COMPUTED_VALUE"""),0.0)</f>
        <v>0</v>
      </c>
      <c r="X39" s="26">
        <f>IFERROR(__xludf.DUMMYFUNCTION("""COMPUTED_VALUE"""),0.0)</f>
        <v>0</v>
      </c>
      <c r="Y39" s="26">
        <f>IFERROR(__xludf.DUMMYFUNCTION("""COMPUTED_VALUE"""),0.0)</f>
        <v>0</v>
      </c>
      <c r="Z39" s="26">
        <f>IFERROR(__xludf.DUMMYFUNCTION("""COMPUTED_VALUE"""),0.0)</f>
        <v>0</v>
      </c>
      <c r="AA39" s="26">
        <f>IFERROR(__xludf.DUMMYFUNCTION("""COMPUTED_VALUE"""),0.0)</f>
        <v>0</v>
      </c>
      <c r="AB39" s="26">
        <f>IFERROR(__xludf.DUMMYFUNCTION("""COMPUTED_VALUE"""),0.0)</f>
        <v>0</v>
      </c>
      <c r="AC39" s="26">
        <f>IFERROR(__xludf.DUMMYFUNCTION("""COMPUTED_VALUE"""),0.0)</f>
        <v>0</v>
      </c>
      <c r="AD39" s="26">
        <f>IFERROR(__xludf.DUMMYFUNCTION("""COMPUTED_VALUE"""),0.0)</f>
        <v>0</v>
      </c>
      <c r="AE39" s="26">
        <f>IFERROR(__xludf.DUMMYFUNCTION("""COMPUTED_VALUE"""),0.0)</f>
        <v>0</v>
      </c>
    </row>
    <row r="40">
      <c r="A40" s="26">
        <f>IFERROR(__xludf.DUMMYFUNCTION("""COMPUTED_VALUE"""),0.0)</f>
        <v>0</v>
      </c>
      <c r="B40" s="26">
        <f>IFERROR(__xludf.DUMMYFUNCTION("""COMPUTED_VALUE"""),0.0)</f>
        <v>0</v>
      </c>
      <c r="C40" s="26">
        <f>IFERROR(__xludf.DUMMYFUNCTION("""COMPUTED_VALUE"""),0.0)</f>
        <v>0</v>
      </c>
      <c r="D40" s="26">
        <f>IFERROR(__xludf.DUMMYFUNCTION("""COMPUTED_VALUE"""),0.0)</f>
        <v>0</v>
      </c>
      <c r="E40" s="26">
        <f>IFERROR(__xludf.DUMMYFUNCTION("""COMPUTED_VALUE"""),0.0)</f>
        <v>0</v>
      </c>
      <c r="F40" s="26">
        <f>IFERROR(__xludf.DUMMYFUNCTION("""COMPUTED_VALUE"""),0.0)</f>
        <v>0</v>
      </c>
      <c r="G40" s="26">
        <f>IFERROR(__xludf.DUMMYFUNCTION("""COMPUTED_VALUE"""),0.0)</f>
        <v>0</v>
      </c>
      <c r="H40" s="26">
        <f>IFERROR(__xludf.DUMMYFUNCTION("""COMPUTED_VALUE"""),0.0)</f>
        <v>0</v>
      </c>
      <c r="I40" s="26">
        <f>IFERROR(__xludf.DUMMYFUNCTION("""COMPUTED_VALUE"""),0.0)</f>
        <v>0</v>
      </c>
      <c r="J40" s="26">
        <f>IFERROR(__xludf.DUMMYFUNCTION("""COMPUTED_VALUE"""),0.0)</f>
        <v>0</v>
      </c>
      <c r="K40" s="26">
        <f>IFERROR(__xludf.DUMMYFUNCTION("""COMPUTED_VALUE"""),0.0)</f>
        <v>0</v>
      </c>
      <c r="L40" s="26">
        <f>IFERROR(__xludf.DUMMYFUNCTION("""COMPUTED_VALUE"""),0.0)</f>
        <v>0</v>
      </c>
      <c r="M40" s="26"/>
      <c r="N40" s="26"/>
      <c r="O40" s="26"/>
      <c r="P40" s="26"/>
      <c r="Q40" s="26"/>
      <c r="R40" s="26">
        <f>IFERROR(__xludf.DUMMYFUNCTION("""COMPUTED_VALUE"""),0.0)</f>
        <v>0</v>
      </c>
      <c r="S40" s="26">
        <f>IFERROR(__xludf.DUMMYFUNCTION("""COMPUTED_VALUE"""),0.0)</f>
        <v>0</v>
      </c>
      <c r="T40" s="26">
        <f>IFERROR(__xludf.DUMMYFUNCTION("""COMPUTED_VALUE"""),0.0)</f>
        <v>0</v>
      </c>
      <c r="U40" s="26">
        <f>IFERROR(__xludf.DUMMYFUNCTION("""COMPUTED_VALUE"""),0.0)</f>
        <v>0</v>
      </c>
      <c r="V40" s="26">
        <f>IFERROR(__xludf.DUMMYFUNCTION("""COMPUTED_VALUE"""),0.0)</f>
        <v>0</v>
      </c>
      <c r="W40" s="26">
        <f>IFERROR(__xludf.DUMMYFUNCTION("""COMPUTED_VALUE"""),0.0)</f>
        <v>0</v>
      </c>
      <c r="X40" s="26">
        <f>IFERROR(__xludf.DUMMYFUNCTION("""COMPUTED_VALUE"""),0.0)</f>
        <v>0</v>
      </c>
      <c r="Y40" s="26">
        <f>IFERROR(__xludf.DUMMYFUNCTION("""COMPUTED_VALUE"""),0.0)</f>
        <v>0</v>
      </c>
      <c r="Z40" s="26">
        <f>IFERROR(__xludf.DUMMYFUNCTION("""COMPUTED_VALUE"""),0.0)</f>
        <v>0</v>
      </c>
      <c r="AA40" s="26">
        <f>IFERROR(__xludf.DUMMYFUNCTION("""COMPUTED_VALUE"""),0.0)</f>
        <v>0</v>
      </c>
      <c r="AB40" s="26">
        <f>IFERROR(__xludf.DUMMYFUNCTION("""COMPUTED_VALUE"""),0.0)</f>
        <v>0</v>
      </c>
      <c r="AC40" s="26">
        <f>IFERROR(__xludf.DUMMYFUNCTION("""COMPUTED_VALUE"""),0.0)</f>
        <v>0</v>
      </c>
      <c r="AD40" s="26">
        <f>IFERROR(__xludf.DUMMYFUNCTION("""COMPUTED_VALUE"""),0.0)</f>
        <v>0</v>
      </c>
      <c r="AE40" s="26">
        <f>IFERROR(__xludf.DUMMYFUNCTION("""COMPUTED_VALUE"""),0.0)</f>
        <v>0</v>
      </c>
    </row>
    <row r="41">
      <c r="A41" s="26">
        <f>IFERROR(__xludf.DUMMYFUNCTION("""COMPUTED_VALUE"""),0.0)</f>
        <v>0</v>
      </c>
      <c r="B41" s="26">
        <f>IFERROR(__xludf.DUMMYFUNCTION("""COMPUTED_VALUE"""),0.0)</f>
        <v>0</v>
      </c>
      <c r="C41" s="26">
        <f>IFERROR(__xludf.DUMMYFUNCTION("""COMPUTED_VALUE"""),0.0)</f>
        <v>0</v>
      </c>
      <c r="D41" s="26">
        <f>IFERROR(__xludf.DUMMYFUNCTION("""COMPUTED_VALUE"""),0.0)</f>
        <v>0</v>
      </c>
      <c r="E41" s="26">
        <f>IFERROR(__xludf.DUMMYFUNCTION("""COMPUTED_VALUE"""),0.0)</f>
        <v>0</v>
      </c>
      <c r="F41" s="26">
        <f>IFERROR(__xludf.DUMMYFUNCTION("""COMPUTED_VALUE"""),0.0)</f>
        <v>0</v>
      </c>
      <c r="G41" s="26">
        <f>IFERROR(__xludf.DUMMYFUNCTION("""COMPUTED_VALUE"""),0.0)</f>
        <v>0</v>
      </c>
      <c r="H41" s="26">
        <f>IFERROR(__xludf.DUMMYFUNCTION("""COMPUTED_VALUE"""),0.0)</f>
        <v>0</v>
      </c>
      <c r="I41" s="26">
        <f>IFERROR(__xludf.DUMMYFUNCTION("""COMPUTED_VALUE"""),0.0)</f>
        <v>0</v>
      </c>
      <c r="J41" s="26">
        <f>IFERROR(__xludf.DUMMYFUNCTION("""COMPUTED_VALUE"""),0.0)</f>
        <v>0</v>
      </c>
      <c r="K41" s="26">
        <f>IFERROR(__xludf.DUMMYFUNCTION("""COMPUTED_VALUE"""),0.0)</f>
        <v>0</v>
      </c>
      <c r="L41" s="26">
        <f>IFERROR(__xludf.DUMMYFUNCTION("""COMPUTED_VALUE"""),0.0)</f>
        <v>0</v>
      </c>
      <c r="M41" s="26"/>
      <c r="N41" s="26"/>
      <c r="O41" s="26"/>
      <c r="P41" s="26"/>
      <c r="Q41" s="26"/>
      <c r="R41" s="26">
        <f>IFERROR(__xludf.DUMMYFUNCTION("""COMPUTED_VALUE"""),0.0)</f>
        <v>0</v>
      </c>
      <c r="S41" s="26">
        <f>IFERROR(__xludf.DUMMYFUNCTION("""COMPUTED_VALUE"""),0.0)</f>
        <v>0</v>
      </c>
      <c r="T41" s="26">
        <f>IFERROR(__xludf.DUMMYFUNCTION("""COMPUTED_VALUE"""),0.0)</f>
        <v>0</v>
      </c>
      <c r="U41" s="26">
        <f>IFERROR(__xludf.DUMMYFUNCTION("""COMPUTED_VALUE"""),0.0)</f>
        <v>0</v>
      </c>
      <c r="V41" s="26">
        <f>IFERROR(__xludf.DUMMYFUNCTION("""COMPUTED_VALUE"""),0.0)</f>
        <v>0</v>
      </c>
      <c r="W41" s="26">
        <f>IFERROR(__xludf.DUMMYFUNCTION("""COMPUTED_VALUE"""),0.0)</f>
        <v>0</v>
      </c>
      <c r="X41" s="26">
        <f>IFERROR(__xludf.DUMMYFUNCTION("""COMPUTED_VALUE"""),0.0)</f>
        <v>0</v>
      </c>
      <c r="Y41" s="26">
        <f>IFERROR(__xludf.DUMMYFUNCTION("""COMPUTED_VALUE"""),0.0)</f>
        <v>0</v>
      </c>
      <c r="Z41" s="26">
        <f>IFERROR(__xludf.DUMMYFUNCTION("""COMPUTED_VALUE"""),0.0)</f>
        <v>0</v>
      </c>
      <c r="AA41" s="26">
        <f>IFERROR(__xludf.DUMMYFUNCTION("""COMPUTED_VALUE"""),0.0)</f>
        <v>0</v>
      </c>
      <c r="AB41" s="26">
        <f>IFERROR(__xludf.DUMMYFUNCTION("""COMPUTED_VALUE"""),0.0)</f>
        <v>0</v>
      </c>
      <c r="AC41" s="26">
        <f>IFERROR(__xludf.DUMMYFUNCTION("""COMPUTED_VALUE"""),0.0)</f>
        <v>0</v>
      </c>
      <c r="AD41" s="26">
        <f>IFERROR(__xludf.DUMMYFUNCTION("""COMPUTED_VALUE"""),0.0)</f>
        <v>0</v>
      </c>
      <c r="AE41" s="26">
        <f>IFERROR(__xludf.DUMMYFUNCTION("""COMPUTED_VALUE"""),0.0)</f>
        <v>0</v>
      </c>
    </row>
    <row r="42">
      <c r="A42" s="26">
        <f>IFERROR(__xludf.DUMMYFUNCTION("""COMPUTED_VALUE"""),0.0)</f>
        <v>0</v>
      </c>
      <c r="B42" s="26">
        <f>IFERROR(__xludf.DUMMYFUNCTION("""COMPUTED_VALUE"""),0.0)</f>
        <v>0</v>
      </c>
      <c r="C42" s="26">
        <f>IFERROR(__xludf.DUMMYFUNCTION("""COMPUTED_VALUE"""),0.0)</f>
        <v>0</v>
      </c>
      <c r="D42" s="26">
        <f>IFERROR(__xludf.DUMMYFUNCTION("""COMPUTED_VALUE"""),0.0)</f>
        <v>0</v>
      </c>
      <c r="E42" s="26">
        <f>IFERROR(__xludf.DUMMYFUNCTION("""COMPUTED_VALUE"""),0.0)</f>
        <v>0</v>
      </c>
      <c r="F42" s="26">
        <f>IFERROR(__xludf.DUMMYFUNCTION("""COMPUTED_VALUE"""),0.0)</f>
        <v>0</v>
      </c>
      <c r="G42" s="26">
        <f>IFERROR(__xludf.DUMMYFUNCTION("""COMPUTED_VALUE"""),0.0)</f>
        <v>0</v>
      </c>
      <c r="H42" s="26">
        <f>IFERROR(__xludf.DUMMYFUNCTION("""COMPUTED_VALUE"""),0.0)</f>
        <v>0</v>
      </c>
      <c r="I42" s="26">
        <f>IFERROR(__xludf.DUMMYFUNCTION("""COMPUTED_VALUE"""),0.0)</f>
        <v>0</v>
      </c>
      <c r="J42" s="26">
        <f>IFERROR(__xludf.DUMMYFUNCTION("""COMPUTED_VALUE"""),0.0)</f>
        <v>0</v>
      </c>
      <c r="K42" s="26">
        <f>IFERROR(__xludf.DUMMYFUNCTION("""COMPUTED_VALUE"""),0.0)</f>
        <v>0</v>
      </c>
      <c r="L42" s="26">
        <f>IFERROR(__xludf.DUMMYFUNCTION("""COMPUTED_VALUE"""),0.0)</f>
        <v>0</v>
      </c>
      <c r="M42" s="26"/>
      <c r="N42" s="26"/>
      <c r="O42" s="26"/>
      <c r="P42" s="26"/>
      <c r="Q42" s="26"/>
      <c r="R42" s="26">
        <f>IFERROR(__xludf.DUMMYFUNCTION("""COMPUTED_VALUE"""),0.0)</f>
        <v>0</v>
      </c>
      <c r="S42" s="26">
        <f>IFERROR(__xludf.DUMMYFUNCTION("""COMPUTED_VALUE"""),0.0)</f>
        <v>0</v>
      </c>
      <c r="T42" s="26">
        <f>IFERROR(__xludf.DUMMYFUNCTION("""COMPUTED_VALUE"""),0.0)</f>
        <v>0</v>
      </c>
      <c r="U42" s="26">
        <f>IFERROR(__xludf.DUMMYFUNCTION("""COMPUTED_VALUE"""),0.0)</f>
        <v>0</v>
      </c>
      <c r="V42" s="26">
        <f>IFERROR(__xludf.DUMMYFUNCTION("""COMPUTED_VALUE"""),0.0)</f>
        <v>0</v>
      </c>
      <c r="W42" s="26">
        <f>IFERROR(__xludf.DUMMYFUNCTION("""COMPUTED_VALUE"""),0.0)</f>
        <v>0</v>
      </c>
      <c r="X42" s="26">
        <f>IFERROR(__xludf.DUMMYFUNCTION("""COMPUTED_VALUE"""),0.0)</f>
        <v>0</v>
      </c>
      <c r="Y42" s="26">
        <f>IFERROR(__xludf.DUMMYFUNCTION("""COMPUTED_VALUE"""),0.0)</f>
        <v>0</v>
      </c>
      <c r="Z42" s="26">
        <f>IFERROR(__xludf.DUMMYFUNCTION("""COMPUTED_VALUE"""),0.0)</f>
        <v>0</v>
      </c>
      <c r="AA42" s="26">
        <f>IFERROR(__xludf.DUMMYFUNCTION("""COMPUTED_VALUE"""),0.0)</f>
        <v>0</v>
      </c>
      <c r="AB42" s="26">
        <f>IFERROR(__xludf.DUMMYFUNCTION("""COMPUTED_VALUE"""),0.0)</f>
        <v>0</v>
      </c>
      <c r="AC42" s="26">
        <f>IFERROR(__xludf.DUMMYFUNCTION("""COMPUTED_VALUE"""),0.0)</f>
        <v>0</v>
      </c>
      <c r="AD42" s="26">
        <f>IFERROR(__xludf.DUMMYFUNCTION("""COMPUTED_VALUE"""),0.0)</f>
        <v>0</v>
      </c>
      <c r="AE42" s="26">
        <f>IFERROR(__xludf.DUMMYFUNCTION("""COMPUTED_VALUE"""),0.0)</f>
        <v>0</v>
      </c>
    </row>
    <row r="43">
      <c r="A43" s="26">
        <f>IFERROR(__xludf.DUMMYFUNCTION("""COMPUTED_VALUE"""),0.0)</f>
        <v>0</v>
      </c>
      <c r="B43" s="26">
        <f>IFERROR(__xludf.DUMMYFUNCTION("""COMPUTED_VALUE"""),0.0)</f>
        <v>0</v>
      </c>
      <c r="C43" s="26">
        <f>IFERROR(__xludf.DUMMYFUNCTION("""COMPUTED_VALUE"""),0.0)</f>
        <v>0</v>
      </c>
      <c r="D43" s="26">
        <f>IFERROR(__xludf.DUMMYFUNCTION("""COMPUTED_VALUE"""),0.0)</f>
        <v>0</v>
      </c>
      <c r="E43" s="26">
        <f>IFERROR(__xludf.DUMMYFUNCTION("""COMPUTED_VALUE"""),0.0)</f>
        <v>0</v>
      </c>
      <c r="F43" s="26">
        <f>IFERROR(__xludf.DUMMYFUNCTION("""COMPUTED_VALUE"""),0.0)</f>
        <v>0</v>
      </c>
      <c r="G43" s="26">
        <f>IFERROR(__xludf.DUMMYFUNCTION("""COMPUTED_VALUE"""),0.0)</f>
        <v>0</v>
      </c>
      <c r="H43" s="26">
        <f>IFERROR(__xludf.DUMMYFUNCTION("""COMPUTED_VALUE"""),0.0)</f>
        <v>0</v>
      </c>
      <c r="I43" s="26">
        <f>IFERROR(__xludf.DUMMYFUNCTION("""COMPUTED_VALUE"""),0.0)</f>
        <v>0</v>
      </c>
      <c r="J43" s="26">
        <f>IFERROR(__xludf.DUMMYFUNCTION("""COMPUTED_VALUE"""),0.0)</f>
        <v>0</v>
      </c>
      <c r="K43" s="26">
        <f>IFERROR(__xludf.DUMMYFUNCTION("""COMPUTED_VALUE"""),0.0)</f>
        <v>0</v>
      </c>
      <c r="L43" s="26">
        <f>IFERROR(__xludf.DUMMYFUNCTION("""COMPUTED_VALUE"""),0.0)</f>
        <v>0</v>
      </c>
      <c r="M43" s="26"/>
      <c r="N43" s="26"/>
      <c r="O43" s="26"/>
      <c r="P43" s="26"/>
      <c r="Q43" s="26"/>
      <c r="R43" s="26">
        <f>IFERROR(__xludf.DUMMYFUNCTION("""COMPUTED_VALUE"""),0.0)</f>
        <v>0</v>
      </c>
      <c r="S43" s="26">
        <f>IFERROR(__xludf.DUMMYFUNCTION("""COMPUTED_VALUE"""),0.0)</f>
        <v>0</v>
      </c>
      <c r="T43" s="26">
        <f>IFERROR(__xludf.DUMMYFUNCTION("""COMPUTED_VALUE"""),0.0)</f>
        <v>0</v>
      </c>
      <c r="U43" s="26">
        <f>IFERROR(__xludf.DUMMYFUNCTION("""COMPUTED_VALUE"""),0.0)</f>
        <v>0</v>
      </c>
      <c r="V43" s="26">
        <f>IFERROR(__xludf.DUMMYFUNCTION("""COMPUTED_VALUE"""),0.0)</f>
        <v>0</v>
      </c>
      <c r="W43" s="26">
        <f>IFERROR(__xludf.DUMMYFUNCTION("""COMPUTED_VALUE"""),0.0)</f>
        <v>0</v>
      </c>
      <c r="X43" s="26">
        <f>IFERROR(__xludf.DUMMYFUNCTION("""COMPUTED_VALUE"""),0.0)</f>
        <v>0</v>
      </c>
      <c r="Y43" s="26">
        <f>IFERROR(__xludf.DUMMYFUNCTION("""COMPUTED_VALUE"""),0.0)</f>
        <v>0</v>
      </c>
      <c r="Z43" s="26">
        <f>IFERROR(__xludf.DUMMYFUNCTION("""COMPUTED_VALUE"""),0.0)</f>
        <v>0</v>
      </c>
      <c r="AA43" s="26">
        <f>IFERROR(__xludf.DUMMYFUNCTION("""COMPUTED_VALUE"""),0.0)</f>
        <v>0</v>
      </c>
      <c r="AB43" s="26">
        <f>IFERROR(__xludf.DUMMYFUNCTION("""COMPUTED_VALUE"""),0.0)</f>
        <v>0</v>
      </c>
      <c r="AC43" s="26">
        <f>IFERROR(__xludf.DUMMYFUNCTION("""COMPUTED_VALUE"""),0.0)</f>
        <v>0</v>
      </c>
      <c r="AD43" s="26">
        <f>IFERROR(__xludf.DUMMYFUNCTION("""COMPUTED_VALUE"""),0.0)</f>
        <v>0</v>
      </c>
      <c r="AE43" s="26">
        <f>IFERROR(__xludf.DUMMYFUNCTION("""COMPUTED_VALUE"""),0.0)</f>
        <v>0</v>
      </c>
    </row>
    <row r="44">
      <c r="A44" s="26">
        <f>IFERROR(__xludf.DUMMYFUNCTION("""COMPUTED_VALUE"""),0.0)</f>
        <v>0</v>
      </c>
      <c r="B44" s="26">
        <f>IFERROR(__xludf.DUMMYFUNCTION("""COMPUTED_VALUE"""),0.0)</f>
        <v>0</v>
      </c>
      <c r="C44" s="26">
        <f>IFERROR(__xludf.DUMMYFUNCTION("""COMPUTED_VALUE"""),0.0)</f>
        <v>0</v>
      </c>
      <c r="D44" s="26">
        <f>IFERROR(__xludf.DUMMYFUNCTION("""COMPUTED_VALUE"""),0.0)</f>
        <v>0</v>
      </c>
      <c r="E44" s="26">
        <f>IFERROR(__xludf.DUMMYFUNCTION("""COMPUTED_VALUE"""),0.0)</f>
        <v>0</v>
      </c>
      <c r="F44" s="26">
        <f>IFERROR(__xludf.DUMMYFUNCTION("""COMPUTED_VALUE"""),0.0)</f>
        <v>0</v>
      </c>
      <c r="G44" s="26">
        <f>IFERROR(__xludf.DUMMYFUNCTION("""COMPUTED_VALUE"""),0.0)</f>
        <v>0</v>
      </c>
      <c r="H44" s="26">
        <f>IFERROR(__xludf.DUMMYFUNCTION("""COMPUTED_VALUE"""),0.0)</f>
        <v>0</v>
      </c>
      <c r="I44" s="26">
        <f>IFERROR(__xludf.DUMMYFUNCTION("""COMPUTED_VALUE"""),0.0)</f>
        <v>0</v>
      </c>
      <c r="J44" s="26">
        <f>IFERROR(__xludf.DUMMYFUNCTION("""COMPUTED_VALUE"""),0.0)</f>
        <v>0</v>
      </c>
      <c r="K44" s="26">
        <f>IFERROR(__xludf.DUMMYFUNCTION("""COMPUTED_VALUE"""),0.0)</f>
        <v>0</v>
      </c>
      <c r="L44" s="26">
        <f>IFERROR(__xludf.DUMMYFUNCTION("""COMPUTED_VALUE"""),0.0)</f>
        <v>0</v>
      </c>
      <c r="M44" s="26"/>
      <c r="N44" s="26"/>
      <c r="O44" s="26"/>
      <c r="P44" s="26"/>
      <c r="Q44" s="26"/>
      <c r="R44" s="26">
        <f>IFERROR(__xludf.DUMMYFUNCTION("""COMPUTED_VALUE"""),0.0)</f>
        <v>0</v>
      </c>
      <c r="S44" s="26">
        <f>IFERROR(__xludf.DUMMYFUNCTION("""COMPUTED_VALUE"""),0.0)</f>
        <v>0</v>
      </c>
      <c r="T44" s="26">
        <f>IFERROR(__xludf.DUMMYFUNCTION("""COMPUTED_VALUE"""),0.0)</f>
        <v>0</v>
      </c>
      <c r="U44" s="26">
        <f>IFERROR(__xludf.DUMMYFUNCTION("""COMPUTED_VALUE"""),0.0)</f>
        <v>0</v>
      </c>
      <c r="V44" s="26">
        <f>IFERROR(__xludf.DUMMYFUNCTION("""COMPUTED_VALUE"""),0.0)</f>
        <v>0</v>
      </c>
      <c r="W44" s="26">
        <f>IFERROR(__xludf.DUMMYFUNCTION("""COMPUTED_VALUE"""),0.0)</f>
        <v>0</v>
      </c>
      <c r="X44" s="26">
        <f>IFERROR(__xludf.DUMMYFUNCTION("""COMPUTED_VALUE"""),0.0)</f>
        <v>0</v>
      </c>
      <c r="Y44" s="26">
        <f>IFERROR(__xludf.DUMMYFUNCTION("""COMPUTED_VALUE"""),0.0)</f>
        <v>0</v>
      </c>
      <c r="Z44" s="26">
        <f>IFERROR(__xludf.DUMMYFUNCTION("""COMPUTED_VALUE"""),0.0)</f>
        <v>0</v>
      </c>
      <c r="AA44" s="26">
        <f>IFERROR(__xludf.DUMMYFUNCTION("""COMPUTED_VALUE"""),0.0)</f>
        <v>0</v>
      </c>
      <c r="AB44" s="26">
        <f>IFERROR(__xludf.DUMMYFUNCTION("""COMPUTED_VALUE"""),0.0)</f>
        <v>0</v>
      </c>
      <c r="AC44" s="26">
        <f>IFERROR(__xludf.DUMMYFUNCTION("""COMPUTED_VALUE"""),0.0)</f>
        <v>0</v>
      </c>
      <c r="AD44" s="26">
        <f>IFERROR(__xludf.DUMMYFUNCTION("""COMPUTED_VALUE"""),0.0)</f>
        <v>0</v>
      </c>
      <c r="AE44" s="26">
        <f>IFERROR(__xludf.DUMMYFUNCTION("""COMPUTED_VALUE"""),0.0)</f>
        <v>0</v>
      </c>
    </row>
    <row r="45">
      <c r="A45" s="26">
        <f>IFERROR(__xludf.DUMMYFUNCTION("""COMPUTED_VALUE"""),0.0)</f>
        <v>0</v>
      </c>
      <c r="B45" s="26">
        <f>IFERROR(__xludf.DUMMYFUNCTION("""COMPUTED_VALUE"""),0.0)</f>
        <v>0</v>
      </c>
      <c r="C45" s="26">
        <f>IFERROR(__xludf.DUMMYFUNCTION("""COMPUTED_VALUE"""),0.0)</f>
        <v>0</v>
      </c>
      <c r="D45" s="26">
        <f>IFERROR(__xludf.DUMMYFUNCTION("""COMPUTED_VALUE"""),0.0)</f>
        <v>0</v>
      </c>
      <c r="E45" s="26">
        <f>IFERROR(__xludf.DUMMYFUNCTION("""COMPUTED_VALUE"""),0.0)</f>
        <v>0</v>
      </c>
      <c r="F45" s="26">
        <f>IFERROR(__xludf.DUMMYFUNCTION("""COMPUTED_VALUE"""),0.0)</f>
        <v>0</v>
      </c>
      <c r="G45" s="26">
        <f>IFERROR(__xludf.DUMMYFUNCTION("""COMPUTED_VALUE"""),0.0)</f>
        <v>0</v>
      </c>
      <c r="H45" s="26">
        <f>IFERROR(__xludf.DUMMYFUNCTION("""COMPUTED_VALUE"""),0.0)</f>
        <v>0</v>
      </c>
      <c r="I45" s="26">
        <f>IFERROR(__xludf.DUMMYFUNCTION("""COMPUTED_VALUE"""),0.0)</f>
        <v>0</v>
      </c>
      <c r="J45" s="26">
        <f>IFERROR(__xludf.DUMMYFUNCTION("""COMPUTED_VALUE"""),196.0)</f>
        <v>196</v>
      </c>
      <c r="K45" s="26">
        <f>IFERROR(__xludf.DUMMYFUNCTION("""COMPUTED_VALUE"""),0.0)</f>
        <v>0</v>
      </c>
      <c r="L45" s="26">
        <f>IFERROR(__xludf.DUMMYFUNCTION("""COMPUTED_VALUE"""),0.0)</f>
        <v>0</v>
      </c>
      <c r="M45" s="26"/>
      <c r="N45" s="26"/>
      <c r="O45" s="26"/>
      <c r="P45" s="26"/>
      <c r="Q45" s="26"/>
      <c r="R45" s="26">
        <f>IFERROR(__xludf.DUMMYFUNCTION("""COMPUTED_VALUE"""),196.0)</f>
        <v>196</v>
      </c>
      <c r="S45" s="26">
        <f>IFERROR(__xludf.DUMMYFUNCTION("""COMPUTED_VALUE"""),215682.0)</f>
        <v>215682</v>
      </c>
      <c r="T45" s="26">
        <f>IFERROR(__xludf.DUMMYFUNCTION("""COMPUTED_VALUE"""),45472.0)</f>
        <v>45472</v>
      </c>
      <c r="U45" s="26">
        <f>IFERROR(__xludf.DUMMYFUNCTION("""COMPUTED_VALUE"""),78372.38000000006)</f>
        <v>78372.38</v>
      </c>
      <c r="V45" s="26">
        <f>IFERROR(__xludf.DUMMYFUNCTION("""COMPUTED_VALUE"""),0.0)</f>
        <v>0</v>
      </c>
      <c r="W45" s="26">
        <f>IFERROR(__xludf.DUMMYFUNCTION("""COMPUTED_VALUE"""),0.0)</f>
        <v>0</v>
      </c>
      <c r="X45" s="26">
        <f>IFERROR(__xludf.DUMMYFUNCTION("""COMPUTED_VALUE"""),32900.380000000056)</f>
        <v>32900.38</v>
      </c>
      <c r="Y45" s="26">
        <f>IFERROR(__xludf.DUMMYFUNCTION("""COMPUTED_VALUE"""),32900.380000000056)</f>
        <v>32900.38</v>
      </c>
      <c r="Z45" s="26">
        <f>IFERROR(__xludf.DUMMYFUNCTION("""COMPUTED_VALUE"""),215682.0)</f>
        <v>215682</v>
      </c>
      <c r="AA45" s="26">
        <f>IFERROR(__xludf.DUMMYFUNCTION("""COMPUTED_VALUE"""),85237.56999999989)</f>
        <v>85237.57</v>
      </c>
      <c r="AB45" s="26">
        <f>IFERROR(__xludf.DUMMYFUNCTION("""COMPUTED_VALUE"""),137309.62000000032)</f>
        <v>137309.62</v>
      </c>
      <c r="AC45" s="26">
        <f>IFERROR(__xludf.DUMMYFUNCTION("""COMPUTED_VALUE"""),0.0)</f>
        <v>0</v>
      </c>
      <c r="AD45" s="26">
        <f>IFERROR(__xludf.DUMMYFUNCTION("""COMPUTED_VALUE"""),6865.1900000000005)</f>
        <v>6865.19</v>
      </c>
      <c r="AE45" s="26">
        <f>IFERROR(__xludf.DUMMYFUNCTION("""COMPUTED_VALUE"""),130444.43000000014)</f>
        <v>130444.43</v>
      </c>
    </row>
    <row r="46">
      <c r="A46" s="26">
        <f>IFERROR(__xludf.DUMMYFUNCTION("""COMPUTED_VALUE"""),11.0)</f>
        <v>11</v>
      </c>
      <c r="B46" s="26">
        <f>IFERROR(__xludf.DUMMYFUNCTION("""COMPUTED_VALUE"""),0.0)</f>
        <v>0</v>
      </c>
      <c r="C46" s="26">
        <f>IFERROR(__xludf.DUMMYFUNCTION("""COMPUTED_VALUE"""),0.0)</f>
        <v>0</v>
      </c>
      <c r="D46" s="26">
        <f>IFERROR(__xludf.DUMMYFUNCTION("""COMPUTED_VALUE"""),0.0)</f>
        <v>0</v>
      </c>
      <c r="E46" s="26">
        <f>IFERROR(__xludf.DUMMYFUNCTION("""COMPUTED_VALUE"""),9.0)</f>
        <v>9</v>
      </c>
      <c r="F46" s="26">
        <f>IFERROR(__xludf.DUMMYFUNCTION("""COMPUTED_VALUE"""),0.0)</f>
        <v>0</v>
      </c>
      <c r="G46" s="26">
        <f>IFERROR(__xludf.DUMMYFUNCTION("""COMPUTED_VALUE"""),0.0)</f>
        <v>0</v>
      </c>
      <c r="H46" s="26">
        <f>IFERROR(__xludf.DUMMYFUNCTION("""COMPUTED_VALUE"""),0.0)</f>
        <v>0</v>
      </c>
      <c r="I46" s="26">
        <f>IFERROR(__xludf.DUMMYFUNCTION("""COMPUTED_VALUE"""),0.0)</f>
        <v>0</v>
      </c>
      <c r="J46" s="26">
        <f>IFERROR(__xludf.DUMMYFUNCTION("""COMPUTED_VALUE"""),0.0)</f>
        <v>0</v>
      </c>
      <c r="K46" s="26">
        <f>IFERROR(__xludf.DUMMYFUNCTION("""COMPUTED_VALUE"""),0.0)</f>
        <v>0</v>
      </c>
      <c r="L46" s="26">
        <f>IFERROR(__xludf.DUMMYFUNCTION("""COMPUTED_VALUE"""),0.0)</f>
        <v>0</v>
      </c>
      <c r="M46" s="26"/>
      <c r="N46" s="26"/>
      <c r="O46" s="26"/>
      <c r="P46" s="26"/>
      <c r="Q46" s="26"/>
      <c r="R46" s="26">
        <f>IFERROR(__xludf.DUMMYFUNCTION("""COMPUTED_VALUE"""),20.0)</f>
        <v>20</v>
      </c>
      <c r="S46" s="26">
        <f>IFERROR(__xludf.DUMMYFUNCTION("""COMPUTED_VALUE"""),5800.290000000001)</f>
        <v>5800.29</v>
      </c>
      <c r="T46" s="26">
        <f>IFERROR(__xludf.DUMMYFUNCTION("""COMPUTED_VALUE"""),4915.5)</f>
        <v>4915.5</v>
      </c>
      <c r="U46" s="26">
        <f>IFERROR(__xludf.DUMMYFUNCTION("""COMPUTED_VALUE"""),5800.29)</f>
        <v>5800.29</v>
      </c>
      <c r="V46" s="26">
        <f>IFERROR(__xludf.DUMMYFUNCTION("""COMPUTED_VALUE"""),0.0)</f>
        <v>0</v>
      </c>
      <c r="W46" s="26">
        <f>IFERROR(__xludf.DUMMYFUNCTION("""COMPUTED_VALUE"""),0.0)</f>
        <v>0</v>
      </c>
      <c r="X46" s="26">
        <f>IFERROR(__xludf.DUMMYFUNCTION("""COMPUTED_VALUE"""),884.7899999999998)</f>
        <v>884.79</v>
      </c>
      <c r="Y46" s="26">
        <f>IFERROR(__xludf.DUMMYFUNCTION("""COMPUTED_VALUE"""),884.7899999999998)</f>
        <v>884.79</v>
      </c>
      <c r="Z46" s="26">
        <f>IFERROR(__xludf.DUMMYFUNCTION("""COMPUTED_VALUE"""),16400.82000000001)</f>
        <v>16400.82</v>
      </c>
      <c r="AA46" s="26">
        <f>IFERROR(__xludf.DUMMYFUNCTION("""COMPUTED_VALUE"""),16400.82000000001)</f>
        <v>16400.82</v>
      </c>
      <c r="AB46" s="26">
        <f>IFERROR(__xludf.DUMMYFUNCTION("""COMPUTED_VALUE"""),0.0)</f>
        <v>0</v>
      </c>
      <c r="AC46" s="26">
        <f>IFERROR(__xludf.DUMMYFUNCTION("""COMPUTED_VALUE"""),0.0)</f>
        <v>0</v>
      </c>
      <c r="AD46" s="26">
        <f>IFERROR(__xludf.DUMMYFUNCTION("""COMPUTED_VALUE"""),0.0)</f>
        <v>0</v>
      </c>
      <c r="AE46" s="26">
        <f>IFERROR(__xludf.DUMMYFUNCTION("""COMPUTED_VALUE"""),0.0)</f>
        <v>0</v>
      </c>
    </row>
    <row r="47">
      <c r="A47" s="26">
        <f>IFERROR(__xludf.DUMMYFUNCTION("""COMPUTED_VALUE"""),0.0)</f>
        <v>0</v>
      </c>
      <c r="B47" s="26">
        <f>IFERROR(__xludf.DUMMYFUNCTION("""COMPUTED_VALUE"""),0.0)</f>
        <v>0</v>
      </c>
      <c r="C47" s="26">
        <f>IFERROR(__xludf.DUMMYFUNCTION("""COMPUTED_VALUE"""),0.0)</f>
        <v>0</v>
      </c>
      <c r="D47" s="26">
        <f>IFERROR(__xludf.DUMMYFUNCTION("""COMPUTED_VALUE"""),0.0)</f>
        <v>0</v>
      </c>
      <c r="E47" s="26">
        <f>IFERROR(__xludf.DUMMYFUNCTION("""COMPUTED_VALUE"""),0.0)</f>
        <v>0</v>
      </c>
      <c r="F47" s="26">
        <f>IFERROR(__xludf.DUMMYFUNCTION("""COMPUTED_VALUE"""),0.0)</f>
        <v>0</v>
      </c>
      <c r="G47" s="26">
        <f>IFERROR(__xludf.DUMMYFUNCTION("""COMPUTED_VALUE"""),0.0)</f>
        <v>0</v>
      </c>
      <c r="H47" s="26">
        <f>IFERROR(__xludf.DUMMYFUNCTION("""COMPUTED_VALUE"""),0.0)</f>
        <v>0</v>
      </c>
      <c r="I47" s="26">
        <f>IFERROR(__xludf.DUMMYFUNCTION("""COMPUTED_VALUE"""),0.0)</f>
        <v>0</v>
      </c>
      <c r="J47" s="26">
        <f>IFERROR(__xludf.DUMMYFUNCTION("""COMPUTED_VALUE"""),0.0)</f>
        <v>0</v>
      </c>
      <c r="K47" s="26">
        <f>IFERROR(__xludf.DUMMYFUNCTION("""COMPUTED_VALUE"""),0.0)</f>
        <v>0</v>
      </c>
      <c r="L47" s="26">
        <f>IFERROR(__xludf.DUMMYFUNCTION("""COMPUTED_VALUE"""),0.0)</f>
        <v>0</v>
      </c>
      <c r="M47" s="26"/>
      <c r="N47" s="26"/>
      <c r="O47" s="26"/>
      <c r="P47" s="26"/>
      <c r="Q47" s="26"/>
      <c r="R47" s="26">
        <f>IFERROR(__xludf.DUMMYFUNCTION("""COMPUTED_VALUE"""),0.0)</f>
        <v>0</v>
      </c>
      <c r="S47" s="26">
        <f>IFERROR(__xludf.DUMMYFUNCTION("""COMPUTED_VALUE"""),0.0)</f>
        <v>0</v>
      </c>
      <c r="T47" s="26">
        <f>IFERROR(__xludf.DUMMYFUNCTION("""COMPUTED_VALUE"""),0.0)</f>
        <v>0</v>
      </c>
      <c r="U47" s="26">
        <f>IFERROR(__xludf.DUMMYFUNCTION("""COMPUTED_VALUE"""),0.0)</f>
        <v>0</v>
      </c>
      <c r="V47" s="26">
        <f>IFERROR(__xludf.DUMMYFUNCTION("""COMPUTED_VALUE"""),0.0)</f>
        <v>0</v>
      </c>
      <c r="W47" s="26">
        <f>IFERROR(__xludf.DUMMYFUNCTION("""COMPUTED_VALUE"""),0.0)</f>
        <v>0</v>
      </c>
      <c r="X47" s="26">
        <f>IFERROR(__xludf.DUMMYFUNCTION("""COMPUTED_VALUE"""),0.0)</f>
        <v>0</v>
      </c>
      <c r="Y47" s="26">
        <f>IFERROR(__xludf.DUMMYFUNCTION("""COMPUTED_VALUE"""),0.0)</f>
        <v>0</v>
      </c>
      <c r="Z47" s="26">
        <f>IFERROR(__xludf.DUMMYFUNCTION("""COMPUTED_VALUE"""),0.0)</f>
        <v>0</v>
      </c>
      <c r="AA47" s="26">
        <f>IFERROR(__xludf.DUMMYFUNCTION("""COMPUTED_VALUE"""),0.0)</f>
        <v>0</v>
      </c>
      <c r="AB47" s="26">
        <f>IFERROR(__xludf.DUMMYFUNCTION("""COMPUTED_VALUE"""),0.0)</f>
        <v>0</v>
      </c>
      <c r="AC47" s="26">
        <f>IFERROR(__xludf.DUMMYFUNCTION("""COMPUTED_VALUE"""),0.0)</f>
        <v>0</v>
      </c>
      <c r="AD47" s="26">
        <f>IFERROR(__xludf.DUMMYFUNCTION("""COMPUTED_VALUE"""),0.0)</f>
        <v>0</v>
      </c>
      <c r="AE47" s="26">
        <f>IFERROR(__xludf.DUMMYFUNCTION("""COMPUTED_VALUE"""),0.0)</f>
        <v>0</v>
      </c>
    </row>
    <row r="48">
      <c r="A48" s="26">
        <f>IFERROR(__xludf.DUMMYFUNCTION("""COMPUTED_VALUE"""),3.0)</f>
        <v>3</v>
      </c>
      <c r="B48" s="26">
        <f>IFERROR(__xludf.DUMMYFUNCTION("""COMPUTED_VALUE"""),0.0)</f>
        <v>0</v>
      </c>
      <c r="C48" s="26">
        <f>IFERROR(__xludf.DUMMYFUNCTION("""COMPUTED_VALUE"""),0.0)</f>
        <v>0</v>
      </c>
      <c r="D48" s="26">
        <f>IFERROR(__xludf.DUMMYFUNCTION("""COMPUTED_VALUE"""),0.0)</f>
        <v>0</v>
      </c>
      <c r="E48" s="26">
        <f>IFERROR(__xludf.DUMMYFUNCTION("""COMPUTED_VALUE"""),0.0)</f>
        <v>0</v>
      </c>
      <c r="F48" s="26">
        <f>IFERROR(__xludf.DUMMYFUNCTION("""COMPUTED_VALUE"""),0.0)</f>
        <v>0</v>
      </c>
      <c r="G48" s="26">
        <f>IFERROR(__xludf.DUMMYFUNCTION("""COMPUTED_VALUE"""),0.0)</f>
        <v>0</v>
      </c>
      <c r="H48" s="26">
        <f>IFERROR(__xludf.DUMMYFUNCTION("""COMPUTED_VALUE"""),0.0)</f>
        <v>0</v>
      </c>
      <c r="I48" s="26">
        <f>IFERROR(__xludf.DUMMYFUNCTION("""COMPUTED_VALUE"""),0.0)</f>
        <v>0</v>
      </c>
      <c r="J48" s="26">
        <f>IFERROR(__xludf.DUMMYFUNCTION("""COMPUTED_VALUE"""),0.0)</f>
        <v>0</v>
      </c>
      <c r="K48" s="26">
        <f>IFERROR(__xludf.DUMMYFUNCTION("""COMPUTED_VALUE"""),0.0)</f>
        <v>0</v>
      </c>
      <c r="L48" s="26">
        <f>IFERROR(__xludf.DUMMYFUNCTION("""COMPUTED_VALUE"""),0.0)</f>
        <v>0</v>
      </c>
      <c r="M48" s="26"/>
      <c r="N48" s="26"/>
      <c r="O48" s="26"/>
      <c r="P48" s="26"/>
      <c r="Q48" s="26"/>
      <c r="R48" s="26">
        <f>IFERROR(__xludf.DUMMYFUNCTION("""COMPUTED_VALUE"""),3.0)</f>
        <v>3</v>
      </c>
      <c r="S48" s="26">
        <f>IFERROR(__xludf.DUMMYFUNCTION("""COMPUTED_VALUE"""),1326.0)</f>
        <v>1326</v>
      </c>
      <c r="T48" s="26">
        <f>IFERROR(__xludf.DUMMYFUNCTION("""COMPUTED_VALUE"""),480.0)</f>
        <v>480</v>
      </c>
      <c r="U48" s="26">
        <f>IFERROR(__xludf.DUMMYFUNCTION("""COMPUTED_VALUE"""),682.26)</f>
        <v>682.26</v>
      </c>
      <c r="V48" s="26">
        <f>IFERROR(__xludf.DUMMYFUNCTION("""COMPUTED_VALUE"""),0.0)</f>
        <v>0</v>
      </c>
      <c r="W48" s="26">
        <f>IFERROR(__xludf.DUMMYFUNCTION("""COMPUTED_VALUE"""),0.0)</f>
        <v>0</v>
      </c>
      <c r="X48" s="26">
        <f>IFERROR(__xludf.DUMMYFUNCTION("""COMPUTED_VALUE"""),202.26)</f>
        <v>202.26</v>
      </c>
      <c r="Y48" s="26">
        <f>IFERROR(__xludf.DUMMYFUNCTION("""COMPUTED_VALUE"""),202.26)</f>
        <v>202.26</v>
      </c>
      <c r="Z48" s="26">
        <f>IFERROR(__xludf.DUMMYFUNCTION("""COMPUTED_VALUE"""),1326.0)</f>
        <v>1326</v>
      </c>
      <c r="AA48" s="26">
        <f>IFERROR(__xludf.DUMMYFUNCTION("""COMPUTED_VALUE"""),714.45)</f>
        <v>714.45</v>
      </c>
      <c r="AB48" s="26">
        <f>IFERROR(__xludf.DUMMYFUNCTION("""COMPUTED_VALUE"""),643.74)</f>
        <v>643.74</v>
      </c>
      <c r="AC48" s="26">
        <f>IFERROR(__xludf.DUMMYFUNCTION("""COMPUTED_VALUE"""),0.0)</f>
        <v>0</v>
      </c>
      <c r="AD48" s="26">
        <f>IFERROR(__xludf.DUMMYFUNCTION("""COMPUTED_VALUE"""),32.19)</f>
        <v>32.19</v>
      </c>
      <c r="AE48" s="26">
        <f>IFERROR(__xludf.DUMMYFUNCTION("""COMPUTED_VALUE"""),611.55)</f>
        <v>611.55</v>
      </c>
    </row>
    <row r="49">
      <c r="A49" s="26">
        <f>IFERROR(__xludf.DUMMYFUNCTION("""COMPUTED_VALUE"""),0.0)</f>
        <v>0</v>
      </c>
      <c r="B49" s="26">
        <f>IFERROR(__xludf.DUMMYFUNCTION("""COMPUTED_VALUE"""),0.0)</f>
        <v>0</v>
      </c>
      <c r="C49" s="26">
        <f>IFERROR(__xludf.DUMMYFUNCTION("""COMPUTED_VALUE"""),0.0)</f>
        <v>0</v>
      </c>
      <c r="D49" s="26">
        <f>IFERROR(__xludf.DUMMYFUNCTION("""COMPUTED_VALUE"""),0.0)</f>
        <v>0</v>
      </c>
      <c r="E49" s="26">
        <f>IFERROR(__xludf.DUMMYFUNCTION("""COMPUTED_VALUE"""),71.0)</f>
        <v>71</v>
      </c>
      <c r="F49" s="26">
        <f>IFERROR(__xludf.DUMMYFUNCTION("""COMPUTED_VALUE"""),0.0)</f>
        <v>0</v>
      </c>
      <c r="G49" s="26">
        <f>IFERROR(__xludf.DUMMYFUNCTION("""COMPUTED_VALUE"""),0.0)</f>
        <v>0</v>
      </c>
      <c r="H49" s="26">
        <f>IFERROR(__xludf.DUMMYFUNCTION("""COMPUTED_VALUE"""),0.0)</f>
        <v>0</v>
      </c>
      <c r="I49" s="26">
        <f>IFERROR(__xludf.DUMMYFUNCTION("""COMPUTED_VALUE"""),0.0)</f>
        <v>0</v>
      </c>
      <c r="J49" s="26">
        <f>IFERROR(__xludf.DUMMYFUNCTION("""COMPUTED_VALUE"""),0.0)</f>
        <v>0</v>
      </c>
      <c r="K49" s="26">
        <f>IFERROR(__xludf.DUMMYFUNCTION("""COMPUTED_VALUE"""),0.0)</f>
        <v>0</v>
      </c>
      <c r="L49" s="26">
        <f>IFERROR(__xludf.DUMMYFUNCTION("""COMPUTED_VALUE"""),0.0)</f>
        <v>0</v>
      </c>
      <c r="M49" s="26"/>
      <c r="N49" s="26"/>
      <c r="O49" s="26"/>
      <c r="P49" s="26"/>
      <c r="Q49" s="26"/>
      <c r="R49" s="26">
        <f>IFERROR(__xludf.DUMMYFUNCTION("""COMPUTED_VALUE"""),71.0)</f>
        <v>71</v>
      </c>
      <c r="S49" s="26">
        <f>IFERROR(__xludf.DUMMYFUNCTION("""COMPUTED_VALUE"""),105790.0)</f>
        <v>105790</v>
      </c>
      <c r="T49" s="26">
        <f>IFERROR(__xludf.DUMMYFUNCTION("""COMPUTED_VALUE"""),25560.0)</f>
        <v>25560</v>
      </c>
      <c r="U49" s="26">
        <f>IFERROR(__xludf.DUMMYFUNCTION("""COMPUTED_VALUE"""),41697.590000000026)</f>
        <v>41697.59</v>
      </c>
      <c r="V49" s="26">
        <f>IFERROR(__xludf.DUMMYFUNCTION("""COMPUTED_VALUE"""),0.0)</f>
        <v>0</v>
      </c>
      <c r="W49" s="26">
        <f>IFERROR(__xludf.DUMMYFUNCTION("""COMPUTED_VALUE"""),0.0)</f>
        <v>0</v>
      </c>
      <c r="X49" s="26">
        <f>IFERROR(__xludf.DUMMYFUNCTION("""COMPUTED_VALUE"""),16137.59000000003)</f>
        <v>16137.59</v>
      </c>
      <c r="Y49" s="26">
        <f>IFERROR(__xludf.DUMMYFUNCTION("""COMPUTED_VALUE"""),16137.59000000003)</f>
        <v>16137.59</v>
      </c>
      <c r="Z49" s="26">
        <f>IFERROR(__xludf.DUMMYFUNCTION("""COMPUTED_VALUE"""),105790.0)</f>
        <v>105790</v>
      </c>
      <c r="AA49" s="26">
        <f>IFERROR(__xludf.DUMMYFUNCTION("""COMPUTED_VALUE"""),44902.53000000001)</f>
        <v>44902.53</v>
      </c>
      <c r="AB49" s="26">
        <f>IFERROR(__xludf.DUMMYFUNCTION("""COMPUTED_VALUE"""),64092.40999999995)</f>
        <v>64092.41</v>
      </c>
      <c r="AC49" s="26">
        <f>IFERROR(__xludf.DUMMYFUNCTION("""COMPUTED_VALUE"""),0.0)</f>
        <v>0</v>
      </c>
      <c r="AD49" s="26">
        <f>IFERROR(__xludf.DUMMYFUNCTION("""COMPUTED_VALUE"""),3204.9399999999987)</f>
        <v>3204.94</v>
      </c>
      <c r="AE49" s="26">
        <f>IFERROR(__xludf.DUMMYFUNCTION("""COMPUTED_VALUE"""),60887.46999999999)</f>
        <v>60887.47</v>
      </c>
    </row>
    <row r="50">
      <c r="A50" s="26">
        <f>IFERROR(__xludf.DUMMYFUNCTION("""COMPUTED_VALUE"""),0.0)</f>
        <v>0</v>
      </c>
      <c r="B50" s="26">
        <f>IFERROR(__xludf.DUMMYFUNCTION("""COMPUTED_VALUE"""),0.0)</f>
        <v>0</v>
      </c>
      <c r="C50" s="26">
        <f>IFERROR(__xludf.DUMMYFUNCTION("""COMPUTED_VALUE"""),0.0)</f>
        <v>0</v>
      </c>
      <c r="D50" s="26">
        <f>IFERROR(__xludf.DUMMYFUNCTION("""COMPUTED_VALUE"""),0.0)</f>
        <v>0</v>
      </c>
      <c r="E50" s="26">
        <f>IFERROR(__xludf.DUMMYFUNCTION("""COMPUTED_VALUE"""),0.0)</f>
        <v>0</v>
      </c>
      <c r="F50" s="26">
        <f>IFERROR(__xludf.DUMMYFUNCTION("""COMPUTED_VALUE"""),0.0)</f>
        <v>0</v>
      </c>
      <c r="G50" s="26">
        <f>IFERROR(__xludf.DUMMYFUNCTION("""COMPUTED_VALUE"""),0.0)</f>
        <v>0</v>
      </c>
      <c r="H50" s="26">
        <f>IFERROR(__xludf.DUMMYFUNCTION("""COMPUTED_VALUE"""),0.0)</f>
        <v>0</v>
      </c>
      <c r="I50" s="26">
        <f>IFERROR(__xludf.DUMMYFUNCTION("""COMPUTED_VALUE"""),0.0)</f>
        <v>0</v>
      </c>
      <c r="J50" s="26">
        <f>IFERROR(__xludf.DUMMYFUNCTION("""COMPUTED_VALUE"""),0.0)</f>
        <v>0</v>
      </c>
      <c r="K50" s="26">
        <f>IFERROR(__xludf.DUMMYFUNCTION("""COMPUTED_VALUE"""),0.0)</f>
        <v>0</v>
      </c>
      <c r="L50" s="26">
        <f>IFERROR(__xludf.DUMMYFUNCTION("""COMPUTED_VALUE"""),0.0)</f>
        <v>0</v>
      </c>
      <c r="M50" s="26"/>
      <c r="N50" s="26"/>
      <c r="O50" s="26"/>
      <c r="P50" s="26"/>
      <c r="Q50" s="26"/>
      <c r="R50" s="26">
        <f>IFERROR(__xludf.DUMMYFUNCTION("""COMPUTED_VALUE"""),0.0)</f>
        <v>0</v>
      </c>
      <c r="S50" s="26">
        <f>IFERROR(__xludf.DUMMYFUNCTION("""COMPUTED_VALUE"""),0.0)</f>
        <v>0</v>
      </c>
      <c r="T50" s="26">
        <f>IFERROR(__xludf.DUMMYFUNCTION("""COMPUTED_VALUE"""),0.0)</f>
        <v>0</v>
      </c>
      <c r="U50" s="26">
        <f>IFERROR(__xludf.DUMMYFUNCTION("""COMPUTED_VALUE"""),0.0)</f>
        <v>0</v>
      </c>
      <c r="V50" s="26">
        <f>IFERROR(__xludf.DUMMYFUNCTION("""COMPUTED_VALUE"""),0.0)</f>
        <v>0</v>
      </c>
      <c r="W50" s="26">
        <f>IFERROR(__xludf.DUMMYFUNCTION("""COMPUTED_VALUE"""),0.0)</f>
        <v>0</v>
      </c>
      <c r="X50" s="26">
        <f>IFERROR(__xludf.DUMMYFUNCTION("""COMPUTED_VALUE"""),0.0)</f>
        <v>0</v>
      </c>
      <c r="Y50" s="26">
        <f>IFERROR(__xludf.DUMMYFUNCTION("""COMPUTED_VALUE"""),0.0)</f>
        <v>0</v>
      </c>
      <c r="Z50" s="26">
        <f>IFERROR(__xludf.DUMMYFUNCTION("""COMPUTED_VALUE"""),0.0)</f>
        <v>0</v>
      </c>
      <c r="AA50" s="26">
        <f>IFERROR(__xludf.DUMMYFUNCTION("""COMPUTED_VALUE"""),0.0)</f>
        <v>0</v>
      </c>
      <c r="AB50" s="26">
        <f>IFERROR(__xludf.DUMMYFUNCTION("""COMPUTED_VALUE"""),0.0)</f>
        <v>0</v>
      </c>
      <c r="AC50" s="26">
        <f>IFERROR(__xludf.DUMMYFUNCTION("""COMPUTED_VALUE"""),0.0)</f>
        <v>0</v>
      </c>
      <c r="AD50" s="26">
        <f>IFERROR(__xludf.DUMMYFUNCTION("""COMPUTED_VALUE"""),0.0)</f>
        <v>0</v>
      </c>
      <c r="AE50" s="26">
        <f>IFERROR(__xludf.DUMMYFUNCTION("""COMPUTED_VALUE"""),0.0)</f>
        <v>0</v>
      </c>
    </row>
    <row r="51">
      <c r="A51" s="26">
        <f>IFERROR(__xludf.DUMMYFUNCTION("""COMPUTED_VALUE"""),29.0)</f>
        <v>29</v>
      </c>
      <c r="B51" s="26">
        <f>IFERROR(__xludf.DUMMYFUNCTION("""COMPUTED_VALUE"""),0.0)</f>
        <v>0</v>
      </c>
      <c r="C51" s="26">
        <f>IFERROR(__xludf.DUMMYFUNCTION("""COMPUTED_VALUE"""),0.0)</f>
        <v>0</v>
      </c>
      <c r="D51" s="26">
        <f>IFERROR(__xludf.DUMMYFUNCTION("""COMPUTED_VALUE"""),0.0)</f>
        <v>0</v>
      </c>
      <c r="E51" s="26">
        <f>IFERROR(__xludf.DUMMYFUNCTION("""COMPUTED_VALUE"""),0.0)</f>
        <v>0</v>
      </c>
      <c r="F51" s="26">
        <f>IFERROR(__xludf.DUMMYFUNCTION("""COMPUTED_VALUE"""),0.0)</f>
        <v>0</v>
      </c>
      <c r="G51" s="26">
        <f>IFERROR(__xludf.DUMMYFUNCTION("""COMPUTED_VALUE"""),0.0)</f>
        <v>0</v>
      </c>
      <c r="H51" s="26">
        <f>IFERROR(__xludf.DUMMYFUNCTION("""COMPUTED_VALUE"""),0.0)</f>
        <v>0</v>
      </c>
      <c r="I51" s="26">
        <f>IFERROR(__xludf.DUMMYFUNCTION("""COMPUTED_VALUE"""),0.0)</f>
        <v>0</v>
      </c>
      <c r="J51" s="26">
        <f>IFERROR(__xludf.DUMMYFUNCTION("""COMPUTED_VALUE"""),0.0)</f>
        <v>0</v>
      </c>
      <c r="K51" s="26">
        <f>IFERROR(__xludf.DUMMYFUNCTION("""COMPUTED_VALUE"""),0.0)</f>
        <v>0</v>
      </c>
      <c r="L51" s="26">
        <f>IFERROR(__xludf.DUMMYFUNCTION("""COMPUTED_VALUE"""),0.0)</f>
        <v>0</v>
      </c>
      <c r="M51" s="26"/>
      <c r="N51" s="26"/>
      <c r="O51" s="26"/>
      <c r="P51" s="26"/>
      <c r="Q51" s="26"/>
      <c r="R51" s="26">
        <f>IFERROR(__xludf.DUMMYFUNCTION("""COMPUTED_VALUE"""),29.0)</f>
        <v>29</v>
      </c>
      <c r="S51" s="26">
        <f>IFERROR(__xludf.DUMMYFUNCTION("""COMPUTED_VALUE"""),13810.0)</f>
        <v>13810</v>
      </c>
      <c r="T51" s="26">
        <f>IFERROR(__xludf.DUMMYFUNCTION("""COMPUTED_VALUE"""),4640.0)</f>
        <v>4640</v>
      </c>
      <c r="U51" s="26">
        <f>IFERROR(__xludf.DUMMYFUNCTION("""COMPUTED_VALUE"""),6746.71)</f>
        <v>6746.71</v>
      </c>
      <c r="V51" s="26">
        <f>IFERROR(__xludf.DUMMYFUNCTION("""COMPUTED_VALUE"""),0.0)</f>
        <v>0</v>
      </c>
      <c r="W51" s="26">
        <f>IFERROR(__xludf.DUMMYFUNCTION("""COMPUTED_VALUE"""),0.0)</f>
        <v>0</v>
      </c>
      <c r="X51" s="26">
        <f>IFERROR(__xludf.DUMMYFUNCTION("""COMPUTED_VALUE"""),2106.71)</f>
        <v>2106.71</v>
      </c>
      <c r="Y51" s="26">
        <f>IFERROR(__xludf.DUMMYFUNCTION("""COMPUTED_VALUE"""),2106.71)</f>
        <v>2106.71</v>
      </c>
      <c r="Z51" s="26">
        <f>IFERROR(__xludf.DUMMYFUNCTION("""COMPUTED_VALUE"""),0.0)</f>
        <v>0</v>
      </c>
      <c r="AA51" s="26">
        <f>IFERROR(__xludf.DUMMYFUNCTION("""COMPUTED_VALUE"""),0.0)</f>
        <v>0</v>
      </c>
      <c r="AB51" s="26">
        <f>IFERROR(__xludf.DUMMYFUNCTION("""COMPUTED_VALUE"""),0.0)</f>
        <v>0</v>
      </c>
      <c r="AC51" s="26">
        <f>IFERROR(__xludf.DUMMYFUNCTION("""COMPUTED_VALUE"""),0.0)</f>
        <v>0</v>
      </c>
      <c r="AD51" s="26">
        <f>IFERROR(__xludf.DUMMYFUNCTION("""COMPUTED_VALUE"""),0.0)</f>
        <v>0</v>
      </c>
      <c r="AE51" s="26">
        <f>IFERROR(__xludf.DUMMYFUNCTION("""COMPUTED_VALUE"""),0.0)</f>
        <v>0</v>
      </c>
    </row>
    <row r="52">
      <c r="A52" s="26">
        <f>IFERROR(__xludf.DUMMYFUNCTION("""COMPUTED_VALUE"""),0.0)</f>
        <v>0</v>
      </c>
      <c r="B52" s="26">
        <f>IFERROR(__xludf.DUMMYFUNCTION("""COMPUTED_VALUE"""),0.0)</f>
        <v>0</v>
      </c>
      <c r="C52" s="26">
        <f>IFERROR(__xludf.DUMMYFUNCTION("""COMPUTED_VALUE"""),0.0)</f>
        <v>0</v>
      </c>
      <c r="D52" s="26">
        <f>IFERROR(__xludf.DUMMYFUNCTION("""COMPUTED_VALUE"""),0.0)</f>
        <v>0</v>
      </c>
      <c r="E52" s="26">
        <f>IFERROR(__xludf.DUMMYFUNCTION("""COMPUTED_VALUE"""),0.0)</f>
        <v>0</v>
      </c>
      <c r="F52" s="26">
        <f>IFERROR(__xludf.DUMMYFUNCTION("""COMPUTED_VALUE"""),0.0)</f>
        <v>0</v>
      </c>
      <c r="G52" s="26">
        <f>IFERROR(__xludf.DUMMYFUNCTION("""COMPUTED_VALUE"""),0.0)</f>
        <v>0</v>
      </c>
      <c r="H52" s="26">
        <f>IFERROR(__xludf.DUMMYFUNCTION("""COMPUTED_VALUE"""),0.0)</f>
        <v>0</v>
      </c>
      <c r="I52" s="26">
        <f>IFERROR(__xludf.DUMMYFUNCTION("""COMPUTED_VALUE"""),0.0)</f>
        <v>0</v>
      </c>
      <c r="J52" s="26">
        <f>IFERROR(__xludf.DUMMYFUNCTION("""COMPUTED_VALUE"""),0.0)</f>
        <v>0</v>
      </c>
      <c r="K52" s="26">
        <f>IFERROR(__xludf.DUMMYFUNCTION("""COMPUTED_VALUE"""),0.0)</f>
        <v>0</v>
      </c>
      <c r="L52" s="26">
        <f>IFERROR(__xludf.DUMMYFUNCTION("""COMPUTED_VALUE"""),0.0)</f>
        <v>0</v>
      </c>
      <c r="M52" s="26"/>
      <c r="N52" s="26"/>
      <c r="O52" s="26"/>
      <c r="P52" s="26"/>
      <c r="Q52" s="26"/>
      <c r="R52" s="26">
        <f>IFERROR(__xludf.DUMMYFUNCTION("""COMPUTED_VALUE"""),0.0)</f>
        <v>0</v>
      </c>
      <c r="S52" s="26">
        <f>IFERROR(__xludf.DUMMYFUNCTION("""COMPUTED_VALUE"""),0.0)</f>
        <v>0</v>
      </c>
      <c r="T52" s="26">
        <f>IFERROR(__xludf.DUMMYFUNCTION("""COMPUTED_VALUE"""),0.0)</f>
        <v>0</v>
      </c>
      <c r="U52" s="26">
        <f>IFERROR(__xludf.DUMMYFUNCTION("""COMPUTED_VALUE"""),0.0)</f>
        <v>0</v>
      </c>
      <c r="V52" s="26">
        <f>IFERROR(__xludf.DUMMYFUNCTION("""COMPUTED_VALUE"""),0.0)</f>
        <v>0</v>
      </c>
      <c r="W52" s="26">
        <f>IFERROR(__xludf.DUMMYFUNCTION("""COMPUTED_VALUE"""),0.0)</f>
        <v>0</v>
      </c>
      <c r="X52" s="26">
        <f>IFERROR(__xludf.DUMMYFUNCTION("""COMPUTED_VALUE"""),0.0)</f>
        <v>0</v>
      </c>
      <c r="Y52" s="26">
        <f>IFERROR(__xludf.DUMMYFUNCTION("""COMPUTED_VALUE"""),0.0)</f>
        <v>0</v>
      </c>
      <c r="Z52" s="26">
        <f>IFERROR(__xludf.DUMMYFUNCTION("""COMPUTED_VALUE"""),0.0)</f>
        <v>0</v>
      </c>
      <c r="AA52" s="26">
        <f>IFERROR(__xludf.DUMMYFUNCTION("""COMPUTED_VALUE"""),0.0)</f>
        <v>0</v>
      </c>
      <c r="AB52" s="26">
        <f>IFERROR(__xludf.DUMMYFUNCTION("""COMPUTED_VALUE"""),0.0)</f>
        <v>0</v>
      </c>
      <c r="AC52" s="26">
        <f>IFERROR(__xludf.DUMMYFUNCTION("""COMPUTED_VALUE"""),0.0)</f>
        <v>0</v>
      </c>
      <c r="AD52" s="26">
        <f>IFERROR(__xludf.DUMMYFUNCTION("""COMPUTED_VALUE"""),0.0)</f>
        <v>0</v>
      </c>
      <c r="AE52" s="26">
        <f>IFERROR(__xludf.DUMMYFUNCTION("""COMPUTED_VALUE"""),0.0)</f>
        <v>0</v>
      </c>
    </row>
    <row r="53">
      <c r="A53" s="26">
        <f>IFERROR(__xludf.DUMMYFUNCTION("""COMPUTED_VALUE"""),0.0)</f>
        <v>0</v>
      </c>
      <c r="B53" s="26">
        <f>IFERROR(__xludf.DUMMYFUNCTION("""COMPUTED_VALUE"""),0.0)</f>
        <v>0</v>
      </c>
      <c r="C53" s="26">
        <f>IFERROR(__xludf.DUMMYFUNCTION("""COMPUTED_VALUE"""),0.0)</f>
        <v>0</v>
      </c>
      <c r="D53" s="26">
        <f>IFERROR(__xludf.DUMMYFUNCTION("""COMPUTED_VALUE"""),0.0)</f>
        <v>0</v>
      </c>
      <c r="E53" s="26">
        <f>IFERROR(__xludf.DUMMYFUNCTION("""COMPUTED_VALUE"""),0.0)</f>
        <v>0</v>
      </c>
      <c r="F53" s="26">
        <f>IFERROR(__xludf.DUMMYFUNCTION("""COMPUTED_VALUE"""),0.0)</f>
        <v>0</v>
      </c>
      <c r="G53" s="26">
        <f>IFERROR(__xludf.DUMMYFUNCTION("""COMPUTED_VALUE"""),0.0)</f>
        <v>0</v>
      </c>
      <c r="H53" s="26">
        <f>IFERROR(__xludf.DUMMYFUNCTION("""COMPUTED_VALUE"""),0.0)</f>
        <v>0</v>
      </c>
      <c r="I53" s="26">
        <f>IFERROR(__xludf.DUMMYFUNCTION("""COMPUTED_VALUE"""),0.0)</f>
        <v>0</v>
      </c>
      <c r="J53" s="26">
        <f>IFERROR(__xludf.DUMMYFUNCTION("""COMPUTED_VALUE"""),0.0)</f>
        <v>0</v>
      </c>
      <c r="K53" s="26">
        <f>IFERROR(__xludf.DUMMYFUNCTION("""COMPUTED_VALUE"""),0.0)</f>
        <v>0</v>
      </c>
      <c r="L53" s="26">
        <f>IFERROR(__xludf.DUMMYFUNCTION("""COMPUTED_VALUE"""),0.0)</f>
        <v>0</v>
      </c>
      <c r="M53" s="26"/>
      <c r="N53" s="26"/>
      <c r="O53" s="26"/>
      <c r="P53" s="26"/>
      <c r="Q53" s="26"/>
      <c r="R53" s="26">
        <f>IFERROR(__xludf.DUMMYFUNCTION("""COMPUTED_VALUE"""),0.0)</f>
        <v>0</v>
      </c>
      <c r="S53" s="26">
        <f>IFERROR(__xludf.DUMMYFUNCTION("""COMPUTED_VALUE"""),0.0)</f>
        <v>0</v>
      </c>
      <c r="T53" s="26">
        <f>IFERROR(__xludf.DUMMYFUNCTION("""COMPUTED_VALUE"""),0.0)</f>
        <v>0</v>
      </c>
      <c r="U53" s="26">
        <f>IFERROR(__xludf.DUMMYFUNCTION("""COMPUTED_VALUE"""),0.0)</f>
        <v>0</v>
      </c>
      <c r="V53" s="26">
        <f>IFERROR(__xludf.DUMMYFUNCTION("""COMPUTED_VALUE"""),0.0)</f>
        <v>0</v>
      </c>
      <c r="W53" s="26">
        <f>IFERROR(__xludf.DUMMYFUNCTION("""COMPUTED_VALUE"""),0.0)</f>
        <v>0</v>
      </c>
      <c r="X53" s="26">
        <f>IFERROR(__xludf.DUMMYFUNCTION("""COMPUTED_VALUE"""),0.0)</f>
        <v>0</v>
      </c>
      <c r="Y53" s="26">
        <f>IFERROR(__xludf.DUMMYFUNCTION("""COMPUTED_VALUE"""),0.0)</f>
        <v>0</v>
      </c>
      <c r="Z53" s="26">
        <f>IFERROR(__xludf.DUMMYFUNCTION("""COMPUTED_VALUE"""),0.0)</f>
        <v>0</v>
      </c>
      <c r="AA53" s="26">
        <f>IFERROR(__xludf.DUMMYFUNCTION("""COMPUTED_VALUE"""),0.0)</f>
        <v>0</v>
      </c>
      <c r="AB53" s="26">
        <f>IFERROR(__xludf.DUMMYFUNCTION("""COMPUTED_VALUE"""),0.0)</f>
        <v>0</v>
      </c>
      <c r="AC53" s="26">
        <f>IFERROR(__xludf.DUMMYFUNCTION("""COMPUTED_VALUE"""),0.0)</f>
        <v>0</v>
      </c>
      <c r="AD53" s="26">
        <f>IFERROR(__xludf.DUMMYFUNCTION("""COMPUTED_VALUE"""),0.0)</f>
        <v>0</v>
      </c>
      <c r="AE53" s="26">
        <f>IFERROR(__xludf.DUMMYFUNCTION("""COMPUTED_VALUE"""),0.0)</f>
        <v>0</v>
      </c>
    </row>
    <row r="54">
      <c r="A54" s="26">
        <f>IFERROR(__xludf.DUMMYFUNCTION("""COMPUTED_VALUE"""),0.0)</f>
        <v>0</v>
      </c>
      <c r="B54" s="26">
        <f>IFERROR(__xludf.DUMMYFUNCTION("""COMPUTED_VALUE"""),0.0)</f>
        <v>0</v>
      </c>
      <c r="C54" s="26">
        <f>IFERROR(__xludf.DUMMYFUNCTION("""COMPUTED_VALUE"""),0.0)</f>
        <v>0</v>
      </c>
      <c r="D54" s="26">
        <f>IFERROR(__xludf.DUMMYFUNCTION("""COMPUTED_VALUE"""),0.0)</f>
        <v>0</v>
      </c>
      <c r="E54" s="26">
        <f>IFERROR(__xludf.DUMMYFUNCTION("""COMPUTED_VALUE"""),0.0)</f>
        <v>0</v>
      </c>
      <c r="F54" s="26">
        <f>IFERROR(__xludf.DUMMYFUNCTION("""COMPUTED_VALUE"""),0.0)</f>
        <v>0</v>
      </c>
      <c r="G54" s="26">
        <f>IFERROR(__xludf.DUMMYFUNCTION("""COMPUTED_VALUE"""),0.0)</f>
        <v>0</v>
      </c>
      <c r="H54" s="26">
        <f>IFERROR(__xludf.DUMMYFUNCTION("""COMPUTED_VALUE"""),0.0)</f>
        <v>0</v>
      </c>
      <c r="I54" s="26">
        <f>IFERROR(__xludf.DUMMYFUNCTION("""COMPUTED_VALUE"""),0.0)</f>
        <v>0</v>
      </c>
      <c r="J54" s="26">
        <f>IFERROR(__xludf.DUMMYFUNCTION("""COMPUTED_VALUE"""),0.0)</f>
        <v>0</v>
      </c>
      <c r="K54" s="26">
        <f>IFERROR(__xludf.DUMMYFUNCTION("""COMPUTED_VALUE"""),0.0)</f>
        <v>0</v>
      </c>
      <c r="L54" s="26">
        <f>IFERROR(__xludf.DUMMYFUNCTION("""COMPUTED_VALUE"""),0.0)</f>
        <v>0</v>
      </c>
      <c r="M54" s="26"/>
      <c r="N54" s="26"/>
      <c r="O54" s="26"/>
      <c r="P54" s="26"/>
      <c r="Q54" s="26"/>
      <c r="R54" s="26">
        <f>IFERROR(__xludf.DUMMYFUNCTION("""COMPUTED_VALUE"""),0.0)</f>
        <v>0</v>
      </c>
      <c r="S54" s="26">
        <f>IFERROR(__xludf.DUMMYFUNCTION("""COMPUTED_VALUE"""),0.0)</f>
        <v>0</v>
      </c>
      <c r="T54" s="26">
        <f>IFERROR(__xludf.DUMMYFUNCTION("""COMPUTED_VALUE"""),0.0)</f>
        <v>0</v>
      </c>
      <c r="U54" s="26">
        <f>IFERROR(__xludf.DUMMYFUNCTION("""COMPUTED_VALUE"""),0.0)</f>
        <v>0</v>
      </c>
      <c r="V54" s="26">
        <f>IFERROR(__xludf.DUMMYFUNCTION("""COMPUTED_VALUE"""),0.0)</f>
        <v>0</v>
      </c>
      <c r="W54" s="26">
        <f>IFERROR(__xludf.DUMMYFUNCTION("""COMPUTED_VALUE"""),0.0)</f>
        <v>0</v>
      </c>
      <c r="X54" s="26">
        <f>IFERROR(__xludf.DUMMYFUNCTION("""COMPUTED_VALUE"""),0.0)</f>
        <v>0</v>
      </c>
      <c r="Y54" s="26">
        <f>IFERROR(__xludf.DUMMYFUNCTION("""COMPUTED_VALUE"""),0.0)</f>
        <v>0</v>
      </c>
      <c r="Z54" s="26">
        <f>IFERROR(__xludf.DUMMYFUNCTION("""COMPUTED_VALUE"""),0.0)</f>
        <v>0</v>
      </c>
      <c r="AA54" s="26">
        <f>IFERROR(__xludf.DUMMYFUNCTION("""COMPUTED_VALUE"""),0.0)</f>
        <v>0</v>
      </c>
      <c r="AB54" s="26">
        <f>IFERROR(__xludf.DUMMYFUNCTION("""COMPUTED_VALUE"""),0.0)</f>
        <v>0</v>
      </c>
      <c r="AC54" s="26">
        <f>IFERROR(__xludf.DUMMYFUNCTION("""COMPUTED_VALUE"""),0.0)</f>
        <v>0</v>
      </c>
      <c r="AD54" s="26">
        <f>IFERROR(__xludf.DUMMYFUNCTION("""COMPUTED_VALUE"""),0.0)</f>
        <v>0</v>
      </c>
      <c r="AE54" s="26">
        <f>IFERROR(__xludf.DUMMYFUNCTION("""COMPUTED_VALUE"""),0.0)</f>
        <v>0</v>
      </c>
    </row>
    <row r="55">
      <c r="A55" s="26">
        <f>IFERROR(__xludf.DUMMYFUNCTION("""COMPUTED_VALUE"""),11.0)</f>
        <v>11</v>
      </c>
      <c r="B55" s="26">
        <f>IFERROR(__xludf.DUMMYFUNCTION("""COMPUTED_VALUE"""),0.0)</f>
        <v>0</v>
      </c>
      <c r="C55" s="26">
        <f>IFERROR(__xludf.DUMMYFUNCTION("""COMPUTED_VALUE"""),0.0)</f>
        <v>0</v>
      </c>
      <c r="D55" s="26">
        <f>IFERROR(__xludf.DUMMYFUNCTION("""COMPUTED_VALUE"""),0.0)</f>
        <v>0</v>
      </c>
      <c r="E55" s="26">
        <f>IFERROR(__xludf.DUMMYFUNCTION("""COMPUTED_VALUE"""),98.0)</f>
        <v>98</v>
      </c>
      <c r="F55" s="26">
        <f>IFERROR(__xludf.DUMMYFUNCTION("""COMPUTED_VALUE"""),0.0)</f>
        <v>0</v>
      </c>
      <c r="G55" s="26">
        <f>IFERROR(__xludf.DUMMYFUNCTION("""COMPUTED_VALUE"""),0.0)</f>
        <v>0</v>
      </c>
      <c r="H55" s="26">
        <f>IFERROR(__xludf.DUMMYFUNCTION("""COMPUTED_VALUE"""),0.0)</f>
        <v>0</v>
      </c>
      <c r="I55" s="26">
        <f>IFERROR(__xludf.DUMMYFUNCTION("""COMPUTED_VALUE"""),0.0)</f>
        <v>0</v>
      </c>
      <c r="J55" s="26">
        <f>IFERROR(__xludf.DUMMYFUNCTION("""COMPUTED_VALUE"""),0.0)</f>
        <v>0</v>
      </c>
      <c r="K55" s="26">
        <f>IFERROR(__xludf.DUMMYFUNCTION("""COMPUTED_VALUE"""),0.0)</f>
        <v>0</v>
      </c>
      <c r="L55" s="26">
        <f>IFERROR(__xludf.DUMMYFUNCTION("""COMPUTED_VALUE"""),0.0)</f>
        <v>0</v>
      </c>
      <c r="M55" s="26"/>
      <c r="N55" s="26"/>
      <c r="O55" s="26"/>
      <c r="P55" s="26"/>
      <c r="Q55" s="26"/>
      <c r="R55" s="26">
        <f>IFERROR(__xludf.DUMMYFUNCTION("""COMPUTED_VALUE"""),109.0)</f>
        <v>109</v>
      </c>
      <c r="S55" s="26">
        <f>IFERROR(__xludf.DUMMYFUNCTION("""COMPUTED_VALUE"""),19936.100000000006)</f>
        <v>19936.1</v>
      </c>
      <c r="T55" s="26">
        <f>IFERROR(__xludf.DUMMYFUNCTION("""COMPUTED_VALUE"""),16895.0)</f>
        <v>16895</v>
      </c>
      <c r="U55" s="26">
        <f>IFERROR(__xludf.DUMMYFUNCTION("""COMPUTED_VALUE"""),19936.100000000006)</f>
        <v>19936.1</v>
      </c>
      <c r="V55" s="26">
        <f>IFERROR(__xludf.DUMMYFUNCTION("""COMPUTED_VALUE"""),0.0)</f>
        <v>0</v>
      </c>
      <c r="W55" s="26">
        <f>IFERROR(__xludf.DUMMYFUNCTION("""COMPUTED_VALUE"""),0.0)</f>
        <v>0</v>
      </c>
      <c r="X55" s="26">
        <f>IFERROR(__xludf.DUMMYFUNCTION("""COMPUTED_VALUE"""),3041.100000000006)</f>
        <v>3041.1</v>
      </c>
      <c r="Y55" s="26">
        <f>IFERROR(__xludf.DUMMYFUNCTION("""COMPUTED_VALUE"""),3041.100000000006)</f>
        <v>3041.1</v>
      </c>
      <c r="Z55" s="26">
        <f>IFERROR(__xludf.DUMMYFUNCTION("""COMPUTED_VALUE"""),41152.500000000175)</f>
        <v>41152.5</v>
      </c>
      <c r="AA55" s="26">
        <f>IFERROR(__xludf.DUMMYFUNCTION("""COMPUTED_VALUE"""),41152.500000000175)</f>
        <v>41152.5</v>
      </c>
      <c r="AB55" s="26">
        <f>IFERROR(__xludf.DUMMYFUNCTION("""COMPUTED_VALUE"""),0.0)</f>
        <v>0</v>
      </c>
      <c r="AC55" s="26">
        <f>IFERROR(__xludf.DUMMYFUNCTION("""COMPUTED_VALUE"""),0.0)</f>
        <v>0</v>
      </c>
      <c r="AD55" s="26">
        <f>IFERROR(__xludf.DUMMYFUNCTION("""COMPUTED_VALUE"""),0.0)</f>
        <v>0</v>
      </c>
      <c r="AE55" s="26">
        <f>IFERROR(__xludf.DUMMYFUNCTION("""COMPUTED_VALUE"""),0.0)</f>
        <v>0</v>
      </c>
    </row>
    <row r="56">
      <c r="A56" s="26">
        <f>IFERROR(__xludf.DUMMYFUNCTION("""COMPUTED_VALUE"""),0.0)</f>
        <v>0</v>
      </c>
      <c r="B56" s="26">
        <f>IFERROR(__xludf.DUMMYFUNCTION("""COMPUTED_VALUE"""),0.0)</f>
        <v>0</v>
      </c>
      <c r="C56" s="26">
        <f>IFERROR(__xludf.DUMMYFUNCTION("""COMPUTED_VALUE"""),0.0)</f>
        <v>0</v>
      </c>
      <c r="D56" s="26">
        <f>IFERROR(__xludf.DUMMYFUNCTION("""COMPUTED_VALUE"""),0.0)</f>
        <v>0</v>
      </c>
      <c r="E56" s="26">
        <f>IFERROR(__xludf.DUMMYFUNCTION("""COMPUTED_VALUE"""),0.0)</f>
        <v>0</v>
      </c>
      <c r="F56" s="26">
        <f>IFERROR(__xludf.DUMMYFUNCTION("""COMPUTED_VALUE"""),0.0)</f>
        <v>0</v>
      </c>
      <c r="G56" s="26">
        <f>IFERROR(__xludf.DUMMYFUNCTION("""COMPUTED_VALUE"""),0.0)</f>
        <v>0</v>
      </c>
      <c r="H56" s="26">
        <f>IFERROR(__xludf.DUMMYFUNCTION("""COMPUTED_VALUE"""),0.0)</f>
        <v>0</v>
      </c>
      <c r="I56" s="26">
        <f>IFERROR(__xludf.DUMMYFUNCTION("""COMPUTED_VALUE"""),0.0)</f>
        <v>0</v>
      </c>
      <c r="J56" s="26">
        <f>IFERROR(__xludf.DUMMYFUNCTION("""COMPUTED_VALUE"""),0.0)</f>
        <v>0</v>
      </c>
      <c r="K56" s="26">
        <f>IFERROR(__xludf.DUMMYFUNCTION("""COMPUTED_VALUE"""),0.0)</f>
        <v>0</v>
      </c>
      <c r="L56" s="26">
        <f>IFERROR(__xludf.DUMMYFUNCTION("""COMPUTED_VALUE"""),0.0)</f>
        <v>0</v>
      </c>
      <c r="M56" s="26"/>
      <c r="N56" s="26"/>
      <c r="O56" s="26"/>
      <c r="P56" s="26"/>
      <c r="Q56" s="26"/>
      <c r="R56" s="26">
        <f>IFERROR(__xludf.DUMMYFUNCTION("""COMPUTED_VALUE"""),0.0)</f>
        <v>0</v>
      </c>
      <c r="S56" s="26">
        <f>IFERROR(__xludf.DUMMYFUNCTION("""COMPUTED_VALUE"""),0.0)</f>
        <v>0</v>
      </c>
      <c r="T56" s="26">
        <f>IFERROR(__xludf.DUMMYFUNCTION("""COMPUTED_VALUE"""),0.0)</f>
        <v>0</v>
      </c>
      <c r="U56" s="26">
        <f>IFERROR(__xludf.DUMMYFUNCTION("""COMPUTED_VALUE"""),0.0)</f>
        <v>0</v>
      </c>
      <c r="V56" s="26">
        <f>IFERROR(__xludf.DUMMYFUNCTION("""COMPUTED_VALUE"""),0.0)</f>
        <v>0</v>
      </c>
      <c r="W56" s="26">
        <f>IFERROR(__xludf.DUMMYFUNCTION("""COMPUTED_VALUE"""),0.0)</f>
        <v>0</v>
      </c>
      <c r="X56" s="26">
        <f>IFERROR(__xludf.DUMMYFUNCTION("""COMPUTED_VALUE"""),0.0)</f>
        <v>0</v>
      </c>
      <c r="Y56" s="26">
        <f>IFERROR(__xludf.DUMMYFUNCTION("""COMPUTED_VALUE"""),0.0)</f>
        <v>0</v>
      </c>
      <c r="Z56" s="26">
        <f>IFERROR(__xludf.DUMMYFUNCTION("""COMPUTED_VALUE"""),0.0)</f>
        <v>0</v>
      </c>
      <c r="AA56" s="26">
        <f>IFERROR(__xludf.DUMMYFUNCTION("""COMPUTED_VALUE"""),0.0)</f>
        <v>0</v>
      </c>
      <c r="AB56" s="26">
        <f>IFERROR(__xludf.DUMMYFUNCTION("""COMPUTED_VALUE"""),0.0)</f>
        <v>0</v>
      </c>
      <c r="AC56" s="26">
        <f>IFERROR(__xludf.DUMMYFUNCTION("""COMPUTED_VALUE"""),0.0)</f>
        <v>0</v>
      </c>
      <c r="AD56" s="26">
        <f>IFERROR(__xludf.DUMMYFUNCTION("""COMPUTED_VALUE"""),0.0)</f>
        <v>0</v>
      </c>
      <c r="AE56" s="26">
        <f>IFERROR(__xludf.DUMMYFUNCTION("""COMPUTED_VALUE"""),0.0)</f>
        <v>0</v>
      </c>
    </row>
    <row r="57">
      <c r="A57" s="26">
        <f>IFERROR(__xludf.DUMMYFUNCTION("""COMPUTED_VALUE"""),0.0)</f>
        <v>0</v>
      </c>
      <c r="B57" s="26">
        <f>IFERROR(__xludf.DUMMYFUNCTION("""COMPUTED_VALUE"""),0.0)</f>
        <v>0</v>
      </c>
      <c r="C57" s="26">
        <f>IFERROR(__xludf.DUMMYFUNCTION("""COMPUTED_VALUE"""),0.0)</f>
        <v>0</v>
      </c>
      <c r="D57" s="26">
        <f>IFERROR(__xludf.DUMMYFUNCTION("""COMPUTED_VALUE"""),0.0)</f>
        <v>0</v>
      </c>
      <c r="E57" s="26">
        <f>IFERROR(__xludf.DUMMYFUNCTION("""COMPUTED_VALUE"""),51.0)</f>
        <v>51</v>
      </c>
      <c r="F57" s="26">
        <f>IFERROR(__xludf.DUMMYFUNCTION("""COMPUTED_VALUE"""),0.0)</f>
        <v>0</v>
      </c>
      <c r="G57" s="26">
        <f>IFERROR(__xludf.DUMMYFUNCTION("""COMPUTED_VALUE"""),0.0)</f>
        <v>0</v>
      </c>
      <c r="H57" s="26">
        <f>IFERROR(__xludf.DUMMYFUNCTION("""COMPUTED_VALUE"""),0.0)</f>
        <v>0</v>
      </c>
      <c r="I57" s="26">
        <f>IFERROR(__xludf.DUMMYFUNCTION("""COMPUTED_VALUE"""),0.0)</f>
        <v>0</v>
      </c>
      <c r="J57" s="26">
        <f>IFERROR(__xludf.DUMMYFUNCTION("""COMPUTED_VALUE"""),0.0)</f>
        <v>0</v>
      </c>
      <c r="K57" s="26">
        <f>IFERROR(__xludf.DUMMYFUNCTION("""COMPUTED_VALUE"""),0.0)</f>
        <v>0</v>
      </c>
      <c r="L57" s="26">
        <f>IFERROR(__xludf.DUMMYFUNCTION("""COMPUTED_VALUE"""),0.0)</f>
        <v>0</v>
      </c>
      <c r="M57" s="26"/>
      <c r="N57" s="26"/>
      <c r="O57" s="26"/>
      <c r="P57" s="26"/>
      <c r="Q57" s="26"/>
      <c r="R57" s="26">
        <f>IFERROR(__xludf.DUMMYFUNCTION("""COMPUTED_VALUE"""),51.0)</f>
        <v>51</v>
      </c>
      <c r="S57" s="26">
        <f>IFERROR(__xludf.DUMMYFUNCTION("""COMPUTED_VALUE"""),94350.0)</f>
        <v>94350</v>
      </c>
      <c r="T57" s="26">
        <f>IFERROR(__xludf.DUMMYFUNCTION("""COMPUTED_VALUE"""),8670.0)</f>
        <v>8670</v>
      </c>
      <c r="U57" s="26">
        <f>IFERROR(__xludf.DUMMYFUNCTION("""COMPUTED_VALUE"""),23062.20000000001)</f>
        <v>23062.2</v>
      </c>
      <c r="V57" s="26">
        <f>IFERROR(__xludf.DUMMYFUNCTION("""COMPUTED_VALUE"""),0.0)</f>
        <v>0</v>
      </c>
      <c r="W57" s="26">
        <f>IFERROR(__xludf.DUMMYFUNCTION("""COMPUTED_VALUE"""),0.0)</f>
        <v>0</v>
      </c>
      <c r="X57" s="26">
        <f>IFERROR(__xludf.DUMMYFUNCTION("""COMPUTED_VALUE"""),14392.200000000012)</f>
        <v>14392.2</v>
      </c>
      <c r="Y57" s="26">
        <f>IFERROR(__xludf.DUMMYFUNCTION("""COMPUTED_VALUE"""),14392.200000000012)</f>
        <v>14392.2</v>
      </c>
      <c r="Z57" s="26">
        <f>IFERROR(__xludf.DUMMYFUNCTION("""COMPUTED_VALUE"""),0.0)</f>
        <v>0</v>
      </c>
      <c r="AA57" s="26">
        <f>IFERROR(__xludf.DUMMYFUNCTION("""COMPUTED_VALUE"""),0.0)</f>
        <v>0</v>
      </c>
      <c r="AB57" s="26">
        <f>IFERROR(__xludf.DUMMYFUNCTION("""COMPUTED_VALUE"""),0.0)</f>
        <v>0</v>
      </c>
      <c r="AC57" s="26">
        <f>IFERROR(__xludf.DUMMYFUNCTION("""COMPUTED_VALUE"""),0.0)</f>
        <v>0</v>
      </c>
      <c r="AD57" s="26">
        <f>IFERROR(__xludf.DUMMYFUNCTION("""COMPUTED_VALUE"""),0.0)</f>
        <v>0</v>
      </c>
      <c r="AE57" s="26">
        <f>IFERROR(__xludf.DUMMYFUNCTION("""COMPUTED_VALUE"""),0.0)</f>
        <v>0</v>
      </c>
    </row>
    <row r="58">
      <c r="A58" s="26">
        <f>IFERROR(__xludf.DUMMYFUNCTION("""COMPUTED_VALUE"""),0.0)</f>
        <v>0</v>
      </c>
      <c r="B58" s="26">
        <f>IFERROR(__xludf.DUMMYFUNCTION("""COMPUTED_VALUE"""),0.0)</f>
        <v>0</v>
      </c>
      <c r="C58" s="26">
        <f>IFERROR(__xludf.DUMMYFUNCTION("""COMPUTED_VALUE"""),0.0)</f>
        <v>0</v>
      </c>
      <c r="D58" s="26">
        <f>IFERROR(__xludf.DUMMYFUNCTION("""COMPUTED_VALUE"""),0.0)</f>
        <v>0</v>
      </c>
      <c r="E58" s="26">
        <f>IFERROR(__xludf.DUMMYFUNCTION("""COMPUTED_VALUE"""),0.0)</f>
        <v>0</v>
      </c>
      <c r="F58" s="26">
        <f>IFERROR(__xludf.DUMMYFUNCTION("""COMPUTED_VALUE"""),0.0)</f>
        <v>0</v>
      </c>
      <c r="G58" s="26">
        <f>IFERROR(__xludf.DUMMYFUNCTION("""COMPUTED_VALUE"""),0.0)</f>
        <v>0</v>
      </c>
      <c r="H58" s="26">
        <f>IFERROR(__xludf.DUMMYFUNCTION("""COMPUTED_VALUE"""),0.0)</f>
        <v>0</v>
      </c>
      <c r="I58" s="26">
        <f>IFERROR(__xludf.DUMMYFUNCTION("""COMPUTED_VALUE"""),0.0)</f>
        <v>0</v>
      </c>
      <c r="J58" s="26">
        <f>IFERROR(__xludf.DUMMYFUNCTION("""COMPUTED_VALUE"""),0.0)</f>
        <v>0</v>
      </c>
      <c r="K58" s="26">
        <f>IFERROR(__xludf.DUMMYFUNCTION("""COMPUTED_VALUE"""),0.0)</f>
        <v>0</v>
      </c>
      <c r="L58" s="26">
        <f>IFERROR(__xludf.DUMMYFUNCTION("""COMPUTED_VALUE"""),0.0)</f>
        <v>0</v>
      </c>
      <c r="M58" s="26"/>
      <c r="N58" s="26"/>
      <c r="O58" s="26"/>
      <c r="P58" s="26"/>
      <c r="Q58" s="26"/>
      <c r="R58" s="26">
        <f>IFERROR(__xludf.DUMMYFUNCTION("""COMPUTED_VALUE"""),0.0)</f>
        <v>0</v>
      </c>
      <c r="S58" s="26">
        <f>IFERROR(__xludf.DUMMYFUNCTION("""COMPUTED_VALUE"""),0.0)</f>
        <v>0</v>
      </c>
      <c r="T58" s="26">
        <f>IFERROR(__xludf.DUMMYFUNCTION("""COMPUTED_VALUE"""),0.0)</f>
        <v>0</v>
      </c>
      <c r="U58" s="26">
        <f>IFERROR(__xludf.DUMMYFUNCTION("""COMPUTED_VALUE"""),0.0)</f>
        <v>0</v>
      </c>
      <c r="V58" s="26">
        <f>IFERROR(__xludf.DUMMYFUNCTION("""COMPUTED_VALUE"""),0.0)</f>
        <v>0</v>
      </c>
      <c r="W58" s="26">
        <f>IFERROR(__xludf.DUMMYFUNCTION("""COMPUTED_VALUE"""),0.0)</f>
        <v>0</v>
      </c>
      <c r="X58" s="26">
        <f>IFERROR(__xludf.DUMMYFUNCTION("""COMPUTED_VALUE"""),0.0)</f>
        <v>0</v>
      </c>
      <c r="Y58" s="26">
        <f>IFERROR(__xludf.DUMMYFUNCTION("""COMPUTED_VALUE"""),0.0)</f>
        <v>0</v>
      </c>
      <c r="Z58" s="26">
        <f>IFERROR(__xludf.DUMMYFUNCTION("""COMPUTED_VALUE"""),0.0)</f>
        <v>0</v>
      </c>
      <c r="AA58" s="26">
        <f>IFERROR(__xludf.DUMMYFUNCTION("""COMPUTED_VALUE"""),0.0)</f>
        <v>0</v>
      </c>
      <c r="AB58" s="26">
        <f>IFERROR(__xludf.DUMMYFUNCTION("""COMPUTED_VALUE"""),0.0)</f>
        <v>0</v>
      </c>
      <c r="AC58" s="26">
        <f>IFERROR(__xludf.DUMMYFUNCTION("""COMPUTED_VALUE"""),0.0)</f>
        <v>0</v>
      </c>
      <c r="AD58" s="26">
        <f>IFERROR(__xludf.DUMMYFUNCTION("""COMPUTED_VALUE"""),0.0)</f>
        <v>0</v>
      </c>
      <c r="AE58" s="26">
        <f>IFERROR(__xludf.DUMMYFUNCTION("""COMPUTED_VALUE"""),0.0)</f>
        <v>0</v>
      </c>
    </row>
    <row r="59">
      <c r="A59" s="26">
        <f>IFERROR(__xludf.DUMMYFUNCTION("""COMPUTED_VALUE"""),0.0)</f>
        <v>0</v>
      </c>
      <c r="B59" s="26">
        <f>IFERROR(__xludf.DUMMYFUNCTION("""COMPUTED_VALUE"""),0.0)</f>
        <v>0</v>
      </c>
      <c r="C59" s="26">
        <f>IFERROR(__xludf.DUMMYFUNCTION("""COMPUTED_VALUE"""),1.0)</f>
        <v>1</v>
      </c>
      <c r="D59" s="26">
        <f>IFERROR(__xludf.DUMMYFUNCTION("""COMPUTED_VALUE"""),0.0)</f>
        <v>0</v>
      </c>
      <c r="E59" s="26">
        <f>IFERROR(__xludf.DUMMYFUNCTION("""COMPUTED_VALUE"""),1.0)</f>
        <v>1</v>
      </c>
      <c r="F59" s="26">
        <f>IFERROR(__xludf.DUMMYFUNCTION("""COMPUTED_VALUE"""),0.0)</f>
        <v>0</v>
      </c>
      <c r="G59" s="26">
        <f>IFERROR(__xludf.DUMMYFUNCTION("""COMPUTED_VALUE"""),0.0)</f>
        <v>0</v>
      </c>
      <c r="H59" s="26">
        <f>IFERROR(__xludf.DUMMYFUNCTION("""COMPUTED_VALUE"""),0.0)</f>
        <v>0</v>
      </c>
      <c r="I59" s="26">
        <f>IFERROR(__xludf.DUMMYFUNCTION("""COMPUTED_VALUE"""),0.0)</f>
        <v>0</v>
      </c>
      <c r="J59" s="26">
        <f>IFERROR(__xludf.DUMMYFUNCTION("""COMPUTED_VALUE"""),0.0)</f>
        <v>0</v>
      </c>
      <c r="K59" s="26">
        <f>IFERROR(__xludf.DUMMYFUNCTION("""COMPUTED_VALUE"""),0.0)</f>
        <v>0</v>
      </c>
      <c r="L59" s="26">
        <f>IFERROR(__xludf.DUMMYFUNCTION("""COMPUTED_VALUE"""),0.0)</f>
        <v>0</v>
      </c>
      <c r="M59" s="26"/>
      <c r="N59" s="26"/>
      <c r="O59" s="26"/>
      <c r="P59" s="26"/>
      <c r="Q59" s="26"/>
      <c r="R59" s="26">
        <f>IFERROR(__xludf.DUMMYFUNCTION("""COMPUTED_VALUE"""),2.0)</f>
        <v>2</v>
      </c>
      <c r="S59" s="26">
        <f>IFERROR(__xludf.DUMMYFUNCTION("""COMPUTED_VALUE"""),365.8)</f>
        <v>365.8</v>
      </c>
      <c r="T59" s="26">
        <f>IFERROR(__xludf.DUMMYFUNCTION("""COMPUTED_VALUE"""),310.0)</f>
        <v>310</v>
      </c>
      <c r="U59" s="26">
        <f>IFERROR(__xludf.DUMMYFUNCTION("""COMPUTED_VALUE"""),365.8)</f>
        <v>365.8</v>
      </c>
      <c r="V59" s="26">
        <f>IFERROR(__xludf.DUMMYFUNCTION("""COMPUTED_VALUE"""),0.0)</f>
        <v>0</v>
      </c>
      <c r="W59" s="26">
        <f>IFERROR(__xludf.DUMMYFUNCTION("""COMPUTED_VALUE"""),0.0)</f>
        <v>0</v>
      </c>
      <c r="X59" s="26">
        <f>IFERROR(__xludf.DUMMYFUNCTION("""COMPUTED_VALUE"""),55.8)</f>
        <v>55.8</v>
      </c>
      <c r="Y59" s="26">
        <f>IFERROR(__xludf.DUMMYFUNCTION("""COMPUTED_VALUE"""),55.8)</f>
        <v>55.8</v>
      </c>
      <c r="Z59" s="26">
        <f>IFERROR(__xludf.DUMMYFUNCTION("""COMPUTED_VALUE"""),0.0)</f>
        <v>0</v>
      </c>
      <c r="AA59" s="26">
        <f>IFERROR(__xludf.DUMMYFUNCTION("""COMPUTED_VALUE"""),0.0)</f>
        <v>0</v>
      </c>
      <c r="AB59" s="26">
        <f>IFERROR(__xludf.DUMMYFUNCTION("""COMPUTED_VALUE"""),0.0)</f>
        <v>0</v>
      </c>
      <c r="AC59" s="26">
        <f>IFERROR(__xludf.DUMMYFUNCTION("""COMPUTED_VALUE"""),0.0)</f>
        <v>0</v>
      </c>
      <c r="AD59" s="26">
        <f>IFERROR(__xludf.DUMMYFUNCTION("""COMPUTED_VALUE"""),0.0)</f>
        <v>0</v>
      </c>
      <c r="AE59" s="26">
        <f>IFERROR(__xludf.DUMMYFUNCTION("""COMPUTED_VALUE"""),0.0)</f>
        <v>0</v>
      </c>
    </row>
    <row r="60">
      <c r="A60" s="26">
        <f>IFERROR(__xludf.DUMMYFUNCTION("""COMPUTED_VALUE"""),0.0)</f>
        <v>0</v>
      </c>
      <c r="B60" s="26">
        <f>IFERROR(__xludf.DUMMYFUNCTION("""COMPUTED_VALUE"""),0.0)</f>
        <v>0</v>
      </c>
      <c r="C60" s="26">
        <f>IFERROR(__xludf.DUMMYFUNCTION("""COMPUTED_VALUE"""),0.0)</f>
        <v>0</v>
      </c>
      <c r="D60" s="26">
        <f>IFERROR(__xludf.DUMMYFUNCTION("""COMPUTED_VALUE"""),0.0)</f>
        <v>0</v>
      </c>
      <c r="E60" s="26">
        <f>IFERROR(__xludf.DUMMYFUNCTION("""COMPUTED_VALUE"""),59.0)</f>
        <v>59</v>
      </c>
      <c r="F60" s="26">
        <f>IFERROR(__xludf.DUMMYFUNCTION("""COMPUTED_VALUE"""),0.0)</f>
        <v>0</v>
      </c>
      <c r="G60" s="26">
        <f>IFERROR(__xludf.DUMMYFUNCTION("""COMPUTED_VALUE"""),0.0)</f>
        <v>0</v>
      </c>
      <c r="H60" s="26">
        <f>IFERROR(__xludf.DUMMYFUNCTION("""COMPUTED_VALUE"""),0.0)</f>
        <v>0</v>
      </c>
      <c r="I60" s="26">
        <f>IFERROR(__xludf.DUMMYFUNCTION("""COMPUTED_VALUE"""),0.0)</f>
        <v>0</v>
      </c>
      <c r="J60" s="26">
        <f>IFERROR(__xludf.DUMMYFUNCTION("""COMPUTED_VALUE"""),0.0)</f>
        <v>0</v>
      </c>
      <c r="K60" s="26">
        <f>IFERROR(__xludf.DUMMYFUNCTION("""COMPUTED_VALUE"""),0.0)</f>
        <v>0</v>
      </c>
      <c r="L60" s="26">
        <f>IFERROR(__xludf.DUMMYFUNCTION("""COMPUTED_VALUE"""),0.0)</f>
        <v>0</v>
      </c>
      <c r="M60" s="26"/>
      <c r="N60" s="26"/>
      <c r="O60" s="26"/>
      <c r="P60" s="26"/>
      <c r="Q60" s="26"/>
      <c r="R60" s="26">
        <f>IFERROR(__xludf.DUMMYFUNCTION("""COMPUTED_VALUE"""),59.0)</f>
        <v>59</v>
      </c>
      <c r="S60" s="26">
        <f>IFERROR(__xludf.DUMMYFUNCTION("""COMPUTED_VALUE"""),103250.0)</f>
        <v>103250</v>
      </c>
      <c r="T60" s="26">
        <f>IFERROR(__xludf.DUMMYFUNCTION("""COMPUTED_VALUE"""),10030.0)</f>
        <v>10030</v>
      </c>
      <c r="U60" s="26">
        <f>IFERROR(__xludf.DUMMYFUNCTION("""COMPUTED_VALUE"""),25780.050000000017)</f>
        <v>25780.05</v>
      </c>
      <c r="V60" s="26">
        <f>IFERROR(__xludf.DUMMYFUNCTION("""COMPUTED_VALUE"""),0.0)</f>
        <v>0</v>
      </c>
      <c r="W60" s="26">
        <f>IFERROR(__xludf.DUMMYFUNCTION("""COMPUTED_VALUE"""),0.0)</f>
        <v>0</v>
      </c>
      <c r="X60" s="26">
        <f>IFERROR(__xludf.DUMMYFUNCTION("""COMPUTED_VALUE"""),15750.050000000017)</f>
        <v>15750.05</v>
      </c>
      <c r="Y60" s="26">
        <f>IFERROR(__xludf.DUMMYFUNCTION("""COMPUTED_VALUE"""),15750.050000000017)</f>
        <v>15750.05</v>
      </c>
      <c r="Z60" s="26">
        <f>IFERROR(__xludf.DUMMYFUNCTION("""COMPUTED_VALUE"""),0.0)</f>
        <v>0</v>
      </c>
      <c r="AA60" s="26">
        <f>IFERROR(__xludf.DUMMYFUNCTION("""COMPUTED_VALUE"""),0.0)</f>
        <v>0</v>
      </c>
      <c r="AB60" s="26">
        <f>IFERROR(__xludf.DUMMYFUNCTION("""COMPUTED_VALUE"""),0.0)</f>
        <v>0</v>
      </c>
      <c r="AC60" s="26">
        <f>IFERROR(__xludf.DUMMYFUNCTION("""COMPUTED_VALUE"""),0.0)</f>
        <v>0</v>
      </c>
      <c r="AD60" s="26">
        <f>IFERROR(__xludf.DUMMYFUNCTION("""COMPUTED_VALUE"""),0.0)</f>
        <v>0</v>
      </c>
      <c r="AE60" s="26">
        <f>IFERROR(__xludf.DUMMYFUNCTION("""COMPUTED_VALUE"""),0.0)</f>
        <v>0</v>
      </c>
    </row>
    <row r="61">
      <c r="A61" s="26">
        <f>IFERROR(__xludf.DUMMYFUNCTION("""COMPUTED_VALUE"""),13.0)</f>
        <v>13</v>
      </c>
      <c r="B61" s="26">
        <f>IFERROR(__xludf.DUMMYFUNCTION("""COMPUTED_VALUE"""),0.0)</f>
        <v>0</v>
      </c>
      <c r="C61" s="26">
        <f>IFERROR(__xludf.DUMMYFUNCTION("""COMPUTED_VALUE"""),0.0)</f>
        <v>0</v>
      </c>
      <c r="D61" s="26">
        <f>IFERROR(__xludf.DUMMYFUNCTION("""COMPUTED_VALUE"""),0.0)</f>
        <v>0</v>
      </c>
      <c r="E61" s="26">
        <f>IFERROR(__xludf.DUMMYFUNCTION("""COMPUTED_VALUE"""),0.0)</f>
        <v>0</v>
      </c>
      <c r="F61" s="26">
        <f>IFERROR(__xludf.DUMMYFUNCTION("""COMPUTED_VALUE"""),0.0)</f>
        <v>0</v>
      </c>
      <c r="G61" s="26">
        <f>IFERROR(__xludf.DUMMYFUNCTION("""COMPUTED_VALUE"""),0.0)</f>
        <v>0</v>
      </c>
      <c r="H61" s="26">
        <f>IFERROR(__xludf.DUMMYFUNCTION("""COMPUTED_VALUE"""),0.0)</f>
        <v>0</v>
      </c>
      <c r="I61" s="26">
        <f>IFERROR(__xludf.DUMMYFUNCTION("""COMPUTED_VALUE"""),0.0)</f>
        <v>0</v>
      </c>
      <c r="J61" s="26">
        <f>IFERROR(__xludf.DUMMYFUNCTION("""COMPUTED_VALUE"""),0.0)</f>
        <v>0</v>
      </c>
      <c r="K61" s="26">
        <f>IFERROR(__xludf.DUMMYFUNCTION("""COMPUTED_VALUE"""),0.0)</f>
        <v>0</v>
      </c>
      <c r="L61" s="26">
        <f>IFERROR(__xludf.DUMMYFUNCTION("""COMPUTED_VALUE"""),0.0)</f>
        <v>0</v>
      </c>
      <c r="M61" s="26"/>
      <c r="N61" s="26"/>
      <c r="O61" s="26"/>
      <c r="P61" s="26"/>
      <c r="Q61" s="26"/>
      <c r="R61" s="26">
        <f>IFERROR(__xludf.DUMMYFUNCTION("""COMPUTED_VALUE"""),13.0)</f>
        <v>13</v>
      </c>
      <c r="S61" s="26">
        <f>IFERROR(__xludf.DUMMYFUNCTION("""COMPUTED_VALUE"""),2600.13)</f>
        <v>2600.13</v>
      </c>
      <c r="T61" s="26">
        <f>IFERROR(__xludf.DUMMYFUNCTION("""COMPUTED_VALUE"""),2203.5)</f>
        <v>2203.5</v>
      </c>
      <c r="U61" s="26">
        <f>IFERROR(__xludf.DUMMYFUNCTION("""COMPUTED_VALUE"""),2600.13)</f>
        <v>2600.13</v>
      </c>
      <c r="V61" s="26">
        <f>IFERROR(__xludf.DUMMYFUNCTION("""COMPUTED_VALUE"""),0.0)</f>
        <v>0</v>
      </c>
      <c r="W61" s="26">
        <f>IFERROR(__xludf.DUMMYFUNCTION("""COMPUTED_VALUE"""),0.0)</f>
        <v>0</v>
      </c>
      <c r="X61" s="26">
        <f>IFERROR(__xludf.DUMMYFUNCTION("""COMPUTED_VALUE"""),396.62999999999994)</f>
        <v>396.63</v>
      </c>
      <c r="Y61" s="26">
        <f>IFERROR(__xludf.DUMMYFUNCTION("""COMPUTED_VALUE"""),396.62999999999994)</f>
        <v>396.63</v>
      </c>
      <c r="Z61" s="26">
        <f>IFERROR(__xludf.DUMMYFUNCTION("""COMPUTED_VALUE"""),0.0)</f>
        <v>0</v>
      </c>
      <c r="AA61" s="26">
        <f>IFERROR(__xludf.DUMMYFUNCTION("""COMPUTED_VALUE"""),0.0)</f>
        <v>0</v>
      </c>
      <c r="AB61" s="26">
        <f>IFERROR(__xludf.DUMMYFUNCTION("""COMPUTED_VALUE"""),0.0)</f>
        <v>0</v>
      </c>
      <c r="AC61" s="26">
        <f>IFERROR(__xludf.DUMMYFUNCTION("""COMPUTED_VALUE"""),0.0)</f>
        <v>0</v>
      </c>
      <c r="AD61" s="26">
        <f>IFERROR(__xludf.DUMMYFUNCTION("""COMPUTED_VALUE"""),0.0)</f>
        <v>0</v>
      </c>
      <c r="AE61" s="26">
        <f>IFERROR(__xludf.DUMMYFUNCTION("""COMPUTED_VALUE"""),0.0)</f>
        <v>0</v>
      </c>
    </row>
    <row r="62">
      <c r="A62" s="26">
        <f>IFERROR(__xludf.DUMMYFUNCTION("""COMPUTED_VALUE"""),0.0)</f>
        <v>0</v>
      </c>
      <c r="B62" s="26">
        <f>IFERROR(__xludf.DUMMYFUNCTION("""COMPUTED_VALUE"""),0.0)</f>
        <v>0</v>
      </c>
      <c r="C62" s="26">
        <f>IFERROR(__xludf.DUMMYFUNCTION("""COMPUTED_VALUE"""),0.0)</f>
        <v>0</v>
      </c>
      <c r="D62" s="26">
        <f>IFERROR(__xludf.DUMMYFUNCTION("""COMPUTED_VALUE"""),0.0)</f>
        <v>0</v>
      </c>
      <c r="E62" s="26">
        <f>IFERROR(__xludf.DUMMYFUNCTION("""COMPUTED_VALUE"""),0.0)</f>
        <v>0</v>
      </c>
      <c r="F62" s="26">
        <f>IFERROR(__xludf.DUMMYFUNCTION("""COMPUTED_VALUE"""),0.0)</f>
        <v>0</v>
      </c>
      <c r="G62" s="26">
        <f>IFERROR(__xludf.DUMMYFUNCTION("""COMPUTED_VALUE"""),0.0)</f>
        <v>0</v>
      </c>
      <c r="H62" s="26">
        <f>IFERROR(__xludf.DUMMYFUNCTION("""COMPUTED_VALUE"""),0.0)</f>
        <v>0</v>
      </c>
      <c r="I62" s="26">
        <f>IFERROR(__xludf.DUMMYFUNCTION("""COMPUTED_VALUE"""),0.0)</f>
        <v>0</v>
      </c>
      <c r="J62" s="26">
        <f>IFERROR(__xludf.DUMMYFUNCTION("""COMPUTED_VALUE"""),0.0)</f>
        <v>0</v>
      </c>
      <c r="K62" s="26">
        <f>IFERROR(__xludf.DUMMYFUNCTION("""COMPUTED_VALUE"""),0.0)</f>
        <v>0</v>
      </c>
      <c r="L62" s="26">
        <f>IFERROR(__xludf.DUMMYFUNCTION("""COMPUTED_VALUE"""),0.0)</f>
        <v>0</v>
      </c>
      <c r="M62" s="26"/>
      <c r="N62" s="26"/>
      <c r="O62" s="26"/>
      <c r="P62" s="26"/>
      <c r="Q62" s="26"/>
      <c r="R62" s="26">
        <f>IFERROR(__xludf.DUMMYFUNCTION("""COMPUTED_VALUE"""),0.0)</f>
        <v>0</v>
      </c>
      <c r="S62" s="26">
        <f>IFERROR(__xludf.DUMMYFUNCTION("""COMPUTED_VALUE"""),0.0)</f>
        <v>0</v>
      </c>
      <c r="T62" s="26">
        <f>IFERROR(__xludf.DUMMYFUNCTION("""COMPUTED_VALUE"""),0.0)</f>
        <v>0</v>
      </c>
      <c r="U62" s="26">
        <f>IFERROR(__xludf.DUMMYFUNCTION("""COMPUTED_VALUE"""),0.0)</f>
        <v>0</v>
      </c>
      <c r="V62" s="26">
        <f>IFERROR(__xludf.DUMMYFUNCTION("""COMPUTED_VALUE"""),0.0)</f>
        <v>0</v>
      </c>
      <c r="W62" s="26">
        <f>IFERROR(__xludf.DUMMYFUNCTION("""COMPUTED_VALUE"""),0.0)</f>
        <v>0</v>
      </c>
      <c r="X62" s="26">
        <f>IFERROR(__xludf.DUMMYFUNCTION("""COMPUTED_VALUE"""),0.0)</f>
        <v>0</v>
      </c>
      <c r="Y62" s="26">
        <f>IFERROR(__xludf.DUMMYFUNCTION("""COMPUTED_VALUE"""),0.0)</f>
        <v>0</v>
      </c>
      <c r="Z62" s="26">
        <f>IFERROR(__xludf.DUMMYFUNCTION("""COMPUTED_VALUE"""),0.0)</f>
        <v>0</v>
      </c>
      <c r="AA62" s="26">
        <f>IFERROR(__xludf.DUMMYFUNCTION("""COMPUTED_VALUE"""),0.0)</f>
        <v>0</v>
      </c>
      <c r="AB62" s="26">
        <f>IFERROR(__xludf.DUMMYFUNCTION("""COMPUTED_VALUE"""),0.0)</f>
        <v>0</v>
      </c>
      <c r="AC62" s="26">
        <f>IFERROR(__xludf.DUMMYFUNCTION("""COMPUTED_VALUE"""),0.0)</f>
        <v>0</v>
      </c>
      <c r="AD62" s="26">
        <f>IFERROR(__xludf.DUMMYFUNCTION("""COMPUTED_VALUE"""),0.0)</f>
        <v>0</v>
      </c>
      <c r="AE62" s="26">
        <f>IFERROR(__xludf.DUMMYFUNCTION("""COMPUTED_VALUE"""),0.0)</f>
        <v>0</v>
      </c>
    </row>
    <row r="63">
      <c r="A63" s="26">
        <f>IFERROR(__xludf.DUMMYFUNCTION("""COMPUTED_VALUE"""),0.0)</f>
        <v>0</v>
      </c>
      <c r="B63" s="26">
        <f>IFERROR(__xludf.DUMMYFUNCTION("""COMPUTED_VALUE"""),0.0)</f>
        <v>0</v>
      </c>
      <c r="C63" s="26">
        <f>IFERROR(__xludf.DUMMYFUNCTION("""COMPUTED_VALUE"""),0.0)</f>
        <v>0</v>
      </c>
      <c r="D63" s="26">
        <f>IFERROR(__xludf.DUMMYFUNCTION("""COMPUTED_VALUE"""),0.0)</f>
        <v>0</v>
      </c>
      <c r="E63" s="26">
        <f>IFERROR(__xludf.DUMMYFUNCTION("""COMPUTED_VALUE"""),0.0)</f>
        <v>0</v>
      </c>
      <c r="F63" s="26">
        <f>IFERROR(__xludf.DUMMYFUNCTION("""COMPUTED_VALUE"""),0.0)</f>
        <v>0</v>
      </c>
      <c r="G63" s="26">
        <f>IFERROR(__xludf.DUMMYFUNCTION("""COMPUTED_VALUE"""),0.0)</f>
        <v>0</v>
      </c>
      <c r="H63" s="26">
        <f>IFERROR(__xludf.DUMMYFUNCTION("""COMPUTED_VALUE"""),0.0)</f>
        <v>0</v>
      </c>
      <c r="I63" s="26">
        <f>IFERROR(__xludf.DUMMYFUNCTION("""COMPUTED_VALUE"""),0.0)</f>
        <v>0</v>
      </c>
      <c r="J63" s="26">
        <f>IFERROR(__xludf.DUMMYFUNCTION("""COMPUTED_VALUE"""),0.0)</f>
        <v>0</v>
      </c>
      <c r="K63" s="26">
        <f>IFERROR(__xludf.DUMMYFUNCTION("""COMPUTED_VALUE"""),0.0)</f>
        <v>0</v>
      </c>
      <c r="L63" s="26">
        <f>IFERROR(__xludf.DUMMYFUNCTION("""COMPUTED_VALUE"""),0.0)</f>
        <v>0</v>
      </c>
      <c r="M63" s="26"/>
      <c r="N63" s="26"/>
      <c r="O63" s="26"/>
      <c r="P63" s="26"/>
      <c r="Q63" s="26"/>
      <c r="R63" s="26">
        <f>IFERROR(__xludf.DUMMYFUNCTION("""COMPUTED_VALUE"""),0.0)</f>
        <v>0</v>
      </c>
      <c r="S63" s="26">
        <f>IFERROR(__xludf.DUMMYFUNCTION("""COMPUTED_VALUE"""),0.0)</f>
        <v>0</v>
      </c>
      <c r="T63" s="26">
        <f>IFERROR(__xludf.DUMMYFUNCTION("""COMPUTED_VALUE"""),0.0)</f>
        <v>0</v>
      </c>
      <c r="U63" s="26">
        <f>IFERROR(__xludf.DUMMYFUNCTION("""COMPUTED_VALUE"""),0.0)</f>
        <v>0</v>
      </c>
      <c r="V63" s="26">
        <f>IFERROR(__xludf.DUMMYFUNCTION("""COMPUTED_VALUE"""),0.0)</f>
        <v>0</v>
      </c>
      <c r="W63" s="26">
        <f>IFERROR(__xludf.DUMMYFUNCTION("""COMPUTED_VALUE"""),0.0)</f>
        <v>0</v>
      </c>
      <c r="X63" s="26">
        <f>IFERROR(__xludf.DUMMYFUNCTION("""COMPUTED_VALUE"""),0.0)</f>
        <v>0</v>
      </c>
      <c r="Y63" s="26">
        <f>IFERROR(__xludf.DUMMYFUNCTION("""COMPUTED_VALUE"""),0.0)</f>
        <v>0</v>
      </c>
      <c r="Z63" s="26">
        <f>IFERROR(__xludf.DUMMYFUNCTION("""COMPUTED_VALUE"""),0.0)</f>
        <v>0</v>
      </c>
      <c r="AA63" s="26">
        <f>IFERROR(__xludf.DUMMYFUNCTION("""COMPUTED_VALUE"""),0.0)</f>
        <v>0</v>
      </c>
      <c r="AB63" s="26">
        <f>IFERROR(__xludf.DUMMYFUNCTION("""COMPUTED_VALUE"""),0.0)</f>
        <v>0</v>
      </c>
      <c r="AC63" s="26">
        <f>IFERROR(__xludf.DUMMYFUNCTION("""COMPUTED_VALUE"""),0.0)</f>
        <v>0</v>
      </c>
      <c r="AD63" s="26">
        <f>IFERROR(__xludf.DUMMYFUNCTION("""COMPUTED_VALUE"""),0.0)</f>
        <v>0</v>
      </c>
      <c r="AE63" s="26">
        <f>IFERROR(__xludf.DUMMYFUNCTION("""COMPUTED_VALUE"""),0.0)</f>
        <v>0</v>
      </c>
    </row>
    <row r="64">
      <c r="A64" s="26">
        <f>IFERROR(__xludf.DUMMYFUNCTION("""COMPUTED_VALUE"""),0.0)</f>
        <v>0</v>
      </c>
      <c r="B64" s="26">
        <f>IFERROR(__xludf.DUMMYFUNCTION("""COMPUTED_VALUE"""),0.0)</f>
        <v>0</v>
      </c>
      <c r="C64" s="26">
        <f>IFERROR(__xludf.DUMMYFUNCTION("""COMPUTED_VALUE"""),0.0)</f>
        <v>0</v>
      </c>
      <c r="D64" s="26">
        <f>IFERROR(__xludf.DUMMYFUNCTION("""COMPUTED_VALUE"""),0.0)</f>
        <v>0</v>
      </c>
      <c r="E64" s="26">
        <f>IFERROR(__xludf.DUMMYFUNCTION("""COMPUTED_VALUE"""),0.0)</f>
        <v>0</v>
      </c>
      <c r="F64" s="26">
        <f>IFERROR(__xludf.DUMMYFUNCTION("""COMPUTED_VALUE"""),0.0)</f>
        <v>0</v>
      </c>
      <c r="G64" s="26">
        <f>IFERROR(__xludf.DUMMYFUNCTION("""COMPUTED_VALUE"""),0.0)</f>
        <v>0</v>
      </c>
      <c r="H64" s="26">
        <f>IFERROR(__xludf.DUMMYFUNCTION("""COMPUTED_VALUE"""),0.0)</f>
        <v>0</v>
      </c>
      <c r="I64" s="26">
        <f>IFERROR(__xludf.DUMMYFUNCTION("""COMPUTED_VALUE"""),0.0)</f>
        <v>0</v>
      </c>
      <c r="J64" s="26">
        <f>IFERROR(__xludf.DUMMYFUNCTION("""COMPUTED_VALUE"""),0.0)</f>
        <v>0</v>
      </c>
      <c r="K64" s="26">
        <f>IFERROR(__xludf.DUMMYFUNCTION("""COMPUTED_VALUE"""),0.0)</f>
        <v>0</v>
      </c>
      <c r="L64" s="26">
        <f>IFERROR(__xludf.DUMMYFUNCTION("""COMPUTED_VALUE"""),0.0)</f>
        <v>0</v>
      </c>
      <c r="M64" s="26"/>
      <c r="N64" s="26"/>
      <c r="O64" s="26"/>
      <c r="P64" s="26"/>
      <c r="Q64" s="26"/>
      <c r="R64" s="26">
        <f>IFERROR(__xludf.DUMMYFUNCTION("""COMPUTED_VALUE"""),0.0)</f>
        <v>0</v>
      </c>
      <c r="S64" s="26">
        <f>IFERROR(__xludf.DUMMYFUNCTION("""COMPUTED_VALUE"""),0.0)</f>
        <v>0</v>
      </c>
      <c r="T64" s="26">
        <f>IFERROR(__xludf.DUMMYFUNCTION("""COMPUTED_VALUE"""),0.0)</f>
        <v>0</v>
      </c>
      <c r="U64" s="26">
        <f>IFERROR(__xludf.DUMMYFUNCTION("""COMPUTED_VALUE"""),0.0)</f>
        <v>0</v>
      </c>
      <c r="V64" s="26">
        <f>IFERROR(__xludf.DUMMYFUNCTION("""COMPUTED_VALUE"""),0.0)</f>
        <v>0</v>
      </c>
      <c r="W64" s="26">
        <f>IFERROR(__xludf.DUMMYFUNCTION("""COMPUTED_VALUE"""),0.0)</f>
        <v>0</v>
      </c>
      <c r="X64" s="26">
        <f>IFERROR(__xludf.DUMMYFUNCTION("""COMPUTED_VALUE"""),0.0)</f>
        <v>0</v>
      </c>
      <c r="Y64" s="26">
        <f>IFERROR(__xludf.DUMMYFUNCTION("""COMPUTED_VALUE"""),0.0)</f>
        <v>0</v>
      </c>
      <c r="Z64" s="26">
        <f>IFERROR(__xludf.DUMMYFUNCTION("""COMPUTED_VALUE"""),0.0)</f>
        <v>0</v>
      </c>
      <c r="AA64" s="26">
        <f>IFERROR(__xludf.DUMMYFUNCTION("""COMPUTED_VALUE"""),0.0)</f>
        <v>0</v>
      </c>
      <c r="AB64" s="26">
        <f>IFERROR(__xludf.DUMMYFUNCTION("""COMPUTED_VALUE"""),0.0)</f>
        <v>0</v>
      </c>
      <c r="AC64" s="26">
        <f>IFERROR(__xludf.DUMMYFUNCTION("""COMPUTED_VALUE"""),0.0)</f>
        <v>0</v>
      </c>
      <c r="AD64" s="26">
        <f>IFERROR(__xludf.DUMMYFUNCTION("""COMPUTED_VALUE"""),0.0)</f>
        <v>0</v>
      </c>
      <c r="AE64" s="26">
        <f>IFERROR(__xludf.DUMMYFUNCTION("""COMPUTED_VALUE"""),0.0)</f>
        <v>0</v>
      </c>
    </row>
    <row r="65">
      <c r="A65" s="26">
        <f>IFERROR(__xludf.DUMMYFUNCTION("""COMPUTED_VALUE"""),0.0)</f>
        <v>0</v>
      </c>
      <c r="B65" s="26">
        <f>IFERROR(__xludf.DUMMYFUNCTION("""COMPUTED_VALUE"""),0.0)</f>
        <v>0</v>
      </c>
      <c r="C65" s="26">
        <f>IFERROR(__xludf.DUMMYFUNCTION("""COMPUTED_VALUE"""),0.0)</f>
        <v>0</v>
      </c>
      <c r="D65" s="26">
        <f>IFERROR(__xludf.DUMMYFUNCTION("""COMPUTED_VALUE"""),0.0)</f>
        <v>0</v>
      </c>
      <c r="E65" s="26">
        <f>IFERROR(__xludf.DUMMYFUNCTION("""COMPUTED_VALUE"""),0.0)</f>
        <v>0</v>
      </c>
      <c r="F65" s="26">
        <f>IFERROR(__xludf.DUMMYFUNCTION("""COMPUTED_VALUE"""),0.0)</f>
        <v>0</v>
      </c>
      <c r="G65" s="26">
        <f>IFERROR(__xludf.DUMMYFUNCTION("""COMPUTED_VALUE"""),0.0)</f>
        <v>0</v>
      </c>
      <c r="H65" s="26">
        <f>IFERROR(__xludf.DUMMYFUNCTION("""COMPUTED_VALUE"""),0.0)</f>
        <v>0</v>
      </c>
      <c r="I65" s="26">
        <f>IFERROR(__xludf.DUMMYFUNCTION("""COMPUTED_VALUE"""),0.0)</f>
        <v>0</v>
      </c>
      <c r="J65" s="26">
        <f>IFERROR(__xludf.DUMMYFUNCTION("""COMPUTED_VALUE"""),0.0)</f>
        <v>0</v>
      </c>
      <c r="K65" s="26">
        <f>IFERROR(__xludf.DUMMYFUNCTION("""COMPUTED_VALUE"""),0.0)</f>
        <v>0</v>
      </c>
      <c r="L65" s="26">
        <f>IFERROR(__xludf.DUMMYFUNCTION("""COMPUTED_VALUE"""),0.0)</f>
        <v>0</v>
      </c>
      <c r="M65" s="26"/>
      <c r="N65" s="26"/>
      <c r="O65" s="26"/>
      <c r="P65" s="26"/>
      <c r="Q65" s="26"/>
      <c r="R65" s="26">
        <f>IFERROR(__xludf.DUMMYFUNCTION("""COMPUTED_VALUE"""),0.0)</f>
        <v>0</v>
      </c>
      <c r="S65" s="26">
        <f>IFERROR(__xludf.DUMMYFUNCTION("""COMPUTED_VALUE"""),0.0)</f>
        <v>0</v>
      </c>
      <c r="T65" s="26">
        <f>IFERROR(__xludf.DUMMYFUNCTION("""COMPUTED_VALUE"""),0.0)</f>
        <v>0</v>
      </c>
      <c r="U65" s="26">
        <f>IFERROR(__xludf.DUMMYFUNCTION("""COMPUTED_VALUE"""),0.0)</f>
        <v>0</v>
      </c>
      <c r="V65" s="26">
        <f>IFERROR(__xludf.DUMMYFUNCTION("""COMPUTED_VALUE"""),0.0)</f>
        <v>0</v>
      </c>
      <c r="W65" s="26">
        <f>IFERROR(__xludf.DUMMYFUNCTION("""COMPUTED_VALUE"""),0.0)</f>
        <v>0</v>
      </c>
      <c r="X65" s="26">
        <f>IFERROR(__xludf.DUMMYFUNCTION("""COMPUTED_VALUE"""),0.0)</f>
        <v>0</v>
      </c>
      <c r="Y65" s="26">
        <f>IFERROR(__xludf.DUMMYFUNCTION("""COMPUTED_VALUE"""),0.0)</f>
        <v>0</v>
      </c>
      <c r="Z65" s="26">
        <f>IFERROR(__xludf.DUMMYFUNCTION("""COMPUTED_VALUE"""),0.0)</f>
        <v>0</v>
      </c>
      <c r="AA65" s="26">
        <f>IFERROR(__xludf.DUMMYFUNCTION("""COMPUTED_VALUE"""),0.0)</f>
        <v>0</v>
      </c>
      <c r="AB65" s="26">
        <f>IFERROR(__xludf.DUMMYFUNCTION("""COMPUTED_VALUE"""),0.0)</f>
        <v>0</v>
      </c>
      <c r="AC65" s="26">
        <f>IFERROR(__xludf.DUMMYFUNCTION("""COMPUTED_VALUE"""),0.0)</f>
        <v>0</v>
      </c>
      <c r="AD65" s="26">
        <f>IFERROR(__xludf.DUMMYFUNCTION("""COMPUTED_VALUE"""),0.0)</f>
        <v>0</v>
      </c>
      <c r="AE65" s="26">
        <f>IFERROR(__xludf.DUMMYFUNCTION("""COMPUTED_VALUE"""),0.0)</f>
        <v>0</v>
      </c>
    </row>
    <row r="66">
      <c r="A66" s="26">
        <f>IFERROR(__xludf.DUMMYFUNCTION("""COMPUTED_VALUE"""),0.0)</f>
        <v>0</v>
      </c>
      <c r="B66" s="26">
        <f>IFERROR(__xludf.DUMMYFUNCTION("""COMPUTED_VALUE"""),0.0)</f>
        <v>0</v>
      </c>
      <c r="C66" s="26">
        <f>IFERROR(__xludf.DUMMYFUNCTION("""COMPUTED_VALUE"""),0.0)</f>
        <v>0</v>
      </c>
      <c r="D66" s="26">
        <f>IFERROR(__xludf.DUMMYFUNCTION("""COMPUTED_VALUE"""),0.0)</f>
        <v>0</v>
      </c>
      <c r="E66" s="26">
        <f>IFERROR(__xludf.DUMMYFUNCTION("""COMPUTED_VALUE"""),0.0)</f>
        <v>0</v>
      </c>
      <c r="F66" s="26">
        <f>IFERROR(__xludf.DUMMYFUNCTION("""COMPUTED_VALUE"""),0.0)</f>
        <v>0</v>
      </c>
      <c r="G66" s="26">
        <f>IFERROR(__xludf.DUMMYFUNCTION("""COMPUTED_VALUE"""),0.0)</f>
        <v>0</v>
      </c>
      <c r="H66" s="26">
        <f>IFERROR(__xludf.DUMMYFUNCTION("""COMPUTED_VALUE"""),0.0)</f>
        <v>0</v>
      </c>
      <c r="I66" s="26">
        <f>IFERROR(__xludf.DUMMYFUNCTION("""COMPUTED_VALUE"""),0.0)</f>
        <v>0</v>
      </c>
      <c r="J66" s="26">
        <f>IFERROR(__xludf.DUMMYFUNCTION("""COMPUTED_VALUE"""),0.0)</f>
        <v>0</v>
      </c>
      <c r="K66" s="26">
        <f>IFERROR(__xludf.DUMMYFUNCTION("""COMPUTED_VALUE"""),0.0)</f>
        <v>0</v>
      </c>
      <c r="L66" s="26">
        <f>IFERROR(__xludf.DUMMYFUNCTION("""COMPUTED_VALUE"""),0.0)</f>
        <v>0</v>
      </c>
      <c r="M66" s="26"/>
      <c r="N66" s="26"/>
      <c r="O66" s="26"/>
      <c r="P66" s="26"/>
      <c r="Q66" s="26"/>
      <c r="R66" s="26">
        <f>IFERROR(__xludf.DUMMYFUNCTION("""COMPUTED_VALUE"""),0.0)</f>
        <v>0</v>
      </c>
      <c r="S66" s="26">
        <f>IFERROR(__xludf.DUMMYFUNCTION("""COMPUTED_VALUE"""),0.0)</f>
        <v>0</v>
      </c>
      <c r="T66" s="26">
        <f>IFERROR(__xludf.DUMMYFUNCTION("""COMPUTED_VALUE"""),0.0)</f>
        <v>0</v>
      </c>
      <c r="U66" s="26">
        <f>IFERROR(__xludf.DUMMYFUNCTION("""COMPUTED_VALUE"""),0.0)</f>
        <v>0</v>
      </c>
      <c r="V66" s="26">
        <f>IFERROR(__xludf.DUMMYFUNCTION("""COMPUTED_VALUE"""),0.0)</f>
        <v>0</v>
      </c>
      <c r="W66" s="26">
        <f>IFERROR(__xludf.DUMMYFUNCTION("""COMPUTED_VALUE"""),0.0)</f>
        <v>0</v>
      </c>
      <c r="X66" s="26">
        <f>IFERROR(__xludf.DUMMYFUNCTION("""COMPUTED_VALUE"""),0.0)</f>
        <v>0</v>
      </c>
      <c r="Y66" s="26">
        <f>IFERROR(__xludf.DUMMYFUNCTION("""COMPUTED_VALUE"""),0.0)</f>
        <v>0</v>
      </c>
      <c r="Z66" s="26">
        <f>IFERROR(__xludf.DUMMYFUNCTION("""COMPUTED_VALUE"""),0.0)</f>
        <v>0</v>
      </c>
      <c r="AA66" s="26">
        <f>IFERROR(__xludf.DUMMYFUNCTION("""COMPUTED_VALUE"""),0.0)</f>
        <v>0</v>
      </c>
      <c r="AB66" s="26">
        <f>IFERROR(__xludf.DUMMYFUNCTION("""COMPUTED_VALUE"""),0.0)</f>
        <v>0</v>
      </c>
      <c r="AC66" s="26">
        <f>IFERROR(__xludf.DUMMYFUNCTION("""COMPUTED_VALUE"""),0.0)</f>
        <v>0</v>
      </c>
      <c r="AD66" s="26">
        <f>IFERROR(__xludf.DUMMYFUNCTION("""COMPUTED_VALUE"""),0.0)</f>
        <v>0</v>
      </c>
      <c r="AE66" s="26">
        <f>IFERROR(__xludf.DUMMYFUNCTION("""COMPUTED_VALUE"""),0.0)</f>
        <v>0</v>
      </c>
    </row>
    <row r="67">
      <c r="A67" s="26">
        <f>IFERROR(__xludf.DUMMYFUNCTION("""COMPUTED_VALUE"""),0.0)</f>
        <v>0</v>
      </c>
      <c r="B67" s="26">
        <f>IFERROR(__xludf.DUMMYFUNCTION("""COMPUTED_VALUE"""),0.0)</f>
        <v>0</v>
      </c>
      <c r="C67" s="26">
        <f>IFERROR(__xludf.DUMMYFUNCTION("""COMPUTED_VALUE"""),0.0)</f>
        <v>0</v>
      </c>
      <c r="D67" s="26">
        <f>IFERROR(__xludf.DUMMYFUNCTION("""COMPUTED_VALUE"""),0.0)</f>
        <v>0</v>
      </c>
      <c r="E67" s="26">
        <f>IFERROR(__xludf.DUMMYFUNCTION("""COMPUTED_VALUE"""),0.0)</f>
        <v>0</v>
      </c>
      <c r="F67" s="26">
        <f>IFERROR(__xludf.DUMMYFUNCTION("""COMPUTED_VALUE"""),0.0)</f>
        <v>0</v>
      </c>
      <c r="G67" s="26">
        <f>IFERROR(__xludf.DUMMYFUNCTION("""COMPUTED_VALUE"""),0.0)</f>
        <v>0</v>
      </c>
      <c r="H67" s="26">
        <f>IFERROR(__xludf.DUMMYFUNCTION("""COMPUTED_VALUE"""),0.0)</f>
        <v>0</v>
      </c>
      <c r="I67" s="26">
        <f>IFERROR(__xludf.DUMMYFUNCTION("""COMPUTED_VALUE"""),0.0)</f>
        <v>0</v>
      </c>
      <c r="J67" s="26">
        <f>IFERROR(__xludf.DUMMYFUNCTION("""COMPUTED_VALUE"""),0.0)</f>
        <v>0</v>
      </c>
      <c r="K67" s="26">
        <f>IFERROR(__xludf.DUMMYFUNCTION("""COMPUTED_VALUE"""),0.0)</f>
        <v>0</v>
      </c>
      <c r="L67" s="26">
        <f>IFERROR(__xludf.DUMMYFUNCTION("""COMPUTED_VALUE"""),0.0)</f>
        <v>0</v>
      </c>
      <c r="M67" s="26"/>
      <c r="N67" s="26"/>
      <c r="O67" s="26"/>
      <c r="P67" s="26"/>
      <c r="Q67" s="26"/>
      <c r="R67" s="26">
        <f>IFERROR(__xludf.DUMMYFUNCTION("""COMPUTED_VALUE"""),0.0)</f>
        <v>0</v>
      </c>
      <c r="S67" s="26">
        <f>IFERROR(__xludf.DUMMYFUNCTION("""COMPUTED_VALUE"""),0.0)</f>
        <v>0</v>
      </c>
      <c r="T67" s="26">
        <f>IFERROR(__xludf.DUMMYFUNCTION("""COMPUTED_VALUE"""),0.0)</f>
        <v>0</v>
      </c>
      <c r="U67" s="26">
        <f>IFERROR(__xludf.DUMMYFUNCTION("""COMPUTED_VALUE"""),0.0)</f>
        <v>0</v>
      </c>
      <c r="V67" s="26">
        <f>IFERROR(__xludf.DUMMYFUNCTION("""COMPUTED_VALUE"""),0.0)</f>
        <v>0</v>
      </c>
      <c r="W67" s="26">
        <f>IFERROR(__xludf.DUMMYFUNCTION("""COMPUTED_VALUE"""),0.0)</f>
        <v>0</v>
      </c>
      <c r="X67" s="26">
        <f>IFERROR(__xludf.DUMMYFUNCTION("""COMPUTED_VALUE"""),0.0)</f>
        <v>0</v>
      </c>
      <c r="Y67" s="26">
        <f>IFERROR(__xludf.DUMMYFUNCTION("""COMPUTED_VALUE"""),0.0)</f>
        <v>0</v>
      </c>
      <c r="Z67" s="26">
        <f>IFERROR(__xludf.DUMMYFUNCTION("""COMPUTED_VALUE"""),0.0)</f>
        <v>0</v>
      </c>
      <c r="AA67" s="26">
        <f>IFERROR(__xludf.DUMMYFUNCTION("""COMPUTED_VALUE"""),0.0)</f>
        <v>0</v>
      </c>
      <c r="AB67" s="26">
        <f>IFERROR(__xludf.DUMMYFUNCTION("""COMPUTED_VALUE"""),0.0)</f>
        <v>0</v>
      </c>
      <c r="AC67" s="26">
        <f>IFERROR(__xludf.DUMMYFUNCTION("""COMPUTED_VALUE"""),0.0)</f>
        <v>0</v>
      </c>
      <c r="AD67" s="26">
        <f>IFERROR(__xludf.DUMMYFUNCTION("""COMPUTED_VALUE"""),0.0)</f>
        <v>0</v>
      </c>
      <c r="AE67" s="26">
        <f>IFERROR(__xludf.DUMMYFUNCTION("""COMPUTED_VALUE"""),0.0)</f>
        <v>0</v>
      </c>
    </row>
    <row r="68">
      <c r="A68" s="26">
        <f>IFERROR(__xludf.DUMMYFUNCTION("""COMPUTED_VALUE"""),0.0)</f>
        <v>0</v>
      </c>
      <c r="B68" s="26">
        <f>IFERROR(__xludf.DUMMYFUNCTION("""COMPUTED_VALUE"""),0.0)</f>
        <v>0</v>
      </c>
      <c r="C68" s="26">
        <f>IFERROR(__xludf.DUMMYFUNCTION("""COMPUTED_VALUE"""),0.0)</f>
        <v>0</v>
      </c>
      <c r="D68" s="26">
        <f>IFERROR(__xludf.DUMMYFUNCTION("""COMPUTED_VALUE"""),0.0)</f>
        <v>0</v>
      </c>
      <c r="E68" s="26">
        <f>IFERROR(__xludf.DUMMYFUNCTION("""COMPUTED_VALUE"""),0.0)</f>
        <v>0</v>
      </c>
      <c r="F68" s="26">
        <f>IFERROR(__xludf.DUMMYFUNCTION("""COMPUTED_VALUE"""),0.0)</f>
        <v>0</v>
      </c>
      <c r="G68" s="26">
        <f>IFERROR(__xludf.DUMMYFUNCTION("""COMPUTED_VALUE"""),0.0)</f>
        <v>0</v>
      </c>
      <c r="H68" s="26">
        <f>IFERROR(__xludf.DUMMYFUNCTION("""COMPUTED_VALUE"""),0.0)</f>
        <v>0</v>
      </c>
      <c r="I68" s="26">
        <f>IFERROR(__xludf.DUMMYFUNCTION("""COMPUTED_VALUE"""),0.0)</f>
        <v>0</v>
      </c>
      <c r="J68" s="26">
        <f>IFERROR(__xludf.DUMMYFUNCTION("""COMPUTED_VALUE"""),0.0)</f>
        <v>0</v>
      </c>
      <c r="K68" s="26">
        <f>IFERROR(__xludf.DUMMYFUNCTION("""COMPUTED_VALUE"""),0.0)</f>
        <v>0</v>
      </c>
      <c r="L68" s="26">
        <f>IFERROR(__xludf.DUMMYFUNCTION("""COMPUTED_VALUE"""),0.0)</f>
        <v>0</v>
      </c>
      <c r="M68" s="26"/>
      <c r="N68" s="26"/>
      <c r="O68" s="26"/>
      <c r="P68" s="26"/>
      <c r="Q68" s="26"/>
      <c r="R68" s="26">
        <f>IFERROR(__xludf.DUMMYFUNCTION("""COMPUTED_VALUE"""),0.0)</f>
        <v>0</v>
      </c>
      <c r="S68" s="26">
        <f>IFERROR(__xludf.DUMMYFUNCTION("""COMPUTED_VALUE"""),0.0)</f>
        <v>0</v>
      </c>
      <c r="T68" s="26">
        <f>IFERROR(__xludf.DUMMYFUNCTION("""COMPUTED_VALUE"""),0.0)</f>
        <v>0</v>
      </c>
      <c r="U68" s="26">
        <f>IFERROR(__xludf.DUMMYFUNCTION("""COMPUTED_VALUE"""),0.0)</f>
        <v>0</v>
      </c>
      <c r="V68" s="26">
        <f>IFERROR(__xludf.DUMMYFUNCTION("""COMPUTED_VALUE"""),0.0)</f>
        <v>0</v>
      </c>
      <c r="W68" s="26">
        <f>IFERROR(__xludf.DUMMYFUNCTION("""COMPUTED_VALUE"""),0.0)</f>
        <v>0</v>
      </c>
      <c r="X68" s="26">
        <f>IFERROR(__xludf.DUMMYFUNCTION("""COMPUTED_VALUE"""),0.0)</f>
        <v>0</v>
      </c>
      <c r="Y68" s="26">
        <f>IFERROR(__xludf.DUMMYFUNCTION("""COMPUTED_VALUE"""),0.0)</f>
        <v>0</v>
      </c>
      <c r="Z68" s="26">
        <f>IFERROR(__xludf.DUMMYFUNCTION("""COMPUTED_VALUE"""),0.0)</f>
        <v>0</v>
      </c>
      <c r="AA68" s="26">
        <f>IFERROR(__xludf.DUMMYFUNCTION("""COMPUTED_VALUE"""),0.0)</f>
        <v>0</v>
      </c>
      <c r="AB68" s="26">
        <f>IFERROR(__xludf.DUMMYFUNCTION("""COMPUTED_VALUE"""),0.0)</f>
        <v>0</v>
      </c>
      <c r="AC68" s="26">
        <f>IFERROR(__xludf.DUMMYFUNCTION("""COMPUTED_VALUE"""),0.0)</f>
        <v>0</v>
      </c>
      <c r="AD68" s="26">
        <f>IFERROR(__xludf.DUMMYFUNCTION("""COMPUTED_VALUE"""),0.0)</f>
        <v>0</v>
      </c>
      <c r="AE68" s="26">
        <f>IFERROR(__xludf.DUMMYFUNCTION("""COMPUTED_VALUE"""),0.0)</f>
        <v>0</v>
      </c>
    </row>
    <row r="69">
      <c r="A69" s="26">
        <f>IFERROR(__xludf.DUMMYFUNCTION("""COMPUTED_VALUE"""),0.0)</f>
        <v>0</v>
      </c>
      <c r="B69" s="26">
        <f>IFERROR(__xludf.DUMMYFUNCTION("""COMPUTED_VALUE"""),0.0)</f>
        <v>0</v>
      </c>
      <c r="C69" s="26">
        <f>IFERROR(__xludf.DUMMYFUNCTION("""COMPUTED_VALUE"""),0.0)</f>
        <v>0</v>
      </c>
      <c r="D69" s="26">
        <f>IFERROR(__xludf.DUMMYFUNCTION("""COMPUTED_VALUE"""),0.0)</f>
        <v>0</v>
      </c>
      <c r="E69" s="26">
        <f>IFERROR(__xludf.DUMMYFUNCTION("""COMPUTED_VALUE"""),31.0)</f>
        <v>31</v>
      </c>
      <c r="F69" s="26">
        <f>IFERROR(__xludf.DUMMYFUNCTION("""COMPUTED_VALUE"""),0.0)</f>
        <v>0</v>
      </c>
      <c r="G69" s="26">
        <f>IFERROR(__xludf.DUMMYFUNCTION("""COMPUTED_VALUE"""),0.0)</f>
        <v>0</v>
      </c>
      <c r="H69" s="26">
        <f>IFERROR(__xludf.DUMMYFUNCTION("""COMPUTED_VALUE"""),0.0)</f>
        <v>0</v>
      </c>
      <c r="I69" s="26">
        <f>IFERROR(__xludf.DUMMYFUNCTION("""COMPUTED_VALUE"""),0.0)</f>
        <v>0</v>
      </c>
      <c r="J69" s="26">
        <f>IFERROR(__xludf.DUMMYFUNCTION("""COMPUTED_VALUE"""),0.0)</f>
        <v>0</v>
      </c>
      <c r="K69" s="26">
        <f>IFERROR(__xludf.DUMMYFUNCTION("""COMPUTED_VALUE"""),0.0)</f>
        <v>0</v>
      </c>
      <c r="L69" s="26">
        <f>IFERROR(__xludf.DUMMYFUNCTION("""COMPUTED_VALUE"""),0.0)</f>
        <v>0</v>
      </c>
      <c r="M69" s="26"/>
      <c r="N69" s="26"/>
      <c r="O69" s="26"/>
      <c r="P69" s="26"/>
      <c r="Q69" s="26"/>
      <c r="R69" s="26">
        <f>IFERROR(__xludf.DUMMYFUNCTION("""COMPUTED_VALUE"""),31.0)</f>
        <v>31</v>
      </c>
      <c r="S69" s="26">
        <f>IFERROR(__xludf.DUMMYFUNCTION("""COMPUTED_VALUE"""),57350.0)</f>
        <v>57350</v>
      </c>
      <c r="T69" s="26">
        <f>IFERROR(__xludf.DUMMYFUNCTION("""COMPUTED_VALUE"""),5270.0)</f>
        <v>5270</v>
      </c>
      <c r="U69" s="26">
        <f>IFERROR(__xludf.DUMMYFUNCTION("""COMPUTED_VALUE"""),14018.199999999997)</f>
        <v>14018.2</v>
      </c>
      <c r="V69" s="26">
        <f>IFERROR(__xludf.DUMMYFUNCTION("""COMPUTED_VALUE"""),0.0)</f>
        <v>0</v>
      </c>
      <c r="W69" s="26">
        <f>IFERROR(__xludf.DUMMYFUNCTION("""COMPUTED_VALUE"""),0.0)</f>
        <v>0</v>
      </c>
      <c r="X69" s="26">
        <f>IFERROR(__xludf.DUMMYFUNCTION("""COMPUTED_VALUE"""),8748.199999999997)</f>
        <v>8748.2</v>
      </c>
      <c r="Y69" s="26">
        <f>IFERROR(__xludf.DUMMYFUNCTION("""COMPUTED_VALUE"""),8748.199999999997)</f>
        <v>8748.2</v>
      </c>
      <c r="Z69" s="26">
        <f>IFERROR(__xludf.DUMMYFUNCTION("""COMPUTED_VALUE"""),0.0)</f>
        <v>0</v>
      </c>
      <c r="AA69" s="26">
        <f>IFERROR(__xludf.DUMMYFUNCTION("""COMPUTED_VALUE"""),0.0)</f>
        <v>0</v>
      </c>
      <c r="AB69" s="26">
        <f>IFERROR(__xludf.DUMMYFUNCTION("""COMPUTED_VALUE"""),0.0)</f>
        <v>0</v>
      </c>
      <c r="AC69" s="26">
        <f>IFERROR(__xludf.DUMMYFUNCTION("""COMPUTED_VALUE"""),0.0)</f>
        <v>0</v>
      </c>
      <c r="AD69" s="26">
        <f>IFERROR(__xludf.DUMMYFUNCTION("""COMPUTED_VALUE"""),0.0)</f>
        <v>0</v>
      </c>
      <c r="AE69" s="26">
        <f>IFERROR(__xludf.DUMMYFUNCTION("""COMPUTED_VALUE"""),0.0)</f>
        <v>0</v>
      </c>
    </row>
    <row r="70">
      <c r="A70" s="26">
        <f>IFERROR(__xludf.DUMMYFUNCTION("""COMPUTED_VALUE"""),0.0)</f>
        <v>0</v>
      </c>
      <c r="B70" s="26">
        <f>IFERROR(__xludf.DUMMYFUNCTION("""COMPUTED_VALUE"""),0.0)</f>
        <v>0</v>
      </c>
      <c r="C70" s="26">
        <f>IFERROR(__xludf.DUMMYFUNCTION("""COMPUTED_VALUE"""),0.0)</f>
        <v>0</v>
      </c>
      <c r="D70" s="26">
        <f>IFERROR(__xludf.DUMMYFUNCTION("""COMPUTED_VALUE"""),0.0)</f>
        <v>0</v>
      </c>
      <c r="E70" s="26">
        <f>IFERROR(__xludf.DUMMYFUNCTION("""COMPUTED_VALUE"""),10.0)</f>
        <v>10</v>
      </c>
      <c r="F70" s="26">
        <f>IFERROR(__xludf.DUMMYFUNCTION("""COMPUTED_VALUE"""),0.0)</f>
        <v>0</v>
      </c>
      <c r="G70" s="26">
        <f>IFERROR(__xludf.DUMMYFUNCTION("""COMPUTED_VALUE"""),0.0)</f>
        <v>0</v>
      </c>
      <c r="H70" s="26">
        <f>IFERROR(__xludf.DUMMYFUNCTION("""COMPUTED_VALUE"""),0.0)</f>
        <v>0</v>
      </c>
      <c r="I70" s="26">
        <f>IFERROR(__xludf.DUMMYFUNCTION("""COMPUTED_VALUE"""),0.0)</f>
        <v>0</v>
      </c>
      <c r="J70" s="26">
        <f>IFERROR(__xludf.DUMMYFUNCTION("""COMPUTED_VALUE"""),0.0)</f>
        <v>0</v>
      </c>
      <c r="K70" s="26">
        <f>IFERROR(__xludf.DUMMYFUNCTION("""COMPUTED_VALUE"""),0.0)</f>
        <v>0</v>
      </c>
      <c r="L70" s="26">
        <f>IFERROR(__xludf.DUMMYFUNCTION("""COMPUTED_VALUE"""),0.0)</f>
        <v>0</v>
      </c>
      <c r="M70" s="26"/>
      <c r="N70" s="26"/>
      <c r="O70" s="26"/>
      <c r="P70" s="26"/>
      <c r="Q70" s="26"/>
      <c r="R70" s="26">
        <f>IFERROR(__xludf.DUMMYFUNCTION("""COMPUTED_VALUE"""),10.0)</f>
        <v>10</v>
      </c>
      <c r="S70" s="26">
        <f>IFERROR(__xludf.DUMMYFUNCTION("""COMPUTED_VALUE"""),18500.0)</f>
        <v>18500</v>
      </c>
      <c r="T70" s="26">
        <f>IFERROR(__xludf.DUMMYFUNCTION("""COMPUTED_VALUE"""),1700.0)</f>
        <v>1700</v>
      </c>
      <c r="U70" s="26">
        <f>IFERROR(__xludf.DUMMYFUNCTION("""COMPUTED_VALUE"""),4522.0)</f>
        <v>4522</v>
      </c>
      <c r="V70" s="26">
        <f>IFERROR(__xludf.DUMMYFUNCTION("""COMPUTED_VALUE"""),0.0)</f>
        <v>0</v>
      </c>
      <c r="W70" s="26">
        <f>IFERROR(__xludf.DUMMYFUNCTION("""COMPUTED_VALUE"""),0.0)</f>
        <v>0</v>
      </c>
      <c r="X70" s="26">
        <f>IFERROR(__xludf.DUMMYFUNCTION("""COMPUTED_VALUE"""),2821.9999999999995)</f>
        <v>2822</v>
      </c>
      <c r="Y70" s="26">
        <f>IFERROR(__xludf.DUMMYFUNCTION("""COMPUTED_VALUE"""),2821.9999999999995)</f>
        <v>2822</v>
      </c>
      <c r="Z70" s="26">
        <f>IFERROR(__xludf.DUMMYFUNCTION("""COMPUTED_VALUE"""),0.0)</f>
        <v>0</v>
      </c>
      <c r="AA70" s="26">
        <f>IFERROR(__xludf.DUMMYFUNCTION("""COMPUTED_VALUE"""),0.0)</f>
        <v>0</v>
      </c>
      <c r="AB70" s="26">
        <f>IFERROR(__xludf.DUMMYFUNCTION("""COMPUTED_VALUE"""),0.0)</f>
        <v>0</v>
      </c>
      <c r="AC70" s="26">
        <f>IFERROR(__xludf.DUMMYFUNCTION("""COMPUTED_VALUE"""),0.0)</f>
        <v>0</v>
      </c>
      <c r="AD70" s="26">
        <f>IFERROR(__xludf.DUMMYFUNCTION("""COMPUTED_VALUE"""),0.0)</f>
        <v>0</v>
      </c>
      <c r="AE70" s="26">
        <f>IFERROR(__xludf.DUMMYFUNCTION("""COMPUTED_VALUE"""),0.0)</f>
        <v>0</v>
      </c>
    </row>
    <row r="71">
      <c r="A71" s="26">
        <f>IFERROR(__xludf.DUMMYFUNCTION("""COMPUTED_VALUE"""),0.0)</f>
        <v>0</v>
      </c>
      <c r="B71" s="26">
        <f>IFERROR(__xludf.DUMMYFUNCTION("""COMPUTED_VALUE"""),0.0)</f>
        <v>0</v>
      </c>
      <c r="C71" s="26">
        <f>IFERROR(__xludf.DUMMYFUNCTION("""COMPUTED_VALUE"""),0.0)</f>
        <v>0</v>
      </c>
      <c r="D71" s="26">
        <f>IFERROR(__xludf.DUMMYFUNCTION("""COMPUTED_VALUE"""),0.0)</f>
        <v>0</v>
      </c>
      <c r="E71" s="26">
        <f>IFERROR(__xludf.DUMMYFUNCTION("""COMPUTED_VALUE"""),0.0)</f>
        <v>0</v>
      </c>
      <c r="F71" s="26">
        <f>IFERROR(__xludf.DUMMYFUNCTION("""COMPUTED_VALUE"""),0.0)</f>
        <v>0</v>
      </c>
      <c r="G71" s="26">
        <f>IFERROR(__xludf.DUMMYFUNCTION("""COMPUTED_VALUE"""),0.0)</f>
        <v>0</v>
      </c>
      <c r="H71" s="26">
        <f>IFERROR(__xludf.DUMMYFUNCTION("""COMPUTED_VALUE"""),0.0)</f>
        <v>0</v>
      </c>
      <c r="I71" s="26">
        <f>IFERROR(__xludf.DUMMYFUNCTION("""COMPUTED_VALUE"""),0.0)</f>
        <v>0</v>
      </c>
      <c r="J71" s="26">
        <f>IFERROR(__xludf.DUMMYFUNCTION("""COMPUTED_VALUE"""),0.0)</f>
        <v>0</v>
      </c>
      <c r="K71" s="26">
        <f>IFERROR(__xludf.DUMMYFUNCTION("""COMPUTED_VALUE"""),0.0)</f>
        <v>0</v>
      </c>
      <c r="L71" s="26">
        <f>IFERROR(__xludf.DUMMYFUNCTION("""COMPUTED_VALUE"""),0.0)</f>
        <v>0</v>
      </c>
      <c r="M71" s="26"/>
      <c r="N71" s="26"/>
      <c r="O71" s="26"/>
      <c r="P71" s="26"/>
      <c r="Q71" s="26"/>
      <c r="R71" s="26">
        <f>IFERROR(__xludf.DUMMYFUNCTION("""COMPUTED_VALUE"""),0.0)</f>
        <v>0</v>
      </c>
      <c r="S71" s="26">
        <f>IFERROR(__xludf.DUMMYFUNCTION("""COMPUTED_VALUE"""),0.0)</f>
        <v>0</v>
      </c>
      <c r="T71" s="26">
        <f>IFERROR(__xludf.DUMMYFUNCTION("""COMPUTED_VALUE"""),0.0)</f>
        <v>0</v>
      </c>
      <c r="U71" s="26">
        <f>IFERROR(__xludf.DUMMYFUNCTION("""COMPUTED_VALUE"""),0.0)</f>
        <v>0</v>
      </c>
      <c r="V71" s="26">
        <f>IFERROR(__xludf.DUMMYFUNCTION("""COMPUTED_VALUE"""),0.0)</f>
        <v>0</v>
      </c>
      <c r="W71" s="26">
        <f>IFERROR(__xludf.DUMMYFUNCTION("""COMPUTED_VALUE"""),0.0)</f>
        <v>0</v>
      </c>
      <c r="X71" s="26">
        <f>IFERROR(__xludf.DUMMYFUNCTION("""COMPUTED_VALUE"""),0.0)</f>
        <v>0</v>
      </c>
      <c r="Y71" s="26">
        <f>IFERROR(__xludf.DUMMYFUNCTION("""COMPUTED_VALUE"""),0.0)</f>
        <v>0</v>
      </c>
      <c r="Z71" s="26">
        <f>IFERROR(__xludf.DUMMYFUNCTION("""COMPUTED_VALUE"""),0.0)</f>
        <v>0</v>
      </c>
      <c r="AA71" s="26">
        <f>IFERROR(__xludf.DUMMYFUNCTION("""COMPUTED_VALUE"""),0.0)</f>
        <v>0</v>
      </c>
      <c r="AB71" s="26">
        <f>IFERROR(__xludf.DUMMYFUNCTION("""COMPUTED_VALUE"""),0.0)</f>
        <v>0</v>
      </c>
      <c r="AC71" s="26">
        <f>IFERROR(__xludf.DUMMYFUNCTION("""COMPUTED_VALUE"""),0.0)</f>
        <v>0</v>
      </c>
      <c r="AD71" s="26">
        <f>IFERROR(__xludf.DUMMYFUNCTION("""COMPUTED_VALUE"""),0.0)</f>
        <v>0</v>
      </c>
      <c r="AE71" s="26">
        <f>IFERROR(__xludf.DUMMYFUNCTION("""COMPUTED_VALUE"""),0.0)</f>
        <v>0</v>
      </c>
    </row>
    <row r="72">
      <c r="A72" s="26">
        <f>IFERROR(__xludf.DUMMYFUNCTION("""COMPUTED_VALUE"""),0.0)</f>
        <v>0</v>
      </c>
      <c r="B72" s="26">
        <f>IFERROR(__xludf.DUMMYFUNCTION("""COMPUTED_VALUE"""),0.0)</f>
        <v>0</v>
      </c>
      <c r="C72" s="26">
        <f>IFERROR(__xludf.DUMMYFUNCTION("""COMPUTED_VALUE"""),0.0)</f>
        <v>0</v>
      </c>
      <c r="D72" s="26">
        <f>IFERROR(__xludf.DUMMYFUNCTION("""COMPUTED_VALUE"""),0.0)</f>
        <v>0</v>
      </c>
      <c r="E72" s="26">
        <f>IFERROR(__xludf.DUMMYFUNCTION("""COMPUTED_VALUE"""),0.0)</f>
        <v>0</v>
      </c>
      <c r="F72" s="26">
        <f>IFERROR(__xludf.DUMMYFUNCTION("""COMPUTED_VALUE"""),0.0)</f>
        <v>0</v>
      </c>
      <c r="G72" s="26">
        <f>IFERROR(__xludf.DUMMYFUNCTION("""COMPUTED_VALUE"""),0.0)</f>
        <v>0</v>
      </c>
      <c r="H72" s="26">
        <f>IFERROR(__xludf.DUMMYFUNCTION("""COMPUTED_VALUE"""),0.0)</f>
        <v>0</v>
      </c>
      <c r="I72" s="26">
        <f>IFERROR(__xludf.DUMMYFUNCTION("""COMPUTED_VALUE"""),0.0)</f>
        <v>0</v>
      </c>
      <c r="J72" s="26">
        <f>IFERROR(__xludf.DUMMYFUNCTION("""COMPUTED_VALUE"""),0.0)</f>
        <v>0</v>
      </c>
      <c r="K72" s="26">
        <f>IFERROR(__xludf.DUMMYFUNCTION("""COMPUTED_VALUE"""),0.0)</f>
        <v>0</v>
      </c>
      <c r="L72" s="26">
        <f>IFERROR(__xludf.DUMMYFUNCTION("""COMPUTED_VALUE"""),0.0)</f>
        <v>0</v>
      </c>
      <c r="M72" s="26"/>
      <c r="N72" s="26"/>
      <c r="O72" s="26"/>
      <c r="P72" s="26"/>
      <c r="Q72" s="26"/>
      <c r="R72" s="26">
        <f>IFERROR(__xludf.DUMMYFUNCTION("""COMPUTED_VALUE"""),0.0)</f>
        <v>0</v>
      </c>
      <c r="S72" s="26">
        <f>IFERROR(__xludf.DUMMYFUNCTION("""COMPUTED_VALUE"""),0.0)</f>
        <v>0</v>
      </c>
      <c r="T72" s="26">
        <f>IFERROR(__xludf.DUMMYFUNCTION("""COMPUTED_VALUE"""),0.0)</f>
        <v>0</v>
      </c>
      <c r="U72" s="26">
        <f>IFERROR(__xludf.DUMMYFUNCTION("""COMPUTED_VALUE"""),0.0)</f>
        <v>0</v>
      </c>
      <c r="V72" s="26">
        <f>IFERROR(__xludf.DUMMYFUNCTION("""COMPUTED_VALUE"""),0.0)</f>
        <v>0</v>
      </c>
      <c r="W72" s="26">
        <f>IFERROR(__xludf.DUMMYFUNCTION("""COMPUTED_VALUE"""),0.0)</f>
        <v>0</v>
      </c>
      <c r="X72" s="26">
        <f>IFERROR(__xludf.DUMMYFUNCTION("""COMPUTED_VALUE"""),0.0)</f>
        <v>0</v>
      </c>
      <c r="Y72" s="26">
        <f>IFERROR(__xludf.DUMMYFUNCTION("""COMPUTED_VALUE"""),0.0)</f>
        <v>0</v>
      </c>
      <c r="Z72" s="26">
        <f>IFERROR(__xludf.DUMMYFUNCTION("""COMPUTED_VALUE"""),0.0)</f>
        <v>0</v>
      </c>
      <c r="AA72" s="26">
        <f>IFERROR(__xludf.DUMMYFUNCTION("""COMPUTED_VALUE"""),0.0)</f>
        <v>0</v>
      </c>
      <c r="AB72" s="26">
        <f>IFERROR(__xludf.DUMMYFUNCTION("""COMPUTED_VALUE"""),0.0)</f>
        <v>0</v>
      </c>
      <c r="AC72" s="26">
        <f>IFERROR(__xludf.DUMMYFUNCTION("""COMPUTED_VALUE"""),0.0)</f>
        <v>0</v>
      </c>
      <c r="AD72" s="26">
        <f>IFERROR(__xludf.DUMMYFUNCTION("""COMPUTED_VALUE"""),0.0)</f>
        <v>0</v>
      </c>
      <c r="AE72" s="26">
        <f>IFERROR(__xludf.DUMMYFUNCTION("""COMPUTED_VALUE"""),0.0)</f>
        <v>0</v>
      </c>
    </row>
    <row r="73">
      <c r="A73" s="26">
        <f>IFERROR(__xludf.DUMMYFUNCTION("""COMPUTED_VALUE"""),0.0)</f>
        <v>0</v>
      </c>
      <c r="B73" s="26">
        <f>IFERROR(__xludf.DUMMYFUNCTION("""COMPUTED_VALUE"""),0.0)</f>
        <v>0</v>
      </c>
      <c r="C73" s="26">
        <f>IFERROR(__xludf.DUMMYFUNCTION("""COMPUTED_VALUE"""),0.0)</f>
        <v>0</v>
      </c>
      <c r="D73" s="26">
        <f>IFERROR(__xludf.DUMMYFUNCTION("""COMPUTED_VALUE"""),0.0)</f>
        <v>0</v>
      </c>
      <c r="E73" s="26">
        <f>IFERROR(__xludf.DUMMYFUNCTION("""COMPUTED_VALUE"""),0.0)</f>
        <v>0</v>
      </c>
      <c r="F73" s="26">
        <f>IFERROR(__xludf.DUMMYFUNCTION("""COMPUTED_VALUE"""),0.0)</f>
        <v>0</v>
      </c>
      <c r="G73" s="26">
        <f>IFERROR(__xludf.DUMMYFUNCTION("""COMPUTED_VALUE"""),0.0)</f>
        <v>0</v>
      </c>
      <c r="H73" s="26">
        <f>IFERROR(__xludf.DUMMYFUNCTION("""COMPUTED_VALUE"""),0.0)</f>
        <v>0</v>
      </c>
      <c r="I73" s="26">
        <f>IFERROR(__xludf.DUMMYFUNCTION("""COMPUTED_VALUE"""),0.0)</f>
        <v>0</v>
      </c>
      <c r="J73" s="26">
        <f>IFERROR(__xludf.DUMMYFUNCTION("""COMPUTED_VALUE"""),0.0)</f>
        <v>0</v>
      </c>
      <c r="K73" s="26">
        <f>IFERROR(__xludf.DUMMYFUNCTION("""COMPUTED_VALUE"""),0.0)</f>
        <v>0</v>
      </c>
      <c r="L73" s="26">
        <f>IFERROR(__xludf.DUMMYFUNCTION("""COMPUTED_VALUE"""),0.0)</f>
        <v>0</v>
      </c>
      <c r="M73" s="26"/>
      <c r="N73" s="26"/>
      <c r="O73" s="26"/>
      <c r="P73" s="26"/>
      <c r="Q73" s="26"/>
      <c r="R73" s="26">
        <f>IFERROR(__xludf.DUMMYFUNCTION("""COMPUTED_VALUE"""),0.0)</f>
        <v>0</v>
      </c>
      <c r="S73" s="26">
        <f>IFERROR(__xludf.DUMMYFUNCTION("""COMPUTED_VALUE"""),0.0)</f>
        <v>0</v>
      </c>
      <c r="T73" s="26">
        <f>IFERROR(__xludf.DUMMYFUNCTION("""COMPUTED_VALUE"""),0.0)</f>
        <v>0</v>
      </c>
      <c r="U73" s="26">
        <f>IFERROR(__xludf.DUMMYFUNCTION("""COMPUTED_VALUE"""),0.0)</f>
        <v>0</v>
      </c>
      <c r="V73" s="26">
        <f>IFERROR(__xludf.DUMMYFUNCTION("""COMPUTED_VALUE"""),0.0)</f>
        <v>0</v>
      </c>
      <c r="W73" s="26">
        <f>IFERROR(__xludf.DUMMYFUNCTION("""COMPUTED_VALUE"""),0.0)</f>
        <v>0</v>
      </c>
      <c r="X73" s="26">
        <f>IFERROR(__xludf.DUMMYFUNCTION("""COMPUTED_VALUE"""),0.0)</f>
        <v>0</v>
      </c>
      <c r="Y73" s="26">
        <f>IFERROR(__xludf.DUMMYFUNCTION("""COMPUTED_VALUE"""),0.0)</f>
        <v>0</v>
      </c>
      <c r="Z73" s="26">
        <f>IFERROR(__xludf.DUMMYFUNCTION("""COMPUTED_VALUE"""),0.0)</f>
        <v>0</v>
      </c>
      <c r="AA73" s="26">
        <f>IFERROR(__xludf.DUMMYFUNCTION("""COMPUTED_VALUE"""),0.0)</f>
        <v>0</v>
      </c>
      <c r="AB73" s="26">
        <f>IFERROR(__xludf.DUMMYFUNCTION("""COMPUTED_VALUE"""),0.0)</f>
        <v>0</v>
      </c>
      <c r="AC73" s="26">
        <f>IFERROR(__xludf.DUMMYFUNCTION("""COMPUTED_VALUE"""),0.0)</f>
        <v>0</v>
      </c>
      <c r="AD73" s="26">
        <f>IFERROR(__xludf.DUMMYFUNCTION("""COMPUTED_VALUE"""),0.0)</f>
        <v>0</v>
      </c>
      <c r="AE73" s="26">
        <f>IFERROR(__xludf.DUMMYFUNCTION("""COMPUTED_VALUE"""),0.0)</f>
        <v>0</v>
      </c>
    </row>
    <row r="74">
      <c r="A74" s="26">
        <f>IFERROR(__xludf.DUMMYFUNCTION("""COMPUTED_VALUE"""),0.0)</f>
        <v>0</v>
      </c>
      <c r="B74" s="26">
        <f>IFERROR(__xludf.DUMMYFUNCTION("""COMPUTED_VALUE"""),0.0)</f>
        <v>0</v>
      </c>
      <c r="C74" s="26">
        <f>IFERROR(__xludf.DUMMYFUNCTION("""COMPUTED_VALUE"""),0.0)</f>
        <v>0</v>
      </c>
      <c r="D74" s="26">
        <f>IFERROR(__xludf.DUMMYFUNCTION("""COMPUTED_VALUE"""),0.0)</f>
        <v>0</v>
      </c>
      <c r="E74" s="26">
        <f>IFERROR(__xludf.DUMMYFUNCTION("""COMPUTED_VALUE"""),21.0)</f>
        <v>21</v>
      </c>
      <c r="F74" s="26">
        <f>IFERROR(__xludf.DUMMYFUNCTION("""COMPUTED_VALUE"""),0.0)</f>
        <v>0</v>
      </c>
      <c r="G74" s="26">
        <f>IFERROR(__xludf.DUMMYFUNCTION("""COMPUTED_VALUE"""),0.0)</f>
        <v>0</v>
      </c>
      <c r="H74" s="26">
        <f>IFERROR(__xludf.DUMMYFUNCTION("""COMPUTED_VALUE"""),0.0)</f>
        <v>0</v>
      </c>
      <c r="I74" s="26">
        <f>IFERROR(__xludf.DUMMYFUNCTION("""COMPUTED_VALUE"""),0.0)</f>
        <v>0</v>
      </c>
      <c r="J74" s="26">
        <f>IFERROR(__xludf.DUMMYFUNCTION("""COMPUTED_VALUE"""),0.0)</f>
        <v>0</v>
      </c>
      <c r="K74" s="26">
        <f>IFERROR(__xludf.DUMMYFUNCTION("""COMPUTED_VALUE"""),0.0)</f>
        <v>0</v>
      </c>
      <c r="L74" s="26">
        <f>IFERROR(__xludf.DUMMYFUNCTION("""COMPUTED_VALUE"""),0.0)</f>
        <v>0</v>
      </c>
      <c r="M74" s="26"/>
      <c r="N74" s="26"/>
      <c r="O74" s="26"/>
      <c r="P74" s="26"/>
      <c r="Q74" s="26"/>
      <c r="R74" s="26">
        <f>IFERROR(__xludf.DUMMYFUNCTION("""COMPUTED_VALUE"""),21.0)</f>
        <v>21</v>
      </c>
      <c r="S74" s="26">
        <f>IFERROR(__xludf.DUMMYFUNCTION("""COMPUTED_VALUE"""),38850.0)</f>
        <v>38850</v>
      </c>
      <c r="T74" s="26">
        <f>IFERROR(__xludf.DUMMYFUNCTION("""COMPUTED_VALUE"""),3570.0)</f>
        <v>3570</v>
      </c>
      <c r="U74" s="26">
        <f>IFERROR(__xludf.DUMMYFUNCTION("""COMPUTED_VALUE"""),9496.199999999997)</f>
        <v>9496.2</v>
      </c>
      <c r="V74" s="26">
        <f>IFERROR(__xludf.DUMMYFUNCTION("""COMPUTED_VALUE"""),0.0)</f>
        <v>0</v>
      </c>
      <c r="W74" s="26">
        <f>IFERROR(__xludf.DUMMYFUNCTION("""COMPUTED_VALUE"""),0.0)</f>
        <v>0</v>
      </c>
      <c r="X74" s="26">
        <f>IFERROR(__xludf.DUMMYFUNCTION("""COMPUTED_VALUE"""),5926.199999999998)</f>
        <v>5926.2</v>
      </c>
      <c r="Y74" s="26">
        <f>IFERROR(__xludf.DUMMYFUNCTION("""COMPUTED_VALUE"""),5926.199999999998)</f>
        <v>5926.2</v>
      </c>
      <c r="Z74" s="26">
        <f>IFERROR(__xludf.DUMMYFUNCTION("""COMPUTED_VALUE"""),0.0)</f>
        <v>0</v>
      </c>
      <c r="AA74" s="26">
        <f>IFERROR(__xludf.DUMMYFUNCTION("""COMPUTED_VALUE"""),0.0)</f>
        <v>0</v>
      </c>
      <c r="AB74" s="26">
        <f>IFERROR(__xludf.DUMMYFUNCTION("""COMPUTED_VALUE"""),0.0)</f>
        <v>0</v>
      </c>
      <c r="AC74" s="26">
        <f>IFERROR(__xludf.DUMMYFUNCTION("""COMPUTED_VALUE"""),0.0)</f>
        <v>0</v>
      </c>
      <c r="AD74" s="26">
        <f>IFERROR(__xludf.DUMMYFUNCTION("""COMPUTED_VALUE"""),0.0)</f>
        <v>0</v>
      </c>
      <c r="AE74" s="26">
        <f>IFERROR(__xludf.DUMMYFUNCTION("""COMPUTED_VALUE"""),0.0)</f>
        <v>0</v>
      </c>
    </row>
    <row r="75">
      <c r="A75" s="26">
        <f>IFERROR(__xludf.DUMMYFUNCTION("""COMPUTED_VALUE"""),0.0)</f>
        <v>0</v>
      </c>
      <c r="B75" s="26">
        <f>IFERROR(__xludf.DUMMYFUNCTION("""COMPUTED_VALUE"""),0.0)</f>
        <v>0</v>
      </c>
      <c r="C75" s="26">
        <f>IFERROR(__xludf.DUMMYFUNCTION("""COMPUTED_VALUE"""),0.0)</f>
        <v>0</v>
      </c>
      <c r="D75" s="26">
        <f>IFERROR(__xludf.DUMMYFUNCTION("""COMPUTED_VALUE"""),0.0)</f>
        <v>0</v>
      </c>
      <c r="E75" s="26">
        <f>IFERROR(__xludf.DUMMYFUNCTION("""COMPUTED_VALUE"""),0.0)</f>
        <v>0</v>
      </c>
      <c r="F75" s="26">
        <f>IFERROR(__xludf.DUMMYFUNCTION("""COMPUTED_VALUE"""),0.0)</f>
        <v>0</v>
      </c>
      <c r="G75" s="26">
        <f>IFERROR(__xludf.DUMMYFUNCTION("""COMPUTED_VALUE"""),0.0)</f>
        <v>0</v>
      </c>
      <c r="H75" s="26">
        <f>IFERROR(__xludf.DUMMYFUNCTION("""COMPUTED_VALUE"""),0.0)</f>
        <v>0</v>
      </c>
      <c r="I75" s="26">
        <f>IFERROR(__xludf.DUMMYFUNCTION("""COMPUTED_VALUE"""),0.0)</f>
        <v>0</v>
      </c>
      <c r="J75" s="26">
        <f>IFERROR(__xludf.DUMMYFUNCTION("""COMPUTED_VALUE"""),0.0)</f>
        <v>0</v>
      </c>
      <c r="K75" s="26">
        <f>IFERROR(__xludf.DUMMYFUNCTION("""COMPUTED_VALUE"""),0.0)</f>
        <v>0</v>
      </c>
      <c r="L75" s="26">
        <f>IFERROR(__xludf.DUMMYFUNCTION("""COMPUTED_VALUE"""),0.0)</f>
        <v>0</v>
      </c>
      <c r="M75" s="26"/>
      <c r="N75" s="26"/>
      <c r="O75" s="26"/>
      <c r="P75" s="26"/>
      <c r="Q75" s="26"/>
      <c r="R75" s="26">
        <f>IFERROR(__xludf.DUMMYFUNCTION("""COMPUTED_VALUE"""),0.0)</f>
        <v>0</v>
      </c>
      <c r="S75" s="26">
        <f>IFERROR(__xludf.DUMMYFUNCTION("""COMPUTED_VALUE"""),0.0)</f>
        <v>0</v>
      </c>
      <c r="T75" s="26">
        <f>IFERROR(__xludf.DUMMYFUNCTION("""COMPUTED_VALUE"""),0.0)</f>
        <v>0</v>
      </c>
      <c r="U75" s="26">
        <f>IFERROR(__xludf.DUMMYFUNCTION("""COMPUTED_VALUE"""),0.0)</f>
        <v>0</v>
      </c>
      <c r="V75" s="26">
        <f>IFERROR(__xludf.DUMMYFUNCTION("""COMPUTED_VALUE"""),0.0)</f>
        <v>0</v>
      </c>
      <c r="W75" s="26">
        <f>IFERROR(__xludf.DUMMYFUNCTION("""COMPUTED_VALUE"""),0.0)</f>
        <v>0</v>
      </c>
      <c r="X75" s="26">
        <f>IFERROR(__xludf.DUMMYFUNCTION("""COMPUTED_VALUE"""),0.0)</f>
        <v>0</v>
      </c>
      <c r="Y75" s="26">
        <f>IFERROR(__xludf.DUMMYFUNCTION("""COMPUTED_VALUE"""),0.0)</f>
        <v>0</v>
      </c>
      <c r="Z75" s="26">
        <f>IFERROR(__xludf.DUMMYFUNCTION("""COMPUTED_VALUE"""),0.0)</f>
        <v>0</v>
      </c>
      <c r="AA75" s="26">
        <f>IFERROR(__xludf.DUMMYFUNCTION("""COMPUTED_VALUE"""),0.0)</f>
        <v>0</v>
      </c>
      <c r="AB75" s="26">
        <f>IFERROR(__xludf.DUMMYFUNCTION("""COMPUTED_VALUE"""),0.0)</f>
        <v>0</v>
      </c>
      <c r="AC75" s="26">
        <f>IFERROR(__xludf.DUMMYFUNCTION("""COMPUTED_VALUE"""),0.0)</f>
        <v>0</v>
      </c>
      <c r="AD75" s="26">
        <f>IFERROR(__xludf.DUMMYFUNCTION("""COMPUTED_VALUE"""),0.0)</f>
        <v>0</v>
      </c>
      <c r="AE75" s="26">
        <f>IFERROR(__xludf.DUMMYFUNCTION("""COMPUTED_VALUE"""),0.0)</f>
        <v>0</v>
      </c>
    </row>
    <row r="76">
      <c r="A76" s="26">
        <f>IFERROR(__xludf.DUMMYFUNCTION("""COMPUTED_VALUE"""),0.0)</f>
        <v>0</v>
      </c>
      <c r="B76" s="26">
        <f>IFERROR(__xludf.DUMMYFUNCTION("""COMPUTED_VALUE"""),0.0)</f>
        <v>0</v>
      </c>
      <c r="C76" s="26">
        <f>IFERROR(__xludf.DUMMYFUNCTION("""COMPUTED_VALUE"""),0.0)</f>
        <v>0</v>
      </c>
      <c r="D76" s="26">
        <f>IFERROR(__xludf.DUMMYFUNCTION("""COMPUTED_VALUE"""),0.0)</f>
        <v>0</v>
      </c>
      <c r="E76" s="26">
        <f>IFERROR(__xludf.DUMMYFUNCTION("""COMPUTED_VALUE"""),0.0)</f>
        <v>0</v>
      </c>
      <c r="F76" s="26">
        <f>IFERROR(__xludf.DUMMYFUNCTION("""COMPUTED_VALUE"""),0.0)</f>
        <v>0</v>
      </c>
      <c r="G76" s="26">
        <f>IFERROR(__xludf.DUMMYFUNCTION("""COMPUTED_VALUE"""),0.0)</f>
        <v>0</v>
      </c>
      <c r="H76" s="26">
        <f>IFERROR(__xludf.DUMMYFUNCTION("""COMPUTED_VALUE"""),0.0)</f>
        <v>0</v>
      </c>
      <c r="I76" s="26">
        <f>IFERROR(__xludf.DUMMYFUNCTION("""COMPUTED_VALUE"""),0.0)</f>
        <v>0</v>
      </c>
      <c r="J76" s="26">
        <f>IFERROR(__xludf.DUMMYFUNCTION("""COMPUTED_VALUE"""),0.0)</f>
        <v>0</v>
      </c>
      <c r="K76" s="26">
        <f>IFERROR(__xludf.DUMMYFUNCTION("""COMPUTED_VALUE"""),0.0)</f>
        <v>0</v>
      </c>
      <c r="L76" s="26">
        <f>IFERROR(__xludf.DUMMYFUNCTION("""COMPUTED_VALUE"""),0.0)</f>
        <v>0</v>
      </c>
      <c r="M76" s="26"/>
      <c r="N76" s="26"/>
      <c r="O76" s="26"/>
      <c r="P76" s="26"/>
      <c r="Q76" s="26"/>
      <c r="R76" s="26">
        <f>IFERROR(__xludf.DUMMYFUNCTION("""COMPUTED_VALUE"""),0.0)</f>
        <v>0</v>
      </c>
      <c r="S76" s="26">
        <f>IFERROR(__xludf.DUMMYFUNCTION("""COMPUTED_VALUE"""),0.0)</f>
        <v>0</v>
      </c>
      <c r="T76" s="26">
        <f>IFERROR(__xludf.DUMMYFUNCTION("""COMPUTED_VALUE"""),0.0)</f>
        <v>0</v>
      </c>
      <c r="U76" s="26">
        <f>IFERROR(__xludf.DUMMYFUNCTION("""COMPUTED_VALUE"""),0.0)</f>
        <v>0</v>
      </c>
      <c r="V76" s="26">
        <f>IFERROR(__xludf.DUMMYFUNCTION("""COMPUTED_VALUE"""),0.0)</f>
        <v>0</v>
      </c>
      <c r="W76" s="26">
        <f>IFERROR(__xludf.DUMMYFUNCTION("""COMPUTED_VALUE"""),0.0)</f>
        <v>0</v>
      </c>
      <c r="X76" s="26">
        <f>IFERROR(__xludf.DUMMYFUNCTION("""COMPUTED_VALUE"""),0.0)</f>
        <v>0</v>
      </c>
      <c r="Y76" s="26">
        <f>IFERROR(__xludf.DUMMYFUNCTION("""COMPUTED_VALUE"""),0.0)</f>
        <v>0</v>
      </c>
      <c r="Z76" s="26">
        <f>IFERROR(__xludf.DUMMYFUNCTION("""COMPUTED_VALUE"""),0.0)</f>
        <v>0</v>
      </c>
      <c r="AA76" s="26">
        <f>IFERROR(__xludf.DUMMYFUNCTION("""COMPUTED_VALUE"""),0.0)</f>
        <v>0</v>
      </c>
      <c r="AB76" s="26">
        <f>IFERROR(__xludf.DUMMYFUNCTION("""COMPUTED_VALUE"""),0.0)</f>
        <v>0</v>
      </c>
      <c r="AC76" s="26">
        <f>IFERROR(__xludf.DUMMYFUNCTION("""COMPUTED_VALUE"""),0.0)</f>
        <v>0</v>
      </c>
      <c r="AD76" s="26">
        <f>IFERROR(__xludf.DUMMYFUNCTION("""COMPUTED_VALUE"""),0.0)</f>
        <v>0</v>
      </c>
      <c r="AE76" s="26">
        <f>IFERROR(__xludf.DUMMYFUNCTION("""COMPUTED_VALUE"""),0.0)</f>
        <v>0</v>
      </c>
    </row>
    <row r="77">
      <c r="A77" s="26">
        <f>IFERROR(__xludf.DUMMYFUNCTION("""COMPUTED_VALUE"""),0.0)</f>
        <v>0</v>
      </c>
      <c r="B77" s="26">
        <f>IFERROR(__xludf.DUMMYFUNCTION("""COMPUTED_VALUE"""),0.0)</f>
        <v>0</v>
      </c>
      <c r="C77" s="26">
        <f>IFERROR(__xludf.DUMMYFUNCTION("""COMPUTED_VALUE"""),0.0)</f>
        <v>0</v>
      </c>
      <c r="D77" s="26">
        <f>IFERROR(__xludf.DUMMYFUNCTION("""COMPUTED_VALUE"""),0.0)</f>
        <v>0</v>
      </c>
      <c r="E77" s="26">
        <f>IFERROR(__xludf.DUMMYFUNCTION("""COMPUTED_VALUE"""),0.0)</f>
        <v>0</v>
      </c>
      <c r="F77" s="26">
        <f>IFERROR(__xludf.DUMMYFUNCTION("""COMPUTED_VALUE"""),0.0)</f>
        <v>0</v>
      </c>
      <c r="G77" s="26">
        <f>IFERROR(__xludf.DUMMYFUNCTION("""COMPUTED_VALUE"""),0.0)</f>
        <v>0</v>
      </c>
      <c r="H77" s="26">
        <f>IFERROR(__xludf.DUMMYFUNCTION("""COMPUTED_VALUE"""),0.0)</f>
        <v>0</v>
      </c>
      <c r="I77" s="26">
        <f>IFERROR(__xludf.DUMMYFUNCTION("""COMPUTED_VALUE"""),0.0)</f>
        <v>0</v>
      </c>
      <c r="J77" s="26">
        <f>IFERROR(__xludf.DUMMYFUNCTION("""COMPUTED_VALUE"""),0.0)</f>
        <v>0</v>
      </c>
      <c r="K77" s="26">
        <f>IFERROR(__xludf.DUMMYFUNCTION("""COMPUTED_VALUE"""),0.0)</f>
        <v>0</v>
      </c>
      <c r="L77" s="26">
        <f>IFERROR(__xludf.DUMMYFUNCTION("""COMPUTED_VALUE"""),0.0)</f>
        <v>0</v>
      </c>
      <c r="M77" s="26"/>
      <c r="N77" s="26"/>
      <c r="O77" s="26"/>
      <c r="P77" s="26"/>
      <c r="Q77" s="26"/>
      <c r="R77" s="26">
        <f>IFERROR(__xludf.DUMMYFUNCTION("""COMPUTED_VALUE"""),0.0)</f>
        <v>0</v>
      </c>
      <c r="S77" s="26">
        <f>IFERROR(__xludf.DUMMYFUNCTION("""COMPUTED_VALUE"""),0.0)</f>
        <v>0</v>
      </c>
      <c r="T77" s="26">
        <f>IFERROR(__xludf.DUMMYFUNCTION("""COMPUTED_VALUE"""),0.0)</f>
        <v>0</v>
      </c>
      <c r="U77" s="26">
        <f>IFERROR(__xludf.DUMMYFUNCTION("""COMPUTED_VALUE"""),0.0)</f>
        <v>0</v>
      </c>
      <c r="V77" s="26">
        <f>IFERROR(__xludf.DUMMYFUNCTION("""COMPUTED_VALUE"""),0.0)</f>
        <v>0</v>
      </c>
      <c r="W77" s="26">
        <f>IFERROR(__xludf.DUMMYFUNCTION("""COMPUTED_VALUE"""),0.0)</f>
        <v>0</v>
      </c>
      <c r="X77" s="26">
        <f>IFERROR(__xludf.DUMMYFUNCTION("""COMPUTED_VALUE"""),0.0)</f>
        <v>0</v>
      </c>
      <c r="Y77" s="26">
        <f>IFERROR(__xludf.DUMMYFUNCTION("""COMPUTED_VALUE"""),0.0)</f>
        <v>0</v>
      </c>
      <c r="Z77" s="26">
        <f>IFERROR(__xludf.DUMMYFUNCTION("""COMPUTED_VALUE"""),0.0)</f>
        <v>0</v>
      </c>
      <c r="AA77" s="26">
        <f>IFERROR(__xludf.DUMMYFUNCTION("""COMPUTED_VALUE"""),0.0)</f>
        <v>0</v>
      </c>
      <c r="AB77" s="26">
        <f>IFERROR(__xludf.DUMMYFUNCTION("""COMPUTED_VALUE"""),0.0)</f>
        <v>0</v>
      </c>
      <c r="AC77" s="26">
        <f>IFERROR(__xludf.DUMMYFUNCTION("""COMPUTED_VALUE"""),0.0)</f>
        <v>0</v>
      </c>
      <c r="AD77" s="26">
        <f>IFERROR(__xludf.DUMMYFUNCTION("""COMPUTED_VALUE"""),0.0)</f>
        <v>0</v>
      </c>
      <c r="AE77" s="26">
        <f>IFERROR(__xludf.DUMMYFUNCTION("""COMPUTED_VALUE"""),0.0)</f>
        <v>0</v>
      </c>
    </row>
    <row r="78">
      <c r="A78" s="26">
        <f>IFERROR(__xludf.DUMMYFUNCTION("""COMPUTED_VALUE"""),0.0)</f>
        <v>0</v>
      </c>
      <c r="B78" s="26">
        <f>IFERROR(__xludf.DUMMYFUNCTION("""COMPUTED_VALUE"""),0.0)</f>
        <v>0</v>
      </c>
      <c r="C78" s="26">
        <f>IFERROR(__xludf.DUMMYFUNCTION("""COMPUTED_VALUE"""),0.0)</f>
        <v>0</v>
      </c>
      <c r="D78" s="26">
        <f>IFERROR(__xludf.DUMMYFUNCTION("""COMPUTED_VALUE"""),0.0)</f>
        <v>0</v>
      </c>
      <c r="E78" s="26">
        <f>IFERROR(__xludf.DUMMYFUNCTION("""COMPUTED_VALUE"""),0.0)</f>
        <v>0</v>
      </c>
      <c r="F78" s="26">
        <f>IFERROR(__xludf.DUMMYFUNCTION("""COMPUTED_VALUE"""),0.0)</f>
        <v>0</v>
      </c>
      <c r="G78" s="26">
        <f>IFERROR(__xludf.DUMMYFUNCTION("""COMPUTED_VALUE"""),0.0)</f>
        <v>0</v>
      </c>
      <c r="H78" s="26">
        <f>IFERROR(__xludf.DUMMYFUNCTION("""COMPUTED_VALUE"""),0.0)</f>
        <v>0</v>
      </c>
      <c r="I78" s="26">
        <f>IFERROR(__xludf.DUMMYFUNCTION("""COMPUTED_VALUE"""),0.0)</f>
        <v>0</v>
      </c>
      <c r="J78" s="26">
        <f>IFERROR(__xludf.DUMMYFUNCTION("""COMPUTED_VALUE"""),0.0)</f>
        <v>0</v>
      </c>
      <c r="K78" s="26">
        <f>IFERROR(__xludf.DUMMYFUNCTION("""COMPUTED_VALUE"""),0.0)</f>
        <v>0</v>
      </c>
      <c r="L78" s="26">
        <f>IFERROR(__xludf.DUMMYFUNCTION("""COMPUTED_VALUE"""),0.0)</f>
        <v>0</v>
      </c>
      <c r="M78" s="26"/>
      <c r="N78" s="26"/>
      <c r="O78" s="26"/>
      <c r="P78" s="26"/>
      <c r="Q78" s="26"/>
      <c r="R78" s="26">
        <f>IFERROR(__xludf.DUMMYFUNCTION("""COMPUTED_VALUE"""),0.0)</f>
        <v>0</v>
      </c>
      <c r="S78" s="26">
        <f>IFERROR(__xludf.DUMMYFUNCTION("""COMPUTED_VALUE"""),0.0)</f>
        <v>0</v>
      </c>
      <c r="T78" s="26">
        <f>IFERROR(__xludf.DUMMYFUNCTION("""COMPUTED_VALUE"""),0.0)</f>
        <v>0</v>
      </c>
      <c r="U78" s="26">
        <f>IFERROR(__xludf.DUMMYFUNCTION("""COMPUTED_VALUE"""),0.0)</f>
        <v>0</v>
      </c>
      <c r="V78" s="26">
        <f>IFERROR(__xludf.DUMMYFUNCTION("""COMPUTED_VALUE"""),0.0)</f>
        <v>0</v>
      </c>
      <c r="W78" s="26">
        <f>IFERROR(__xludf.DUMMYFUNCTION("""COMPUTED_VALUE"""),0.0)</f>
        <v>0</v>
      </c>
      <c r="X78" s="26">
        <f>IFERROR(__xludf.DUMMYFUNCTION("""COMPUTED_VALUE"""),0.0)</f>
        <v>0</v>
      </c>
      <c r="Y78" s="26">
        <f>IFERROR(__xludf.DUMMYFUNCTION("""COMPUTED_VALUE"""),0.0)</f>
        <v>0</v>
      </c>
      <c r="Z78" s="26">
        <f>IFERROR(__xludf.DUMMYFUNCTION("""COMPUTED_VALUE"""),0.0)</f>
        <v>0</v>
      </c>
      <c r="AA78" s="26">
        <f>IFERROR(__xludf.DUMMYFUNCTION("""COMPUTED_VALUE"""),0.0)</f>
        <v>0</v>
      </c>
      <c r="AB78" s="26">
        <f>IFERROR(__xludf.DUMMYFUNCTION("""COMPUTED_VALUE"""),0.0)</f>
        <v>0</v>
      </c>
      <c r="AC78" s="26">
        <f>IFERROR(__xludf.DUMMYFUNCTION("""COMPUTED_VALUE"""),0.0)</f>
        <v>0</v>
      </c>
      <c r="AD78" s="26">
        <f>IFERROR(__xludf.DUMMYFUNCTION("""COMPUTED_VALUE"""),0.0)</f>
        <v>0</v>
      </c>
      <c r="AE78" s="26">
        <f>IFERROR(__xludf.DUMMYFUNCTION("""COMPUTED_VALUE"""),0.0)</f>
        <v>0</v>
      </c>
    </row>
    <row r="79">
      <c r="A79" s="26">
        <f>IFERROR(__xludf.DUMMYFUNCTION("""COMPUTED_VALUE"""),0.0)</f>
        <v>0</v>
      </c>
      <c r="B79" s="26">
        <f>IFERROR(__xludf.DUMMYFUNCTION("""COMPUTED_VALUE"""),0.0)</f>
        <v>0</v>
      </c>
      <c r="C79" s="26">
        <f>IFERROR(__xludf.DUMMYFUNCTION("""COMPUTED_VALUE"""),0.0)</f>
        <v>0</v>
      </c>
      <c r="D79" s="26">
        <f>IFERROR(__xludf.DUMMYFUNCTION("""COMPUTED_VALUE"""),0.0)</f>
        <v>0</v>
      </c>
      <c r="E79" s="26">
        <f>IFERROR(__xludf.DUMMYFUNCTION("""COMPUTED_VALUE"""),0.0)</f>
        <v>0</v>
      </c>
      <c r="F79" s="26">
        <f>IFERROR(__xludf.DUMMYFUNCTION("""COMPUTED_VALUE"""),0.0)</f>
        <v>0</v>
      </c>
      <c r="G79" s="26">
        <f>IFERROR(__xludf.DUMMYFUNCTION("""COMPUTED_VALUE"""),0.0)</f>
        <v>0</v>
      </c>
      <c r="H79" s="26">
        <f>IFERROR(__xludf.DUMMYFUNCTION("""COMPUTED_VALUE"""),0.0)</f>
        <v>0</v>
      </c>
      <c r="I79" s="26">
        <f>IFERROR(__xludf.DUMMYFUNCTION("""COMPUTED_VALUE"""),0.0)</f>
        <v>0</v>
      </c>
      <c r="J79" s="26">
        <f>IFERROR(__xludf.DUMMYFUNCTION("""COMPUTED_VALUE"""),0.0)</f>
        <v>0</v>
      </c>
      <c r="K79" s="26">
        <f>IFERROR(__xludf.DUMMYFUNCTION("""COMPUTED_VALUE"""),0.0)</f>
        <v>0</v>
      </c>
      <c r="L79" s="26">
        <f>IFERROR(__xludf.DUMMYFUNCTION("""COMPUTED_VALUE"""),0.0)</f>
        <v>0</v>
      </c>
      <c r="M79" s="26"/>
      <c r="N79" s="26"/>
      <c r="O79" s="26"/>
      <c r="P79" s="26"/>
      <c r="Q79" s="26"/>
      <c r="R79" s="26">
        <f>IFERROR(__xludf.DUMMYFUNCTION("""COMPUTED_VALUE"""),0.0)</f>
        <v>0</v>
      </c>
      <c r="S79" s="26">
        <f>IFERROR(__xludf.DUMMYFUNCTION("""COMPUTED_VALUE"""),0.0)</f>
        <v>0</v>
      </c>
      <c r="T79" s="26">
        <f>IFERROR(__xludf.DUMMYFUNCTION("""COMPUTED_VALUE"""),0.0)</f>
        <v>0</v>
      </c>
      <c r="U79" s="26">
        <f>IFERROR(__xludf.DUMMYFUNCTION("""COMPUTED_VALUE"""),0.0)</f>
        <v>0</v>
      </c>
      <c r="V79" s="26">
        <f>IFERROR(__xludf.DUMMYFUNCTION("""COMPUTED_VALUE"""),0.0)</f>
        <v>0</v>
      </c>
      <c r="W79" s="26">
        <f>IFERROR(__xludf.DUMMYFUNCTION("""COMPUTED_VALUE"""),0.0)</f>
        <v>0</v>
      </c>
      <c r="X79" s="26">
        <f>IFERROR(__xludf.DUMMYFUNCTION("""COMPUTED_VALUE"""),0.0)</f>
        <v>0</v>
      </c>
      <c r="Y79" s="26">
        <f>IFERROR(__xludf.DUMMYFUNCTION("""COMPUTED_VALUE"""),0.0)</f>
        <v>0</v>
      </c>
      <c r="Z79" s="26">
        <f>IFERROR(__xludf.DUMMYFUNCTION("""COMPUTED_VALUE"""),0.0)</f>
        <v>0</v>
      </c>
      <c r="AA79" s="26">
        <f>IFERROR(__xludf.DUMMYFUNCTION("""COMPUTED_VALUE"""),0.0)</f>
        <v>0</v>
      </c>
      <c r="AB79" s="26">
        <f>IFERROR(__xludf.DUMMYFUNCTION("""COMPUTED_VALUE"""),0.0)</f>
        <v>0</v>
      </c>
      <c r="AC79" s="26">
        <f>IFERROR(__xludf.DUMMYFUNCTION("""COMPUTED_VALUE"""),0.0)</f>
        <v>0</v>
      </c>
      <c r="AD79" s="26">
        <f>IFERROR(__xludf.DUMMYFUNCTION("""COMPUTED_VALUE"""),0.0)</f>
        <v>0</v>
      </c>
      <c r="AE79" s="26">
        <f>IFERROR(__xludf.DUMMYFUNCTION("""COMPUTED_VALUE"""),0.0)</f>
        <v>0</v>
      </c>
    </row>
    <row r="80">
      <c r="A80" s="26">
        <f>IFERROR(__xludf.DUMMYFUNCTION("""COMPUTED_VALUE"""),0.0)</f>
        <v>0</v>
      </c>
      <c r="B80" s="26">
        <f>IFERROR(__xludf.DUMMYFUNCTION("""COMPUTED_VALUE"""),0.0)</f>
        <v>0</v>
      </c>
      <c r="C80" s="26">
        <f>IFERROR(__xludf.DUMMYFUNCTION("""COMPUTED_VALUE"""),0.0)</f>
        <v>0</v>
      </c>
      <c r="D80" s="26">
        <f>IFERROR(__xludf.DUMMYFUNCTION("""COMPUTED_VALUE"""),0.0)</f>
        <v>0</v>
      </c>
      <c r="E80" s="26">
        <f>IFERROR(__xludf.DUMMYFUNCTION("""COMPUTED_VALUE"""),0.0)</f>
        <v>0</v>
      </c>
      <c r="F80" s="26">
        <f>IFERROR(__xludf.DUMMYFUNCTION("""COMPUTED_VALUE"""),0.0)</f>
        <v>0</v>
      </c>
      <c r="G80" s="26">
        <f>IFERROR(__xludf.DUMMYFUNCTION("""COMPUTED_VALUE"""),0.0)</f>
        <v>0</v>
      </c>
      <c r="H80" s="26">
        <f>IFERROR(__xludf.DUMMYFUNCTION("""COMPUTED_VALUE"""),0.0)</f>
        <v>0</v>
      </c>
      <c r="I80" s="26">
        <f>IFERROR(__xludf.DUMMYFUNCTION("""COMPUTED_VALUE"""),0.0)</f>
        <v>0</v>
      </c>
      <c r="J80" s="26">
        <f>IFERROR(__xludf.DUMMYFUNCTION("""COMPUTED_VALUE"""),0.0)</f>
        <v>0</v>
      </c>
      <c r="K80" s="26">
        <f>IFERROR(__xludf.DUMMYFUNCTION("""COMPUTED_VALUE"""),0.0)</f>
        <v>0</v>
      </c>
      <c r="L80" s="26">
        <f>IFERROR(__xludf.DUMMYFUNCTION("""COMPUTED_VALUE"""),0.0)</f>
        <v>0</v>
      </c>
      <c r="M80" s="26"/>
      <c r="N80" s="26"/>
      <c r="O80" s="26"/>
      <c r="P80" s="26"/>
      <c r="Q80" s="26"/>
      <c r="R80" s="26">
        <f>IFERROR(__xludf.DUMMYFUNCTION("""COMPUTED_VALUE"""),0.0)</f>
        <v>0</v>
      </c>
      <c r="S80" s="26">
        <f>IFERROR(__xludf.DUMMYFUNCTION("""COMPUTED_VALUE"""),0.0)</f>
        <v>0</v>
      </c>
      <c r="T80" s="26">
        <f>IFERROR(__xludf.DUMMYFUNCTION("""COMPUTED_VALUE"""),0.0)</f>
        <v>0</v>
      </c>
      <c r="U80" s="26">
        <f>IFERROR(__xludf.DUMMYFUNCTION("""COMPUTED_VALUE"""),0.0)</f>
        <v>0</v>
      </c>
      <c r="V80" s="26">
        <f>IFERROR(__xludf.DUMMYFUNCTION("""COMPUTED_VALUE"""),0.0)</f>
        <v>0</v>
      </c>
      <c r="W80" s="26">
        <f>IFERROR(__xludf.DUMMYFUNCTION("""COMPUTED_VALUE"""),0.0)</f>
        <v>0</v>
      </c>
      <c r="X80" s="26">
        <f>IFERROR(__xludf.DUMMYFUNCTION("""COMPUTED_VALUE"""),0.0)</f>
        <v>0</v>
      </c>
      <c r="Y80" s="26">
        <f>IFERROR(__xludf.DUMMYFUNCTION("""COMPUTED_VALUE"""),0.0)</f>
        <v>0</v>
      </c>
      <c r="Z80" s="26">
        <f>IFERROR(__xludf.DUMMYFUNCTION("""COMPUTED_VALUE"""),0.0)</f>
        <v>0</v>
      </c>
      <c r="AA80" s="26">
        <f>IFERROR(__xludf.DUMMYFUNCTION("""COMPUTED_VALUE"""),0.0)</f>
        <v>0</v>
      </c>
      <c r="AB80" s="26">
        <f>IFERROR(__xludf.DUMMYFUNCTION("""COMPUTED_VALUE"""),0.0)</f>
        <v>0</v>
      </c>
      <c r="AC80" s="26">
        <f>IFERROR(__xludf.DUMMYFUNCTION("""COMPUTED_VALUE"""),0.0)</f>
        <v>0</v>
      </c>
      <c r="AD80" s="26">
        <f>IFERROR(__xludf.DUMMYFUNCTION("""COMPUTED_VALUE"""),0.0)</f>
        <v>0</v>
      </c>
      <c r="AE80" s="26">
        <f>IFERROR(__xludf.DUMMYFUNCTION("""COMPUTED_VALUE"""),0.0)</f>
        <v>0</v>
      </c>
    </row>
    <row r="81">
      <c r="A81" s="26">
        <f>IFERROR(__xludf.DUMMYFUNCTION("""COMPUTED_VALUE"""),0.0)</f>
        <v>0</v>
      </c>
      <c r="B81" s="26">
        <f>IFERROR(__xludf.DUMMYFUNCTION("""COMPUTED_VALUE"""),0.0)</f>
        <v>0</v>
      </c>
      <c r="C81" s="26">
        <f>IFERROR(__xludf.DUMMYFUNCTION("""COMPUTED_VALUE"""),0.0)</f>
        <v>0</v>
      </c>
      <c r="D81" s="26">
        <f>IFERROR(__xludf.DUMMYFUNCTION("""COMPUTED_VALUE"""),0.0)</f>
        <v>0</v>
      </c>
      <c r="E81" s="26">
        <f>IFERROR(__xludf.DUMMYFUNCTION("""COMPUTED_VALUE"""),0.0)</f>
        <v>0</v>
      </c>
      <c r="F81" s="26">
        <f>IFERROR(__xludf.DUMMYFUNCTION("""COMPUTED_VALUE"""),0.0)</f>
        <v>0</v>
      </c>
      <c r="G81" s="26">
        <f>IFERROR(__xludf.DUMMYFUNCTION("""COMPUTED_VALUE"""),0.0)</f>
        <v>0</v>
      </c>
      <c r="H81" s="26">
        <f>IFERROR(__xludf.DUMMYFUNCTION("""COMPUTED_VALUE"""),0.0)</f>
        <v>0</v>
      </c>
      <c r="I81" s="26">
        <f>IFERROR(__xludf.DUMMYFUNCTION("""COMPUTED_VALUE"""),0.0)</f>
        <v>0</v>
      </c>
      <c r="J81" s="26">
        <f>IFERROR(__xludf.DUMMYFUNCTION("""COMPUTED_VALUE"""),0.0)</f>
        <v>0</v>
      </c>
      <c r="K81" s="26">
        <f>IFERROR(__xludf.DUMMYFUNCTION("""COMPUTED_VALUE"""),0.0)</f>
        <v>0</v>
      </c>
      <c r="L81" s="26">
        <f>IFERROR(__xludf.DUMMYFUNCTION("""COMPUTED_VALUE"""),0.0)</f>
        <v>0</v>
      </c>
      <c r="M81" s="26"/>
      <c r="N81" s="26"/>
      <c r="O81" s="26"/>
      <c r="P81" s="26"/>
      <c r="Q81" s="26"/>
      <c r="R81" s="26">
        <f>IFERROR(__xludf.DUMMYFUNCTION("""COMPUTED_VALUE"""),0.0)</f>
        <v>0</v>
      </c>
      <c r="S81" s="26">
        <f>IFERROR(__xludf.DUMMYFUNCTION("""COMPUTED_VALUE"""),0.0)</f>
        <v>0</v>
      </c>
      <c r="T81" s="26">
        <f>IFERROR(__xludf.DUMMYFUNCTION("""COMPUTED_VALUE"""),0.0)</f>
        <v>0</v>
      </c>
      <c r="U81" s="26">
        <f>IFERROR(__xludf.DUMMYFUNCTION("""COMPUTED_VALUE"""),0.0)</f>
        <v>0</v>
      </c>
      <c r="V81" s="26">
        <f>IFERROR(__xludf.DUMMYFUNCTION("""COMPUTED_VALUE"""),0.0)</f>
        <v>0</v>
      </c>
      <c r="W81" s="26">
        <f>IFERROR(__xludf.DUMMYFUNCTION("""COMPUTED_VALUE"""),0.0)</f>
        <v>0</v>
      </c>
      <c r="X81" s="26">
        <f>IFERROR(__xludf.DUMMYFUNCTION("""COMPUTED_VALUE"""),0.0)</f>
        <v>0</v>
      </c>
      <c r="Y81" s="26">
        <f>IFERROR(__xludf.DUMMYFUNCTION("""COMPUTED_VALUE"""),0.0)</f>
        <v>0</v>
      </c>
      <c r="Z81" s="26">
        <f>IFERROR(__xludf.DUMMYFUNCTION("""COMPUTED_VALUE"""),0.0)</f>
        <v>0</v>
      </c>
      <c r="AA81" s="26">
        <f>IFERROR(__xludf.DUMMYFUNCTION("""COMPUTED_VALUE"""),0.0)</f>
        <v>0</v>
      </c>
      <c r="AB81" s="26">
        <f>IFERROR(__xludf.DUMMYFUNCTION("""COMPUTED_VALUE"""),0.0)</f>
        <v>0</v>
      </c>
      <c r="AC81" s="26">
        <f>IFERROR(__xludf.DUMMYFUNCTION("""COMPUTED_VALUE"""),0.0)</f>
        <v>0</v>
      </c>
      <c r="AD81" s="26">
        <f>IFERROR(__xludf.DUMMYFUNCTION("""COMPUTED_VALUE"""),0.0)</f>
        <v>0</v>
      </c>
      <c r="AE81" s="26">
        <f>IFERROR(__xludf.DUMMYFUNCTION("""COMPUTED_VALUE"""),0.0)</f>
        <v>0</v>
      </c>
    </row>
    <row r="82">
      <c r="A82" s="26">
        <f>IFERROR(__xludf.DUMMYFUNCTION("""COMPUTED_VALUE"""),0.0)</f>
        <v>0</v>
      </c>
      <c r="B82" s="26">
        <f>IFERROR(__xludf.DUMMYFUNCTION("""COMPUTED_VALUE"""),0.0)</f>
        <v>0</v>
      </c>
      <c r="C82" s="26">
        <f>IFERROR(__xludf.DUMMYFUNCTION("""COMPUTED_VALUE"""),0.0)</f>
        <v>0</v>
      </c>
      <c r="D82" s="26">
        <f>IFERROR(__xludf.DUMMYFUNCTION("""COMPUTED_VALUE"""),0.0)</f>
        <v>0</v>
      </c>
      <c r="E82" s="26">
        <f>IFERROR(__xludf.DUMMYFUNCTION("""COMPUTED_VALUE"""),0.0)</f>
        <v>0</v>
      </c>
      <c r="F82" s="26">
        <f>IFERROR(__xludf.DUMMYFUNCTION("""COMPUTED_VALUE"""),0.0)</f>
        <v>0</v>
      </c>
      <c r="G82" s="26">
        <f>IFERROR(__xludf.DUMMYFUNCTION("""COMPUTED_VALUE"""),0.0)</f>
        <v>0</v>
      </c>
      <c r="H82" s="26">
        <f>IFERROR(__xludf.DUMMYFUNCTION("""COMPUTED_VALUE"""),0.0)</f>
        <v>0</v>
      </c>
      <c r="I82" s="26">
        <f>IFERROR(__xludf.DUMMYFUNCTION("""COMPUTED_VALUE"""),0.0)</f>
        <v>0</v>
      </c>
      <c r="J82" s="26">
        <f>IFERROR(__xludf.DUMMYFUNCTION("""COMPUTED_VALUE"""),0.0)</f>
        <v>0</v>
      </c>
      <c r="K82" s="26">
        <f>IFERROR(__xludf.DUMMYFUNCTION("""COMPUTED_VALUE"""),0.0)</f>
        <v>0</v>
      </c>
      <c r="L82" s="26">
        <f>IFERROR(__xludf.DUMMYFUNCTION("""COMPUTED_VALUE"""),0.0)</f>
        <v>0</v>
      </c>
      <c r="M82" s="26"/>
      <c r="N82" s="26"/>
      <c r="O82" s="26"/>
      <c r="P82" s="26"/>
      <c r="Q82" s="26"/>
      <c r="R82" s="26">
        <f>IFERROR(__xludf.DUMMYFUNCTION("""COMPUTED_VALUE"""),0.0)</f>
        <v>0</v>
      </c>
      <c r="S82" s="26">
        <f>IFERROR(__xludf.DUMMYFUNCTION("""COMPUTED_VALUE"""),0.0)</f>
        <v>0</v>
      </c>
      <c r="T82" s="26">
        <f>IFERROR(__xludf.DUMMYFUNCTION("""COMPUTED_VALUE"""),0.0)</f>
        <v>0</v>
      </c>
      <c r="U82" s="26">
        <f>IFERROR(__xludf.DUMMYFUNCTION("""COMPUTED_VALUE"""),0.0)</f>
        <v>0</v>
      </c>
      <c r="V82" s="26">
        <f>IFERROR(__xludf.DUMMYFUNCTION("""COMPUTED_VALUE"""),0.0)</f>
        <v>0</v>
      </c>
      <c r="W82" s="26">
        <f>IFERROR(__xludf.DUMMYFUNCTION("""COMPUTED_VALUE"""),0.0)</f>
        <v>0</v>
      </c>
      <c r="X82" s="26">
        <f>IFERROR(__xludf.DUMMYFUNCTION("""COMPUTED_VALUE"""),0.0)</f>
        <v>0</v>
      </c>
      <c r="Y82" s="26">
        <f>IFERROR(__xludf.DUMMYFUNCTION("""COMPUTED_VALUE"""),0.0)</f>
        <v>0</v>
      </c>
      <c r="Z82" s="26">
        <f>IFERROR(__xludf.DUMMYFUNCTION("""COMPUTED_VALUE"""),0.0)</f>
        <v>0</v>
      </c>
      <c r="AA82" s="26">
        <f>IFERROR(__xludf.DUMMYFUNCTION("""COMPUTED_VALUE"""),0.0)</f>
        <v>0</v>
      </c>
      <c r="AB82" s="26">
        <f>IFERROR(__xludf.DUMMYFUNCTION("""COMPUTED_VALUE"""),0.0)</f>
        <v>0</v>
      </c>
      <c r="AC82" s="26">
        <f>IFERROR(__xludf.DUMMYFUNCTION("""COMPUTED_VALUE"""),0.0)</f>
        <v>0</v>
      </c>
      <c r="AD82" s="26">
        <f>IFERROR(__xludf.DUMMYFUNCTION("""COMPUTED_VALUE"""),0.0)</f>
        <v>0</v>
      </c>
      <c r="AE82" s="26">
        <f>IFERROR(__xludf.DUMMYFUNCTION("""COMPUTED_VALUE"""),0.0)</f>
        <v>0</v>
      </c>
    </row>
    <row r="83">
      <c r="A83" s="26">
        <f>IFERROR(__xludf.DUMMYFUNCTION("""COMPUTED_VALUE"""),0.0)</f>
        <v>0</v>
      </c>
      <c r="B83" s="26">
        <f>IFERROR(__xludf.DUMMYFUNCTION("""COMPUTED_VALUE"""),0.0)</f>
        <v>0</v>
      </c>
      <c r="C83" s="26">
        <f>IFERROR(__xludf.DUMMYFUNCTION("""COMPUTED_VALUE"""),0.0)</f>
        <v>0</v>
      </c>
      <c r="D83" s="26">
        <f>IFERROR(__xludf.DUMMYFUNCTION("""COMPUTED_VALUE"""),0.0)</f>
        <v>0</v>
      </c>
      <c r="E83" s="26">
        <f>IFERROR(__xludf.DUMMYFUNCTION("""COMPUTED_VALUE"""),0.0)</f>
        <v>0</v>
      </c>
      <c r="F83" s="26">
        <f>IFERROR(__xludf.DUMMYFUNCTION("""COMPUTED_VALUE"""),0.0)</f>
        <v>0</v>
      </c>
      <c r="G83" s="26">
        <f>IFERROR(__xludf.DUMMYFUNCTION("""COMPUTED_VALUE"""),0.0)</f>
        <v>0</v>
      </c>
      <c r="H83" s="26">
        <f>IFERROR(__xludf.DUMMYFUNCTION("""COMPUTED_VALUE"""),0.0)</f>
        <v>0</v>
      </c>
      <c r="I83" s="26">
        <f>IFERROR(__xludf.DUMMYFUNCTION("""COMPUTED_VALUE"""),0.0)</f>
        <v>0</v>
      </c>
      <c r="J83" s="26">
        <f>IFERROR(__xludf.DUMMYFUNCTION("""COMPUTED_VALUE"""),0.0)</f>
        <v>0</v>
      </c>
      <c r="K83" s="26">
        <f>IFERROR(__xludf.DUMMYFUNCTION("""COMPUTED_VALUE"""),0.0)</f>
        <v>0</v>
      </c>
      <c r="L83" s="26">
        <f>IFERROR(__xludf.DUMMYFUNCTION("""COMPUTED_VALUE"""),0.0)</f>
        <v>0</v>
      </c>
      <c r="M83" s="26"/>
      <c r="N83" s="26"/>
      <c r="O83" s="26"/>
      <c r="P83" s="26"/>
      <c r="Q83" s="26"/>
      <c r="R83" s="26">
        <f>IFERROR(__xludf.DUMMYFUNCTION("""COMPUTED_VALUE"""),0.0)</f>
        <v>0</v>
      </c>
      <c r="S83" s="26">
        <f>IFERROR(__xludf.DUMMYFUNCTION("""COMPUTED_VALUE"""),0.0)</f>
        <v>0</v>
      </c>
      <c r="T83" s="26">
        <f>IFERROR(__xludf.DUMMYFUNCTION("""COMPUTED_VALUE"""),0.0)</f>
        <v>0</v>
      </c>
      <c r="U83" s="26">
        <f>IFERROR(__xludf.DUMMYFUNCTION("""COMPUTED_VALUE"""),0.0)</f>
        <v>0</v>
      </c>
      <c r="V83" s="26">
        <f>IFERROR(__xludf.DUMMYFUNCTION("""COMPUTED_VALUE"""),0.0)</f>
        <v>0</v>
      </c>
      <c r="W83" s="26">
        <f>IFERROR(__xludf.DUMMYFUNCTION("""COMPUTED_VALUE"""),0.0)</f>
        <v>0</v>
      </c>
      <c r="X83" s="26">
        <f>IFERROR(__xludf.DUMMYFUNCTION("""COMPUTED_VALUE"""),0.0)</f>
        <v>0</v>
      </c>
      <c r="Y83" s="26">
        <f>IFERROR(__xludf.DUMMYFUNCTION("""COMPUTED_VALUE"""),0.0)</f>
        <v>0</v>
      </c>
      <c r="Z83" s="26">
        <f>IFERROR(__xludf.DUMMYFUNCTION("""COMPUTED_VALUE"""),0.0)</f>
        <v>0</v>
      </c>
      <c r="AA83" s="26">
        <f>IFERROR(__xludf.DUMMYFUNCTION("""COMPUTED_VALUE"""),0.0)</f>
        <v>0</v>
      </c>
      <c r="AB83" s="26">
        <f>IFERROR(__xludf.DUMMYFUNCTION("""COMPUTED_VALUE"""),0.0)</f>
        <v>0</v>
      </c>
      <c r="AC83" s="26">
        <f>IFERROR(__xludf.DUMMYFUNCTION("""COMPUTED_VALUE"""),0.0)</f>
        <v>0</v>
      </c>
      <c r="AD83" s="26">
        <f>IFERROR(__xludf.DUMMYFUNCTION("""COMPUTED_VALUE"""),0.0)</f>
        <v>0</v>
      </c>
      <c r="AE83" s="26">
        <f>IFERROR(__xludf.DUMMYFUNCTION("""COMPUTED_VALUE"""),0.0)</f>
        <v>0</v>
      </c>
    </row>
    <row r="84">
      <c r="A84" s="26">
        <f>IFERROR(__xludf.DUMMYFUNCTION("""COMPUTED_VALUE"""),0.0)</f>
        <v>0</v>
      </c>
      <c r="B84" s="26">
        <f>IFERROR(__xludf.DUMMYFUNCTION("""COMPUTED_VALUE"""),0.0)</f>
        <v>0</v>
      </c>
      <c r="C84" s="26">
        <f>IFERROR(__xludf.DUMMYFUNCTION("""COMPUTED_VALUE"""),0.0)</f>
        <v>0</v>
      </c>
      <c r="D84" s="26">
        <f>IFERROR(__xludf.DUMMYFUNCTION("""COMPUTED_VALUE"""),0.0)</f>
        <v>0</v>
      </c>
      <c r="E84" s="26">
        <f>IFERROR(__xludf.DUMMYFUNCTION("""COMPUTED_VALUE"""),0.0)</f>
        <v>0</v>
      </c>
      <c r="F84" s="26">
        <f>IFERROR(__xludf.DUMMYFUNCTION("""COMPUTED_VALUE"""),0.0)</f>
        <v>0</v>
      </c>
      <c r="G84" s="26">
        <f>IFERROR(__xludf.DUMMYFUNCTION("""COMPUTED_VALUE"""),0.0)</f>
        <v>0</v>
      </c>
      <c r="H84" s="26">
        <f>IFERROR(__xludf.DUMMYFUNCTION("""COMPUTED_VALUE"""),0.0)</f>
        <v>0</v>
      </c>
      <c r="I84" s="26">
        <f>IFERROR(__xludf.DUMMYFUNCTION("""COMPUTED_VALUE"""),0.0)</f>
        <v>0</v>
      </c>
      <c r="J84" s="26">
        <f>IFERROR(__xludf.DUMMYFUNCTION("""COMPUTED_VALUE"""),0.0)</f>
        <v>0</v>
      </c>
      <c r="K84" s="26">
        <f>IFERROR(__xludf.DUMMYFUNCTION("""COMPUTED_VALUE"""),0.0)</f>
        <v>0</v>
      </c>
      <c r="L84" s="26">
        <f>IFERROR(__xludf.DUMMYFUNCTION("""COMPUTED_VALUE"""),0.0)</f>
        <v>0</v>
      </c>
      <c r="M84" s="26"/>
      <c r="N84" s="26"/>
      <c r="O84" s="26"/>
      <c r="P84" s="26"/>
      <c r="Q84" s="26"/>
      <c r="R84" s="26">
        <f>IFERROR(__xludf.DUMMYFUNCTION("""COMPUTED_VALUE"""),0.0)</f>
        <v>0</v>
      </c>
      <c r="S84" s="26">
        <f>IFERROR(__xludf.DUMMYFUNCTION("""COMPUTED_VALUE"""),0.0)</f>
        <v>0</v>
      </c>
      <c r="T84" s="26">
        <f>IFERROR(__xludf.DUMMYFUNCTION("""COMPUTED_VALUE"""),0.0)</f>
        <v>0</v>
      </c>
      <c r="U84" s="26">
        <f>IFERROR(__xludf.DUMMYFUNCTION("""COMPUTED_VALUE"""),0.0)</f>
        <v>0</v>
      </c>
      <c r="V84" s="26">
        <f>IFERROR(__xludf.DUMMYFUNCTION("""COMPUTED_VALUE"""),0.0)</f>
        <v>0</v>
      </c>
      <c r="W84" s="26">
        <f>IFERROR(__xludf.DUMMYFUNCTION("""COMPUTED_VALUE"""),0.0)</f>
        <v>0</v>
      </c>
      <c r="X84" s="26">
        <f>IFERROR(__xludf.DUMMYFUNCTION("""COMPUTED_VALUE"""),0.0)</f>
        <v>0</v>
      </c>
      <c r="Y84" s="26">
        <f>IFERROR(__xludf.DUMMYFUNCTION("""COMPUTED_VALUE"""),0.0)</f>
        <v>0</v>
      </c>
      <c r="Z84" s="26">
        <f>IFERROR(__xludf.DUMMYFUNCTION("""COMPUTED_VALUE"""),0.0)</f>
        <v>0</v>
      </c>
      <c r="AA84" s="26">
        <f>IFERROR(__xludf.DUMMYFUNCTION("""COMPUTED_VALUE"""),0.0)</f>
        <v>0</v>
      </c>
      <c r="AB84" s="26">
        <f>IFERROR(__xludf.DUMMYFUNCTION("""COMPUTED_VALUE"""),0.0)</f>
        <v>0</v>
      </c>
      <c r="AC84" s="26">
        <f>IFERROR(__xludf.DUMMYFUNCTION("""COMPUTED_VALUE"""),0.0)</f>
        <v>0</v>
      </c>
      <c r="AD84" s="26">
        <f>IFERROR(__xludf.DUMMYFUNCTION("""COMPUTED_VALUE"""),0.0)</f>
        <v>0</v>
      </c>
      <c r="AE84" s="26">
        <f>IFERROR(__xludf.DUMMYFUNCTION("""COMPUTED_VALUE"""),0.0)</f>
        <v>0</v>
      </c>
    </row>
    <row r="85">
      <c r="A85" s="26">
        <f>IFERROR(__xludf.DUMMYFUNCTION("""COMPUTED_VALUE"""),0.0)</f>
        <v>0</v>
      </c>
      <c r="B85" s="26">
        <f>IFERROR(__xludf.DUMMYFUNCTION("""COMPUTED_VALUE"""),0.0)</f>
        <v>0</v>
      </c>
      <c r="C85" s="26">
        <f>IFERROR(__xludf.DUMMYFUNCTION("""COMPUTED_VALUE"""),0.0)</f>
        <v>0</v>
      </c>
      <c r="D85" s="26">
        <f>IFERROR(__xludf.DUMMYFUNCTION("""COMPUTED_VALUE"""),0.0)</f>
        <v>0</v>
      </c>
      <c r="E85" s="26">
        <f>IFERROR(__xludf.DUMMYFUNCTION("""COMPUTED_VALUE"""),0.0)</f>
        <v>0</v>
      </c>
      <c r="F85" s="26">
        <f>IFERROR(__xludf.DUMMYFUNCTION("""COMPUTED_VALUE"""),0.0)</f>
        <v>0</v>
      </c>
      <c r="G85" s="26">
        <f>IFERROR(__xludf.DUMMYFUNCTION("""COMPUTED_VALUE"""),0.0)</f>
        <v>0</v>
      </c>
      <c r="H85" s="26">
        <f>IFERROR(__xludf.DUMMYFUNCTION("""COMPUTED_VALUE"""),0.0)</f>
        <v>0</v>
      </c>
      <c r="I85" s="26">
        <f>IFERROR(__xludf.DUMMYFUNCTION("""COMPUTED_VALUE"""),0.0)</f>
        <v>0</v>
      </c>
      <c r="J85" s="26">
        <f>IFERROR(__xludf.DUMMYFUNCTION("""COMPUTED_VALUE"""),0.0)</f>
        <v>0</v>
      </c>
      <c r="K85" s="26">
        <f>IFERROR(__xludf.DUMMYFUNCTION("""COMPUTED_VALUE"""),0.0)</f>
        <v>0</v>
      </c>
      <c r="L85" s="26">
        <f>IFERROR(__xludf.DUMMYFUNCTION("""COMPUTED_VALUE"""),0.0)</f>
        <v>0</v>
      </c>
      <c r="M85" s="26"/>
      <c r="N85" s="26"/>
      <c r="O85" s="26"/>
      <c r="P85" s="26"/>
      <c r="Q85" s="26"/>
      <c r="R85" s="26">
        <f>IFERROR(__xludf.DUMMYFUNCTION("""COMPUTED_VALUE"""),0.0)</f>
        <v>0</v>
      </c>
      <c r="S85" s="26">
        <f>IFERROR(__xludf.DUMMYFUNCTION("""COMPUTED_VALUE"""),0.0)</f>
        <v>0</v>
      </c>
      <c r="T85" s="26">
        <f>IFERROR(__xludf.DUMMYFUNCTION("""COMPUTED_VALUE"""),0.0)</f>
        <v>0</v>
      </c>
      <c r="U85" s="26">
        <f>IFERROR(__xludf.DUMMYFUNCTION("""COMPUTED_VALUE"""),0.0)</f>
        <v>0</v>
      </c>
      <c r="V85" s="26">
        <f>IFERROR(__xludf.DUMMYFUNCTION("""COMPUTED_VALUE"""),0.0)</f>
        <v>0</v>
      </c>
      <c r="W85" s="26">
        <f>IFERROR(__xludf.DUMMYFUNCTION("""COMPUTED_VALUE"""),0.0)</f>
        <v>0</v>
      </c>
      <c r="X85" s="26">
        <f>IFERROR(__xludf.DUMMYFUNCTION("""COMPUTED_VALUE"""),0.0)</f>
        <v>0</v>
      </c>
      <c r="Y85" s="26">
        <f>IFERROR(__xludf.DUMMYFUNCTION("""COMPUTED_VALUE"""),0.0)</f>
        <v>0</v>
      </c>
      <c r="Z85" s="26">
        <f>IFERROR(__xludf.DUMMYFUNCTION("""COMPUTED_VALUE"""),0.0)</f>
        <v>0</v>
      </c>
      <c r="AA85" s="26">
        <f>IFERROR(__xludf.DUMMYFUNCTION("""COMPUTED_VALUE"""),0.0)</f>
        <v>0</v>
      </c>
      <c r="AB85" s="26">
        <f>IFERROR(__xludf.DUMMYFUNCTION("""COMPUTED_VALUE"""),0.0)</f>
        <v>0</v>
      </c>
      <c r="AC85" s="26">
        <f>IFERROR(__xludf.DUMMYFUNCTION("""COMPUTED_VALUE"""),0.0)</f>
        <v>0</v>
      </c>
      <c r="AD85" s="26">
        <f>IFERROR(__xludf.DUMMYFUNCTION("""COMPUTED_VALUE"""),0.0)</f>
        <v>0</v>
      </c>
      <c r="AE85" s="26">
        <f>IFERROR(__xludf.DUMMYFUNCTION("""COMPUTED_VALUE"""),0.0)</f>
        <v>0</v>
      </c>
    </row>
    <row r="86">
      <c r="A86" s="26">
        <f>IFERROR(__xludf.DUMMYFUNCTION("""COMPUTED_VALUE"""),0.0)</f>
        <v>0</v>
      </c>
      <c r="B86" s="26">
        <f>IFERROR(__xludf.DUMMYFUNCTION("""COMPUTED_VALUE"""),0.0)</f>
        <v>0</v>
      </c>
      <c r="C86" s="26">
        <f>IFERROR(__xludf.DUMMYFUNCTION("""COMPUTED_VALUE"""),0.0)</f>
        <v>0</v>
      </c>
      <c r="D86" s="26">
        <f>IFERROR(__xludf.DUMMYFUNCTION("""COMPUTED_VALUE"""),0.0)</f>
        <v>0</v>
      </c>
      <c r="E86" s="26">
        <f>IFERROR(__xludf.DUMMYFUNCTION("""COMPUTED_VALUE"""),0.0)</f>
        <v>0</v>
      </c>
      <c r="F86" s="26">
        <f>IFERROR(__xludf.DUMMYFUNCTION("""COMPUTED_VALUE"""),0.0)</f>
        <v>0</v>
      </c>
      <c r="G86" s="26">
        <f>IFERROR(__xludf.DUMMYFUNCTION("""COMPUTED_VALUE"""),0.0)</f>
        <v>0</v>
      </c>
      <c r="H86" s="26">
        <f>IFERROR(__xludf.DUMMYFUNCTION("""COMPUTED_VALUE"""),0.0)</f>
        <v>0</v>
      </c>
      <c r="I86" s="26">
        <f>IFERROR(__xludf.DUMMYFUNCTION("""COMPUTED_VALUE"""),0.0)</f>
        <v>0</v>
      </c>
      <c r="J86" s="26">
        <f>IFERROR(__xludf.DUMMYFUNCTION("""COMPUTED_VALUE"""),0.0)</f>
        <v>0</v>
      </c>
      <c r="K86" s="26">
        <f>IFERROR(__xludf.DUMMYFUNCTION("""COMPUTED_VALUE"""),0.0)</f>
        <v>0</v>
      </c>
      <c r="L86" s="26">
        <f>IFERROR(__xludf.DUMMYFUNCTION("""COMPUTED_VALUE"""),0.0)</f>
        <v>0</v>
      </c>
      <c r="M86" s="26"/>
      <c r="N86" s="26"/>
      <c r="O86" s="26"/>
      <c r="P86" s="26"/>
      <c r="Q86" s="26"/>
      <c r="R86" s="26">
        <f>IFERROR(__xludf.DUMMYFUNCTION("""COMPUTED_VALUE"""),0.0)</f>
        <v>0</v>
      </c>
      <c r="S86" s="26">
        <f>IFERROR(__xludf.DUMMYFUNCTION("""COMPUTED_VALUE"""),0.0)</f>
        <v>0</v>
      </c>
      <c r="T86" s="26">
        <f>IFERROR(__xludf.DUMMYFUNCTION("""COMPUTED_VALUE"""),0.0)</f>
        <v>0</v>
      </c>
      <c r="U86" s="26">
        <f>IFERROR(__xludf.DUMMYFUNCTION("""COMPUTED_VALUE"""),0.0)</f>
        <v>0</v>
      </c>
      <c r="V86" s="26">
        <f>IFERROR(__xludf.DUMMYFUNCTION("""COMPUTED_VALUE"""),0.0)</f>
        <v>0</v>
      </c>
      <c r="W86" s="26">
        <f>IFERROR(__xludf.DUMMYFUNCTION("""COMPUTED_VALUE"""),0.0)</f>
        <v>0</v>
      </c>
      <c r="X86" s="26">
        <f>IFERROR(__xludf.DUMMYFUNCTION("""COMPUTED_VALUE"""),0.0)</f>
        <v>0</v>
      </c>
      <c r="Y86" s="26">
        <f>IFERROR(__xludf.DUMMYFUNCTION("""COMPUTED_VALUE"""),0.0)</f>
        <v>0</v>
      </c>
      <c r="Z86" s="26">
        <f>IFERROR(__xludf.DUMMYFUNCTION("""COMPUTED_VALUE"""),0.0)</f>
        <v>0</v>
      </c>
      <c r="AA86" s="26">
        <f>IFERROR(__xludf.DUMMYFUNCTION("""COMPUTED_VALUE"""),0.0)</f>
        <v>0</v>
      </c>
      <c r="AB86" s="26">
        <f>IFERROR(__xludf.DUMMYFUNCTION("""COMPUTED_VALUE"""),0.0)</f>
        <v>0</v>
      </c>
      <c r="AC86" s="26">
        <f>IFERROR(__xludf.DUMMYFUNCTION("""COMPUTED_VALUE"""),0.0)</f>
        <v>0</v>
      </c>
      <c r="AD86" s="26">
        <f>IFERROR(__xludf.DUMMYFUNCTION("""COMPUTED_VALUE"""),0.0)</f>
        <v>0</v>
      </c>
      <c r="AE86" s="26">
        <f>IFERROR(__xludf.DUMMYFUNCTION("""COMPUTED_VALUE"""),0.0)</f>
        <v>0</v>
      </c>
    </row>
    <row r="87">
      <c r="A87" s="26">
        <f>IFERROR(__xludf.DUMMYFUNCTION("""COMPUTED_VALUE"""),0.0)</f>
        <v>0</v>
      </c>
      <c r="B87" s="26">
        <f>IFERROR(__xludf.DUMMYFUNCTION("""COMPUTED_VALUE"""),0.0)</f>
        <v>0</v>
      </c>
      <c r="C87" s="26">
        <f>IFERROR(__xludf.DUMMYFUNCTION("""COMPUTED_VALUE"""),0.0)</f>
        <v>0</v>
      </c>
      <c r="D87" s="26">
        <f>IFERROR(__xludf.DUMMYFUNCTION("""COMPUTED_VALUE"""),0.0)</f>
        <v>0</v>
      </c>
      <c r="E87" s="26">
        <f>IFERROR(__xludf.DUMMYFUNCTION("""COMPUTED_VALUE"""),0.0)</f>
        <v>0</v>
      </c>
      <c r="F87" s="26">
        <f>IFERROR(__xludf.DUMMYFUNCTION("""COMPUTED_VALUE"""),0.0)</f>
        <v>0</v>
      </c>
      <c r="G87" s="26">
        <f>IFERROR(__xludf.DUMMYFUNCTION("""COMPUTED_VALUE"""),0.0)</f>
        <v>0</v>
      </c>
      <c r="H87" s="26">
        <f>IFERROR(__xludf.DUMMYFUNCTION("""COMPUTED_VALUE"""),0.0)</f>
        <v>0</v>
      </c>
      <c r="I87" s="26">
        <f>IFERROR(__xludf.DUMMYFUNCTION("""COMPUTED_VALUE"""),0.0)</f>
        <v>0</v>
      </c>
      <c r="J87" s="26">
        <f>IFERROR(__xludf.DUMMYFUNCTION("""COMPUTED_VALUE"""),0.0)</f>
        <v>0</v>
      </c>
      <c r="K87" s="26">
        <f>IFERROR(__xludf.DUMMYFUNCTION("""COMPUTED_VALUE"""),0.0)</f>
        <v>0</v>
      </c>
      <c r="L87" s="26">
        <f>IFERROR(__xludf.DUMMYFUNCTION("""COMPUTED_VALUE"""),0.0)</f>
        <v>0</v>
      </c>
      <c r="M87" s="26"/>
      <c r="N87" s="26"/>
      <c r="O87" s="26"/>
      <c r="P87" s="26"/>
      <c r="Q87" s="26"/>
      <c r="R87" s="26">
        <f>IFERROR(__xludf.DUMMYFUNCTION("""COMPUTED_VALUE"""),0.0)</f>
        <v>0</v>
      </c>
      <c r="S87" s="26">
        <f>IFERROR(__xludf.DUMMYFUNCTION("""COMPUTED_VALUE"""),0.0)</f>
        <v>0</v>
      </c>
      <c r="T87" s="26">
        <f>IFERROR(__xludf.DUMMYFUNCTION("""COMPUTED_VALUE"""),0.0)</f>
        <v>0</v>
      </c>
      <c r="U87" s="26">
        <f>IFERROR(__xludf.DUMMYFUNCTION("""COMPUTED_VALUE"""),0.0)</f>
        <v>0</v>
      </c>
      <c r="V87" s="26">
        <f>IFERROR(__xludf.DUMMYFUNCTION("""COMPUTED_VALUE"""),0.0)</f>
        <v>0</v>
      </c>
      <c r="W87" s="26">
        <f>IFERROR(__xludf.DUMMYFUNCTION("""COMPUTED_VALUE"""),0.0)</f>
        <v>0</v>
      </c>
      <c r="X87" s="26">
        <f>IFERROR(__xludf.DUMMYFUNCTION("""COMPUTED_VALUE"""),0.0)</f>
        <v>0</v>
      </c>
      <c r="Y87" s="26">
        <f>IFERROR(__xludf.DUMMYFUNCTION("""COMPUTED_VALUE"""),0.0)</f>
        <v>0</v>
      </c>
      <c r="Z87" s="26">
        <f>IFERROR(__xludf.DUMMYFUNCTION("""COMPUTED_VALUE"""),0.0)</f>
        <v>0</v>
      </c>
      <c r="AA87" s="26">
        <f>IFERROR(__xludf.DUMMYFUNCTION("""COMPUTED_VALUE"""),0.0)</f>
        <v>0</v>
      </c>
      <c r="AB87" s="26">
        <f>IFERROR(__xludf.DUMMYFUNCTION("""COMPUTED_VALUE"""),0.0)</f>
        <v>0</v>
      </c>
      <c r="AC87" s="26">
        <f>IFERROR(__xludf.DUMMYFUNCTION("""COMPUTED_VALUE"""),0.0)</f>
        <v>0</v>
      </c>
      <c r="AD87" s="26">
        <f>IFERROR(__xludf.DUMMYFUNCTION("""COMPUTED_VALUE"""),0.0)</f>
        <v>0</v>
      </c>
      <c r="AE87" s="26">
        <f>IFERROR(__xludf.DUMMYFUNCTION("""COMPUTED_VALUE"""),0.0)</f>
        <v>0</v>
      </c>
    </row>
    <row r="88">
      <c r="A88" s="26">
        <f>IFERROR(__xludf.DUMMYFUNCTION("""COMPUTED_VALUE"""),0.0)</f>
        <v>0</v>
      </c>
      <c r="B88" s="26">
        <f>IFERROR(__xludf.DUMMYFUNCTION("""COMPUTED_VALUE"""),0.0)</f>
        <v>0</v>
      </c>
      <c r="C88" s="26">
        <f>IFERROR(__xludf.DUMMYFUNCTION("""COMPUTED_VALUE"""),0.0)</f>
        <v>0</v>
      </c>
      <c r="D88" s="26">
        <f>IFERROR(__xludf.DUMMYFUNCTION("""COMPUTED_VALUE"""),0.0)</f>
        <v>0</v>
      </c>
      <c r="E88" s="26">
        <f>IFERROR(__xludf.DUMMYFUNCTION("""COMPUTED_VALUE"""),0.0)</f>
        <v>0</v>
      </c>
      <c r="F88" s="26">
        <f>IFERROR(__xludf.DUMMYFUNCTION("""COMPUTED_VALUE"""),0.0)</f>
        <v>0</v>
      </c>
      <c r="G88" s="26">
        <f>IFERROR(__xludf.DUMMYFUNCTION("""COMPUTED_VALUE"""),0.0)</f>
        <v>0</v>
      </c>
      <c r="H88" s="26">
        <f>IFERROR(__xludf.DUMMYFUNCTION("""COMPUTED_VALUE"""),0.0)</f>
        <v>0</v>
      </c>
      <c r="I88" s="26">
        <f>IFERROR(__xludf.DUMMYFUNCTION("""COMPUTED_VALUE"""),0.0)</f>
        <v>0</v>
      </c>
      <c r="J88" s="26">
        <f>IFERROR(__xludf.DUMMYFUNCTION("""COMPUTED_VALUE"""),0.0)</f>
        <v>0</v>
      </c>
      <c r="K88" s="26">
        <f>IFERROR(__xludf.DUMMYFUNCTION("""COMPUTED_VALUE"""),0.0)</f>
        <v>0</v>
      </c>
      <c r="L88" s="26">
        <f>IFERROR(__xludf.DUMMYFUNCTION("""COMPUTED_VALUE"""),0.0)</f>
        <v>0</v>
      </c>
      <c r="M88" s="26"/>
      <c r="N88" s="26"/>
      <c r="O88" s="26"/>
      <c r="P88" s="26"/>
      <c r="Q88" s="26"/>
      <c r="R88" s="26">
        <f>IFERROR(__xludf.DUMMYFUNCTION("""COMPUTED_VALUE"""),0.0)</f>
        <v>0</v>
      </c>
      <c r="S88" s="26">
        <f>IFERROR(__xludf.DUMMYFUNCTION("""COMPUTED_VALUE"""),0.0)</f>
        <v>0</v>
      </c>
      <c r="T88" s="26">
        <f>IFERROR(__xludf.DUMMYFUNCTION("""COMPUTED_VALUE"""),0.0)</f>
        <v>0</v>
      </c>
      <c r="U88" s="26">
        <f>IFERROR(__xludf.DUMMYFUNCTION("""COMPUTED_VALUE"""),0.0)</f>
        <v>0</v>
      </c>
      <c r="V88" s="26">
        <f>IFERROR(__xludf.DUMMYFUNCTION("""COMPUTED_VALUE"""),0.0)</f>
        <v>0</v>
      </c>
      <c r="W88" s="26">
        <f>IFERROR(__xludf.DUMMYFUNCTION("""COMPUTED_VALUE"""),0.0)</f>
        <v>0</v>
      </c>
      <c r="X88" s="26">
        <f>IFERROR(__xludf.DUMMYFUNCTION("""COMPUTED_VALUE"""),0.0)</f>
        <v>0</v>
      </c>
      <c r="Y88" s="26">
        <f>IFERROR(__xludf.DUMMYFUNCTION("""COMPUTED_VALUE"""),0.0)</f>
        <v>0</v>
      </c>
      <c r="Z88" s="26">
        <f>IFERROR(__xludf.DUMMYFUNCTION("""COMPUTED_VALUE"""),0.0)</f>
        <v>0</v>
      </c>
      <c r="AA88" s="26">
        <f>IFERROR(__xludf.DUMMYFUNCTION("""COMPUTED_VALUE"""),0.0)</f>
        <v>0</v>
      </c>
      <c r="AB88" s="26">
        <f>IFERROR(__xludf.DUMMYFUNCTION("""COMPUTED_VALUE"""),0.0)</f>
        <v>0</v>
      </c>
      <c r="AC88" s="26">
        <f>IFERROR(__xludf.DUMMYFUNCTION("""COMPUTED_VALUE"""),0.0)</f>
        <v>0</v>
      </c>
      <c r="AD88" s="26">
        <f>IFERROR(__xludf.DUMMYFUNCTION("""COMPUTED_VALUE"""),0.0)</f>
        <v>0</v>
      </c>
      <c r="AE88" s="26">
        <f>IFERROR(__xludf.DUMMYFUNCTION("""COMPUTED_VALUE"""),0.0)</f>
        <v>0</v>
      </c>
    </row>
    <row r="89">
      <c r="A89" s="26">
        <f>IFERROR(__xludf.DUMMYFUNCTION("""COMPUTED_VALUE"""),0.0)</f>
        <v>0</v>
      </c>
      <c r="B89" s="26">
        <f>IFERROR(__xludf.DUMMYFUNCTION("""COMPUTED_VALUE"""),0.0)</f>
        <v>0</v>
      </c>
      <c r="C89" s="26">
        <f>IFERROR(__xludf.DUMMYFUNCTION("""COMPUTED_VALUE"""),0.0)</f>
        <v>0</v>
      </c>
      <c r="D89" s="26">
        <f>IFERROR(__xludf.DUMMYFUNCTION("""COMPUTED_VALUE"""),0.0)</f>
        <v>0</v>
      </c>
      <c r="E89" s="26">
        <f>IFERROR(__xludf.DUMMYFUNCTION("""COMPUTED_VALUE"""),0.0)</f>
        <v>0</v>
      </c>
      <c r="F89" s="26">
        <f>IFERROR(__xludf.DUMMYFUNCTION("""COMPUTED_VALUE"""),0.0)</f>
        <v>0</v>
      </c>
      <c r="G89" s="26">
        <f>IFERROR(__xludf.DUMMYFUNCTION("""COMPUTED_VALUE"""),0.0)</f>
        <v>0</v>
      </c>
      <c r="H89" s="26">
        <f>IFERROR(__xludf.DUMMYFUNCTION("""COMPUTED_VALUE"""),0.0)</f>
        <v>0</v>
      </c>
      <c r="I89" s="26">
        <f>IFERROR(__xludf.DUMMYFUNCTION("""COMPUTED_VALUE"""),0.0)</f>
        <v>0</v>
      </c>
      <c r="J89" s="26">
        <f>IFERROR(__xludf.DUMMYFUNCTION("""COMPUTED_VALUE"""),0.0)</f>
        <v>0</v>
      </c>
      <c r="K89" s="26">
        <f>IFERROR(__xludf.DUMMYFUNCTION("""COMPUTED_VALUE"""),0.0)</f>
        <v>0</v>
      </c>
      <c r="L89" s="26">
        <f>IFERROR(__xludf.DUMMYFUNCTION("""COMPUTED_VALUE"""),0.0)</f>
        <v>0</v>
      </c>
      <c r="M89" s="26"/>
      <c r="N89" s="26"/>
      <c r="O89" s="26"/>
      <c r="P89" s="26"/>
      <c r="Q89" s="26"/>
      <c r="R89" s="26">
        <f>IFERROR(__xludf.DUMMYFUNCTION("""COMPUTED_VALUE"""),0.0)</f>
        <v>0</v>
      </c>
      <c r="S89" s="26">
        <f>IFERROR(__xludf.DUMMYFUNCTION("""COMPUTED_VALUE"""),0.0)</f>
        <v>0</v>
      </c>
      <c r="T89" s="26">
        <f>IFERROR(__xludf.DUMMYFUNCTION("""COMPUTED_VALUE"""),0.0)</f>
        <v>0</v>
      </c>
      <c r="U89" s="26">
        <f>IFERROR(__xludf.DUMMYFUNCTION("""COMPUTED_VALUE"""),0.0)</f>
        <v>0</v>
      </c>
      <c r="V89" s="26">
        <f>IFERROR(__xludf.DUMMYFUNCTION("""COMPUTED_VALUE"""),0.0)</f>
        <v>0</v>
      </c>
      <c r="W89" s="26">
        <f>IFERROR(__xludf.DUMMYFUNCTION("""COMPUTED_VALUE"""),0.0)</f>
        <v>0</v>
      </c>
      <c r="X89" s="26">
        <f>IFERROR(__xludf.DUMMYFUNCTION("""COMPUTED_VALUE"""),0.0)</f>
        <v>0</v>
      </c>
      <c r="Y89" s="26">
        <f>IFERROR(__xludf.DUMMYFUNCTION("""COMPUTED_VALUE"""),0.0)</f>
        <v>0</v>
      </c>
      <c r="Z89" s="26">
        <f>IFERROR(__xludf.DUMMYFUNCTION("""COMPUTED_VALUE"""),0.0)</f>
        <v>0</v>
      </c>
      <c r="AA89" s="26">
        <f>IFERROR(__xludf.DUMMYFUNCTION("""COMPUTED_VALUE"""),0.0)</f>
        <v>0</v>
      </c>
      <c r="AB89" s="26">
        <f>IFERROR(__xludf.DUMMYFUNCTION("""COMPUTED_VALUE"""),0.0)</f>
        <v>0</v>
      </c>
      <c r="AC89" s="26">
        <f>IFERROR(__xludf.DUMMYFUNCTION("""COMPUTED_VALUE"""),0.0)</f>
        <v>0</v>
      </c>
      <c r="AD89" s="26">
        <f>IFERROR(__xludf.DUMMYFUNCTION("""COMPUTED_VALUE"""),0.0)</f>
        <v>0</v>
      </c>
      <c r="AE89" s="26">
        <f>IFERROR(__xludf.DUMMYFUNCTION("""COMPUTED_VALUE"""),0.0)</f>
        <v>0</v>
      </c>
    </row>
    <row r="90">
      <c r="A90" s="26">
        <f>IFERROR(__xludf.DUMMYFUNCTION("""COMPUTED_VALUE"""),0.0)</f>
        <v>0</v>
      </c>
      <c r="B90" s="26">
        <f>IFERROR(__xludf.DUMMYFUNCTION("""COMPUTED_VALUE"""),0.0)</f>
        <v>0</v>
      </c>
      <c r="C90" s="26">
        <f>IFERROR(__xludf.DUMMYFUNCTION("""COMPUTED_VALUE"""),0.0)</f>
        <v>0</v>
      </c>
      <c r="D90" s="26">
        <f>IFERROR(__xludf.DUMMYFUNCTION("""COMPUTED_VALUE"""),0.0)</f>
        <v>0</v>
      </c>
      <c r="E90" s="26">
        <f>IFERROR(__xludf.DUMMYFUNCTION("""COMPUTED_VALUE"""),0.0)</f>
        <v>0</v>
      </c>
      <c r="F90" s="26">
        <f>IFERROR(__xludf.DUMMYFUNCTION("""COMPUTED_VALUE"""),0.0)</f>
        <v>0</v>
      </c>
      <c r="G90" s="26">
        <f>IFERROR(__xludf.DUMMYFUNCTION("""COMPUTED_VALUE"""),0.0)</f>
        <v>0</v>
      </c>
      <c r="H90" s="26">
        <f>IFERROR(__xludf.DUMMYFUNCTION("""COMPUTED_VALUE"""),0.0)</f>
        <v>0</v>
      </c>
      <c r="I90" s="26">
        <f>IFERROR(__xludf.DUMMYFUNCTION("""COMPUTED_VALUE"""),0.0)</f>
        <v>0</v>
      </c>
      <c r="J90" s="26">
        <f>IFERROR(__xludf.DUMMYFUNCTION("""COMPUTED_VALUE"""),0.0)</f>
        <v>0</v>
      </c>
      <c r="K90" s="26">
        <f>IFERROR(__xludf.DUMMYFUNCTION("""COMPUTED_VALUE"""),0.0)</f>
        <v>0</v>
      </c>
      <c r="L90" s="26">
        <f>IFERROR(__xludf.DUMMYFUNCTION("""COMPUTED_VALUE"""),0.0)</f>
        <v>0</v>
      </c>
      <c r="M90" s="26"/>
      <c r="N90" s="26"/>
      <c r="O90" s="26"/>
      <c r="P90" s="26"/>
      <c r="Q90" s="26"/>
      <c r="R90" s="26">
        <f>IFERROR(__xludf.DUMMYFUNCTION("""COMPUTED_VALUE"""),0.0)</f>
        <v>0</v>
      </c>
      <c r="S90" s="26">
        <f>IFERROR(__xludf.DUMMYFUNCTION("""COMPUTED_VALUE"""),0.0)</f>
        <v>0</v>
      </c>
      <c r="T90" s="26">
        <f>IFERROR(__xludf.DUMMYFUNCTION("""COMPUTED_VALUE"""),0.0)</f>
        <v>0</v>
      </c>
      <c r="U90" s="26">
        <f>IFERROR(__xludf.DUMMYFUNCTION("""COMPUTED_VALUE"""),0.0)</f>
        <v>0</v>
      </c>
      <c r="V90" s="26">
        <f>IFERROR(__xludf.DUMMYFUNCTION("""COMPUTED_VALUE"""),0.0)</f>
        <v>0</v>
      </c>
      <c r="W90" s="26">
        <f>IFERROR(__xludf.DUMMYFUNCTION("""COMPUTED_VALUE"""),0.0)</f>
        <v>0</v>
      </c>
      <c r="X90" s="26">
        <f>IFERROR(__xludf.DUMMYFUNCTION("""COMPUTED_VALUE"""),0.0)</f>
        <v>0</v>
      </c>
      <c r="Y90" s="26">
        <f>IFERROR(__xludf.DUMMYFUNCTION("""COMPUTED_VALUE"""),0.0)</f>
        <v>0</v>
      </c>
      <c r="Z90" s="26">
        <f>IFERROR(__xludf.DUMMYFUNCTION("""COMPUTED_VALUE"""),0.0)</f>
        <v>0</v>
      </c>
      <c r="AA90" s="26">
        <f>IFERROR(__xludf.DUMMYFUNCTION("""COMPUTED_VALUE"""),0.0)</f>
        <v>0</v>
      </c>
      <c r="AB90" s="26">
        <f>IFERROR(__xludf.DUMMYFUNCTION("""COMPUTED_VALUE"""),0.0)</f>
        <v>0</v>
      </c>
      <c r="AC90" s="26">
        <f>IFERROR(__xludf.DUMMYFUNCTION("""COMPUTED_VALUE"""),0.0)</f>
        <v>0</v>
      </c>
      <c r="AD90" s="26">
        <f>IFERROR(__xludf.DUMMYFUNCTION("""COMPUTED_VALUE"""),0.0)</f>
        <v>0</v>
      </c>
      <c r="AE90" s="26">
        <f>IFERROR(__xludf.DUMMYFUNCTION("""COMPUTED_VALUE"""),0.0)</f>
        <v>0</v>
      </c>
    </row>
    <row r="91">
      <c r="A91" s="26">
        <f>IFERROR(__xludf.DUMMYFUNCTION("""COMPUTED_VALUE"""),0.0)</f>
        <v>0</v>
      </c>
      <c r="B91" s="26">
        <f>IFERROR(__xludf.DUMMYFUNCTION("""COMPUTED_VALUE"""),0.0)</f>
        <v>0</v>
      </c>
      <c r="C91" s="26">
        <f>IFERROR(__xludf.DUMMYFUNCTION("""COMPUTED_VALUE"""),0.0)</f>
        <v>0</v>
      </c>
      <c r="D91" s="26">
        <f>IFERROR(__xludf.DUMMYFUNCTION("""COMPUTED_VALUE"""),0.0)</f>
        <v>0</v>
      </c>
      <c r="E91" s="26">
        <f>IFERROR(__xludf.DUMMYFUNCTION("""COMPUTED_VALUE"""),0.0)</f>
        <v>0</v>
      </c>
      <c r="F91" s="26">
        <f>IFERROR(__xludf.DUMMYFUNCTION("""COMPUTED_VALUE"""),0.0)</f>
        <v>0</v>
      </c>
      <c r="G91" s="26">
        <f>IFERROR(__xludf.DUMMYFUNCTION("""COMPUTED_VALUE"""),0.0)</f>
        <v>0</v>
      </c>
      <c r="H91" s="26">
        <f>IFERROR(__xludf.DUMMYFUNCTION("""COMPUTED_VALUE"""),0.0)</f>
        <v>0</v>
      </c>
      <c r="I91" s="26">
        <f>IFERROR(__xludf.DUMMYFUNCTION("""COMPUTED_VALUE"""),0.0)</f>
        <v>0</v>
      </c>
      <c r="J91" s="26">
        <f>IFERROR(__xludf.DUMMYFUNCTION("""COMPUTED_VALUE"""),0.0)</f>
        <v>0</v>
      </c>
      <c r="K91" s="26">
        <f>IFERROR(__xludf.DUMMYFUNCTION("""COMPUTED_VALUE"""),0.0)</f>
        <v>0</v>
      </c>
      <c r="L91" s="26">
        <f>IFERROR(__xludf.DUMMYFUNCTION("""COMPUTED_VALUE"""),0.0)</f>
        <v>0</v>
      </c>
      <c r="M91" s="26"/>
      <c r="N91" s="26"/>
      <c r="O91" s="26"/>
      <c r="P91" s="26"/>
      <c r="Q91" s="26"/>
      <c r="R91" s="26">
        <f>IFERROR(__xludf.DUMMYFUNCTION("""COMPUTED_VALUE"""),0.0)</f>
        <v>0</v>
      </c>
      <c r="S91" s="26">
        <f>IFERROR(__xludf.DUMMYFUNCTION("""COMPUTED_VALUE"""),0.0)</f>
        <v>0</v>
      </c>
      <c r="T91" s="26">
        <f>IFERROR(__xludf.DUMMYFUNCTION("""COMPUTED_VALUE"""),0.0)</f>
        <v>0</v>
      </c>
      <c r="U91" s="26">
        <f>IFERROR(__xludf.DUMMYFUNCTION("""COMPUTED_VALUE"""),0.0)</f>
        <v>0</v>
      </c>
      <c r="V91" s="26">
        <f>IFERROR(__xludf.DUMMYFUNCTION("""COMPUTED_VALUE"""),0.0)</f>
        <v>0</v>
      </c>
      <c r="W91" s="26">
        <f>IFERROR(__xludf.DUMMYFUNCTION("""COMPUTED_VALUE"""),0.0)</f>
        <v>0</v>
      </c>
      <c r="X91" s="26">
        <f>IFERROR(__xludf.DUMMYFUNCTION("""COMPUTED_VALUE"""),0.0)</f>
        <v>0</v>
      </c>
      <c r="Y91" s="26">
        <f>IFERROR(__xludf.DUMMYFUNCTION("""COMPUTED_VALUE"""),0.0)</f>
        <v>0</v>
      </c>
      <c r="Z91" s="26">
        <f>IFERROR(__xludf.DUMMYFUNCTION("""COMPUTED_VALUE"""),0.0)</f>
        <v>0</v>
      </c>
      <c r="AA91" s="26">
        <f>IFERROR(__xludf.DUMMYFUNCTION("""COMPUTED_VALUE"""),0.0)</f>
        <v>0</v>
      </c>
      <c r="AB91" s="26">
        <f>IFERROR(__xludf.DUMMYFUNCTION("""COMPUTED_VALUE"""),0.0)</f>
        <v>0</v>
      </c>
      <c r="AC91" s="26">
        <f>IFERROR(__xludf.DUMMYFUNCTION("""COMPUTED_VALUE"""),0.0)</f>
        <v>0</v>
      </c>
      <c r="AD91" s="26">
        <f>IFERROR(__xludf.DUMMYFUNCTION("""COMPUTED_VALUE"""),0.0)</f>
        <v>0</v>
      </c>
      <c r="AE91" s="26">
        <f>IFERROR(__xludf.DUMMYFUNCTION("""COMPUTED_VALUE"""),0.0)</f>
        <v>0</v>
      </c>
    </row>
    <row r="92">
      <c r="A92" s="26">
        <f>IFERROR(__xludf.DUMMYFUNCTION("""COMPUTED_VALUE"""),0.0)</f>
        <v>0</v>
      </c>
      <c r="B92" s="26">
        <f>IFERROR(__xludf.DUMMYFUNCTION("""COMPUTED_VALUE"""),0.0)</f>
        <v>0</v>
      </c>
      <c r="C92" s="26">
        <f>IFERROR(__xludf.DUMMYFUNCTION("""COMPUTED_VALUE"""),0.0)</f>
        <v>0</v>
      </c>
      <c r="D92" s="26">
        <f>IFERROR(__xludf.DUMMYFUNCTION("""COMPUTED_VALUE"""),0.0)</f>
        <v>0</v>
      </c>
      <c r="E92" s="26">
        <f>IFERROR(__xludf.DUMMYFUNCTION("""COMPUTED_VALUE"""),0.0)</f>
        <v>0</v>
      </c>
      <c r="F92" s="26">
        <f>IFERROR(__xludf.DUMMYFUNCTION("""COMPUTED_VALUE"""),0.0)</f>
        <v>0</v>
      </c>
      <c r="G92" s="26">
        <f>IFERROR(__xludf.DUMMYFUNCTION("""COMPUTED_VALUE"""),0.0)</f>
        <v>0</v>
      </c>
      <c r="H92" s="26">
        <f>IFERROR(__xludf.DUMMYFUNCTION("""COMPUTED_VALUE"""),0.0)</f>
        <v>0</v>
      </c>
      <c r="I92" s="26">
        <f>IFERROR(__xludf.DUMMYFUNCTION("""COMPUTED_VALUE"""),0.0)</f>
        <v>0</v>
      </c>
      <c r="J92" s="26">
        <f>IFERROR(__xludf.DUMMYFUNCTION("""COMPUTED_VALUE"""),0.0)</f>
        <v>0</v>
      </c>
      <c r="K92" s="26">
        <f>IFERROR(__xludf.DUMMYFUNCTION("""COMPUTED_VALUE"""),0.0)</f>
        <v>0</v>
      </c>
      <c r="L92" s="26">
        <f>IFERROR(__xludf.DUMMYFUNCTION("""COMPUTED_VALUE"""),0.0)</f>
        <v>0</v>
      </c>
      <c r="M92" s="26"/>
      <c r="N92" s="26"/>
      <c r="O92" s="26"/>
      <c r="P92" s="26"/>
      <c r="Q92" s="26"/>
      <c r="R92" s="26">
        <f>IFERROR(__xludf.DUMMYFUNCTION("""COMPUTED_VALUE"""),0.0)</f>
        <v>0</v>
      </c>
      <c r="S92" s="26">
        <f>IFERROR(__xludf.DUMMYFUNCTION("""COMPUTED_VALUE"""),0.0)</f>
        <v>0</v>
      </c>
      <c r="T92" s="26">
        <f>IFERROR(__xludf.DUMMYFUNCTION("""COMPUTED_VALUE"""),0.0)</f>
        <v>0</v>
      </c>
      <c r="U92" s="26">
        <f>IFERROR(__xludf.DUMMYFUNCTION("""COMPUTED_VALUE"""),0.0)</f>
        <v>0</v>
      </c>
      <c r="V92" s="26">
        <f>IFERROR(__xludf.DUMMYFUNCTION("""COMPUTED_VALUE"""),0.0)</f>
        <v>0</v>
      </c>
      <c r="W92" s="26">
        <f>IFERROR(__xludf.DUMMYFUNCTION("""COMPUTED_VALUE"""),0.0)</f>
        <v>0</v>
      </c>
      <c r="X92" s="26">
        <f>IFERROR(__xludf.DUMMYFUNCTION("""COMPUTED_VALUE"""),0.0)</f>
        <v>0</v>
      </c>
      <c r="Y92" s="26">
        <f>IFERROR(__xludf.DUMMYFUNCTION("""COMPUTED_VALUE"""),0.0)</f>
        <v>0</v>
      </c>
      <c r="Z92" s="26">
        <f>IFERROR(__xludf.DUMMYFUNCTION("""COMPUTED_VALUE"""),0.0)</f>
        <v>0</v>
      </c>
      <c r="AA92" s="26">
        <f>IFERROR(__xludf.DUMMYFUNCTION("""COMPUTED_VALUE"""),0.0)</f>
        <v>0</v>
      </c>
      <c r="AB92" s="26">
        <f>IFERROR(__xludf.DUMMYFUNCTION("""COMPUTED_VALUE"""),0.0)</f>
        <v>0</v>
      </c>
      <c r="AC92" s="26">
        <f>IFERROR(__xludf.DUMMYFUNCTION("""COMPUTED_VALUE"""),0.0)</f>
        <v>0</v>
      </c>
      <c r="AD92" s="26">
        <f>IFERROR(__xludf.DUMMYFUNCTION("""COMPUTED_VALUE"""),0.0)</f>
        <v>0</v>
      </c>
      <c r="AE92" s="26">
        <f>IFERROR(__xludf.DUMMYFUNCTION("""COMPUTED_VALUE"""),0.0)</f>
        <v>0</v>
      </c>
    </row>
    <row r="93">
      <c r="A93" s="26">
        <f>IFERROR(__xludf.DUMMYFUNCTION("""COMPUTED_VALUE"""),0.0)</f>
        <v>0</v>
      </c>
      <c r="B93" s="26">
        <f>IFERROR(__xludf.DUMMYFUNCTION("""COMPUTED_VALUE"""),0.0)</f>
        <v>0</v>
      </c>
      <c r="C93" s="26">
        <f>IFERROR(__xludf.DUMMYFUNCTION("""COMPUTED_VALUE"""),0.0)</f>
        <v>0</v>
      </c>
      <c r="D93" s="26">
        <f>IFERROR(__xludf.DUMMYFUNCTION("""COMPUTED_VALUE"""),0.0)</f>
        <v>0</v>
      </c>
      <c r="E93" s="26">
        <f>IFERROR(__xludf.DUMMYFUNCTION("""COMPUTED_VALUE"""),0.0)</f>
        <v>0</v>
      </c>
      <c r="F93" s="26">
        <f>IFERROR(__xludf.DUMMYFUNCTION("""COMPUTED_VALUE"""),0.0)</f>
        <v>0</v>
      </c>
      <c r="G93" s="26">
        <f>IFERROR(__xludf.DUMMYFUNCTION("""COMPUTED_VALUE"""),0.0)</f>
        <v>0</v>
      </c>
      <c r="H93" s="26">
        <f>IFERROR(__xludf.DUMMYFUNCTION("""COMPUTED_VALUE"""),0.0)</f>
        <v>0</v>
      </c>
      <c r="I93" s="26">
        <f>IFERROR(__xludf.DUMMYFUNCTION("""COMPUTED_VALUE"""),0.0)</f>
        <v>0</v>
      </c>
      <c r="J93" s="26">
        <f>IFERROR(__xludf.DUMMYFUNCTION("""COMPUTED_VALUE"""),0.0)</f>
        <v>0</v>
      </c>
      <c r="K93" s="26">
        <f>IFERROR(__xludf.DUMMYFUNCTION("""COMPUTED_VALUE"""),0.0)</f>
        <v>0</v>
      </c>
      <c r="L93" s="26">
        <f>IFERROR(__xludf.DUMMYFUNCTION("""COMPUTED_VALUE"""),0.0)</f>
        <v>0</v>
      </c>
      <c r="M93" s="26"/>
      <c r="N93" s="26"/>
      <c r="O93" s="26"/>
      <c r="P93" s="26"/>
      <c r="Q93" s="26"/>
      <c r="R93" s="26">
        <f>IFERROR(__xludf.DUMMYFUNCTION("""COMPUTED_VALUE"""),0.0)</f>
        <v>0</v>
      </c>
      <c r="S93" s="26">
        <f>IFERROR(__xludf.DUMMYFUNCTION("""COMPUTED_VALUE"""),0.0)</f>
        <v>0</v>
      </c>
      <c r="T93" s="26">
        <f>IFERROR(__xludf.DUMMYFUNCTION("""COMPUTED_VALUE"""),0.0)</f>
        <v>0</v>
      </c>
      <c r="U93" s="26">
        <f>IFERROR(__xludf.DUMMYFUNCTION("""COMPUTED_VALUE"""),0.0)</f>
        <v>0</v>
      </c>
      <c r="V93" s="26">
        <f>IFERROR(__xludf.DUMMYFUNCTION("""COMPUTED_VALUE"""),0.0)</f>
        <v>0</v>
      </c>
      <c r="W93" s="26">
        <f>IFERROR(__xludf.DUMMYFUNCTION("""COMPUTED_VALUE"""),0.0)</f>
        <v>0</v>
      </c>
      <c r="X93" s="26">
        <f>IFERROR(__xludf.DUMMYFUNCTION("""COMPUTED_VALUE"""),0.0)</f>
        <v>0</v>
      </c>
      <c r="Y93" s="26">
        <f>IFERROR(__xludf.DUMMYFUNCTION("""COMPUTED_VALUE"""),0.0)</f>
        <v>0</v>
      </c>
      <c r="Z93" s="26">
        <f>IFERROR(__xludf.DUMMYFUNCTION("""COMPUTED_VALUE"""),0.0)</f>
        <v>0</v>
      </c>
      <c r="AA93" s="26">
        <f>IFERROR(__xludf.DUMMYFUNCTION("""COMPUTED_VALUE"""),0.0)</f>
        <v>0</v>
      </c>
      <c r="AB93" s="26">
        <f>IFERROR(__xludf.DUMMYFUNCTION("""COMPUTED_VALUE"""),0.0)</f>
        <v>0</v>
      </c>
      <c r="AC93" s="26">
        <f>IFERROR(__xludf.DUMMYFUNCTION("""COMPUTED_VALUE"""),0.0)</f>
        <v>0</v>
      </c>
      <c r="AD93" s="26">
        <f>IFERROR(__xludf.DUMMYFUNCTION("""COMPUTED_VALUE"""),0.0)</f>
        <v>0</v>
      </c>
      <c r="AE93" s="26">
        <f>IFERROR(__xludf.DUMMYFUNCTION("""COMPUTED_VALUE"""),0.0)</f>
        <v>0</v>
      </c>
    </row>
    <row r="94">
      <c r="A94" s="26">
        <f>IFERROR(__xludf.DUMMYFUNCTION("""COMPUTED_VALUE"""),0.0)</f>
        <v>0</v>
      </c>
      <c r="B94" s="26">
        <f>IFERROR(__xludf.DUMMYFUNCTION("""COMPUTED_VALUE"""),0.0)</f>
        <v>0</v>
      </c>
      <c r="C94" s="26">
        <f>IFERROR(__xludf.DUMMYFUNCTION("""COMPUTED_VALUE"""),0.0)</f>
        <v>0</v>
      </c>
      <c r="D94" s="26">
        <f>IFERROR(__xludf.DUMMYFUNCTION("""COMPUTED_VALUE"""),0.0)</f>
        <v>0</v>
      </c>
      <c r="E94" s="26">
        <f>IFERROR(__xludf.DUMMYFUNCTION("""COMPUTED_VALUE"""),0.0)</f>
        <v>0</v>
      </c>
      <c r="F94" s="26">
        <f>IFERROR(__xludf.DUMMYFUNCTION("""COMPUTED_VALUE"""),0.0)</f>
        <v>0</v>
      </c>
      <c r="G94" s="26">
        <f>IFERROR(__xludf.DUMMYFUNCTION("""COMPUTED_VALUE"""),0.0)</f>
        <v>0</v>
      </c>
      <c r="H94" s="26">
        <f>IFERROR(__xludf.DUMMYFUNCTION("""COMPUTED_VALUE"""),0.0)</f>
        <v>0</v>
      </c>
      <c r="I94" s="26">
        <f>IFERROR(__xludf.DUMMYFUNCTION("""COMPUTED_VALUE"""),0.0)</f>
        <v>0</v>
      </c>
      <c r="J94" s="26">
        <f>IFERROR(__xludf.DUMMYFUNCTION("""COMPUTED_VALUE"""),0.0)</f>
        <v>0</v>
      </c>
      <c r="K94" s="26">
        <f>IFERROR(__xludf.DUMMYFUNCTION("""COMPUTED_VALUE"""),0.0)</f>
        <v>0</v>
      </c>
      <c r="L94" s="26">
        <f>IFERROR(__xludf.DUMMYFUNCTION("""COMPUTED_VALUE"""),0.0)</f>
        <v>0</v>
      </c>
      <c r="M94" s="26"/>
      <c r="N94" s="26"/>
      <c r="O94" s="26"/>
      <c r="P94" s="26"/>
      <c r="Q94" s="26"/>
      <c r="R94" s="26">
        <f>IFERROR(__xludf.DUMMYFUNCTION("""COMPUTED_VALUE"""),0.0)</f>
        <v>0</v>
      </c>
      <c r="S94" s="26">
        <f>IFERROR(__xludf.DUMMYFUNCTION("""COMPUTED_VALUE"""),0.0)</f>
        <v>0</v>
      </c>
      <c r="T94" s="26">
        <f>IFERROR(__xludf.DUMMYFUNCTION("""COMPUTED_VALUE"""),0.0)</f>
        <v>0</v>
      </c>
      <c r="U94" s="26">
        <f>IFERROR(__xludf.DUMMYFUNCTION("""COMPUTED_VALUE"""),0.0)</f>
        <v>0</v>
      </c>
      <c r="V94" s="26">
        <f>IFERROR(__xludf.DUMMYFUNCTION("""COMPUTED_VALUE"""),0.0)</f>
        <v>0</v>
      </c>
      <c r="W94" s="26">
        <f>IFERROR(__xludf.DUMMYFUNCTION("""COMPUTED_VALUE"""),0.0)</f>
        <v>0</v>
      </c>
      <c r="X94" s="26">
        <f>IFERROR(__xludf.DUMMYFUNCTION("""COMPUTED_VALUE"""),0.0)</f>
        <v>0</v>
      </c>
      <c r="Y94" s="26">
        <f>IFERROR(__xludf.DUMMYFUNCTION("""COMPUTED_VALUE"""),0.0)</f>
        <v>0</v>
      </c>
      <c r="Z94" s="26">
        <f>IFERROR(__xludf.DUMMYFUNCTION("""COMPUTED_VALUE"""),0.0)</f>
        <v>0</v>
      </c>
      <c r="AA94" s="26">
        <f>IFERROR(__xludf.DUMMYFUNCTION("""COMPUTED_VALUE"""),0.0)</f>
        <v>0</v>
      </c>
      <c r="AB94" s="26">
        <f>IFERROR(__xludf.DUMMYFUNCTION("""COMPUTED_VALUE"""),0.0)</f>
        <v>0</v>
      </c>
      <c r="AC94" s="26">
        <f>IFERROR(__xludf.DUMMYFUNCTION("""COMPUTED_VALUE"""),0.0)</f>
        <v>0</v>
      </c>
      <c r="AD94" s="26">
        <f>IFERROR(__xludf.DUMMYFUNCTION("""COMPUTED_VALUE"""),0.0)</f>
        <v>0</v>
      </c>
      <c r="AE94" s="26">
        <f>IFERROR(__xludf.DUMMYFUNCTION("""COMPUTED_VALUE"""),0.0)</f>
        <v>0</v>
      </c>
    </row>
    <row r="95">
      <c r="A95" s="26">
        <f>IFERROR(__xludf.DUMMYFUNCTION("""COMPUTED_VALUE"""),0.0)</f>
        <v>0</v>
      </c>
      <c r="B95" s="26">
        <f>IFERROR(__xludf.DUMMYFUNCTION("""COMPUTED_VALUE"""),0.0)</f>
        <v>0</v>
      </c>
      <c r="C95" s="26">
        <f>IFERROR(__xludf.DUMMYFUNCTION("""COMPUTED_VALUE"""),0.0)</f>
        <v>0</v>
      </c>
      <c r="D95" s="26">
        <f>IFERROR(__xludf.DUMMYFUNCTION("""COMPUTED_VALUE"""),0.0)</f>
        <v>0</v>
      </c>
      <c r="E95" s="26">
        <f>IFERROR(__xludf.DUMMYFUNCTION("""COMPUTED_VALUE"""),0.0)</f>
        <v>0</v>
      </c>
      <c r="F95" s="26">
        <f>IFERROR(__xludf.DUMMYFUNCTION("""COMPUTED_VALUE"""),0.0)</f>
        <v>0</v>
      </c>
      <c r="G95" s="26">
        <f>IFERROR(__xludf.DUMMYFUNCTION("""COMPUTED_VALUE"""),0.0)</f>
        <v>0</v>
      </c>
      <c r="H95" s="26">
        <f>IFERROR(__xludf.DUMMYFUNCTION("""COMPUTED_VALUE"""),0.0)</f>
        <v>0</v>
      </c>
      <c r="I95" s="26">
        <f>IFERROR(__xludf.DUMMYFUNCTION("""COMPUTED_VALUE"""),0.0)</f>
        <v>0</v>
      </c>
      <c r="J95" s="26">
        <f>IFERROR(__xludf.DUMMYFUNCTION("""COMPUTED_VALUE"""),0.0)</f>
        <v>0</v>
      </c>
      <c r="K95" s="26">
        <f>IFERROR(__xludf.DUMMYFUNCTION("""COMPUTED_VALUE"""),0.0)</f>
        <v>0</v>
      </c>
      <c r="L95" s="26">
        <f>IFERROR(__xludf.DUMMYFUNCTION("""COMPUTED_VALUE"""),0.0)</f>
        <v>0</v>
      </c>
      <c r="M95" s="26"/>
      <c r="N95" s="26"/>
      <c r="O95" s="26"/>
      <c r="P95" s="26"/>
      <c r="Q95" s="26"/>
      <c r="R95" s="26">
        <f>IFERROR(__xludf.DUMMYFUNCTION("""COMPUTED_VALUE"""),0.0)</f>
        <v>0</v>
      </c>
      <c r="S95" s="26">
        <f>IFERROR(__xludf.DUMMYFUNCTION("""COMPUTED_VALUE"""),0.0)</f>
        <v>0</v>
      </c>
      <c r="T95" s="26">
        <f>IFERROR(__xludf.DUMMYFUNCTION("""COMPUTED_VALUE"""),0.0)</f>
        <v>0</v>
      </c>
      <c r="U95" s="26">
        <f>IFERROR(__xludf.DUMMYFUNCTION("""COMPUTED_VALUE"""),0.0)</f>
        <v>0</v>
      </c>
      <c r="V95" s="26">
        <f>IFERROR(__xludf.DUMMYFUNCTION("""COMPUTED_VALUE"""),0.0)</f>
        <v>0</v>
      </c>
      <c r="W95" s="26">
        <f>IFERROR(__xludf.DUMMYFUNCTION("""COMPUTED_VALUE"""),0.0)</f>
        <v>0</v>
      </c>
      <c r="X95" s="26">
        <f>IFERROR(__xludf.DUMMYFUNCTION("""COMPUTED_VALUE"""),0.0)</f>
        <v>0</v>
      </c>
      <c r="Y95" s="26">
        <f>IFERROR(__xludf.DUMMYFUNCTION("""COMPUTED_VALUE"""),0.0)</f>
        <v>0</v>
      </c>
      <c r="Z95" s="26">
        <f>IFERROR(__xludf.DUMMYFUNCTION("""COMPUTED_VALUE"""),0.0)</f>
        <v>0</v>
      </c>
      <c r="AA95" s="26">
        <f>IFERROR(__xludf.DUMMYFUNCTION("""COMPUTED_VALUE"""),0.0)</f>
        <v>0</v>
      </c>
      <c r="AB95" s="26">
        <f>IFERROR(__xludf.DUMMYFUNCTION("""COMPUTED_VALUE"""),0.0)</f>
        <v>0</v>
      </c>
      <c r="AC95" s="26">
        <f>IFERROR(__xludf.DUMMYFUNCTION("""COMPUTED_VALUE"""),0.0)</f>
        <v>0</v>
      </c>
      <c r="AD95" s="26">
        <f>IFERROR(__xludf.DUMMYFUNCTION("""COMPUTED_VALUE"""),0.0)</f>
        <v>0</v>
      </c>
      <c r="AE95" s="26">
        <f>IFERROR(__xludf.DUMMYFUNCTION("""COMPUTED_VALUE"""),0.0)</f>
        <v>0</v>
      </c>
    </row>
    <row r="96">
      <c r="A96" s="26">
        <f>IFERROR(__xludf.DUMMYFUNCTION("""COMPUTED_VALUE"""),0.0)</f>
        <v>0</v>
      </c>
      <c r="B96" s="26">
        <f>IFERROR(__xludf.DUMMYFUNCTION("""COMPUTED_VALUE"""),0.0)</f>
        <v>0</v>
      </c>
      <c r="C96" s="26">
        <f>IFERROR(__xludf.DUMMYFUNCTION("""COMPUTED_VALUE"""),0.0)</f>
        <v>0</v>
      </c>
      <c r="D96" s="26">
        <f>IFERROR(__xludf.DUMMYFUNCTION("""COMPUTED_VALUE"""),0.0)</f>
        <v>0</v>
      </c>
      <c r="E96" s="26">
        <f>IFERROR(__xludf.DUMMYFUNCTION("""COMPUTED_VALUE"""),0.0)</f>
        <v>0</v>
      </c>
      <c r="F96" s="26">
        <f>IFERROR(__xludf.DUMMYFUNCTION("""COMPUTED_VALUE"""),0.0)</f>
        <v>0</v>
      </c>
      <c r="G96" s="26">
        <f>IFERROR(__xludf.DUMMYFUNCTION("""COMPUTED_VALUE"""),0.0)</f>
        <v>0</v>
      </c>
      <c r="H96" s="26">
        <f>IFERROR(__xludf.DUMMYFUNCTION("""COMPUTED_VALUE"""),0.0)</f>
        <v>0</v>
      </c>
      <c r="I96" s="26">
        <f>IFERROR(__xludf.DUMMYFUNCTION("""COMPUTED_VALUE"""),0.0)</f>
        <v>0</v>
      </c>
      <c r="J96" s="26">
        <f>IFERROR(__xludf.DUMMYFUNCTION("""COMPUTED_VALUE"""),0.0)</f>
        <v>0</v>
      </c>
      <c r="K96" s="26">
        <f>IFERROR(__xludf.DUMMYFUNCTION("""COMPUTED_VALUE"""),0.0)</f>
        <v>0</v>
      </c>
      <c r="L96" s="26">
        <f>IFERROR(__xludf.DUMMYFUNCTION("""COMPUTED_VALUE"""),0.0)</f>
        <v>0</v>
      </c>
      <c r="M96" s="26"/>
      <c r="N96" s="26"/>
      <c r="O96" s="26"/>
      <c r="P96" s="26"/>
      <c r="Q96" s="26"/>
      <c r="R96" s="26">
        <f>IFERROR(__xludf.DUMMYFUNCTION("""COMPUTED_VALUE"""),0.0)</f>
        <v>0</v>
      </c>
      <c r="S96" s="26">
        <f>IFERROR(__xludf.DUMMYFUNCTION("""COMPUTED_VALUE"""),0.0)</f>
        <v>0</v>
      </c>
      <c r="T96" s="26">
        <f>IFERROR(__xludf.DUMMYFUNCTION("""COMPUTED_VALUE"""),0.0)</f>
        <v>0</v>
      </c>
      <c r="U96" s="26">
        <f>IFERROR(__xludf.DUMMYFUNCTION("""COMPUTED_VALUE"""),0.0)</f>
        <v>0</v>
      </c>
      <c r="V96" s="26">
        <f>IFERROR(__xludf.DUMMYFUNCTION("""COMPUTED_VALUE"""),0.0)</f>
        <v>0</v>
      </c>
      <c r="W96" s="26">
        <f>IFERROR(__xludf.DUMMYFUNCTION("""COMPUTED_VALUE"""),0.0)</f>
        <v>0</v>
      </c>
      <c r="X96" s="26">
        <f>IFERROR(__xludf.DUMMYFUNCTION("""COMPUTED_VALUE"""),0.0)</f>
        <v>0</v>
      </c>
      <c r="Y96" s="26">
        <f>IFERROR(__xludf.DUMMYFUNCTION("""COMPUTED_VALUE"""),0.0)</f>
        <v>0</v>
      </c>
      <c r="Z96" s="26">
        <f>IFERROR(__xludf.DUMMYFUNCTION("""COMPUTED_VALUE"""),0.0)</f>
        <v>0</v>
      </c>
      <c r="AA96" s="26">
        <f>IFERROR(__xludf.DUMMYFUNCTION("""COMPUTED_VALUE"""),0.0)</f>
        <v>0</v>
      </c>
      <c r="AB96" s="26">
        <f>IFERROR(__xludf.DUMMYFUNCTION("""COMPUTED_VALUE"""),0.0)</f>
        <v>0</v>
      </c>
      <c r="AC96" s="26">
        <f>IFERROR(__xludf.DUMMYFUNCTION("""COMPUTED_VALUE"""),0.0)</f>
        <v>0</v>
      </c>
      <c r="AD96" s="26">
        <f>IFERROR(__xludf.DUMMYFUNCTION("""COMPUTED_VALUE"""),0.0)</f>
        <v>0</v>
      </c>
      <c r="AE96" s="26">
        <f>IFERROR(__xludf.DUMMYFUNCTION("""COMPUTED_VALUE"""),0.0)</f>
        <v>0</v>
      </c>
    </row>
    <row r="97">
      <c r="A97" s="26">
        <f>IFERROR(__xludf.DUMMYFUNCTION("""COMPUTED_VALUE"""),0.0)</f>
        <v>0</v>
      </c>
      <c r="B97" s="26">
        <f>IFERROR(__xludf.DUMMYFUNCTION("""COMPUTED_VALUE"""),0.0)</f>
        <v>0</v>
      </c>
      <c r="C97" s="26">
        <f>IFERROR(__xludf.DUMMYFUNCTION("""COMPUTED_VALUE"""),0.0)</f>
        <v>0</v>
      </c>
      <c r="D97" s="26">
        <f>IFERROR(__xludf.DUMMYFUNCTION("""COMPUTED_VALUE"""),0.0)</f>
        <v>0</v>
      </c>
      <c r="E97" s="26">
        <f>IFERROR(__xludf.DUMMYFUNCTION("""COMPUTED_VALUE"""),0.0)</f>
        <v>0</v>
      </c>
      <c r="F97" s="26">
        <f>IFERROR(__xludf.DUMMYFUNCTION("""COMPUTED_VALUE"""),0.0)</f>
        <v>0</v>
      </c>
      <c r="G97" s="26">
        <f>IFERROR(__xludf.DUMMYFUNCTION("""COMPUTED_VALUE"""),0.0)</f>
        <v>0</v>
      </c>
      <c r="H97" s="26">
        <f>IFERROR(__xludf.DUMMYFUNCTION("""COMPUTED_VALUE"""),0.0)</f>
        <v>0</v>
      </c>
      <c r="I97" s="26">
        <f>IFERROR(__xludf.DUMMYFUNCTION("""COMPUTED_VALUE"""),0.0)</f>
        <v>0</v>
      </c>
      <c r="J97" s="26">
        <f>IFERROR(__xludf.DUMMYFUNCTION("""COMPUTED_VALUE"""),0.0)</f>
        <v>0</v>
      </c>
      <c r="K97" s="26">
        <f>IFERROR(__xludf.DUMMYFUNCTION("""COMPUTED_VALUE"""),0.0)</f>
        <v>0</v>
      </c>
      <c r="L97" s="26">
        <f>IFERROR(__xludf.DUMMYFUNCTION("""COMPUTED_VALUE"""),0.0)</f>
        <v>0</v>
      </c>
      <c r="M97" s="26"/>
      <c r="N97" s="26"/>
      <c r="O97" s="26"/>
      <c r="P97" s="26"/>
      <c r="Q97" s="26"/>
      <c r="R97" s="26">
        <f>IFERROR(__xludf.DUMMYFUNCTION("""COMPUTED_VALUE"""),0.0)</f>
        <v>0</v>
      </c>
      <c r="S97" s="26">
        <f>IFERROR(__xludf.DUMMYFUNCTION("""COMPUTED_VALUE"""),0.0)</f>
        <v>0</v>
      </c>
      <c r="T97" s="26">
        <f>IFERROR(__xludf.DUMMYFUNCTION("""COMPUTED_VALUE"""),0.0)</f>
        <v>0</v>
      </c>
      <c r="U97" s="26">
        <f>IFERROR(__xludf.DUMMYFUNCTION("""COMPUTED_VALUE"""),0.0)</f>
        <v>0</v>
      </c>
      <c r="V97" s="26">
        <f>IFERROR(__xludf.DUMMYFUNCTION("""COMPUTED_VALUE"""),0.0)</f>
        <v>0</v>
      </c>
      <c r="W97" s="26">
        <f>IFERROR(__xludf.DUMMYFUNCTION("""COMPUTED_VALUE"""),0.0)</f>
        <v>0</v>
      </c>
      <c r="X97" s="26">
        <f>IFERROR(__xludf.DUMMYFUNCTION("""COMPUTED_VALUE"""),0.0)</f>
        <v>0</v>
      </c>
      <c r="Y97" s="26">
        <f>IFERROR(__xludf.DUMMYFUNCTION("""COMPUTED_VALUE"""),0.0)</f>
        <v>0</v>
      </c>
      <c r="Z97" s="26">
        <f>IFERROR(__xludf.DUMMYFUNCTION("""COMPUTED_VALUE"""),0.0)</f>
        <v>0</v>
      </c>
      <c r="AA97" s="26">
        <f>IFERROR(__xludf.DUMMYFUNCTION("""COMPUTED_VALUE"""),0.0)</f>
        <v>0</v>
      </c>
      <c r="AB97" s="26">
        <f>IFERROR(__xludf.DUMMYFUNCTION("""COMPUTED_VALUE"""),0.0)</f>
        <v>0</v>
      </c>
      <c r="AC97" s="26">
        <f>IFERROR(__xludf.DUMMYFUNCTION("""COMPUTED_VALUE"""),0.0)</f>
        <v>0</v>
      </c>
      <c r="AD97" s="26">
        <f>IFERROR(__xludf.DUMMYFUNCTION("""COMPUTED_VALUE"""),0.0)</f>
        <v>0</v>
      </c>
      <c r="AE97" s="26">
        <f>IFERROR(__xludf.DUMMYFUNCTION("""COMPUTED_VALUE"""),0.0)</f>
        <v>0</v>
      </c>
    </row>
    <row r="98">
      <c r="A98" s="26">
        <f>IFERROR(__xludf.DUMMYFUNCTION("""COMPUTED_VALUE"""),0.0)</f>
        <v>0</v>
      </c>
      <c r="B98" s="26">
        <f>IFERROR(__xludf.DUMMYFUNCTION("""COMPUTED_VALUE"""),0.0)</f>
        <v>0</v>
      </c>
      <c r="C98" s="26">
        <f>IFERROR(__xludf.DUMMYFUNCTION("""COMPUTED_VALUE"""),0.0)</f>
        <v>0</v>
      </c>
      <c r="D98" s="26">
        <f>IFERROR(__xludf.DUMMYFUNCTION("""COMPUTED_VALUE"""),0.0)</f>
        <v>0</v>
      </c>
      <c r="E98" s="26">
        <f>IFERROR(__xludf.DUMMYFUNCTION("""COMPUTED_VALUE"""),0.0)</f>
        <v>0</v>
      </c>
      <c r="F98" s="26">
        <f>IFERROR(__xludf.DUMMYFUNCTION("""COMPUTED_VALUE"""),0.0)</f>
        <v>0</v>
      </c>
      <c r="G98" s="26">
        <f>IFERROR(__xludf.DUMMYFUNCTION("""COMPUTED_VALUE"""),0.0)</f>
        <v>0</v>
      </c>
      <c r="H98" s="26">
        <f>IFERROR(__xludf.DUMMYFUNCTION("""COMPUTED_VALUE"""),0.0)</f>
        <v>0</v>
      </c>
      <c r="I98" s="26">
        <f>IFERROR(__xludf.DUMMYFUNCTION("""COMPUTED_VALUE"""),0.0)</f>
        <v>0</v>
      </c>
      <c r="J98" s="26">
        <f>IFERROR(__xludf.DUMMYFUNCTION("""COMPUTED_VALUE"""),0.0)</f>
        <v>0</v>
      </c>
      <c r="K98" s="26">
        <f>IFERROR(__xludf.DUMMYFUNCTION("""COMPUTED_VALUE"""),0.0)</f>
        <v>0</v>
      </c>
      <c r="L98" s="26">
        <f>IFERROR(__xludf.DUMMYFUNCTION("""COMPUTED_VALUE"""),0.0)</f>
        <v>0</v>
      </c>
      <c r="M98" s="26"/>
      <c r="N98" s="26"/>
      <c r="O98" s="26"/>
      <c r="P98" s="26"/>
      <c r="Q98" s="26"/>
      <c r="R98" s="26">
        <f>IFERROR(__xludf.DUMMYFUNCTION("""COMPUTED_VALUE"""),0.0)</f>
        <v>0</v>
      </c>
      <c r="S98" s="26">
        <f>IFERROR(__xludf.DUMMYFUNCTION("""COMPUTED_VALUE"""),0.0)</f>
        <v>0</v>
      </c>
      <c r="T98" s="26">
        <f>IFERROR(__xludf.DUMMYFUNCTION("""COMPUTED_VALUE"""),0.0)</f>
        <v>0</v>
      </c>
      <c r="U98" s="26">
        <f>IFERROR(__xludf.DUMMYFUNCTION("""COMPUTED_VALUE"""),0.0)</f>
        <v>0</v>
      </c>
      <c r="V98" s="26">
        <f>IFERROR(__xludf.DUMMYFUNCTION("""COMPUTED_VALUE"""),0.0)</f>
        <v>0</v>
      </c>
      <c r="W98" s="26">
        <f>IFERROR(__xludf.DUMMYFUNCTION("""COMPUTED_VALUE"""),0.0)</f>
        <v>0</v>
      </c>
      <c r="X98" s="26">
        <f>IFERROR(__xludf.DUMMYFUNCTION("""COMPUTED_VALUE"""),0.0)</f>
        <v>0</v>
      </c>
      <c r="Y98" s="26">
        <f>IFERROR(__xludf.DUMMYFUNCTION("""COMPUTED_VALUE"""),0.0)</f>
        <v>0</v>
      </c>
      <c r="Z98" s="26">
        <f>IFERROR(__xludf.DUMMYFUNCTION("""COMPUTED_VALUE"""),0.0)</f>
        <v>0</v>
      </c>
      <c r="AA98" s="26">
        <f>IFERROR(__xludf.DUMMYFUNCTION("""COMPUTED_VALUE"""),0.0)</f>
        <v>0</v>
      </c>
      <c r="AB98" s="26">
        <f>IFERROR(__xludf.DUMMYFUNCTION("""COMPUTED_VALUE"""),0.0)</f>
        <v>0</v>
      </c>
      <c r="AC98" s="26">
        <f>IFERROR(__xludf.DUMMYFUNCTION("""COMPUTED_VALUE"""),0.0)</f>
        <v>0</v>
      </c>
      <c r="AD98" s="26">
        <f>IFERROR(__xludf.DUMMYFUNCTION("""COMPUTED_VALUE"""),0.0)</f>
        <v>0</v>
      </c>
      <c r="AE98" s="26">
        <f>IFERROR(__xludf.DUMMYFUNCTION("""COMPUTED_VALUE"""),0.0)</f>
        <v>0</v>
      </c>
    </row>
    <row r="99">
      <c r="A99" s="26">
        <f>IFERROR(__xludf.DUMMYFUNCTION("""COMPUTED_VALUE"""),0.0)</f>
        <v>0</v>
      </c>
      <c r="B99" s="26">
        <f>IFERROR(__xludf.DUMMYFUNCTION("""COMPUTED_VALUE"""),0.0)</f>
        <v>0</v>
      </c>
      <c r="C99" s="26">
        <f>IFERROR(__xludf.DUMMYFUNCTION("""COMPUTED_VALUE"""),0.0)</f>
        <v>0</v>
      </c>
      <c r="D99" s="26">
        <f>IFERROR(__xludf.DUMMYFUNCTION("""COMPUTED_VALUE"""),0.0)</f>
        <v>0</v>
      </c>
      <c r="E99" s="26">
        <f>IFERROR(__xludf.DUMMYFUNCTION("""COMPUTED_VALUE"""),0.0)</f>
        <v>0</v>
      </c>
      <c r="F99" s="26">
        <f>IFERROR(__xludf.DUMMYFUNCTION("""COMPUTED_VALUE"""),0.0)</f>
        <v>0</v>
      </c>
      <c r="G99" s="26">
        <f>IFERROR(__xludf.DUMMYFUNCTION("""COMPUTED_VALUE"""),0.0)</f>
        <v>0</v>
      </c>
      <c r="H99" s="26">
        <f>IFERROR(__xludf.DUMMYFUNCTION("""COMPUTED_VALUE"""),0.0)</f>
        <v>0</v>
      </c>
      <c r="I99" s="26">
        <f>IFERROR(__xludf.DUMMYFUNCTION("""COMPUTED_VALUE"""),0.0)</f>
        <v>0</v>
      </c>
      <c r="J99" s="26">
        <f>IFERROR(__xludf.DUMMYFUNCTION("""COMPUTED_VALUE"""),0.0)</f>
        <v>0</v>
      </c>
      <c r="K99" s="26">
        <f>IFERROR(__xludf.DUMMYFUNCTION("""COMPUTED_VALUE"""),0.0)</f>
        <v>0</v>
      </c>
      <c r="L99" s="26">
        <f>IFERROR(__xludf.DUMMYFUNCTION("""COMPUTED_VALUE"""),0.0)</f>
        <v>0</v>
      </c>
      <c r="M99" s="26"/>
      <c r="N99" s="26"/>
      <c r="O99" s="26"/>
      <c r="P99" s="26"/>
      <c r="Q99" s="26"/>
      <c r="R99" s="26">
        <f>IFERROR(__xludf.DUMMYFUNCTION("""COMPUTED_VALUE"""),0.0)</f>
        <v>0</v>
      </c>
      <c r="S99" s="26">
        <f>IFERROR(__xludf.DUMMYFUNCTION("""COMPUTED_VALUE"""),0.0)</f>
        <v>0</v>
      </c>
      <c r="T99" s="26">
        <f>IFERROR(__xludf.DUMMYFUNCTION("""COMPUTED_VALUE"""),0.0)</f>
        <v>0</v>
      </c>
      <c r="U99" s="26">
        <f>IFERROR(__xludf.DUMMYFUNCTION("""COMPUTED_VALUE"""),0.0)</f>
        <v>0</v>
      </c>
      <c r="V99" s="26">
        <f>IFERROR(__xludf.DUMMYFUNCTION("""COMPUTED_VALUE"""),0.0)</f>
        <v>0</v>
      </c>
      <c r="W99" s="26">
        <f>IFERROR(__xludf.DUMMYFUNCTION("""COMPUTED_VALUE"""),0.0)</f>
        <v>0</v>
      </c>
      <c r="X99" s="26">
        <f>IFERROR(__xludf.DUMMYFUNCTION("""COMPUTED_VALUE"""),0.0)</f>
        <v>0</v>
      </c>
      <c r="Y99" s="26">
        <f>IFERROR(__xludf.DUMMYFUNCTION("""COMPUTED_VALUE"""),0.0)</f>
        <v>0</v>
      </c>
      <c r="Z99" s="26">
        <f>IFERROR(__xludf.DUMMYFUNCTION("""COMPUTED_VALUE"""),0.0)</f>
        <v>0</v>
      </c>
      <c r="AA99" s="26">
        <f>IFERROR(__xludf.DUMMYFUNCTION("""COMPUTED_VALUE"""),0.0)</f>
        <v>0</v>
      </c>
      <c r="AB99" s="26">
        <f>IFERROR(__xludf.DUMMYFUNCTION("""COMPUTED_VALUE"""),0.0)</f>
        <v>0</v>
      </c>
      <c r="AC99" s="26">
        <f>IFERROR(__xludf.DUMMYFUNCTION("""COMPUTED_VALUE"""),0.0)</f>
        <v>0</v>
      </c>
      <c r="AD99" s="26">
        <f>IFERROR(__xludf.DUMMYFUNCTION("""COMPUTED_VALUE"""),0.0)</f>
        <v>0</v>
      </c>
      <c r="AE99" s="26">
        <f>IFERROR(__xludf.DUMMYFUNCTION("""COMPUTED_VALUE"""),0.0)</f>
        <v>0</v>
      </c>
    </row>
    <row r="100">
      <c r="A100" s="26">
        <f>IFERROR(__xludf.DUMMYFUNCTION("""COMPUTED_VALUE"""),0.0)</f>
        <v>0</v>
      </c>
      <c r="B100" s="26">
        <f>IFERROR(__xludf.DUMMYFUNCTION("""COMPUTED_VALUE"""),0.0)</f>
        <v>0</v>
      </c>
      <c r="C100" s="26">
        <f>IFERROR(__xludf.DUMMYFUNCTION("""COMPUTED_VALUE"""),0.0)</f>
        <v>0</v>
      </c>
      <c r="D100" s="26">
        <f>IFERROR(__xludf.DUMMYFUNCTION("""COMPUTED_VALUE"""),0.0)</f>
        <v>0</v>
      </c>
      <c r="E100" s="26">
        <f>IFERROR(__xludf.DUMMYFUNCTION("""COMPUTED_VALUE"""),0.0)</f>
        <v>0</v>
      </c>
      <c r="F100" s="26">
        <f>IFERROR(__xludf.DUMMYFUNCTION("""COMPUTED_VALUE"""),0.0)</f>
        <v>0</v>
      </c>
      <c r="G100" s="26">
        <f>IFERROR(__xludf.DUMMYFUNCTION("""COMPUTED_VALUE"""),0.0)</f>
        <v>0</v>
      </c>
      <c r="H100" s="26">
        <f>IFERROR(__xludf.DUMMYFUNCTION("""COMPUTED_VALUE"""),0.0)</f>
        <v>0</v>
      </c>
      <c r="I100" s="26">
        <f>IFERROR(__xludf.DUMMYFUNCTION("""COMPUTED_VALUE"""),0.0)</f>
        <v>0</v>
      </c>
      <c r="J100" s="26">
        <f>IFERROR(__xludf.DUMMYFUNCTION("""COMPUTED_VALUE"""),0.0)</f>
        <v>0</v>
      </c>
      <c r="K100" s="26">
        <f>IFERROR(__xludf.DUMMYFUNCTION("""COMPUTED_VALUE"""),0.0)</f>
        <v>0</v>
      </c>
      <c r="L100" s="26">
        <f>IFERROR(__xludf.DUMMYFUNCTION("""COMPUTED_VALUE"""),0.0)</f>
        <v>0</v>
      </c>
      <c r="M100" s="26"/>
      <c r="N100" s="26"/>
      <c r="O100" s="26"/>
      <c r="P100" s="26"/>
      <c r="Q100" s="26"/>
      <c r="R100" s="26">
        <f>IFERROR(__xludf.DUMMYFUNCTION("""COMPUTED_VALUE"""),0.0)</f>
        <v>0</v>
      </c>
      <c r="S100" s="26">
        <f>IFERROR(__xludf.DUMMYFUNCTION("""COMPUTED_VALUE"""),0.0)</f>
        <v>0</v>
      </c>
      <c r="T100" s="26">
        <f>IFERROR(__xludf.DUMMYFUNCTION("""COMPUTED_VALUE"""),0.0)</f>
        <v>0</v>
      </c>
      <c r="U100" s="26">
        <f>IFERROR(__xludf.DUMMYFUNCTION("""COMPUTED_VALUE"""),0.0)</f>
        <v>0</v>
      </c>
      <c r="V100" s="26">
        <f>IFERROR(__xludf.DUMMYFUNCTION("""COMPUTED_VALUE"""),0.0)</f>
        <v>0</v>
      </c>
      <c r="W100" s="26">
        <f>IFERROR(__xludf.DUMMYFUNCTION("""COMPUTED_VALUE"""),0.0)</f>
        <v>0</v>
      </c>
      <c r="X100" s="26">
        <f>IFERROR(__xludf.DUMMYFUNCTION("""COMPUTED_VALUE"""),0.0)</f>
        <v>0</v>
      </c>
      <c r="Y100" s="26">
        <f>IFERROR(__xludf.DUMMYFUNCTION("""COMPUTED_VALUE"""),0.0)</f>
        <v>0</v>
      </c>
      <c r="Z100" s="26">
        <f>IFERROR(__xludf.DUMMYFUNCTION("""COMPUTED_VALUE"""),0.0)</f>
        <v>0</v>
      </c>
      <c r="AA100" s="26">
        <f>IFERROR(__xludf.DUMMYFUNCTION("""COMPUTED_VALUE"""),0.0)</f>
        <v>0</v>
      </c>
      <c r="AB100" s="26">
        <f>IFERROR(__xludf.DUMMYFUNCTION("""COMPUTED_VALUE"""),0.0)</f>
        <v>0</v>
      </c>
      <c r="AC100" s="26">
        <f>IFERROR(__xludf.DUMMYFUNCTION("""COMPUTED_VALUE"""),0.0)</f>
        <v>0</v>
      </c>
      <c r="AD100" s="26">
        <f>IFERROR(__xludf.DUMMYFUNCTION("""COMPUTED_VALUE"""),0.0)</f>
        <v>0</v>
      </c>
      <c r="AE100" s="26">
        <f>IFERROR(__xludf.DUMMYFUNCTION("""COMPUTED_VALUE"""),0.0)</f>
        <v>0</v>
      </c>
    </row>
    <row r="101">
      <c r="A101" s="26">
        <f>IFERROR(__xludf.DUMMYFUNCTION("""COMPUTED_VALUE"""),0.0)</f>
        <v>0</v>
      </c>
      <c r="B101" s="26">
        <f>IFERROR(__xludf.DUMMYFUNCTION("""COMPUTED_VALUE"""),0.0)</f>
        <v>0</v>
      </c>
      <c r="C101" s="26">
        <f>IFERROR(__xludf.DUMMYFUNCTION("""COMPUTED_VALUE"""),0.0)</f>
        <v>0</v>
      </c>
      <c r="D101" s="26">
        <f>IFERROR(__xludf.DUMMYFUNCTION("""COMPUTED_VALUE"""),0.0)</f>
        <v>0</v>
      </c>
      <c r="E101" s="26">
        <f>IFERROR(__xludf.DUMMYFUNCTION("""COMPUTED_VALUE"""),0.0)</f>
        <v>0</v>
      </c>
      <c r="F101" s="26">
        <f>IFERROR(__xludf.DUMMYFUNCTION("""COMPUTED_VALUE"""),0.0)</f>
        <v>0</v>
      </c>
      <c r="G101" s="26">
        <f>IFERROR(__xludf.DUMMYFUNCTION("""COMPUTED_VALUE"""),0.0)</f>
        <v>0</v>
      </c>
      <c r="H101" s="26">
        <f>IFERROR(__xludf.DUMMYFUNCTION("""COMPUTED_VALUE"""),0.0)</f>
        <v>0</v>
      </c>
      <c r="I101" s="26">
        <f>IFERROR(__xludf.DUMMYFUNCTION("""COMPUTED_VALUE"""),0.0)</f>
        <v>0</v>
      </c>
      <c r="J101" s="26">
        <f>IFERROR(__xludf.DUMMYFUNCTION("""COMPUTED_VALUE"""),0.0)</f>
        <v>0</v>
      </c>
      <c r="K101" s="26">
        <f>IFERROR(__xludf.DUMMYFUNCTION("""COMPUTED_VALUE"""),0.0)</f>
        <v>0</v>
      </c>
      <c r="L101" s="26">
        <f>IFERROR(__xludf.DUMMYFUNCTION("""COMPUTED_VALUE"""),0.0)</f>
        <v>0</v>
      </c>
      <c r="M101" s="26"/>
      <c r="N101" s="26"/>
      <c r="O101" s="26"/>
      <c r="P101" s="26"/>
      <c r="Q101" s="26"/>
      <c r="R101" s="26">
        <f>IFERROR(__xludf.DUMMYFUNCTION("""COMPUTED_VALUE"""),0.0)</f>
        <v>0</v>
      </c>
      <c r="S101" s="26">
        <f>IFERROR(__xludf.DUMMYFUNCTION("""COMPUTED_VALUE"""),0.0)</f>
        <v>0</v>
      </c>
      <c r="T101" s="26">
        <f>IFERROR(__xludf.DUMMYFUNCTION("""COMPUTED_VALUE"""),0.0)</f>
        <v>0</v>
      </c>
      <c r="U101" s="26">
        <f>IFERROR(__xludf.DUMMYFUNCTION("""COMPUTED_VALUE"""),0.0)</f>
        <v>0</v>
      </c>
      <c r="V101" s="26">
        <f>IFERROR(__xludf.DUMMYFUNCTION("""COMPUTED_VALUE"""),0.0)</f>
        <v>0</v>
      </c>
      <c r="W101" s="26">
        <f>IFERROR(__xludf.DUMMYFUNCTION("""COMPUTED_VALUE"""),0.0)</f>
        <v>0</v>
      </c>
      <c r="X101" s="26">
        <f>IFERROR(__xludf.DUMMYFUNCTION("""COMPUTED_VALUE"""),0.0)</f>
        <v>0</v>
      </c>
      <c r="Y101" s="26">
        <f>IFERROR(__xludf.DUMMYFUNCTION("""COMPUTED_VALUE"""),0.0)</f>
        <v>0</v>
      </c>
      <c r="Z101" s="26">
        <f>IFERROR(__xludf.DUMMYFUNCTION("""COMPUTED_VALUE"""),0.0)</f>
        <v>0</v>
      </c>
      <c r="AA101" s="26">
        <f>IFERROR(__xludf.DUMMYFUNCTION("""COMPUTED_VALUE"""),0.0)</f>
        <v>0</v>
      </c>
      <c r="AB101" s="26">
        <f>IFERROR(__xludf.DUMMYFUNCTION("""COMPUTED_VALUE"""),0.0)</f>
        <v>0</v>
      </c>
      <c r="AC101" s="26">
        <f>IFERROR(__xludf.DUMMYFUNCTION("""COMPUTED_VALUE"""),0.0)</f>
        <v>0</v>
      </c>
      <c r="AD101" s="26">
        <f>IFERROR(__xludf.DUMMYFUNCTION("""COMPUTED_VALUE"""),0.0)</f>
        <v>0</v>
      </c>
      <c r="AE101" s="26">
        <f>IFERROR(__xludf.DUMMYFUNCTION("""COMPUTED_VALUE"""),0.0)</f>
        <v>0</v>
      </c>
    </row>
    <row r="102">
      <c r="A102" s="26">
        <f>IFERROR(__xludf.DUMMYFUNCTION("""COMPUTED_VALUE"""),0.0)</f>
        <v>0</v>
      </c>
      <c r="B102" s="26">
        <f>IFERROR(__xludf.DUMMYFUNCTION("""COMPUTED_VALUE"""),0.0)</f>
        <v>0</v>
      </c>
      <c r="C102" s="26">
        <f>IFERROR(__xludf.DUMMYFUNCTION("""COMPUTED_VALUE"""),0.0)</f>
        <v>0</v>
      </c>
      <c r="D102" s="26">
        <f>IFERROR(__xludf.DUMMYFUNCTION("""COMPUTED_VALUE"""),0.0)</f>
        <v>0</v>
      </c>
      <c r="E102" s="26">
        <f>IFERROR(__xludf.DUMMYFUNCTION("""COMPUTED_VALUE"""),0.0)</f>
        <v>0</v>
      </c>
      <c r="F102" s="26">
        <f>IFERROR(__xludf.DUMMYFUNCTION("""COMPUTED_VALUE"""),0.0)</f>
        <v>0</v>
      </c>
      <c r="G102" s="26">
        <f>IFERROR(__xludf.DUMMYFUNCTION("""COMPUTED_VALUE"""),0.0)</f>
        <v>0</v>
      </c>
      <c r="H102" s="26">
        <f>IFERROR(__xludf.DUMMYFUNCTION("""COMPUTED_VALUE"""),0.0)</f>
        <v>0</v>
      </c>
      <c r="I102" s="26">
        <f>IFERROR(__xludf.DUMMYFUNCTION("""COMPUTED_VALUE"""),0.0)</f>
        <v>0</v>
      </c>
      <c r="J102" s="26">
        <f>IFERROR(__xludf.DUMMYFUNCTION("""COMPUTED_VALUE"""),0.0)</f>
        <v>0</v>
      </c>
      <c r="K102" s="26">
        <f>IFERROR(__xludf.DUMMYFUNCTION("""COMPUTED_VALUE"""),0.0)</f>
        <v>0</v>
      </c>
      <c r="L102" s="26">
        <f>IFERROR(__xludf.DUMMYFUNCTION("""COMPUTED_VALUE"""),0.0)</f>
        <v>0</v>
      </c>
      <c r="M102" s="26"/>
      <c r="N102" s="26"/>
      <c r="O102" s="26"/>
      <c r="P102" s="26"/>
      <c r="Q102" s="26"/>
      <c r="R102" s="26">
        <f>IFERROR(__xludf.DUMMYFUNCTION("""COMPUTED_VALUE"""),0.0)</f>
        <v>0</v>
      </c>
      <c r="S102" s="26">
        <f>IFERROR(__xludf.DUMMYFUNCTION("""COMPUTED_VALUE"""),0.0)</f>
        <v>0</v>
      </c>
      <c r="T102" s="26">
        <f>IFERROR(__xludf.DUMMYFUNCTION("""COMPUTED_VALUE"""),0.0)</f>
        <v>0</v>
      </c>
      <c r="U102" s="26">
        <f>IFERROR(__xludf.DUMMYFUNCTION("""COMPUTED_VALUE"""),0.0)</f>
        <v>0</v>
      </c>
      <c r="V102" s="26">
        <f>IFERROR(__xludf.DUMMYFUNCTION("""COMPUTED_VALUE"""),0.0)</f>
        <v>0</v>
      </c>
      <c r="W102" s="26">
        <f>IFERROR(__xludf.DUMMYFUNCTION("""COMPUTED_VALUE"""),0.0)</f>
        <v>0</v>
      </c>
      <c r="X102" s="26">
        <f>IFERROR(__xludf.DUMMYFUNCTION("""COMPUTED_VALUE"""),0.0)</f>
        <v>0</v>
      </c>
      <c r="Y102" s="26">
        <f>IFERROR(__xludf.DUMMYFUNCTION("""COMPUTED_VALUE"""),0.0)</f>
        <v>0</v>
      </c>
      <c r="Z102" s="26">
        <f>IFERROR(__xludf.DUMMYFUNCTION("""COMPUTED_VALUE"""),0.0)</f>
        <v>0</v>
      </c>
      <c r="AA102" s="26">
        <f>IFERROR(__xludf.DUMMYFUNCTION("""COMPUTED_VALUE"""),0.0)</f>
        <v>0</v>
      </c>
      <c r="AB102" s="26">
        <f>IFERROR(__xludf.DUMMYFUNCTION("""COMPUTED_VALUE"""),0.0)</f>
        <v>0</v>
      </c>
      <c r="AC102" s="26">
        <f>IFERROR(__xludf.DUMMYFUNCTION("""COMPUTED_VALUE"""),0.0)</f>
        <v>0</v>
      </c>
      <c r="AD102" s="26">
        <f>IFERROR(__xludf.DUMMYFUNCTION("""COMPUTED_VALUE"""),0.0)</f>
        <v>0</v>
      </c>
      <c r="AE102" s="26">
        <f>IFERROR(__xludf.DUMMYFUNCTION("""COMPUTED_VALUE"""),0.0)</f>
        <v>0</v>
      </c>
    </row>
    <row r="103">
      <c r="A103" s="26">
        <f>IFERROR(__xludf.DUMMYFUNCTION("""COMPUTED_VALUE"""),0.0)</f>
        <v>0</v>
      </c>
      <c r="B103" s="26">
        <f>IFERROR(__xludf.DUMMYFUNCTION("""COMPUTED_VALUE"""),0.0)</f>
        <v>0</v>
      </c>
      <c r="C103" s="26">
        <f>IFERROR(__xludf.DUMMYFUNCTION("""COMPUTED_VALUE"""),0.0)</f>
        <v>0</v>
      </c>
      <c r="D103" s="26">
        <f>IFERROR(__xludf.DUMMYFUNCTION("""COMPUTED_VALUE"""),0.0)</f>
        <v>0</v>
      </c>
      <c r="E103" s="26">
        <f>IFERROR(__xludf.DUMMYFUNCTION("""COMPUTED_VALUE"""),0.0)</f>
        <v>0</v>
      </c>
      <c r="F103" s="26">
        <f>IFERROR(__xludf.DUMMYFUNCTION("""COMPUTED_VALUE"""),0.0)</f>
        <v>0</v>
      </c>
      <c r="G103" s="26">
        <f>IFERROR(__xludf.DUMMYFUNCTION("""COMPUTED_VALUE"""),0.0)</f>
        <v>0</v>
      </c>
      <c r="H103" s="26">
        <f>IFERROR(__xludf.DUMMYFUNCTION("""COMPUTED_VALUE"""),0.0)</f>
        <v>0</v>
      </c>
      <c r="I103" s="26">
        <f>IFERROR(__xludf.DUMMYFUNCTION("""COMPUTED_VALUE"""),0.0)</f>
        <v>0</v>
      </c>
      <c r="J103" s="26">
        <f>IFERROR(__xludf.DUMMYFUNCTION("""COMPUTED_VALUE"""),0.0)</f>
        <v>0</v>
      </c>
      <c r="K103" s="26">
        <f>IFERROR(__xludf.DUMMYFUNCTION("""COMPUTED_VALUE"""),0.0)</f>
        <v>0</v>
      </c>
      <c r="L103" s="26">
        <f>IFERROR(__xludf.DUMMYFUNCTION("""COMPUTED_VALUE"""),0.0)</f>
        <v>0</v>
      </c>
      <c r="M103" s="26"/>
      <c r="N103" s="26"/>
      <c r="O103" s="26"/>
      <c r="P103" s="26"/>
      <c r="Q103" s="26"/>
      <c r="R103" s="26">
        <f>IFERROR(__xludf.DUMMYFUNCTION("""COMPUTED_VALUE"""),0.0)</f>
        <v>0</v>
      </c>
      <c r="S103" s="26">
        <f>IFERROR(__xludf.DUMMYFUNCTION("""COMPUTED_VALUE"""),0.0)</f>
        <v>0</v>
      </c>
      <c r="T103" s="26">
        <f>IFERROR(__xludf.DUMMYFUNCTION("""COMPUTED_VALUE"""),0.0)</f>
        <v>0</v>
      </c>
      <c r="U103" s="26">
        <f>IFERROR(__xludf.DUMMYFUNCTION("""COMPUTED_VALUE"""),0.0)</f>
        <v>0</v>
      </c>
      <c r="V103" s="26">
        <f>IFERROR(__xludf.DUMMYFUNCTION("""COMPUTED_VALUE"""),0.0)</f>
        <v>0</v>
      </c>
      <c r="W103" s="26">
        <f>IFERROR(__xludf.DUMMYFUNCTION("""COMPUTED_VALUE"""),0.0)</f>
        <v>0</v>
      </c>
      <c r="X103" s="26">
        <f>IFERROR(__xludf.DUMMYFUNCTION("""COMPUTED_VALUE"""),0.0)</f>
        <v>0</v>
      </c>
      <c r="Y103" s="26">
        <f>IFERROR(__xludf.DUMMYFUNCTION("""COMPUTED_VALUE"""),0.0)</f>
        <v>0</v>
      </c>
      <c r="Z103" s="26">
        <f>IFERROR(__xludf.DUMMYFUNCTION("""COMPUTED_VALUE"""),0.0)</f>
        <v>0</v>
      </c>
      <c r="AA103" s="26">
        <f>IFERROR(__xludf.DUMMYFUNCTION("""COMPUTED_VALUE"""),0.0)</f>
        <v>0</v>
      </c>
      <c r="AB103" s="26">
        <f>IFERROR(__xludf.DUMMYFUNCTION("""COMPUTED_VALUE"""),0.0)</f>
        <v>0</v>
      </c>
      <c r="AC103" s="26">
        <f>IFERROR(__xludf.DUMMYFUNCTION("""COMPUTED_VALUE"""),0.0)</f>
        <v>0</v>
      </c>
      <c r="AD103" s="26">
        <f>IFERROR(__xludf.DUMMYFUNCTION("""COMPUTED_VALUE"""),0.0)</f>
        <v>0</v>
      </c>
      <c r="AE103" s="26">
        <f>IFERROR(__xludf.DUMMYFUNCTION("""COMPUTED_VALUE"""),0.0)</f>
        <v>0</v>
      </c>
    </row>
    <row r="104">
      <c r="A104" s="26">
        <f>IFERROR(__xludf.DUMMYFUNCTION("""COMPUTED_VALUE"""),0.0)</f>
        <v>0</v>
      </c>
      <c r="B104" s="26">
        <f>IFERROR(__xludf.DUMMYFUNCTION("""COMPUTED_VALUE"""),0.0)</f>
        <v>0</v>
      </c>
      <c r="C104" s="26">
        <f>IFERROR(__xludf.DUMMYFUNCTION("""COMPUTED_VALUE"""),0.0)</f>
        <v>0</v>
      </c>
      <c r="D104" s="26">
        <f>IFERROR(__xludf.DUMMYFUNCTION("""COMPUTED_VALUE"""),0.0)</f>
        <v>0</v>
      </c>
      <c r="E104" s="26">
        <f>IFERROR(__xludf.DUMMYFUNCTION("""COMPUTED_VALUE"""),0.0)</f>
        <v>0</v>
      </c>
      <c r="F104" s="26">
        <f>IFERROR(__xludf.DUMMYFUNCTION("""COMPUTED_VALUE"""),0.0)</f>
        <v>0</v>
      </c>
      <c r="G104" s="26">
        <f>IFERROR(__xludf.DUMMYFUNCTION("""COMPUTED_VALUE"""),0.0)</f>
        <v>0</v>
      </c>
      <c r="H104" s="26">
        <f>IFERROR(__xludf.DUMMYFUNCTION("""COMPUTED_VALUE"""),0.0)</f>
        <v>0</v>
      </c>
      <c r="I104" s="26">
        <f>IFERROR(__xludf.DUMMYFUNCTION("""COMPUTED_VALUE"""),0.0)</f>
        <v>0</v>
      </c>
      <c r="J104" s="26">
        <f>IFERROR(__xludf.DUMMYFUNCTION("""COMPUTED_VALUE"""),0.0)</f>
        <v>0</v>
      </c>
      <c r="K104" s="26">
        <f>IFERROR(__xludf.DUMMYFUNCTION("""COMPUTED_VALUE"""),0.0)</f>
        <v>0</v>
      </c>
      <c r="L104" s="26">
        <f>IFERROR(__xludf.DUMMYFUNCTION("""COMPUTED_VALUE"""),0.0)</f>
        <v>0</v>
      </c>
      <c r="M104" s="26"/>
      <c r="N104" s="26"/>
      <c r="O104" s="26"/>
      <c r="P104" s="26"/>
      <c r="Q104" s="26"/>
      <c r="R104" s="26">
        <f>IFERROR(__xludf.DUMMYFUNCTION("""COMPUTED_VALUE"""),0.0)</f>
        <v>0</v>
      </c>
      <c r="S104" s="26">
        <f>IFERROR(__xludf.DUMMYFUNCTION("""COMPUTED_VALUE"""),0.0)</f>
        <v>0</v>
      </c>
      <c r="T104" s="26">
        <f>IFERROR(__xludf.DUMMYFUNCTION("""COMPUTED_VALUE"""),0.0)</f>
        <v>0</v>
      </c>
      <c r="U104" s="26">
        <f>IFERROR(__xludf.DUMMYFUNCTION("""COMPUTED_VALUE"""),0.0)</f>
        <v>0</v>
      </c>
      <c r="V104" s="26">
        <f>IFERROR(__xludf.DUMMYFUNCTION("""COMPUTED_VALUE"""),0.0)</f>
        <v>0</v>
      </c>
      <c r="W104" s="26">
        <f>IFERROR(__xludf.DUMMYFUNCTION("""COMPUTED_VALUE"""),0.0)</f>
        <v>0</v>
      </c>
      <c r="X104" s="26">
        <f>IFERROR(__xludf.DUMMYFUNCTION("""COMPUTED_VALUE"""),0.0)</f>
        <v>0</v>
      </c>
      <c r="Y104" s="26">
        <f>IFERROR(__xludf.DUMMYFUNCTION("""COMPUTED_VALUE"""),0.0)</f>
        <v>0</v>
      </c>
      <c r="Z104" s="26">
        <f>IFERROR(__xludf.DUMMYFUNCTION("""COMPUTED_VALUE"""),0.0)</f>
        <v>0</v>
      </c>
      <c r="AA104" s="26">
        <f>IFERROR(__xludf.DUMMYFUNCTION("""COMPUTED_VALUE"""),0.0)</f>
        <v>0</v>
      </c>
      <c r="AB104" s="26">
        <f>IFERROR(__xludf.DUMMYFUNCTION("""COMPUTED_VALUE"""),0.0)</f>
        <v>0</v>
      </c>
      <c r="AC104" s="26">
        <f>IFERROR(__xludf.DUMMYFUNCTION("""COMPUTED_VALUE"""),0.0)</f>
        <v>0</v>
      </c>
      <c r="AD104" s="26">
        <f>IFERROR(__xludf.DUMMYFUNCTION("""COMPUTED_VALUE"""),0.0)</f>
        <v>0</v>
      </c>
      <c r="AE104" s="26">
        <f>IFERROR(__xludf.DUMMYFUNCTION("""COMPUTED_VALUE"""),0.0)</f>
        <v>0</v>
      </c>
    </row>
    <row r="105">
      <c r="A105" s="26">
        <f>IFERROR(__xludf.DUMMYFUNCTION("""COMPUTED_VALUE"""),0.0)</f>
        <v>0</v>
      </c>
      <c r="B105" s="26">
        <f>IFERROR(__xludf.DUMMYFUNCTION("""COMPUTED_VALUE"""),0.0)</f>
        <v>0</v>
      </c>
      <c r="C105" s="26">
        <f>IFERROR(__xludf.DUMMYFUNCTION("""COMPUTED_VALUE"""),0.0)</f>
        <v>0</v>
      </c>
      <c r="D105" s="26">
        <f>IFERROR(__xludf.DUMMYFUNCTION("""COMPUTED_VALUE"""),0.0)</f>
        <v>0</v>
      </c>
      <c r="E105" s="26">
        <f>IFERROR(__xludf.DUMMYFUNCTION("""COMPUTED_VALUE"""),0.0)</f>
        <v>0</v>
      </c>
      <c r="F105" s="26">
        <f>IFERROR(__xludf.DUMMYFUNCTION("""COMPUTED_VALUE"""),0.0)</f>
        <v>0</v>
      </c>
      <c r="G105" s="26">
        <f>IFERROR(__xludf.DUMMYFUNCTION("""COMPUTED_VALUE"""),0.0)</f>
        <v>0</v>
      </c>
      <c r="H105" s="26">
        <f>IFERROR(__xludf.DUMMYFUNCTION("""COMPUTED_VALUE"""),0.0)</f>
        <v>0</v>
      </c>
      <c r="I105" s="26">
        <f>IFERROR(__xludf.DUMMYFUNCTION("""COMPUTED_VALUE"""),0.0)</f>
        <v>0</v>
      </c>
      <c r="J105" s="26">
        <f>IFERROR(__xludf.DUMMYFUNCTION("""COMPUTED_VALUE"""),0.0)</f>
        <v>0</v>
      </c>
      <c r="K105" s="26">
        <f>IFERROR(__xludf.DUMMYFUNCTION("""COMPUTED_VALUE"""),0.0)</f>
        <v>0</v>
      </c>
      <c r="L105" s="26">
        <f>IFERROR(__xludf.DUMMYFUNCTION("""COMPUTED_VALUE"""),0.0)</f>
        <v>0</v>
      </c>
      <c r="M105" s="26"/>
      <c r="N105" s="26"/>
      <c r="O105" s="26"/>
      <c r="P105" s="26"/>
      <c r="Q105" s="26"/>
      <c r="R105" s="26">
        <f>IFERROR(__xludf.DUMMYFUNCTION("""COMPUTED_VALUE"""),0.0)</f>
        <v>0</v>
      </c>
      <c r="S105" s="26">
        <f>IFERROR(__xludf.DUMMYFUNCTION("""COMPUTED_VALUE"""),0.0)</f>
        <v>0</v>
      </c>
      <c r="T105" s="26">
        <f>IFERROR(__xludf.DUMMYFUNCTION("""COMPUTED_VALUE"""),0.0)</f>
        <v>0</v>
      </c>
      <c r="U105" s="26">
        <f>IFERROR(__xludf.DUMMYFUNCTION("""COMPUTED_VALUE"""),0.0)</f>
        <v>0</v>
      </c>
      <c r="V105" s="26">
        <f>IFERROR(__xludf.DUMMYFUNCTION("""COMPUTED_VALUE"""),0.0)</f>
        <v>0</v>
      </c>
      <c r="W105" s="26">
        <f>IFERROR(__xludf.DUMMYFUNCTION("""COMPUTED_VALUE"""),0.0)</f>
        <v>0</v>
      </c>
      <c r="X105" s="26">
        <f>IFERROR(__xludf.DUMMYFUNCTION("""COMPUTED_VALUE"""),0.0)</f>
        <v>0</v>
      </c>
      <c r="Y105" s="26">
        <f>IFERROR(__xludf.DUMMYFUNCTION("""COMPUTED_VALUE"""),0.0)</f>
        <v>0</v>
      </c>
      <c r="Z105" s="26">
        <f>IFERROR(__xludf.DUMMYFUNCTION("""COMPUTED_VALUE"""),0.0)</f>
        <v>0</v>
      </c>
      <c r="AA105" s="26">
        <f>IFERROR(__xludf.DUMMYFUNCTION("""COMPUTED_VALUE"""),0.0)</f>
        <v>0</v>
      </c>
      <c r="AB105" s="26">
        <f>IFERROR(__xludf.DUMMYFUNCTION("""COMPUTED_VALUE"""),0.0)</f>
        <v>0</v>
      </c>
      <c r="AC105" s="26">
        <f>IFERROR(__xludf.DUMMYFUNCTION("""COMPUTED_VALUE"""),0.0)</f>
        <v>0</v>
      </c>
      <c r="AD105" s="26">
        <f>IFERROR(__xludf.DUMMYFUNCTION("""COMPUTED_VALUE"""),0.0)</f>
        <v>0</v>
      </c>
      <c r="AE105" s="26">
        <f>IFERROR(__xludf.DUMMYFUNCTION("""COMPUTED_VALUE"""),0.0)</f>
        <v>0</v>
      </c>
    </row>
    <row r="106">
      <c r="A106" s="26">
        <f>IFERROR(__xludf.DUMMYFUNCTION("""COMPUTED_VALUE"""),0.0)</f>
        <v>0</v>
      </c>
      <c r="B106" s="26">
        <f>IFERROR(__xludf.DUMMYFUNCTION("""COMPUTED_VALUE"""),0.0)</f>
        <v>0</v>
      </c>
      <c r="C106" s="26">
        <f>IFERROR(__xludf.DUMMYFUNCTION("""COMPUTED_VALUE"""),0.0)</f>
        <v>0</v>
      </c>
      <c r="D106" s="26">
        <f>IFERROR(__xludf.DUMMYFUNCTION("""COMPUTED_VALUE"""),0.0)</f>
        <v>0</v>
      </c>
      <c r="E106" s="26">
        <f>IFERROR(__xludf.DUMMYFUNCTION("""COMPUTED_VALUE"""),0.0)</f>
        <v>0</v>
      </c>
      <c r="F106" s="26">
        <f>IFERROR(__xludf.DUMMYFUNCTION("""COMPUTED_VALUE"""),0.0)</f>
        <v>0</v>
      </c>
      <c r="G106" s="26">
        <f>IFERROR(__xludf.DUMMYFUNCTION("""COMPUTED_VALUE"""),0.0)</f>
        <v>0</v>
      </c>
      <c r="H106" s="26">
        <f>IFERROR(__xludf.DUMMYFUNCTION("""COMPUTED_VALUE"""),0.0)</f>
        <v>0</v>
      </c>
      <c r="I106" s="26">
        <f>IFERROR(__xludf.DUMMYFUNCTION("""COMPUTED_VALUE"""),0.0)</f>
        <v>0</v>
      </c>
      <c r="J106" s="26">
        <f>IFERROR(__xludf.DUMMYFUNCTION("""COMPUTED_VALUE"""),0.0)</f>
        <v>0</v>
      </c>
      <c r="K106" s="26">
        <f>IFERROR(__xludf.DUMMYFUNCTION("""COMPUTED_VALUE"""),0.0)</f>
        <v>0</v>
      </c>
      <c r="L106" s="26">
        <f>IFERROR(__xludf.DUMMYFUNCTION("""COMPUTED_VALUE"""),0.0)</f>
        <v>0</v>
      </c>
      <c r="M106" s="26"/>
      <c r="N106" s="26"/>
      <c r="O106" s="26"/>
      <c r="P106" s="26"/>
      <c r="Q106" s="26"/>
      <c r="R106" s="26">
        <f>IFERROR(__xludf.DUMMYFUNCTION("""COMPUTED_VALUE"""),0.0)</f>
        <v>0</v>
      </c>
      <c r="S106" s="26">
        <f>IFERROR(__xludf.DUMMYFUNCTION("""COMPUTED_VALUE"""),0.0)</f>
        <v>0</v>
      </c>
      <c r="T106" s="26">
        <f>IFERROR(__xludf.DUMMYFUNCTION("""COMPUTED_VALUE"""),0.0)</f>
        <v>0</v>
      </c>
      <c r="U106" s="26">
        <f>IFERROR(__xludf.DUMMYFUNCTION("""COMPUTED_VALUE"""),0.0)</f>
        <v>0</v>
      </c>
      <c r="V106" s="26">
        <f>IFERROR(__xludf.DUMMYFUNCTION("""COMPUTED_VALUE"""),0.0)</f>
        <v>0</v>
      </c>
      <c r="W106" s="26">
        <f>IFERROR(__xludf.DUMMYFUNCTION("""COMPUTED_VALUE"""),0.0)</f>
        <v>0</v>
      </c>
      <c r="X106" s="26">
        <f>IFERROR(__xludf.DUMMYFUNCTION("""COMPUTED_VALUE"""),0.0)</f>
        <v>0</v>
      </c>
      <c r="Y106" s="26">
        <f>IFERROR(__xludf.DUMMYFUNCTION("""COMPUTED_VALUE"""),0.0)</f>
        <v>0</v>
      </c>
      <c r="Z106" s="26">
        <f>IFERROR(__xludf.DUMMYFUNCTION("""COMPUTED_VALUE"""),0.0)</f>
        <v>0</v>
      </c>
      <c r="AA106" s="26">
        <f>IFERROR(__xludf.DUMMYFUNCTION("""COMPUTED_VALUE"""),0.0)</f>
        <v>0</v>
      </c>
      <c r="AB106" s="26">
        <f>IFERROR(__xludf.DUMMYFUNCTION("""COMPUTED_VALUE"""),0.0)</f>
        <v>0</v>
      </c>
      <c r="AC106" s="26">
        <f>IFERROR(__xludf.DUMMYFUNCTION("""COMPUTED_VALUE"""),0.0)</f>
        <v>0</v>
      </c>
      <c r="AD106" s="26">
        <f>IFERROR(__xludf.DUMMYFUNCTION("""COMPUTED_VALUE"""),0.0)</f>
        <v>0</v>
      </c>
      <c r="AE106" s="26">
        <f>IFERROR(__xludf.DUMMYFUNCTION("""COMPUTED_VALUE"""),0.0)</f>
        <v>0</v>
      </c>
    </row>
    <row r="107">
      <c r="A107" s="26">
        <f>IFERROR(__xludf.DUMMYFUNCTION("""COMPUTED_VALUE"""),0.0)</f>
        <v>0</v>
      </c>
      <c r="B107" s="26">
        <f>IFERROR(__xludf.DUMMYFUNCTION("""COMPUTED_VALUE"""),0.0)</f>
        <v>0</v>
      </c>
      <c r="C107" s="26">
        <f>IFERROR(__xludf.DUMMYFUNCTION("""COMPUTED_VALUE"""),0.0)</f>
        <v>0</v>
      </c>
      <c r="D107" s="26">
        <f>IFERROR(__xludf.DUMMYFUNCTION("""COMPUTED_VALUE"""),0.0)</f>
        <v>0</v>
      </c>
      <c r="E107" s="26">
        <f>IFERROR(__xludf.DUMMYFUNCTION("""COMPUTED_VALUE"""),0.0)</f>
        <v>0</v>
      </c>
      <c r="F107" s="26">
        <f>IFERROR(__xludf.DUMMYFUNCTION("""COMPUTED_VALUE"""),0.0)</f>
        <v>0</v>
      </c>
      <c r="G107" s="26">
        <f>IFERROR(__xludf.DUMMYFUNCTION("""COMPUTED_VALUE"""),0.0)</f>
        <v>0</v>
      </c>
      <c r="H107" s="26">
        <f>IFERROR(__xludf.DUMMYFUNCTION("""COMPUTED_VALUE"""),0.0)</f>
        <v>0</v>
      </c>
      <c r="I107" s="26">
        <f>IFERROR(__xludf.DUMMYFUNCTION("""COMPUTED_VALUE"""),0.0)</f>
        <v>0</v>
      </c>
      <c r="J107" s="26">
        <f>IFERROR(__xludf.DUMMYFUNCTION("""COMPUTED_VALUE"""),0.0)</f>
        <v>0</v>
      </c>
      <c r="K107" s="26">
        <f>IFERROR(__xludf.DUMMYFUNCTION("""COMPUTED_VALUE"""),0.0)</f>
        <v>0</v>
      </c>
      <c r="L107" s="26">
        <f>IFERROR(__xludf.DUMMYFUNCTION("""COMPUTED_VALUE"""),0.0)</f>
        <v>0</v>
      </c>
      <c r="M107" s="26"/>
      <c r="N107" s="26"/>
      <c r="O107" s="26"/>
      <c r="P107" s="26"/>
      <c r="Q107" s="26"/>
      <c r="R107" s="26">
        <f>IFERROR(__xludf.DUMMYFUNCTION("""COMPUTED_VALUE"""),0.0)</f>
        <v>0</v>
      </c>
      <c r="S107" s="26">
        <f>IFERROR(__xludf.DUMMYFUNCTION("""COMPUTED_VALUE"""),0.0)</f>
        <v>0</v>
      </c>
      <c r="T107" s="26">
        <f>IFERROR(__xludf.DUMMYFUNCTION("""COMPUTED_VALUE"""),0.0)</f>
        <v>0</v>
      </c>
      <c r="U107" s="26">
        <f>IFERROR(__xludf.DUMMYFUNCTION("""COMPUTED_VALUE"""),0.0)</f>
        <v>0</v>
      </c>
      <c r="V107" s="26">
        <f>IFERROR(__xludf.DUMMYFUNCTION("""COMPUTED_VALUE"""),0.0)</f>
        <v>0</v>
      </c>
      <c r="W107" s="26">
        <f>IFERROR(__xludf.DUMMYFUNCTION("""COMPUTED_VALUE"""),0.0)</f>
        <v>0</v>
      </c>
      <c r="X107" s="26">
        <f>IFERROR(__xludf.DUMMYFUNCTION("""COMPUTED_VALUE"""),0.0)</f>
        <v>0</v>
      </c>
      <c r="Y107" s="26">
        <f>IFERROR(__xludf.DUMMYFUNCTION("""COMPUTED_VALUE"""),0.0)</f>
        <v>0</v>
      </c>
      <c r="Z107" s="26">
        <f>IFERROR(__xludf.DUMMYFUNCTION("""COMPUTED_VALUE"""),0.0)</f>
        <v>0</v>
      </c>
      <c r="AA107" s="26">
        <f>IFERROR(__xludf.DUMMYFUNCTION("""COMPUTED_VALUE"""),0.0)</f>
        <v>0</v>
      </c>
      <c r="AB107" s="26">
        <f>IFERROR(__xludf.DUMMYFUNCTION("""COMPUTED_VALUE"""),0.0)</f>
        <v>0</v>
      </c>
      <c r="AC107" s="26">
        <f>IFERROR(__xludf.DUMMYFUNCTION("""COMPUTED_VALUE"""),0.0)</f>
        <v>0</v>
      </c>
      <c r="AD107" s="26">
        <f>IFERROR(__xludf.DUMMYFUNCTION("""COMPUTED_VALUE"""),0.0)</f>
        <v>0</v>
      </c>
      <c r="AE107" s="26">
        <f>IFERROR(__xludf.DUMMYFUNCTION("""COMPUTED_VALUE"""),0.0)</f>
        <v>0</v>
      </c>
    </row>
    <row r="108">
      <c r="A108" s="26">
        <f>IFERROR(__xludf.DUMMYFUNCTION("""COMPUTED_VALUE"""),0.0)</f>
        <v>0</v>
      </c>
      <c r="B108" s="26">
        <f>IFERROR(__xludf.DUMMYFUNCTION("""COMPUTED_VALUE"""),0.0)</f>
        <v>0</v>
      </c>
      <c r="C108" s="26">
        <f>IFERROR(__xludf.DUMMYFUNCTION("""COMPUTED_VALUE"""),0.0)</f>
        <v>0</v>
      </c>
      <c r="D108" s="26">
        <f>IFERROR(__xludf.DUMMYFUNCTION("""COMPUTED_VALUE"""),0.0)</f>
        <v>0</v>
      </c>
      <c r="E108" s="26">
        <f>IFERROR(__xludf.DUMMYFUNCTION("""COMPUTED_VALUE"""),0.0)</f>
        <v>0</v>
      </c>
      <c r="F108" s="26">
        <f>IFERROR(__xludf.DUMMYFUNCTION("""COMPUTED_VALUE"""),0.0)</f>
        <v>0</v>
      </c>
      <c r="G108" s="26">
        <f>IFERROR(__xludf.DUMMYFUNCTION("""COMPUTED_VALUE"""),0.0)</f>
        <v>0</v>
      </c>
      <c r="H108" s="26">
        <f>IFERROR(__xludf.DUMMYFUNCTION("""COMPUTED_VALUE"""),0.0)</f>
        <v>0</v>
      </c>
      <c r="I108" s="26">
        <f>IFERROR(__xludf.DUMMYFUNCTION("""COMPUTED_VALUE"""),0.0)</f>
        <v>0</v>
      </c>
      <c r="J108" s="26">
        <f>IFERROR(__xludf.DUMMYFUNCTION("""COMPUTED_VALUE"""),0.0)</f>
        <v>0</v>
      </c>
      <c r="K108" s="26">
        <f>IFERROR(__xludf.DUMMYFUNCTION("""COMPUTED_VALUE"""),0.0)</f>
        <v>0</v>
      </c>
      <c r="L108" s="26">
        <f>IFERROR(__xludf.DUMMYFUNCTION("""COMPUTED_VALUE"""),0.0)</f>
        <v>0</v>
      </c>
      <c r="M108" s="26"/>
      <c r="N108" s="26"/>
      <c r="O108" s="26"/>
      <c r="P108" s="26"/>
      <c r="Q108" s="26"/>
      <c r="R108" s="26">
        <f>IFERROR(__xludf.DUMMYFUNCTION("""COMPUTED_VALUE"""),0.0)</f>
        <v>0</v>
      </c>
      <c r="S108" s="26">
        <f>IFERROR(__xludf.DUMMYFUNCTION("""COMPUTED_VALUE"""),0.0)</f>
        <v>0</v>
      </c>
      <c r="T108" s="26">
        <f>IFERROR(__xludf.DUMMYFUNCTION("""COMPUTED_VALUE"""),0.0)</f>
        <v>0</v>
      </c>
      <c r="U108" s="26">
        <f>IFERROR(__xludf.DUMMYFUNCTION("""COMPUTED_VALUE"""),0.0)</f>
        <v>0</v>
      </c>
      <c r="V108" s="26">
        <f>IFERROR(__xludf.DUMMYFUNCTION("""COMPUTED_VALUE"""),0.0)</f>
        <v>0</v>
      </c>
      <c r="W108" s="26">
        <f>IFERROR(__xludf.DUMMYFUNCTION("""COMPUTED_VALUE"""),0.0)</f>
        <v>0</v>
      </c>
      <c r="X108" s="26">
        <f>IFERROR(__xludf.DUMMYFUNCTION("""COMPUTED_VALUE"""),0.0)</f>
        <v>0</v>
      </c>
      <c r="Y108" s="26">
        <f>IFERROR(__xludf.DUMMYFUNCTION("""COMPUTED_VALUE"""),0.0)</f>
        <v>0</v>
      </c>
      <c r="Z108" s="26">
        <f>IFERROR(__xludf.DUMMYFUNCTION("""COMPUTED_VALUE"""),0.0)</f>
        <v>0</v>
      </c>
      <c r="AA108" s="26">
        <f>IFERROR(__xludf.DUMMYFUNCTION("""COMPUTED_VALUE"""),0.0)</f>
        <v>0</v>
      </c>
      <c r="AB108" s="26">
        <f>IFERROR(__xludf.DUMMYFUNCTION("""COMPUTED_VALUE"""),0.0)</f>
        <v>0</v>
      </c>
      <c r="AC108" s="26">
        <f>IFERROR(__xludf.DUMMYFUNCTION("""COMPUTED_VALUE"""),0.0)</f>
        <v>0</v>
      </c>
      <c r="AD108" s="26">
        <f>IFERROR(__xludf.DUMMYFUNCTION("""COMPUTED_VALUE"""),0.0)</f>
        <v>0</v>
      </c>
      <c r="AE108" s="26">
        <f>IFERROR(__xludf.DUMMYFUNCTION("""COMPUTED_VALUE"""),0.0)</f>
        <v>0</v>
      </c>
    </row>
    <row r="109">
      <c r="A109" s="26">
        <f>IFERROR(__xludf.DUMMYFUNCTION("""COMPUTED_VALUE"""),0.0)</f>
        <v>0</v>
      </c>
      <c r="B109" s="26">
        <f>IFERROR(__xludf.DUMMYFUNCTION("""COMPUTED_VALUE"""),0.0)</f>
        <v>0</v>
      </c>
      <c r="C109" s="26">
        <f>IFERROR(__xludf.DUMMYFUNCTION("""COMPUTED_VALUE"""),0.0)</f>
        <v>0</v>
      </c>
      <c r="D109" s="26">
        <f>IFERROR(__xludf.DUMMYFUNCTION("""COMPUTED_VALUE"""),0.0)</f>
        <v>0</v>
      </c>
      <c r="E109" s="26">
        <f>IFERROR(__xludf.DUMMYFUNCTION("""COMPUTED_VALUE"""),0.0)</f>
        <v>0</v>
      </c>
      <c r="F109" s="26">
        <f>IFERROR(__xludf.DUMMYFUNCTION("""COMPUTED_VALUE"""),0.0)</f>
        <v>0</v>
      </c>
      <c r="G109" s="26">
        <f>IFERROR(__xludf.DUMMYFUNCTION("""COMPUTED_VALUE"""),0.0)</f>
        <v>0</v>
      </c>
      <c r="H109" s="26">
        <f>IFERROR(__xludf.DUMMYFUNCTION("""COMPUTED_VALUE"""),0.0)</f>
        <v>0</v>
      </c>
      <c r="I109" s="26">
        <f>IFERROR(__xludf.DUMMYFUNCTION("""COMPUTED_VALUE"""),0.0)</f>
        <v>0</v>
      </c>
      <c r="J109" s="26">
        <f>IFERROR(__xludf.DUMMYFUNCTION("""COMPUTED_VALUE"""),0.0)</f>
        <v>0</v>
      </c>
      <c r="K109" s="26">
        <f>IFERROR(__xludf.DUMMYFUNCTION("""COMPUTED_VALUE"""),0.0)</f>
        <v>0</v>
      </c>
      <c r="L109" s="26">
        <f>IFERROR(__xludf.DUMMYFUNCTION("""COMPUTED_VALUE"""),0.0)</f>
        <v>0</v>
      </c>
      <c r="M109" s="26"/>
      <c r="N109" s="26"/>
      <c r="O109" s="26"/>
      <c r="P109" s="26"/>
      <c r="Q109" s="26"/>
      <c r="R109" s="26">
        <f>IFERROR(__xludf.DUMMYFUNCTION("""COMPUTED_VALUE"""),0.0)</f>
        <v>0</v>
      </c>
      <c r="S109" s="26">
        <f>IFERROR(__xludf.DUMMYFUNCTION("""COMPUTED_VALUE"""),0.0)</f>
        <v>0</v>
      </c>
      <c r="T109" s="26">
        <f>IFERROR(__xludf.DUMMYFUNCTION("""COMPUTED_VALUE"""),0.0)</f>
        <v>0</v>
      </c>
      <c r="U109" s="26">
        <f>IFERROR(__xludf.DUMMYFUNCTION("""COMPUTED_VALUE"""),0.0)</f>
        <v>0</v>
      </c>
      <c r="V109" s="26">
        <f>IFERROR(__xludf.DUMMYFUNCTION("""COMPUTED_VALUE"""),0.0)</f>
        <v>0</v>
      </c>
      <c r="W109" s="26">
        <f>IFERROR(__xludf.DUMMYFUNCTION("""COMPUTED_VALUE"""),0.0)</f>
        <v>0</v>
      </c>
      <c r="X109" s="26">
        <f>IFERROR(__xludf.DUMMYFUNCTION("""COMPUTED_VALUE"""),0.0)</f>
        <v>0</v>
      </c>
      <c r="Y109" s="26">
        <f>IFERROR(__xludf.DUMMYFUNCTION("""COMPUTED_VALUE"""),0.0)</f>
        <v>0</v>
      </c>
      <c r="Z109" s="26">
        <f>IFERROR(__xludf.DUMMYFUNCTION("""COMPUTED_VALUE"""),0.0)</f>
        <v>0</v>
      </c>
      <c r="AA109" s="26">
        <f>IFERROR(__xludf.DUMMYFUNCTION("""COMPUTED_VALUE"""),0.0)</f>
        <v>0</v>
      </c>
      <c r="AB109" s="26">
        <f>IFERROR(__xludf.DUMMYFUNCTION("""COMPUTED_VALUE"""),0.0)</f>
        <v>0</v>
      </c>
      <c r="AC109" s="26">
        <f>IFERROR(__xludf.DUMMYFUNCTION("""COMPUTED_VALUE"""),0.0)</f>
        <v>0</v>
      </c>
      <c r="AD109" s="26">
        <f>IFERROR(__xludf.DUMMYFUNCTION("""COMPUTED_VALUE"""),0.0)</f>
        <v>0</v>
      </c>
      <c r="AE109" s="26">
        <f>IFERROR(__xludf.DUMMYFUNCTION("""COMPUTED_VALUE"""),0.0)</f>
        <v>0</v>
      </c>
    </row>
    <row r="110">
      <c r="A110" s="26">
        <f>IFERROR(__xludf.DUMMYFUNCTION("""COMPUTED_VALUE"""),0.0)</f>
        <v>0</v>
      </c>
      <c r="B110" s="26">
        <f>IFERROR(__xludf.DUMMYFUNCTION("""COMPUTED_VALUE"""),0.0)</f>
        <v>0</v>
      </c>
      <c r="C110" s="26">
        <f>IFERROR(__xludf.DUMMYFUNCTION("""COMPUTED_VALUE"""),0.0)</f>
        <v>0</v>
      </c>
      <c r="D110" s="26">
        <f>IFERROR(__xludf.DUMMYFUNCTION("""COMPUTED_VALUE"""),0.0)</f>
        <v>0</v>
      </c>
      <c r="E110" s="26">
        <f>IFERROR(__xludf.DUMMYFUNCTION("""COMPUTED_VALUE"""),0.0)</f>
        <v>0</v>
      </c>
      <c r="F110" s="26">
        <f>IFERROR(__xludf.DUMMYFUNCTION("""COMPUTED_VALUE"""),0.0)</f>
        <v>0</v>
      </c>
      <c r="G110" s="26">
        <f>IFERROR(__xludf.DUMMYFUNCTION("""COMPUTED_VALUE"""),0.0)</f>
        <v>0</v>
      </c>
      <c r="H110" s="26">
        <f>IFERROR(__xludf.DUMMYFUNCTION("""COMPUTED_VALUE"""),0.0)</f>
        <v>0</v>
      </c>
      <c r="I110" s="26">
        <f>IFERROR(__xludf.DUMMYFUNCTION("""COMPUTED_VALUE"""),0.0)</f>
        <v>0</v>
      </c>
      <c r="J110" s="26">
        <f>IFERROR(__xludf.DUMMYFUNCTION("""COMPUTED_VALUE"""),0.0)</f>
        <v>0</v>
      </c>
      <c r="K110" s="26">
        <f>IFERROR(__xludf.DUMMYFUNCTION("""COMPUTED_VALUE"""),0.0)</f>
        <v>0</v>
      </c>
      <c r="L110" s="26">
        <f>IFERROR(__xludf.DUMMYFUNCTION("""COMPUTED_VALUE"""),0.0)</f>
        <v>0</v>
      </c>
      <c r="M110" s="26"/>
      <c r="N110" s="26"/>
      <c r="O110" s="26"/>
      <c r="P110" s="26"/>
      <c r="Q110" s="26"/>
      <c r="R110" s="26">
        <f>IFERROR(__xludf.DUMMYFUNCTION("""COMPUTED_VALUE"""),0.0)</f>
        <v>0</v>
      </c>
      <c r="S110" s="26">
        <f>IFERROR(__xludf.DUMMYFUNCTION("""COMPUTED_VALUE"""),0.0)</f>
        <v>0</v>
      </c>
      <c r="T110" s="26">
        <f>IFERROR(__xludf.DUMMYFUNCTION("""COMPUTED_VALUE"""),0.0)</f>
        <v>0</v>
      </c>
      <c r="U110" s="26">
        <f>IFERROR(__xludf.DUMMYFUNCTION("""COMPUTED_VALUE"""),0.0)</f>
        <v>0</v>
      </c>
      <c r="V110" s="26">
        <f>IFERROR(__xludf.DUMMYFUNCTION("""COMPUTED_VALUE"""),0.0)</f>
        <v>0</v>
      </c>
      <c r="W110" s="26">
        <f>IFERROR(__xludf.DUMMYFUNCTION("""COMPUTED_VALUE"""),0.0)</f>
        <v>0</v>
      </c>
      <c r="X110" s="26">
        <f>IFERROR(__xludf.DUMMYFUNCTION("""COMPUTED_VALUE"""),0.0)</f>
        <v>0</v>
      </c>
      <c r="Y110" s="26">
        <f>IFERROR(__xludf.DUMMYFUNCTION("""COMPUTED_VALUE"""),0.0)</f>
        <v>0</v>
      </c>
      <c r="Z110" s="26">
        <f>IFERROR(__xludf.DUMMYFUNCTION("""COMPUTED_VALUE"""),0.0)</f>
        <v>0</v>
      </c>
      <c r="AA110" s="26">
        <f>IFERROR(__xludf.DUMMYFUNCTION("""COMPUTED_VALUE"""),0.0)</f>
        <v>0</v>
      </c>
      <c r="AB110" s="26">
        <f>IFERROR(__xludf.DUMMYFUNCTION("""COMPUTED_VALUE"""),0.0)</f>
        <v>0</v>
      </c>
      <c r="AC110" s="26">
        <f>IFERROR(__xludf.DUMMYFUNCTION("""COMPUTED_VALUE"""),0.0)</f>
        <v>0</v>
      </c>
      <c r="AD110" s="26">
        <f>IFERROR(__xludf.DUMMYFUNCTION("""COMPUTED_VALUE"""),0.0)</f>
        <v>0</v>
      </c>
      <c r="AE110" s="26">
        <f>IFERROR(__xludf.DUMMYFUNCTION("""COMPUTED_VALUE"""),0.0)</f>
        <v>0</v>
      </c>
    </row>
    <row r="111">
      <c r="A111" s="26">
        <f>IFERROR(__xludf.DUMMYFUNCTION("""COMPUTED_VALUE"""),0.0)</f>
        <v>0</v>
      </c>
      <c r="B111" s="26">
        <f>IFERROR(__xludf.DUMMYFUNCTION("""COMPUTED_VALUE"""),0.0)</f>
        <v>0</v>
      </c>
      <c r="C111" s="26">
        <f>IFERROR(__xludf.DUMMYFUNCTION("""COMPUTED_VALUE"""),0.0)</f>
        <v>0</v>
      </c>
      <c r="D111" s="26">
        <f>IFERROR(__xludf.DUMMYFUNCTION("""COMPUTED_VALUE"""),0.0)</f>
        <v>0</v>
      </c>
      <c r="E111" s="26">
        <f>IFERROR(__xludf.DUMMYFUNCTION("""COMPUTED_VALUE"""),0.0)</f>
        <v>0</v>
      </c>
      <c r="F111" s="26">
        <f>IFERROR(__xludf.DUMMYFUNCTION("""COMPUTED_VALUE"""),0.0)</f>
        <v>0</v>
      </c>
      <c r="G111" s="26">
        <f>IFERROR(__xludf.DUMMYFUNCTION("""COMPUTED_VALUE"""),0.0)</f>
        <v>0</v>
      </c>
      <c r="H111" s="26">
        <f>IFERROR(__xludf.DUMMYFUNCTION("""COMPUTED_VALUE"""),0.0)</f>
        <v>0</v>
      </c>
      <c r="I111" s="26">
        <f>IFERROR(__xludf.DUMMYFUNCTION("""COMPUTED_VALUE"""),0.0)</f>
        <v>0</v>
      </c>
      <c r="J111" s="26">
        <f>IFERROR(__xludf.DUMMYFUNCTION("""COMPUTED_VALUE"""),0.0)</f>
        <v>0</v>
      </c>
      <c r="K111" s="26">
        <f>IFERROR(__xludf.DUMMYFUNCTION("""COMPUTED_VALUE"""),0.0)</f>
        <v>0</v>
      </c>
      <c r="L111" s="26">
        <f>IFERROR(__xludf.DUMMYFUNCTION("""COMPUTED_VALUE"""),0.0)</f>
        <v>0</v>
      </c>
      <c r="M111" s="26"/>
      <c r="N111" s="26"/>
      <c r="O111" s="26"/>
      <c r="P111" s="26"/>
      <c r="Q111" s="26"/>
      <c r="R111" s="26">
        <f>IFERROR(__xludf.DUMMYFUNCTION("""COMPUTED_VALUE"""),0.0)</f>
        <v>0</v>
      </c>
      <c r="S111" s="26">
        <f>IFERROR(__xludf.DUMMYFUNCTION("""COMPUTED_VALUE"""),0.0)</f>
        <v>0</v>
      </c>
      <c r="T111" s="26">
        <f>IFERROR(__xludf.DUMMYFUNCTION("""COMPUTED_VALUE"""),0.0)</f>
        <v>0</v>
      </c>
      <c r="U111" s="26">
        <f>IFERROR(__xludf.DUMMYFUNCTION("""COMPUTED_VALUE"""),0.0)</f>
        <v>0</v>
      </c>
      <c r="V111" s="26">
        <f>IFERROR(__xludf.DUMMYFUNCTION("""COMPUTED_VALUE"""),0.0)</f>
        <v>0</v>
      </c>
      <c r="W111" s="26">
        <f>IFERROR(__xludf.DUMMYFUNCTION("""COMPUTED_VALUE"""),0.0)</f>
        <v>0</v>
      </c>
      <c r="X111" s="26">
        <f>IFERROR(__xludf.DUMMYFUNCTION("""COMPUTED_VALUE"""),0.0)</f>
        <v>0</v>
      </c>
      <c r="Y111" s="26">
        <f>IFERROR(__xludf.DUMMYFUNCTION("""COMPUTED_VALUE"""),0.0)</f>
        <v>0</v>
      </c>
      <c r="Z111" s="26">
        <f>IFERROR(__xludf.DUMMYFUNCTION("""COMPUTED_VALUE"""),0.0)</f>
        <v>0</v>
      </c>
      <c r="AA111" s="26">
        <f>IFERROR(__xludf.DUMMYFUNCTION("""COMPUTED_VALUE"""),0.0)</f>
        <v>0</v>
      </c>
      <c r="AB111" s="26">
        <f>IFERROR(__xludf.DUMMYFUNCTION("""COMPUTED_VALUE"""),0.0)</f>
        <v>0</v>
      </c>
      <c r="AC111" s="26">
        <f>IFERROR(__xludf.DUMMYFUNCTION("""COMPUTED_VALUE"""),0.0)</f>
        <v>0</v>
      </c>
      <c r="AD111" s="26">
        <f>IFERROR(__xludf.DUMMYFUNCTION("""COMPUTED_VALUE"""),0.0)</f>
        <v>0</v>
      </c>
      <c r="AE111" s="26">
        <f>IFERROR(__xludf.DUMMYFUNCTION("""COMPUTED_VALUE"""),0.0)</f>
        <v>0</v>
      </c>
    </row>
    <row r="112">
      <c r="A112" s="26">
        <f>IFERROR(__xludf.DUMMYFUNCTION("""COMPUTED_VALUE"""),0.0)</f>
        <v>0</v>
      </c>
      <c r="B112" s="26">
        <f>IFERROR(__xludf.DUMMYFUNCTION("""COMPUTED_VALUE"""),0.0)</f>
        <v>0</v>
      </c>
      <c r="C112" s="26">
        <f>IFERROR(__xludf.DUMMYFUNCTION("""COMPUTED_VALUE"""),0.0)</f>
        <v>0</v>
      </c>
      <c r="D112" s="26">
        <f>IFERROR(__xludf.DUMMYFUNCTION("""COMPUTED_VALUE"""),0.0)</f>
        <v>0</v>
      </c>
      <c r="E112" s="26">
        <f>IFERROR(__xludf.DUMMYFUNCTION("""COMPUTED_VALUE"""),48.0)</f>
        <v>48</v>
      </c>
      <c r="F112" s="26">
        <f>IFERROR(__xludf.DUMMYFUNCTION("""COMPUTED_VALUE"""),0.0)</f>
        <v>0</v>
      </c>
      <c r="G112" s="26">
        <f>IFERROR(__xludf.DUMMYFUNCTION("""COMPUTED_VALUE"""),0.0)</f>
        <v>0</v>
      </c>
      <c r="H112" s="26">
        <f>IFERROR(__xludf.DUMMYFUNCTION("""COMPUTED_VALUE"""),0.0)</f>
        <v>0</v>
      </c>
      <c r="I112" s="26">
        <f>IFERROR(__xludf.DUMMYFUNCTION("""COMPUTED_VALUE"""),0.0)</f>
        <v>0</v>
      </c>
      <c r="J112" s="26">
        <f>IFERROR(__xludf.DUMMYFUNCTION("""COMPUTED_VALUE"""),0.0)</f>
        <v>0</v>
      </c>
      <c r="K112" s="26">
        <f>IFERROR(__xludf.DUMMYFUNCTION("""COMPUTED_VALUE"""),0.0)</f>
        <v>0</v>
      </c>
      <c r="L112" s="26">
        <f>IFERROR(__xludf.DUMMYFUNCTION("""COMPUTED_VALUE"""),0.0)</f>
        <v>0</v>
      </c>
      <c r="M112" s="26"/>
      <c r="N112" s="26"/>
      <c r="O112" s="26"/>
      <c r="P112" s="26"/>
      <c r="Q112" s="26"/>
      <c r="R112" s="26">
        <f>IFERROR(__xludf.DUMMYFUNCTION("""COMPUTED_VALUE"""),48.0)</f>
        <v>48</v>
      </c>
      <c r="S112" s="26">
        <f>IFERROR(__xludf.DUMMYFUNCTION("""COMPUTED_VALUE"""),88800.0)</f>
        <v>88800</v>
      </c>
      <c r="T112" s="26">
        <f>IFERROR(__xludf.DUMMYFUNCTION("""COMPUTED_VALUE"""),8160.0)</f>
        <v>8160</v>
      </c>
      <c r="U112" s="26">
        <f>IFERROR(__xludf.DUMMYFUNCTION("""COMPUTED_VALUE"""),21705.60000000001)</f>
        <v>21705.6</v>
      </c>
      <c r="V112" s="26">
        <f>IFERROR(__xludf.DUMMYFUNCTION("""COMPUTED_VALUE"""),0.0)</f>
        <v>0</v>
      </c>
      <c r="W112" s="26">
        <f>IFERROR(__xludf.DUMMYFUNCTION("""COMPUTED_VALUE"""),0.0)</f>
        <v>0</v>
      </c>
      <c r="X112" s="26">
        <f>IFERROR(__xludf.DUMMYFUNCTION("""COMPUTED_VALUE"""),13545.60000000001)</f>
        <v>13545.6</v>
      </c>
      <c r="Y112" s="26">
        <f>IFERROR(__xludf.DUMMYFUNCTION("""COMPUTED_VALUE"""),13545.60000000001)</f>
        <v>13545.6</v>
      </c>
      <c r="Z112" s="26">
        <f>IFERROR(__xludf.DUMMYFUNCTION("""COMPUTED_VALUE"""),0.0)</f>
        <v>0</v>
      </c>
      <c r="AA112" s="26">
        <f>IFERROR(__xludf.DUMMYFUNCTION("""COMPUTED_VALUE"""),0.0)</f>
        <v>0</v>
      </c>
      <c r="AB112" s="26">
        <f>IFERROR(__xludf.DUMMYFUNCTION("""COMPUTED_VALUE"""),0.0)</f>
        <v>0</v>
      </c>
      <c r="AC112" s="26">
        <f>IFERROR(__xludf.DUMMYFUNCTION("""COMPUTED_VALUE"""),0.0)</f>
        <v>0</v>
      </c>
      <c r="AD112" s="26">
        <f>IFERROR(__xludf.DUMMYFUNCTION("""COMPUTED_VALUE"""),0.0)</f>
        <v>0</v>
      </c>
      <c r="AE112" s="26">
        <f>IFERROR(__xludf.DUMMYFUNCTION("""COMPUTED_VALUE"""),0.0)</f>
        <v>0</v>
      </c>
    </row>
    <row r="113">
      <c r="A113" s="26">
        <f>IFERROR(__xludf.DUMMYFUNCTION("""COMPUTED_VALUE"""),0.0)</f>
        <v>0</v>
      </c>
      <c r="B113" s="26">
        <f>IFERROR(__xludf.DUMMYFUNCTION("""COMPUTED_VALUE"""),0.0)</f>
        <v>0</v>
      </c>
      <c r="C113" s="26">
        <f>IFERROR(__xludf.DUMMYFUNCTION("""COMPUTED_VALUE"""),0.0)</f>
        <v>0</v>
      </c>
      <c r="D113" s="26">
        <f>IFERROR(__xludf.DUMMYFUNCTION("""COMPUTED_VALUE"""),0.0)</f>
        <v>0</v>
      </c>
      <c r="E113" s="26">
        <f>IFERROR(__xludf.DUMMYFUNCTION("""COMPUTED_VALUE"""),0.0)</f>
        <v>0</v>
      </c>
      <c r="F113" s="26">
        <f>IFERROR(__xludf.DUMMYFUNCTION("""COMPUTED_VALUE"""),0.0)</f>
        <v>0</v>
      </c>
      <c r="G113" s="26">
        <f>IFERROR(__xludf.DUMMYFUNCTION("""COMPUTED_VALUE"""),0.0)</f>
        <v>0</v>
      </c>
      <c r="H113" s="26">
        <f>IFERROR(__xludf.DUMMYFUNCTION("""COMPUTED_VALUE"""),0.0)</f>
        <v>0</v>
      </c>
      <c r="I113" s="26">
        <f>IFERROR(__xludf.DUMMYFUNCTION("""COMPUTED_VALUE"""),0.0)</f>
        <v>0</v>
      </c>
      <c r="J113" s="26">
        <f>IFERROR(__xludf.DUMMYFUNCTION("""COMPUTED_VALUE"""),0.0)</f>
        <v>0</v>
      </c>
      <c r="K113" s="26">
        <f>IFERROR(__xludf.DUMMYFUNCTION("""COMPUTED_VALUE"""),0.0)</f>
        <v>0</v>
      </c>
      <c r="L113" s="26">
        <f>IFERROR(__xludf.DUMMYFUNCTION("""COMPUTED_VALUE"""),0.0)</f>
        <v>0</v>
      </c>
      <c r="M113" s="26"/>
      <c r="N113" s="26"/>
      <c r="O113" s="26"/>
      <c r="P113" s="26"/>
      <c r="Q113" s="26"/>
      <c r="R113" s="26">
        <f>IFERROR(__xludf.DUMMYFUNCTION("""COMPUTED_VALUE"""),0.0)</f>
        <v>0</v>
      </c>
      <c r="S113" s="26">
        <f>IFERROR(__xludf.DUMMYFUNCTION("""COMPUTED_VALUE"""),0.0)</f>
        <v>0</v>
      </c>
      <c r="T113" s="26">
        <f>IFERROR(__xludf.DUMMYFUNCTION("""COMPUTED_VALUE"""),0.0)</f>
        <v>0</v>
      </c>
      <c r="U113" s="26">
        <f>IFERROR(__xludf.DUMMYFUNCTION("""COMPUTED_VALUE"""),0.0)</f>
        <v>0</v>
      </c>
      <c r="V113" s="26">
        <f>IFERROR(__xludf.DUMMYFUNCTION("""COMPUTED_VALUE"""),0.0)</f>
        <v>0</v>
      </c>
      <c r="W113" s="26">
        <f>IFERROR(__xludf.DUMMYFUNCTION("""COMPUTED_VALUE"""),0.0)</f>
        <v>0</v>
      </c>
      <c r="X113" s="26">
        <f>IFERROR(__xludf.DUMMYFUNCTION("""COMPUTED_VALUE"""),0.0)</f>
        <v>0</v>
      </c>
      <c r="Y113" s="26">
        <f>IFERROR(__xludf.DUMMYFUNCTION("""COMPUTED_VALUE"""),0.0)</f>
        <v>0</v>
      </c>
      <c r="Z113" s="26">
        <f>IFERROR(__xludf.DUMMYFUNCTION("""COMPUTED_VALUE"""),0.0)</f>
        <v>0</v>
      </c>
      <c r="AA113" s="26">
        <f>IFERROR(__xludf.DUMMYFUNCTION("""COMPUTED_VALUE"""),0.0)</f>
        <v>0</v>
      </c>
      <c r="AB113" s="26">
        <f>IFERROR(__xludf.DUMMYFUNCTION("""COMPUTED_VALUE"""),0.0)</f>
        <v>0</v>
      </c>
      <c r="AC113" s="26">
        <f>IFERROR(__xludf.DUMMYFUNCTION("""COMPUTED_VALUE"""),0.0)</f>
        <v>0</v>
      </c>
      <c r="AD113" s="26">
        <f>IFERROR(__xludf.DUMMYFUNCTION("""COMPUTED_VALUE"""),0.0)</f>
        <v>0</v>
      </c>
      <c r="AE113" s="26">
        <f>IFERROR(__xludf.DUMMYFUNCTION("""COMPUTED_VALUE"""),0.0)</f>
        <v>0</v>
      </c>
    </row>
    <row r="114">
      <c r="A114" s="26">
        <f>IFERROR(__xludf.DUMMYFUNCTION("""COMPUTED_VALUE"""),0.0)</f>
        <v>0</v>
      </c>
      <c r="B114" s="26">
        <f>IFERROR(__xludf.DUMMYFUNCTION("""COMPUTED_VALUE"""),0.0)</f>
        <v>0</v>
      </c>
      <c r="C114" s="26">
        <f>IFERROR(__xludf.DUMMYFUNCTION("""COMPUTED_VALUE"""),0.0)</f>
        <v>0</v>
      </c>
      <c r="D114" s="26">
        <f>IFERROR(__xludf.DUMMYFUNCTION("""COMPUTED_VALUE"""),0.0)</f>
        <v>0</v>
      </c>
      <c r="E114" s="26">
        <f>IFERROR(__xludf.DUMMYFUNCTION("""COMPUTED_VALUE"""),0.0)</f>
        <v>0</v>
      </c>
      <c r="F114" s="26">
        <f>IFERROR(__xludf.DUMMYFUNCTION("""COMPUTED_VALUE"""),0.0)</f>
        <v>0</v>
      </c>
      <c r="G114" s="26">
        <f>IFERROR(__xludf.DUMMYFUNCTION("""COMPUTED_VALUE"""),0.0)</f>
        <v>0</v>
      </c>
      <c r="H114" s="26">
        <f>IFERROR(__xludf.DUMMYFUNCTION("""COMPUTED_VALUE"""),0.0)</f>
        <v>0</v>
      </c>
      <c r="I114" s="26">
        <f>IFERROR(__xludf.DUMMYFUNCTION("""COMPUTED_VALUE"""),0.0)</f>
        <v>0</v>
      </c>
      <c r="J114" s="26">
        <f>IFERROR(__xludf.DUMMYFUNCTION("""COMPUTED_VALUE"""),0.0)</f>
        <v>0</v>
      </c>
      <c r="K114" s="26">
        <f>IFERROR(__xludf.DUMMYFUNCTION("""COMPUTED_VALUE"""),0.0)</f>
        <v>0</v>
      </c>
      <c r="L114" s="26">
        <f>IFERROR(__xludf.DUMMYFUNCTION("""COMPUTED_VALUE"""),0.0)</f>
        <v>0</v>
      </c>
      <c r="M114" s="26"/>
      <c r="N114" s="26"/>
      <c r="O114" s="26"/>
      <c r="P114" s="26"/>
      <c r="Q114" s="26"/>
      <c r="R114" s="26">
        <f>IFERROR(__xludf.DUMMYFUNCTION("""COMPUTED_VALUE"""),0.0)</f>
        <v>0</v>
      </c>
      <c r="S114" s="26">
        <f>IFERROR(__xludf.DUMMYFUNCTION("""COMPUTED_VALUE"""),0.0)</f>
        <v>0</v>
      </c>
      <c r="T114" s="26">
        <f>IFERROR(__xludf.DUMMYFUNCTION("""COMPUTED_VALUE"""),0.0)</f>
        <v>0</v>
      </c>
      <c r="U114" s="26">
        <f>IFERROR(__xludf.DUMMYFUNCTION("""COMPUTED_VALUE"""),0.0)</f>
        <v>0</v>
      </c>
      <c r="V114" s="26">
        <f>IFERROR(__xludf.DUMMYFUNCTION("""COMPUTED_VALUE"""),0.0)</f>
        <v>0</v>
      </c>
      <c r="W114" s="26">
        <f>IFERROR(__xludf.DUMMYFUNCTION("""COMPUTED_VALUE"""),0.0)</f>
        <v>0</v>
      </c>
      <c r="X114" s="26">
        <f>IFERROR(__xludf.DUMMYFUNCTION("""COMPUTED_VALUE"""),0.0)</f>
        <v>0</v>
      </c>
      <c r="Y114" s="26">
        <f>IFERROR(__xludf.DUMMYFUNCTION("""COMPUTED_VALUE"""),0.0)</f>
        <v>0</v>
      </c>
      <c r="Z114" s="26">
        <f>IFERROR(__xludf.DUMMYFUNCTION("""COMPUTED_VALUE"""),0.0)</f>
        <v>0</v>
      </c>
      <c r="AA114" s="26">
        <f>IFERROR(__xludf.DUMMYFUNCTION("""COMPUTED_VALUE"""),0.0)</f>
        <v>0</v>
      </c>
      <c r="AB114" s="26">
        <f>IFERROR(__xludf.DUMMYFUNCTION("""COMPUTED_VALUE"""),0.0)</f>
        <v>0</v>
      </c>
      <c r="AC114" s="26">
        <f>IFERROR(__xludf.DUMMYFUNCTION("""COMPUTED_VALUE"""),0.0)</f>
        <v>0</v>
      </c>
      <c r="AD114" s="26">
        <f>IFERROR(__xludf.DUMMYFUNCTION("""COMPUTED_VALUE"""),0.0)</f>
        <v>0</v>
      </c>
      <c r="AE114" s="26">
        <f>IFERROR(__xludf.DUMMYFUNCTION("""COMPUTED_VALUE"""),0.0)</f>
        <v>0</v>
      </c>
    </row>
    <row r="115">
      <c r="A115" s="26">
        <f>IFERROR(__xludf.DUMMYFUNCTION("""COMPUTED_VALUE"""),0.0)</f>
        <v>0</v>
      </c>
      <c r="B115" s="26">
        <f>IFERROR(__xludf.DUMMYFUNCTION("""COMPUTED_VALUE"""),0.0)</f>
        <v>0</v>
      </c>
      <c r="C115" s="26">
        <f>IFERROR(__xludf.DUMMYFUNCTION("""COMPUTED_VALUE"""),0.0)</f>
        <v>0</v>
      </c>
      <c r="D115" s="26">
        <f>IFERROR(__xludf.DUMMYFUNCTION("""COMPUTED_VALUE"""),0.0)</f>
        <v>0</v>
      </c>
      <c r="E115" s="26">
        <f>IFERROR(__xludf.DUMMYFUNCTION("""COMPUTED_VALUE"""),0.0)</f>
        <v>0</v>
      </c>
      <c r="F115" s="26">
        <f>IFERROR(__xludf.DUMMYFUNCTION("""COMPUTED_VALUE"""),0.0)</f>
        <v>0</v>
      </c>
      <c r="G115" s="26">
        <f>IFERROR(__xludf.DUMMYFUNCTION("""COMPUTED_VALUE"""),0.0)</f>
        <v>0</v>
      </c>
      <c r="H115" s="26">
        <f>IFERROR(__xludf.DUMMYFUNCTION("""COMPUTED_VALUE"""),0.0)</f>
        <v>0</v>
      </c>
      <c r="I115" s="26">
        <f>IFERROR(__xludf.DUMMYFUNCTION("""COMPUTED_VALUE"""),0.0)</f>
        <v>0</v>
      </c>
      <c r="J115" s="26">
        <f>IFERROR(__xludf.DUMMYFUNCTION("""COMPUTED_VALUE"""),0.0)</f>
        <v>0</v>
      </c>
      <c r="K115" s="26">
        <f>IFERROR(__xludf.DUMMYFUNCTION("""COMPUTED_VALUE"""),0.0)</f>
        <v>0</v>
      </c>
      <c r="L115" s="26">
        <f>IFERROR(__xludf.DUMMYFUNCTION("""COMPUTED_VALUE"""),0.0)</f>
        <v>0</v>
      </c>
      <c r="M115" s="26"/>
      <c r="N115" s="26"/>
      <c r="O115" s="26"/>
      <c r="P115" s="26"/>
      <c r="Q115" s="26"/>
      <c r="R115" s="26">
        <f>IFERROR(__xludf.DUMMYFUNCTION("""COMPUTED_VALUE"""),0.0)</f>
        <v>0</v>
      </c>
      <c r="S115" s="26">
        <f>IFERROR(__xludf.DUMMYFUNCTION("""COMPUTED_VALUE"""),0.0)</f>
        <v>0</v>
      </c>
      <c r="T115" s="26">
        <f>IFERROR(__xludf.DUMMYFUNCTION("""COMPUTED_VALUE"""),0.0)</f>
        <v>0</v>
      </c>
      <c r="U115" s="26">
        <f>IFERROR(__xludf.DUMMYFUNCTION("""COMPUTED_VALUE"""),0.0)</f>
        <v>0</v>
      </c>
      <c r="V115" s="26">
        <f>IFERROR(__xludf.DUMMYFUNCTION("""COMPUTED_VALUE"""),0.0)</f>
        <v>0</v>
      </c>
      <c r="W115" s="26">
        <f>IFERROR(__xludf.DUMMYFUNCTION("""COMPUTED_VALUE"""),0.0)</f>
        <v>0</v>
      </c>
      <c r="X115" s="26">
        <f>IFERROR(__xludf.DUMMYFUNCTION("""COMPUTED_VALUE"""),0.0)</f>
        <v>0</v>
      </c>
      <c r="Y115" s="26">
        <f>IFERROR(__xludf.DUMMYFUNCTION("""COMPUTED_VALUE"""),0.0)</f>
        <v>0</v>
      </c>
      <c r="Z115" s="26">
        <f>IFERROR(__xludf.DUMMYFUNCTION("""COMPUTED_VALUE"""),0.0)</f>
        <v>0</v>
      </c>
      <c r="AA115" s="26">
        <f>IFERROR(__xludf.DUMMYFUNCTION("""COMPUTED_VALUE"""),0.0)</f>
        <v>0</v>
      </c>
      <c r="AB115" s="26">
        <f>IFERROR(__xludf.DUMMYFUNCTION("""COMPUTED_VALUE"""),0.0)</f>
        <v>0</v>
      </c>
      <c r="AC115" s="26">
        <f>IFERROR(__xludf.DUMMYFUNCTION("""COMPUTED_VALUE"""),0.0)</f>
        <v>0</v>
      </c>
      <c r="AD115" s="26">
        <f>IFERROR(__xludf.DUMMYFUNCTION("""COMPUTED_VALUE"""),0.0)</f>
        <v>0</v>
      </c>
      <c r="AE115" s="26">
        <f>IFERROR(__xludf.DUMMYFUNCTION("""COMPUTED_VALUE"""),0.0)</f>
        <v>0</v>
      </c>
    </row>
    <row r="116">
      <c r="A116" s="26">
        <f>IFERROR(__xludf.DUMMYFUNCTION("""COMPUTED_VALUE"""),0.0)</f>
        <v>0</v>
      </c>
      <c r="B116" s="26">
        <f>IFERROR(__xludf.DUMMYFUNCTION("""COMPUTED_VALUE"""),0.0)</f>
        <v>0</v>
      </c>
      <c r="C116" s="26">
        <f>IFERROR(__xludf.DUMMYFUNCTION("""COMPUTED_VALUE"""),0.0)</f>
        <v>0</v>
      </c>
      <c r="D116" s="26">
        <f>IFERROR(__xludf.DUMMYFUNCTION("""COMPUTED_VALUE"""),0.0)</f>
        <v>0</v>
      </c>
      <c r="E116" s="26">
        <f>IFERROR(__xludf.DUMMYFUNCTION("""COMPUTED_VALUE"""),0.0)</f>
        <v>0</v>
      </c>
      <c r="F116" s="26">
        <f>IFERROR(__xludf.DUMMYFUNCTION("""COMPUTED_VALUE"""),0.0)</f>
        <v>0</v>
      </c>
      <c r="G116" s="26">
        <f>IFERROR(__xludf.DUMMYFUNCTION("""COMPUTED_VALUE"""),0.0)</f>
        <v>0</v>
      </c>
      <c r="H116" s="26">
        <f>IFERROR(__xludf.DUMMYFUNCTION("""COMPUTED_VALUE"""),0.0)</f>
        <v>0</v>
      </c>
      <c r="I116" s="26">
        <f>IFERROR(__xludf.DUMMYFUNCTION("""COMPUTED_VALUE"""),0.0)</f>
        <v>0</v>
      </c>
      <c r="J116" s="26">
        <f>IFERROR(__xludf.DUMMYFUNCTION("""COMPUTED_VALUE"""),0.0)</f>
        <v>0</v>
      </c>
      <c r="K116" s="26">
        <f>IFERROR(__xludf.DUMMYFUNCTION("""COMPUTED_VALUE"""),0.0)</f>
        <v>0</v>
      </c>
      <c r="L116" s="26">
        <f>IFERROR(__xludf.DUMMYFUNCTION("""COMPUTED_VALUE"""),0.0)</f>
        <v>0</v>
      </c>
      <c r="M116" s="26"/>
      <c r="N116" s="26"/>
      <c r="O116" s="26"/>
      <c r="P116" s="26"/>
      <c r="Q116" s="26"/>
      <c r="R116" s="26">
        <f>IFERROR(__xludf.DUMMYFUNCTION("""COMPUTED_VALUE"""),0.0)</f>
        <v>0</v>
      </c>
      <c r="S116" s="26">
        <f>IFERROR(__xludf.DUMMYFUNCTION("""COMPUTED_VALUE"""),0.0)</f>
        <v>0</v>
      </c>
      <c r="T116" s="26">
        <f>IFERROR(__xludf.DUMMYFUNCTION("""COMPUTED_VALUE"""),0.0)</f>
        <v>0</v>
      </c>
      <c r="U116" s="26">
        <f>IFERROR(__xludf.DUMMYFUNCTION("""COMPUTED_VALUE"""),0.0)</f>
        <v>0</v>
      </c>
      <c r="V116" s="26">
        <f>IFERROR(__xludf.DUMMYFUNCTION("""COMPUTED_VALUE"""),0.0)</f>
        <v>0</v>
      </c>
      <c r="W116" s="26">
        <f>IFERROR(__xludf.DUMMYFUNCTION("""COMPUTED_VALUE"""),0.0)</f>
        <v>0</v>
      </c>
      <c r="X116" s="26">
        <f>IFERROR(__xludf.DUMMYFUNCTION("""COMPUTED_VALUE"""),0.0)</f>
        <v>0</v>
      </c>
      <c r="Y116" s="26">
        <f>IFERROR(__xludf.DUMMYFUNCTION("""COMPUTED_VALUE"""),0.0)</f>
        <v>0</v>
      </c>
      <c r="Z116" s="26">
        <f>IFERROR(__xludf.DUMMYFUNCTION("""COMPUTED_VALUE"""),0.0)</f>
        <v>0</v>
      </c>
      <c r="AA116" s="26">
        <f>IFERROR(__xludf.DUMMYFUNCTION("""COMPUTED_VALUE"""),0.0)</f>
        <v>0</v>
      </c>
      <c r="AB116" s="26">
        <f>IFERROR(__xludf.DUMMYFUNCTION("""COMPUTED_VALUE"""),0.0)</f>
        <v>0</v>
      </c>
      <c r="AC116" s="26">
        <f>IFERROR(__xludf.DUMMYFUNCTION("""COMPUTED_VALUE"""),0.0)</f>
        <v>0</v>
      </c>
      <c r="AD116" s="26">
        <f>IFERROR(__xludf.DUMMYFUNCTION("""COMPUTED_VALUE"""),0.0)</f>
        <v>0</v>
      </c>
      <c r="AE116" s="26">
        <f>IFERROR(__xludf.DUMMYFUNCTION("""COMPUTED_VALUE"""),0.0)</f>
        <v>0</v>
      </c>
    </row>
    <row r="117">
      <c r="A117" s="26">
        <f>IFERROR(__xludf.DUMMYFUNCTION("""COMPUTED_VALUE"""),0.0)</f>
        <v>0</v>
      </c>
      <c r="B117" s="26">
        <f>IFERROR(__xludf.DUMMYFUNCTION("""COMPUTED_VALUE"""),0.0)</f>
        <v>0</v>
      </c>
      <c r="C117" s="26">
        <f>IFERROR(__xludf.DUMMYFUNCTION("""COMPUTED_VALUE"""),0.0)</f>
        <v>0</v>
      </c>
      <c r="D117" s="26">
        <f>IFERROR(__xludf.DUMMYFUNCTION("""COMPUTED_VALUE"""),0.0)</f>
        <v>0</v>
      </c>
      <c r="E117" s="26">
        <f>IFERROR(__xludf.DUMMYFUNCTION("""COMPUTED_VALUE"""),0.0)</f>
        <v>0</v>
      </c>
      <c r="F117" s="26">
        <f>IFERROR(__xludf.DUMMYFUNCTION("""COMPUTED_VALUE"""),0.0)</f>
        <v>0</v>
      </c>
      <c r="G117" s="26">
        <f>IFERROR(__xludf.DUMMYFUNCTION("""COMPUTED_VALUE"""),0.0)</f>
        <v>0</v>
      </c>
      <c r="H117" s="26">
        <f>IFERROR(__xludf.DUMMYFUNCTION("""COMPUTED_VALUE"""),0.0)</f>
        <v>0</v>
      </c>
      <c r="I117" s="26">
        <f>IFERROR(__xludf.DUMMYFUNCTION("""COMPUTED_VALUE"""),0.0)</f>
        <v>0</v>
      </c>
      <c r="J117" s="26">
        <f>IFERROR(__xludf.DUMMYFUNCTION("""COMPUTED_VALUE"""),0.0)</f>
        <v>0</v>
      </c>
      <c r="K117" s="26">
        <f>IFERROR(__xludf.DUMMYFUNCTION("""COMPUTED_VALUE"""),0.0)</f>
        <v>0</v>
      </c>
      <c r="L117" s="26">
        <f>IFERROR(__xludf.DUMMYFUNCTION("""COMPUTED_VALUE"""),0.0)</f>
        <v>0</v>
      </c>
      <c r="M117" s="26"/>
      <c r="N117" s="26"/>
      <c r="O117" s="26"/>
      <c r="P117" s="26"/>
      <c r="Q117" s="26"/>
      <c r="R117" s="26">
        <f>IFERROR(__xludf.DUMMYFUNCTION("""COMPUTED_VALUE"""),0.0)</f>
        <v>0</v>
      </c>
      <c r="S117" s="26">
        <f>IFERROR(__xludf.DUMMYFUNCTION("""COMPUTED_VALUE"""),0.0)</f>
        <v>0</v>
      </c>
      <c r="T117" s="26">
        <f>IFERROR(__xludf.DUMMYFUNCTION("""COMPUTED_VALUE"""),0.0)</f>
        <v>0</v>
      </c>
      <c r="U117" s="26">
        <f>IFERROR(__xludf.DUMMYFUNCTION("""COMPUTED_VALUE"""),0.0)</f>
        <v>0</v>
      </c>
      <c r="V117" s="26">
        <f>IFERROR(__xludf.DUMMYFUNCTION("""COMPUTED_VALUE"""),0.0)</f>
        <v>0</v>
      </c>
      <c r="W117" s="26">
        <f>IFERROR(__xludf.DUMMYFUNCTION("""COMPUTED_VALUE"""),0.0)</f>
        <v>0</v>
      </c>
      <c r="X117" s="26">
        <f>IFERROR(__xludf.DUMMYFUNCTION("""COMPUTED_VALUE"""),0.0)</f>
        <v>0</v>
      </c>
      <c r="Y117" s="26">
        <f>IFERROR(__xludf.DUMMYFUNCTION("""COMPUTED_VALUE"""),0.0)</f>
        <v>0</v>
      </c>
      <c r="Z117" s="26">
        <f>IFERROR(__xludf.DUMMYFUNCTION("""COMPUTED_VALUE"""),0.0)</f>
        <v>0</v>
      </c>
      <c r="AA117" s="26">
        <f>IFERROR(__xludf.DUMMYFUNCTION("""COMPUTED_VALUE"""),0.0)</f>
        <v>0</v>
      </c>
      <c r="AB117" s="26">
        <f>IFERROR(__xludf.DUMMYFUNCTION("""COMPUTED_VALUE"""),0.0)</f>
        <v>0</v>
      </c>
      <c r="AC117" s="26">
        <f>IFERROR(__xludf.DUMMYFUNCTION("""COMPUTED_VALUE"""),0.0)</f>
        <v>0</v>
      </c>
      <c r="AD117" s="26">
        <f>IFERROR(__xludf.DUMMYFUNCTION("""COMPUTED_VALUE"""),0.0)</f>
        <v>0</v>
      </c>
      <c r="AE117" s="26">
        <f>IFERROR(__xludf.DUMMYFUNCTION("""COMPUTED_VALUE"""),0.0)</f>
        <v>0</v>
      </c>
    </row>
    <row r="118">
      <c r="A118" s="26">
        <f>IFERROR(__xludf.DUMMYFUNCTION("""COMPUTED_VALUE"""),0.0)</f>
        <v>0</v>
      </c>
      <c r="B118" s="26">
        <f>IFERROR(__xludf.DUMMYFUNCTION("""COMPUTED_VALUE"""),0.0)</f>
        <v>0</v>
      </c>
      <c r="C118" s="26">
        <f>IFERROR(__xludf.DUMMYFUNCTION("""COMPUTED_VALUE"""),0.0)</f>
        <v>0</v>
      </c>
      <c r="D118" s="26">
        <f>IFERROR(__xludf.DUMMYFUNCTION("""COMPUTED_VALUE"""),0.0)</f>
        <v>0</v>
      </c>
      <c r="E118" s="26">
        <f>IFERROR(__xludf.DUMMYFUNCTION("""COMPUTED_VALUE"""),0.0)</f>
        <v>0</v>
      </c>
      <c r="F118" s="26">
        <f>IFERROR(__xludf.DUMMYFUNCTION("""COMPUTED_VALUE"""),0.0)</f>
        <v>0</v>
      </c>
      <c r="G118" s="26">
        <f>IFERROR(__xludf.DUMMYFUNCTION("""COMPUTED_VALUE"""),0.0)</f>
        <v>0</v>
      </c>
      <c r="H118" s="26">
        <f>IFERROR(__xludf.DUMMYFUNCTION("""COMPUTED_VALUE"""),0.0)</f>
        <v>0</v>
      </c>
      <c r="I118" s="26">
        <f>IFERROR(__xludf.DUMMYFUNCTION("""COMPUTED_VALUE"""),0.0)</f>
        <v>0</v>
      </c>
      <c r="J118" s="26">
        <f>IFERROR(__xludf.DUMMYFUNCTION("""COMPUTED_VALUE"""),0.0)</f>
        <v>0</v>
      </c>
      <c r="K118" s="26">
        <f>IFERROR(__xludf.DUMMYFUNCTION("""COMPUTED_VALUE"""),0.0)</f>
        <v>0</v>
      </c>
      <c r="L118" s="26">
        <f>IFERROR(__xludf.DUMMYFUNCTION("""COMPUTED_VALUE"""),0.0)</f>
        <v>0</v>
      </c>
      <c r="M118" s="26"/>
      <c r="N118" s="26"/>
      <c r="O118" s="26"/>
      <c r="P118" s="26"/>
      <c r="Q118" s="26"/>
      <c r="R118" s="26">
        <f>IFERROR(__xludf.DUMMYFUNCTION("""COMPUTED_VALUE"""),0.0)</f>
        <v>0</v>
      </c>
      <c r="S118" s="26">
        <f>IFERROR(__xludf.DUMMYFUNCTION("""COMPUTED_VALUE"""),0.0)</f>
        <v>0</v>
      </c>
      <c r="T118" s="26">
        <f>IFERROR(__xludf.DUMMYFUNCTION("""COMPUTED_VALUE"""),0.0)</f>
        <v>0</v>
      </c>
      <c r="U118" s="26">
        <f>IFERROR(__xludf.DUMMYFUNCTION("""COMPUTED_VALUE"""),0.0)</f>
        <v>0</v>
      </c>
      <c r="V118" s="26">
        <f>IFERROR(__xludf.DUMMYFUNCTION("""COMPUTED_VALUE"""),0.0)</f>
        <v>0</v>
      </c>
      <c r="W118" s="26">
        <f>IFERROR(__xludf.DUMMYFUNCTION("""COMPUTED_VALUE"""),0.0)</f>
        <v>0</v>
      </c>
      <c r="X118" s="26">
        <f>IFERROR(__xludf.DUMMYFUNCTION("""COMPUTED_VALUE"""),0.0)</f>
        <v>0</v>
      </c>
      <c r="Y118" s="26">
        <f>IFERROR(__xludf.DUMMYFUNCTION("""COMPUTED_VALUE"""),0.0)</f>
        <v>0</v>
      </c>
      <c r="Z118" s="26">
        <f>IFERROR(__xludf.DUMMYFUNCTION("""COMPUTED_VALUE"""),0.0)</f>
        <v>0</v>
      </c>
      <c r="AA118" s="26">
        <f>IFERROR(__xludf.DUMMYFUNCTION("""COMPUTED_VALUE"""),0.0)</f>
        <v>0</v>
      </c>
      <c r="AB118" s="26">
        <f>IFERROR(__xludf.DUMMYFUNCTION("""COMPUTED_VALUE"""),0.0)</f>
        <v>0</v>
      </c>
      <c r="AC118" s="26">
        <f>IFERROR(__xludf.DUMMYFUNCTION("""COMPUTED_VALUE"""),0.0)</f>
        <v>0</v>
      </c>
      <c r="AD118" s="26">
        <f>IFERROR(__xludf.DUMMYFUNCTION("""COMPUTED_VALUE"""),0.0)</f>
        <v>0</v>
      </c>
      <c r="AE118" s="26">
        <f>IFERROR(__xludf.DUMMYFUNCTION("""COMPUTED_VALUE"""),0.0)</f>
        <v>0</v>
      </c>
    </row>
    <row r="119">
      <c r="A119" s="26">
        <f>IFERROR(__xludf.DUMMYFUNCTION("""COMPUTED_VALUE"""),3.0)</f>
        <v>3</v>
      </c>
      <c r="B119" s="26">
        <f>IFERROR(__xludf.DUMMYFUNCTION("""COMPUTED_VALUE"""),0.0)</f>
        <v>0</v>
      </c>
      <c r="C119" s="26">
        <f>IFERROR(__xludf.DUMMYFUNCTION("""COMPUTED_VALUE"""),0.0)</f>
        <v>0</v>
      </c>
      <c r="D119" s="26">
        <f>IFERROR(__xludf.DUMMYFUNCTION("""COMPUTED_VALUE"""),0.0)</f>
        <v>0</v>
      </c>
      <c r="E119" s="26">
        <f>IFERROR(__xludf.DUMMYFUNCTION("""COMPUTED_VALUE"""),72.0)</f>
        <v>72</v>
      </c>
      <c r="F119" s="26">
        <f>IFERROR(__xludf.DUMMYFUNCTION("""COMPUTED_VALUE"""),0.0)</f>
        <v>0</v>
      </c>
      <c r="G119" s="26">
        <f>IFERROR(__xludf.DUMMYFUNCTION("""COMPUTED_VALUE"""),0.0)</f>
        <v>0</v>
      </c>
      <c r="H119" s="26">
        <f>IFERROR(__xludf.DUMMYFUNCTION("""COMPUTED_VALUE"""),0.0)</f>
        <v>0</v>
      </c>
      <c r="I119" s="26">
        <f>IFERROR(__xludf.DUMMYFUNCTION("""COMPUTED_VALUE"""),0.0)</f>
        <v>0</v>
      </c>
      <c r="J119" s="26">
        <f>IFERROR(__xludf.DUMMYFUNCTION("""COMPUTED_VALUE"""),0.0)</f>
        <v>0</v>
      </c>
      <c r="K119" s="26">
        <f>IFERROR(__xludf.DUMMYFUNCTION("""COMPUTED_VALUE"""),0.0)</f>
        <v>0</v>
      </c>
      <c r="L119" s="26">
        <f>IFERROR(__xludf.DUMMYFUNCTION("""COMPUTED_VALUE"""),0.0)</f>
        <v>0</v>
      </c>
      <c r="M119" s="26"/>
      <c r="N119" s="26"/>
      <c r="O119" s="26"/>
      <c r="P119" s="26"/>
      <c r="Q119" s="26"/>
      <c r="R119" s="26">
        <f>IFERROR(__xludf.DUMMYFUNCTION("""COMPUTED_VALUE"""),75.0)</f>
        <v>75</v>
      </c>
      <c r="S119" s="26">
        <f>IFERROR(__xludf.DUMMYFUNCTION("""COMPUTED_VALUE"""),94644.0)</f>
        <v>94644</v>
      </c>
      <c r="T119" s="26">
        <f>IFERROR(__xludf.DUMMYFUNCTION("""COMPUTED_VALUE"""),18510.0)</f>
        <v>18510</v>
      </c>
      <c r="U119" s="26">
        <f>IFERROR(__xludf.DUMMYFUNCTION("""COMPUTED_VALUE"""),32947.55999999999)</f>
        <v>32947.56</v>
      </c>
      <c r="V119" s="26">
        <f>IFERROR(__xludf.DUMMYFUNCTION("""COMPUTED_VALUE"""),0.0)</f>
        <v>0</v>
      </c>
      <c r="W119" s="26">
        <f>IFERROR(__xludf.DUMMYFUNCTION("""COMPUTED_VALUE"""),0.0)</f>
        <v>0</v>
      </c>
      <c r="X119" s="26">
        <f>IFERROR(__xludf.DUMMYFUNCTION("""COMPUTED_VALUE"""),14437.559999999992)</f>
        <v>14437.56</v>
      </c>
      <c r="Y119" s="26">
        <f>IFERROR(__xludf.DUMMYFUNCTION("""COMPUTED_VALUE"""),14437.559999999992)</f>
        <v>14437.56</v>
      </c>
      <c r="Z119" s="26">
        <f>IFERROR(__xludf.DUMMYFUNCTION("""COMPUTED_VALUE"""),47322.53999999996)</f>
        <v>47322.54</v>
      </c>
      <c r="AA119" s="26">
        <f>IFERROR(__xludf.DUMMYFUNCTION("""COMPUTED_VALUE"""),47322.53999999996)</f>
        <v>47322.54</v>
      </c>
      <c r="AB119" s="26">
        <f>IFERROR(__xludf.DUMMYFUNCTION("""COMPUTED_VALUE"""),81285.31000000011)</f>
        <v>81285.31</v>
      </c>
      <c r="AC119" s="26">
        <f>IFERROR(__xludf.DUMMYFUNCTION("""COMPUTED_VALUE"""),77221.46000000004)</f>
        <v>77221.46</v>
      </c>
      <c r="AD119" s="26">
        <f>IFERROR(__xludf.DUMMYFUNCTION("""COMPUTED_VALUE"""),4063.8499999999954)</f>
        <v>4063.85</v>
      </c>
      <c r="AE119" s="26">
        <f>IFERROR(__xludf.DUMMYFUNCTION("""COMPUTED_VALUE"""),0.0)</f>
        <v>0</v>
      </c>
    </row>
    <row r="120">
      <c r="A120" s="26">
        <f>IFERROR(__xludf.DUMMYFUNCTION("""COMPUTED_VALUE"""),0.0)</f>
        <v>0</v>
      </c>
      <c r="B120" s="26">
        <f>IFERROR(__xludf.DUMMYFUNCTION("""COMPUTED_VALUE"""),0.0)</f>
        <v>0</v>
      </c>
      <c r="C120" s="26">
        <f>IFERROR(__xludf.DUMMYFUNCTION("""COMPUTED_VALUE"""),0.0)</f>
        <v>0</v>
      </c>
      <c r="D120" s="26">
        <f>IFERROR(__xludf.DUMMYFUNCTION("""COMPUTED_VALUE"""),0.0)</f>
        <v>0</v>
      </c>
      <c r="E120" s="26">
        <f>IFERROR(__xludf.DUMMYFUNCTION("""COMPUTED_VALUE"""),0.0)</f>
        <v>0</v>
      </c>
      <c r="F120" s="26">
        <f>IFERROR(__xludf.DUMMYFUNCTION("""COMPUTED_VALUE"""),0.0)</f>
        <v>0</v>
      </c>
      <c r="G120" s="26">
        <f>IFERROR(__xludf.DUMMYFUNCTION("""COMPUTED_VALUE"""),0.0)</f>
        <v>0</v>
      </c>
      <c r="H120" s="26">
        <f>IFERROR(__xludf.DUMMYFUNCTION("""COMPUTED_VALUE"""),0.0)</f>
        <v>0</v>
      </c>
      <c r="I120" s="26">
        <f>IFERROR(__xludf.DUMMYFUNCTION("""COMPUTED_VALUE"""),0.0)</f>
        <v>0</v>
      </c>
      <c r="J120" s="26">
        <f>IFERROR(__xludf.DUMMYFUNCTION("""COMPUTED_VALUE"""),0.0)</f>
        <v>0</v>
      </c>
      <c r="K120" s="26">
        <f>IFERROR(__xludf.DUMMYFUNCTION("""COMPUTED_VALUE"""),0.0)</f>
        <v>0</v>
      </c>
      <c r="L120" s="26">
        <f>IFERROR(__xludf.DUMMYFUNCTION("""COMPUTED_VALUE"""),0.0)</f>
        <v>0</v>
      </c>
      <c r="M120" s="26"/>
      <c r="N120" s="26"/>
      <c r="O120" s="26"/>
      <c r="P120" s="26"/>
      <c r="Q120" s="26"/>
      <c r="R120" s="26">
        <f>IFERROR(__xludf.DUMMYFUNCTION("""COMPUTED_VALUE"""),0.0)</f>
        <v>0</v>
      </c>
      <c r="S120" s="26">
        <f>IFERROR(__xludf.DUMMYFUNCTION("""COMPUTED_VALUE"""),0.0)</f>
        <v>0</v>
      </c>
      <c r="T120" s="26">
        <f>IFERROR(__xludf.DUMMYFUNCTION("""COMPUTED_VALUE"""),0.0)</f>
        <v>0</v>
      </c>
      <c r="U120" s="26">
        <f>IFERROR(__xludf.DUMMYFUNCTION("""COMPUTED_VALUE"""),0.0)</f>
        <v>0</v>
      </c>
      <c r="V120" s="26">
        <f>IFERROR(__xludf.DUMMYFUNCTION("""COMPUTED_VALUE"""),0.0)</f>
        <v>0</v>
      </c>
      <c r="W120" s="26">
        <f>IFERROR(__xludf.DUMMYFUNCTION("""COMPUTED_VALUE"""),0.0)</f>
        <v>0</v>
      </c>
      <c r="X120" s="26">
        <f>IFERROR(__xludf.DUMMYFUNCTION("""COMPUTED_VALUE"""),0.0)</f>
        <v>0</v>
      </c>
      <c r="Y120" s="26">
        <f>IFERROR(__xludf.DUMMYFUNCTION("""COMPUTED_VALUE"""),0.0)</f>
        <v>0</v>
      </c>
      <c r="Z120" s="26">
        <f>IFERROR(__xludf.DUMMYFUNCTION("""COMPUTED_VALUE"""),0.0)</f>
        <v>0</v>
      </c>
      <c r="AA120" s="26">
        <f>IFERROR(__xludf.DUMMYFUNCTION("""COMPUTED_VALUE"""),0.0)</f>
        <v>0</v>
      </c>
      <c r="AB120" s="26">
        <f>IFERROR(__xludf.DUMMYFUNCTION("""COMPUTED_VALUE"""),0.0)</f>
        <v>0</v>
      </c>
      <c r="AC120" s="26">
        <f>IFERROR(__xludf.DUMMYFUNCTION("""COMPUTED_VALUE"""),0.0)</f>
        <v>0</v>
      </c>
      <c r="AD120" s="26">
        <f>IFERROR(__xludf.DUMMYFUNCTION("""COMPUTED_VALUE"""),0.0)</f>
        <v>0</v>
      </c>
      <c r="AE120" s="26">
        <f>IFERROR(__xludf.DUMMYFUNCTION("""COMPUTED_VALUE"""),0.0)</f>
        <v>0</v>
      </c>
    </row>
    <row r="121">
      <c r="A121" s="26">
        <f>IFERROR(__xludf.DUMMYFUNCTION("""COMPUTED_VALUE"""),0.0)</f>
        <v>0</v>
      </c>
      <c r="B121" s="26">
        <f>IFERROR(__xludf.DUMMYFUNCTION("""COMPUTED_VALUE"""),0.0)</f>
        <v>0</v>
      </c>
      <c r="C121" s="26">
        <f>IFERROR(__xludf.DUMMYFUNCTION("""COMPUTED_VALUE"""),0.0)</f>
        <v>0</v>
      </c>
      <c r="D121" s="26">
        <f>IFERROR(__xludf.DUMMYFUNCTION("""COMPUTED_VALUE"""),0.0)</f>
        <v>0</v>
      </c>
      <c r="E121" s="26">
        <f>IFERROR(__xludf.DUMMYFUNCTION("""COMPUTED_VALUE"""),105.0)</f>
        <v>105</v>
      </c>
      <c r="F121" s="26">
        <f>IFERROR(__xludf.DUMMYFUNCTION("""COMPUTED_VALUE"""),0.0)</f>
        <v>0</v>
      </c>
      <c r="G121" s="26">
        <f>IFERROR(__xludf.DUMMYFUNCTION("""COMPUTED_VALUE"""),0.0)</f>
        <v>0</v>
      </c>
      <c r="H121" s="26">
        <f>IFERROR(__xludf.DUMMYFUNCTION("""COMPUTED_VALUE"""),0.0)</f>
        <v>0</v>
      </c>
      <c r="I121" s="26">
        <f>IFERROR(__xludf.DUMMYFUNCTION("""COMPUTED_VALUE"""),0.0)</f>
        <v>0</v>
      </c>
      <c r="J121" s="26">
        <f>IFERROR(__xludf.DUMMYFUNCTION("""COMPUTED_VALUE"""),0.0)</f>
        <v>0</v>
      </c>
      <c r="K121" s="26">
        <f>IFERROR(__xludf.DUMMYFUNCTION("""COMPUTED_VALUE"""),0.0)</f>
        <v>0</v>
      </c>
      <c r="L121" s="26">
        <f>IFERROR(__xludf.DUMMYFUNCTION("""COMPUTED_VALUE"""),0.0)</f>
        <v>0</v>
      </c>
      <c r="M121" s="26"/>
      <c r="N121" s="26"/>
      <c r="O121" s="26"/>
      <c r="P121" s="26"/>
      <c r="Q121" s="26"/>
      <c r="R121" s="26">
        <f>IFERROR(__xludf.DUMMYFUNCTION("""COMPUTED_VALUE"""),105.0)</f>
        <v>105</v>
      </c>
      <c r="S121" s="26">
        <f>IFERROR(__xludf.DUMMYFUNCTION("""COMPUTED_VALUE"""),122951.0)</f>
        <v>122951</v>
      </c>
      <c r="T121" s="26">
        <f>IFERROR(__xludf.DUMMYFUNCTION("""COMPUTED_VALUE"""),42000.0)</f>
        <v>42000</v>
      </c>
      <c r="U121" s="26">
        <f>IFERROR(__xludf.DUMMYFUNCTION("""COMPUTED_VALUE"""),60754.96999999999)</f>
        <v>60754.97</v>
      </c>
      <c r="V121" s="26">
        <f>IFERROR(__xludf.DUMMYFUNCTION("""COMPUTED_VALUE"""),0.0)</f>
        <v>0</v>
      </c>
      <c r="W121" s="26">
        <f>IFERROR(__xludf.DUMMYFUNCTION("""COMPUTED_VALUE"""),0.0)</f>
        <v>0</v>
      </c>
      <c r="X121" s="26">
        <f>IFERROR(__xludf.DUMMYFUNCTION("""COMPUTED_VALUE"""),18754.96999999999)</f>
        <v>18754.97</v>
      </c>
      <c r="Y121" s="26">
        <f>IFERROR(__xludf.DUMMYFUNCTION("""COMPUTED_VALUE"""),18754.96999999999)</f>
        <v>18754.97</v>
      </c>
      <c r="Z121" s="26">
        <f>IFERROR(__xludf.DUMMYFUNCTION("""COMPUTED_VALUE"""),122951.0)</f>
        <v>122951</v>
      </c>
      <c r="AA121" s="26">
        <f>IFERROR(__xludf.DUMMYFUNCTION("""COMPUTED_VALUE"""),63864.79999999998)</f>
        <v>63864.8</v>
      </c>
      <c r="AB121" s="26">
        <f>IFERROR(__xludf.DUMMYFUNCTION("""COMPUTED_VALUE"""),62196.03)</f>
        <v>62196.03</v>
      </c>
      <c r="AC121" s="26">
        <f>IFERROR(__xludf.DUMMYFUNCTION("""COMPUTED_VALUE"""),0.0)</f>
        <v>0</v>
      </c>
      <c r="AD121" s="26">
        <f>IFERROR(__xludf.DUMMYFUNCTION("""COMPUTED_VALUE"""),3109.8300000000027)</f>
        <v>3109.83</v>
      </c>
      <c r="AE121" s="26">
        <f>IFERROR(__xludf.DUMMYFUNCTION("""COMPUTED_VALUE"""),59086.20000000002)</f>
        <v>59086.2</v>
      </c>
    </row>
    <row r="122">
      <c r="A122" s="26">
        <f>IFERROR(__xludf.DUMMYFUNCTION("""COMPUTED_VALUE"""),6.0)</f>
        <v>6</v>
      </c>
      <c r="B122" s="26">
        <f>IFERROR(__xludf.DUMMYFUNCTION("""COMPUTED_VALUE"""),0.0)</f>
        <v>0</v>
      </c>
      <c r="C122" s="26">
        <f>IFERROR(__xludf.DUMMYFUNCTION("""COMPUTED_VALUE"""),0.0)</f>
        <v>0</v>
      </c>
      <c r="D122" s="26">
        <f>IFERROR(__xludf.DUMMYFUNCTION("""COMPUTED_VALUE"""),0.0)</f>
        <v>0</v>
      </c>
      <c r="E122" s="26">
        <f>IFERROR(__xludf.DUMMYFUNCTION("""COMPUTED_VALUE"""),26.0)</f>
        <v>26</v>
      </c>
      <c r="F122" s="26">
        <f>IFERROR(__xludf.DUMMYFUNCTION("""COMPUTED_VALUE"""),0.0)</f>
        <v>0</v>
      </c>
      <c r="G122" s="26">
        <f>IFERROR(__xludf.DUMMYFUNCTION("""COMPUTED_VALUE"""),0.0)</f>
        <v>0</v>
      </c>
      <c r="H122" s="26">
        <f>IFERROR(__xludf.DUMMYFUNCTION("""COMPUTED_VALUE"""),0.0)</f>
        <v>0</v>
      </c>
      <c r="I122" s="26">
        <f>IFERROR(__xludf.DUMMYFUNCTION("""COMPUTED_VALUE"""),0.0)</f>
        <v>0</v>
      </c>
      <c r="J122" s="26">
        <f>IFERROR(__xludf.DUMMYFUNCTION("""COMPUTED_VALUE"""),0.0)</f>
        <v>0</v>
      </c>
      <c r="K122" s="26">
        <f>IFERROR(__xludf.DUMMYFUNCTION("""COMPUTED_VALUE"""),0.0)</f>
        <v>0</v>
      </c>
      <c r="L122" s="26">
        <f>IFERROR(__xludf.DUMMYFUNCTION("""COMPUTED_VALUE"""),0.0)</f>
        <v>0</v>
      </c>
      <c r="M122" s="26"/>
      <c r="N122" s="26"/>
      <c r="O122" s="26"/>
      <c r="P122" s="26"/>
      <c r="Q122" s="26"/>
      <c r="R122" s="26">
        <f>IFERROR(__xludf.DUMMYFUNCTION("""COMPUTED_VALUE"""),32.0)</f>
        <v>32</v>
      </c>
      <c r="S122" s="26">
        <f>IFERROR(__xludf.DUMMYFUNCTION("""COMPUTED_VALUE"""),50840.0)</f>
        <v>50840</v>
      </c>
      <c r="T122" s="26">
        <f>IFERROR(__xludf.DUMMYFUNCTION("""COMPUTED_VALUE"""),5440.0)</f>
        <v>5440</v>
      </c>
      <c r="U122" s="26">
        <f>IFERROR(__xludf.DUMMYFUNCTION("""COMPUTED_VALUE"""),13195.179999999997)</f>
        <v>13195.18</v>
      </c>
      <c r="V122" s="26">
        <f>IFERROR(__xludf.DUMMYFUNCTION("""COMPUTED_VALUE"""),0.0)</f>
        <v>0</v>
      </c>
      <c r="W122" s="26">
        <f>IFERROR(__xludf.DUMMYFUNCTION("""COMPUTED_VALUE"""),0.0)</f>
        <v>0</v>
      </c>
      <c r="X122" s="26">
        <f>IFERROR(__xludf.DUMMYFUNCTION("""COMPUTED_VALUE"""),7755.179999999997)</f>
        <v>7755.18</v>
      </c>
      <c r="Y122" s="26">
        <f>IFERROR(__xludf.DUMMYFUNCTION("""COMPUTED_VALUE"""),7755.179999999997)</f>
        <v>7755.18</v>
      </c>
      <c r="Z122" s="26">
        <f>IFERROR(__xludf.DUMMYFUNCTION("""COMPUTED_VALUE"""),0.0)</f>
        <v>0</v>
      </c>
      <c r="AA122" s="26">
        <f>IFERROR(__xludf.DUMMYFUNCTION("""COMPUTED_VALUE"""),0.0)</f>
        <v>0</v>
      </c>
      <c r="AB122" s="26">
        <f>IFERROR(__xludf.DUMMYFUNCTION("""COMPUTED_VALUE"""),0.0)</f>
        <v>0</v>
      </c>
      <c r="AC122" s="26">
        <f>IFERROR(__xludf.DUMMYFUNCTION("""COMPUTED_VALUE"""),0.0)</f>
        <v>0</v>
      </c>
      <c r="AD122" s="26">
        <f>IFERROR(__xludf.DUMMYFUNCTION("""COMPUTED_VALUE"""),0.0)</f>
        <v>0</v>
      </c>
      <c r="AE122" s="26">
        <f>IFERROR(__xludf.DUMMYFUNCTION("""COMPUTED_VALUE"""),0.0)</f>
        <v>0</v>
      </c>
    </row>
    <row r="123">
      <c r="A123" s="26">
        <f>IFERROR(__xludf.DUMMYFUNCTION("""COMPUTED_VALUE"""),0.0)</f>
        <v>0</v>
      </c>
      <c r="B123" s="26">
        <f>IFERROR(__xludf.DUMMYFUNCTION("""COMPUTED_VALUE"""),0.0)</f>
        <v>0</v>
      </c>
      <c r="C123" s="26">
        <f>IFERROR(__xludf.DUMMYFUNCTION("""COMPUTED_VALUE"""),0.0)</f>
        <v>0</v>
      </c>
      <c r="D123" s="26">
        <f>IFERROR(__xludf.DUMMYFUNCTION("""COMPUTED_VALUE"""),0.0)</f>
        <v>0</v>
      </c>
      <c r="E123" s="26">
        <f>IFERROR(__xludf.DUMMYFUNCTION("""COMPUTED_VALUE"""),10.0)</f>
        <v>10</v>
      </c>
      <c r="F123" s="26">
        <f>IFERROR(__xludf.DUMMYFUNCTION("""COMPUTED_VALUE"""),0.0)</f>
        <v>0</v>
      </c>
      <c r="G123" s="26">
        <f>IFERROR(__xludf.DUMMYFUNCTION("""COMPUTED_VALUE"""),0.0)</f>
        <v>0</v>
      </c>
      <c r="H123" s="26">
        <f>IFERROR(__xludf.DUMMYFUNCTION("""COMPUTED_VALUE"""),0.0)</f>
        <v>0</v>
      </c>
      <c r="I123" s="26">
        <f>IFERROR(__xludf.DUMMYFUNCTION("""COMPUTED_VALUE"""),0.0)</f>
        <v>0</v>
      </c>
      <c r="J123" s="26">
        <f>IFERROR(__xludf.DUMMYFUNCTION("""COMPUTED_VALUE"""),0.0)</f>
        <v>0</v>
      </c>
      <c r="K123" s="26">
        <f>IFERROR(__xludf.DUMMYFUNCTION("""COMPUTED_VALUE"""),0.0)</f>
        <v>0</v>
      </c>
      <c r="L123" s="26">
        <f>IFERROR(__xludf.DUMMYFUNCTION("""COMPUTED_VALUE"""),0.0)</f>
        <v>0</v>
      </c>
      <c r="M123" s="26"/>
      <c r="N123" s="26"/>
      <c r="O123" s="26"/>
      <c r="P123" s="26"/>
      <c r="Q123" s="26"/>
      <c r="R123" s="26">
        <f>IFERROR(__xludf.DUMMYFUNCTION("""COMPUTED_VALUE"""),10.0)</f>
        <v>10</v>
      </c>
      <c r="S123" s="26">
        <f>IFERROR(__xludf.DUMMYFUNCTION("""COMPUTED_VALUE"""),18500.0)</f>
        <v>18500</v>
      </c>
      <c r="T123" s="26">
        <f>IFERROR(__xludf.DUMMYFUNCTION("""COMPUTED_VALUE"""),1700.0)</f>
        <v>1700</v>
      </c>
      <c r="U123" s="26">
        <f>IFERROR(__xludf.DUMMYFUNCTION("""COMPUTED_VALUE"""),4522.0)</f>
        <v>4522</v>
      </c>
      <c r="V123" s="26">
        <f>IFERROR(__xludf.DUMMYFUNCTION("""COMPUTED_VALUE"""),0.0)</f>
        <v>0</v>
      </c>
      <c r="W123" s="26">
        <f>IFERROR(__xludf.DUMMYFUNCTION("""COMPUTED_VALUE"""),0.0)</f>
        <v>0</v>
      </c>
      <c r="X123" s="26">
        <f>IFERROR(__xludf.DUMMYFUNCTION("""COMPUTED_VALUE"""),2821.9999999999995)</f>
        <v>2822</v>
      </c>
      <c r="Y123" s="26">
        <f>IFERROR(__xludf.DUMMYFUNCTION("""COMPUTED_VALUE"""),2821.9999999999995)</f>
        <v>2822</v>
      </c>
      <c r="Z123" s="26">
        <f>IFERROR(__xludf.DUMMYFUNCTION("""COMPUTED_VALUE"""),0.0)</f>
        <v>0</v>
      </c>
      <c r="AA123" s="26">
        <f>IFERROR(__xludf.DUMMYFUNCTION("""COMPUTED_VALUE"""),0.0)</f>
        <v>0</v>
      </c>
      <c r="AB123" s="26">
        <f>IFERROR(__xludf.DUMMYFUNCTION("""COMPUTED_VALUE"""),0.0)</f>
        <v>0</v>
      </c>
      <c r="AC123" s="26">
        <f>IFERROR(__xludf.DUMMYFUNCTION("""COMPUTED_VALUE"""),0.0)</f>
        <v>0</v>
      </c>
      <c r="AD123" s="26">
        <f>IFERROR(__xludf.DUMMYFUNCTION("""COMPUTED_VALUE"""),0.0)</f>
        <v>0</v>
      </c>
      <c r="AE123" s="26">
        <f>IFERROR(__xludf.DUMMYFUNCTION("""COMPUTED_VALUE"""),0.0)</f>
        <v>0</v>
      </c>
    </row>
    <row r="124">
      <c r="A124" s="26">
        <f>IFERROR(__xludf.DUMMYFUNCTION("""COMPUTED_VALUE"""),1.0)</f>
        <v>1</v>
      </c>
      <c r="B124" s="26">
        <f>IFERROR(__xludf.DUMMYFUNCTION("""COMPUTED_VALUE"""),0.0)</f>
        <v>0</v>
      </c>
      <c r="C124" s="26">
        <f>IFERROR(__xludf.DUMMYFUNCTION("""COMPUTED_VALUE"""),0.0)</f>
        <v>0</v>
      </c>
      <c r="D124" s="26">
        <f>IFERROR(__xludf.DUMMYFUNCTION("""COMPUTED_VALUE"""),0.0)</f>
        <v>0</v>
      </c>
      <c r="E124" s="26">
        <f>IFERROR(__xludf.DUMMYFUNCTION("""COMPUTED_VALUE"""),28.0)</f>
        <v>28</v>
      </c>
      <c r="F124" s="26">
        <f>IFERROR(__xludf.DUMMYFUNCTION("""COMPUTED_VALUE"""),0.0)</f>
        <v>0</v>
      </c>
      <c r="G124" s="26">
        <f>IFERROR(__xludf.DUMMYFUNCTION("""COMPUTED_VALUE"""),0.0)</f>
        <v>0</v>
      </c>
      <c r="H124" s="26">
        <f>IFERROR(__xludf.DUMMYFUNCTION("""COMPUTED_VALUE"""),0.0)</f>
        <v>0</v>
      </c>
      <c r="I124" s="26">
        <f>IFERROR(__xludf.DUMMYFUNCTION("""COMPUTED_VALUE"""),0.0)</f>
        <v>0</v>
      </c>
      <c r="J124" s="26">
        <f>IFERROR(__xludf.DUMMYFUNCTION("""COMPUTED_VALUE"""),0.0)</f>
        <v>0</v>
      </c>
      <c r="K124" s="26">
        <f>IFERROR(__xludf.DUMMYFUNCTION("""COMPUTED_VALUE"""),0.0)</f>
        <v>0</v>
      </c>
      <c r="L124" s="26">
        <f>IFERROR(__xludf.DUMMYFUNCTION("""COMPUTED_VALUE"""),0.0)</f>
        <v>0</v>
      </c>
      <c r="M124" s="26"/>
      <c r="N124" s="26"/>
      <c r="O124" s="26"/>
      <c r="P124" s="26"/>
      <c r="Q124" s="26"/>
      <c r="R124" s="26">
        <f>IFERROR(__xludf.DUMMYFUNCTION("""COMPUTED_VALUE"""),29.0)</f>
        <v>29</v>
      </c>
      <c r="S124" s="26">
        <f>IFERROR(__xludf.DUMMYFUNCTION("""COMPUTED_VALUE"""),52190.0)</f>
        <v>52190</v>
      </c>
      <c r="T124" s="26">
        <f>IFERROR(__xludf.DUMMYFUNCTION("""COMPUTED_VALUE"""),4930.0)</f>
        <v>4930</v>
      </c>
      <c r="U124" s="26">
        <f>IFERROR(__xludf.DUMMYFUNCTION("""COMPUTED_VALUE"""),12891.089999999997)</f>
        <v>12891.09</v>
      </c>
      <c r="V124" s="26">
        <f>IFERROR(__xludf.DUMMYFUNCTION("""COMPUTED_VALUE"""),0.0)</f>
        <v>0</v>
      </c>
      <c r="W124" s="26">
        <f>IFERROR(__xludf.DUMMYFUNCTION("""COMPUTED_VALUE"""),0.0)</f>
        <v>0</v>
      </c>
      <c r="X124" s="26">
        <f>IFERROR(__xludf.DUMMYFUNCTION("""COMPUTED_VALUE"""),7961.0899999999965)</f>
        <v>7961.09</v>
      </c>
      <c r="Y124" s="26">
        <f>IFERROR(__xludf.DUMMYFUNCTION("""COMPUTED_VALUE"""),7961.0899999999965)</f>
        <v>7961.09</v>
      </c>
      <c r="Z124" s="26">
        <f>IFERROR(__xludf.DUMMYFUNCTION("""COMPUTED_VALUE"""),0.0)</f>
        <v>0</v>
      </c>
      <c r="AA124" s="26">
        <f>IFERROR(__xludf.DUMMYFUNCTION("""COMPUTED_VALUE"""),0.0)</f>
        <v>0</v>
      </c>
      <c r="AB124" s="26">
        <f>IFERROR(__xludf.DUMMYFUNCTION("""COMPUTED_VALUE"""),0.0)</f>
        <v>0</v>
      </c>
      <c r="AC124" s="26">
        <f>IFERROR(__xludf.DUMMYFUNCTION("""COMPUTED_VALUE"""),0.0)</f>
        <v>0</v>
      </c>
      <c r="AD124" s="26">
        <f>IFERROR(__xludf.DUMMYFUNCTION("""COMPUTED_VALUE"""),0.0)</f>
        <v>0</v>
      </c>
      <c r="AE124" s="26">
        <f>IFERROR(__xludf.DUMMYFUNCTION("""COMPUTED_VALUE"""),0.0)</f>
        <v>0</v>
      </c>
    </row>
    <row r="125">
      <c r="A125" s="26">
        <f>IFERROR(__xludf.DUMMYFUNCTION("""COMPUTED_VALUE"""),3.0)</f>
        <v>3</v>
      </c>
      <c r="B125" s="26">
        <f>IFERROR(__xludf.DUMMYFUNCTION("""COMPUTED_VALUE"""),0.0)</f>
        <v>0</v>
      </c>
      <c r="C125" s="26">
        <f>IFERROR(__xludf.DUMMYFUNCTION("""COMPUTED_VALUE"""),0.0)</f>
        <v>0</v>
      </c>
      <c r="D125" s="26">
        <f>IFERROR(__xludf.DUMMYFUNCTION("""COMPUTED_VALUE"""),0.0)</f>
        <v>0</v>
      </c>
      <c r="E125" s="26">
        <f>IFERROR(__xludf.DUMMYFUNCTION("""COMPUTED_VALUE"""),55.0)</f>
        <v>55</v>
      </c>
      <c r="F125" s="26">
        <f>IFERROR(__xludf.DUMMYFUNCTION("""COMPUTED_VALUE"""),0.0)</f>
        <v>0</v>
      </c>
      <c r="G125" s="26">
        <f>IFERROR(__xludf.DUMMYFUNCTION("""COMPUTED_VALUE"""),0.0)</f>
        <v>0</v>
      </c>
      <c r="H125" s="26">
        <f>IFERROR(__xludf.DUMMYFUNCTION("""COMPUTED_VALUE"""),0.0)</f>
        <v>0</v>
      </c>
      <c r="I125" s="26">
        <f>IFERROR(__xludf.DUMMYFUNCTION("""COMPUTED_VALUE"""),0.0)</f>
        <v>0</v>
      </c>
      <c r="J125" s="26">
        <f>IFERROR(__xludf.DUMMYFUNCTION("""COMPUTED_VALUE"""),0.0)</f>
        <v>0</v>
      </c>
      <c r="K125" s="26">
        <f>IFERROR(__xludf.DUMMYFUNCTION("""COMPUTED_VALUE"""),0.0)</f>
        <v>0</v>
      </c>
      <c r="L125" s="26">
        <f>IFERROR(__xludf.DUMMYFUNCTION("""COMPUTED_VALUE"""),0.0)</f>
        <v>0</v>
      </c>
      <c r="M125" s="26"/>
      <c r="N125" s="26"/>
      <c r="O125" s="26"/>
      <c r="P125" s="26"/>
      <c r="Q125" s="26"/>
      <c r="R125" s="26">
        <f>IFERROR(__xludf.DUMMYFUNCTION("""COMPUTED_VALUE"""),58.0)</f>
        <v>58</v>
      </c>
      <c r="S125" s="26">
        <f>IFERROR(__xludf.DUMMYFUNCTION("""COMPUTED_VALUE"""),103220.0)</f>
        <v>103220</v>
      </c>
      <c r="T125" s="26">
        <f>IFERROR(__xludf.DUMMYFUNCTION("""COMPUTED_VALUE"""),9860.0)</f>
        <v>9860</v>
      </c>
      <c r="U125" s="26">
        <f>IFERROR(__xludf.DUMMYFUNCTION("""COMPUTED_VALUE"""),25605.250000000015)</f>
        <v>25605.25</v>
      </c>
      <c r="V125" s="26">
        <f>IFERROR(__xludf.DUMMYFUNCTION("""COMPUTED_VALUE"""),0.0)</f>
        <v>0</v>
      </c>
      <c r="W125" s="26">
        <f>IFERROR(__xludf.DUMMYFUNCTION("""COMPUTED_VALUE"""),0.0)</f>
        <v>0</v>
      </c>
      <c r="X125" s="26">
        <f>IFERROR(__xludf.DUMMYFUNCTION("""COMPUTED_VALUE"""),15745.250000000016)</f>
        <v>15745.25</v>
      </c>
      <c r="Y125" s="26">
        <f>IFERROR(__xludf.DUMMYFUNCTION("""COMPUTED_VALUE"""),15745.250000000016)</f>
        <v>15745.25</v>
      </c>
      <c r="Z125" s="26">
        <f>IFERROR(__xludf.DUMMYFUNCTION("""COMPUTED_VALUE"""),0.0)</f>
        <v>0</v>
      </c>
      <c r="AA125" s="26">
        <f>IFERROR(__xludf.DUMMYFUNCTION("""COMPUTED_VALUE"""),0.0)</f>
        <v>0</v>
      </c>
      <c r="AB125" s="26">
        <f>IFERROR(__xludf.DUMMYFUNCTION("""COMPUTED_VALUE"""),0.0)</f>
        <v>0</v>
      </c>
      <c r="AC125" s="26">
        <f>IFERROR(__xludf.DUMMYFUNCTION("""COMPUTED_VALUE"""),0.0)</f>
        <v>0</v>
      </c>
      <c r="AD125" s="26">
        <f>IFERROR(__xludf.DUMMYFUNCTION("""COMPUTED_VALUE"""),0.0)</f>
        <v>0</v>
      </c>
      <c r="AE125" s="26">
        <f>IFERROR(__xludf.DUMMYFUNCTION("""COMPUTED_VALUE"""),0.0)</f>
        <v>0</v>
      </c>
    </row>
    <row r="126">
      <c r="A126" s="26">
        <f>IFERROR(__xludf.DUMMYFUNCTION("""COMPUTED_VALUE"""),0.0)</f>
        <v>0</v>
      </c>
      <c r="B126" s="26">
        <f>IFERROR(__xludf.DUMMYFUNCTION("""COMPUTED_VALUE"""),0.0)</f>
        <v>0</v>
      </c>
      <c r="C126" s="26">
        <f>IFERROR(__xludf.DUMMYFUNCTION("""COMPUTED_VALUE"""),0.0)</f>
        <v>0</v>
      </c>
      <c r="D126" s="26">
        <f>IFERROR(__xludf.DUMMYFUNCTION("""COMPUTED_VALUE"""),0.0)</f>
        <v>0</v>
      </c>
      <c r="E126" s="26">
        <f>IFERROR(__xludf.DUMMYFUNCTION("""COMPUTED_VALUE"""),0.0)</f>
        <v>0</v>
      </c>
      <c r="F126" s="26">
        <f>IFERROR(__xludf.DUMMYFUNCTION("""COMPUTED_VALUE"""),0.0)</f>
        <v>0</v>
      </c>
      <c r="G126" s="26">
        <f>IFERROR(__xludf.DUMMYFUNCTION("""COMPUTED_VALUE"""),0.0)</f>
        <v>0</v>
      </c>
      <c r="H126" s="26">
        <f>IFERROR(__xludf.DUMMYFUNCTION("""COMPUTED_VALUE"""),0.0)</f>
        <v>0</v>
      </c>
      <c r="I126" s="26">
        <f>IFERROR(__xludf.DUMMYFUNCTION("""COMPUTED_VALUE"""),0.0)</f>
        <v>0</v>
      </c>
      <c r="J126" s="26">
        <f>IFERROR(__xludf.DUMMYFUNCTION("""COMPUTED_VALUE"""),0.0)</f>
        <v>0</v>
      </c>
      <c r="K126" s="26">
        <f>IFERROR(__xludf.DUMMYFUNCTION("""COMPUTED_VALUE"""),0.0)</f>
        <v>0</v>
      </c>
      <c r="L126" s="26">
        <f>IFERROR(__xludf.DUMMYFUNCTION("""COMPUTED_VALUE"""),0.0)</f>
        <v>0</v>
      </c>
      <c r="M126" s="26"/>
      <c r="N126" s="26"/>
      <c r="O126" s="26"/>
      <c r="P126" s="26"/>
      <c r="Q126" s="26"/>
      <c r="R126" s="26">
        <f>IFERROR(__xludf.DUMMYFUNCTION("""COMPUTED_VALUE"""),0.0)</f>
        <v>0</v>
      </c>
      <c r="S126" s="26">
        <f>IFERROR(__xludf.DUMMYFUNCTION("""COMPUTED_VALUE"""),0.0)</f>
        <v>0</v>
      </c>
      <c r="T126" s="26">
        <f>IFERROR(__xludf.DUMMYFUNCTION("""COMPUTED_VALUE"""),0.0)</f>
        <v>0</v>
      </c>
      <c r="U126" s="26">
        <f>IFERROR(__xludf.DUMMYFUNCTION("""COMPUTED_VALUE"""),0.0)</f>
        <v>0</v>
      </c>
      <c r="V126" s="26">
        <f>IFERROR(__xludf.DUMMYFUNCTION("""COMPUTED_VALUE"""),0.0)</f>
        <v>0</v>
      </c>
      <c r="W126" s="26">
        <f>IFERROR(__xludf.DUMMYFUNCTION("""COMPUTED_VALUE"""),0.0)</f>
        <v>0</v>
      </c>
      <c r="X126" s="26">
        <f>IFERROR(__xludf.DUMMYFUNCTION("""COMPUTED_VALUE"""),0.0)</f>
        <v>0</v>
      </c>
      <c r="Y126" s="26">
        <f>IFERROR(__xludf.DUMMYFUNCTION("""COMPUTED_VALUE"""),0.0)</f>
        <v>0</v>
      </c>
      <c r="Z126" s="26">
        <f>IFERROR(__xludf.DUMMYFUNCTION("""COMPUTED_VALUE"""),0.0)</f>
        <v>0</v>
      </c>
      <c r="AA126" s="26">
        <f>IFERROR(__xludf.DUMMYFUNCTION("""COMPUTED_VALUE"""),0.0)</f>
        <v>0</v>
      </c>
      <c r="AB126" s="26">
        <f>IFERROR(__xludf.DUMMYFUNCTION("""COMPUTED_VALUE"""),0.0)</f>
        <v>0</v>
      </c>
      <c r="AC126" s="26">
        <f>IFERROR(__xludf.DUMMYFUNCTION("""COMPUTED_VALUE"""),0.0)</f>
        <v>0</v>
      </c>
      <c r="AD126" s="26">
        <f>IFERROR(__xludf.DUMMYFUNCTION("""COMPUTED_VALUE"""),0.0)</f>
        <v>0</v>
      </c>
      <c r="AE126" s="26">
        <f>IFERROR(__xludf.DUMMYFUNCTION("""COMPUTED_VALUE"""),0.0)</f>
        <v>0</v>
      </c>
    </row>
    <row r="127">
      <c r="A127" s="26">
        <f>IFERROR(__xludf.DUMMYFUNCTION("""COMPUTED_VALUE"""),0.0)</f>
        <v>0</v>
      </c>
      <c r="B127" s="26">
        <f>IFERROR(__xludf.DUMMYFUNCTION("""COMPUTED_VALUE"""),0.0)</f>
        <v>0</v>
      </c>
      <c r="C127" s="26">
        <f>IFERROR(__xludf.DUMMYFUNCTION("""COMPUTED_VALUE"""),0.0)</f>
        <v>0</v>
      </c>
      <c r="D127" s="26">
        <f>IFERROR(__xludf.DUMMYFUNCTION("""COMPUTED_VALUE"""),0.0)</f>
        <v>0</v>
      </c>
      <c r="E127" s="26">
        <f>IFERROR(__xludf.DUMMYFUNCTION("""COMPUTED_VALUE"""),0.0)</f>
        <v>0</v>
      </c>
      <c r="F127" s="26">
        <f>IFERROR(__xludf.DUMMYFUNCTION("""COMPUTED_VALUE"""),0.0)</f>
        <v>0</v>
      </c>
      <c r="G127" s="26">
        <f>IFERROR(__xludf.DUMMYFUNCTION("""COMPUTED_VALUE"""),0.0)</f>
        <v>0</v>
      </c>
      <c r="H127" s="26">
        <f>IFERROR(__xludf.DUMMYFUNCTION("""COMPUTED_VALUE"""),0.0)</f>
        <v>0</v>
      </c>
      <c r="I127" s="26">
        <f>IFERROR(__xludf.DUMMYFUNCTION("""COMPUTED_VALUE"""),0.0)</f>
        <v>0</v>
      </c>
      <c r="J127" s="26">
        <f>IFERROR(__xludf.DUMMYFUNCTION("""COMPUTED_VALUE"""),0.0)</f>
        <v>0</v>
      </c>
      <c r="K127" s="26">
        <f>IFERROR(__xludf.DUMMYFUNCTION("""COMPUTED_VALUE"""),0.0)</f>
        <v>0</v>
      </c>
      <c r="L127" s="26">
        <f>IFERROR(__xludf.DUMMYFUNCTION("""COMPUTED_VALUE"""),0.0)</f>
        <v>0</v>
      </c>
      <c r="M127" s="26"/>
      <c r="N127" s="26"/>
      <c r="O127" s="26"/>
      <c r="P127" s="26"/>
      <c r="Q127" s="26"/>
      <c r="R127" s="26">
        <f>IFERROR(__xludf.DUMMYFUNCTION("""COMPUTED_VALUE"""),0.0)</f>
        <v>0</v>
      </c>
      <c r="S127" s="26">
        <f>IFERROR(__xludf.DUMMYFUNCTION("""COMPUTED_VALUE"""),0.0)</f>
        <v>0</v>
      </c>
      <c r="T127" s="26">
        <f>IFERROR(__xludf.DUMMYFUNCTION("""COMPUTED_VALUE"""),0.0)</f>
        <v>0</v>
      </c>
      <c r="U127" s="26">
        <f>IFERROR(__xludf.DUMMYFUNCTION("""COMPUTED_VALUE"""),0.0)</f>
        <v>0</v>
      </c>
      <c r="V127" s="26">
        <f>IFERROR(__xludf.DUMMYFUNCTION("""COMPUTED_VALUE"""),0.0)</f>
        <v>0</v>
      </c>
      <c r="W127" s="26">
        <f>IFERROR(__xludf.DUMMYFUNCTION("""COMPUTED_VALUE"""),0.0)</f>
        <v>0</v>
      </c>
      <c r="X127" s="26">
        <f>IFERROR(__xludf.DUMMYFUNCTION("""COMPUTED_VALUE"""),0.0)</f>
        <v>0</v>
      </c>
      <c r="Y127" s="26">
        <f>IFERROR(__xludf.DUMMYFUNCTION("""COMPUTED_VALUE"""),0.0)</f>
        <v>0</v>
      </c>
      <c r="Z127" s="26">
        <f>IFERROR(__xludf.DUMMYFUNCTION("""COMPUTED_VALUE"""),0.0)</f>
        <v>0</v>
      </c>
      <c r="AA127" s="26">
        <f>IFERROR(__xludf.DUMMYFUNCTION("""COMPUTED_VALUE"""),0.0)</f>
        <v>0</v>
      </c>
      <c r="AB127" s="26">
        <f>IFERROR(__xludf.DUMMYFUNCTION("""COMPUTED_VALUE"""),0.0)</f>
        <v>0</v>
      </c>
      <c r="AC127" s="26">
        <f>IFERROR(__xludf.DUMMYFUNCTION("""COMPUTED_VALUE"""),0.0)</f>
        <v>0</v>
      </c>
      <c r="AD127" s="26">
        <f>IFERROR(__xludf.DUMMYFUNCTION("""COMPUTED_VALUE"""),0.0)</f>
        <v>0</v>
      </c>
      <c r="AE127" s="26">
        <f>IFERROR(__xludf.DUMMYFUNCTION("""COMPUTED_VALUE"""),0.0)</f>
        <v>0</v>
      </c>
    </row>
    <row r="128">
      <c r="A128" s="26">
        <f>IFERROR(__xludf.DUMMYFUNCTION("""COMPUTED_VALUE"""),0.0)</f>
        <v>0</v>
      </c>
      <c r="B128" s="26">
        <f>IFERROR(__xludf.DUMMYFUNCTION("""COMPUTED_VALUE"""),0.0)</f>
        <v>0</v>
      </c>
      <c r="C128" s="26">
        <f>IFERROR(__xludf.DUMMYFUNCTION("""COMPUTED_VALUE"""),0.0)</f>
        <v>0</v>
      </c>
      <c r="D128" s="26">
        <f>IFERROR(__xludf.DUMMYFUNCTION("""COMPUTED_VALUE"""),0.0)</f>
        <v>0</v>
      </c>
      <c r="E128" s="26">
        <f>IFERROR(__xludf.DUMMYFUNCTION("""COMPUTED_VALUE"""),0.0)</f>
        <v>0</v>
      </c>
      <c r="F128" s="26">
        <f>IFERROR(__xludf.DUMMYFUNCTION("""COMPUTED_VALUE"""),0.0)</f>
        <v>0</v>
      </c>
      <c r="G128" s="26">
        <f>IFERROR(__xludf.DUMMYFUNCTION("""COMPUTED_VALUE"""),0.0)</f>
        <v>0</v>
      </c>
      <c r="H128" s="26">
        <f>IFERROR(__xludf.DUMMYFUNCTION("""COMPUTED_VALUE"""),0.0)</f>
        <v>0</v>
      </c>
      <c r="I128" s="26">
        <f>IFERROR(__xludf.DUMMYFUNCTION("""COMPUTED_VALUE"""),0.0)</f>
        <v>0</v>
      </c>
      <c r="J128" s="26">
        <f>IFERROR(__xludf.DUMMYFUNCTION("""COMPUTED_VALUE"""),0.0)</f>
        <v>0</v>
      </c>
      <c r="K128" s="26">
        <f>IFERROR(__xludf.DUMMYFUNCTION("""COMPUTED_VALUE"""),0.0)</f>
        <v>0</v>
      </c>
      <c r="L128" s="26">
        <f>IFERROR(__xludf.DUMMYFUNCTION("""COMPUTED_VALUE"""),0.0)</f>
        <v>0</v>
      </c>
      <c r="M128" s="26"/>
      <c r="N128" s="26"/>
      <c r="O128" s="26"/>
      <c r="P128" s="26"/>
      <c r="Q128" s="26"/>
      <c r="R128" s="26">
        <f>IFERROR(__xludf.DUMMYFUNCTION("""COMPUTED_VALUE"""),0.0)</f>
        <v>0</v>
      </c>
      <c r="S128" s="26">
        <f>IFERROR(__xludf.DUMMYFUNCTION("""COMPUTED_VALUE"""),0.0)</f>
        <v>0</v>
      </c>
      <c r="T128" s="26">
        <f>IFERROR(__xludf.DUMMYFUNCTION("""COMPUTED_VALUE"""),0.0)</f>
        <v>0</v>
      </c>
      <c r="U128" s="26">
        <f>IFERROR(__xludf.DUMMYFUNCTION("""COMPUTED_VALUE"""),0.0)</f>
        <v>0</v>
      </c>
      <c r="V128" s="26">
        <f>IFERROR(__xludf.DUMMYFUNCTION("""COMPUTED_VALUE"""),0.0)</f>
        <v>0</v>
      </c>
      <c r="W128" s="26">
        <f>IFERROR(__xludf.DUMMYFUNCTION("""COMPUTED_VALUE"""),0.0)</f>
        <v>0</v>
      </c>
      <c r="X128" s="26">
        <f>IFERROR(__xludf.DUMMYFUNCTION("""COMPUTED_VALUE"""),0.0)</f>
        <v>0</v>
      </c>
      <c r="Y128" s="26">
        <f>IFERROR(__xludf.DUMMYFUNCTION("""COMPUTED_VALUE"""),0.0)</f>
        <v>0</v>
      </c>
      <c r="Z128" s="26">
        <f>IFERROR(__xludf.DUMMYFUNCTION("""COMPUTED_VALUE"""),0.0)</f>
        <v>0</v>
      </c>
      <c r="AA128" s="26">
        <f>IFERROR(__xludf.DUMMYFUNCTION("""COMPUTED_VALUE"""),0.0)</f>
        <v>0</v>
      </c>
      <c r="AB128" s="26">
        <f>IFERROR(__xludf.DUMMYFUNCTION("""COMPUTED_VALUE"""),0.0)</f>
        <v>0</v>
      </c>
      <c r="AC128" s="26">
        <f>IFERROR(__xludf.DUMMYFUNCTION("""COMPUTED_VALUE"""),0.0)</f>
        <v>0</v>
      </c>
      <c r="AD128" s="26">
        <f>IFERROR(__xludf.DUMMYFUNCTION("""COMPUTED_VALUE"""),0.0)</f>
        <v>0</v>
      </c>
      <c r="AE128" s="26">
        <f>IFERROR(__xludf.DUMMYFUNCTION("""COMPUTED_VALUE"""),0.0)</f>
        <v>0</v>
      </c>
    </row>
    <row r="129">
      <c r="A129" s="26">
        <f>IFERROR(__xludf.DUMMYFUNCTION("""COMPUTED_VALUE"""),0.0)</f>
        <v>0</v>
      </c>
      <c r="B129" s="26">
        <f>IFERROR(__xludf.DUMMYFUNCTION("""COMPUTED_VALUE"""),0.0)</f>
        <v>0</v>
      </c>
      <c r="C129" s="26">
        <f>IFERROR(__xludf.DUMMYFUNCTION("""COMPUTED_VALUE"""),0.0)</f>
        <v>0</v>
      </c>
      <c r="D129" s="26">
        <f>IFERROR(__xludf.DUMMYFUNCTION("""COMPUTED_VALUE"""),0.0)</f>
        <v>0</v>
      </c>
      <c r="E129" s="26">
        <f>IFERROR(__xludf.DUMMYFUNCTION("""COMPUTED_VALUE"""),0.0)</f>
        <v>0</v>
      </c>
      <c r="F129" s="26">
        <f>IFERROR(__xludf.DUMMYFUNCTION("""COMPUTED_VALUE"""),0.0)</f>
        <v>0</v>
      </c>
      <c r="G129" s="26">
        <f>IFERROR(__xludf.DUMMYFUNCTION("""COMPUTED_VALUE"""),0.0)</f>
        <v>0</v>
      </c>
      <c r="H129" s="26">
        <f>IFERROR(__xludf.DUMMYFUNCTION("""COMPUTED_VALUE"""),0.0)</f>
        <v>0</v>
      </c>
      <c r="I129" s="26">
        <f>IFERROR(__xludf.DUMMYFUNCTION("""COMPUTED_VALUE"""),0.0)</f>
        <v>0</v>
      </c>
      <c r="J129" s="26">
        <f>IFERROR(__xludf.DUMMYFUNCTION("""COMPUTED_VALUE"""),0.0)</f>
        <v>0</v>
      </c>
      <c r="K129" s="26">
        <f>IFERROR(__xludf.DUMMYFUNCTION("""COMPUTED_VALUE"""),0.0)</f>
        <v>0</v>
      </c>
      <c r="L129" s="26">
        <f>IFERROR(__xludf.DUMMYFUNCTION("""COMPUTED_VALUE"""),0.0)</f>
        <v>0</v>
      </c>
      <c r="M129" s="26"/>
      <c r="N129" s="26"/>
      <c r="O129" s="26"/>
      <c r="P129" s="26"/>
      <c r="Q129" s="26"/>
      <c r="R129" s="26">
        <f>IFERROR(__xludf.DUMMYFUNCTION("""COMPUTED_VALUE"""),0.0)</f>
        <v>0</v>
      </c>
      <c r="S129" s="26">
        <f>IFERROR(__xludf.DUMMYFUNCTION("""COMPUTED_VALUE"""),0.0)</f>
        <v>0</v>
      </c>
      <c r="T129" s="26">
        <f>IFERROR(__xludf.DUMMYFUNCTION("""COMPUTED_VALUE"""),0.0)</f>
        <v>0</v>
      </c>
      <c r="U129" s="26">
        <f>IFERROR(__xludf.DUMMYFUNCTION("""COMPUTED_VALUE"""),0.0)</f>
        <v>0</v>
      </c>
      <c r="V129" s="26">
        <f>IFERROR(__xludf.DUMMYFUNCTION("""COMPUTED_VALUE"""),0.0)</f>
        <v>0</v>
      </c>
      <c r="W129" s="26">
        <f>IFERROR(__xludf.DUMMYFUNCTION("""COMPUTED_VALUE"""),0.0)</f>
        <v>0</v>
      </c>
      <c r="X129" s="26">
        <f>IFERROR(__xludf.DUMMYFUNCTION("""COMPUTED_VALUE"""),0.0)</f>
        <v>0</v>
      </c>
      <c r="Y129" s="26">
        <f>IFERROR(__xludf.DUMMYFUNCTION("""COMPUTED_VALUE"""),0.0)</f>
        <v>0</v>
      </c>
      <c r="Z129" s="26">
        <f>IFERROR(__xludf.DUMMYFUNCTION("""COMPUTED_VALUE"""),0.0)</f>
        <v>0</v>
      </c>
      <c r="AA129" s="26">
        <f>IFERROR(__xludf.DUMMYFUNCTION("""COMPUTED_VALUE"""),0.0)</f>
        <v>0</v>
      </c>
      <c r="AB129" s="26">
        <f>IFERROR(__xludf.DUMMYFUNCTION("""COMPUTED_VALUE"""),0.0)</f>
        <v>0</v>
      </c>
      <c r="AC129" s="26">
        <f>IFERROR(__xludf.DUMMYFUNCTION("""COMPUTED_VALUE"""),0.0)</f>
        <v>0</v>
      </c>
      <c r="AD129" s="26">
        <f>IFERROR(__xludf.DUMMYFUNCTION("""COMPUTED_VALUE"""),0.0)</f>
        <v>0</v>
      </c>
      <c r="AE129" s="26">
        <f>IFERROR(__xludf.DUMMYFUNCTION("""COMPUTED_VALUE"""),0.0)</f>
        <v>0</v>
      </c>
    </row>
    <row r="130">
      <c r="A130" s="26">
        <f>IFERROR(__xludf.DUMMYFUNCTION("""COMPUTED_VALUE"""),0.0)</f>
        <v>0</v>
      </c>
      <c r="B130" s="26">
        <f>IFERROR(__xludf.DUMMYFUNCTION("""COMPUTED_VALUE"""),0.0)</f>
        <v>0</v>
      </c>
      <c r="C130" s="26">
        <f>IFERROR(__xludf.DUMMYFUNCTION("""COMPUTED_VALUE"""),0.0)</f>
        <v>0</v>
      </c>
      <c r="D130" s="26">
        <f>IFERROR(__xludf.DUMMYFUNCTION("""COMPUTED_VALUE"""),0.0)</f>
        <v>0</v>
      </c>
      <c r="E130" s="26">
        <f>IFERROR(__xludf.DUMMYFUNCTION("""COMPUTED_VALUE"""),0.0)</f>
        <v>0</v>
      </c>
      <c r="F130" s="26">
        <f>IFERROR(__xludf.DUMMYFUNCTION("""COMPUTED_VALUE"""),0.0)</f>
        <v>0</v>
      </c>
      <c r="G130" s="26">
        <f>IFERROR(__xludf.DUMMYFUNCTION("""COMPUTED_VALUE"""),0.0)</f>
        <v>0</v>
      </c>
      <c r="H130" s="26">
        <f>IFERROR(__xludf.DUMMYFUNCTION("""COMPUTED_VALUE"""),0.0)</f>
        <v>0</v>
      </c>
      <c r="I130" s="26">
        <f>IFERROR(__xludf.DUMMYFUNCTION("""COMPUTED_VALUE"""),0.0)</f>
        <v>0</v>
      </c>
      <c r="J130" s="26">
        <f>IFERROR(__xludf.DUMMYFUNCTION("""COMPUTED_VALUE"""),0.0)</f>
        <v>0</v>
      </c>
      <c r="K130" s="26">
        <f>IFERROR(__xludf.DUMMYFUNCTION("""COMPUTED_VALUE"""),0.0)</f>
        <v>0</v>
      </c>
      <c r="L130" s="26">
        <f>IFERROR(__xludf.DUMMYFUNCTION("""COMPUTED_VALUE"""),0.0)</f>
        <v>0</v>
      </c>
      <c r="M130" s="26"/>
      <c r="N130" s="26"/>
      <c r="O130" s="26"/>
      <c r="P130" s="26"/>
      <c r="Q130" s="26"/>
      <c r="R130" s="26">
        <f>IFERROR(__xludf.DUMMYFUNCTION("""COMPUTED_VALUE"""),0.0)</f>
        <v>0</v>
      </c>
      <c r="S130" s="26">
        <f>IFERROR(__xludf.DUMMYFUNCTION("""COMPUTED_VALUE"""),0.0)</f>
        <v>0</v>
      </c>
      <c r="T130" s="26">
        <f>IFERROR(__xludf.DUMMYFUNCTION("""COMPUTED_VALUE"""),0.0)</f>
        <v>0</v>
      </c>
      <c r="U130" s="26">
        <f>IFERROR(__xludf.DUMMYFUNCTION("""COMPUTED_VALUE"""),0.0)</f>
        <v>0</v>
      </c>
      <c r="V130" s="26">
        <f>IFERROR(__xludf.DUMMYFUNCTION("""COMPUTED_VALUE"""),0.0)</f>
        <v>0</v>
      </c>
      <c r="W130" s="26">
        <f>IFERROR(__xludf.DUMMYFUNCTION("""COMPUTED_VALUE"""),0.0)</f>
        <v>0</v>
      </c>
      <c r="X130" s="26">
        <f>IFERROR(__xludf.DUMMYFUNCTION("""COMPUTED_VALUE"""),0.0)</f>
        <v>0</v>
      </c>
      <c r="Y130" s="26">
        <f>IFERROR(__xludf.DUMMYFUNCTION("""COMPUTED_VALUE"""),0.0)</f>
        <v>0</v>
      </c>
      <c r="Z130" s="26">
        <f>IFERROR(__xludf.DUMMYFUNCTION("""COMPUTED_VALUE"""),0.0)</f>
        <v>0</v>
      </c>
      <c r="AA130" s="26">
        <f>IFERROR(__xludf.DUMMYFUNCTION("""COMPUTED_VALUE"""),0.0)</f>
        <v>0</v>
      </c>
      <c r="AB130" s="26">
        <f>IFERROR(__xludf.DUMMYFUNCTION("""COMPUTED_VALUE"""),0.0)</f>
        <v>0</v>
      </c>
      <c r="AC130" s="26">
        <f>IFERROR(__xludf.DUMMYFUNCTION("""COMPUTED_VALUE"""),0.0)</f>
        <v>0</v>
      </c>
      <c r="AD130" s="26">
        <f>IFERROR(__xludf.DUMMYFUNCTION("""COMPUTED_VALUE"""),0.0)</f>
        <v>0</v>
      </c>
      <c r="AE130" s="26">
        <f>IFERROR(__xludf.DUMMYFUNCTION("""COMPUTED_VALUE"""),0.0)</f>
        <v>0</v>
      </c>
    </row>
    <row r="131">
      <c r="A131" s="26">
        <f>IFERROR(__xludf.DUMMYFUNCTION("""COMPUTED_VALUE"""),0.0)</f>
        <v>0</v>
      </c>
      <c r="B131" s="26">
        <f>IFERROR(__xludf.DUMMYFUNCTION("""COMPUTED_VALUE"""),0.0)</f>
        <v>0</v>
      </c>
      <c r="C131" s="26">
        <f>IFERROR(__xludf.DUMMYFUNCTION("""COMPUTED_VALUE"""),0.0)</f>
        <v>0</v>
      </c>
      <c r="D131" s="26">
        <f>IFERROR(__xludf.DUMMYFUNCTION("""COMPUTED_VALUE"""),0.0)</f>
        <v>0</v>
      </c>
      <c r="E131" s="26">
        <f>IFERROR(__xludf.DUMMYFUNCTION("""COMPUTED_VALUE"""),0.0)</f>
        <v>0</v>
      </c>
      <c r="F131" s="26">
        <f>IFERROR(__xludf.DUMMYFUNCTION("""COMPUTED_VALUE"""),0.0)</f>
        <v>0</v>
      </c>
      <c r="G131" s="26">
        <f>IFERROR(__xludf.DUMMYFUNCTION("""COMPUTED_VALUE"""),0.0)</f>
        <v>0</v>
      </c>
      <c r="H131" s="26">
        <f>IFERROR(__xludf.DUMMYFUNCTION("""COMPUTED_VALUE"""),0.0)</f>
        <v>0</v>
      </c>
      <c r="I131" s="26">
        <f>IFERROR(__xludf.DUMMYFUNCTION("""COMPUTED_VALUE"""),0.0)</f>
        <v>0</v>
      </c>
      <c r="J131" s="26">
        <f>IFERROR(__xludf.DUMMYFUNCTION("""COMPUTED_VALUE"""),0.0)</f>
        <v>0</v>
      </c>
      <c r="K131" s="26">
        <f>IFERROR(__xludf.DUMMYFUNCTION("""COMPUTED_VALUE"""),0.0)</f>
        <v>0</v>
      </c>
      <c r="L131" s="26">
        <f>IFERROR(__xludf.DUMMYFUNCTION("""COMPUTED_VALUE"""),0.0)</f>
        <v>0</v>
      </c>
      <c r="M131" s="26"/>
      <c r="N131" s="26"/>
      <c r="O131" s="26"/>
      <c r="P131" s="26"/>
      <c r="Q131" s="26"/>
      <c r="R131" s="26">
        <f>IFERROR(__xludf.DUMMYFUNCTION("""COMPUTED_VALUE"""),0.0)</f>
        <v>0</v>
      </c>
      <c r="S131" s="26">
        <f>IFERROR(__xludf.DUMMYFUNCTION("""COMPUTED_VALUE"""),0.0)</f>
        <v>0</v>
      </c>
      <c r="T131" s="26">
        <f>IFERROR(__xludf.DUMMYFUNCTION("""COMPUTED_VALUE"""),0.0)</f>
        <v>0</v>
      </c>
      <c r="U131" s="26">
        <f>IFERROR(__xludf.DUMMYFUNCTION("""COMPUTED_VALUE"""),0.0)</f>
        <v>0</v>
      </c>
      <c r="V131" s="26">
        <f>IFERROR(__xludf.DUMMYFUNCTION("""COMPUTED_VALUE"""),0.0)</f>
        <v>0</v>
      </c>
      <c r="W131" s="26">
        <f>IFERROR(__xludf.DUMMYFUNCTION("""COMPUTED_VALUE"""),0.0)</f>
        <v>0</v>
      </c>
      <c r="X131" s="26">
        <f>IFERROR(__xludf.DUMMYFUNCTION("""COMPUTED_VALUE"""),0.0)</f>
        <v>0</v>
      </c>
      <c r="Y131" s="26">
        <f>IFERROR(__xludf.DUMMYFUNCTION("""COMPUTED_VALUE"""),0.0)</f>
        <v>0</v>
      </c>
      <c r="Z131" s="26">
        <f>IFERROR(__xludf.DUMMYFUNCTION("""COMPUTED_VALUE"""),0.0)</f>
        <v>0</v>
      </c>
      <c r="AA131" s="26">
        <f>IFERROR(__xludf.DUMMYFUNCTION("""COMPUTED_VALUE"""),0.0)</f>
        <v>0</v>
      </c>
      <c r="AB131" s="26">
        <f>IFERROR(__xludf.DUMMYFUNCTION("""COMPUTED_VALUE"""),0.0)</f>
        <v>0</v>
      </c>
      <c r="AC131" s="26">
        <f>IFERROR(__xludf.DUMMYFUNCTION("""COMPUTED_VALUE"""),0.0)</f>
        <v>0</v>
      </c>
      <c r="AD131" s="26">
        <f>IFERROR(__xludf.DUMMYFUNCTION("""COMPUTED_VALUE"""),0.0)</f>
        <v>0</v>
      </c>
      <c r="AE131" s="26">
        <f>IFERROR(__xludf.DUMMYFUNCTION("""COMPUTED_VALUE"""),0.0)</f>
        <v>0</v>
      </c>
    </row>
    <row r="132">
      <c r="A132" s="26">
        <f>IFERROR(__xludf.DUMMYFUNCTION("""COMPUTED_VALUE"""),0.0)</f>
        <v>0</v>
      </c>
      <c r="B132" s="26">
        <f>IFERROR(__xludf.DUMMYFUNCTION("""COMPUTED_VALUE"""),0.0)</f>
        <v>0</v>
      </c>
      <c r="C132" s="26">
        <f>IFERROR(__xludf.DUMMYFUNCTION("""COMPUTED_VALUE"""),0.0)</f>
        <v>0</v>
      </c>
      <c r="D132" s="26">
        <f>IFERROR(__xludf.DUMMYFUNCTION("""COMPUTED_VALUE"""),0.0)</f>
        <v>0</v>
      </c>
      <c r="E132" s="26">
        <f>IFERROR(__xludf.DUMMYFUNCTION("""COMPUTED_VALUE"""),0.0)</f>
        <v>0</v>
      </c>
      <c r="F132" s="26">
        <f>IFERROR(__xludf.DUMMYFUNCTION("""COMPUTED_VALUE"""),0.0)</f>
        <v>0</v>
      </c>
      <c r="G132" s="26">
        <f>IFERROR(__xludf.DUMMYFUNCTION("""COMPUTED_VALUE"""),0.0)</f>
        <v>0</v>
      </c>
      <c r="H132" s="26">
        <f>IFERROR(__xludf.DUMMYFUNCTION("""COMPUTED_VALUE"""),0.0)</f>
        <v>0</v>
      </c>
      <c r="I132" s="26">
        <f>IFERROR(__xludf.DUMMYFUNCTION("""COMPUTED_VALUE"""),0.0)</f>
        <v>0</v>
      </c>
      <c r="J132" s="26">
        <f>IFERROR(__xludf.DUMMYFUNCTION("""COMPUTED_VALUE"""),0.0)</f>
        <v>0</v>
      </c>
      <c r="K132" s="26">
        <f>IFERROR(__xludf.DUMMYFUNCTION("""COMPUTED_VALUE"""),0.0)</f>
        <v>0</v>
      </c>
      <c r="L132" s="26">
        <f>IFERROR(__xludf.DUMMYFUNCTION("""COMPUTED_VALUE"""),0.0)</f>
        <v>0</v>
      </c>
      <c r="M132" s="26"/>
      <c r="N132" s="26"/>
      <c r="O132" s="26"/>
      <c r="P132" s="26"/>
      <c r="Q132" s="26"/>
      <c r="R132" s="26">
        <f>IFERROR(__xludf.DUMMYFUNCTION("""COMPUTED_VALUE"""),0.0)</f>
        <v>0</v>
      </c>
      <c r="S132" s="26">
        <f>IFERROR(__xludf.DUMMYFUNCTION("""COMPUTED_VALUE"""),0.0)</f>
        <v>0</v>
      </c>
      <c r="T132" s="26">
        <f>IFERROR(__xludf.DUMMYFUNCTION("""COMPUTED_VALUE"""),0.0)</f>
        <v>0</v>
      </c>
      <c r="U132" s="26">
        <f>IFERROR(__xludf.DUMMYFUNCTION("""COMPUTED_VALUE"""),0.0)</f>
        <v>0</v>
      </c>
      <c r="V132" s="26">
        <f>IFERROR(__xludf.DUMMYFUNCTION("""COMPUTED_VALUE"""),0.0)</f>
        <v>0</v>
      </c>
      <c r="W132" s="26">
        <f>IFERROR(__xludf.DUMMYFUNCTION("""COMPUTED_VALUE"""),0.0)</f>
        <v>0</v>
      </c>
      <c r="X132" s="26">
        <f>IFERROR(__xludf.DUMMYFUNCTION("""COMPUTED_VALUE"""),0.0)</f>
        <v>0</v>
      </c>
      <c r="Y132" s="26">
        <f>IFERROR(__xludf.DUMMYFUNCTION("""COMPUTED_VALUE"""),0.0)</f>
        <v>0</v>
      </c>
      <c r="Z132" s="26">
        <f>IFERROR(__xludf.DUMMYFUNCTION("""COMPUTED_VALUE"""),0.0)</f>
        <v>0</v>
      </c>
      <c r="AA132" s="26">
        <f>IFERROR(__xludf.DUMMYFUNCTION("""COMPUTED_VALUE"""),0.0)</f>
        <v>0</v>
      </c>
      <c r="AB132" s="26">
        <f>IFERROR(__xludf.DUMMYFUNCTION("""COMPUTED_VALUE"""),0.0)</f>
        <v>0</v>
      </c>
      <c r="AC132" s="26">
        <f>IFERROR(__xludf.DUMMYFUNCTION("""COMPUTED_VALUE"""),0.0)</f>
        <v>0</v>
      </c>
      <c r="AD132" s="26">
        <f>IFERROR(__xludf.DUMMYFUNCTION("""COMPUTED_VALUE"""),0.0)</f>
        <v>0</v>
      </c>
      <c r="AE132" s="26">
        <f>IFERROR(__xludf.DUMMYFUNCTION("""COMPUTED_VALUE"""),0.0)</f>
        <v>0</v>
      </c>
    </row>
    <row r="133">
      <c r="A133" s="26">
        <f>IFERROR(__xludf.DUMMYFUNCTION("""COMPUTED_VALUE"""),0.0)</f>
        <v>0</v>
      </c>
      <c r="B133" s="26">
        <f>IFERROR(__xludf.DUMMYFUNCTION("""COMPUTED_VALUE"""),0.0)</f>
        <v>0</v>
      </c>
      <c r="C133" s="26">
        <f>IFERROR(__xludf.DUMMYFUNCTION("""COMPUTED_VALUE"""),12.0)</f>
        <v>12</v>
      </c>
      <c r="D133" s="26">
        <f>IFERROR(__xludf.DUMMYFUNCTION("""COMPUTED_VALUE"""),0.0)</f>
        <v>0</v>
      </c>
      <c r="E133" s="26">
        <f>IFERROR(__xludf.DUMMYFUNCTION("""COMPUTED_VALUE"""),0.0)</f>
        <v>0</v>
      </c>
      <c r="F133" s="26">
        <f>IFERROR(__xludf.DUMMYFUNCTION("""COMPUTED_VALUE"""),0.0)</f>
        <v>0</v>
      </c>
      <c r="G133" s="26">
        <f>IFERROR(__xludf.DUMMYFUNCTION("""COMPUTED_VALUE"""),0.0)</f>
        <v>0</v>
      </c>
      <c r="H133" s="26">
        <f>IFERROR(__xludf.DUMMYFUNCTION("""COMPUTED_VALUE"""),0.0)</f>
        <v>0</v>
      </c>
      <c r="I133" s="26">
        <f>IFERROR(__xludf.DUMMYFUNCTION("""COMPUTED_VALUE"""),0.0)</f>
        <v>0</v>
      </c>
      <c r="J133" s="26">
        <f>IFERROR(__xludf.DUMMYFUNCTION("""COMPUTED_VALUE"""),0.0)</f>
        <v>0</v>
      </c>
      <c r="K133" s="26">
        <f>IFERROR(__xludf.DUMMYFUNCTION("""COMPUTED_VALUE"""),0.0)</f>
        <v>0</v>
      </c>
      <c r="L133" s="26">
        <f>IFERROR(__xludf.DUMMYFUNCTION("""COMPUTED_VALUE"""),0.0)</f>
        <v>0</v>
      </c>
      <c r="M133" s="26"/>
      <c r="N133" s="26"/>
      <c r="O133" s="26"/>
      <c r="P133" s="26"/>
      <c r="Q133" s="26"/>
      <c r="R133" s="26">
        <f>IFERROR(__xludf.DUMMYFUNCTION("""COMPUTED_VALUE"""),12.0)</f>
        <v>12</v>
      </c>
      <c r="S133" s="26">
        <f>IFERROR(__xludf.DUMMYFUNCTION("""COMPUTED_VALUE"""),5304.0)</f>
        <v>5304</v>
      </c>
      <c r="T133" s="26">
        <f>IFERROR(__xludf.DUMMYFUNCTION("""COMPUTED_VALUE"""),2460.0)</f>
        <v>2460</v>
      </c>
      <c r="U133" s="26">
        <f>IFERROR(__xludf.DUMMYFUNCTION("""COMPUTED_VALUE"""),3269.04)</f>
        <v>3269.04</v>
      </c>
      <c r="V133" s="26">
        <f>IFERROR(__xludf.DUMMYFUNCTION("""COMPUTED_VALUE"""),0.0)</f>
        <v>0</v>
      </c>
      <c r="W133" s="26">
        <f>IFERROR(__xludf.DUMMYFUNCTION("""COMPUTED_VALUE"""),0.0)</f>
        <v>0</v>
      </c>
      <c r="X133" s="26">
        <f>IFERROR(__xludf.DUMMYFUNCTION("""COMPUTED_VALUE"""),809.0399999999998)</f>
        <v>809.04</v>
      </c>
      <c r="Y133" s="26">
        <f>IFERROR(__xludf.DUMMYFUNCTION("""COMPUTED_VALUE"""),809.0399999999998)</f>
        <v>809.04</v>
      </c>
      <c r="Z133" s="26">
        <f>IFERROR(__xludf.DUMMYFUNCTION("""COMPUTED_VALUE"""),3370.8000000000006)</f>
        <v>3370.8</v>
      </c>
      <c r="AA133" s="26">
        <f>IFERROR(__xludf.DUMMYFUNCTION("""COMPUTED_VALUE"""),3370.8000000000006)</f>
        <v>3370.8</v>
      </c>
      <c r="AB133" s="26">
        <f>IFERROR(__xludf.DUMMYFUNCTION("""COMPUTED_VALUE"""),2034.9599999999998)</f>
        <v>2034.96</v>
      </c>
      <c r="AC133" s="26">
        <f>IFERROR(__xludf.DUMMYFUNCTION("""COMPUTED_VALUE"""),1933.1999999999996)</f>
        <v>1933.2</v>
      </c>
      <c r="AD133" s="26">
        <f>IFERROR(__xludf.DUMMYFUNCTION("""COMPUTED_VALUE"""),101.76000000000003)</f>
        <v>101.76</v>
      </c>
      <c r="AE133" s="26">
        <f>IFERROR(__xludf.DUMMYFUNCTION("""COMPUTED_VALUE"""),0.0)</f>
        <v>0</v>
      </c>
    </row>
    <row r="134">
      <c r="A134" s="26">
        <f>IFERROR(__xludf.DUMMYFUNCTION("""COMPUTED_VALUE"""),0.0)</f>
        <v>0</v>
      </c>
      <c r="B134" s="26">
        <f>IFERROR(__xludf.DUMMYFUNCTION("""COMPUTED_VALUE"""),0.0)</f>
        <v>0</v>
      </c>
      <c r="C134" s="26">
        <f>IFERROR(__xludf.DUMMYFUNCTION("""COMPUTED_VALUE"""),0.0)</f>
        <v>0</v>
      </c>
      <c r="D134" s="26">
        <f>IFERROR(__xludf.DUMMYFUNCTION("""COMPUTED_VALUE"""),0.0)</f>
        <v>0</v>
      </c>
      <c r="E134" s="26">
        <f>IFERROR(__xludf.DUMMYFUNCTION("""COMPUTED_VALUE"""),0.0)</f>
        <v>0</v>
      </c>
      <c r="F134" s="26">
        <f>IFERROR(__xludf.DUMMYFUNCTION("""COMPUTED_VALUE"""),0.0)</f>
        <v>0</v>
      </c>
      <c r="G134" s="26">
        <f>IFERROR(__xludf.DUMMYFUNCTION("""COMPUTED_VALUE"""),0.0)</f>
        <v>0</v>
      </c>
      <c r="H134" s="26">
        <f>IFERROR(__xludf.DUMMYFUNCTION("""COMPUTED_VALUE"""),0.0)</f>
        <v>0</v>
      </c>
      <c r="I134" s="26">
        <f>IFERROR(__xludf.DUMMYFUNCTION("""COMPUTED_VALUE"""),0.0)</f>
        <v>0</v>
      </c>
      <c r="J134" s="26">
        <f>IFERROR(__xludf.DUMMYFUNCTION("""COMPUTED_VALUE"""),0.0)</f>
        <v>0</v>
      </c>
      <c r="K134" s="26">
        <f>IFERROR(__xludf.DUMMYFUNCTION("""COMPUTED_VALUE"""),0.0)</f>
        <v>0</v>
      </c>
      <c r="L134" s="26">
        <f>IFERROR(__xludf.DUMMYFUNCTION("""COMPUTED_VALUE"""),0.0)</f>
        <v>0</v>
      </c>
      <c r="M134" s="26"/>
      <c r="N134" s="26"/>
      <c r="O134" s="26"/>
      <c r="P134" s="26"/>
      <c r="Q134" s="26"/>
      <c r="R134" s="26">
        <f>IFERROR(__xludf.DUMMYFUNCTION("""COMPUTED_VALUE"""),0.0)</f>
        <v>0</v>
      </c>
      <c r="S134" s="26">
        <f>IFERROR(__xludf.DUMMYFUNCTION("""COMPUTED_VALUE"""),0.0)</f>
        <v>0</v>
      </c>
      <c r="T134" s="26">
        <f>IFERROR(__xludf.DUMMYFUNCTION("""COMPUTED_VALUE"""),0.0)</f>
        <v>0</v>
      </c>
      <c r="U134" s="26">
        <f>IFERROR(__xludf.DUMMYFUNCTION("""COMPUTED_VALUE"""),0.0)</f>
        <v>0</v>
      </c>
      <c r="V134" s="26">
        <f>IFERROR(__xludf.DUMMYFUNCTION("""COMPUTED_VALUE"""),0.0)</f>
        <v>0</v>
      </c>
      <c r="W134" s="26">
        <f>IFERROR(__xludf.DUMMYFUNCTION("""COMPUTED_VALUE"""),0.0)</f>
        <v>0</v>
      </c>
      <c r="X134" s="26">
        <f>IFERROR(__xludf.DUMMYFUNCTION("""COMPUTED_VALUE"""),0.0)</f>
        <v>0</v>
      </c>
      <c r="Y134" s="26">
        <f>IFERROR(__xludf.DUMMYFUNCTION("""COMPUTED_VALUE"""),0.0)</f>
        <v>0</v>
      </c>
      <c r="Z134" s="26">
        <f>IFERROR(__xludf.DUMMYFUNCTION("""COMPUTED_VALUE"""),0.0)</f>
        <v>0</v>
      </c>
      <c r="AA134" s="26">
        <f>IFERROR(__xludf.DUMMYFUNCTION("""COMPUTED_VALUE"""),0.0)</f>
        <v>0</v>
      </c>
      <c r="AB134" s="26">
        <f>IFERROR(__xludf.DUMMYFUNCTION("""COMPUTED_VALUE"""),0.0)</f>
        <v>0</v>
      </c>
      <c r="AC134" s="26">
        <f>IFERROR(__xludf.DUMMYFUNCTION("""COMPUTED_VALUE"""),0.0)</f>
        <v>0</v>
      </c>
      <c r="AD134" s="26">
        <f>IFERROR(__xludf.DUMMYFUNCTION("""COMPUTED_VALUE"""),0.0)</f>
        <v>0</v>
      </c>
      <c r="AE134" s="26">
        <f>IFERROR(__xludf.DUMMYFUNCTION("""COMPUTED_VALUE"""),0.0)</f>
        <v>0</v>
      </c>
    </row>
    <row r="135">
      <c r="A135" s="26">
        <f>IFERROR(__xludf.DUMMYFUNCTION("""COMPUTED_VALUE"""),0.0)</f>
        <v>0</v>
      </c>
      <c r="B135" s="26">
        <f>IFERROR(__xludf.DUMMYFUNCTION("""COMPUTED_VALUE"""),0.0)</f>
        <v>0</v>
      </c>
      <c r="C135" s="26">
        <f>IFERROR(__xludf.DUMMYFUNCTION("""COMPUTED_VALUE"""),0.0)</f>
        <v>0</v>
      </c>
      <c r="D135" s="26">
        <f>IFERROR(__xludf.DUMMYFUNCTION("""COMPUTED_VALUE"""),0.0)</f>
        <v>0</v>
      </c>
      <c r="E135" s="26">
        <f>IFERROR(__xludf.DUMMYFUNCTION("""COMPUTED_VALUE"""),22.0)</f>
        <v>22</v>
      </c>
      <c r="F135" s="26">
        <f>IFERROR(__xludf.DUMMYFUNCTION("""COMPUTED_VALUE"""),0.0)</f>
        <v>0</v>
      </c>
      <c r="G135" s="26">
        <f>IFERROR(__xludf.DUMMYFUNCTION("""COMPUTED_VALUE"""),0.0)</f>
        <v>0</v>
      </c>
      <c r="H135" s="26">
        <f>IFERROR(__xludf.DUMMYFUNCTION("""COMPUTED_VALUE"""),0.0)</f>
        <v>0</v>
      </c>
      <c r="I135" s="26">
        <f>IFERROR(__xludf.DUMMYFUNCTION("""COMPUTED_VALUE"""),0.0)</f>
        <v>0</v>
      </c>
      <c r="J135" s="26">
        <f>IFERROR(__xludf.DUMMYFUNCTION("""COMPUTED_VALUE"""),0.0)</f>
        <v>0</v>
      </c>
      <c r="K135" s="26">
        <f>IFERROR(__xludf.DUMMYFUNCTION("""COMPUTED_VALUE"""),0.0)</f>
        <v>0</v>
      </c>
      <c r="L135" s="26">
        <f>IFERROR(__xludf.DUMMYFUNCTION("""COMPUTED_VALUE"""),0.0)</f>
        <v>0</v>
      </c>
      <c r="M135" s="26"/>
      <c r="N135" s="26"/>
      <c r="O135" s="26"/>
      <c r="P135" s="26"/>
      <c r="Q135" s="26"/>
      <c r="R135" s="26">
        <f>IFERROR(__xludf.DUMMYFUNCTION("""COMPUTED_VALUE"""),22.0)</f>
        <v>22</v>
      </c>
      <c r="S135" s="26">
        <f>IFERROR(__xludf.DUMMYFUNCTION("""COMPUTED_VALUE"""),4023.8000000000015)</f>
        <v>4023.8</v>
      </c>
      <c r="T135" s="26">
        <f>IFERROR(__xludf.DUMMYFUNCTION("""COMPUTED_VALUE"""),3410.0)</f>
        <v>3410</v>
      </c>
      <c r="U135" s="26">
        <f>IFERROR(__xludf.DUMMYFUNCTION("""COMPUTED_VALUE"""),4023.7999999999997)</f>
        <v>4023.8</v>
      </c>
      <c r="V135" s="26">
        <f>IFERROR(__xludf.DUMMYFUNCTION("""COMPUTED_VALUE"""),0.0)</f>
        <v>0</v>
      </c>
      <c r="W135" s="26">
        <f>IFERROR(__xludf.DUMMYFUNCTION("""COMPUTED_VALUE"""),0.0)</f>
        <v>0</v>
      </c>
      <c r="X135" s="26">
        <f>IFERROR(__xludf.DUMMYFUNCTION("""COMPUTED_VALUE"""),613.7999999999997)</f>
        <v>613.8</v>
      </c>
      <c r="Y135" s="26">
        <f>IFERROR(__xludf.DUMMYFUNCTION("""COMPUTED_VALUE"""),613.7999999999997)</f>
        <v>613.8</v>
      </c>
      <c r="Z135" s="26">
        <f>IFERROR(__xludf.DUMMYFUNCTION("""COMPUTED_VALUE"""),0.0)</f>
        <v>0</v>
      </c>
      <c r="AA135" s="26">
        <f>IFERROR(__xludf.DUMMYFUNCTION("""COMPUTED_VALUE"""),0.0)</f>
        <v>0</v>
      </c>
      <c r="AB135" s="26">
        <f>IFERROR(__xludf.DUMMYFUNCTION("""COMPUTED_VALUE"""),0.0)</f>
        <v>0</v>
      </c>
      <c r="AC135" s="26">
        <f>IFERROR(__xludf.DUMMYFUNCTION("""COMPUTED_VALUE"""),0.0)</f>
        <v>0</v>
      </c>
      <c r="AD135" s="26">
        <f>IFERROR(__xludf.DUMMYFUNCTION("""COMPUTED_VALUE"""),0.0)</f>
        <v>0</v>
      </c>
      <c r="AE135" s="26">
        <f>IFERROR(__xludf.DUMMYFUNCTION("""COMPUTED_VALUE"""),0.0)</f>
        <v>0</v>
      </c>
    </row>
    <row r="136">
      <c r="A136" s="26">
        <f>IFERROR(__xludf.DUMMYFUNCTION("""COMPUTED_VALUE"""),0.0)</f>
        <v>0</v>
      </c>
      <c r="B136" s="26">
        <f>IFERROR(__xludf.DUMMYFUNCTION("""COMPUTED_VALUE"""),0.0)</f>
        <v>0</v>
      </c>
      <c r="C136" s="26">
        <f>IFERROR(__xludf.DUMMYFUNCTION("""COMPUTED_VALUE"""),0.0)</f>
        <v>0</v>
      </c>
      <c r="D136" s="26">
        <f>IFERROR(__xludf.DUMMYFUNCTION("""COMPUTED_VALUE"""),0.0)</f>
        <v>0</v>
      </c>
      <c r="E136" s="26">
        <f>IFERROR(__xludf.DUMMYFUNCTION("""COMPUTED_VALUE"""),0.0)</f>
        <v>0</v>
      </c>
      <c r="F136" s="26">
        <f>IFERROR(__xludf.DUMMYFUNCTION("""COMPUTED_VALUE"""),0.0)</f>
        <v>0</v>
      </c>
      <c r="G136" s="26">
        <f>IFERROR(__xludf.DUMMYFUNCTION("""COMPUTED_VALUE"""),0.0)</f>
        <v>0</v>
      </c>
      <c r="H136" s="26">
        <f>IFERROR(__xludf.DUMMYFUNCTION("""COMPUTED_VALUE"""),0.0)</f>
        <v>0</v>
      </c>
      <c r="I136" s="26">
        <f>IFERROR(__xludf.DUMMYFUNCTION("""COMPUTED_VALUE"""),0.0)</f>
        <v>0</v>
      </c>
      <c r="J136" s="26">
        <f>IFERROR(__xludf.DUMMYFUNCTION("""COMPUTED_VALUE"""),0.0)</f>
        <v>0</v>
      </c>
      <c r="K136" s="26">
        <f>IFERROR(__xludf.DUMMYFUNCTION("""COMPUTED_VALUE"""),0.0)</f>
        <v>0</v>
      </c>
      <c r="L136" s="26">
        <f>IFERROR(__xludf.DUMMYFUNCTION("""COMPUTED_VALUE"""),0.0)</f>
        <v>0</v>
      </c>
      <c r="M136" s="26"/>
      <c r="N136" s="26"/>
      <c r="O136" s="26"/>
      <c r="P136" s="26"/>
      <c r="Q136" s="26"/>
      <c r="R136" s="26">
        <f>IFERROR(__xludf.DUMMYFUNCTION("""COMPUTED_VALUE"""),0.0)</f>
        <v>0</v>
      </c>
      <c r="S136" s="26">
        <f>IFERROR(__xludf.DUMMYFUNCTION("""COMPUTED_VALUE"""),0.0)</f>
        <v>0</v>
      </c>
      <c r="T136" s="26">
        <f>IFERROR(__xludf.DUMMYFUNCTION("""COMPUTED_VALUE"""),0.0)</f>
        <v>0</v>
      </c>
      <c r="U136" s="26">
        <f>IFERROR(__xludf.DUMMYFUNCTION("""COMPUTED_VALUE"""),0.0)</f>
        <v>0</v>
      </c>
      <c r="V136" s="26">
        <f>IFERROR(__xludf.DUMMYFUNCTION("""COMPUTED_VALUE"""),0.0)</f>
        <v>0</v>
      </c>
      <c r="W136" s="26">
        <f>IFERROR(__xludf.DUMMYFUNCTION("""COMPUTED_VALUE"""),0.0)</f>
        <v>0</v>
      </c>
      <c r="X136" s="26">
        <f>IFERROR(__xludf.DUMMYFUNCTION("""COMPUTED_VALUE"""),0.0)</f>
        <v>0</v>
      </c>
      <c r="Y136" s="26">
        <f>IFERROR(__xludf.DUMMYFUNCTION("""COMPUTED_VALUE"""),0.0)</f>
        <v>0</v>
      </c>
      <c r="Z136" s="26">
        <f>IFERROR(__xludf.DUMMYFUNCTION("""COMPUTED_VALUE"""),0.0)</f>
        <v>0</v>
      </c>
      <c r="AA136" s="26">
        <f>IFERROR(__xludf.DUMMYFUNCTION("""COMPUTED_VALUE"""),0.0)</f>
        <v>0</v>
      </c>
      <c r="AB136" s="26">
        <f>IFERROR(__xludf.DUMMYFUNCTION("""COMPUTED_VALUE"""),0.0)</f>
        <v>0</v>
      </c>
      <c r="AC136" s="26">
        <f>IFERROR(__xludf.DUMMYFUNCTION("""COMPUTED_VALUE"""),0.0)</f>
        <v>0</v>
      </c>
      <c r="AD136" s="26">
        <f>IFERROR(__xludf.DUMMYFUNCTION("""COMPUTED_VALUE"""),0.0)</f>
        <v>0</v>
      </c>
      <c r="AE136" s="26">
        <f>IFERROR(__xludf.DUMMYFUNCTION("""COMPUTED_VALUE"""),0.0)</f>
        <v>0</v>
      </c>
    </row>
    <row r="137">
      <c r="A137" s="26">
        <f>IFERROR(__xludf.DUMMYFUNCTION("""COMPUTED_VALUE"""),0.0)</f>
        <v>0</v>
      </c>
      <c r="B137" s="26">
        <f>IFERROR(__xludf.DUMMYFUNCTION("""COMPUTED_VALUE"""),0.0)</f>
        <v>0</v>
      </c>
      <c r="C137" s="26">
        <f>IFERROR(__xludf.DUMMYFUNCTION("""COMPUTED_VALUE"""),0.0)</f>
        <v>0</v>
      </c>
      <c r="D137" s="26">
        <f>IFERROR(__xludf.DUMMYFUNCTION("""COMPUTED_VALUE"""),0.0)</f>
        <v>0</v>
      </c>
      <c r="E137" s="26">
        <f>IFERROR(__xludf.DUMMYFUNCTION("""COMPUTED_VALUE"""),10.0)</f>
        <v>10</v>
      </c>
      <c r="F137" s="26">
        <f>IFERROR(__xludf.DUMMYFUNCTION("""COMPUTED_VALUE"""),0.0)</f>
        <v>0</v>
      </c>
      <c r="G137" s="26">
        <f>IFERROR(__xludf.DUMMYFUNCTION("""COMPUTED_VALUE"""),0.0)</f>
        <v>0</v>
      </c>
      <c r="H137" s="26">
        <f>IFERROR(__xludf.DUMMYFUNCTION("""COMPUTED_VALUE"""),0.0)</f>
        <v>0</v>
      </c>
      <c r="I137" s="26">
        <f>IFERROR(__xludf.DUMMYFUNCTION("""COMPUTED_VALUE"""),0.0)</f>
        <v>0</v>
      </c>
      <c r="J137" s="26">
        <f>IFERROR(__xludf.DUMMYFUNCTION("""COMPUTED_VALUE"""),0.0)</f>
        <v>0</v>
      </c>
      <c r="K137" s="26">
        <f>IFERROR(__xludf.DUMMYFUNCTION("""COMPUTED_VALUE"""),0.0)</f>
        <v>0</v>
      </c>
      <c r="L137" s="26">
        <f>IFERROR(__xludf.DUMMYFUNCTION("""COMPUTED_VALUE"""),0.0)</f>
        <v>0</v>
      </c>
      <c r="M137" s="26"/>
      <c r="N137" s="26"/>
      <c r="O137" s="26"/>
      <c r="P137" s="26"/>
      <c r="Q137" s="26"/>
      <c r="R137" s="26">
        <f>IFERROR(__xludf.DUMMYFUNCTION("""COMPUTED_VALUE"""),10.0)</f>
        <v>10</v>
      </c>
      <c r="S137" s="26">
        <f>IFERROR(__xludf.DUMMYFUNCTION("""COMPUTED_VALUE"""),1829.0000000000005)</f>
        <v>1829</v>
      </c>
      <c r="T137" s="26">
        <f>IFERROR(__xludf.DUMMYFUNCTION("""COMPUTED_VALUE"""),1550.0)</f>
        <v>1550</v>
      </c>
      <c r="U137" s="26">
        <f>IFERROR(__xludf.DUMMYFUNCTION("""COMPUTED_VALUE"""),1829.0)</f>
        <v>1829</v>
      </c>
      <c r="V137" s="26">
        <f>IFERROR(__xludf.DUMMYFUNCTION("""COMPUTED_VALUE"""),0.0)</f>
        <v>0</v>
      </c>
      <c r="W137" s="26">
        <f>IFERROR(__xludf.DUMMYFUNCTION("""COMPUTED_VALUE"""),0.0)</f>
        <v>0</v>
      </c>
      <c r="X137" s="26">
        <f>IFERROR(__xludf.DUMMYFUNCTION("""COMPUTED_VALUE"""),279.0)</f>
        <v>279</v>
      </c>
      <c r="Y137" s="26">
        <f>IFERROR(__xludf.DUMMYFUNCTION("""COMPUTED_VALUE"""),279.0)</f>
        <v>279</v>
      </c>
      <c r="Z137" s="26">
        <f>IFERROR(__xludf.DUMMYFUNCTION("""COMPUTED_VALUE"""),0.0)</f>
        <v>0</v>
      </c>
      <c r="AA137" s="26">
        <f>IFERROR(__xludf.DUMMYFUNCTION("""COMPUTED_VALUE"""),0.0)</f>
        <v>0</v>
      </c>
      <c r="AB137" s="26">
        <f>IFERROR(__xludf.DUMMYFUNCTION("""COMPUTED_VALUE"""),0.0)</f>
        <v>0</v>
      </c>
      <c r="AC137" s="26">
        <f>IFERROR(__xludf.DUMMYFUNCTION("""COMPUTED_VALUE"""),0.0)</f>
        <v>0</v>
      </c>
      <c r="AD137" s="26">
        <f>IFERROR(__xludf.DUMMYFUNCTION("""COMPUTED_VALUE"""),0.0)</f>
        <v>0</v>
      </c>
      <c r="AE137" s="26">
        <f>IFERROR(__xludf.DUMMYFUNCTION("""COMPUTED_VALUE"""),0.0)</f>
        <v>0</v>
      </c>
    </row>
    <row r="138">
      <c r="A138" s="26">
        <f>IFERROR(__xludf.DUMMYFUNCTION("""COMPUTED_VALUE"""),0.0)</f>
        <v>0</v>
      </c>
      <c r="B138" s="26">
        <f>IFERROR(__xludf.DUMMYFUNCTION("""COMPUTED_VALUE"""),0.0)</f>
        <v>0</v>
      </c>
      <c r="C138" s="26">
        <f>IFERROR(__xludf.DUMMYFUNCTION("""COMPUTED_VALUE"""),0.0)</f>
        <v>0</v>
      </c>
      <c r="D138" s="26">
        <f>IFERROR(__xludf.DUMMYFUNCTION("""COMPUTED_VALUE"""),0.0)</f>
        <v>0</v>
      </c>
      <c r="E138" s="26">
        <f>IFERROR(__xludf.DUMMYFUNCTION("""COMPUTED_VALUE"""),0.0)</f>
        <v>0</v>
      </c>
      <c r="F138" s="26">
        <f>IFERROR(__xludf.DUMMYFUNCTION("""COMPUTED_VALUE"""),0.0)</f>
        <v>0</v>
      </c>
      <c r="G138" s="26">
        <f>IFERROR(__xludf.DUMMYFUNCTION("""COMPUTED_VALUE"""),0.0)</f>
        <v>0</v>
      </c>
      <c r="H138" s="26">
        <f>IFERROR(__xludf.DUMMYFUNCTION("""COMPUTED_VALUE"""),0.0)</f>
        <v>0</v>
      </c>
      <c r="I138" s="26">
        <f>IFERROR(__xludf.DUMMYFUNCTION("""COMPUTED_VALUE"""),0.0)</f>
        <v>0</v>
      </c>
      <c r="J138" s="26">
        <f>IFERROR(__xludf.DUMMYFUNCTION("""COMPUTED_VALUE"""),0.0)</f>
        <v>0</v>
      </c>
      <c r="K138" s="26">
        <f>IFERROR(__xludf.DUMMYFUNCTION("""COMPUTED_VALUE"""),0.0)</f>
        <v>0</v>
      </c>
      <c r="L138" s="26">
        <f>IFERROR(__xludf.DUMMYFUNCTION("""COMPUTED_VALUE"""),0.0)</f>
        <v>0</v>
      </c>
      <c r="M138" s="26"/>
      <c r="N138" s="26"/>
      <c r="O138" s="26"/>
      <c r="P138" s="26"/>
      <c r="Q138" s="26"/>
      <c r="R138" s="26">
        <f>IFERROR(__xludf.DUMMYFUNCTION("""COMPUTED_VALUE"""),0.0)</f>
        <v>0</v>
      </c>
      <c r="S138" s="26">
        <f>IFERROR(__xludf.DUMMYFUNCTION("""COMPUTED_VALUE"""),0.0)</f>
        <v>0</v>
      </c>
      <c r="T138" s="26">
        <f>IFERROR(__xludf.DUMMYFUNCTION("""COMPUTED_VALUE"""),0.0)</f>
        <v>0</v>
      </c>
      <c r="U138" s="26">
        <f>IFERROR(__xludf.DUMMYFUNCTION("""COMPUTED_VALUE"""),0.0)</f>
        <v>0</v>
      </c>
      <c r="V138" s="26">
        <f>IFERROR(__xludf.DUMMYFUNCTION("""COMPUTED_VALUE"""),0.0)</f>
        <v>0</v>
      </c>
      <c r="W138" s="26">
        <f>IFERROR(__xludf.DUMMYFUNCTION("""COMPUTED_VALUE"""),0.0)</f>
        <v>0</v>
      </c>
      <c r="X138" s="26">
        <f>IFERROR(__xludf.DUMMYFUNCTION("""COMPUTED_VALUE"""),0.0)</f>
        <v>0</v>
      </c>
      <c r="Y138" s="26">
        <f>IFERROR(__xludf.DUMMYFUNCTION("""COMPUTED_VALUE"""),0.0)</f>
        <v>0</v>
      </c>
      <c r="Z138" s="26">
        <f>IFERROR(__xludf.DUMMYFUNCTION("""COMPUTED_VALUE"""),0.0)</f>
        <v>0</v>
      </c>
      <c r="AA138" s="26">
        <f>IFERROR(__xludf.DUMMYFUNCTION("""COMPUTED_VALUE"""),0.0)</f>
        <v>0</v>
      </c>
      <c r="AB138" s="26">
        <f>IFERROR(__xludf.DUMMYFUNCTION("""COMPUTED_VALUE"""),0.0)</f>
        <v>0</v>
      </c>
      <c r="AC138" s="26">
        <f>IFERROR(__xludf.DUMMYFUNCTION("""COMPUTED_VALUE"""),0.0)</f>
        <v>0</v>
      </c>
      <c r="AD138" s="26">
        <f>IFERROR(__xludf.DUMMYFUNCTION("""COMPUTED_VALUE"""),0.0)</f>
        <v>0</v>
      </c>
      <c r="AE138" s="26">
        <f>IFERROR(__xludf.DUMMYFUNCTION("""COMPUTED_VALUE"""),0.0)</f>
        <v>0</v>
      </c>
    </row>
    <row r="139">
      <c r="A139" s="26">
        <f>IFERROR(__xludf.DUMMYFUNCTION("""COMPUTED_VALUE"""),2.0)</f>
        <v>2</v>
      </c>
      <c r="B139" s="26">
        <f>IFERROR(__xludf.DUMMYFUNCTION("""COMPUTED_VALUE"""),0.0)</f>
        <v>0</v>
      </c>
      <c r="C139" s="26">
        <f>IFERROR(__xludf.DUMMYFUNCTION("""COMPUTED_VALUE"""),0.0)</f>
        <v>0</v>
      </c>
      <c r="D139" s="26">
        <f>IFERROR(__xludf.DUMMYFUNCTION("""COMPUTED_VALUE"""),0.0)</f>
        <v>0</v>
      </c>
      <c r="E139" s="26">
        <f>IFERROR(__xludf.DUMMYFUNCTION("""COMPUTED_VALUE"""),56.0)</f>
        <v>56</v>
      </c>
      <c r="F139" s="26">
        <f>IFERROR(__xludf.DUMMYFUNCTION("""COMPUTED_VALUE"""),0.0)</f>
        <v>0</v>
      </c>
      <c r="G139" s="26">
        <f>IFERROR(__xludf.DUMMYFUNCTION("""COMPUTED_VALUE"""),0.0)</f>
        <v>0</v>
      </c>
      <c r="H139" s="26">
        <f>IFERROR(__xludf.DUMMYFUNCTION("""COMPUTED_VALUE"""),0.0)</f>
        <v>0</v>
      </c>
      <c r="I139" s="26">
        <f>IFERROR(__xludf.DUMMYFUNCTION("""COMPUTED_VALUE"""),0.0)</f>
        <v>0</v>
      </c>
      <c r="J139" s="26">
        <f>IFERROR(__xludf.DUMMYFUNCTION("""COMPUTED_VALUE"""),0.0)</f>
        <v>0</v>
      </c>
      <c r="K139" s="26">
        <f>IFERROR(__xludf.DUMMYFUNCTION("""COMPUTED_VALUE"""),0.0)</f>
        <v>0</v>
      </c>
      <c r="L139" s="26">
        <f>IFERROR(__xludf.DUMMYFUNCTION("""COMPUTED_VALUE"""),0.0)</f>
        <v>0</v>
      </c>
      <c r="M139" s="26"/>
      <c r="N139" s="26"/>
      <c r="O139" s="26"/>
      <c r="P139" s="26"/>
      <c r="Q139" s="26"/>
      <c r="R139" s="26">
        <f>IFERROR(__xludf.DUMMYFUNCTION("""COMPUTED_VALUE"""),58.0)</f>
        <v>58</v>
      </c>
      <c r="S139" s="26">
        <f>IFERROR(__xludf.DUMMYFUNCTION("""COMPUTED_VALUE"""),10608.19999999999)</f>
        <v>10608.2</v>
      </c>
      <c r="T139" s="26">
        <f>IFERROR(__xludf.DUMMYFUNCTION("""COMPUTED_VALUE"""),8990.0)</f>
        <v>8990</v>
      </c>
      <c r="U139" s="26">
        <f>IFERROR(__xludf.DUMMYFUNCTION("""COMPUTED_VALUE"""),10608.2)</f>
        <v>10608.2</v>
      </c>
      <c r="V139" s="26">
        <f>IFERROR(__xludf.DUMMYFUNCTION("""COMPUTED_VALUE"""),0.0)</f>
        <v>0</v>
      </c>
      <c r="W139" s="26">
        <f>IFERROR(__xludf.DUMMYFUNCTION("""COMPUTED_VALUE"""),0.0)</f>
        <v>0</v>
      </c>
      <c r="X139" s="26">
        <f>IFERROR(__xludf.DUMMYFUNCTION("""COMPUTED_VALUE"""),1618.2000000000014)</f>
        <v>1618.2</v>
      </c>
      <c r="Y139" s="26">
        <f>IFERROR(__xludf.DUMMYFUNCTION("""COMPUTED_VALUE"""),1618.2000000000014)</f>
        <v>1618.2</v>
      </c>
      <c r="Z139" s="26">
        <f>IFERROR(__xludf.DUMMYFUNCTION("""COMPUTED_VALUE"""),0.0)</f>
        <v>0</v>
      </c>
      <c r="AA139" s="26">
        <f>IFERROR(__xludf.DUMMYFUNCTION("""COMPUTED_VALUE"""),0.0)</f>
        <v>0</v>
      </c>
      <c r="AB139" s="26">
        <f>IFERROR(__xludf.DUMMYFUNCTION("""COMPUTED_VALUE"""),0.0)</f>
        <v>0</v>
      </c>
      <c r="AC139" s="26">
        <f>IFERROR(__xludf.DUMMYFUNCTION("""COMPUTED_VALUE"""),0.0)</f>
        <v>0</v>
      </c>
      <c r="AD139" s="26">
        <f>IFERROR(__xludf.DUMMYFUNCTION("""COMPUTED_VALUE"""),0.0)</f>
        <v>0</v>
      </c>
      <c r="AE139" s="26">
        <f>IFERROR(__xludf.DUMMYFUNCTION("""COMPUTED_VALUE"""),0.0)</f>
        <v>0</v>
      </c>
    </row>
    <row r="140">
      <c r="A140" s="26">
        <f>IFERROR(__xludf.DUMMYFUNCTION("""COMPUTED_VALUE"""),0.0)</f>
        <v>0</v>
      </c>
      <c r="B140" s="26">
        <f>IFERROR(__xludf.DUMMYFUNCTION("""COMPUTED_VALUE"""),0.0)</f>
        <v>0</v>
      </c>
      <c r="C140" s="26">
        <f>IFERROR(__xludf.DUMMYFUNCTION("""COMPUTED_VALUE"""),0.0)</f>
        <v>0</v>
      </c>
      <c r="D140" s="26">
        <f>IFERROR(__xludf.DUMMYFUNCTION("""COMPUTED_VALUE"""),0.0)</f>
        <v>0</v>
      </c>
      <c r="E140" s="26">
        <f>IFERROR(__xludf.DUMMYFUNCTION("""COMPUTED_VALUE"""),17.0)</f>
        <v>17</v>
      </c>
      <c r="F140" s="26">
        <f>IFERROR(__xludf.DUMMYFUNCTION("""COMPUTED_VALUE"""),0.0)</f>
        <v>0</v>
      </c>
      <c r="G140" s="26">
        <f>IFERROR(__xludf.DUMMYFUNCTION("""COMPUTED_VALUE"""),0.0)</f>
        <v>0</v>
      </c>
      <c r="H140" s="26">
        <f>IFERROR(__xludf.DUMMYFUNCTION("""COMPUTED_VALUE"""),0.0)</f>
        <v>0</v>
      </c>
      <c r="I140" s="26">
        <f>IFERROR(__xludf.DUMMYFUNCTION("""COMPUTED_VALUE"""),0.0)</f>
        <v>0</v>
      </c>
      <c r="J140" s="26">
        <f>IFERROR(__xludf.DUMMYFUNCTION("""COMPUTED_VALUE"""),0.0)</f>
        <v>0</v>
      </c>
      <c r="K140" s="26">
        <f>IFERROR(__xludf.DUMMYFUNCTION("""COMPUTED_VALUE"""),0.0)</f>
        <v>0</v>
      </c>
      <c r="L140" s="26">
        <f>IFERROR(__xludf.DUMMYFUNCTION("""COMPUTED_VALUE"""),0.0)</f>
        <v>0</v>
      </c>
      <c r="M140" s="26"/>
      <c r="N140" s="26"/>
      <c r="O140" s="26"/>
      <c r="P140" s="26"/>
      <c r="Q140" s="26"/>
      <c r="R140" s="26">
        <f>IFERROR(__xludf.DUMMYFUNCTION("""COMPUTED_VALUE"""),17.0)</f>
        <v>17</v>
      </c>
      <c r="S140" s="26">
        <f>IFERROR(__xludf.DUMMYFUNCTION("""COMPUTED_VALUE"""),3109.300000000001)</f>
        <v>3109.3</v>
      </c>
      <c r="T140" s="26">
        <f>IFERROR(__xludf.DUMMYFUNCTION("""COMPUTED_VALUE"""),2635.0)</f>
        <v>2635</v>
      </c>
      <c r="U140" s="26">
        <f>IFERROR(__xludf.DUMMYFUNCTION("""COMPUTED_VALUE"""),3109.2999999999997)</f>
        <v>3109.3</v>
      </c>
      <c r="V140" s="26">
        <f>IFERROR(__xludf.DUMMYFUNCTION("""COMPUTED_VALUE"""),0.0)</f>
        <v>0</v>
      </c>
      <c r="W140" s="26">
        <f>IFERROR(__xludf.DUMMYFUNCTION("""COMPUTED_VALUE"""),0.0)</f>
        <v>0</v>
      </c>
      <c r="X140" s="26">
        <f>IFERROR(__xludf.DUMMYFUNCTION("""COMPUTED_VALUE"""),474.29999999999984)</f>
        <v>474.3</v>
      </c>
      <c r="Y140" s="26">
        <f>IFERROR(__xludf.DUMMYFUNCTION("""COMPUTED_VALUE"""),474.29999999999984)</f>
        <v>474.3</v>
      </c>
      <c r="Z140" s="26">
        <f>IFERROR(__xludf.DUMMYFUNCTION("""COMPUTED_VALUE"""),0.0)</f>
        <v>0</v>
      </c>
      <c r="AA140" s="26">
        <f>IFERROR(__xludf.DUMMYFUNCTION("""COMPUTED_VALUE"""),0.0)</f>
        <v>0</v>
      </c>
      <c r="AB140" s="26">
        <f>IFERROR(__xludf.DUMMYFUNCTION("""COMPUTED_VALUE"""),0.0)</f>
        <v>0</v>
      </c>
      <c r="AC140" s="26">
        <f>IFERROR(__xludf.DUMMYFUNCTION("""COMPUTED_VALUE"""),0.0)</f>
        <v>0</v>
      </c>
      <c r="AD140" s="26">
        <f>IFERROR(__xludf.DUMMYFUNCTION("""COMPUTED_VALUE"""),0.0)</f>
        <v>0</v>
      </c>
      <c r="AE140" s="26">
        <f>IFERROR(__xludf.DUMMYFUNCTION("""COMPUTED_VALUE"""),0.0)</f>
        <v>0</v>
      </c>
    </row>
    <row r="141">
      <c r="A141" s="26">
        <f>IFERROR(__xludf.DUMMYFUNCTION("""COMPUTED_VALUE"""),0.0)</f>
        <v>0</v>
      </c>
      <c r="B141" s="26">
        <f>IFERROR(__xludf.DUMMYFUNCTION("""COMPUTED_VALUE"""),0.0)</f>
        <v>0</v>
      </c>
      <c r="C141" s="26">
        <f>IFERROR(__xludf.DUMMYFUNCTION("""COMPUTED_VALUE"""),0.0)</f>
        <v>0</v>
      </c>
      <c r="D141" s="26">
        <f>IFERROR(__xludf.DUMMYFUNCTION("""COMPUTED_VALUE"""),0.0)</f>
        <v>0</v>
      </c>
      <c r="E141" s="26">
        <f>IFERROR(__xludf.DUMMYFUNCTION("""COMPUTED_VALUE"""),0.0)</f>
        <v>0</v>
      </c>
      <c r="F141" s="26">
        <f>IFERROR(__xludf.DUMMYFUNCTION("""COMPUTED_VALUE"""),0.0)</f>
        <v>0</v>
      </c>
      <c r="G141" s="26">
        <f>IFERROR(__xludf.DUMMYFUNCTION("""COMPUTED_VALUE"""),0.0)</f>
        <v>0</v>
      </c>
      <c r="H141" s="26">
        <f>IFERROR(__xludf.DUMMYFUNCTION("""COMPUTED_VALUE"""),0.0)</f>
        <v>0</v>
      </c>
      <c r="I141" s="26">
        <f>IFERROR(__xludf.DUMMYFUNCTION("""COMPUTED_VALUE"""),0.0)</f>
        <v>0</v>
      </c>
      <c r="J141" s="26">
        <f>IFERROR(__xludf.DUMMYFUNCTION("""COMPUTED_VALUE"""),0.0)</f>
        <v>0</v>
      </c>
      <c r="K141" s="26">
        <f>IFERROR(__xludf.DUMMYFUNCTION("""COMPUTED_VALUE"""),0.0)</f>
        <v>0</v>
      </c>
      <c r="L141" s="26">
        <f>IFERROR(__xludf.DUMMYFUNCTION("""COMPUTED_VALUE"""),0.0)</f>
        <v>0</v>
      </c>
      <c r="M141" s="26"/>
      <c r="N141" s="26"/>
      <c r="O141" s="26"/>
      <c r="P141" s="26"/>
      <c r="Q141" s="26"/>
      <c r="R141" s="26">
        <f>IFERROR(__xludf.DUMMYFUNCTION("""COMPUTED_VALUE"""),0.0)</f>
        <v>0</v>
      </c>
      <c r="S141" s="26">
        <f>IFERROR(__xludf.DUMMYFUNCTION("""COMPUTED_VALUE"""),0.0)</f>
        <v>0</v>
      </c>
      <c r="T141" s="26">
        <f>IFERROR(__xludf.DUMMYFUNCTION("""COMPUTED_VALUE"""),0.0)</f>
        <v>0</v>
      </c>
      <c r="U141" s="26">
        <f>IFERROR(__xludf.DUMMYFUNCTION("""COMPUTED_VALUE"""),0.0)</f>
        <v>0</v>
      </c>
      <c r="V141" s="26">
        <f>IFERROR(__xludf.DUMMYFUNCTION("""COMPUTED_VALUE"""),0.0)</f>
        <v>0</v>
      </c>
      <c r="W141" s="26">
        <f>IFERROR(__xludf.DUMMYFUNCTION("""COMPUTED_VALUE"""),0.0)</f>
        <v>0</v>
      </c>
      <c r="X141" s="26">
        <f>IFERROR(__xludf.DUMMYFUNCTION("""COMPUTED_VALUE"""),0.0)</f>
        <v>0</v>
      </c>
      <c r="Y141" s="26">
        <f>IFERROR(__xludf.DUMMYFUNCTION("""COMPUTED_VALUE"""),0.0)</f>
        <v>0</v>
      </c>
      <c r="Z141" s="26">
        <f>IFERROR(__xludf.DUMMYFUNCTION("""COMPUTED_VALUE"""),0.0)</f>
        <v>0</v>
      </c>
      <c r="AA141" s="26">
        <f>IFERROR(__xludf.DUMMYFUNCTION("""COMPUTED_VALUE"""),0.0)</f>
        <v>0</v>
      </c>
      <c r="AB141" s="26">
        <f>IFERROR(__xludf.DUMMYFUNCTION("""COMPUTED_VALUE"""),0.0)</f>
        <v>0</v>
      </c>
      <c r="AC141" s="26">
        <f>IFERROR(__xludf.DUMMYFUNCTION("""COMPUTED_VALUE"""),0.0)</f>
        <v>0</v>
      </c>
      <c r="AD141" s="26">
        <f>IFERROR(__xludf.DUMMYFUNCTION("""COMPUTED_VALUE"""),0.0)</f>
        <v>0</v>
      </c>
      <c r="AE141" s="26">
        <f>IFERROR(__xludf.DUMMYFUNCTION("""COMPUTED_VALUE"""),0.0)</f>
        <v>0</v>
      </c>
    </row>
    <row r="142">
      <c r="A142" s="26">
        <f>IFERROR(__xludf.DUMMYFUNCTION("""COMPUTED_VALUE"""),0.0)</f>
        <v>0</v>
      </c>
      <c r="B142" s="26">
        <f>IFERROR(__xludf.DUMMYFUNCTION("""COMPUTED_VALUE"""),0.0)</f>
        <v>0</v>
      </c>
      <c r="C142" s="26">
        <f>IFERROR(__xludf.DUMMYFUNCTION("""COMPUTED_VALUE"""),0.0)</f>
        <v>0</v>
      </c>
      <c r="D142" s="26">
        <f>IFERROR(__xludf.DUMMYFUNCTION("""COMPUTED_VALUE"""),0.0)</f>
        <v>0</v>
      </c>
      <c r="E142" s="26">
        <f>IFERROR(__xludf.DUMMYFUNCTION("""COMPUTED_VALUE"""),0.0)</f>
        <v>0</v>
      </c>
      <c r="F142" s="26">
        <f>IFERROR(__xludf.DUMMYFUNCTION("""COMPUTED_VALUE"""),0.0)</f>
        <v>0</v>
      </c>
      <c r="G142" s="26">
        <f>IFERROR(__xludf.DUMMYFUNCTION("""COMPUTED_VALUE"""),0.0)</f>
        <v>0</v>
      </c>
      <c r="H142" s="26">
        <f>IFERROR(__xludf.DUMMYFUNCTION("""COMPUTED_VALUE"""),0.0)</f>
        <v>0</v>
      </c>
      <c r="I142" s="26">
        <f>IFERROR(__xludf.DUMMYFUNCTION("""COMPUTED_VALUE"""),0.0)</f>
        <v>0</v>
      </c>
      <c r="J142" s="26">
        <f>IFERROR(__xludf.DUMMYFUNCTION("""COMPUTED_VALUE"""),0.0)</f>
        <v>0</v>
      </c>
      <c r="K142" s="26">
        <f>IFERROR(__xludf.DUMMYFUNCTION("""COMPUTED_VALUE"""),0.0)</f>
        <v>0</v>
      </c>
      <c r="L142" s="26">
        <f>IFERROR(__xludf.DUMMYFUNCTION("""COMPUTED_VALUE"""),0.0)</f>
        <v>0</v>
      </c>
      <c r="M142" s="26"/>
      <c r="N142" s="26"/>
      <c r="O142" s="26"/>
      <c r="P142" s="26"/>
      <c r="Q142" s="26"/>
      <c r="R142" s="26">
        <f>IFERROR(__xludf.DUMMYFUNCTION("""COMPUTED_VALUE"""),0.0)</f>
        <v>0</v>
      </c>
      <c r="S142" s="26">
        <f>IFERROR(__xludf.DUMMYFUNCTION("""COMPUTED_VALUE"""),0.0)</f>
        <v>0</v>
      </c>
      <c r="T142" s="26">
        <f>IFERROR(__xludf.DUMMYFUNCTION("""COMPUTED_VALUE"""),0.0)</f>
        <v>0</v>
      </c>
      <c r="U142" s="26">
        <f>IFERROR(__xludf.DUMMYFUNCTION("""COMPUTED_VALUE"""),0.0)</f>
        <v>0</v>
      </c>
      <c r="V142" s="26">
        <f>IFERROR(__xludf.DUMMYFUNCTION("""COMPUTED_VALUE"""),0.0)</f>
        <v>0</v>
      </c>
      <c r="W142" s="26">
        <f>IFERROR(__xludf.DUMMYFUNCTION("""COMPUTED_VALUE"""),0.0)</f>
        <v>0</v>
      </c>
      <c r="X142" s="26">
        <f>IFERROR(__xludf.DUMMYFUNCTION("""COMPUTED_VALUE"""),0.0)</f>
        <v>0</v>
      </c>
      <c r="Y142" s="26">
        <f>IFERROR(__xludf.DUMMYFUNCTION("""COMPUTED_VALUE"""),0.0)</f>
        <v>0</v>
      </c>
      <c r="Z142" s="26">
        <f>IFERROR(__xludf.DUMMYFUNCTION("""COMPUTED_VALUE"""),0.0)</f>
        <v>0</v>
      </c>
      <c r="AA142" s="26">
        <f>IFERROR(__xludf.DUMMYFUNCTION("""COMPUTED_VALUE"""),0.0)</f>
        <v>0</v>
      </c>
      <c r="AB142" s="26">
        <f>IFERROR(__xludf.DUMMYFUNCTION("""COMPUTED_VALUE"""),0.0)</f>
        <v>0</v>
      </c>
      <c r="AC142" s="26">
        <f>IFERROR(__xludf.DUMMYFUNCTION("""COMPUTED_VALUE"""),0.0)</f>
        <v>0</v>
      </c>
      <c r="AD142" s="26">
        <f>IFERROR(__xludf.DUMMYFUNCTION("""COMPUTED_VALUE"""),0.0)</f>
        <v>0</v>
      </c>
      <c r="AE142" s="26">
        <f>IFERROR(__xludf.DUMMYFUNCTION("""COMPUTED_VALUE"""),0.0)</f>
        <v>0</v>
      </c>
    </row>
    <row r="143">
      <c r="A143" s="26">
        <f>IFERROR(__xludf.DUMMYFUNCTION("""COMPUTED_VALUE"""),0.0)</f>
        <v>0</v>
      </c>
      <c r="B143" s="26">
        <f>IFERROR(__xludf.DUMMYFUNCTION("""COMPUTED_VALUE"""),0.0)</f>
        <v>0</v>
      </c>
      <c r="C143" s="26">
        <f>IFERROR(__xludf.DUMMYFUNCTION("""COMPUTED_VALUE"""),0.0)</f>
        <v>0</v>
      </c>
      <c r="D143" s="26">
        <f>IFERROR(__xludf.DUMMYFUNCTION("""COMPUTED_VALUE"""),0.0)</f>
        <v>0</v>
      </c>
      <c r="E143" s="26">
        <f>IFERROR(__xludf.DUMMYFUNCTION("""COMPUTED_VALUE"""),0.0)</f>
        <v>0</v>
      </c>
      <c r="F143" s="26">
        <f>IFERROR(__xludf.DUMMYFUNCTION("""COMPUTED_VALUE"""),0.0)</f>
        <v>0</v>
      </c>
      <c r="G143" s="26">
        <f>IFERROR(__xludf.DUMMYFUNCTION("""COMPUTED_VALUE"""),0.0)</f>
        <v>0</v>
      </c>
      <c r="H143" s="26">
        <f>IFERROR(__xludf.DUMMYFUNCTION("""COMPUTED_VALUE"""),0.0)</f>
        <v>0</v>
      </c>
      <c r="I143" s="26">
        <f>IFERROR(__xludf.DUMMYFUNCTION("""COMPUTED_VALUE"""),0.0)</f>
        <v>0</v>
      </c>
      <c r="J143" s="26">
        <f>IFERROR(__xludf.DUMMYFUNCTION("""COMPUTED_VALUE"""),0.0)</f>
        <v>0</v>
      </c>
      <c r="K143" s="26">
        <f>IFERROR(__xludf.DUMMYFUNCTION("""COMPUTED_VALUE"""),0.0)</f>
        <v>0</v>
      </c>
      <c r="L143" s="26">
        <f>IFERROR(__xludf.DUMMYFUNCTION("""COMPUTED_VALUE"""),0.0)</f>
        <v>0</v>
      </c>
      <c r="M143" s="26"/>
      <c r="N143" s="26"/>
      <c r="O143" s="26"/>
      <c r="P143" s="26"/>
      <c r="Q143" s="26"/>
      <c r="R143" s="26">
        <f>IFERROR(__xludf.DUMMYFUNCTION("""COMPUTED_VALUE"""),0.0)</f>
        <v>0</v>
      </c>
      <c r="S143" s="26">
        <f>IFERROR(__xludf.DUMMYFUNCTION("""COMPUTED_VALUE"""),0.0)</f>
        <v>0</v>
      </c>
      <c r="T143" s="26">
        <f>IFERROR(__xludf.DUMMYFUNCTION("""COMPUTED_VALUE"""),0.0)</f>
        <v>0</v>
      </c>
      <c r="U143" s="26">
        <f>IFERROR(__xludf.DUMMYFUNCTION("""COMPUTED_VALUE"""),0.0)</f>
        <v>0</v>
      </c>
      <c r="V143" s="26">
        <f>IFERROR(__xludf.DUMMYFUNCTION("""COMPUTED_VALUE"""),0.0)</f>
        <v>0</v>
      </c>
      <c r="W143" s="26">
        <f>IFERROR(__xludf.DUMMYFUNCTION("""COMPUTED_VALUE"""),0.0)</f>
        <v>0</v>
      </c>
      <c r="X143" s="26">
        <f>IFERROR(__xludf.DUMMYFUNCTION("""COMPUTED_VALUE"""),0.0)</f>
        <v>0</v>
      </c>
      <c r="Y143" s="26">
        <f>IFERROR(__xludf.DUMMYFUNCTION("""COMPUTED_VALUE"""),0.0)</f>
        <v>0</v>
      </c>
      <c r="Z143" s="26">
        <f>IFERROR(__xludf.DUMMYFUNCTION("""COMPUTED_VALUE"""),0.0)</f>
        <v>0</v>
      </c>
      <c r="AA143" s="26">
        <f>IFERROR(__xludf.DUMMYFUNCTION("""COMPUTED_VALUE"""),0.0)</f>
        <v>0</v>
      </c>
      <c r="AB143" s="26">
        <f>IFERROR(__xludf.DUMMYFUNCTION("""COMPUTED_VALUE"""),0.0)</f>
        <v>0</v>
      </c>
      <c r="AC143" s="26">
        <f>IFERROR(__xludf.DUMMYFUNCTION("""COMPUTED_VALUE"""),0.0)</f>
        <v>0</v>
      </c>
      <c r="AD143" s="26">
        <f>IFERROR(__xludf.DUMMYFUNCTION("""COMPUTED_VALUE"""),0.0)</f>
        <v>0</v>
      </c>
      <c r="AE143" s="26">
        <f>IFERROR(__xludf.DUMMYFUNCTION("""COMPUTED_VALUE"""),0.0)</f>
        <v>0</v>
      </c>
    </row>
    <row r="144">
      <c r="A144" s="26">
        <f>IFERROR(__xludf.DUMMYFUNCTION("""COMPUTED_VALUE"""),0.0)</f>
        <v>0</v>
      </c>
      <c r="B144" s="26">
        <f>IFERROR(__xludf.DUMMYFUNCTION("""COMPUTED_VALUE"""),0.0)</f>
        <v>0</v>
      </c>
      <c r="C144" s="26">
        <f>IFERROR(__xludf.DUMMYFUNCTION("""COMPUTED_VALUE"""),0.0)</f>
        <v>0</v>
      </c>
      <c r="D144" s="26">
        <f>IFERROR(__xludf.DUMMYFUNCTION("""COMPUTED_VALUE"""),0.0)</f>
        <v>0</v>
      </c>
      <c r="E144" s="26">
        <f>IFERROR(__xludf.DUMMYFUNCTION("""COMPUTED_VALUE"""),0.0)</f>
        <v>0</v>
      </c>
      <c r="F144" s="26">
        <f>IFERROR(__xludf.DUMMYFUNCTION("""COMPUTED_VALUE"""),0.0)</f>
        <v>0</v>
      </c>
      <c r="G144" s="26">
        <f>IFERROR(__xludf.DUMMYFUNCTION("""COMPUTED_VALUE"""),0.0)</f>
        <v>0</v>
      </c>
      <c r="H144" s="26">
        <f>IFERROR(__xludf.DUMMYFUNCTION("""COMPUTED_VALUE"""),0.0)</f>
        <v>0</v>
      </c>
      <c r="I144" s="26">
        <f>IFERROR(__xludf.DUMMYFUNCTION("""COMPUTED_VALUE"""),0.0)</f>
        <v>0</v>
      </c>
      <c r="J144" s="26">
        <f>IFERROR(__xludf.DUMMYFUNCTION("""COMPUTED_VALUE"""),0.0)</f>
        <v>0</v>
      </c>
      <c r="K144" s="26">
        <f>IFERROR(__xludf.DUMMYFUNCTION("""COMPUTED_VALUE"""),0.0)</f>
        <v>0</v>
      </c>
      <c r="L144" s="26">
        <f>IFERROR(__xludf.DUMMYFUNCTION("""COMPUTED_VALUE"""),0.0)</f>
        <v>0</v>
      </c>
      <c r="M144" s="26"/>
      <c r="N144" s="26"/>
      <c r="O144" s="26"/>
      <c r="P144" s="26"/>
      <c r="Q144" s="26"/>
      <c r="R144" s="26">
        <f>IFERROR(__xludf.DUMMYFUNCTION("""COMPUTED_VALUE"""),0.0)</f>
        <v>0</v>
      </c>
      <c r="S144" s="26">
        <f>IFERROR(__xludf.DUMMYFUNCTION("""COMPUTED_VALUE"""),0.0)</f>
        <v>0</v>
      </c>
      <c r="T144" s="26">
        <f>IFERROR(__xludf.DUMMYFUNCTION("""COMPUTED_VALUE"""),0.0)</f>
        <v>0</v>
      </c>
      <c r="U144" s="26">
        <f>IFERROR(__xludf.DUMMYFUNCTION("""COMPUTED_VALUE"""),0.0)</f>
        <v>0</v>
      </c>
      <c r="V144" s="26">
        <f>IFERROR(__xludf.DUMMYFUNCTION("""COMPUTED_VALUE"""),0.0)</f>
        <v>0</v>
      </c>
      <c r="W144" s="26">
        <f>IFERROR(__xludf.DUMMYFUNCTION("""COMPUTED_VALUE"""),0.0)</f>
        <v>0</v>
      </c>
      <c r="X144" s="26">
        <f>IFERROR(__xludf.DUMMYFUNCTION("""COMPUTED_VALUE"""),0.0)</f>
        <v>0</v>
      </c>
      <c r="Y144" s="26">
        <f>IFERROR(__xludf.DUMMYFUNCTION("""COMPUTED_VALUE"""),0.0)</f>
        <v>0</v>
      </c>
      <c r="Z144" s="26">
        <f>IFERROR(__xludf.DUMMYFUNCTION("""COMPUTED_VALUE"""),0.0)</f>
        <v>0</v>
      </c>
      <c r="AA144" s="26">
        <f>IFERROR(__xludf.DUMMYFUNCTION("""COMPUTED_VALUE"""),0.0)</f>
        <v>0</v>
      </c>
      <c r="AB144" s="26">
        <f>IFERROR(__xludf.DUMMYFUNCTION("""COMPUTED_VALUE"""),0.0)</f>
        <v>0</v>
      </c>
      <c r="AC144" s="26">
        <f>IFERROR(__xludf.DUMMYFUNCTION("""COMPUTED_VALUE"""),0.0)</f>
        <v>0</v>
      </c>
      <c r="AD144" s="26">
        <f>IFERROR(__xludf.DUMMYFUNCTION("""COMPUTED_VALUE"""),0.0)</f>
        <v>0</v>
      </c>
      <c r="AE144" s="26">
        <f>IFERROR(__xludf.DUMMYFUNCTION("""COMPUTED_VALUE"""),0.0)</f>
        <v>0</v>
      </c>
    </row>
    <row r="145">
      <c r="A145" s="26">
        <f>IFERROR(__xludf.DUMMYFUNCTION("""COMPUTED_VALUE"""),0.0)</f>
        <v>0</v>
      </c>
      <c r="B145" s="26">
        <f>IFERROR(__xludf.DUMMYFUNCTION("""COMPUTED_VALUE"""),0.0)</f>
        <v>0</v>
      </c>
      <c r="C145" s="26">
        <f>IFERROR(__xludf.DUMMYFUNCTION("""COMPUTED_VALUE"""),0.0)</f>
        <v>0</v>
      </c>
      <c r="D145" s="26">
        <f>IFERROR(__xludf.DUMMYFUNCTION("""COMPUTED_VALUE"""),0.0)</f>
        <v>0</v>
      </c>
      <c r="E145" s="26">
        <f>IFERROR(__xludf.DUMMYFUNCTION("""COMPUTED_VALUE"""),0.0)</f>
        <v>0</v>
      </c>
      <c r="F145" s="26">
        <f>IFERROR(__xludf.DUMMYFUNCTION("""COMPUTED_VALUE"""),0.0)</f>
        <v>0</v>
      </c>
      <c r="G145" s="26">
        <f>IFERROR(__xludf.DUMMYFUNCTION("""COMPUTED_VALUE"""),0.0)</f>
        <v>0</v>
      </c>
      <c r="H145" s="26">
        <f>IFERROR(__xludf.DUMMYFUNCTION("""COMPUTED_VALUE"""),0.0)</f>
        <v>0</v>
      </c>
      <c r="I145" s="26">
        <f>IFERROR(__xludf.DUMMYFUNCTION("""COMPUTED_VALUE"""),0.0)</f>
        <v>0</v>
      </c>
      <c r="J145" s="26">
        <f>IFERROR(__xludf.DUMMYFUNCTION("""COMPUTED_VALUE"""),0.0)</f>
        <v>0</v>
      </c>
      <c r="K145" s="26">
        <f>IFERROR(__xludf.DUMMYFUNCTION("""COMPUTED_VALUE"""),0.0)</f>
        <v>0</v>
      </c>
      <c r="L145" s="26">
        <f>IFERROR(__xludf.DUMMYFUNCTION("""COMPUTED_VALUE"""),0.0)</f>
        <v>0</v>
      </c>
      <c r="M145" s="26"/>
      <c r="N145" s="26"/>
      <c r="O145" s="26"/>
      <c r="P145" s="26"/>
      <c r="Q145" s="26"/>
      <c r="R145" s="26">
        <f>IFERROR(__xludf.DUMMYFUNCTION("""COMPUTED_VALUE"""),0.0)</f>
        <v>0</v>
      </c>
      <c r="S145" s="26">
        <f>IFERROR(__xludf.DUMMYFUNCTION("""COMPUTED_VALUE"""),0.0)</f>
        <v>0</v>
      </c>
      <c r="T145" s="26">
        <f>IFERROR(__xludf.DUMMYFUNCTION("""COMPUTED_VALUE"""),0.0)</f>
        <v>0</v>
      </c>
      <c r="U145" s="26">
        <f>IFERROR(__xludf.DUMMYFUNCTION("""COMPUTED_VALUE"""),0.0)</f>
        <v>0</v>
      </c>
      <c r="V145" s="26">
        <f>IFERROR(__xludf.DUMMYFUNCTION("""COMPUTED_VALUE"""),0.0)</f>
        <v>0</v>
      </c>
      <c r="W145" s="26">
        <f>IFERROR(__xludf.DUMMYFUNCTION("""COMPUTED_VALUE"""),0.0)</f>
        <v>0</v>
      </c>
      <c r="X145" s="26">
        <f>IFERROR(__xludf.DUMMYFUNCTION("""COMPUTED_VALUE"""),0.0)</f>
        <v>0</v>
      </c>
      <c r="Y145" s="26">
        <f>IFERROR(__xludf.DUMMYFUNCTION("""COMPUTED_VALUE"""),0.0)</f>
        <v>0</v>
      </c>
      <c r="Z145" s="26">
        <f>IFERROR(__xludf.DUMMYFUNCTION("""COMPUTED_VALUE"""),0.0)</f>
        <v>0</v>
      </c>
      <c r="AA145" s="26">
        <f>IFERROR(__xludf.DUMMYFUNCTION("""COMPUTED_VALUE"""),0.0)</f>
        <v>0</v>
      </c>
      <c r="AB145" s="26">
        <f>IFERROR(__xludf.DUMMYFUNCTION("""COMPUTED_VALUE"""),0.0)</f>
        <v>0</v>
      </c>
      <c r="AC145" s="26">
        <f>IFERROR(__xludf.DUMMYFUNCTION("""COMPUTED_VALUE"""),0.0)</f>
        <v>0</v>
      </c>
      <c r="AD145" s="26">
        <f>IFERROR(__xludf.DUMMYFUNCTION("""COMPUTED_VALUE"""),0.0)</f>
        <v>0</v>
      </c>
      <c r="AE145" s="26">
        <f>IFERROR(__xludf.DUMMYFUNCTION("""COMPUTED_VALUE"""),0.0)</f>
        <v>0</v>
      </c>
    </row>
    <row r="146">
      <c r="A146" s="26">
        <f>IFERROR(__xludf.DUMMYFUNCTION("""COMPUTED_VALUE"""),0.0)</f>
        <v>0</v>
      </c>
      <c r="B146" s="26">
        <f>IFERROR(__xludf.DUMMYFUNCTION("""COMPUTED_VALUE"""),0.0)</f>
        <v>0</v>
      </c>
      <c r="C146" s="26">
        <f>IFERROR(__xludf.DUMMYFUNCTION("""COMPUTED_VALUE"""),0.0)</f>
        <v>0</v>
      </c>
      <c r="D146" s="26">
        <f>IFERROR(__xludf.DUMMYFUNCTION("""COMPUTED_VALUE"""),0.0)</f>
        <v>0</v>
      </c>
      <c r="E146" s="26">
        <f>IFERROR(__xludf.DUMMYFUNCTION("""COMPUTED_VALUE"""),0.0)</f>
        <v>0</v>
      </c>
      <c r="F146" s="26">
        <f>IFERROR(__xludf.DUMMYFUNCTION("""COMPUTED_VALUE"""),0.0)</f>
        <v>0</v>
      </c>
      <c r="G146" s="26">
        <f>IFERROR(__xludf.DUMMYFUNCTION("""COMPUTED_VALUE"""),0.0)</f>
        <v>0</v>
      </c>
      <c r="H146" s="26">
        <f>IFERROR(__xludf.DUMMYFUNCTION("""COMPUTED_VALUE"""),0.0)</f>
        <v>0</v>
      </c>
      <c r="I146" s="26">
        <f>IFERROR(__xludf.DUMMYFUNCTION("""COMPUTED_VALUE"""),0.0)</f>
        <v>0</v>
      </c>
      <c r="J146" s="26">
        <f>IFERROR(__xludf.DUMMYFUNCTION("""COMPUTED_VALUE"""),0.0)</f>
        <v>0</v>
      </c>
      <c r="K146" s="26">
        <f>IFERROR(__xludf.DUMMYFUNCTION("""COMPUTED_VALUE"""),0.0)</f>
        <v>0</v>
      </c>
      <c r="L146" s="26">
        <f>IFERROR(__xludf.DUMMYFUNCTION("""COMPUTED_VALUE"""),0.0)</f>
        <v>0</v>
      </c>
      <c r="M146" s="26"/>
      <c r="N146" s="26"/>
      <c r="O146" s="26"/>
      <c r="P146" s="26"/>
      <c r="Q146" s="26"/>
      <c r="R146" s="26">
        <f>IFERROR(__xludf.DUMMYFUNCTION("""COMPUTED_VALUE"""),0.0)</f>
        <v>0</v>
      </c>
      <c r="S146" s="26">
        <f>IFERROR(__xludf.DUMMYFUNCTION("""COMPUTED_VALUE"""),0.0)</f>
        <v>0</v>
      </c>
      <c r="T146" s="26">
        <f>IFERROR(__xludf.DUMMYFUNCTION("""COMPUTED_VALUE"""),0.0)</f>
        <v>0</v>
      </c>
      <c r="U146" s="26">
        <f>IFERROR(__xludf.DUMMYFUNCTION("""COMPUTED_VALUE"""),0.0)</f>
        <v>0</v>
      </c>
      <c r="V146" s="26">
        <f>IFERROR(__xludf.DUMMYFUNCTION("""COMPUTED_VALUE"""),0.0)</f>
        <v>0</v>
      </c>
      <c r="W146" s="26">
        <f>IFERROR(__xludf.DUMMYFUNCTION("""COMPUTED_VALUE"""),0.0)</f>
        <v>0</v>
      </c>
      <c r="X146" s="26">
        <f>IFERROR(__xludf.DUMMYFUNCTION("""COMPUTED_VALUE"""),0.0)</f>
        <v>0</v>
      </c>
      <c r="Y146" s="26">
        <f>IFERROR(__xludf.DUMMYFUNCTION("""COMPUTED_VALUE"""),0.0)</f>
        <v>0</v>
      </c>
      <c r="Z146" s="26">
        <f>IFERROR(__xludf.DUMMYFUNCTION("""COMPUTED_VALUE"""),0.0)</f>
        <v>0</v>
      </c>
      <c r="AA146" s="26">
        <f>IFERROR(__xludf.DUMMYFUNCTION("""COMPUTED_VALUE"""),0.0)</f>
        <v>0</v>
      </c>
      <c r="AB146" s="26">
        <f>IFERROR(__xludf.DUMMYFUNCTION("""COMPUTED_VALUE"""),0.0)</f>
        <v>0</v>
      </c>
      <c r="AC146" s="26">
        <f>IFERROR(__xludf.DUMMYFUNCTION("""COMPUTED_VALUE"""),0.0)</f>
        <v>0</v>
      </c>
      <c r="AD146" s="26">
        <f>IFERROR(__xludf.DUMMYFUNCTION("""COMPUTED_VALUE"""),0.0)</f>
        <v>0</v>
      </c>
      <c r="AE146" s="26">
        <f>IFERROR(__xludf.DUMMYFUNCTION("""COMPUTED_VALUE"""),0.0)</f>
        <v>0</v>
      </c>
    </row>
    <row r="147">
      <c r="A147" s="26">
        <f>IFERROR(__xludf.DUMMYFUNCTION("""COMPUTED_VALUE"""),219.0)</f>
        <v>219</v>
      </c>
      <c r="B147" s="26">
        <f>IFERROR(__xludf.DUMMYFUNCTION("""COMPUTED_VALUE"""),0.0)</f>
        <v>0</v>
      </c>
      <c r="C147" s="26">
        <f>IFERROR(__xludf.DUMMYFUNCTION("""COMPUTED_VALUE"""),0.0)</f>
        <v>0</v>
      </c>
      <c r="D147" s="26">
        <f>IFERROR(__xludf.DUMMYFUNCTION("""COMPUTED_VALUE"""),0.0)</f>
        <v>0</v>
      </c>
      <c r="E147" s="26">
        <f>IFERROR(__xludf.DUMMYFUNCTION("""COMPUTED_VALUE"""),0.0)</f>
        <v>0</v>
      </c>
      <c r="F147" s="26">
        <f>IFERROR(__xludf.DUMMYFUNCTION("""COMPUTED_VALUE"""),0.0)</f>
        <v>0</v>
      </c>
      <c r="G147" s="26">
        <f>IFERROR(__xludf.DUMMYFUNCTION("""COMPUTED_VALUE"""),0.0)</f>
        <v>0</v>
      </c>
      <c r="H147" s="26">
        <f>IFERROR(__xludf.DUMMYFUNCTION("""COMPUTED_VALUE"""),0.0)</f>
        <v>0</v>
      </c>
      <c r="I147" s="26">
        <f>IFERROR(__xludf.DUMMYFUNCTION("""COMPUTED_VALUE"""),0.0)</f>
        <v>0</v>
      </c>
      <c r="J147" s="26">
        <f>IFERROR(__xludf.DUMMYFUNCTION("""COMPUTED_VALUE"""),0.0)</f>
        <v>0</v>
      </c>
      <c r="K147" s="26">
        <f>IFERROR(__xludf.DUMMYFUNCTION("""COMPUTED_VALUE"""),0.0)</f>
        <v>0</v>
      </c>
      <c r="L147" s="26">
        <f>IFERROR(__xludf.DUMMYFUNCTION("""COMPUTED_VALUE"""),0.0)</f>
        <v>0</v>
      </c>
      <c r="M147" s="26"/>
      <c r="N147" s="26"/>
      <c r="O147" s="26"/>
      <c r="P147" s="26"/>
      <c r="Q147" s="26"/>
      <c r="R147" s="26">
        <f>IFERROR(__xludf.DUMMYFUNCTION("""COMPUTED_VALUE"""),219.0)</f>
        <v>219</v>
      </c>
      <c r="S147" s="26">
        <f>IFERROR(__xludf.DUMMYFUNCTION("""COMPUTED_VALUE"""),96798.0)</f>
        <v>96798</v>
      </c>
      <c r="T147" s="26">
        <f>IFERROR(__xludf.DUMMYFUNCTION("""COMPUTED_VALUE"""),33945.0)</f>
        <v>33945</v>
      </c>
      <c r="U147" s="26">
        <f>IFERROR(__xludf.DUMMYFUNCTION("""COMPUTED_VALUE"""),48709.98000000001)</f>
        <v>48709.98</v>
      </c>
      <c r="V147" s="26">
        <f>IFERROR(__xludf.DUMMYFUNCTION("""COMPUTED_VALUE"""),0.0)</f>
        <v>0</v>
      </c>
      <c r="W147" s="26">
        <f>IFERROR(__xludf.DUMMYFUNCTION("""COMPUTED_VALUE"""),0.0)</f>
        <v>0</v>
      </c>
      <c r="X147" s="26">
        <f>IFERROR(__xludf.DUMMYFUNCTION("""COMPUTED_VALUE"""),14764.980000000014)</f>
        <v>14764.98</v>
      </c>
      <c r="Y147" s="26">
        <f>IFERROR(__xludf.DUMMYFUNCTION("""COMPUTED_VALUE"""),14764.980000000014)</f>
        <v>14764.98</v>
      </c>
      <c r="Z147" s="26">
        <f>IFERROR(__xludf.DUMMYFUNCTION("""COMPUTED_VALUE"""),96798.0)</f>
        <v>96798</v>
      </c>
      <c r="AA147" s="26">
        <f>IFERROR(__xludf.DUMMYFUNCTION("""COMPUTED_VALUE"""),51114.600000000195)</f>
        <v>51114.6</v>
      </c>
      <c r="AB147" s="26">
        <f>IFERROR(__xludf.DUMMYFUNCTION("""COMPUTED_VALUE"""),48088.020000000244)</f>
        <v>48088.02</v>
      </c>
      <c r="AC147" s="26">
        <f>IFERROR(__xludf.DUMMYFUNCTION("""COMPUTED_VALUE"""),0.0)</f>
        <v>0</v>
      </c>
      <c r="AD147" s="26">
        <f>IFERROR(__xludf.DUMMYFUNCTION("""COMPUTED_VALUE"""),2404.620000000003)</f>
        <v>2404.62</v>
      </c>
      <c r="AE147" s="26">
        <f>IFERROR(__xludf.DUMMYFUNCTION("""COMPUTED_VALUE"""),45683.39999999982)</f>
        <v>45683.4</v>
      </c>
    </row>
    <row r="148">
      <c r="A148" s="26">
        <f>IFERROR(__xludf.DUMMYFUNCTION("""COMPUTED_VALUE"""),0.0)</f>
        <v>0</v>
      </c>
      <c r="B148" s="26">
        <f>IFERROR(__xludf.DUMMYFUNCTION("""COMPUTED_VALUE"""),0.0)</f>
        <v>0</v>
      </c>
      <c r="C148" s="26">
        <f>IFERROR(__xludf.DUMMYFUNCTION("""COMPUTED_VALUE"""),0.0)</f>
        <v>0</v>
      </c>
      <c r="D148" s="26">
        <f>IFERROR(__xludf.DUMMYFUNCTION("""COMPUTED_VALUE"""),0.0)</f>
        <v>0</v>
      </c>
      <c r="E148" s="26">
        <f>IFERROR(__xludf.DUMMYFUNCTION("""COMPUTED_VALUE"""),0.0)</f>
        <v>0</v>
      </c>
      <c r="F148" s="26">
        <f>IFERROR(__xludf.DUMMYFUNCTION("""COMPUTED_VALUE"""),0.0)</f>
        <v>0</v>
      </c>
      <c r="G148" s="26">
        <f>IFERROR(__xludf.DUMMYFUNCTION("""COMPUTED_VALUE"""),0.0)</f>
        <v>0</v>
      </c>
      <c r="H148" s="26">
        <f>IFERROR(__xludf.DUMMYFUNCTION("""COMPUTED_VALUE"""),0.0)</f>
        <v>0</v>
      </c>
      <c r="I148" s="26">
        <f>IFERROR(__xludf.DUMMYFUNCTION("""COMPUTED_VALUE"""),0.0)</f>
        <v>0</v>
      </c>
      <c r="J148" s="26">
        <f>IFERROR(__xludf.DUMMYFUNCTION("""COMPUTED_VALUE"""),0.0)</f>
        <v>0</v>
      </c>
      <c r="K148" s="26">
        <f>IFERROR(__xludf.DUMMYFUNCTION("""COMPUTED_VALUE"""),0.0)</f>
        <v>0</v>
      </c>
      <c r="L148" s="26">
        <f>IFERROR(__xludf.DUMMYFUNCTION("""COMPUTED_VALUE"""),0.0)</f>
        <v>0</v>
      </c>
      <c r="M148" s="26"/>
      <c r="N148" s="26"/>
      <c r="O148" s="26"/>
      <c r="P148" s="26"/>
      <c r="Q148" s="26"/>
      <c r="R148" s="26">
        <f>IFERROR(__xludf.DUMMYFUNCTION("""COMPUTED_VALUE"""),0.0)</f>
        <v>0</v>
      </c>
      <c r="S148" s="26">
        <f>IFERROR(__xludf.DUMMYFUNCTION("""COMPUTED_VALUE"""),0.0)</f>
        <v>0</v>
      </c>
      <c r="T148" s="26">
        <f>IFERROR(__xludf.DUMMYFUNCTION("""COMPUTED_VALUE"""),0.0)</f>
        <v>0</v>
      </c>
      <c r="U148" s="26">
        <f>IFERROR(__xludf.DUMMYFUNCTION("""COMPUTED_VALUE"""),0.0)</f>
        <v>0</v>
      </c>
      <c r="V148" s="26">
        <f>IFERROR(__xludf.DUMMYFUNCTION("""COMPUTED_VALUE"""),0.0)</f>
        <v>0</v>
      </c>
      <c r="W148" s="26">
        <f>IFERROR(__xludf.DUMMYFUNCTION("""COMPUTED_VALUE"""),0.0)</f>
        <v>0</v>
      </c>
      <c r="X148" s="26">
        <f>IFERROR(__xludf.DUMMYFUNCTION("""COMPUTED_VALUE"""),0.0)</f>
        <v>0</v>
      </c>
      <c r="Y148" s="26">
        <f>IFERROR(__xludf.DUMMYFUNCTION("""COMPUTED_VALUE"""),0.0)</f>
        <v>0</v>
      </c>
      <c r="Z148" s="26">
        <f>IFERROR(__xludf.DUMMYFUNCTION("""COMPUTED_VALUE"""),0.0)</f>
        <v>0</v>
      </c>
      <c r="AA148" s="26">
        <f>IFERROR(__xludf.DUMMYFUNCTION("""COMPUTED_VALUE"""),0.0)</f>
        <v>0</v>
      </c>
      <c r="AB148" s="26">
        <f>IFERROR(__xludf.DUMMYFUNCTION("""COMPUTED_VALUE"""),0.0)</f>
        <v>0</v>
      </c>
      <c r="AC148" s="26">
        <f>IFERROR(__xludf.DUMMYFUNCTION("""COMPUTED_VALUE"""),0.0)</f>
        <v>0</v>
      </c>
      <c r="AD148" s="26">
        <f>IFERROR(__xludf.DUMMYFUNCTION("""COMPUTED_VALUE"""),0.0)</f>
        <v>0</v>
      </c>
      <c r="AE148" s="26">
        <f>IFERROR(__xludf.DUMMYFUNCTION("""COMPUTED_VALUE"""),0.0)</f>
        <v>0</v>
      </c>
    </row>
    <row r="149">
      <c r="A149" s="26">
        <f>IFERROR(__xludf.DUMMYFUNCTION("""COMPUTED_VALUE"""),0.0)</f>
        <v>0</v>
      </c>
      <c r="B149" s="26">
        <f>IFERROR(__xludf.DUMMYFUNCTION("""COMPUTED_VALUE"""),0.0)</f>
        <v>0</v>
      </c>
      <c r="C149" s="26">
        <f>IFERROR(__xludf.DUMMYFUNCTION("""COMPUTED_VALUE"""),0.0)</f>
        <v>0</v>
      </c>
      <c r="D149" s="26">
        <f>IFERROR(__xludf.DUMMYFUNCTION("""COMPUTED_VALUE"""),0.0)</f>
        <v>0</v>
      </c>
      <c r="E149" s="26">
        <f>IFERROR(__xludf.DUMMYFUNCTION("""COMPUTED_VALUE"""),0.0)</f>
        <v>0</v>
      </c>
      <c r="F149" s="26">
        <f>IFERROR(__xludf.DUMMYFUNCTION("""COMPUTED_VALUE"""),0.0)</f>
        <v>0</v>
      </c>
      <c r="G149" s="26">
        <f>IFERROR(__xludf.DUMMYFUNCTION("""COMPUTED_VALUE"""),0.0)</f>
        <v>0</v>
      </c>
      <c r="H149" s="26">
        <f>IFERROR(__xludf.DUMMYFUNCTION("""COMPUTED_VALUE"""),0.0)</f>
        <v>0</v>
      </c>
      <c r="I149" s="26">
        <f>IFERROR(__xludf.DUMMYFUNCTION("""COMPUTED_VALUE"""),0.0)</f>
        <v>0</v>
      </c>
      <c r="J149" s="26">
        <f>IFERROR(__xludf.DUMMYFUNCTION("""COMPUTED_VALUE"""),0.0)</f>
        <v>0</v>
      </c>
      <c r="K149" s="26">
        <f>IFERROR(__xludf.DUMMYFUNCTION("""COMPUTED_VALUE"""),0.0)</f>
        <v>0</v>
      </c>
      <c r="L149" s="26">
        <f>IFERROR(__xludf.DUMMYFUNCTION("""COMPUTED_VALUE"""),0.0)</f>
        <v>0</v>
      </c>
      <c r="M149" s="26"/>
      <c r="N149" s="26"/>
      <c r="O149" s="26"/>
      <c r="P149" s="26"/>
      <c r="Q149" s="26"/>
      <c r="R149" s="26">
        <f>IFERROR(__xludf.DUMMYFUNCTION("""COMPUTED_VALUE"""),0.0)</f>
        <v>0</v>
      </c>
      <c r="S149" s="26">
        <f>IFERROR(__xludf.DUMMYFUNCTION("""COMPUTED_VALUE"""),0.0)</f>
        <v>0</v>
      </c>
      <c r="T149" s="26">
        <f>IFERROR(__xludf.DUMMYFUNCTION("""COMPUTED_VALUE"""),0.0)</f>
        <v>0</v>
      </c>
      <c r="U149" s="26">
        <f>IFERROR(__xludf.DUMMYFUNCTION("""COMPUTED_VALUE"""),0.0)</f>
        <v>0</v>
      </c>
      <c r="V149" s="26">
        <f>IFERROR(__xludf.DUMMYFUNCTION("""COMPUTED_VALUE"""),0.0)</f>
        <v>0</v>
      </c>
      <c r="W149" s="26">
        <f>IFERROR(__xludf.DUMMYFUNCTION("""COMPUTED_VALUE"""),0.0)</f>
        <v>0</v>
      </c>
      <c r="X149" s="26">
        <f>IFERROR(__xludf.DUMMYFUNCTION("""COMPUTED_VALUE"""),0.0)</f>
        <v>0</v>
      </c>
      <c r="Y149" s="26">
        <f>IFERROR(__xludf.DUMMYFUNCTION("""COMPUTED_VALUE"""),0.0)</f>
        <v>0</v>
      </c>
      <c r="Z149" s="26">
        <f>IFERROR(__xludf.DUMMYFUNCTION("""COMPUTED_VALUE"""),0.0)</f>
        <v>0</v>
      </c>
      <c r="AA149" s="26">
        <f>IFERROR(__xludf.DUMMYFUNCTION("""COMPUTED_VALUE"""),0.0)</f>
        <v>0</v>
      </c>
      <c r="AB149" s="26">
        <f>IFERROR(__xludf.DUMMYFUNCTION("""COMPUTED_VALUE"""),0.0)</f>
        <v>0</v>
      </c>
      <c r="AC149" s="26">
        <f>IFERROR(__xludf.DUMMYFUNCTION("""COMPUTED_VALUE"""),0.0)</f>
        <v>0</v>
      </c>
      <c r="AD149" s="26">
        <f>IFERROR(__xludf.DUMMYFUNCTION("""COMPUTED_VALUE"""),0.0)</f>
        <v>0</v>
      </c>
      <c r="AE149" s="26">
        <f>IFERROR(__xludf.DUMMYFUNCTION("""COMPUTED_VALUE"""),0.0)</f>
        <v>0</v>
      </c>
    </row>
    <row r="150">
      <c r="A150" s="26">
        <f>IFERROR(__xludf.DUMMYFUNCTION("""COMPUTED_VALUE"""),0.0)</f>
        <v>0</v>
      </c>
      <c r="B150" s="26">
        <f>IFERROR(__xludf.DUMMYFUNCTION("""COMPUTED_VALUE"""),0.0)</f>
        <v>0</v>
      </c>
      <c r="C150" s="26">
        <f>IFERROR(__xludf.DUMMYFUNCTION("""COMPUTED_VALUE"""),0.0)</f>
        <v>0</v>
      </c>
      <c r="D150" s="26">
        <f>IFERROR(__xludf.DUMMYFUNCTION("""COMPUTED_VALUE"""),0.0)</f>
        <v>0</v>
      </c>
      <c r="E150" s="26">
        <f>IFERROR(__xludf.DUMMYFUNCTION("""COMPUTED_VALUE"""),0.0)</f>
        <v>0</v>
      </c>
      <c r="F150" s="26">
        <f>IFERROR(__xludf.DUMMYFUNCTION("""COMPUTED_VALUE"""),0.0)</f>
        <v>0</v>
      </c>
      <c r="G150" s="26">
        <f>IFERROR(__xludf.DUMMYFUNCTION("""COMPUTED_VALUE"""),0.0)</f>
        <v>0</v>
      </c>
      <c r="H150" s="26">
        <f>IFERROR(__xludf.DUMMYFUNCTION("""COMPUTED_VALUE"""),0.0)</f>
        <v>0</v>
      </c>
      <c r="I150" s="26">
        <f>IFERROR(__xludf.DUMMYFUNCTION("""COMPUTED_VALUE"""),0.0)</f>
        <v>0</v>
      </c>
      <c r="J150" s="26">
        <f>IFERROR(__xludf.DUMMYFUNCTION("""COMPUTED_VALUE"""),0.0)</f>
        <v>0</v>
      </c>
      <c r="K150" s="26">
        <f>IFERROR(__xludf.DUMMYFUNCTION("""COMPUTED_VALUE"""),0.0)</f>
        <v>0</v>
      </c>
      <c r="L150" s="26">
        <f>IFERROR(__xludf.DUMMYFUNCTION("""COMPUTED_VALUE"""),0.0)</f>
        <v>0</v>
      </c>
      <c r="M150" s="26"/>
      <c r="N150" s="26"/>
      <c r="O150" s="26"/>
      <c r="P150" s="26"/>
      <c r="Q150" s="26"/>
      <c r="R150" s="26">
        <f>IFERROR(__xludf.DUMMYFUNCTION("""COMPUTED_VALUE"""),0.0)</f>
        <v>0</v>
      </c>
      <c r="S150" s="26">
        <f>IFERROR(__xludf.DUMMYFUNCTION("""COMPUTED_VALUE"""),0.0)</f>
        <v>0</v>
      </c>
      <c r="T150" s="26">
        <f>IFERROR(__xludf.DUMMYFUNCTION("""COMPUTED_VALUE"""),0.0)</f>
        <v>0</v>
      </c>
      <c r="U150" s="26">
        <f>IFERROR(__xludf.DUMMYFUNCTION("""COMPUTED_VALUE"""),0.0)</f>
        <v>0</v>
      </c>
      <c r="V150" s="26">
        <f>IFERROR(__xludf.DUMMYFUNCTION("""COMPUTED_VALUE"""),0.0)</f>
        <v>0</v>
      </c>
      <c r="W150" s="26">
        <f>IFERROR(__xludf.DUMMYFUNCTION("""COMPUTED_VALUE"""),0.0)</f>
        <v>0</v>
      </c>
      <c r="X150" s="26">
        <f>IFERROR(__xludf.DUMMYFUNCTION("""COMPUTED_VALUE"""),0.0)</f>
        <v>0</v>
      </c>
      <c r="Y150" s="26">
        <f>IFERROR(__xludf.DUMMYFUNCTION("""COMPUTED_VALUE"""),0.0)</f>
        <v>0</v>
      </c>
      <c r="Z150" s="26">
        <f>IFERROR(__xludf.DUMMYFUNCTION("""COMPUTED_VALUE"""),0.0)</f>
        <v>0</v>
      </c>
      <c r="AA150" s="26">
        <f>IFERROR(__xludf.DUMMYFUNCTION("""COMPUTED_VALUE"""),0.0)</f>
        <v>0</v>
      </c>
      <c r="AB150" s="26">
        <f>IFERROR(__xludf.DUMMYFUNCTION("""COMPUTED_VALUE"""),0.0)</f>
        <v>0</v>
      </c>
      <c r="AC150" s="26">
        <f>IFERROR(__xludf.DUMMYFUNCTION("""COMPUTED_VALUE"""),0.0)</f>
        <v>0</v>
      </c>
      <c r="AD150" s="26">
        <f>IFERROR(__xludf.DUMMYFUNCTION("""COMPUTED_VALUE"""),0.0)</f>
        <v>0</v>
      </c>
      <c r="AE150" s="26">
        <f>IFERROR(__xludf.DUMMYFUNCTION("""COMPUTED_VALUE"""),0.0)</f>
        <v>0</v>
      </c>
    </row>
    <row r="151">
      <c r="A151" s="26">
        <f>IFERROR(__xludf.DUMMYFUNCTION("""COMPUTED_VALUE"""),0.0)</f>
        <v>0</v>
      </c>
      <c r="B151" s="26">
        <f>IFERROR(__xludf.DUMMYFUNCTION("""COMPUTED_VALUE"""),0.0)</f>
        <v>0</v>
      </c>
      <c r="C151" s="26">
        <f>IFERROR(__xludf.DUMMYFUNCTION("""COMPUTED_VALUE"""),0.0)</f>
        <v>0</v>
      </c>
      <c r="D151" s="26">
        <f>IFERROR(__xludf.DUMMYFUNCTION("""COMPUTED_VALUE"""),0.0)</f>
        <v>0</v>
      </c>
      <c r="E151" s="26">
        <f>IFERROR(__xludf.DUMMYFUNCTION("""COMPUTED_VALUE"""),193.0)</f>
        <v>193</v>
      </c>
      <c r="F151" s="26">
        <f>IFERROR(__xludf.DUMMYFUNCTION("""COMPUTED_VALUE"""),0.0)</f>
        <v>0</v>
      </c>
      <c r="G151" s="26">
        <f>IFERROR(__xludf.DUMMYFUNCTION("""COMPUTED_VALUE"""),0.0)</f>
        <v>0</v>
      </c>
      <c r="H151" s="26">
        <f>IFERROR(__xludf.DUMMYFUNCTION("""COMPUTED_VALUE"""),0.0)</f>
        <v>0</v>
      </c>
      <c r="I151" s="26">
        <f>IFERROR(__xludf.DUMMYFUNCTION("""COMPUTED_VALUE"""),0.0)</f>
        <v>0</v>
      </c>
      <c r="J151" s="26">
        <f>IFERROR(__xludf.DUMMYFUNCTION("""COMPUTED_VALUE"""),0.0)</f>
        <v>0</v>
      </c>
      <c r="K151" s="26">
        <f>IFERROR(__xludf.DUMMYFUNCTION("""COMPUTED_VALUE"""),0.0)</f>
        <v>0</v>
      </c>
      <c r="L151" s="26">
        <f>IFERROR(__xludf.DUMMYFUNCTION("""COMPUTED_VALUE"""),0.0)</f>
        <v>0</v>
      </c>
      <c r="M151" s="26"/>
      <c r="N151" s="26"/>
      <c r="O151" s="26"/>
      <c r="P151" s="26"/>
      <c r="Q151" s="26"/>
      <c r="R151" s="26">
        <f>IFERROR(__xludf.DUMMYFUNCTION("""COMPUTED_VALUE"""),193.0)</f>
        <v>193</v>
      </c>
      <c r="S151" s="26">
        <f>IFERROR(__xludf.DUMMYFUNCTION("""COMPUTED_VALUE"""),279847.0)</f>
        <v>279847</v>
      </c>
      <c r="T151" s="26">
        <f>IFERROR(__xludf.DUMMYFUNCTION("""COMPUTED_VALUE"""),88780.0)</f>
        <v>88780</v>
      </c>
      <c r="U151" s="26">
        <f>IFERROR(__xludf.DUMMYFUNCTION("""COMPUTED_VALUE"""),131468.28999999992)</f>
        <v>131468.29</v>
      </c>
      <c r="V151" s="26">
        <f>IFERROR(__xludf.DUMMYFUNCTION("""COMPUTED_VALUE"""),99.92)</f>
        <v>99.92</v>
      </c>
      <c r="W151" s="26">
        <f>IFERROR(__xludf.DUMMYFUNCTION("""COMPUTED_VALUE"""),99.92)</f>
        <v>99.92</v>
      </c>
      <c r="X151" s="26">
        <f>IFERROR(__xludf.DUMMYFUNCTION("""COMPUTED_VALUE"""),42488.44999999991)</f>
        <v>42488.45</v>
      </c>
      <c r="Y151" s="26">
        <f>IFERROR(__xludf.DUMMYFUNCTION("""COMPUTED_VALUE"""),42688.289999999906)</f>
        <v>42688.29</v>
      </c>
      <c r="Z151" s="26">
        <f>IFERROR(__xludf.DUMMYFUNCTION("""COMPUTED_VALUE"""),279847.0)</f>
        <v>279847</v>
      </c>
      <c r="AA151" s="26">
        <f>IFERROR(__xludf.DUMMYFUNCTION("""COMPUTED_VALUE"""),138886.6100000005)</f>
        <v>138886.61</v>
      </c>
      <c r="AB151" s="26">
        <f>IFERROR(__xludf.DUMMYFUNCTION("""COMPUTED_VALUE"""),148378.70999999985)</f>
        <v>148378.71</v>
      </c>
      <c r="AC151" s="26">
        <f>IFERROR(__xludf.DUMMYFUNCTION("""COMPUTED_VALUE"""),0.0)</f>
        <v>0</v>
      </c>
      <c r="AD151" s="26">
        <f>IFERROR(__xludf.DUMMYFUNCTION("""COMPUTED_VALUE"""),7418.319999999983)</f>
        <v>7418.32</v>
      </c>
      <c r="AE151" s="26">
        <f>IFERROR(__xludf.DUMMYFUNCTION("""COMPUTED_VALUE"""),140960.3899999995)</f>
        <v>140960.39</v>
      </c>
    </row>
    <row r="152">
      <c r="A152" s="26">
        <f>IFERROR(__xludf.DUMMYFUNCTION("""COMPUTED_VALUE"""),0.0)</f>
        <v>0</v>
      </c>
      <c r="B152" s="26">
        <f>IFERROR(__xludf.DUMMYFUNCTION("""COMPUTED_VALUE"""),0.0)</f>
        <v>0</v>
      </c>
      <c r="C152" s="26">
        <f>IFERROR(__xludf.DUMMYFUNCTION("""COMPUTED_VALUE"""),0.0)</f>
        <v>0</v>
      </c>
      <c r="D152" s="26">
        <f>IFERROR(__xludf.DUMMYFUNCTION("""COMPUTED_VALUE"""),0.0)</f>
        <v>0</v>
      </c>
      <c r="E152" s="26">
        <f>IFERROR(__xludf.DUMMYFUNCTION("""COMPUTED_VALUE"""),0.0)</f>
        <v>0</v>
      </c>
      <c r="F152" s="26">
        <f>IFERROR(__xludf.DUMMYFUNCTION("""COMPUTED_VALUE"""),0.0)</f>
        <v>0</v>
      </c>
      <c r="G152" s="26">
        <f>IFERROR(__xludf.DUMMYFUNCTION("""COMPUTED_VALUE"""),0.0)</f>
        <v>0</v>
      </c>
      <c r="H152" s="26">
        <f>IFERROR(__xludf.DUMMYFUNCTION("""COMPUTED_VALUE"""),0.0)</f>
        <v>0</v>
      </c>
      <c r="I152" s="26">
        <f>IFERROR(__xludf.DUMMYFUNCTION("""COMPUTED_VALUE"""),0.0)</f>
        <v>0</v>
      </c>
      <c r="J152" s="26">
        <f>IFERROR(__xludf.DUMMYFUNCTION("""COMPUTED_VALUE"""),0.0)</f>
        <v>0</v>
      </c>
      <c r="K152" s="26">
        <f>IFERROR(__xludf.DUMMYFUNCTION("""COMPUTED_VALUE"""),0.0)</f>
        <v>0</v>
      </c>
      <c r="L152" s="26">
        <f>IFERROR(__xludf.DUMMYFUNCTION("""COMPUTED_VALUE"""),0.0)</f>
        <v>0</v>
      </c>
      <c r="M152" s="26"/>
      <c r="N152" s="26"/>
      <c r="O152" s="26"/>
      <c r="P152" s="26"/>
      <c r="Q152" s="26"/>
      <c r="R152" s="26">
        <f>IFERROR(__xludf.DUMMYFUNCTION("""COMPUTED_VALUE"""),0.0)</f>
        <v>0</v>
      </c>
      <c r="S152" s="26">
        <f>IFERROR(__xludf.DUMMYFUNCTION("""COMPUTED_VALUE"""),0.0)</f>
        <v>0</v>
      </c>
      <c r="T152" s="26">
        <f>IFERROR(__xludf.DUMMYFUNCTION("""COMPUTED_VALUE"""),0.0)</f>
        <v>0</v>
      </c>
      <c r="U152" s="26">
        <f>IFERROR(__xludf.DUMMYFUNCTION("""COMPUTED_VALUE"""),0.0)</f>
        <v>0</v>
      </c>
      <c r="V152" s="26">
        <f>IFERROR(__xludf.DUMMYFUNCTION("""COMPUTED_VALUE"""),0.0)</f>
        <v>0</v>
      </c>
      <c r="W152" s="26">
        <f>IFERROR(__xludf.DUMMYFUNCTION("""COMPUTED_VALUE"""),0.0)</f>
        <v>0</v>
      </c>
      <c r="X152" s="26">
        <f>IFERROR(__xludf.DUMMYFUNCTION("""COMPUTED_VALUE"""),0.0)</f>
        <v>0</v>
      </c>
      <c r="Y152" s="26">
        <f>IFERROR(__xludf.DUMMYFUNCTION("""COMPUTED_VALUE"""),0.0)</f>
        <v>0</v>
      </c>
      <c r="Z152" s="26">
        <f>IFERROR(__xludf.DUMMYFUNCTION("""COMPUTED_VALUE"""),0.0)</f>
        <v>0</v>
      </c>
      <c r="AA152" s="26">
        <f>IFERROR(__xludf.DUMMYFUNCTION("""COMPUTED_VALUE"""),0.0)</f>
        <v>0</v>
      </c>
      <c r="AB152" s="26">
        <f>IFERROR(__xludf.DUMMYFUNCTION("""COMPUTED_VALUE"""),0.0)</f>
        <v>0</v>
      </c>
      <c r="AC152" s="26">
        <f>IFERROR(__xludf.DUMMYFUNCTION("""COMPUTED_VALUE"""),0.0)</f>
        <v>0</v>
      </c>
      <c r="AD152" s="26">
        <f>IFERROR(__xludf.DUMMYFUNCTION("""COMPUTED_VALUE"""),0.0)</f>
        <v>0</v>
      </c>
      <c r="AE152" s="26">
        <f>IFERROR(__xludf.DUMMYFUNCTION("""COMPUTED_VALUE"""),0.0)</f>
        <v>0</v>
      </c>
    </row>
    <row r="153">
      <c r="A153" s="26">
        <f>IFERROR(__xludf.DUMMYFUNCTION("""COMPUTED_VALUE"""),0.0)</f>
        <v>0</v>
      </c>
      <c r="B153" s="26">
        <f>IFERROR(__xludf.DUMMYFUNCTION("""COMPUTED_VALUE"""),0.0)</f>
        <v>0</v>
      </c>
      <c r="C153" s="26">
        <f>IFERROR(__xludf.DUMMYFUNCTION("""COMPUTED_VALUE"""),0.0)</f>
        <v>0</v>
      </c>
      <c r="D153" s="26">
        <f>IFERROR(__xludf.DUMMYFUNCTION("""COMPUTED_VALUE"""),0.0)</f>
        <v>0</v>
      </c>
      <c r="E153" s="26">
        <f>IFERROR(__xludf.DUMMYFUNCTION("""COMPUTED_VALUE"""),0.0)</f>
        <v>0</v>
      </c>
      <c r="F153" s="26">
        <f>IFERROR(__xludf.DUMMYFUNCTION("""COMPUTED_VALUE"""),0.0)</f>
        <v>0</v>
      </c>
      <c r="G153" s="26">
        <f>IFERROR(__xludf.DUMMYFUNCTION("""COMPUTED_VALUE"""),0.0)</f>
        <v>0</v>
      </c>
      <c r="H153" s="26">
        <f>IFERROR(__xludf.DUMMYFUNCTION("""COMPUTED_VALUE"""),0.0)</f>
        <v>0</v>
      </c>
      <c r="I153" s="26">
        <f>IFERROR(__xludf.DUMMYFUNCTION("""COMPUTED_VALUE"""),0.0)</f>
        <v>0</v>
      </c>
      <c r="J153" s="26">
        <f>IFERROR(__xludf.DUMMYFUNCTION("""COMPUTED_VALUE"""),0.0)</f>
        <v>0</v>
      </c>
      <c r="K153" s="26">
        <f>IFERROR(__xludf.DUMMYFUNCTION("""COMPUTED_VALUE"""),0.0)</f>
        <v>0</v>
      </c>
      <c r="L153" s="26">
        <f>IFERROR(__xludf.DUMMYFUNCTION("""COMPUTED_VALUE"""),0.0)</f>
        <v>0</v>
      </c>
      <c r="M153" s="26"/>
      <c r="N153" s="26"/>
      <c r="O153" s="26"/>
      <c r="P153" s="26"/>
      <c r="Q153" s="26"/>
      <c r="R153" s="26">
        <f>IFERROR(__xludf.DUMMYFUNCTION("""COMPUTED_VALUE"""),0.0)</f>
        <v>0</v>
      </c>
      <c r="S153" s="26">
        <f>IFERROR(__xludf.DUMMYFUNCTION("""COMPUTED_VALUE"""),0.0)</f>
        <v>0</v>
      </c>
      <c r="T153" s="26">
        <f>IFERROR(__xludf.DUMMYFUNCTION("""COMPUTED_VALUE"""),0.0)</f>
        <v>0</v>
      </c>
      <c r="U153" s="26">
        <f>IFERROR(__xludf.DUMMYFUNCTION("""COMPUTED_VALUE"""),0.0)</f>
        <v>0</v>
      </c>
      <c r="V153" s="26">
        <f>IFERROR(__xludf.DUMMYFUNCTION("""COMPUTED_VALUE"""),0.0)</f>
        <v>0</v>
      </c>
      <c r="W153" s="26">
        <f>IFERROR(__xludf.DUMMYFUNCTION("""COMPUTED_VALUE"""),0.0)</f>
        <v>0</v>
      </c>
      <c r="X153" s="26">
        <f>IFERROR(__xludf.DUMMYFUNCTION("""COMPUTED_VALUE"""),0.0)</f>
        <v>0</v>
      </c>
      <c r="Y153" s="26">
        <f>IFERROR(__xludf.DUMMYFUNCTION("""COMPUTED_VALUE"""),0.0)</f>
        <v>0</v>
      </c>
      <c r="Z153" s="26">
        <f>IFERROR(__xludf.DUMMYFUNCTION("""COMPUTED_VALUE"""),0.0)</f>
        <v>0</v>
      </c>
      <c r="AA153" s="26">
        <f>IFERROR(__xludf.DUMMYFUNCTION("""COMPUTED_VALUE"""),0.0)</f>
        <v>0</v>
      </c>
      <c r="AB153" s="26">
        <f>IFERROR(__xludf.DUMMYFUNCTION("""COMPUTED_VALUE"""),0.0)</f>
        <v>0</v>
      </c>
      <c r="AC153" s="26">
        <f>IFERROR(__xludf.DUMMYFUNCTION("""COMPUTED_VALUE"""),0.0)</f>
        <v>0</v>
      </c>
      <c r="AD153" s="26">
        <f>IFERROR(__xludf.DUMMYFUNCTION("""COMPUTED_VALUE"""),0.0)</f>
        <v>0</v>
      </c>
      <c r="AE153" s="26">
        <f>IFERROR(__xludf.DUMMYFUNCTION("""COMPUTED_VALUE"""),0.0)</f>
        <v>0</v>
      </c>
    </row>
    <row r="154">
      <c r="A154" s="26">
        <f>IFERROR(__xludf.DUMMYFUNCTION("""COMPUTED_VALUE"""),0.0)</f>
        <v>0</v>
      </c>
      <c r="B154" s="26">
        <f>IFERROR(__xludf.DUMMYFUNCTION("""COMPUTED_VALUE"""),0.0)</f>
        <v>0</v>
      </c>
      <c r="C154" s="26">
        <f>IFERROR(__xludf.DUMMYFUNCTION("""COMPUTED_VALUE"""),0.0)</f>
        <v>0</v>
      </c>
      <c r="D154" s="26">
        <f>IFERROR(__xludf.DUMMYFUNCTION("""COMPUTED_VALUE"""),0.0)</f>
        <v>0</v>
      </c>
      <c r="E154" s="26">
        <f>IFERROR(__xludf.DUMMYFUNCTION("""COMPUTED_VALUE"""),0.0)</f>
        <v>0</v>
      </c>
      <c r="F154" s="26">
        <f>IFERROR(__xludf.DUMMYFUNCTION("""COMPUTED_VALUE"""),0.0)</f>
        <v>0</v>
      </c>
      <c r="G154" s="26">
        <f>IFERROR(__xludf.DUMMYFUNCTION("""COMPUTED_VALUE"""),0.0)</f>
        <v>0</v>
      </c>
      <c r="H154" s="26">
        <f>IFERROR(__xludf.DUMMYFUNCTION("""COMPUTED_VALUE"""),0.0)</f>
        <v>0</v>
      </c>
      <c r="I154" s="26">
        <f>IFERROR(__xludf.DUMMYFUNCTION("""COMPUTED_VALUE"""),0.0)</f>
        <v>0</v>
      </c>
      <c r="J154" s="26">
        <f>IFERROR(__xludf.DUMMYFUNCTION("""COMPUTED_VALUE"""),0.0)</f>
        <v>0</v>
      </c>
      <c r="K154" s="26">
        <f>IFERROR(__xludf.DUMMYFUNCTION("""COMPUTED_VALUE"""),0.0)</f>
        <v>0</v>
      </c>
      <c r="L154" s="26">
        <f>IFERROR(__xludf.DUMMYFUNCTION("""COMPUTED_VALUE"""),0.0)</f>
        <v>0</v>
      </c>
      <c r="M154" s="26"/>
      <c r="N154" s="26"/>
      <c r="O154" s="26"/>
      <c r="P154" s="26"/>
      <c r="Q154" s="26"/>
      <c r="R154" s="26">
        <f>IFERROR(__xludf.DUMMYFUNCTION("""COMPUTED_VALUE"""),0.0)</f>
        <v>0</v>
      </c>
      <c r="S154" s="26">
        <f>IFERROR(__xludf.DUMMYFUNCTION("""COMPUTED_VALUE"""),0.0)</f>
        <v>0</v>
      </c>
      <c r="T154" s="26">
        <f>IFERROR(__xludf.DUMMYFUNCTION("""COMPUTED_VALUE"""),0.0)</f>
        <v>0</v>
      </c>
      <c r="U154" s="26">
        <f>IFERROR(__xludf.DUMMYFUNCTION("""COMPUTED_VALUE"""),0.0)</f>
        <v>0</v>
      </c>
      <c r="V154" s="26">
        <f>IFERROR(__xludf.DUMMYFUNCTION("""COMPUTED_VALUE"""),0.0)</f>
        <v>0</v>
      </c>
      <c r="W154" s="26">
        <f>IFERROR(__xludf.DUMMYFUNCTION("""COMPUTED_VALUE"""),0.0)</f>
        <v>0</v>
      </c>
      <c r="X154" s="26">
        <f>IFERROR(__xludf.DUMMYFUNCTION("""COMPUTED_VALUE"""),0.0)</f>
        <v>0</v>
      </c>
      <c r="Y154" s="26">
        <f>IFERROR(__xludf.DUMMYFUNCTION("""COMPUTED_VALUE"""),0.0)</f>
        <v>0</v>
      </c>
      <c r="Z154" s="26">
        <f>IFERROR(__xludf.DUMMYFUNCTION("""COMPUTED_VALUE"""),0.0)</f>
        <v>0</v>
      </c>
      <c r="AA154" s="26">
        <f>IFERROR(__xludf.DUMMYFUNCTION("""COMPUTED_VALUE"""),0.0)</f>
        <v>0</v>
      </c>
      <c r="AB154" s="26">
        <f>IFERROR(__xludf.DUMMYFUNCTION("""COMPUTED_VALUE"""),0.0)</f>
        <v>0</v>
      </c>
      <c r="AC154" s="26">
        <f>IFERROR(__xludf.DUMMYFUNCTION("""COMPUTED_VALUE"""),0.0)</f>
        <v>0</v>
      </c>
      <c r="AD154" s="26">
        <f>IFERROR(__xludf.DUMMYFUNCTION("""COMPUTED_VALUE"""),0.0)</f>
        <v>0</v>
      </c>
      <c r="AE154" s="26">
        <f>IFERROR(__xludf.DUMMYFUNCTION("""COMPUTED_VALUE"""),0.0)</f>
        <v>0</v>
      </c>
    </row>
    <row r="155">
      <c r="A155" s="26">
        <f>IFERROR(__xludf.DUMMYFUNCTION("""COMPUTED_VALUE"""),64.0)</f>
        <v>64</v>
      </c>
      <c r="B155" s="26">
        <f>IFERROR(__xludf.DUMMYFUNCTION("""COMPUTED_VALUE"""),0.0)</f>
        <v>0</v>
      </c>
      <c r="C155" s="26">
        <f>IFERROR(__xludf.DUMMYFUNCTION("""COMPUTED_VALUE"""),0.0)</f>
        <v>0</v>
      </c>
      <c r="D155" s="26">
        <f>IFERROR(__xludf.DUMMYFUNCTION("""COMPUTED_VALUE"""),0.0)</f>
        <v>0</v>
      </c>
      <c r="E155" s="26">
        <f>IFERROR(__xludf.DUMMYFUNCTION("""COMPUTED_VALUE"""),0.0)</f>
        <v>0</v>
      </c>
      <c r="F155" s="26">
        <f>IFERROR(__xludf.DUMMYFUNCTION("""COMPUTED_VALUE"""),0.0)</f>
        <v>0</v>
      </c>
      <c r="G155" s="26">
        <f>IFERROR(__xludf.DUMMYFUNCTION("""COMPUTED_VALUE"""),0.0)</f>
        <v>0</v>
      </c>
      <c r="H155" s="26">
        <f>IFERROR(__xludf.DUMMYFUNCTION("""COMPUTED_VALUE"""),0.0)</f>
        <v>0</v>
      </c>
      <c r="I155" s="26">
        <f>IFERROR(__xludf.DUMMYFUNCTION("""COMPUTED_VALUE"""),0.0)</f>
        <v>0</v>
      </c>
      <c r="J155" s="26">
        <f>IFERROR(__xludf.DUMMYFUNCTION("""COMPUTED_VALUE"""),0.0)</f>
        <v>0</v>
      </c>
      <c r="K155" s="26">
        <f>IFERROR(__xludf.DUMMYFUNCTION("""COMPUTED_VALUE"""),0.0)</f>
        <v>0</v>
      </c>
      <c r="L155" s="26">
        <f>IFERROR(__xludf.DUMMYFUNCTION("""COMPUTED_VALUE"""),0.0)</f>
        <v>0</v>
      </c>
      <c r="M155" s="26"/>
      <c r="N155" s="26"/>
      <c r="O155" s="26"/>
      <c r="P155" s="26"/>
      <c r="Q155" s="26"/>
      <c r="R155" s="26">
        <f>IFERROR(__xludf.DUMMYFUNCTION("""COMPUTED_VALUE"""),64.0)</f>
        <v>64</v>
      </c>
      <c r="S155" s="26">
        <f>IFERROR(__xludf.DUMMYFUNCTION("""COMPUTED_VALUE"""),28288.0)</f>
        <v>28288</v>
      </c>
      <c r="T155" s="26">
        <f>IFERROR(__xludf.DUMMYFUNCTION("""COMPUTED_VALUE"""),9920.0)</f>
        <v>9920</v>
      </c>
      <c r="U155" s="26">
        <f>IFERROR(__xludf.DUMMYFUNCTION("""COMPUTED_VALUE"""),14234.880000000003)</f>
        <v>14234.88</v>
      </c>
      <c r="V155" s="26">
        <f>IFERROR(__xludf.DUMMYFUNCTION("""COMPUTED_VALUE"""),0.0)</f>
        <v>0</v>
      </c>
      <c r="W155" s="26">
        <f>IFERROR(__xludf.DUMMYFUNCTION("""COMPUTED_VALUE"""),0.0)</f>
        <v>0</v>
      </c>
      <c r="X155" s="26">
        <f>IFERROR(__xludf.DUMMYFUNCTION("""COMPUTED_VALUE"""),4314.880000000003)</f>
        <v>4314.88</v>
      </c>
      <c r="Y155" s="26">
        <f>IFERROR(__xludf.DUMMYFUNCTION("""COMPUTED_VALUE"""),4314.880000000003)</f>
        <v>4314.88</v>
      </c>
      <c r="Z155" s="26">
        <f>IFERROR(__xludf.DUMMYFUNCTION("""COMPUTED_VALUE"""),28288.0)</f>
        <v>28288</v>
      </c>
      <c r="AA155" s="26">
        <f>IFERROR(__xludf.DUMMYFUNCTION("""COMPUTED_VALUE"""),14937.599999999984)</f>
        <v>14937.6</v>
      </c>
      <c r="AB155" s="26">
        <f>IFERROR(__xludf.DUMMYFUNCTION("""COMPUTED_VALUE"""),14053.119999999997)</f>
        <v>14053.12</v>
      </c>
      <c r="AC155" s="26">
        <f>IFERROR(__xludf.DUMMYFUNCTION("""COMPUTED_VALUE"""),0.0)</f>
        <v>0</v>
      </c>
      <c r="AD155" s="26">
        <f>IFERROR(__xludf.DUMMYFUNCTION("""COMPUTED_VALUE"""),702.7200000000006)</f>
        <v>702.72</v>
      </c>
      <c r="AE155" s="26">
        <f>IFERROR(__xludf.DUMMYFUNCTION("""COMPUTED_VALUE"""),13350.400000000014)</f>
        <v>13350.4</v>
      </c>
    </row>
    <row r="156">
      <c r="A156" s="26">
        <f>IFERROR(__xludf.DUMMYFUNCTION("""COMPUTED_VALUE"""),288.0)</f>
        <v>288</v>
      </c>
      <c r="B156" s="26">
        <f>IFERROR(__xludf.DUMMYFUNCTION("""COMPUTED_VALUE"""),0.0)</f>
        <v>0</v>
      </c>
      <c r="C156" s="26">
        <f>IFERROR(__xludf.DUMMYFUNCTION("""COMPUTED_VALUE"""),0.0)</f>
        <v>0</v>
      </c>
      <c r="D156" s="26">
        <f>IFERROR(__xludf.DUMMYFUNCTION("""COMPUTED_VALUE"""),0.0)</f>
        <v>0</v>
      </c>
      <c r="E156" s="26">
        <f>IFERROR(__xludf.DUMMYFUNCTION("""COMPUTED_VALUE"""),0.0)</f>
        <v>0</v>
      </c>
      <c r="F156" s="26">
        <f>IFERROR(__xludf.DUMMYFUNCTION("""COMPUTED_VALUE"""),0.0)</f>
        <v>0</v>
      </c>
      <c r="G156" s="26">
        <f>IFERROR(__xludf.DUMMYFUNCTION("""COMPUTED_VALUE"""),0.0)</f>
        <v>0</v>
      </c>
      <c r="H156" s="26">
        <f>IFERROR(__xludf.DUMMYFUNCTION("""COMPUTED_VALUE"""),0.0)</f>
        <v>0</v>
      </c>
      <c r="I156" s="26">
        <f>IFERROR(__xludf.DUMMYFUNCTION("""COMPUTED_VALUE"""),0.0)</f>
        <v>0</v>
      </c>
      <c r="J156" s="26">
        <f>IFERROR(__xludf.DUMMYFUNCTION("""COMPUTED_VALUE"""),0.0)</f>
        <v>0</v>
      </c>
      <c r="K156" s="26">
        <f>IFERROR(__xludf.DUMMYFUNCTION("""COMPUTED_VALUE"""),0.0)</f>
        <v>0</v>
      </c>
      <c r="L156" s="26">
        <f>IFERROR(__xludf.DUMMYFUNCTION("""COMPUTED_VALUE"""),0.0)</f>
        <v>0</v>
      </c>
      <c r="M156" s="26"/>
      <c r="N156" s="26"/>
      <c r="O156" s="26"/>
      <c r="P156" s="26"/>
      <c r="Q156" s="26"/>
      <c r="R156" s="26">
        <f>IFERROR(__xludf.DUMMYFUNCTION("""COMPUTED_VALUE"""),288.0)</f>
        <v>288</v>
      </c>
      <c r="S156" s="26">
        <f>IFERROR(__xludf.DUMMYFUNCTION("""COMPUTED_VALUE"""),127296.0)</f>
        <v>127296</v>
      </c>
      <c r="T156" s="26">
        <f>IFERROR(__xludf.DUMMYFUNCTION("""COMPUTED_VALUE"""),46080.0)</f>
        <v>46080</v>
      </c>
      <c r="U156" s="26">
        <f>IFERROR(__xludf.DUMMYFUNCTION("""COMPUTED_VALUE"""),65496.959999999934)</f>
        <v>65496.96</v>
      </c>
      <c r="V156" s="26">
        <f>IFERROR(__xludf.DUMMYFUNCTION("""COMPUTED_VALUE"""),0.0)</f>
        <v>0</v>
      </c>
      <c r="W156" s="26">
        <f>IFERROR(__xludf.DUMMYFUNCTION("""COMPUTED_VALUE"""),0.0)</f>
        <v>0</v>
      </c>
      <c r="X156" s="26">
        <f>IFERROR(__xludf.DUMMYFUNCTION("""COMPUTED_VALUE"""),19416.959999999937)</f>
        <v>19416.96</v>
      </c>
      <c r="Y156" s="26">
        <f>IFERROR(__xludf.DUMMYFUNCTION("""COMPUTED_VALUE"""),19416.959999999937)</f>
        <v>19416.96</v>
      </c>
      <c r="Z156" s="26">
        <f>IFERROR(__xludf.DUMMYFUNCTION("""COMPUTED_VALUE"""),127296.0)</f>
        <v>127296</v>
      </c>
      <c r="AA156" s="26">
        <f>IFERROR(__xludf.DUMMYFUNCTION("""COMPUTED_VALUE"""),68587.20000000022)</f>
        <v>68587.2</v>
      </c>
      <c r="AB156" s="26">
        <f>IFERROR(__xludf.DUMMYFUNCTION("""COMPUTED_VALUE"""),61799.040000000365)</f>
        <v>61799.04</v>
      </c>
      <c r="AC156" s="26">
        <f>IFERROR(__xludf.DUMMYFUNCTION("""COMPUTED_VALUE"""),0.0)</f>
        <v>0</v>
      </c>
      <c r="AD156" s="26">
        <f>IFERROR(__xludf.DUMMYFUNCTION("""COMPUTED_VALUE"""),3090.2400000000043)</f>
        <v>3090.24</v>
      </c>
      <c r="AE156" s="26">
        <f>IFERROR(__xludf.DUMMYFUNCTION("""COMPUTED_VALUE"""),58708.79999999972)</f>
        <v>58708.8</v>
      </c>
    </row>
    <row r="157">
      <c r="A157" s="26">
        <f>IFERROR(__xludf.DUMMYFUNCTION("""COMPUTED_VALUE"""),0.0)</f>
        <v>0</v>
      </c>
      <c r="B157" s="26">
        <f>IFERROR(__xludf.DUMMYFUNCTION("""COMPUTED_VALUE"""),0.0)</f>
        <v>0</v>
      </c>
      <c r="C157" s="26">
        <f>IFERROR(__xludf.DUMMYFUNCTION("""COMPUTED_VALUE"""),0.0)</f>
        <v>0</v>
      </c>
      <c r="D157" s="26">
        <f>IFERROR(__xludf.DUMMYFUNCTION("""COMPUTED_VALUE"""),0.0)</f>
        <v>0</v>
      </c>
      <c r="E157" s="26">
        <f>IFERROR(__xludf.DUMMYFUNCTION("""COMPUTED_VALUE"""),0.0)</f>
        <v>0</v>
      </c>
      <c r="F157" s="26">
        <f>IFERROR(__xludf.DUMMYFUNCTION("""COMPUTED_VALUE"""),0.0)</f>
        <v>0</v>
      </c>
      <c r="G157" s="26">
        <f>IFERROR(__xludf.DUMMYFUNCTION("""COMPUTED_VALUE"""),0.0)</f>
        <v>0</v>
      </c>
      <c r="H157" s="26">
        <f>IFERROR(__xludf.DUMMYFUNCTION("""COMPUTED_VALUE"""),0.0)</f>
        <v>0</v>
      </c>
      <c r="I157" s="26">
        <f>IFERROR(__xludf.DUMMYFUNCTION("""COMPUTED_VALUE"""),0.0)</f>
        <v>0</v>
      </c>
      <c r="J157" s="26">
        <f>IFERROR(__xludf.DUMMYFUNCTION("""COMPUTED_VALUE"""),0.0)</f>
        <v>0</v>
      </c>
      <c r="K157" s="26">
        <f>IFERROR(__xludf.DUMMYFUNCTION("""COMPUTED_VALUE"""),0.0)</f>
        <v>0</v>
      </c>
      <c r="L157" s="26">
        <f>IFERROR(__xludf.DUMMYFUNCTION("""COMPUTED_VALUE"""),0.0)</f>
        <v>0</v>
      </c>
      <c r="M157" s="26"/>
      <c r="N157" s="26"/>
      <c r="O157" s="26"/>
      <c r="P157" s="26"/>
      <c r="Q157" s="26"/>
      <c r="R157" s="26">
        <f>IFERROR(__xludf.DUMMYFUNCTION("""COMPUTED_VALUE"""),0.0)</f>
        <v>0</v>
      </c>
      <c r="S157" s="26">
        <f>IFERROR(__xludf.DUMMYFUNCTION("""COMPUTED_VALUE"""),0.0)</f>
        <v>0</v>
      </c>
      <c r="T157" s="26">
        <f>IFERROR(__xludf.DUMMYFUNCTION("""COMPUTED_VALUE"""),0.0)</f>
        <v>0</v>
      </c>
      <c r="U157" s="26">
        <f>IFERROR(__xludf.DUMMYFUNCTION("""COMPUTED_VALUE"""),0.0)</f>
        <v>0</v>
      </c>
      <c r="V157" s="26">
        <f>IFERROR(__xludf.DUMMYFUNCTION("""COMPUTED_VALUE"""),0.0)</f>
        <v>0</v>
      </c>
      <c r="W157" s="26">
        <f>IFERROR(__xludf.DUMMYFUNCTION("""COMPUTED_VALUE"""),0.0)</f>
        <v>0</v>
      </c>
      <c r="X157" s="26">
        <f>IFERROR(__xludf.DUMMYFUNCTION("""COMPUTED_VALUE"""),0.0)</f>
        <v>0</v>
      </c>
      <c r="Y157" s="26">
        <f>IFERROR(__xludf.DUMMYFUNCTION("""COMPUTED_VALUE"""),0.0)</f>
        <v>0</v>
      </c>
      <c r="Z157" s="26">
        <f>IFERROR(__xludf.DUMMYFUNCTION("""COMPUTED_VALUE"""),0.0)</f>
        <v>0</v>
      </c>
      <c r="AA157" s="26">
        <f>IFERROR(__xludf.DUMMYFUNCTION("""COMPUTED_VALUE"""),0.0)</f>
        <v>0</v>
      </c>
      <c r="AB157" s="26">
        <f>IFERROR(__xludf.DUMMYFUNCTION("""COMPUTED_VALUE"""),0.0)</f>
        <v>0</v>
      </c>
      <c r="AC157" s="26">
        <f>IFERROR(__xludf.DUMMYFUNCTION("""COMPUTED_VALUE"""),0.0)</f>
        <v>0</v>
      </c>
      <c r="AD157" s="26">
        <f>IFERROR(__xludf.DUMMYFUNCTION("""COMPUTED_VALUE"""),0.0)</f>
        <v>0</v>
      </c>
      <c r="AE157" s="26">
        <f>IFERROR(__xludf.DUMMYFUNCTION("""COMPUTED_VALUE"""),0.0)</f>
        <v>0</v>
      </c>
    </row>
    <row r="158">
      <c r="A158" s="26">
        <f>IFERROR(__xludf.DUMMYFUNCTION("""COMPUTED_VALUE"""),243.0)</f>
        <v>243</v>
      </c>
      <c r="B158" s="26">
        <f>IFERROR(__xludf.DUMMYFUNCTION("""COMPUTED_VALUE"""),0.0)</f>
        <v>0</v>
      </c>
      <c r="C158" s="26">
        <f>IFERROR(__xludf.DUMMYFUNCTION("""COMPUTED_VALUE"""),0.0)</f>
        <v>0</v>
      </c>
      <c r="D158" s="26">
        <f>IFERROR(__xludf.DUMMYFUNCTION("""COMPUTED_VALUE"""),0.0)</f>
        <v>0</v>
      </c>
      <c r="E158" s="26">
        <f>IFERROR(__xludf.DUMMYFUNCTION("""COMPUTED_VALUE"""),0.0)</f>
        <v>0</v>
      </c>
      <c r="F158" s="26">
        <f>IFERROR(__xludf.DUMMYFUNCTION("""COMPUTED_VALUE"""),0.0)</f>
        <v>0</v>
      </c>
      <c r="G158" s="26">
        <f>IFERROR(__xludf.DUMMYFUNCTION("""COMPUTED_VALUE"""),0.0)</f>
        <v>0</v>
      </c>
      <c r="H158" s="26">
        <f>IFERROR(__xludf.DUMMYFUNCTION("""COMPUTED_VALUE"""),0.0)</f>
        <v>0</v>
      </c>
      <c r="I158" s="26">
        <f>IFERROR(__xludf.DUMMYFUNCTION("""COMPUTED_VALUE"""),0.0)</f>
        <v>0</v>
      </c>
      <c r="J158" s="26">
        <f>IFERROR(__xludf.DUMMYFUNCTION("""COMPUTED_VALUE"""),0.0)</f>
        <v>0</v>
      </c>
      <c r="K158" s="26">
        <f>IFERROR(__xludf.DUMMYFUNCTION("""COMPUTED_VALUE"""),0.0)</f>
        <v>0</v>
      </c>
      <c r="L158" s="26">
        <f>IFERROR(__xludf.DUMMYFUNCTION("""COMPUTED_VALUE"""),0.0)</f>
        <v>0</v>
      </c>
      <c r="M158" s="26"/>
      <c r="N158" s="26"/>
      <c r="O158" s="26"/>
      <c r="P158" s="26"/>
      <c r="Q158" s="26"/>
      <c r="R158" s="26">
        <f>IFERROR(__xludf.DUMMYFUNCTION("""COMPUTED_VALUE"""),243.0)</f>
        <v>243</v>
      </c>
      <c r="S158" s="26">
        <f>IFERROR(__xludf.DUMMYFUNCTION("""COMPUTED_VALUE"""),94770.0)</f>
        <v>94770</v>
      </c>
      <c r="T158" s="26">
        <f>IFERROR(__xludf.DUMMYFUNCTION("""COMPUTED_VALUE"""),37665.0)</f>
        <v>37665</v>
      </c>
      <c r="U158" s="26">
        <f>IFERROR(__xludf.DUMMYFUNCTION("""COMPUTED_VALUE"""),52121.069999999956)</f>
        <v>52121.07</v>
      </c>
      <c r="V158" s="26">
        <f>IFERROR(__xludf.DUMMYFUNCTION("""COMPUTED_VALUE"""),0.0)</f>
        <v>0</v>
      </c>
      <c r="W158" s="26">
        <f>IFERROR(__xludf.DUMMYFUNCTION("""COMPUTED_VALUE"""),0.0)</f>
        <v>0</v>
      </c>
      <c r="X158" s="26">
        <f>IFERROR(__xludf.DUMMYFUNCTION("""COMPUTED_VALUE"""),14456.069999999956)</f>
        <v>14456.07</v>
      </c>
      <c r="Y158" s="26">
        <f>IFERROR(__xludf.DUMMYFUNCTION("""COMPUTED_VALUE"""),14456.069999999956)</f>
        <v>14456.07</v>
      </c>
      <c r="Z158" s="26">
        <f>IFERROR(__xludf.DUMMYFUNCTION("""COMPUTED_VALUE"""),94770.0)</f>
        <v>94770</v>
      </c>
      <c r="AA158" s="26">
        <f>IFERROR(__xludf.DUMMYFUNCTION("""COMPUTED_VALUE"""),54254.609999999746)</f>
        <v>54254.61</v>
      </c>
      <c r="AB158" s="26">
        <f>IFERROR(__xludf.DUMMYFUNCTION("""COMPUTED_VALUE"""),42648.929999999986)</f>
        <v>42648.93</v>
      </c>
      <c r="AC158" s="26">
        <f>IFERROR(__xludf.DUMMYFUNCTION("""COMPUTED_VALUE"""),0.0)</f>
        <v>0</v>
      </c>
      <c r="AD158" s="26">
        <f>IFERROR(__xludf.DUMMYFUNCTION("""COMPUTED_VALUE"""),2133.5399999999963)</f>
        <v>2133.54</v>
      </c>
      <c r="AE158" s="26">
        <f>IFERROR(__xludf.DUMMYFUNCTION("""COMPUTED_VALUE"""),40515.39000000007)</f>
        <v>40515.39</v>
      </c>
    </row>
    <row r="159">
      <c r="A159" s="26">
        <f>IFERROR(__xludf.DUMMYFUNCTION("""COMPUTED_VALUE"""),0.0)</f>
        <v>0</v>
      </c>
      <c r="B159" s="26">
        <f>IFERROR(__xludf.DUMMYFUNCTION("""COMPUTED_VALUE"""),0.0)</f>
        <v>0</v>
      </c>
      <c r="C159" s="26">
        <f>IFERROR(__xludf.DUMMYFUNCTION("""COMPUTED_VALUE"""),0.0)</f>
        <v>0</v>
      </c>
      <c r="D159" s="26">
        <f>IFERROR(__xludf.DUMMYFUNCTION("""COMPUTED_VALUE"""),0.0)</f>
        <v>0</v>
      </c>
      <c r="E159" s="26">
        <f>IFERROR(__xludf.DUMMYFUNCTION("""COMPUTED_VALUE"""),0.0)</f>
        <v>0</v>
      </c>
      <c r="F159" s="26">
        <f>IFERROR(__xludf.DUMMYFUNCTION("""COMPUTED_VALUE"""),0.0)</f>
        <v>0</v>
      </c>
      <c r="G159" s="26">
        <f>IFERROR(__xludf.DUMMYFUNCTION("""COMPUTED_VALUE"""),0.0)</f>
        <v>0</v>
      </c>
      <c r="H159" s="26">
        <f>IFERROR(__xludf.DUMMYFUNCTION("""COMPUTED_VALUE"""),0.0)</f>
        <v>0</v>
      </c>
      <c r="I159" s="26">
        <f>IFERROR(__xludf.DUMMYFUNCTION("""COMPUTED_VALUE"""),0.0)</f>
        <v>0</v>
      </c>
      <c r="J159" s="26">
        <f>IFERROR(__xludf.DUMMYFUNCTION("""COMPUTED_VALUE"""),0.0)</f>
        <v>0</v>
      </c>
      <c r="K159" s="26">
        <f>IFERROR(__xludf.DUMMYFUNCTION("""COMPUTED_VALUE"""),0.0)</f>
        <v>0</v>
      </c>
      <c r="L159" s="26">
        <f>IFERROR(__xludf.DUMMYFUNCTION("""COMPUTED_VALUE"""),0.0)</f>
        <v>0</v>
      </c>
      <c r="M159" s="26"/>
      <c r="N159" s="26"/>
      <c r="O159" s="26"/>
      <c r="P159" s="26"/>
      <c r="Q159" s="26"/>
      <c r="R159" s="26">
        <f>IFERROR(__xludf.DUMMYFUNCTION("""COMPUTED_VALUE"""),0.0)</f>
        <v>0</v>
      </c>
      <c r="S159" s="26">
        <f>IFERROR(__xludf.DUMMYFUNCTION("""COMPUTED_VALUE"""),0.0)</f>
        <v>0</v>
      </c>
      <c r="T159" s="26">
        <f>IFERROR(__xludf.DUMMYFUNCTION("""COMPUTED_VALUE"""),0.0)</f>
        <v>0</v>
      </c>
      <c r="U159" s="26">
        <f>IFERROR(__xludf.DUMMYFUNCTION("""COMPUTED_VALUE"""),0.0)</f>
        <v>0</v>
      </c>
      <c r="V159" s="26">
        <f>IFERROR(__xludf.DUMMYFUNCTION("""COMPUTED_VALUE"""),0.0)</f>
        <v>0</v>
      </c>
      <c r="W159" s="26">
        <f>IFERROR(__xludf.DUMMYFUNCTION("""COMPUTED_VALUE"""),0.0)</f>
        <v>0</v>
      </c>
      <c r="X159" s="26">
        <f>IFERROR(__xludf.DUMMYFUNCTION("""COMPUTED_VALUE"""),0.0)</f>
        <v>0</v>
      </c>
      <c r="Y159" s="26">
        <f>IFERROR(__xludf.DUMMYFUNCTION("""COMPUTED_VALUE"""),0.0)</f>
        <v>0</v>
      </c>
      <c r="Z159" s="26">
        <f>IFERROR(__xludf.DUMMYFUNCTION("""COMPUTED_VALUE"""),0.0)</f>
        <v>0</v>
      </c>
      <c r="AA159" s="26">
        <f>IFERROR(__xludf.DUMMYFUNCTION("""COMPUTED_VALUE"""),0.0)</f>
        <v>0</v>
      </c>
      <c r="AB159" s="26">
        <f>IFERROR(__xludf.DUMMYFUNCTION("""COMPUTED_VALUE"""),0.0)</f>
        <v>0</v>
      </c>
      <c r="AC159" s="26">
        <f>IFERROR(__xludf.DUMMYFUNCTION("""COMPUTED_VALUE"""),0.0)</f>
        <v>0</v>
      </c>
      <c r="AD159" s="26">
        <f>IFERROR(__xludf.DUMMYFUNCTION("""COMPUTED_VALUE"""),0.0)</f>
        <v>0</v>
      </c>
      <c r="AE159" s="26">
        <f>IFERROR(__xludf.DUMMYFUNCTION("""COMPUTED_VALUE"""),0.0)</f>
        <v>0</v>
      </c>
    </row>
    <row r="160">
      <c r="A160" s="26">
        <f>IFERROR(__xludf.DUMMYFUNCTION("""COMPUTED_VALUE"""),0.0)</f>
        <v>0</v>
      </c>
      <c r="B160" s="26">
        <f>IFERROR(__xludf.DUMMYFUNCTION("""COMPUTED_VALUE"""),0.0)</f>
        <v>0</v>
      </c>
      <c r="C160" s="26">
        <f>IFERROR(__xludf.DUMMYFUNCTION("""COMPUTED_VALUE"""),0.0)</f>
        <v>0</v>
      </c>
      <c r="D160" s="26">
        <f>IFERROR(__xludf.DUMMYFUNCTION("""COMPUTED_VALUE"""),0.0)</f>
        <v>0</v>
      </c>
      <c r="E160" s="26">
        <f>IFERROR(__xludf.DUMMYFUNCTION("""COMPUTED_VALUE"""),0.0)</f>
        <v>0</v>
      </c>
      <c r="F160" s="26">
        <f>IFERROR(__xludf.DUMMYFUNCTION("""COMPUTED_VALUE"""),0.0)</f>
        <v>0</v>
      </c>
      <c r="G160" s="26">
        <f>IFERROR(__xludf.DUMMYFUNCTION("""COMPUTED_VALUE"""),0.0)</f>
        <v>0</v>
      </c>
      <c r="H160" s="26">
        <f>IFERROR(__xludf.DUMMYFUNCTION("""COMPUTED_VALUE"""),0.0)</f>
        <v>0</v>
      </c>
      <c r="I160" s="26">
        <f>IFERROR(__xludf.DUMMYFUNCTION("""COMPUTED_VALUE"""),0.0)</f>
        <v>0</v>
      </c>
      <c r="J160" s="26">
        <f>IFERROR(__xludf.DUMMYFUNCTION("""COMPUTED_VALUE"""),0.0)</f>
        <v>0</v>
      </c>
      <c r="K160" s="26">
        <f>IFERROR(__xludf.DUMMYFUNCTION("""COMPUTED_VALUE"""),0.0)</f>
        <v>0</v>
      </c>
      <c r="L160" s="26">
        <f>IFERROR(__xludf.DUMMYFUNCTION("""COMPUTED_VALUE"""),0.0)</f>
        <v>0</v>
      </c>
      <c r="M160" s="26"/>
      <c r="N160" s="26"/>
      <c r="O160" s="26"/>
      <c r="P160" s="26"/>
      <c r="Q160" s="26"/>
      <c r="R160" s="26">
        <f>IFERROR(__xludf.DUMMYFUNCTION("""COMPUTED_VALUE"""),0.0)</f>
        <v>0</v>
      </c>
      <c r="S160" s="26">
        <f>IFERROR(__xludf.DUMMYFUNCTION("""COMPUTED_VALUE"""),0.0)</f>
        <v>0</v>
      </c>
      <c r="T160" s="26">
        <f>IFERROR(__xludf.DUMMYFUNCTION("""COMPUTED_VALUE"""),0.0)</f>
        <v>0</v>
      </c>
      <c r="U160" s="26">
        <f>IFERROR(__xludf.DUMMYFUNCTION("""COMPUTED_VALUE"""),0.0)</f>
        <v>0</v>
      </c>
      <c r="V160" s="26">
        <f>IFERROR(__xludf.DUMMYFUNCTION("""COMPUTED_VALUE"""),0.0)</f>
        <v>0</v>
      </c>
      <c r="W160" s="26">
        <f>IFERROR(__xludf.DUMMYFUNCTION("""COMPUTED_VALUE"""),0.0)</f>
        <v>0</v>
      </c>
      <c r="X160" s="26">
        <f>IFERROR(__xludf.DUMMYFUNCTION("""COMPUTED_VALUE"""),0.0)</f>
        <v>0</v>
      </c>
      <c r="Y160" s="26">
        <f>IFERROR(__xludf.DUMMYFUNCTION("""COMPUTED_VALUE"""),0.0)</f>
        <v>0</v>
      </c>
      <c r="Z160" s="26">
        <f>IFERROR(__xludf.DUMMYFUNCTION("""COMPUTED_VALUE"""),0.0)</f>
        <v>0</v>
      </c>
      <c r="AA160" s="26">
        <f>IFERROR(__xludf.DUMMYFUNCTION("""COMPUTED_VALUE"""),0.0)</f>
        <v>0</v>
      </c>
      <c r="AB160" s="26">
        <f>IFERROR(__xludf.DUMMYFUNCTION("""COMPUTED_VALUE"""),0.0)</f>
        <v>0</v>
      </c>
      <c r="AC160" s="26">
        <f>IFERROR(__xludf.DUMMYFUNCTION("""COMPUTED_VALUE"""),0.0)</f>
        <v>0</v>
      </c>
      <c r="AD160" s="26">
        <f>IFERROR(__xludf.DUMMYFUNCTION("""COMPUTED_VALUE"""),0.0)</f>
        <v>0</v>
      </c>
      <c r="AE160" s="26">
        <f>IFERROR(__xludf.DUMMYFUNCTION("""COMPUTED_VALUE"""),0.0)</f>
        <v>0</v>
      </c>
    </row>
    <row r="161">
      <c r="A161" s="26">
        <f>IFERROR(__xludf.DUMMYFUNCTION("""COMPUTED_VALUE"""),0.0)</f>
        <v>0</v>
      </c>
      <c r="B161" s="26">
        <f>IFERROR(__xludf.DUMMYFUNCTION("""COMPUTED_VALUE"""),0.0)</f>
        <v>0</v>
      </c>
      <c r="C161" s="26">
        <f>IFERROR(__xludf.DUMMYFUNCTION("""COMPUTED_VALUE"""),12.0)</f>
        <v>12</v>
      </c>
      <c r="D161" s="26">
        <f>IFERROR(__xludf.DUMMYFUNCTION("""COMPUTED_VALUE"""),0.0)</f>
        <v>0</v>
      </c>
      <c r="E161" s="26">
        <f>IFERROR(__xludf.DUMMYFUNCTION("""COMPUTED_VALUE"""),0.0)</f>
        <v>0</v>
      </c>
      <c r="F161" s="26">
        <f>IFERROR(__xludf.DUMMYFUNCTION("""COMPUTED_VALUE"""),0.0)</f>
        <v>0</v>
      </c>
      <c r="G161" s="26">
        <f>IFERROR(__xludf.DUMMYFUNCTION("""COMPUTED_VALUE"""),0.0)</f>
        <v>0</v>
      </c>
      <c r="H161" s="26">
        <f>IFERROR(__xludf.DUMMYFUNCTION("""COMPUTED_VALUE"""),0.0)</f>
        <v>0</v>
      </c>
      <c r="I161" s="26">
        <f>IFERROR(__xludf.DUMMYFUNCTION("""COMPUTED_VALUE"""),0.0)</f>
        <v>0</v>
      </c>
      <c r="J161" s="26">
        <f>IFERROR(__xludf.DUMMYFUNCTION("""COMPUTED_VALUE"""),0.0)</f>
        <v>0</v>
      </c>
      <c r="K161" s="26">
        <f>IFERROR(__xludf.DUMMYFUNCTION("""COMPUTED_VALUE"""),0.0)</f>
        <v>0</v>
      </c>
      <c r="L161" s="26">
        <f>IFERROR(__xludf.DUMMYFUNCTION("""COMPUTED_VALUE"""),0.0)</f>
        <v>0</v>
      </c>
      <c r="M161" s="26"/>
      <c r="N161" s="26"/>
      <c r="O161" s="26"/>
      <c r="P161" s="26"/>
      <c r="Q161" s="26"/>
      <c r="R161" s="26">
        <f>IFERROR(__xludf.DUMMYFUNCTION("""COMPUTED_VALUE"""),12.0)</f>
        <v>12</v>
      </c>
      <c r="S161" s="26">
        <f>IFERROR(__xludf.DUMMYFUNCTION("""COMPUTED_VALUE"""),5304.0)</f>
        <v>5304</v>
      </c>
      <c r="T161" s="26">
        <f>IFERROR(__xludf.DUMMYFUNCTION("""COMPUTED_VALUE"""),2280.0)</f>
        <v>2280</v>
      </c>
      <c r="U161" s="26">
        <f>IFERROR(__xludf.DUMMYFUNCTION("""COMPUTED_VALUE"""),3089.04)</f>
        <v>3089.04</v>
      </c>
      <c r="V161" s="26">
        <f>IFERROR(__xludf.DUMMYFUNCTION("""COMPUTED_VALUE"""),0.0)</f>
        <v>0</v>
      </c>
      <c r="W161" s="26">
        <f>IFERROR(__xludf.DUMMYFUNCTION("""COMPUTED_VALUE"""),0.0)</f>
        <v>0</v>
      </c>
      <c r="X161" s="26">
        <f>IFERROR(__xludf.DUMMYFUNCTION("""COMPUTED_VALUE"""),809.0399999999998)</f>
        <v>809.04</v>
      </c>
      <c r="Y161" s="26">
        <f>IFERROR(__xludf.DUMMYFUNCTION("""COMPUTED_VALUE"""),809.0399999999998)</f>
        <v>809.04</v>
      </c>
      <c r="Z161" s="26">
        <f>IFERROR(__xludf.DUMMYFUNCTION("""COMPUTED_VALUE"""),3199.8000000000006)</f>
        <v>3199.8</v>
      </c>
      <c r="AA161" s="26">
        <f>IFERROR(__xludf.DUMMYFUNCTION("""COMPUTED_VALUE"""),3199.8000000000006)</f>
        <v>3199.8</v>
      </c>
      <c r="AB161" s="26">
        <f>IFERROR(__xludf.DUMMYFUNCTION("""COMPUTED_VALUE"""),2214.9599999999996)</f>
        <v>2214.96</v>
      </c>
      <c r="AC161" s="26">
        <f>IFERROR(__xludf.DUMMYFUNCTION("""COMPUTED_VALUE"""),2104.1999999999994)</f>
        <v>2104.2</v>
      </c>
      <c r="AD161" s="26">
        <f>IFERROR(__xludf.DUMMYFUNCTION("""COMPUTED_VALUE"""),110.76000000000003)</f>
        <v>110.76</v>
      </c>
      <c r="AE161" s="26">
        <f>IFERROR(__xludf.DUMMYFUNCTION("""COMPUTED_VALUE"""),0.0)</f>
        <v>0</v>
      </c>
    </row>
    <row r="162">
      <c r="A162" s="26">
        <f>IFERROR(__xludf.DUMMYFUNCTION("""COMPUTED_VALUE"""),0.0)</f>
        <v>0</v>
      </c>
      <c r="B162" s="26">
        <f>IFERROR(__xludf.DUMMYFUNCTION("""COMPUTED_VALUE"""),85.0)</f>
        <v>85</v>
      </c>
      <c r="C162" s="26">
        <f>IFERROR(__xludf.DUMMYFUNCTION("""COMPUTED_VALUE"""),0.0)</f>
        <v>0</v>
      </c>
      <c r="D162" s="26">
        <f>IFERROR(__xludf.DUMMYFUNCTION("""COMPUTED_VALUE"""),0.0)</f>
        <v>0</v>
      </c>
      <c r="E162" s="26">
        <f>IFERROR(__xludf.DUMMYFUNCTION("""COMPUTED_VALUE"""),0.0)</f>
        <v>0</v>
      </c>
      <c r="F162" s="26">
        <f>IFERROR(__xludf.DUMMYFUNCTION("""COMPUTED_VALUE"""),0.0)</f>
        <v>0</v>
      </c>
      <c r="G162" s="26">
        <f>IFERROR(__xludf.DUMMYFUNCTION("""COMPUTED_VALUE"""),0.0)</f>
        <v>0</v>
      </c>
      <c r="H162" s="26">
        <f>IFERROR(__xludf.DUMMYFUNCTION("""COMPUTED_VALUE"""),0.0)</f>
        <v>0</v>
      </c>
      <c r="I162" s="26">
        <f>IFERROR(__xludf.DUMMYFUNCTION("""COMPUTED_VALUE"""),0.0)</f>
        <v>0</v>
      </c>
      <c r="J162" s="26">
        <f>IFERROR(__xludf.DUMMYFUNCTION("""COMPUTED_VALUE"""),0.0)</f>
        <v>0</v>
      </c>
      <c r="K162" s="26">
        <f>IFERROR(__xludf.DUMMYFUNCTION("""COMPUTED_VALUE"""),0.0)</f>
        <v>0</v>
      </c>
      <c r="L162" s="26">
        <f>IFERROR(__xludf.DUMMYFUNCTION("""COMPUTED_VALUE"""),0.0)</f>
        <v>0</v>
      </c>
      <c r="M162" s="26"/>
      <c r="N162" s="26"/>
      <c r="O162" s="26"/>
      <c r="P162" s="26"/>
      <c r="Q162" s="26"/>
      <c r="R162" s="26">
        <f>IFERROR(__xludf.DUMMYFUNCTION("""COMPUTED_VALUE"""),85.0)</f>
        <v>85</v>
      </c>
      <c r="S162" s="26">
        <f>IFERROR(__xludf.DUMMYFUNCTION("""COMPUTED_VALUE"""),8023.999999999987)</f>
        <v>8024</v>
      </c>
      <c r="T162" s="26">
        <f>IFERROR(__xludf.DUMMYFUNCTION("""COMPUTED_VALUE"""),6800.0)</f>
        <v>6800</v>
      </c>
      <c r="U162" s="26">
        <f>IFERROR(__xludf.DUMMYFUNCTION("""COMPUTED_VALUE"""),8024.0)</f>
        <v>8024</v>
      </c>
      <c r="V162" s="26">
        <f>IFERROR(__xludf.DUMMYFUNCTION("""COMPUTED_VALUE"""),0.0)</f>
        <v>0</v>
      </c>
      <c r="W162" s="26">
        <f>IFERROR(__xludf.DUMMYFUNCTION("""COMPUTED_VALUE"""),0.0)</f>
        <v>0</v>
      </c>
      <c r="X162" s="26">
        <f>IFERROR(__xludf.DUMMYFUNCTION("""COMPUTED_VALUE"""),1224.0)</f>
        <v>1224</v>
      </c>
      <c r="Y162" s="26">
        <f>IFERROR(__xludf.DUMMYFUNCTION("""COMPUTED_VALUE"""),1224.0)</f>
        <v>1224</v>
      </c>
      <c r="Z162" s="26">
        <f>IFERROR(__xludf.DUMMYFUNCTION("""COMPUTED_VALUE"""),8023.999999999987)</f>
        <v>8024</v>
      </c>
      <c r="AA162" s="26">
        <f>IFERROR(__xludf.DUMMYFUNCTION("""COMPUTED_VALUE"""),8023.999999999987)</f>
        <v>8024</v>
      </c>
      <c r="AB162" s="26">
        <f>IFERROR(__xludf.DUMMYFUNCTION("""COMPUTED_VALUE"""),0.0)</f>
        <v>0</v>
      </c>
      <c r="AC162" s="26">
        <f>IFERROR(__xludf.DUMMYFUNCTION("""COMPUTED_VALUE"""),0.0)</f>
        <v>0</v>
      </c>
      <c r="AD162" s="26">
        <f>IFERROR(__xludf.DUMMYFUNCTION("""COMPUTED_VALUE"""),0.0)</f>
        <v>0</v>
      </c>
      <c r="AE162" s="26">
        <f>IFERROR(__xludf.DUMMYFUNCTION("""COMPUTED_VALUE"""),0.0)</f>
        <v>0</v>
      </c>
    </row>
    <row r="163">
      <c r="A163" s="26">
        <f>IFERROR(__xludf.DUMMYFUNCTION("""COMPUTED_VALUE"""),0.0)</f>
        <v>0</v>
      </c>
      <c r="B163" s="26">
        <f>IFERROR(__xludf.DUMMYFUNCTION("""COMPUTED_VALUE"""),0.0)</f>
        <v>0</v>
      </c>
      <c r="C163" s="26">
        <f>IFERROR(__xludf.DUMMYFUNCTION("""COMPUTED_VALUE"""),0.0)</f>
        <v>0</v>
      </c>
      <c r="D163" s="26">
        <f>IFERROR(__xludf.DUMMYFUNCTION("""COMPUTED_VALUE"""),0.0)</f>
        <v>0</v>
      </c>
      <c r="E163" s="26">
        <f>IFERROR(__xludf.DUMMYFUNCTION("""COMPUTED_VALUE"""),0.0)</f>
        <v>0</v>
      </c>
      <c r="F163" s="26">
        <f>IFERROR(__xludf.DUMMYFUNCTION("""COMPUTED_VALUE"""),0.0)</f>
        <v>0</v>
      </c>
      <c r="G163" s="26">
        <f>IFERROR(__xludf.DUMMYFUNCTION("""COMPUTED_VALUE"""),0.0)</f>
        <v>0</v>
      </c>
      <c r="H163" s="26">
        <f>IFERROR(__xludf.DUMMYFUNCTION("""COMPUTED_VALUE"""),0.0)</f>
        <v>0</v>
      </c>
      <c r="I163" s="26">
        <f>IFERROR(__xludf.DUMMYFUNCTION("""COMPUTED_VALUE"""),0.0)</f>
        <v>0</v>
      </c>
      <c r="J163" s="26">
        <f>IFERROR(__xludf.DUMMYFUNCTION("""COMPUTED_VALUE"""),0.0)</f>
        <v>0</v>
      </c>
      <c r="K163" s="26">
        <f>IFERROR(__xludf.DUMMYFUNCTION("""COMPUTED_VALUE"""),0.0)</f>
        <v>0</v>
      </c>
      <c r="L163" s="26">
        <f>IFERROR(__xludf.DUMMYFUNCTION("""COMPUTED_VALUE"""),0.0)</f>
        <v>0</v>
      </c>
      <c r="M163" s="26"/>
      <c r="N163" s="26"/>
      <c r="O163" s="26"/>
      <c r="P163" s="26"/>
      <c r="Q163" s="26"/>
      <c r="R163" s="26">
        <f>IFERROR(__xludf.DUMMYFUNCTION("""COMPUTED_VALUE"""),0.0)</f>
        <v>0</v>
      </c>
      <c r="S163" s="26">
        <f>IFERROR(__xludf.DUMMYFUNCTION("""COMPUTED_VALUE"""),0.0)</f>
        <v>0</v>
      </c>
      <c r="T163" s="26">
        <f>IFERROR(__xludf.DUMMYFUNCTION("""COMPUTED_VALUE"""),0.0)</f>
        <v>0</v>
      </c>
      <c r="U163" s="26">
        <f>IFERROR(__xludf.DUMMYFUNCTION("""COMPUTED_VALUE"""),0.0)</f>
        <v>0</v>
      </c>
      <c r="V163" s="26">
        <f>IFERROR(__xludf.DUMMYFUNCTION("""COMPUTED_VALUE"""),0.0)</f>
        <v>0</v>
      </c>
      <c r="W163" s="26">
        <f>IFERROR(__xludf.DUMMYFUNCTION("""COMPUTED_VALUE"""),0.0)</f>
        <v>0</v>
      </c>
      <c r="X163" s="26">
        <f>IFERROR(__xludf.DUMMYFUNCTION("""COMPUTED_VALUE"""),0.0)</f>
        <v>0</v>
      </c>
      <c r="Y163" s="26">
        <f>IFERROR(__xludf.DUMMYFUNCTION("""COMPUTED_VALUE"""),0.0)</f>
        <v>0</v>
      </c>
      <c r="Z163" s="26">
        <f>IFERROR(__xludf.DUMMYFUNCTION("""COMPUTED_VALUE"""),0.0)</f>
        <v>0</v>
      </c>
      <c r="AA163" s="26">
        <f>IFERROR(__xludf.DUMMYFUNCTION("""COMPUTED_VALUE"""),0.0)</f>
        <v>0</v>
      </c>
      <c r="AB163" s="26">
        <f>IFERROR(__xludf.DUMMYFUNCTION("""COMPUTED_VALUE"""),0.0)</f>
        <v>0</v>
      </c>
      <c r="AC163" s="26">
        <f>IFERROR(__xludf.DUMMYFUNCTION("""COMPUTED_VALUE"""),0.0)</f>
        <v>0</v>
      </c>
      <c r="AD163" s="26">
        <f>IFERROR(__xludf.DUMMYFUNCTION("""COMPUTED_VALUE"""),0.0)</f>
        <v>0</v>
      </c>
      <c r="AE163" s="26">
        <f>IFERROR(__xludf.DUMMYFUNCTION("""COMPUTED_VALUE"""),0.0)</f>
        <v>0</v>
      </c>
    </row>
    <row r="164">
      <c r="A164" s="26">
        <f>IFERROR(__xludf.DUMMYFUNCTION("""COMPUTED_VALUE"""),0.0)</f>
        <v>0</v>
      </c>
      <c r="B164" s="26">
        <f>IFERROR(__xludf.DUMMYFUNCTION("""COMPUTED_VALUE"""),0.0)</f>
        <v>0</v>
      </c>
      <c r="C164" s="26">
        <f>IFERROR(__xludf.DUMMYFUNCTION("""COMPUTED_VALUE"""),0.0)</f>
        <v>0</v>
      </c>
      <c r="D164" s="26">
        <f>IFERROR(__xludf.DUMMYFUNCTION("""COMPUTED_VALUE"""),0.0)</f>
        <v>0</v>
      </c>
      <c r="E164" s="26">
        <f>IFERROR(__xludf.DUMMYFUNCTION("""COMPUTED_VALUE"""),0.0)</f>
        <v>0</v>
      </c>
      <c r="F164" s="26">
        <f>IFERROR(__xludf.DUMMYFUNCTION("""COMPUTED_VALUE"""),0.0)</f>
        <v>0</v>
      </c>
      <c r="G164" s="26">
        <f>IFERROR(__xludf.DUMMYFUNCTION("""COMPUTED_VALUE"""),0.0)</f>
        <v>0</v>
      </c>
      <c r="H164" s="26">
        <f>IFERROR(__xludf.DUMMYFUNCTION("""COMPUTED_VALUE"""),0.0)</f>
        <v>0</v>
      </c>
      <c r="I164" s="26">
        <f>IFERROR(__xludf.DUMMYFUNCTION("""COMPUTED_VALUE"""),0.0)</f>
        <v>0</v>
      </c>
      <c r="J164" s="26">
        <f>IFERROR(__xludf.DUMMYFUNCTION("""COMPUTED_VALUE"""),0.0)</f>
        <v>0</v>
      </c>
      <c r="K164" s="26">
        <f>IFERROR(__xludf.DUMMYFUNCTION("""COMPUTED_VALUE"""),0.0)</f>
        <v>0</v>
      </c>
      <c r="L164" s="26">
        <f>IFERROR(__xludf.DUMMYFUNCTION("""COMPUTED_VALUE"""),0.0)</f>
        <v>0</v>
      </c>
      <c r="M164" s="26"/>
      <c r="N164" s="26"/>
      <c r="O164" s="26"/>
      <c r="P164" s="26"/>
      <c r="Q164" s="26"/>
      <c r="R164" s="26">
        <f>IFERROR(__xludf.DUMMYFUNCTION("""COMPUTED_VALUE"""),0.0)</f>
        <v>0</v>
      </c>
      <c r="S164" s="26">
        <f>IFERROR(__xludf.DUMMYFUNCTION("""COMPUTED_VALUE"""),0.0)</f>
        <v>0</v>
      </c>
      <c r="T164" s="26">
        <f>IFERROR(__xludf.DUMMYFUNCTION("""COMPUTED_VALUE"""),0.0)</f>
        <v>0</v>
      </c>
      <c r="U164" s="26">
        <f>IFERROR(__xludf.DUMMYFUNCTION("""COMPUTED_VALUE"""),0.0)</f>
        <v>0</v>
      </c>
      <c r="V164" s="26">
        <f>IFERROR(__xludf.DUMMYFUNCTION("""COMPUTED_VALUE"""),0.0)</f>
        <v>0</v>
      </c>
      <c r="W164" s="26">
        <f>IFERROR(__xludf.DUMMYFUNCTION("""COMPUTED_VALUE"""),0.0)</f>
        <v>0</v>
      </c>
      <c r="X164" s="26">
        <f>IFERROR(__xludf.DUMMYFUNCTION("""COMPUTED_VALUE"""),0.0)</f>
        <v>0</v>
      </c>
      <c r="Y164" s="26">
        <f>IFERROR(__xludf.DUMMYFUNCTION("""COMPUTED_VALUE"""),0.0)</f>
        <v>0</v>
      </c>
      <c r="Z164" s="26">
        <f>IFERROR(__xludf.DUMMYFUNCTION("""COMPUTED_VALUE"""),0.0)</f>
        <v>0</v>
      </c>
      <c r="AA164" s="26">
        <f>IFERROR(__xludf.DUMMYFUNCTION("""COMPUTED_VALUE"""),0.0)</f>
        <v>0</v>
      </c>
      <c r="AB164" s="26">
        <f>IFERROR(__xludf.DUMMYFUNCTION("""COMPUTED_VALUE"""),0.0)</f>
        <v>0</v>
      </c>
      <c r="AC164" s="26">
        <f>IFERROR(__xludf.DUMMYFUNCTION("""COMPUTED_VALUE"""),0.0)</f>
        <v>0</v>
      </c>
      <c r="AD164" s="26">
        <f>IFERROR(__xludf.DUMMYFUNCTION("""COMPUTED_VALUE"""),0.0)</f>
        <v>0</v>
      </c>
      <c r="AE164" s="26">
        <f>IFERROR(__xludf.DUMMYFUNCTION("""COMPUTED_VALUE"""),0.0)</f>
        <v>0</v>
      </c>
    </row>
    <row r="165">
      <c r="A165" s="26">
        <f>IFERROR(__xludf.DUMMYFUNCTION("""COMPUTED_VALUE"""),0.0)</f>
        <v>0</v>
      </c>
      <c r="B165" s="26">
        <f>IFERROR(__xludf.DUMMYFUNCTION("""COMPUTED_VALUE"""),0.0)</f>
        <v>0</v>
      </c>
      <c r="C165" s="26">
        <f>IFERROR(__xludf.DUMMYFUNCTION("""COMPUTED_VALUE"""),0.0)</f>
        <v>0</v>
      </c>
      <c r="D165" s="26">
        <f>IFERROR(__xludf.DUMMYFUNCTION("""COMPUTED_VALUE"""),0.0)</f>
        <v>0</v>
      </c>
      <c r="E165" s="26">
        <f>IFERROR(__xludf.DUMMYFUNCTION("""COMPUTED_VALUE"""),0.0)</f>
        <v>0</v>
      </c>
      <c r="F165" s="26">
        <f>IFERROR(__xludf.DUMMYFUNCTION("""COMPUTED_VALUE"""),0.0)</f>
        <v>0</v>
      </c>
      <c r="G165" s="26">
        <f>IFERROR(__xludf.DUMMYFUNCTION("""COMPUTED_VALUE"""),0.0)</f>
        <v>0</v>
      </c>
      <c r="H165" s="26">
        <f>IFERROR(__xludf.DUMMYFUNCTION("""COMPUTED_VALUE"""),0.0)</f>
        <v>0</v>
      </c>
      <c r="I165" s="26">
        <f>IFERROR(__xludf.DUMMYFUNCTION("""COMPUTED_VALUE"""),0.0)</f>
        <v>0</v>
      </c>
      <c r="J165" s="26">
        <f>IFERROR(__xludf.DUMMYFUNCTION("""COMPUTED_VALUE"""),0.0)</f>
        <v>0</v>
      </c>
      <c r="K165" s="26">
        <f>IFERROR(__xludf.DUMMYFUNCTION("""COMPUTED_VALUE"""),0.0)</f>
        <v>0</v>
      </c>
      <c r="L165" s="26">
        <f>IFERROR(__xludf.DUMMYFUNCTION("""COMPUTED_VALUE"""),0.0)</f>
        <v>0</v>
      </c>
      <c r="M165" s="26"/>
      <c r="N165" s="26"/>
      <c r="O165" s="26"/>
      <c r="P165" s="26"/>
      <c r="Q165" s="26"/>
      <c r="R165" s="26">
        <f>IFERROR(__xludf.DUMMYFUNCTION("""COMPUTED_VALUE"""),0.0)</f>
        <v>0</v>
      </c>
      <c r="S165" s="26">
        <f>IFERROR(__xludf.DUMMYFUNCTION("""COMPUTED_VALUE"""),0.0)</f>
        <v>0</v>
      </c>
      <c r="T165" s="26">
        <f>IFERROR(__xludf.DUMMYFUNCTION("""COMPUTED_VALUE"""),0.0)</f>
        <v>0</v>
      </c>
      <c r="U165" s="26">
        <f>IFERROR(__xludf.DUMMYFUNCTION("""COMPUTED_VALUE"""),0.0)</f>
        <v>0</v>
      </c>
      <c r="V165" s="26">
        <f>IFERROR(__xludf.DUMMYFUNCTION("""COMPUTED_VALUE"""),0.0)</f>
        <v>0</v>
      </c>
      <c r="W165" s="26">
        <f>IFERROR(__xludf.DUMMYFUNCTION("""COMPUTED_VALUE"""),0.0)</f>
        <v>0</v>
      </c>
      <c r="X165" s="26">
        <f>IFERROR(__xludf.DUMMYFUNCTION("""COMPUTED_VALUE"""),0.0)</f>
        <v>0</v>
      </c>
      <c r="Y165" s="26">
        <f>IFERROR(__xludf.DUMMYFUNCTION("""COMPUTED_VALUE"""),0.0)</f>
        <v>0</v>
      </c>
      <c r="Z165" s="26">
        <f>IFERROR(__xludf.DUMMYFUNCTION("""COMPUTED_VALUE"""),0.0)</f>
        <v>0</v>
      </c>
      <c r="AA165" s="26">
        <f>IFERROR(__xludf.DUMMYFUNCTION("""COMPUTED_VALUE"""),0.0)</f>
        <v>0</v>
      </c>
      <c r="AB165" s="26">
        <f>IFERROR(__xludf.DUMMYFUNCTION("""COMPUTED_VALUE"""),0.0)</f>
        <v>0</v>
      </c>
      <c r="AC165" s="26">
        <f>IFERROR(__xludf.DUMMYFUNCTION("""COMPUTED_VALUE"""),0.0)</f>
        <v>0</v>
      </c>
      <c r="AD165" s="26">
        <f>IFERROR(__xludf.DUMMYFUNCTION("""COMPUTED_VALUE"""),0.0)</f>
        <v>0</v>
      </c>
      <c r="AE165" s="26">
        <f>IFERROR(__xludf.DUMMYFUNCTION("""COMPUTED_VALUE"""),0.0)</f>
        <v>0</v>
      </c>
    </row>
    <row r="166">
      <c r="A166" s="26">
        <f>IFERROR(__xludf.DUMMYFUNCTION("""COMPUTED_VALUE"""),0.0)</f>
        <v>0</v>
      </c>
      <c r="B166" s="26">
        <f>IFERROR(__xludf.DUMMYFUNCTION("""COMPUTED_VALUE"""),0.0)</f>
        <v>0</v>
      </c>
      <c r="C166" s="26">
        <f>IFERROR(__xludf.DUMMYFUNCTION("""COMPUTED_VALUE"""),0.0)</f>
        <v>0</v>
      </c>
      <c r="D166" s="26">
        <f>IFERROR(__xludf.DUMMYFUNCTION("""COMPUTED_VALUE"""),0.0)</f>
        <v>0</v>
      </c>
      <c r="E166" s="26">
        <f>IFERROR(__xludf.DUMMYFUNCTION("""COMPUTED_VALUE"""),0.0)</f>
        <v>0</v>
      </c>
      <c r="F166" s="26">
        <f>IFERROR(__xludf.DUMMYFUNCTION("""COMPUTED_VALUE"""),0.0)</f>
        <v>0</v>
      </c>
      <c r="G166" s="26">
        <f>IFERROR(__xludf.DUMMYFUNCTION("""COMPUTED_VALUE"""),0.0)</f>
        <v>0</v>
      </c>
      <c r="H166" s="26">
        <f>IFERROR(__xludf.DUMMYFUNCTION("""COMPUTED_VALUE"""),0.0)</f>
        <v>0</v>
      </c>
      <c r="I166" s="26">
        <f>IFERROR(__xludf.DUMMYFUNCTION("""COMPUTED_VALUE"""),0.0)</f>
        <v>0</v>
      </c>
      <c r="J166" s="26">
        <f>IFERROR(__xludf.DUMMYFUNCTION("""COMPUTED_VALUE"""),0.0)</f>
        <v>0</v>
      </c>
      <c r="K166" s="26">
        <f>IFERROR(__xludf.DUMMYFUNCTION("""COMPUTED_VALUE"""),0.0)</f>
        <v>0</v>
      </c>
      <c r="L166" s="26">
        <f>IFERROR(__xludf.DUMMYFUNCTION("""COMPUTED_VALUE"""),0.0)</f>
        <v>0</v>
      </c>
      <c r="M166" s="26"/>
      <c r="N166" s="26"/>
      <c r="O166" s="26"/>
      <c r="P166" s="26"/>
      <c r="Q166" s="26"/>
      <c r="R166" s="26">
        <f>IFERROR(__xludf.DUMMYFUNCTION("""COMPUTED_VALUE"""),0.0)</f>
        <v>0</v>
      </c>
      <c r="S166" s="26">
        <f>IFERROR(__xludf.DUMMYFUNCTION("""COMPUTED_VALUE"""),0.0)</f>
        <v>0</v>
      </c>
      <c r="T166" s="26">
        <f>IFERROR(__xludf.DUMMYFUNCTION("""COMPUTED_VALUE"""),0.0)</f>
        <v>0</v>
      </c>
      <c r="U166" s="26">
        <f>IFERROR(__xludf.DUMMYFUNCTION("""COMPUTED_VALUE"""),0.0)</f>
        <v>0</v>
      </c>
      <c r="V166" s="26">
        <f>IFERROR(__xludf.DUMMYFUNCTION("""COMPUTED_VALUE"""),0.0)</f>
        <v>0</v>
      </c>
      <c r="W166" s="26">
        <f>IFERROR(__xludf.DUMMYFUNCTION("""COMPUTED_VALUE"""),0.0)</f>
        <v>0</v>
      </c>
      <c r="X166" s="26">
        <f>IFERROR(__xludf.DUMMYFUNCTION("""COMPUTED_VALUE"""),0.0)</f>
        <v>0</v>
      </c>
      <c r="Y166" s="26">
        <f>IFERROR(__xludf.DUMMYFUNCTION("""COMPUTED_VALUE"""),0.0)</f>
        <v>0</v>
      </c>
      <c r="Z166" s="26">
        <f>IFERROR(__xludf.DUMMYFUNCTION("""COMPUTED_VALUE"""),0.0)</f>
        <v>0</v>
      </c>
      <c r="AA166" s="26">
        <f>IFERROR(__xludf.DUMMYFUNCTION("""COMPUTED_VALUE"""),0.0)</f>
        <v>0</v>
      </c>
      <c r="AB166" s="26">
        <f>IFERROR(__xludf.DUMMYFUNCTION("""COMPUTED_VALUE"""),0.0)</f>
        <v>0</v>
      </c>
      <c r="AC166" s="26">
        <f>IFERROR(__xludf.DUMMYFUNCTION("""COMPUTED_VALUE"""),0.0)</f>
        <v>0</v>
      </c>
      <c r="AD166" s="26">
        <f>IFERROR(__xludf.DUMMYFUNCTION("""COMPUTED_VALUE"""),0.0)</f>
        <v>0</v>
      </c>
      <c r="AE166" s="26">
        <f>IFERROR(__xludf.DUMMYFUNCTION("""COMPUTED_VALUE"""),0.0)</f>
        <v>0</v>
      </c>
    </row>
    <row r="167">
      <c r="A167" s="26">
        <f>IFERROR(__xludf.DUMMYFUNCTION("""COMPUTED_VALUE"""),46.0)</f>
        <v>46</v>
      </c>
      <c r="B167" s="26">
        <f>IFERROR(__xludf.DUMMYFUNCTION("""COMPUTED_VALUE"""),0.0)</f>
        <v>0</v>
      </c>
      <c r="C167" s="26">
        <f>IFERROR(__xludf.DUMMYFUNCTION("""COMPUTED_VALUE"""),0.0)</f>
        <v>0</v>
      </c>
      <c r="D167" s="26">
        <f>IFERROR(__xludf.DUMMYFUNCTION("""COMPUTED_VALUE"""),0.0)</f>
        <v>0</v>
      </c>
      <c r="E167" s="26">
        <f>IFERROR(__xludf.DUMMYFUNCTION("""COMPUTED_VALUE"""),0.0)</f>
        <v>0</v>
      </c>
      <c r="F167" s="26">
        <f>IFERROR(__xludf.DUMMYFUNCTION("""COMPUTED_VALUE"""),0.0)</f>
        <v>0</v>
      </c>
      <c r="G167" s="26">
        <f>IFERROR(__xludf.DUMMYFUNCTION("""COMPUTED_VALUE"""),0.0)</f>
        <v>0</v>
      </c>
      <c r="H167" s="26">
        <f>IFERROR(__xludf.DUMMYFUNCTION("""COMPUTED_VALUE"""),0.0)</f>
        <v>0</v>
      </c>
      <c r="I167" s="26">
        <f>IFERROR(__xludf.DUMMYFUNCTION("""COMPUTED_VALUE"""),0.0)</f>
        <v>0</v>
      </c>
      <c r="J167" s="26">
        <f>IFERROR(__xludf.DUMMYFUNCTION("""COMPUTED_VALUE"""),0.0)</f>
        <v>0</v>
      </c>
      <c r="K167" s="26">
        <f>IFERROR(__xludf.DUMMYFUNCTION("""COMPUTED_VALUE"""),0.0)</f>
        <v>0</v>
      </c>
      <c r="L167" s="26">
        <f>IFERROR(__xludf.DUMMYFUNCTION("""COMPUTED_VALUE"""),0.0)</f>
        <v>0</v>
      </c>
      <c r="M167" s="26"/>
      <c r="N167" s="26"/>
      <c r="O167" s="26"/>
      <c r="P167" s="26"/>
      <c r="Q167" s="26"/>
      <c r="R167" s="26">
        <f>IFERROR(__xludf.DUMMYFUNCTION("""COMPUTED_VALUE"""),46.0)</f>
        <v>46</v>
      </c>
      <c r="S167" s="26">
        <f>IFERROR(__xludf.DUMMYFUNCTION("""COMPUTED_VALUE"""),11127.39999999999)</f>
        <v>11127.4</v>
      </c>
      <c r="T167" s="26">
        <f>IFERROR(__xludf.DUMMYFUNCTION("""COMPUTED_VALUE"""),9430.0)</f>
        <v>9430</v>
      </c>
      <c r="U167" s="26">
        <f>IFERROR(__xludf.DUMMYFUNCTION("""COMPUTED_VALUE"""),11127.400000000001)</f>
        <v>11127.4</v>
      </c>
      <c r="V167" s="26">
        <f>IFERROR(__xludf.DUMMYFUNCTION("""COMPUTED_VALUE"""),0.0)</f>
        <v>0</v>
      </c>
      <c r="W167" s="26">
        <f>IFERROR(__xludf.DUMMYFUNCTION("""COMPUTED_VALUE"""),0.0)</f>
        <v>0</v>
      </c>
      <c r="X167" s="26">
        <f>IFERROR(__xludf.DUMMYFUNCTION("""COMPUTED_VALUE"""),1697.4000000000012)</f>
        <v>1697.4</v>
      </c>
      <c r="Y167" s="26">
        <f>IFERROR(__xludf.DUMMYFUNCTION("""COMPUTED_VALUE"""),1697.4000000000012)</f>
        <v>1697.4</v>
      </c>
      <c r="Z167" s="26">
        <f>IFERROR(__xludf.DUMMYFUNCTION("""COMPUTED_VALUE"""),11127.39999999999)</f>
        <v>11127.4</v>
      </c>
      <c r="AA167" s="26">
        <f>IFERROR(__xludf.DUMMYFUNCTION("""COMPUTED_VALUE"""),11127.39999999999)</f>
        <v>11127.4</v>
      </c>
      <c r="AB167" s="26">
        <f>IFERROR(__xludf.DUMMYFUNCTION("""COMPUTED_VALUE"""),0.0)</f>
        <v>0</v>
      </c>
      <c r="AC167" s="26">
        <f>IFERROR(__xludf.DUMMYFUNCTION("""COMPUTED_VALUE"""),0.0)</f>
        <v>0</v>
      </c>
      <c r="AD167" s="26">
        <f>IFERROR(__xludf.DUMMYFUNCTION("""COMPUTED_VALUE"""),0.0)</f>
        <v>0</v>
      </c>
      <c r="AE167" s="26">
        <f>IFERROR(__xludf.DUMMYFUNCTION("""COMPUTED_VALUE"""),0.0)</f>
        <v>0</v>
      </c>
    </row>
    <row r="168">
      <c r="A168" s="26">
        <f>IFERROR(__xludf.DUMMYFUNCTION("""COMPUTED_VALUE"""),0.0)</f>
        <v>0</v>
      </c>
      <c r="B168" s="26">
        <f>IFERROR(__xludf.DUMMYFUNCTION("""COMPUTED_VALUE"""),0.0)</f>
        <v>0</v>
      </c>
      <c r="C168" s="26">
        <f>IFERROR(__xludf.DUMMYFUNCTION("""COMPUTED_VALUE"""),0.0)</f>
        <v>0</v>
      </c>
      <c r="D168" s="26">
        <f>IFERROR(__xludf.DUMMYFUNCTION("""COMPUTED_VALUE"""),0.0)</f>
        <v>0</v>
      </c>
      <c r="E168" s="26">
        <f>IFERROR(__xludf.DUMMYFUNCTION("""COMPUTED_VALUE"""),0.0)</f>
        <v>0</v>
      </c>
      <c r="F168" s="26">
        <f>IFERROR(__xludf.DUMMYFUNCTION("""COMPUTED_VALUE"""),0.0)</f>
        <v>0</v>
      </c>
      <c r="G168" s="26">
        <f>IFERROR(__xludf.DUMMYFUNCTION("""COMPUTED_VALUE"""),0.0)</f>
        <v>0</v>
      </c>
      <c r="H168" s="26">
        <f>IFERROR(__xludf.DUMMYFUNCTION("""COMPUTED_VALUE"""),0.0)</f>
        <v>0</v>
      </c>
      <c r="I168" s="26">
        <f>IFERROR(__xludf.DUMMYFUNCTION("""COMPUTED_VALUE"""),0.0)</f>
        <v>0</v>
      </c>
      <c r="J168" s="26">
        <f>IFERROR(__xludf.DUMMYFUNCTION("""COMPUTED_VALUE"""),0.0)</f>
        <v>0</v>
      </c>
      <c r="K168" s="26">
        <f>IFERROR(__xludf.DUMMYFUNCTION("""COMPUTED_VALUE"""),0.0)</f>
        <v>0</v>
      </c>
      <c r="L168" s="26">
        <f>IFERROR(__xludf.DUMMYFUNCTION("""COMPUTED_VALUE"""),0.0)</f>
        <v>0</v>
      </c>
      <c r="M168" s="26"/>
      <c r="N168" s="26"/>
      <c r="O168" s="26"/>
      <c r="P168" s="26"/>
      <c r="Q168" s="26"/>
      <c r="R168" s="26">
        <f>IFERROR(__xludf.DUMMYFUNCTION("""COMPUTED_VALUE"""),0.0)</f>
        <v>0</v>
      </c>
      <c r="S168" s="26">
        <f>IFERROR(__xludf.DUMMYFUNCTION("""COMPUTED_VALUE"""),0.0)</f>
        <v>0</v>
      </c>
      <c r="T168" s="26">
        <f>IFERROR(__xludf.DUMMYFUNCTION("""COMPUTED_VALUE"""),0.0)</f>
        <v>0</v>
      </c>
      <c r="U168" s="26">
        <f>IFERROR(__xludf.DUMMYFUNCTION("""COMPUTED_VALUE"""),0.0)</f>
        <v>0</v>
      </c>
      <c r="V168" s="26">
        <f>IFERROR(__xludf.DUMMYFUNCTION("""COMPUTED_VALUE"""),0.0)</f>
        <v>0</v>
      </c>
      <c r="W168" s="26">
        <f>IFERROR(__xludf.DUMMYFUNCTION("""COMPUTED_VALUE"""),0.0)</f>
        <v>0</v>
      </c>
      <c r="X168" s="26">
        <f>IFERROR(__xludf.DUMMYFUNCTION("""COMPUTED_VALUE"""),0.0)</f>
        <v>0</v>
      </c>
      <c r="Y168" s="26">
        <f>IFERROR(__xludf.DUMMYFUNCTION("""COMPUTED_VALUE"""),0.0)</f>
        <v>0</v>
      </c>
      <c r="Z168" s="26">
        <f>IFERROR(__xludf.DUMMYFUNCTION("""COMPUTED_VALUE"""),0.0)</f>
        <v>0</v>
      </c>
      <c r="AA168" s="26">
        <f>IFERROR(__xludf.DUMMYFUNCTION("""COMPUTED_VALUE"""),0.0)</f>
        <v>0</v>
      </c>
      <c r="AB168" s="26">
        <f>IFERROR(__xludf.DUMMYFUNCTION("""COMPUTED_VALUE"""),0.0)</f>
        <v>0</v>
      </c>
      <c r="AC168" s="26">
        <f>IFERROR(__xludf.DUMMYFUNCTION("""COMPUTED_VALUE"""),0.0)</f>
        <v>0</v>
      </c>
      <c r="AD168" s="26">
        <f>IFERROR(__xludf.DUMMYFUNCTION("""COMPUTED_VALUE"""),0.0)</f>
        <v>0</v>
      </c>
      <c r="AE168" s="26">
        <f>IFERROR(__xludf.DUMMYFUNCTION("""COMPUTED_VALUE"""),0.0)</f>
        <v>0</v>
      </c>
    </row>
    <row r="169">
      <c r="A169" s="26">
        <f>IFERROR(__xludf.DUMMYFUNCTION("""COMPUTED_VALUE"""),175.0)</f>
        <v>175</v>
      </c>
      <c r="B169" s="26">
        <f>IFERROR(__xludf.DUMMYFUNCTION("""COMPUTED_VALUE"""),0.0)</f>
        <v>0</v>
      </c>
      <c r="C169" s="26">
        <f>IFERROR(__xludf.DUMMYFUNCTION("""COMPUTED_VALUE"""),0.0)</f>
        <v>0</v>
      </c>
      <c r="D169" s="26">
        <f>IFERROR(__xludf.DUMMYFUNCTION("""COMPUTED_VALUE"""),0.0)</f>
        <v>0</v>
      </c>
      <c r="E169" s="26">
        <f>IFERROR(__xludf.DUMMYFUNCTION("""COMPUTED_VALUE"""),0.0)</f>
        <v>0</v>
      </c>
      <c r="F169" s="26">
        <f>IFERROR(__xludf.DUMMYFUNCTION("""COMPUTED_VALUE"""),0.0)</f>
        <v>0</v>
      </c>
      <c r="G169" s="26">
        <f>IFERROR(__xludf.DUMMYFUNCTION("""COMPUTED_VALUE"""),0.0)</f>
        <v>0</v>
      </c>
      <c r="H169" s="26">
        <f>IFERROR(__xludf.DUMMYFUNCTION("""COMPUTED_VALUE"""),0.0)</f>
        <v>0</v>
      </c>
      <c r="I169" s="26">
        <f>IFERROR(__xludf.DUMMYFUNCTION("""COMPUTED_VALUE"""),0.0)</f>
        <v>0</v>
      </c>
      <c r="J169" s="26">
        <f>IFERROR(__xludf.DUMMYFUNCTION("""COMPUTED_VALUE"""),0.0)</f>
        <v>0</v>
      </c>
      <c r="K169" s="26">
        <f>IFERROR(__xludf.DUMMYFUNCTION("""COMPUTED_VALUE"""),0.0)</f>
        <v>0</v>
      </c>
      <c r="L169" s="26">
        <f>IFERROR(__xludf.DUMMYFUNCTION("""COMPUTED_VALUE"""),0.0)</f>
        <v>0</v>
      </c>
      <c r="M169" s="26"/>
      <c r="N169" s="26"/>
      <c r="O169" s="26"/>
      <c r="P169" s="26"/>
      <c r="Q169" s="26"/>
      <c r="R169" s="26">
        <f>IFERROR(__xludf.DUMMYFUNCTION("""COMPUTED_VALUE"""),175.0)</f>
        <v>175</v>
      </c>
      <c r="S169" s="26">
        <f>IFERROR(__xludf.DUMMYFUNCTION("""COMPUTED_VALUE"""),77350.0)</f>
        <v>77350</v>
      </c>
      <c r="T169" s="26">
        <f>IFERROR(__xludf.DUMMYFUNCTION("""COMPUTED_VALUE"""),28000.0)</f>
        <v>28000</v>
      </c>
      <c r="U169" s="26">
        <f>IFERROR(__xludf.DUMMYFUNCTION("""COMPUTED_VALUE"""),39798.500000000015)</f>
        <v>39798.5</v>
      </c>
      <c r="V169" s="26">
        <f>IFERROR(__xludf.DUMMYFUNCTION("""COMPUTED_VALUE"""),0.0)</f>
        <v>0</v>
      </c>
      <c r="W169" s="26">
        <f>IFERROR(__xludf.DUMMYFUNCTION("""COMPUTED_VALUE"""),0.0)</f>
        <v>0</v>
      </c>
      <c r="X169" s="26">
        <f>IFERROR(__xludf.DUMMYFUNCTION("""COMPUTED_VALUE"""),11798.500000000011)</f>
        <v>11798.5</v>
      </c>
      <c r="Y169" s="26">
        <f>IFERROR(__xludf.DUMMYFUNCTION("""COMPUTED_VALUE"""),11798.500000000011)</f>
        <v>11798.5</v>
      </c>
      <c r="Z169" s="26">
        <f>IFERROR(__xludf.DUMMYFUNCTION("""COMPUTED_VALUE"""),77350.0)</f>
        <v>77350</v>
      </c>
      <c r="AA169" s="26">
        <f>IFERROR(__xludf.DUMMYFUNCTION("""COMPUTED_VALUE"""),41676.25000000014)</f>
        <v>41676.25</v>
      </c>
      <c r="AB169" s="26">
        <f>IFERROR(__xludf.DUMMYFUNCTION("""COMPUTED_VALUE"""),37551.50000000017)</f>
        <v>37551.5</v>
      </c>
      <c r="AC169" s="26">
        <f>IFERROR(__xludf.DUMMYFUNCTION("""COMPUTED_VALUE"""),0.0)</f>
        <v>0</v>
      </c>
      <c r="AD169" s="26">
        <f>IFERROR(__xludf.DUMMYFUNCTION("""COMPUTED_VALUE"""),1877.7500000000025)</f>
        <v>1877.75</v>
      </c>
      <c r="AE169" s="26">
        <f>IFERROR(__xludf.DUMMYFUNCTION("""COMPUTED_VALUE"""),35673.74999999988)</f>
        <v>35673.75</v>
      </c>
    </row>
    <row r="170">
      <c r="A170" s="26">
        <f>IFERROR(__xludf.DUMMYFUNCTION("""COMPUTED_VALUE"""),0.0)</f>
        <v>0</v>
      </c>
      <c r="B170" s="26">
        <f>IFERROR(__xludf.DUMMYFUNCTION("""COMPUTED_VALUE"""),0.0)</f>
        <v>0</v>
      </c>
      <c r="C170" s="26">
        <f>IFERROR(__xludf.DUMMYFUNCTION("""COMPUTED_VALUE"""),0.0)</f>
        <v>0</v>
      </c>
      <c r="D170" s="26">
        <f>IFERROR(__xludf.DUMMYFUNCTION("""COMPUTED_VALUE"""),0.0)</f>
        <v>0</v>
      </c>
      <c r="E170" s="26">
        <f>IFERROR(__xludf.DUMMYFUNCTION("""COMPUTED_VALUE"""),0.0)</f>
        <v>0</v>
      </c>
      <c r="F170" s="26">
        <f>IFERROR(__xludf.DUMMYFUNCTION("""COMPUTED_VALUE"""),0.0)</f>
        <v>0</v>
      </c>
      <c r="G170" s="26">
        <f>IFERROR(__xludf.DUMMYFUNCTION("""COMPUTED_VALUE"""),0.0)</f>
        <v>0</v>
      </c>
      <c r="H170" s="26">
        <f>IFERROR(__xludf.DUMMYFUNCTION("""COMPUTED_VALUE"""),0.0)</f>
        <v>0</v>
      </c>
      <c r="I170" s="26">
        <f>IFERROR(__xludf.DUMMYFUNCTION("""COMPUTED_VALUE"""),0.0)</f>
        <v>0</v>
      </c>
      <c r="J170" s="26">
        <f>IFERROR(__xludf.DUMMYFUNCTION("""COMPUTED_VALUE"""),0.0)</f>
        <v>0</v>
      </c>
      <c r="K170" s="26">
        <f>IFERROR(__xludf.DUMMYFUNCTION("""COMPUTED_VALUE"""),0.0)</f>
        <v>0</v>
      </c>
      <c r="L170" s="26">
        <f>IFERROR(__xludf.DUMMYFUNCTION("""COMPUTED_VALUE"""),0.0)</f>
        <v>0</v>
      </c>
      <c r="M170" s="26"/>
      <c r="N170" s="26"/>
      <c r="O170" s="26"/>
      <c r="P170" s="26"/>
      <c r="Q170" s="26"/>
      <c r="R170" s="26">
        <f>IFERROR(__xludf.DUMMYFUNCTION("""COMPUTED_VALUE"""),0.0)</f>
        <v>0</v>
      </c>
      <c r="S170" s="26">
        <f>IFERROR(__xludf.DUMMYFUNCTION("""COMPUTED_VALUE"""),0.0)</f>
        <v>0</v>
      </c>
      <c r="T170" s="26">
        <f>IFERROR(__xludf.DUMMYFUNCTION("""COMPUTED_VALUE"""),0.0)</f>
        <v>0</v>
      </c>
      <c r="U170" s="26">
        <f>IFERROR(__xludf.DUMMYFUNCTION("""COMPUTED_VALUE"""),0.0)</f>
        <v>0</v>
      </c>
      <c r="V170" s="26">
        <f>IFERROR(__xludf.DUMMYFUNCTION("""COMPUTED_VALUE"""),0.0)</f>
        <v>0</v>
      </c>
      <c r="W170" s="26">
        <f>IFERROR(__xludf.DUMMYFUNCTION("""COMPUTED_VALUE"""),0.0)</f>
        <v>0</v>
      </c>
      <c r="X170" s="26">
        <f>IFERROR(__xludf.DUMMYFUNCTION("""COMPUTED_VALUE"""),0.0)</f>
        <v>0</v>
      </c>
      <c r="Y170" s="26">
        <f>IFERROR(__xludf.DUMMYFUNCTION("""COMPUTED_VALUE"""),0.0)</f>
        <v>0</v>
      </c>
      <c r="Z170" s="26">
        <f>IFERROR(__xludf.DUMMYFUNCTION("""COMPUTED_VALUE"""),0.0)</f>
        <v>0</v>
      </c>
      <c r="AA170" s="26">
        <f>IFERROR(__xludf.DUMMYFUNCTION("""COMPUTED_VALUE"""),0.0)</f>
        <v>0</v>
      </c>
      <c r="AB170" s="26">
        <f>IFERROR(__xludf.DUMMYFUNCTION("""COMPUTED_VALUE"""),0.0)</f>
        <v>0</v>
      </c>
      <c r="AC170" s="26">
        <f>IFERROR(__xludf.DUMMYFUNCTION("""COMPUTED_VALUE"""),0.0)</f>
        <v>0</v>
      </c>
      <c r="AD170" s="26">
        <f>IFERROR(__xludf.DUMMYFUNCTION("""COMPUTED_VALUE"""),0.0)</f>
        <v>0</v>
      </c>
      <c r="AE170" s="26">
        <f>IFERROR(__xludf.DUMMYFUNCTION("""COMPUTED_VALUE"""),0.0)</f>
        <v>0</v>
      </c>
    </row>
    <row r="171">
      <c r="A171" s="26">
        <f>IFERROR(__xludf.DUMMYFUNCTION("""COMPUTED_VALUE"""),319.0)</f>
        <v>319</v>
      </c>
      <c r="B171" s="26">
        <f>IFERROR(__xludf.DUMMYFUNCTION("""COMPUTED_VALUE"""),0.0)</f>
        <v>0</v>
      </c>
      <c r="C171" s="26">
        <f>IFERROR(__xludf.DUMMYFUNCTION("""COMPUTED_VALUE"""),0.0)</f>
        <v>0</v>
      </c>
      <c r="D171" s="26">
        <f>IFERROR(__xludf.DUMMYFUNCTION("""COMPUTED_VALUE"""),0.0)</f>
        <v>0</v>
      </c>
      <c r="E171" s="26">
        <f>IFERROR(__xludf.DUMMYFUNCTION("""COMPUTED_VALUE"""),0.0)</f>
        <v>0</v>
      </c>
      <c r="F171" s="26">
        <f>IFERROR(__xludf.DUMMYFUNCTION("""COMPUTED_VALUE"""),0.0)</f>
        <v>0</v>
      </c>
      <c r="G171" s="26">
        <f>IFERROR(__xludf.DUMMYFUNCTION("""COMPUTED_VALUE"""),0.0)</f>
        <v>0</v>
      </c>
      <c r="H171" s="26">
        <f>IFERROR(__xludf.DUMMYFUNCTION("""COMPUTED_VALUE"""),0.0)</f>
        <v>0</v>
      </c>
      <c r="I171" s="26">
        <f>IFERROR(__xludf.DUMMYFUNCTION("""COMPUTED_VALUE"""),0.0)</f>
        <v>0</v>
      </c>
      <c r="J171" s="26">
        <f>IFERROR(__xludf.DUMMYFUNCTION("""COMPUTED_VALUE"""),0.0)</f>
        <v>0</v>
      </c>
      <c r="K171" s="26">
        <f>IFERROR(__xludf.DUMMYFUNCTION("""COMPUTED_VALUE"""),0.0)</f>
        <v>0</v>
      </c>
      <c r="L171" s="26">
        <f>IFERROR(__xludf.DUMMYFUNCTION("""COMPUTED_VALUE"""),0.0)</f>
        <v>0</v>
      </c>
      <c r="M171" s="26"/>
      <c r="N171" s="26"/>
      <c r="O171" s="26"/>
      <c r="P171" s="26"/>
      <c r="Q171" s="26"/>
      <c r="R171" s="26">
        <f>IFERROR(__xludf.DUMMYFUNCTION("""COMPUTED_VALUE"""),319.0)</f>
        <v>319</v>
      </c>
      <c r="S171" s="26">
        <f>IFERROR(__xludf.DUMMYFUNCTION("""COMPUTED_VALUE"""),140946.0)</f>
        <v>140946</v>
      </c>
      <c r="T171" s="26">
        <f>IFERROR(__xludf.DUMMYFUNCTION("""COMPUTED_VALUE"""),51040.0)</f>
        <v>51040</v>
      </c>
      <c r="U171" s="26">
        <f>IFERROR(__xludf.DUMMYFUNCTION("""COMPUTED_VALUE"""),72539.04999999989)</f>
        <v>72539.05</v>
      </c>
      <c r="V171" s="26">
        <f>IFERROR(__xludf.DUMMYFUNCTION("""COMPUTED_VALUE"""),0.0)</f>
        <v>0</v>
      </c>
      <c r="W171" s="26">
        <f>IFERROR(__xludf.DUMMYFUNCTION("""COMPUTED_VALUE"""),0.0)</f>
        <v>0</v>
      </c>
      <c r="X171" s="26">
        <f>IFERROR(__xludf.DUMMYFUNCTION("""COMPUTED_VALUE"""),21499.049999999883)</f>
        <v>21499.05</v>
      </c>
      <c r="Y171" s="26">
        <f>IFERROR(__xludf.DUMMYFUNCTION("""COMPUTED_VALUE"""),21499.049999999883)</f>
        <v>21499.05</v>
      </c>
      <c r="Z171" s="26">
        <f>IFERROR(__xludf.DUMMYFUNCTION("""COMPUTED_VALUE"""),140946.0)</f>
        <v>140946</v>
      </c>
      <c r="AA171" s="26">
        <f>IFERROR(__xludf.DUMMYFUNCTION("""COMPUTED_VALUE"""),75959.72000000003)</f>
        <v>75959.72</v>
      </c>
      <c r="AB171" s="26">
        <f>IFERROR(__xludf.DUMMYFUNCTION("""COMPUTED_VALUE"""),68406.95000000042)</f>
        <v>68406.95</v>
      </c>
      <c r="AC171" s="26">
        <f>IFERROR(__xludf.DUMMYFUNCTION("""COMPUTED_VALUE"""),0.0)</f>
        <v>0</v>
      </c>
      <c r="AD171" s="26">
        <f>IFERROR(__xludf.DUMMYFUNCTION("""COMPUTED_VALUE"""),3420.670000000005)</f>
        <v>3420.67</v>
      </c>
      <c r="AE171" s="26">
        <f>IFERROR(__xludf.DUMMYFUNCTION("""COMPUTED_VALUE"""),64986.27999999968)</f>
        <v>64986.28</v>
      </c>
    </row>
    <row r="172">
      <c r="A172" s="26">
        <f>IFERROR(__xludf.DUMMYFUNCTION("""COMPUTED_VALUE"""),0.0)</f>
        <v>0</v>
      </c>
      <c r="B172" s="26">
        <f>IFERROR(__xludf.DUMMYFUNCTION("""COMPUTED_VALUE"""),0.0)</f>
        <v>0</v>
      </c>
      <c r="C172" s="26">
        <f>IFERROR(__xludf.DUMMYFUNCTION("""COMPUTED_VALUE"""),0.0)</f>
        <v>0</v>
      </c>
      <c r="D172" s="26">
        <f>IFERROR(__xludf.DUMMYFUNCTION("""COMPUTED_VALUE"""),0.0)</f>
        <v>0</v>
      </c>
      <c r="E172" s="26">
        <f>IFERROR(__xludf.DUMMYFUNCTION("""COMPUTED_VALUE"""),0.0)</f>
        <v>0</v>
      </c>
      <c r="F172" s="26">
        <f>IFERROR(__xludf.DUMMYFUNCTION("""COMPUTED_VALUE"""),0.0)</f>
        <v>0</v>
      </c>
      <c r="G172" s="26">
        <f>IFERROR(__xludf.DUMMYFUNCTION("""COMPUTED_VALUE"""),0.0)</f>
        <v>0</v>
      </c>
      <c r="H172" s="26">
        <f>IFERROR(__xludf.DUMMYFUNCTION("""COMPUTED_VALUE"""),0.0)</f>
        <v>0</v>
      </c>
      <c r="I172" s="26">
        <f>IFERROR(__xludf.DUMMYFUNCTION("""COMPUTED_VALUE"""),0.0)</f>
        <v>0</v>
      </c>
      <c r="J172" s="26">
        <f>IFERROR(__xludf.DUMMYFUNCTION("""COMPUTED_VALUE"""),0.0)</f>
        <v>0</v>
      </c>
      <c r="K172" s="26">
        <f>IFERROR(__xludf.DUMMYFUNCTION("""COMPUTED_VALUE"""),0.0)</f>
        <v>0</v>
      </c>
      <c r="L172" s="26">
        <f>IFERROR(__xludf.DUMMYFUNCTION("""COMPUTED_VALUE"""),0.0)</f>
        <v>0</v>
      </c>
      <c r="M172" s="26"/>
      <c r="N172" s="26"/>
      <c r="O172" s="26"/>
      <c r="P172" s="26"/>
      <c r="Q172" s="26"/>
      <c r="R172" s="26">
        <f>IFERROR(__xludf.DUMMYFUNCTION("""COMPUTED_VALUE"""),0.0)</f>
        <v>0</v>
      </c>
      <c r="S172" s="26">
        <f>IFERROR(__xludf.DUMMYFUNCTION("""COMPUTED_VALUE"""),0.0)</f>
        <v>0</v>
      </c>
      <c r="T172" s="26">
        <f>IFERROR(__xludf.DUMMYFUNCTION("""COMPUTED_VALUE"""),0.0)</f>
        <v>0</v>
      </c>
      <c r="U172" s="26">
        <f>IFERROR(__xludf.DUMMYFUNCTION("""COMPUTED_VALUE"""),0.0)</f>
        <v>0</v>
      </c>
      <c r="V172" s="26">
        <f>IFERROR(__xludf.DUMMYFUNCTION("""COMPUTED_VALUE"""),0.0)</f>
        <v>0</v>
      </c>
      <c r="W172" s="26">
        <f>IFERROR(__xludf.DUMMYFUNCTION("""COMPUTED_VALUE"""),0.0)</f>
        <v>0</v>
      </c>
      <c r="X172" s="26">
        <f>IFERROR(__xludf.DUMMYFUNCTION("""COMPUTED_VALUE"""),0.0)</f>
        <v>0</v>
      </c>
      <c r="Y172" s="26">
        <f>IFERROR(__xludf.DUMMYFUNCTION("""COMPUTED_VALUE"""),0.0)</f>
        <v>0</v>
      </c>
      <c r="Z172" s="26">
        <f>IFERROR(__xludf.DUMMYFUNCTION("""COMPUTED_VALUE"""),0.0)</f>
        <v>0</v>
      </c>
      <c r="AA172" s="26">
        <f>IFERROR(__xludf.DUMMYFUNCTION("""COMPUTED_VALUE"""),0.0)</f>
        <v>0</v>
      </c>
      <c r="AB172" s="26">
        <f>IFERROR(__xludf.DUMMYFUNCTION("""COMPUTED_VALUE"""),0.0)</f>
        <v>0</v>
      </c>
      <c r="AC172" s="26">
        <f>IFERROR(__xludf.DUMMYFUNCTION("""COMPUTED_VALUE"""),0.0)</f>
        <v>0</v>
      </c>
      <c r="AD172" s="26">
        <f>IFERROR(__xludf.DUMMYFUNCTION("""COMPUTED_VALUE"""),0.0)</f>
        <v>0</v>
      </c>
      <c r="AE172" s="26">
        <f>IFERROR(__xludf.DUMMYFUNCTION("""COMPUTED_VALUE"""),0.0)</f>
        <v>0</v>
      </c>
    </row>
    <row r="173">
      <c r="A173" s="26">
        <f>IFERROR(__xludf.DUMMYFUNCTION("""COMPUTED_VALUE"""),323.0)</f>
        <v>323</v>
      </c>
      <c r="B173" s="26">
        <f>IFERROR(__xludf.DUMMYFUNCTION("""COMPUTED_VALUE"""),0.0)</f>
        <v>0</v>
      </c>
      <c r="C173" s="26">
        <f>IFERROR(__xludf.DUMMYFUNCTION("""COMPUTED_VALUE"""),0.0)</f>
        <v>0</v>
      </c>
      <c r="D173" s="26">
        <f>IFERROR(__xludf.DUMMYFUNCTION("""COMPUTED_VALUE"""),0.0)</f>
        <v>0</v>
      </c>
      <c r="E173" s="26">
        <f>IFERROR(__xludf.DUMMYFUNCTION("""COMPUTED_VALUE"""),0.0)</f>
        <v>0</v>
      </c>
      <c r="F173" s="26">
        <f>IFERROR(__xludf.DUMMYFUNCTION("""COMPUTED_VALUE"""),0.0)</f>
        <v>0</v>
      </c>
      <c r="G173" s="26">
        <f>IFERROR(__xludf.DUMMYFUNCTION("""COMPUTED_VALUE"""),0.0)</f>
        <v>0</v>
      </c>
      <c r="H173" s="26">
        <f>IFERROR(__xludf.DUMMYFUNCTION("""COMPUTED_VALUE"""),0.0)</f>
        <v>0</v>
      </c>
      <c r="I173" s="26">
        <f>IFERROR(__xludf.DUMMYFUNCTION("""COMPUTED_VALUE"""),0.0)</f>
        <v>0</v>
      </c>
      <c r="J173" s="26">
        <f>IFERROR(__xludf.DUMMYFUNCTION("""COMPUTED_VALUE"""),0.0)</f>
        <v>0</v>
      </c>
      <c r="K173" s="26">
        <f>IFERROR(__xludf.DUMMYFUNCTION("""COMPUTED_VALUE"""),0.0)</f>
        <v>0</v>
      </c>
      <c r="L173" s="26">
        <f>IFERROR(__xludf.DUMMYFUNCTION("""COMPUTED_VALUE"""),0.0)</f>
        <v>0</v>
      </c>
      <c r="M173" s="26"/>
      <c r="N173" s="26"/>
      <c r="O173" s="26"/>
      <c r="P173" s="26"/>
      <c r="Q173" s="26"/>
      <c r="R173" s="26">
        <f>IFERROR(__xludf.DUMMYFUNCTION("""COMPUTED_VALUE"""),323.0)</f>
        <v>323</v>
      </c>
      <c r="S173" s="26">
        <f>IFERROR(__xludf.DUMMYFUNCTION("""COMPUTED_VALUE"""),142766.0)</f>
        <v>142766</v>
      </c>
      <c r="T173" s="26">
        <f>IFERROR(__xludf.DUMMYFUNCTION("""COMPUTED_VALUE"""),62016.0)</f>
        <v>62016</v>
      </c>
      <c r="U173" s="26">
        <f>IFERROR(__xludf.DUMMYFUNCTION("""COMPUTED_VALUE"""),83792.65999999987)</f>
        <v>83792.66</v>
      </c>
      <c r="V173" s="26">
        <f>IFERROR(__xludf.DUMMYFUNCTION("""COMPUTED_VALUE"""),0.0)</f>
        <v>0</v>
      </c>
      <c r="W173" s="26">
        <f>IFERROR(__xludf.DUMMYFUNCTION("""COMPUTED_VALUE"""),0.0)</f>
        <v>0</v>
      </c>
      <c r="X173" s="26">
        <f>IFERROR(__xludf.DUMMYFUNCTION("""COMPUTED_VALUE"""),21776.659999999876)</f>
        <v>21776.66</v>
      </c>
      <c r="Y173" s="26">
        <f>IFERROR(__xludf.DUMMYFUNCTION("""COMPUTED_VALUE"""),21776.659999999876)</f>
        <v>21776.66</v>
      </c>
      <c r="Z173" s="26">
        <f>IFERROR(__xludf.DUMMYFUNCTION("""COMPUTED_VALUE"""),363766.0)</f>
        <v>363766</v>
      </c>
      <c r="AA173" s="26">
        <f>IFERROR(__xludf.DUMMYFUNCTION("""COMPUTED_VALUE"""),221016.6499999971)</f>
        <v>221016.65</v>
      </c>
      <c r="AB173" s="26">
        <f>IFERROR(__xludf.DUMMYFUNCTION("""COMPUTED_VALUE"""),150263.33999999973)</f>
        <v>150263.34</v>
      </c>
      <c r="AC173" s="26">
        <f>IFERROR(__xludf.DUMMYFUNCTION("""COMPUTED_VALUE"""),0.0)</f>
        <v>0</v>
      </c>
      <c r="AD173" s="26">
        <f>IFERROR(__xludf.DUMMYFUNCTION("""COMPUTED_VALUE"""),7513.990000000077)</f>
        <v>7513.99</v>
      </c>
      <c r="AE173" s="26">
        <f>IFERROR(__xludf.DUMMYFUNCTION("""COMPUTED_VALUE"""),142749.34999999925)</f>
        <v>142749.35</v>
      </c>
    </row>
    <row r="174">
      <c r="A174" s="26">
        <f>IFERROR(__xludf.DUMMYFUNCTION("""COMPUTED_VALUE"""),35.0)</f>
        <v>35</v>
      </c>
      <c r="B174" s="26">
        <f>IFERROR(__xludf.DUMMYFUNCTION("""COMPUTED_VALUE"""),0.0)</f>
        <v>0</v>
      </c>
      <c r="C174" s="26">
        <f>IFERROR(__xludf.DUMMYFUNCTION("""COMPUTED_VALUE"""),0.0)</f>
        <v>0</v>
      </c>
      <c r="D174" s="26">
        <f>IFERROR(__xludf.DUMMYFUNCTION("""COMPUTED_VALUE"""),0.0)</f>
        <v>0</v>
      </c>
      <c r="E174" s="26">
        <f>IFERROR(__xludf.DUMMYFUNCTION("""COMPUTED_VALUE"""),0.0)</f>
        <v>0</v>
      </c>
      <c r="F174" s="26">
        <f>IFERROR(__xludf.DUMMYFUNCTION("""COMPUTED_VALUE"""),0.0)</f>
        <v>0</v>
      </c>
      <c r="G174" s="26">
        <f>IFERROR(__xludf.DUMMYFUNCTION("""COMPUTED_VALUE"""),0.0)</f>
        <v>0</v>
      </c>
      <c r="H174" s="26">
        <f>IFERROR(__xludf.DUMMYFUNCTION("""COMPUTED_VALUE"""),0.0)</f>
        <v>0</v>
      </c>
      <c r="I174" s="26">
        <f>IFERROR(__xludf.DUMMYFUNCTION("""COMPUTED_VALUE"""),0.0)</f>
        <v>0</v>
      </c>
      <c r="J174" s="26">
        <f>IFERROR(__xludf.DUMMYFUNCTION("""COMPUTED_VALUE"""),0.0)</f>
        <v>0</v>
      </c>
      <c r="K174" s="26">
        <f>IFERROR(__xludf.DUMMYFUNCTION("""COMPUTED_VALUE"""),0.0)</f>
        <v>0</v>
      </c>
      <c r="L174" s="26">
        <f>IFERROR(__xludf.DUMMYFUNCTION("""COMPUTED_VALUE"""),0.0)</f>
        <v>0</v>
      </c>
      <c r="M174" s="26"/>
      <c r="N174" s="26"/>
      <c r="O174" s="26"/>
      <c r="P174" s="26"/>
      <c r="Q174" s="26"/>
      <c r="R174" s="26">
        <f>IFERROR(__xludf.DUMMYFUNCTION("""COMPUTED_VALUE"""),35.0)</f>
        <v>35</v>
      </c>
      <c r="S174" s="26">
        <f>IFERROR(__xludf.DUMMYFUNCTION("""COMPUTED_VALUE"""),13650.0)</f>
        <v>13650</v>
      </c>
      <c r="T174" s="26">
        <f>IFERROR(__xludf.DUMMYFUNCTION("""COMPUTED_VALUE"""),6475.0)</f>
        <v>6475</v>
      </c>
      <c r="U174" s="26">
        <f>IFERROR(__xludf.DUMMYFUNCTION("""COMPUTED_VALUE"""),8557.15)</f>
        <v>8557.15</v>
      </c>
      <c r="V174" s="26">
        <f>IFERROR(__xludf.DUMMYFUNCTION("""COMPUTED_VALUE"""),0.0)</f>
        <v>0</v>
      </c>
      <c r="W174" s="26">
        <f>IFERROR(__xludf.DUMMYFUNCTION("""COMPUTED_VALUE"""),0.0)</f>
        <v>0</v>
      </c>
      <c r="X174" s="26">
        <f>IFERROR(__xludf.DUMMYFUNCTION("""COMPUTED_VALUE"""),2082.15)</f>
        <v>2082.15</v>
      </c>
      <c r="Y174" s="26">
        <f>IFERROR(__xludf.DUMMYFUNCTION("""COMPUTED_VALUE"""),2082.15)</f>
        <v>2082.15</v>
      </c>
      <c r="Z174" s="26">
        <f>IFERROR(__xludf.DUMMYFUNCTION("""COMPUTED_VALUE"""),13650.0)</f>
        <v>13650</v>
      </c>
      <c r="AA174" s="26">
        <f>IFERROR(__xludf.DUMMYFUNCTION("""COMPUTED_VALUE"""),8811.950000000008)</f>
        <v>8811.95</v>
      </c>
      <c r="AB174" s="26">
        <f>IFERROR(__xludf.DUMMYFUNCTION("""COMPUTED_VALUE"""),5092.850000000004)</f>
        <v>5092.85</v>
      </c>
      <c r="AC174" s="26">
        <f>IFERROR(__xludf.DUMMYFUNCTION("""COMPUTED_VALUE"""),0.0)</f>
        <v>0</v>
      </c>
      <c r="AD174" s="26">
        <f>IFERROR(__xludf.DUMMYFUNCTION("""COMPUTED_VALUE"""),254.8)</f>
        <v>254.8</v>
      </c>
      <c r="AE174" s="26">
        <f>IFERROR(__xludf.DUMMYFUNCTION("""COMPUTED_VALUE"""),4838.049999999997)</f>
        <v>4838.05</v>
      </c>
    </row>
    <row r="175">
      <c r="A175" s="26">
        <f>IFERROR(__xludf.DUMMYFUNCTION("""COMPUTED_VALUE"""),0.0)</f>
        <v>0</v>
      </c>
      <c r="B175" s="26">
        <f>IFERROR(__xludf.DUMMYFUNCTION("""COMPUTED_VALUE"""),0.0)</f>
        <v>0</v>
      </c>
      <c r="C175" s="26">
        <f>IFERROR(__xludf.DUMMYFUNCTION("""COMPUTED_VALUE"""),0.0)</f>
        <v>0</v>
      </c>
      <c r="D175" s="26">
        <f>IFERROR(__xludf.DUMMYFUNCTION("""COMPUTED_VALUE"""),0.0)</f>
        <v>0</v>
      </c>
      <c r="E175" s="26">
        <f>IFERROR(__xludf.DUMMYFUNCTION("""COMPUTED_VALUE"""),0.0)</f>
        <v>0</v>
      </c>
      <c r="F175" s="26">
        <f>IFERROR(__xludf.DUMMYFUNCTION("""COMPUTED_VALUE"""),0.0)</f>
        <v>0</v>
      </c>
      <c r="G175" s="26">
        <f>IFERROR(__xludf.DUMMYFUNCTION("""COMPUTED_VALUE"""),0.0)</f>
        <v>0</v>
      </c>
      <c r="H175" s="26">
        <f>IFERROR(__xludf.DUMMYFUNCTION("""COMPUTED_VALUE"""),0.0)</f>
        <v>0</v>
      </c>
      <c r="I175" s="26">
        <f>IFERROR(__xludf.DUMMYFUNCTION("""COMPUTED_VALUE"""),0.0)</f>
        <v>0</v>
      </c>
      <c r="J175" s="26">
        <f>IFERROR(__xludf.DUMMYFUNCTION("""COMPUTED_VALUE"""),0.0)</f>
        <v>0</v>
      </c>
      <c r="K175" s="26">
        <f>IFERROR(__xludf.DUMMYFUNCTION("""COMPUTED_VALUE"""),0.0)</f>
        <v>0</v>
      </c>
      <c r="L175" s="26">
        <f>IFERROR(__xludf.DUMMYFUNCTION("""COMPUTED_VALUE"""),0.0)</f>
        <v>0</v>
      </c>
      <c r="M175" s="26"/>
      <c r="N175" s="26"/>
      <c r="O175" s="26"/>
      <c r="P175" s="26"/>
      <c r="Q175" s="26"/>
      <c r="R175" s="26">
        <f>IFERROR(__xludf.DUMMYFUNCTION("""COMPUTED_VALUE"""),0.0)</f>
        <v>0</v>
      </c>
      <c r="S175" s="26">
        <f>IFERROR(__xludf.DUMMYFUNCTION("""COMPUTED_VALUE"""),0.0)</f>
        <v>0</v>
      </c>
      <c r="T175" s="26">
        <f>IFERROR(__xludf.DUMMYFUNCTION("""COMPUTED_VALUE"""),0.0)</f>
        <v>0</v>
      </c>
      <c r="U175" s="26">
        <f>IFERROR(__xludf.DUMMYFUNCTION("""COMPUTED_VALUE"""),0.0)</f>
        <v>0</v>
      </c>
      <c r="V175" s="26">
        <f>IFERROR(__xludf.DUMMYFUNCTION("""COMPUTED_VALUE"""),0.0)</f>
        <v>0</v>
      </c>
      <c r="W175" s="26">
        <f>IFERROR(__xludf.DUMMYFUNCTION("""COMPUTED_VALUE"""),0.0)</f>
        <v>0</v>
      </c>
      <c r="X175" s="26">
        <f>IFERROR(__xludf.DUMMYFUNCTION("""COMPUTED_VALUE"""),0.0)</f>
        <v>0</v>
      </c>
      <c r="Y175" s="26">
        <f>IFERROR(__xludf.DUMMYFUNCTION("""COMPUTED_VALUE"""),0.0)</f>
        <v>0</v>
      </c>
      <c r="Z175" s="26">
        <f>IFERROR(__xludf.DUMMYFUNCTION("""COMPUTED_VALUE"""),15113.550000000005)</f>
        <v>15113.55</v>
      </c>
      <c r="AA175" s="26">
        <f>IFERROR(__xludf.DUMMYFUNCTION("""COMPUTED_VALUE"""),15113.550000000005)</f>
        <v>15113.55</v>
      </c>
      <c r="AB175" s="26">
        <f>IFERROR(__xludf.DUMMYFUNCTION("""COMPUTED_VALUE"""),10122.670000000004)</f>
        <v>10122.67</v>
      </c>
      <c r="AC175" s="26">
        <f>IFERROR(__xludf.DUMMYFUNCTION("""COMPUTED_VALUE"""),9616.449999999995)</f>
        <v>9616.45</v>
      </c>
      <c r="AD175" s="26">
        <f>IFERROR(__xludf.DUMMYFUNCTION("""COMPUTED_VALUE"""),506.21999999999974)</f>
        <v>506.22</v>
      </c>
      <c r="AE175" s="26">
        <f>IFERROR(__xludf.DUMMYFUNCTION("""COMPUTED_VALUE"""),0.0)</f>
        <v>0</v>
      </c>
    </row>
    <row r="176">
      <c r="A176" s="26">
        <f>IFERROR(__xludf.DUMMYFUNCTION("""COMPUTED_VALUE"""),0.0)</f>
        <v>0</v>
      </c>
      <c r="B176" s="26">
        <f>IFERROR(__xludf.DUMMYFUNCTION("""COMPUTED_VALUE"""),0.0)</f>
        <v>0</v>
      </c>
      <c r="C176" s="26">
        <f>IFERROR(__xludf.DUMMYFUNCTION("""COMPUTED_VALUE"""),0.0)</f>
        <v>0</v>
      </c>
      <c r="D176" s="26">
        <f>IFERROR(__xludf.DUMMYFUNCTION("""COMPUTED_VALUE"""),0.0)</f>
        <v>0</v>
      </c>
      <c r="E176" s="26">
        <f>IFERROR(__xludf.DUMMYFUNCTION("""COMPUTED_VALUE"""),0.0)</f>
        <v>0</v>
      </c>
      <c r="F176" s="26">
        <f>IFERROR(__xludf.DUMMYFUNCTION("""COMPUTED_VALUE"""),0.0)</f>
        <v>0</v>
      </c>
      <c r="G176" s="26">
        <f>IFERROR(__xludf.DUMMYFUNCTION("""COMPUTED_VALUE"""),0.0)</f>
        <v>0</v>
      </c>
      <c r="H176" s="26">
        <f>IFERROR(__xludf.DUMMYFUNCTION("""COMPUTED_VALUE"""),0.0)</f>
        <v>0</v>
      </c>
      <c r="I176" s="26">
        <f>IFERROR(__xludf.DUMMYFUNCTION("""COMPUTED_VALUE"""),0.0)</f>
        <v>0</v>
      </c>
      <c r="J176" s="26">
        <f>IFERROR(__xludf.DUMMYFUNCTION("""COMPUTED_VALUE"""),0.0)</f>
        <v>0</v>
      </c>
      <c r="K176" s="26">
        <f>IFERROR(__xludf.DUMMYFUNCTION("""COMPUTED_VALUE"""),0.0)</f>
        <v>0</v>
      </c>
      <c r="L176" s="26">
        <f>IFERROR(__xludf.DUMMYFUNCTION("""COMPUTED_VALUE"""),0.0)</f>
        <v>0</v>
      </c>
      <c r="M176" s="26"/>
      <c r="N176" s="26"/>
      <c r="O176" s="26"/>
      <c r="P176" s="26"/>
      <c r="Q176" s="26"/>
      <c r="R176" s="26">
        <f>IFERROR(__xludf.DUMMYFUNCTION("""COMPUTED_VALUE"""),0.0)</f>
        <v>0</v>
      </c>
      <c r="S176" s="26">
        <f>IFERROR(__xludf.DUMMYFUNCTION("""COMPUTED_VALUE"""),0.0)</f>
        <v>0</v>
      </c>
      <c r="T176" s="26">
        <f>IFERROR(__xludf.DUMMYFUNCTION("""COMPUTED_VALUE"""),0.0)</f>
        <v>0</v>
      </c>
      <c r="U176" s="26">
        <f>IFERROR(__xludf.DUMMYFUNCTION("""COMPUTED_VALUE"""),0.0)</f>
        <v>0</v>
      </c>
      <c r="V176" s="26">
        <f>IFERROR(__xludf.DUMMYFUNCTION("""COMPUTED_VALUE"""),0.0)</f>
        <v>0</v>
      </c>
      <c r="W176" s="26">
        <f>IFERROR(__xludf.DUMMYFUNCTION("""COMPUTED_VALUE"""),0.0)</f>
        <v>0</v>
      </c>
      <c r="X176" s="26">
        <f>IFERROR(__xludf.DUMMYFUNCTION("""COMPUTED_VALUE"""),0.0)</f>
        <v>0</v>
      </c>
      <c r="Y176" s="26">
        <f>IFERROR(__xludf.DUMMYFUNCTION("""COMPUTED_VALUE"""),0.0)</f>
        <v>0</v>
      </c>
      <c r="Z176" s="26">
        <f>IFERROR(__xludf.DUMMYFUNCTION("""COMPUTED_VALUE"""),0.0)</f>
        <v>0</v>
      </c>
      <c r="AA176" s="26">
        <f>IFERROR(__xludf.DUMMYFUNCTION("""COMPUTED_VALUE"""),0.0)</f>
        <v>0</v>
      </c>
      <c r="AB176" s="26">
        <f>IFERROR(__xludf.DUMMYFUNCTION("""COMPUTED_VALUE"""),0.0)</f>
        <v>0</v>
      </c>
      <c r="AC176" s="26">
        <f>IFERROR(__xludf.DUMMYFUNCTION("""COMPUTED_VALUE"""),0.0)</f>
        <v>0</v>
      </c>
      <c r="AD176" s="26">
        <f>IFERROR(__xludf.DUMMYFUNCTION("""COMPUTED_VALUE"""),0.0)</f>
        <v>0</v>
      </c>
      <c r="AE176" s="26">
        <f>IFERROR(__xludf.DUMMYFUNCTION("""COMPUTED_VALUE"""),0.0)</f>
        <v>0</v>
      </c>
    </row>
    <row r="177">
      <c r="A177" s="26">
        <f>IFERROR(__xludf.DUMMYFUNCTION("""COMPUTED_VALUE"""),0.0)</f>
        <v>0</v>
      </c>
      <c r="B177" s="26">
        <f>IFERROR(__xludf.DUMMYFUNCTION("""COMPUTED_VALUE"""),0.0)</f>
        <v>0</v>
      </c>
      <c r="C177" s="26">
        <f>IFERROR(__xludf.DUMMYFUNCTION("""COMPUTED_VALUE"""),0.0)</f>
        <v>0</v>
      </c>
      <c r="D177" s="26">
        <f>IFERROR(__xludf.DUMMYFUNCTION("""COMPUTED_VALUE"""),0.0)</f>
        <v>0</v>
      </c>
      <c r="E177" s="26">
        <f>IFERROR(__xludf.DUMMYFUNCTION("""COMPUTED_VALUE"""),0.0)</f>
        <v>0</v>
      </c>
      <c r="F177" s="26">
        <f>IFERROR(__xludf.DUMMYFUNCTION("""COMPUTED_VALUE"""),0.0)</f>
        <v>0</v>
      </c>
      <c r="G177" s="26">
        <f>IFERROR(__xludf.DUMMYFUNCTION("""COMPUTED_VALUE"""),0.0)</f>
        <v>0</v>
      </c>
      <c r="H177" s="26">
        <f>IFERROR(__xludf.DUMMYFUNCTION("""COMPUTED_VALUE"""),0.0)</f>
        <v>0</v>
      </c>
      <c r="I177" s="26">
        <f>IFERROR(__xludf.DUMMYFUNCTION("""COMPUTED_VALUE"""),0.0)</f>
        <v>0</v>
      </c>
      <c r="J177" s="26">
        <f>IFERROR(__xludf.DUMMYFUNCTION("""COMPUTED_VALUE"""),0.0)</f>
        <v>0</v>
      </c>
      <c r="K177" s="26">
        <f>IFERROR(__xludf.DUMMYFUNCTION("""COMPUTED_VALUE"""),0.0)</f>
        <v>0</v>
      </c>
      <c r="L177" s="26">
        <f>IFERROR(__xludf.DUMMYFUNCTION("""COMPUTED_VALUE"""),0.0)</f>
        <v>0</v>
      </c>
      <c r="M177" s="26"/>
      <c r="N177" s="26"/>
      <c r="O177" s="26"/>
      <c r="P177" s="26"/>
      <c r="Q177" s="26"/>
      <c r="R177" s="26">
        <f>IFERROR(__xludf.DUMMYFUNCTION("""COMPUTED_VALUE"""),0.0)</f>
        <v>0</v>
      </c>
      <c r="S177" s="26">
        <f>IFERROR(__xludf.DUMMYFUNCTION("""COMPUTED_VALUE"""),0.0)</f>
        <v>0</v>
      </c>
      <c r="T177" s="26">
        <f>IFERROR(__xludf.DUMMYFUNCTION("""COMPUTED_VALUE"""),0.0)</f>
        <v>0</v>
      </c>
      <c r="U177" s="26">
        <f>IFERROR(__xludf.DUMMYFUNCTION("""COMPUTED_VALUE"""),0.0)</f>
        <v>0</v>
      </c>
      <c r="V177" s="26">
        <f>IFERROR(__xludf.DUMMYFUNCTION("""COMPUTED_VALUE"""),0.0)</f>
        <v>0</v>
      </c>
      <c r="W177" s="26">
        <f>IFERROR(__xludf.DUMMYFUNCTION("""COMPUTED_VALUE"""),0.0)</f>
        <v>0</v>
      </c>
      <c r="X177" s="26">
        <f>IFERROR(__xludf.DUMMYFUNCTION("""COMPUTED_VALUE"""),0.0)</f>
        <v>0</v>
      </c>
      <c r="Y177" s="26">
        <f>IFERROR(__xludf.DUMMYFUNCTION("""COMPUTED_VALUE"""),0.0)</f>
        <v>0</v>
      </c>
      <c r="Z177" s="26">
        <f>IFERROR(__xludf.DUMMYFUNCTION("""COMPUTED_VALUE"""),0.0)</f>
        <v>0</v>
      </c>
      <c r="AA177" s="26">
        <f>IFERROR(__xludf.DUMMYFUNCTION("""COMPUTED_VALUE"""),0.0)</f>
        <v>0</v>
      </c>
      <c r="AB177" s="26">
        <f>IFERROR(__xludf.DUMMYFUNCTION("""COMPUTED_VALUE"""),0.0)</f>
        <v>0</v>
      </c>
      <c r="AC177" s="26">
        <f>IFERROR(__xludf.DUMMYFUNCTION("""COMPUTED_VALUE"""),0.0)</f>
        <v>0</v>
      </c>
      <c r="AD177" s="26">
        <f>IFERROR(__xludf.DUMMYFUNCTION("""COMPUTED_VALUE"""),0.0)</f>
        <v>0</v>
      </c>
      <c r="AE177" s="26">
        <f>IFERROR(__xludf.DUMMYFUNCTION("""COMPUTED_VALUE"""),0.0)</f>
        <v>0</v>
      </c>
    </row>
    <row r="178">
      <c r="A178" s="26">
        <f>IFERROR(__xludf.DUMMYFUNCTION("""COMPUTED_VALUE"""),0.0)</f>
        <v>0</v>
      </c>
      <c r="B178" s="26">
        <f>IFERROR(__xludf.DUMMYFUNCTION("""COMPUTED_VALUE"""),0.0)</f>
        <v>0</v>
      </c>
      <c r="C178" s="26">
        <f>IFERROR(__xludf.DUMMYFUNCTION("""COMPUTED_VALUE"""),0.0)</f>
        <v>0</v>
      </c>
      <c r="D178" s="26">
        <f>IFERROR(__xludf.DUMMYFUNCTION("""COMPUTED_VALUE"""),0.0)</f>
        <v>0</v>
      </c>
      <c r="E178" s="26">
        <f>IFERROR(__xludf.DUMMYFUNCTION("""COMPUTED_VALUE"""),0.0)</f>
        <v>0</v>
      </c>
      <c r="F178" s="26">
        <f>IFERROR(__xludf.DUMMYFUNCTION("""COMPUTED_VALUE"""),0.0)</f>
        <v>0</v>
      </c>
      <c r="G178" s="26">
        <f>IFERROR(__xludf.DUMMYFUNCTION("""COMPUTED_VALUE"""),0.0)</f>
        <v>0</v>
      </c>
      <c r="H178" s="26">
        <f>IFERROR(__xludf.DUMMYFUNCTION("""COMPUTED_VALUE"""),0.0)</f>
        <v>0</v>
      </c>
      <c r="I178" s="26">
        <f>IFERROR(__xludf.DUMMYFUNCTION("""COMPUTED_VALUE"""),0.0)</f>
        <v>0</v>
      </c>
      <c r="J178" s="26">
        <f>IFERROR(__xludf.DUMMYFUNCTION("""COMPUTED_VALUE"""),0.0)</f>
        <v>0</v>
      </c>
      <c r="K178" s="26">
        <f>IFERROR(__xludf.DUMMYFUNCTION("""COMPUTED_VALUE"""),0.0)</f>
        <v>0</v>
      </c>
      <c r="L178" s="26">
        <f>IFERROR(__xludf.DUMMYFUNCTION("""COMPUTED_VALUE"""),0.0)</f>
        <v>0</v>
      </c>
      <c r="M178" s="26"/>
      <c r="N178" s="26"/>
      <c r="O178" s="26"/>
      <c r="P178" s="26"/>
      <c r="Q178" s="26"/>
      <c r="R178" s="26">
        <f>IFERROR(__xludf.DUMMYFUNCTION("""COMPUTED_VALUE"""),0.0)</f>
        <v>0</v>
      </c>
      <c r="S178" s="26">
        <f>IFERROR(__xludf.DUMMYFUNCTION("""COMPUTED_VALUE"""),0.0)</f>
        <v>0</v>
      </c>
      <c r="T178" s="26">
        <f>IFERROR(__xludf.DUMMYFUNCTION("""COMPUTED_VALUE"""),0.0)</f>
        <v>0</v>
      </c>
      <c r="U178" s="26">
        <f>IFERROR(__xludf.DUMMYFUNCTION("""COMPUTED_VALUE"""),0.0)</f>
        <v>0</v>
      </c>
      <c r="V178" s="26">
        <f>IFERROR(__xludf.DUMMYFUNCTION("""COMPUTED_VALUE"""),0.0)</f>
        <v>0</v>
      </c>
      <c r="W178" s="26">
        <f>IFERROR(__xludf.DUMMYFUNCTION("""COMPUTED_VALUE"""),0.0)</f>
        <v>0</v>
      </c>
      <c r="X178" s="26">
        <f>IFERROR(__xludf.DUMMYFUNCTION("""COMPUTED_VALUE"""),0.0)</f>
        <v>0</v>
      </c>
      <c r="Y178" s="26">
        <f>IFERROR(__xludf.DUMMYFUNCTION("""COMPUTED_VALUE"""),0.0)</f>
        <v>0</v>
      </c>
      <c r="Z178" s="26">
        <f>IFERROR(__xludf.DUMMYFUNCTION("""COMPUTED_VALUE"""),0.0)</f>
        <v>0</v>
      </c>
      <c r="AA178" s="26">
        <f>IFERROR(__xludf.DUMMYFUNCTION("""COMPUTED_VALUE"""),0.0)</f>
        <v>0</v>
      </c>
      <c r="AB178" s="26">
        <f>IFERROR(__xludf.DUMMYFUNCTION("""COMPUTED_VALUE"""),0.0)</f>
        <v>0</v>
      </c>
      <c r="AC178" s="26">
        <f>IFERROR(__xludf.DUMMYFUNCTION("""COMPUTED_VALUE"""),0.0)</f>
        <v>0</v>
      </c>
      <c r="AD178" s="26">
        <f>IFERROR(__xludf.DUMMYFUNCTION("""COMPUTED_VALUE"""),0.0)</f>
        <v>0</v>
      </c>
      <c r="AE178" s="26">
        <f>IFERROR(__xludf.DUMMYFUNCTION("""COMPUTED_VALUE"""),0.0)</f>
        <v>0</v>
      </c>
    </row>
    <row r="179">
      <c r="A179" s="26">
        <f>IFERROR(__xludf.DUMMYFUNCTION("""COMPUTED_VALUE"""),0.0)</f>
        <v>0</v>
      </c>
      <c r="B179" s="26">
        <f>IFERROR(__xludf.DUMMYFUNCTION("""COMPUTED_VALUE"""),0.0)</f>
        <v>0</v>
      </c>
      <c r="C179" s="26">
        <f>IFERROR(__xludf.DUMMYFUNCTION("""COMPUTED_VALUE"""),0.0)</f>
        <v>0</v>
      </c>
      <c r="D179" s="26">
        <f>IFERROR(__xludf.DUMMYFUNCTION("""COMPUTED_VALUE"""),0.0)</f>
        <v>0</v>
      </c>
      <c r="E179" s="26">
        <f>IFERROR(__xludf.DUMMYFUNCTION("""COMPUTED_VALUE"""),0.0)</f>
        <v>0</v>
      </c>
      <c r="F179" s="26">
        <f>IFERROR(__xludf.DUMMYFUNCTION("""COMPUTED_VALUE"""),0.0)</f>
        <v>0</v>
      </c>
      <c r="G179" s="26">
        <f>IFERROR(__xludf.DUMMYFUNCTION("""COMPUTED_VALUE"""),0.0)</f>
        <v>0</v>
      </c>
      <c r="H179" s="26">
        <f>IFERROR(__xludf.DUMMYFUNCTION("""COMPUTED_VALUE"""),0.0)</f>
        <v>0</v>
      </c>
      <c r="I179" s="26">
        <f>IFERROR(__xludf.DUMMYFUNCTION("""COMPUTED_VALUE"""),0.0)</f>
        <v>0</v>
      </c>
      <c r="J179" s="26">
        <f>IFERROR(__xludf.DUMMYFUNCTION("""COMPUTED_VALUE"""),0.0)</f>
        <v>0</v>
      </c>
      <c r="K179" s="26">
        <f>IFERROR(__xludf.DUMMYFUNCTION("""COMPUTED_VALUE"""),0.0)</f>
        <v>0</v>
      </c>
      <c r="L179" s="26">
        <f>IFERROR(__xludf.DUMMYFUNCTION("""COMPUTED_VALUE"""),0.0)</f>
        <v>0</v>
      </c>
      <c r="M179" s="26"/>
      <c r="N179" s="26"/>
      <c r="O179" s="26"/>
      <c r="P179" s="26"/>
      <c r="Q179" s="26"/>
      <c r="R179" s="26">
        <f>IFERROR(__xludf.DUMMYFUNCTION("""COMPUTED_VALUE"""),0.0)</f>
        <v>0</v>
      </c>
      <c r="S179" s="26">
        <f>IFERROR(__xludf.DUMMYFUNCTION("""COMPUTED_VALUE"""),0.0)</f>
        <v>0</v>
      </c>
      <c r="T179" s="26">
        <f>IFERROR(__xludf.DUMMYFUNCTION("""COMPUTED_VALUE"""),0.0)</f>
        <v>0</v>
      </c>
      <c r="U179" s="26">
        <f>IFERROR(__xludf.DUMMYFUNCTION("""COMPUTED_VALUE"""),0.0)</f>
        <v>0</v>
      </c>
      <c r="V179" s="26">
        <f>IFERROR(__xludf.DUMMYFUNCTION("""COMPUTED_VALUE"""),0.0)</f>
        <v>0</v>
      </c>
      <c r="W179" s="26">
        <f>IFERROR(__xludf.DUMMYFUNCTION("""COMPUTED_VALUE"""),0.0)</f>
        <v>0</v>
      </c>
      <c r="X179" s="26">
        <f>IFERROR(__xludf.DUMMYFUNCTION("""COMPUTED_VALUE"""),0.0)</f>
        <v>0</v>
      </c>
      <c r="Y179" s="26">
        <f>IFERROR(__xludf.DUMMYFUNCTION("""COMPUTED_VALUE"""),0.0)</f>
        <v>0</v>
      </c>
      <c r="Z179" s="26">
        <f>IFERROR(__xludf.DUMMYFUNCTION("""COMPUTED_VALUE"""),0.0)</f>
        <v>0</v>
      </c>
      <c r="AA179" s="26">
        <f>IFERROR(__xludf.DUMMYFUNCTION("""COMPUTED_VALUE"""),0.0)</f>
        <v>0</v>
      </c>
      <c r="AB179" s="26">
        <f>IFERROR(__xludf.DUMMYFUNCTION("""COMPUTED_VALUE"""),0.0)</f>
        <v>0</v>
      </c>
      <c r="AC179" s="26">
        <f>IFERROR(__xludf.DUMMYFUNCTION("""COMPUTED_VALUE"""),0.0)</f>
        <v>0</v>
      </c>
      <c r="AD179" s="26">
        <f>IFERROR(__xludf.DUMMYFUNCTION("""COMPUTED_VALUE"""),0.0)</f>
        <v>0</v>
      </c>
      <c r="AE179" s="26">
        <f>IFERROR(__xludf.DUMMYFUNCTION("""COMPUTED_VALUE"""),0.0)</f>
        <v>0</v>
      </c>
    </row>
    <row r="180">
      <c r="A180" s="26">
        <f>IFERROR(__xludf.DUMMYFUNCTION("""COMPUTED_VALUE"""),0.0)</f>
        <v>0</v>
      </c>
      <c r="B180" s="26">
        <f>IFERROR(__xludf.DUMMYFUNCTION("""COMPUTED_VALUE"""),0.0)</f>
        <v>0</v>
      </c>
      <c r="C180" s="26">
        <f>IFERROR(__xludf.DUMMYFUNCTION("""COMPUTED_VALUE"""),37.0)</f>
        <v>37</v>
      </c>
      <c r="D180" s="26">
        <f>IFERROR(__xludf.DUMMYFUNCTION("""COMPUTED_VALUE"""),0.0)</f>
        <v>0</v>
      </c>
      <c r="E180" s="26">
        <f>IFERROR(__xludf.DUMMYFUNCTION("""COMPUTED_VALUE"""),0.0)</f>
        <v>0</v>
      </c>
      <c r="F180" s="26">
        <f>IFERROR(__xludf.DUMMYFUNCTION("""COMPUTED_VALUE"""),0.0)</f>
        <v>0</v>
      </c>
      <c r="G180" s="26">
        <f>IFERROR(__xludf.DUMMYFUNCTION("""COMPUTED_VALUE"""),0.0)</f>
        <v>0</v>
      </c>
      <c r="H180" s="26">
        <f>IFERROR(__xludf.DUMMYFUNCTION("""COMPUTED_VALUE"""),0.0)</f>
        <v>0</v>
      </c>
      <c r="I180" s="26">
        <f>IFERROR(__xludf.DUMMYFUNCTION("""COMPUTED_VALUE"""),0.0)</f>
        <v>0</v>
      </c>
      <c r="J180" s="26">
        <f>IFERROR(__xludf.DUMMYFUNCTION("""COMPUTED_VALUE"""),0.0)</f>
        <v>0</v>
      </c>
      <c r="K180" s="26">
        <f>IFERROR(__xludf.DUMMYFUNCTION("""COMPUTED_VALUE"""),0.0)</f>
        <v>0</v>
      </c>
      <c r="L180" s="26">
        <f>IFERROR(__xludf.DUMMYFUNCTION("""COMPUTED_VALUE"""),0.0)</f>
        <v>0</v>
      </c>
      <c r="M180" s="26"/>
      <c r="N180" s="26"/>
      <c r="O180" s="26"/>
      <c r="P180" s="26"/>
      <c r="Q180" s="26"/>
      <c r="R180" s="26">
        <f>IFERROR(__xludf.DUMMYFUNCTION("""COMPUTED_VALUE"""),37.0)</f>
        <v>37</v>
      </c>
      <c r="S180" s="26">
        <f>IFERROR(__xludf.DUMMYFUNCTION("""COMPUTED_VALUE"""),16354.0)</f>
        <v>16354</v>
      </c>
      <c r="T180" s="26">
        <f>IFERROR(__xludf.DUMMYFUNCTION("""COMPUTED_VALUE"""),6105.0)</f>
        <v>6105</v>
      </c>
      <c r="U180" s="26">
        <f>IFERROR(__xludf.DUMMYFUNCTION("""COMPUTED_VALUE"""),8599.54)</f>
        <v>8599.54</v>
      </c>
      <c r="V180" s="26">
        <f>IFERROR(__xludf.DUMMYFUNCTION("""COMPUTED_VALUE"""),0.0)</f>
        <v>0</v>
      </c>
      <c r="W180" s="26">
        <f>IFERROR(__xludf.DUMMYFUNCTION("""COMPUTED_VALUE"""),0.0)</f>
        <v>0</v>
      </c>
      <c r="X180" s="26">
        <f>IFERROR(__xludf.DUMMYFUNCTION("""COMPUTED_VALUE"""),2494.5400000000013)</f>
        <v>2494.54</v>
      </c>
      <c r="Y180" s="26">
        <f>IFERROR(__xludf.DUMMYFUNCTION("""COMPUTED_VALUE"""),2494.5400000000013)</f>
        <v>2494.54</v>
      </c>
      <c r="Z180" s="26">
        <f>IFERROR(__xludf.DUMMYFUNCTION("""COMPUTED_VALUE"""),16354.0)</f>
        <v>16354</v>
      </c>
      <c r="AA180" s="26">
        <f>IFERROR(__xludf.DUMMYFUNCTION("""COMPUTED_VALUE"""),8987.299999999994)</f>
        <v>8987.3</v>
      </c>
      <c r="AB180" s="26">
        <f>IFERROR(__xludf.DUMMYFUNCTION("""COMPUTED_VALUE"""),7754.459999999998)</f>
        <v>7754.46</v>
      </c>
      <c r="AC180" s="26">
        <f>IFERROR(__xludf.DUMMYFUNCTION("""COMPUTED_VALUE"""),0.0)</f>
        <v>0</v>
      </c>
      <c r="AD180" s="26">
        <f>IFERROR(__xludf.DUMMYFUNCTION("""COMPUTED_VALUE"""),387.76000000000016)</f>
        <v>387.76</v>
      </c>
      <c r="AE180" s="26">
        <f>IFERROR(__xludf.DUMMYFUNCTION("""COMPUTED_VALUE"""),7366.700000000004)</f>
        <v>7366.7</v>
      </c>
    </row>
    <row r="181">
      <c r="A181" s="26">
        <f>IFERROR(__xludf.DUMMYFUNCTION("""COMPUTED_VALUE"""),425.0)</f>
        <v>425</v>
      </c>
      <c r="B181" s="26">
        <f>IFERROR(__xludf.DUMMYFUNCTION("""COMPUTED_VALUE"""),0.0)</f>
        <v>0</v>
      </c>
      <c r="C181" s="26">
        <f>IFERROR(__xludf.DUMMYFUNCTION("""COMPUTED_VALUE"""),0.0)</f>
        <v>0</v>
      </c>
      <c r="D181" s="26">
        <f>IFERROR(__xludf.DUMMYFUNCTION("""COMPUTED_VALUE"""),0.0)</f>
        <v>0</v>
      </c>
      <c r="E181" s="26">
        <f>IFERROR(__xludf.DUMMYFUNCTION("""COMPUTED_VALUE"""),0.0)</f>
        <v>0</v>
      </c>
      <c r="F181" s="26">
        <f>IFERROR(__xludf.DUMMYFUNCTION("""COMPUTED_VALUE"""),0.0)</f>
        <v>0</v>
      </c>
      <c r="G181" s="26">
        <f>IFERROR(__xludf.DUMMYFUNCTION("""COMPUTED_VALUE"""),0.0)</f>
        <v>0</v>
      </c>
      <c r="H181" s="26">
        <f>IFERROR(__xludf.DUMMYFUNCTION("""COMPUTED_VALUE"""),0.0)</f>
        <v>0</v>
      </c>
      <c r="I181" s="26">
        <f>IFERROR(__xludf.DUMMYFUNCTION("""COMPUTED_VALUE"""),0.0)</f>
        <v>0</v>
      </c>
      <c r="J181" s="26">
        <f>IFERROR(__xludf.DUMMYFUNCTION("""COMPUTED_VALUE"""),0.0)</f>
        <v>0</v>
      </c>
      <c r="K181" s="26">
        <f>IFERROR(__xludf.DUMMYFUNCTION("""COMPUTED_VALUE"""),0.0)</f>
        <v>0</v>
      </c>
      <c r="L181" s="26">
        <f>IFERROR(__xludf.DUMMYFUNCTION("""COMPUTED_VALUE"""),0.0)</f>
        <v>0</v>
      </c>
      <c r="M181" s="26"/>
      <c r="N181" s="26"/>
      <c r="O181" s="26"/>
      <c r="P181" s="26"/>
      <c r="Q181" s="26"/>
      <c r="R181" s="26">
        <f>IFERROR(__xludf.DUMMYFUNCTION("""COMPUTED_VALUE"""),425.0)</f>
        <v>425</v>
      </c>
      <c r="S181" s="26">
        <f>IFERROR(__xludf.DUMMYFUNCTION("""COMPUTED_VALUE"""),208250.0)</f>
        <v>208250</v>
      </c>
      <c r="T181" s="26">
        <f>IFERROR(__xludf.DUMMYFUNCTION("""COMPUTED_VALUE"""),82875.0)</f>
        <v>82875</v>
      </c>
      <c r="U181" s="26">
        <f>IFERROR(__xludf.DUMMYFUNCTION("""COMPUTED_VALUE"""),114643.75)</f>
        <v>114643.75</v>
      </c>
      <c r="V181" s="26">
        <f>IFERROR(__xludf.DUMMYFUNCTION("""COMPUTED_VALUE"""),0.0)</f>
        <v>0</v>
      </c>
      <c r="W181" s="26">
        <f>IFERROR(__xludf.DUMMYFUNCTION("""COMPUTED_VALUE"""),0.0)</f>
        <v>0</v>
      </c>
      <c r="X181" s="26">
        <f>IFERROR(__xludf.DUMMYFUNCTION("""COMPUTED_VALUE"""),31768.75)</f>
        <v>31768.75</v>
      </c>
      <c r="Y181" s="26">
        <f>IFERROR(__xludf.DUMMYFUNCTION("""COMPUTED_VALUE"""),31768.75)</f>
        <v>31768.75</v>
      </c>
      <c r="Z181" s="26">
        <f>IFERROR(__xludf.DUMMYFUNCTION("""COMPUTED_VALUE"""),208250.0)</f>
        <v>208250</v>
      </c>
      <c r="AA181" s="26">
        <f>IFERROR(__xludf.DUMMYFUNCTION("""COMPUTED_VALUE"""),119322.99999999916)</f>
        <v>119323</v>
      </c>
      <c r="AB181" s="26">
        <f>IFERROR(__xludf.DUMMYFUNCTION("""COMPUTED_VALUE"""),93606.25)</f>
        <v>93606.25</v>
      </c>
      <c r="AC181" s="26">
        <f>IFERROR(__xludf.DUMMYFUNCTION("""COMPUTED_VALUE"""),0.0)</f>
        <v>0</v>
      </c>
      <c r="AD181" s="26">
        <f>IFERROR(__xludf.DUMMYFUNCTION("""COMPUTED_VALUE"""),4679.25000000005)</f>
        <v>4679.25</v>
      </c>
      <c r="AE181" s="26">
        <f>IFERROR(__xludf.DUMMYFUNCTION("""COMPUTED_VALUE"""),88927.00000000038)</f>
        <v>88927</v>
      </c>
    </row>
    <row r="182">
      <c r="A182" s="26">
        <f>IFERROR(__xludf.DUMMYFUNCTION("""COMPUTED_VALUE"""),0.0)</f>
        <v>0</v>
      </c>
      <c r="B182" s="26">
        <f>IFERROR(__xludf.DUMMYFUNCTION("""COMPUTED_VALUE"""),0.0)</f>
        <v>0</v>
      </c>
      <c r="C182" s="26">
        <f>IFERROR(__xludf.DUMMYFUNCTION("""COMPUTED_VALUE"""),14.0)</f>
        <v>14</v>
      </c>
      <c r="D182" s="26">
        <f>IFERROR(__xludf.DUMMYFUNCTION("""COMPUTED_VALUE"""),0.0)</f>
        <v>0</v>
      </c>
      <c r="E182" s="26">
        <f>IFERROR(__xludf.DUMMYFUNCTION("""COMPUTED_VALUE"""),0.0)</f>
        <v>0</v>
      </c>
      <c r="F182" s="26">
        <f>IFERROR(__xludf.DUMMYFUNCTION("""COMPUTED_VALUE"""),0.0)</f>
        <v>0</v>
      </c>
      <c r="G182" s="26">
        <f>IFERROR(__xludf.DUMMYFUNCTION("""COMPUTED_VALUE"""),0.0)</f>
        <v>0</v>
      </c>
      <c r="H182" s="26">
        <f>IFERROR(__xludf.DUMMYFUNCTION("""COMPUTED_VALUE"""),0.0)</f>
        <v>0</v>
      </c>
      <c r="I182" s="26">
        <f>IFERROR(__xludf.DUMMYFUNCTION("""COMPUTED_VALUE"""),0.0)</f>
        <v>0</v>
      </c>
      <c r="J182" s="26">
        <f>IFERROR(__xludf.DUMMYFUNCTION("""COMPUTED_VALUE"""),0.0)</f>
        <v>0</v>
      </c>
      <c r="K182" s="26">
        <f>IFERROR(__xludf.DUMMYFUNCTION("""COMPUTED_VALUE"""),0.0)</f>
        <v>0</v>
      </c>
      <c r="L182" s="26">
        <f>IFERROR(__xludf.DUMMYFUNCTION("""COMPUTED_VALUE"""),0.0)</f>
        <v>0</v>
      </c>
      <c r="M182" s="26"/>
      <c r="N182" s="26"/>
      <c r="O182" s="26"/>
      <c r="P182" s="26"/>
      <c r="Q182" s="26"/>
      <c r="R182" s="26">
        <f>IFERROR(__xludf.DUMMYFUNCTION("""COMPUTED_VALUE"""),14.0)</f>
        <v>14</v>
      </c>
      <c r="S182" s="26">
        <f>IFERROR(__xludf.DUMMYFUNCTION("""COMPUTED_VALUE"""),6188.0)</f>
        <v>6188</v>
      </c>
      <c r="T182" s="26">
        <f>IFERROR(__xludf.DUMMYFUNCTION("""COMPUTED_VALUE"""),2590.0)</f>
        <v>2590</v>
      </c>
      <c r="U182" s="26">
        <f>IFERROR(__xludf.DUMMYFUNCTION("""COMPUTED_VALUE"""),3533.8799999999997)</f>
        <v>3533.88</v>
      </c>
      <c r="V182" s="26">
        <f>IFERROR(__xludf.DUMMYFUNCTION("""COMPUTED_VALUE"""),0.0)</f>
        <v>0</v>
      </c>
      <c r="W182" s="26">
        <f>IFERROR(__xludf.DUMMYFUNCTION("""COMPUTED_VALUE"""),0.0)</f>
        <v>0</v>
      </c>
      <c r="X182" s="26">
        <f>IFERROR(__xludf.DUMMYFUNCTION("""COMPUTED_VALUE"""),943.8799999999998)</f>
        <v>943.88</v>
      </c>
      <c r="Y182" s="26">
        <f>IFERROR(__xludf.DUMMYFUNCTION("""COMPUTED_VALUE"""),943.8799999999998)</f>
        <v>943.88</v>
      </c>
      <c r="Z182" s="26">
        <f>IFERROR(__xludf.DUMMYFUNCTION("""COMPUTED_VALUE"""),6630.0)</f>
        <v>6630</v>
      </c>
      <c r="AA182" s="26">
        <f>IFERROR(__xludf.DUMMYFUNCTION("""COMPUTED_VALUE"""),3928.500000000001)</f>
        <v>3928.5</v>
      </c>
      <c r="AB182" s="26">
        <f>IFERROR(__xludf.DUMMYFUNCTION("""COMPUTED_VALUE"""),2843.6999999999994)</f>
        <v>2843.7</v>
      </c>
      <c r="AC182" s="26">
        <f>IFERROR(__xludf.DUMMYFUNCTION("""COMPUTED_VALUE"""),0.0)</f>
        <v>0</v>
      </c>
      <c r="AD182" s="26">
        <f>IFERROR(__xludf.DUMMYFUNCTION("""COMPUTED_VALUE"""),142.20000000000002)</f>
        <v>142.2</v>
      </c>
      <c r="AE182" s="26">
        <f>IFERROR(__xludf.DUMMYFUNCTION("""COMPUTED_VALUE"""),2701.499999999999)</f>
        <v>2701.5</v>
      </c>
    </row>
    <row r="183">
      <c r="A183" s="26">
        <f>IFERROR(__xludf.DUMMYFUNCTION("""COMPUTED_VALUE"""),0.0)</f>
        <v>0</v>
      </c>
      <c r="B183" s="26">
        <f>IFERROR(__xludf.DUMMYFUNCTION("""COMPUTED_VALUE"""),0.0)</f>
        <v>0</v>
      </c>
      <c r="C183" s="26">
        <f>IFERROR(__xludf.DUMMYFUNCTION("""COMPUTED_VALUE"""),0.0)</f>
        <v>0</v>
      </c>
      <c r="D183" s="26">
        <f>IFERROR(__xludf.DUMMYFUNCTION("""COMPUTED_VALUE"""),0.0)</f>
        <v>0</v>
      </c>
      <c r="E183" s="26">
        <f>IFERROR(__xludf.DUMMYFUNCTION("""COMPUTED_VALUE"""),0.0)</f>
        <v>0</v>
      </c>
      <c r="F183" s="26">
        <f>IFERROR(__xludf.DUMMYFUNCTION("""COMPUTED_VALUE"""),0.0)</f>
        <v>0</v>
      </c>
      <c r="G183" s="26">
        <f>IFERROR(__xludf.DUMMYFUNCTION("""COMPUTED_VALUE"""),0.0)</f>
        <v>0</v>
      </c>
      <c r="H183" s="26">
        <f>IFERROR(__xludf.DUMMYFUNCTION("""COMPUTED_VALUE"""),0.0)</f>
        <v>0</v>
      </c>
      <c r="I183" s="26">
        <f>IFERROR(__xludf.DUMMYFUNCTION("""COMPUTED_VALUE"""),0.0)</f>
        <v>0</v>
      </c>
      <c r="J183" s="26">
        <f>IFERROR(__xludf.DUMMYFUNCTION("""COMPUTED_VALUE"""),0.0)</f>
        <v>0</v>
      </c>
      <c r="K183" s="26">
        <f>IFERROR(__xludf.DUMMYFUNCTION("""COMPUTED_VALUE"""),0.0)</f>
        <v>0</v>
      </c>
      <c r="L183" s="26">
        <f>IFERROR(__xludf.DUMMYFUNCTION("""COMPUTED_VALUE"""),0.0)</f>
        <v>0</v>
      </c>
      <c r="M183" s="26"/>
      <c r="N183" s="26"/>
      <c r="O183" s="26"/>
      <c r="P183" s="26"/>
      <c r="Q183" s="26"/>
      <c r="R183" s="26">
        <f>IFERROR(__xludf.DUMMYFUNCTION("""COMPUTED_VALUE"""),0.0)</f>
        <v>0</v>
      </c>
      <c r="S183" s="26">
        <f>IFERROR(__xludf.DUMMYFUNCTION("""COMPUTED_VALUE"""),0.0)</f>
        <v>0</v>
      </c>
      <c r="T183" s="26">
        <f>IFERROR(__xludf.DUMMYFUNCTION("""COMPUTED_VALUE"""),0.0)</f>
        <v>0</v>
      </c>
      <c r="U183" s="26">
        <f>IFERROR(__xludf.DUMMYFUNCTION("""COMPUTED_VALUE"""),0.0)</f>
        <v>0</v>
      </c>
      <c r="V183" s="26">
        <f>IFERROR(__xludf.DUMMYFUNCTION("""COMPUTED_VALUE"""),0.0)</f>
        <v>0</v>
      </c>
      <c r="W183" s="26">
        <f>IFERROR(__xludf.DUMMYFUNCTION("""COMPUTED_VALUE"""),0.0)</f>
        <v>0</v>
      </c>
      <c r="X183" s="26">
        <f>IFERROR(__xludf.DUMMYFUNCTION("""COMPUTED_VALUE"""),0.0)</f>
        <v>0</v>
      </c>
      <c r="Y183" s="26">
        <f>IFERROR(__xludf.DUMMYFUNCTION("""COMPUTED_VALUE"""),0.0)</f>
        <v>0</v>
      </c>
      <c r="Z183" s="26">
        <f>IFERROR(__xludf.DUMMYFUNCTION("""COMPUTED_VALUE"""),0.0)</f>
        <v>0</v>
      </c>
      <c r="AA183" s="26">
        <f>IFERROR(__xludf.DUMMYFUNCTION("""COMPUTED_VALUE"""),0.0)</f>
        <v>0</v>
      </c>
      <c r="AB183" s="26">
        <f>IFERROR(__xludf.DUMMYFUNCTION("""COMPUTED_VALUE"""),0.0)</f>
        <v>0</v>
      </c>
      <c r="AC183" s="26">
        <f>IFERROR(__xludf.DUMMYFUNCTION("""COMPUTED_VALUE"""),0.0)</f>
        <v>0</v>
      </c>
      <c r="AD183" s="26">
        <f>IFERROR(__xludf.DUMMYFUNCTION("""COMPUTED_VALUE"""),0.0)</f>
        <v>0</v>
      </c>
      <c r="AE183" s="26">
        <f>IFERROR(__xludf.DUMMYFUNCTION("""COMPUTED_VALUE"""),0.0)</f>
        <v>0</v>
      </c>
    </row>
    <row r="184">
      <c r="A184" s="26">
        <f>IFERROR(__xludf.DUMMYFUNCTION("""COMPUTED_VALUE"""),0.0)</f>
        <v>0</v>
      </c>
      <c r="B184" s="26">
        <f>IFERROR(__xludf.DUMMYFUNCTION("""COMPUTED_VALUE"""),0.0)</f>
        <v>0</v>
      </c>
      <c r="C184" s="26">
        <f>IFERROR(__xludf.DUMMYFUNCTION("""COMPUTED_VALUE"""),81.0)</f>
        <v>81</v>
      </c>
      <c r="D184" s="26">
        <f>IFERROR(__xludf.DUMMYFUNCTION("""COMPUTED_VALUE"""),0.0)</f>
        <v>0</v>
      </c>
      <c r="E184" s="26">
        <f>IFERROR(__xludf.DUMMYFUNCTION("""COMPUTED_VALUE"""),0.0)</f>
        <v>0</v>
      </c>
      <c r="F184" s="26">
        <f>IFERROR(__xludf.DUMMYFUNCTION("""COMPUTED_VALUE"""),0.0)</f>
        <v>0</v>
      </c>
      <c r="G184" s="26">
        <f>IFERROR(__xludf.DUMMYFUNCTION("""COMPUTED_VALUE"""),0.0)</f>
        <v>0</v>
      </c>
      <c r="H184" s="26">
        <f>IFERROR(__xludf.DUMMYFUNCTION("""COMPUTED_VALUE"""),0.0)</f>
        <v>0</v>
      </c>
      <c r="I184" s="26">
        <f>IFERROR(__xludf.DUMMYFUNCTION("""COMPUTED_VALUE"""),0.0)</f>
        <v>0</v>
      </c>
      <c r="J184" s="26">
        <f>IFERROR(__xludf.DUMMYFUNCTION("""COMPUTED_VALUE"""),0.0)</f>
        <v>0</v>
      </c>
      <c r="K184" s="26">
        <f>IFERROR(__xludf.DUMMYFUNCTION("""COMPUTED_VALUE"""),0.0)</f>
        <v>0</v>
      </c>
      <c r="L184" s="26">
        <f>IFERROR(__xludf.DUMMYFUNCTION("""COMPUTED_VALUE"""),0.0)</f>
        <v>0</v>
      </c>
      <c r="M184" s="26"/>
      <c r="N184" s="26"/>
      <c r="O184" s="26"/>
      <c r="P184" s="26"/>
      <c r="Q184" s="26"/>
      <c r="R184" s="26">
        <f>IFERROR(__xludf.DUMMYFUNCTION("""COMPUTED_VALUE"""),81.0)</f>
        <v>81</v>
      </c>
      <c r="S184" s="26">
        <f>IFERROR(__xludf.DUMMYFUNCTION("""COMPUTED_VALUE"""),55890.0)</f>
        <v>55890</v>
      </c>
      <c r="T184" s="26">
        <f>IFERROR(__xludf.DUMMYFUNCTION("""COMPUTED_VALUE"""),16605.0)</f>
        <v>16605</v>
      </c>
      <c r="U184" s="26">
        <f>IFERROR(__xludf.DUMMYFUNCTION("""COMPUTED_VALUE"""),25130.25)</f>
        <v>25130.25</v>
      </c>
      <c r="V184" s="26">
        <f>IFERROR(__xludf.DUMMYFUNCTION("""COMPUTED_VALUE"""),0.0)</f>
        <v>0</v>
      </c>
      <c r="W184" s="26">
        <f>IFERROR(__xludf.DUMMYFUNCTION("""COMPUTED_VALUE"""),0.0)</f>
        <v>0</v>
      </c>
      <c r="X184" s="26">
        <f>IFERROR(__xludf.DUMMYFUNCTION("""COMPUTED_VALUE"""),8525.25)</f>
        <v>8525.25</v>
      </c>
      <c r="Y184" s="26">
        <f>IFERROR(__xludf.DUMMYFUNCTION("""COMPUTED_VALUE"""),8525.25)</f>
        <v>8525.25</v>
      </c>
      <c r="Z184" s="26">
        <f>IFERROR(__xludf.DUMMYFUNCTION("""COMPUTED_VALUE"""),80040.0)</f>
        <v>80040</v>
      </c>
      <c r="AA184" s="26">
        <f>IFERROR(__xludf.DUMMYFUNCTION("""COMPUTED_VALUE"""),38191.84000000004)</f>
        <v>38191.84</v>
      </c>
      <c r="AB184" s="26">
        <f>IFERROR(__xludf.DUMMYFUNCTION("""COMPUTED_VALUE"""),44051.0)</f>
        <v>44051</v>
      </c>
      <c r="AC184" s="26">
        <f>IFERROR(__xludf.DUMMYFUNCTION("""COMPUTED_VALUE"""),0.0)</f>
        <v>0</v>
      </c>
      <c r="AD184" s="26">
        <f>IFERROR(__xludf.DUMMYFUNCTION("""COMPUTED_VALUE"""),2202.839999999999)</f>
        <v>2202.84</v>
      </c>
      <c r="AE184" s="26">
        <f>IFERROR(__xludf.DUMMYFUNCTION("""COMPUTED_VALUE"""),41848.15999999999)</f>
        <v>41848.16</v>
      </c>
    </row>
    <row r="185">
      <c r="A185" s="26">
        <f>IFERROR(__xludf.DUMMYFUNCTION("""COMPUTED_VALUE"""),31.0)</f>
        <v>31</v>
      </c>
      <c r="B185" s="26">
        <f>IFERROR(__xludf.DUMMYFUNCTION("""COMPUTED_VALUE"""),0.0)</f>
        <v>0</v>
      </c>
      <c r="C185" s="26">
        <f>IFERROR(__xludf.DUMMYFUNCTION("""COMPUTED_VALUE"""),0.0)</f>
        <v>0</v>
      </c>
      <c r="D185" s="26">
        <f>IFERROR(__xludf.DUMMYFUNCTION("""COMPUTED_VALUE"""),0.0)</f>
        <v>0</v>
      </c>
      <c r="E185" s="26">
        <f>IFERROR(__xludf.DUMMYFUNCTION("""COMPUTED_VALUE"""),0.0)</f>
        <v>0</v>
      </c>
      <c r="F185" s="26">
        <f>IFERROR(__xludf.DUMMYFUNCTION("""COMPUTED_VALUE"""),0.0)</f>
        <v>0</v>
      </c>
      <c r="G185" s="26">
        <f>IFERROR(__xludf.DUMMYFUNCTION("""COMPUTED_VALUE"""),0.0)</f>
        <v>0</v>
      </c>
      <c r="H185" s="26">
        <f>IFERROR(__xludf.DUMMYFUNCTION("""COMPUTED_VALUE"""),0.0)</f>
        <v>0</v>
      </c>
      <c r="I185" s="26">
        <f>IFERROR(__xludf.DUMMYFUNCTION("""COMPUTED_VALUE"""),0.0)</f>
        <v>0</v>
      </c>
      <c r="J185" s="26">
        <f>IFERROR(__xludf.DUMMYFUNCTION("""COMPUTED_VALUE"""),0.0)</f>
        <v>0</v>
      </c>
      <c r="K185" s="26">
        <f>IFERROR(__xludf.DUMMYFUNCTION("""COMPUTED_VALUE"""),0.0)</f>
        <v>0</v>
      </c>
      <c r="L185" s="26">
        <f>IFERROR(__xludf.DUMMYFUNCTION("""COMPUTED_VALUE"""),0.0)</f>
        <v>0</v>
      </c>
      <c r="M185" s="26"/>
      <c r="N185" s="26"/>
      <c r="O185" s="26"/>
      <c r="P185" s="26"/>
      <c r="Q185" s="26"/>
      <c r="R185" s="26">
        <f>IFERROR(__xludf.DUMMYFUNCTION("""COMPUTED_VALUE"""),31.0)</f>
        <v>31</v>
      </c>
      <c r="S185" s="26">
        <f>IFERROR(__xludf.DUMMYFUNCTION("""COMPUTED_VALUE"""),13702.0)</f>
        <v>13702</v>
      </c>
      <c r="T185" s="26">
        <f>IFERROR(__xludf.DUMMYFUNCTION("""COMPUTED_VALUE"""),5952.0)</f>
        <v>5952</v>
      </c>
      <c r="U185" s="26">
        <f>IFERROR(__xludf.DUMMYFUNCTION("""COMPUTED_VALUE"""),8042.02)</f>
        <v>8042.02</v>
      </c>
      <c r="V185" s="26">
        <f>IFERROR(__xludf.DUMMYFUNCTION("""COMPUTED_VALUE"""),0.0)</f>
        <v>0</v>
      </c>
      <c r="W185" s="26">
        <f>IFERROR(__xludf.DUMMYFUNCTION("""COMPUTED_VALUE"""),0.0)</f>
        <v>0</v>
      </c>
      <c r="X185" s="26">
        <f>IFERROR(__xludf.DUMMYFUNCTION("""COMPUTED_VALUE"""),2090.020000000001)</f>
        <v>2090.02</v>
      </c>
      <c r="Y185" s="26">
        <f>IFERROR(__xludf.DUMMYFUNCTION("""COMPUTED_VALUE"""),2090.020000000001)</f>
        <v>2090.02</v>
      </c>
      <c r="Z185" s="26">
        <f>IFERROR(__xludf.DUMMYFUNCTION("""COMPUTED_VALUE"""),0.0)</f>
        <v>0</v>
      </c>
      <c r="AA185" s="26">
        <f>IFERROR(__xludf.DUMMYFUNCTION("""COMPUTED_VALUE"""),0.0)</f>
        <v>0</v>
      </c>
      <c r="AB185" s="26">
        <f>IFERROR(__xludf.DUMMYFUNCTION("""COMPUTED_VALUE"""),0.0)</f>
        <v>0</v>
      </c>
      <c r="AC185" s="26">
        <f>IFERROR(__xludf.DUMMYFUNCTION("""COMPUTED_VALUE"""),0.0)</f>
        <v>0</v>
      </c>
      <c r="AD185" s="26">
        <f>IFERROR(__xludf.DUMMYFUNCTION("""COMPUTED_VALUE"""),0.0)</f>
        <v>0</v>
      </c>
      <c r="AE185" s="26">
        <f>IFERROR(__xludf.DUMMYFUNCTION("""COMPUTED_VALUE"""),0.0)</f>
        <v>0</v>
      </c>
    </row>
    <row r="186">
      <c r="A186" s="26">
        <f>IFERROR(__xludf.DUMMYFUNCTION("""COMPUTED_VALUE"""),37.0)</f>
        <v>37</v>
      </c>
      <c r="B186" s="26">
        <f>IFERROR(__xludf.DUMMYFUNCTION("""COMPUTED_VALUE"""),0.0)</f>
        <v>0</v>
      </c>
      <c r="C186" s="26">
        <f>IFERROR(__xludf.DUMMYFUNCTION("""COMPUTED_VALUE"""),0.0)</f>
        <v>0</v>
      </c>
      <c r="D186" s="26">
        <f>IFERROR(__xludf.DUMMYFUNCTION("""COMPUTED_VALUE"""),0.0)</f>
        <v>0</v>
      </c>
      <c r="E186" s="26">
        <f>IFERROR(__xludf.DUMMYFUNCTION("""COMPUTED_VALUE"""),0.0)</f>
        <v>0</v>
      </c>
      <c r="F186" s="26">
        <f>IFERROR(__xludf.DUMMYFUNCTION("""COMPUTED_VALUE"""),0.0)</f>
        <v>0</v>
      </c>
      <c r="G186" s="26">
        <f>IFERROR(__xludf.DUMMYFUNCTION("""COMPUTED_VALUE"""),0.0)</f>
        <v>0</v>
      </c>
      <c r="H186" s="26">
        <f>IFERROR(__xludf.DUMMYFUNCTION("""COMPUTED_VALUE"""),0.0)</f>
        <v>0</v>
      </c>
      <c r="I186" s="26">
        <f>IFERROR(__xludf.DUMMYFUNCTION("""COMPUTED_VALUE"""),0.0)</f>
        <v>0</v>
      </c>
      <c r="J186" s="26">
        <f>IFERROR(__xludf.DUMMYFUNCTION("""COMPUTED_VALUE"""),0.0)</f>
        <v>0</v>
      </c>
      <c r="K186" s="26">
        <f>IFERROR(__xludf.DUMMYFUNCTION("""COMPUTED_VALUE"""),0.0)</f>
        <v>0</v>
      </c>
      <c r="L186" s="26">
        <f>IFERROR(__xludf.DUMMYFUNCTION("""COMPUTED_VALUE"""),0.0)</f>
        <v>0</v>
      </c>
      <c r="M186" s="26"/>
      <c r="N186" s="26"/>
      <c r="O186" s="26"/>
      <c r="P186" s="26"/>
      <c r="Q186" s="26"/>
      <c r="R186" s="26">
        <f>IFERROR(__xludf.DUMMYFUNCTION("""COMPUTED_VALUE"""),37.0)</f>
        <v>37</v>
      </c>
      <c r="S186" s="26">
        <f>IFERROR(__xludf.DUMMYFUNCTION("""COMPUTED_VALUE"""),16354.0)</f>
        <v>16354</v>
      </c>
      <c r="T186" s="26">
        <f>IFERROR(__xludf.DUMMYFUNCTION("""COMPUTED_VALUE"""),7104.0)</f>
        <v>7104</v>
      </c>
      <c r="U186" s="26">
        <f>IFERROR(__xludf.DUMMYFUNCTION("""COMPUTED_VALUE"""),9598.54)</f>
        <v>9598.54</v>
      </c>
      <c r="V186" s="26">
        <f>IFERROR(__xludf.DUMMYFUNCTION("""COMPUTED_VALUE"""),0.0)</f>
        <v>0</v>
      </c>
      <c r="W186" s="26">
        <f>IFERROR(__xludf.DUMMYFUNCTION("""COMPUTED_VALUE"""),0.0)</f>
        <v>0</v>
      </c>
      <c r="X186" s="26">
        <f>IFERROR(__xludf.DUMMYFUNCTION("""COMPUTED_VALUE"""),2494.5400000000013)</f>
        <v>2494.54</v>
      </c>
      <c r="Y186" s="26">
        <f>IFERROR(__xludf.DUMMYFUNCTION("""COMPUTED_VALUE"""),2494.5400000000013)</f>
        <v>2494.54</v>
      </c>
      <c r="Z186" s="26">
        <f>IFERROR(__xludf.DUMMYFUNCTION("""COMPUTED_VALUE"""),0.0)</f>
        <v>0</v>
      </c>
      <c r="AA186" s="26">
        <f>IFERROR(__xludf.DUMMYFUNCTION("""COMPUTED_VALUE"""),0.0)</f>
        <v>0</v>
      </c>
      <c r="AB186" s="26">
        <f>IFERROR(__xludf.DUMMYFUNCTION("""COMPUTED_VALUE"""),0.0)</f>
        <v>0</v>
      </c>
      <c r="AC186" s="26">
        <f>IFERROR(__xludf.DUMMYFUNCTION("""COMPUTED_VALUE"""),0.0)</f>
        <v>0</v>
      </c>
      <c r="AD186" s="26">
        <f>IFERROR(__xludf.DUMMYFUNCTION("""COMPUTED_VALUE"""),0.0)</f>
        <v>0</v>
      </c>
      <c r="AE186" s="26">
        <f>IFERROR(__xludf.DUMMYFUNCTION("""COMPUTED_VALUE"""),0.0)</f>
        <v>0</v>
      </c>
    </row>
    <row r="187">
      <c r="A187" s="26">
        <f>IFERROR(__xludf.DUMMYFUNCTION("""COMPUTED_VALUE"""),49.0)</f>
        <v>49</v>
      </c>
      <c r="B187" s="26">
        <f>IFERROR(__xludf.DUMMYFUNCTION("""COMPUTED_VALUE"""),0.0)</f>
        <v>0</v>
      </c>
      <c r="C187" s="26">
        <f>IFERROR(__xludf.DUMMYFUNCTION("""COMPUTED_VALUE"""),0.0)</f>
        <v>0</v>
      </c>
      <c r="D187" s="26">
        <f>IFERROR(__xludf.DUMMYFUNCTION("""COMPUTED_VALUE"""),0.0)</f>
        <v>0</v>
      </c>
      <c r="E187" s="26">
        <f>IFERROR(__xludf.DUMMYFUNCTION("""COMPUTED_VALUE"""),0.0)</f>
        <v>0</v>
      </c>
      <c r="F187" s="26">
        <f>IFERROR(__xludf.DUMMYFUNCTION("""COMPUTED_VALUE"""),0.0)</f>
        <v>0</v>
      </c>
      <c r="G187" s="26">
        <f>IFERROR(__xludf.DUMMYFUNCTION("""COMPUTED_VALUE"""),0.0)</f>
        <v>0</v>
      </c>
      <c r="H187" s="26">
        <f>IFERROR(__xludf.DUMMYFUNCTION("""COMPUTED_VALUE"""),0.0)</f>
        <v>0</v>
      </c>
      <c r="I187" s="26">
        <f>IFERROR(__xludf.DUMMYFUNCTION("""COMPUTED_VALUE"""),0.0)</f>
        <v>0</v>
      </c>
      <c r="J187" s="26">
        <f>IFERROR(__xludf.DUMMYFUNCTION("""COMPUTED_VALUE"""),0.0)</f>
        <v>0</v>
      </c>
      <c r="K187" s="26">
        <f>IFERROR(__xludf.DUMMYFUNCTION("""COMPUTED_VALUE"""),0.0)</f>
        <v>0</v>
      </c>
      <c r="L187" s="26">
        <f>IFERROR(__xludf.DUMMYFUNCTION("""COMPUTED_VALUE"""),0.0)</f>
        <v>0</v>
      </c>
      <c r="M187" s="26"/>
      <c r="N187" s="26"/>
      <c r="O187" s="26"/>
      <c r="P187" s="26"/>
      <c r="Q187" s="26"/>
      <c r="R187" s="26">
        <f>IFERROR(__xludf.DUMMYFUNCTION("""COMPUTED_VALUE"""),49.0)</f>
        <v>49</v>
      </c>
      <c r="S187" s="26">
        <f>IFERROR(__xludf.DUMMYFUNCTION("""COMPUTED_VALUE"""),21658.0)</f>
        <v>21658</v>
      </c>
      <c r="T187" s="26">
        <f>IFERROR(__xludf.DUMMYFUNCTION("""COMPUTED_VALUE"""),9408.0)</f>
        <v>9408</v>
      </c>
      <c r="U187" s="26">
        <f>IFERROR(__xludf.DUMMYFUNCTION("""COMPUTED_VALUE"""),12711.580000000002)</f>
        <v>12711.58</v>
      </c>
      <c r="V187" s="26">
        <f>IFERROR(__xludf.DUMMYFUNCTION("""COMPUTED_VALUE"""),0.0)</f>
        <v>0</v>
      </c>
      <c r="W187" s="26">
        <f>IFERROR(__xludf.DUMMYFUNCTION("""COMPUTED_VALUE"""),0.0)</f>
        <v>0</v>
      </c>
      <c r="X187" s="26">
        <f>IFERROR(__xludf.DUMMYFUNCTION("""COMPUTED_VALUE"""),3303.580000000002)</f>
        <v>3303.58</v>
      </c>
      <c r="Y187" s="26">
        <f>IFERROR(__xludf.DUMMYFUNCTION("""COMPUTED_VALUE"""),3303.580000000002)</f>
        <v>3303.58</v>
      </c>
      <c r="Z187" s="26">
        <f>IFERROR(__xludf.DUMMYFUNCTION("""COMPUTED_VALUE"""),0.0)</f>
        <v>0</v>
      </c>
      <c r="AA187" s="26">
        <f>IFERROR(__xludf.DUMMYFUNCTION("""COMPUTED_VALUE"""),0.0)</f>
        <v>0</v>
      </c>
      <c r="AB187" s="26">
        <f>IFERROR(__xludf.DUMMYFUNCTION("""COMPUTED_VALUE"""),0.0)</f>
        <v>0</v>
      </c>
      <c r="AC187" s="26">
        <f>IFERROR(__xludf.DUMMYFUNCTION("""COMPUTED_VALUE"""),0.0)</f>
        <v>0</v>
      </c>
      <c r="AD187" s="26">
        <f>IFERROR(__xludf.DUMMYFUNCTION("""COMPUTED_VALUE"""),0.0)</f>
        <v>0</v>
      </c>
      <c r="AE187" s="26">
        <f>IFERROR(__xludf.DUMMYFUNCTION("""COMPUTED_VALUE"""),0.0)</f>
        <v>0</v>
      </c>
    </row>
    <row r="188">
      <c r="A188" s="26">
        <f>IFERROR(__xludf.DUMMYFUNCTION("""COMPUTED_VALUE"""),0.0)</f>
        <v>0</v>
      </c>
      <c r="B188" s="26">
        <f>IFERROR(__xludf.DUMMYFUNCTION("""COMPUTED_VALUE"""),0.0)</f>
        <v>0</v>
      </c>
      <c r="C188" s="26">
        <f>IFERROR(__xludf.DUMMYFUNCTION("""COMPUTED_VALUE"""),0.0)</f>
        <v>0</v>
      </c>
      <c r="D188" s="26">
        <f>IFERROR(__xludf.DUMMYFUNCTION("""COMPUTED_VALUE"""),0.0)</f>
        <v>0</v>
      </c>
      <c r="E188" s="26">
        <f>IFERROR(__xludf.DUMMYFUNCTION("""COMPUTED_VALUE"""),0.0)</f>
        <v>0</v>
      </c>
      <c r="F188" s="26">
        <f>IFERROR(__xludf.DUMMYFUNCTION("""COMPUTED_VALUE"""),0.0)</f>
        <v>0</v>
      </c>
      <c r="G188" s="26">
        <f>IFERROR(__xludf.DUMMYFUNCTION("""COMPUTED_VALUE"""),0.0)</f>
        <v>0</v>
      </c>
      <c r="H188" s="26">
        <f>IFERROR(__xludf.DUMMYFUNCTION("""COMPUTED_VALUE"""),0.0)</f>
        <v>0</v>
      </c>
      <c r="I188" s="26">
        <f>IFERROR(__xludf.DUMMYFUNCTION("""COMPUTED_VALUE"""),0.0)</f>
        <v>0</v>
      </c>
      <c r="J188" s="26">
        <f>IFERROR(__xludf.DUMMYFUNCTION("""COMPUTED_VALUE"""),0.0)</f>
        <v>0</v>
      </c>
      <c r="K188" s="26">
        <f>IFERROR(__xludf.DUMMYFUNCTION("""COMPUTED_VALUE"""),0.0)</f>
        <v>0</v>
      </c>
      <c r="L188" s="26">
        <f>IFERROR(__xludf.DUMMYFUNCTION("""COMPUTED_VALUE"""),0.0)</f>
        <v>0</v>
      </c>
      <c r="M188" s="26"/>
      <c r="N188" s="26"/>
      <c r="O188" s="26"/>
      <c r="P188" s="26"/>
      <c r="Q188" s="26"/>
      <c r="R188" s="26">
        <f>IFERROR(__xludf.DUMMYFUNCTION("""COMPUTED_VALUE"""),0.0)</f>
        <v>0</v>
      </c>
      <c r="S188" s="26">
        <f>IFERROR(__xludf.DUMMYFUNCTION("""COMPUTED_VALUE"""),0.0)</f>
        <v>0</v>
      </c>
      <c r="T188" s="26">
        <f>IFERROR(__xludf.DUMMYFUNCTION("""COMPUTED_VALUE"""),0.0)</f>
        <v>0</v>
      </c>
      <c r="U188" s="26">
        <f>IFERROR(__xludf.DUMMYFUNCTION("""COMPUTED_VALUE"""),0.0)</f>
        <v>0</v>
      </c>
      <c r="V188" s="26">
        <f>IFERROR(__xludf.DUMMYFUNCTION("""COMPUTED_VALUE"""),0.0)</f>
        <v>0</v>
      </c>
      <c r="W188" s="26">
        <f>IFERROR(__xludf.DUMMYFUNCTION("""COMPUTED_VALUE"""),0.0)</f>
        <v>0</v>
      </c>
      <c r="X188" s="26">
        <f>IFERROR(__xludf.DUMMYFUNCTION("""COMPUTED_VALUE"""),0.0)</f>
        <v>0</v>
      </c>
      <c r="Y188" s="26">
        <f>IFERROR(__xludf.DUMMYFUNCTION("""COMPUTED_VALUE"""),0.0)</f>
        <v>0</v>
      </c>
      <c r="Z188" s="26">
        <f>IFERROR(__xludf.DUMMYFUNCTION("""COMPUTED_VALUE"""),0.0)</f>
        <v>0</v>
      </c>
      <c r="AA188" s="26">
        <f>IFERROR(__xludf.DUMMYFUNCTION("""COMPUTED_VALUE"""),0.0)</f>
        <v>0</v>
      </c>
      <c r="AB188" s="26">
        <f>IFERROR(__xludf.DUMMYFUNCTION("""COMPUTED_VALUE"""),0.0)</f>
        <v>0</v>
      </c>
      <c r="AC188" s="26">
        <f>IFERROR(__xludf.DUMMYFUNCTION("""COMPUTED_VALUE"""),0.0)</f>
        <v>0</v>
      </c>
      <c r="AD188" s="26">
        <f>IFERROR(__xludf.DUMMYFUNCTION("""COMPUTED_VALUE"""),0.0)</f>
        <v>0</v>
      </c>
      <c r="AE188" s="26">
        <f>IFERROR(__xludf.DUMMYFUNCTION("""COMPUTED_VALUE"""),0.0)</f>
        <v>0</v>
      </c>
    </row>
    <row r="189">
      <c r="A189" s="26">
        <f>IFERROR(__xludf.DUMMYFUNCTION("""COMPUTED_VALUE"""),0.0)</f>
        <v>0</v>
      </c>
      <c r="B189" s="26">
        <f>IFERROR(__xludf.DUMMYFUNCTION("""COMPUTED_VALUE"""),0.0)</f>
        <v>0</v>
      </c>
      <c r="C189" s="26">
        <f>IFERROR(__xludf.DUMMYFUNCTION("""COMPUTED_VALUE"""),0.0)</f>
        <v>0</v>
      </c>
      <c r="D189" s="26">
        <f>IFERROR(__xludf.DUMMYFUNCTION("""COMPUTED_VALUE"""),0.0)</f>
        <v>0</v>
      </c>
      <c r="E189" s="26">
        <f>IFERROR(__xludf.DUMMYFUNCTION("""COMPUTED_VALUE"""),0.0)</f>
        <v>0</v>
      </c>
      <c r="F189" s="26">
        <f>IFERROR(__xludf.DUMMYFUNCTION("""COMPUTED_VALUE"""),0.0)</f>
        <v>0</v>
      </c>
      <c r="G189" s="26">
        <f>IFERROR(__xludf.DUMMYFUNCTION("""COMPUTED_VALUE"""),0.0)</f>
        <v>0</v>
      </c>
      <c r="H189" s="26">
        <f>IFERROR(__xludf.DUMMYFUNCTION("""COMPUTED_VALUE"""),0.0)</f>
        <v>0</v>
      </c>
      <c r="I189" s="26">
        <f>IFERROR(__xludf.DUMMYFUNCTION("""COMPUTED_VALUE"""),0.0)</f>
        <v>0</v>
      </c>
      <c r="J189" s="26">
        <f>IFERROR(__xludf.DUMMYFUNCTION("""COMPUTED_VALUE"""),0.0)</f>
        <v>0</v>
      </c>
      <c r="K189" s="26">
        <f>IFERROR(__xludf.DUMMYFUNCTION("""COMPUTED_VALUE"""),0.0)</f>
        <v>0</v>
      </c>
      <c r="L189" s="26">
        <f>IFERROR(__xludf.DUMMYFUNCTION("""COMPUTED_VALUE"""),0.0)</f>
        <v>0</v>
      </c>
      <c r="M189" s="26"/>
      <c r="N189" s="26"/>
      <c r="O189" s="26"/>
      <c r="P189" s="26"/>
      <c r="Q189" s="26"/>
      <c r="R189" s="26">
        <f>IFERROR(__xludf.DUMMYFUNCTION("""COMPUTED_VALUE"""),0.0)</f>
        <v>0</v>
      </c>
      <c r="S189" s="26">
        <f>IFERROR(__xludf.DUMMYFUNCTION("""COMPUTED_VALUE"""),0.0)</f>
        <v>0</v>
      </c>
      <c r="T189" s="26">
        <f>IFERROR(__xludf.DUMMYFUNCTION("""COMPUTED_VALUE"""),0.0)</f>
        <v>0</v>
      </c>
      <c r="U189" s="26">
        <f>IFERROR(__xludf.DUMMYFUNCTION("""COMPUTED_VALUE"""),0.0)</f>
        <v>0</v>
      </c>
      <c r="V189" s="26">
        <f>IFERROR(__xludf.DUMMYFUNCTION("""COMPUTED_VALUE"""),0.0)</f>
        <v>0</v>
      </c>
      <c r="W189" s="26">
        <f>IFERROR(__xludf.DUMMYFUNCTION("""COMPUTED_VALUE"""),0.0)</f>
        <v>0</v>
      </c>
      <c r="X189" s="26">
        <f>IFERROR(__xludf.DUMMYFUNCTION("""COMPUTED_VALUE"""),0.0)</f>
        <v>0</v>
      </c>
      <c r="Y189" s="26">
        <f>IFERROR(__xludf.DUMMYFUNCTION("""COMPUTED_VALUE"""),0.0)</f>
        <v>0</v>
      </c>
      <c r="Z189" s="26">
        <f>IFERROR(__xludf.DUMMYFUNCTION("""COMPUTED_VALUE"""),0.0)</f>
        <v>0</v>
      </c>
      <c r="AA189" s="26">
        <f>IFERROR(__xludf.DUMMYFUNCTION("""COMPUTED_VALUE"""),0.0)</f>
        <v>0</v>
      </c>
      <c r="AB189" s="26">
        <f>IFERROR(__xludf.DUMMYFUNCTION("""COMPUTED_VALUE"""),0.0)</f>
        <v>0</v>
      </c>
      <c r="AC189" s="26">
        <f>IFERROR(__xludf.DUMMYFUNCTION("""COMPUTED_VALUE"""),0.0)</f>
        <v>0</v>
      </c>
      <c r="AD189" s="26">
        <f>IFERROR(__xludf.DUMMYFUNCTION("""COMPUTED_VALUE"""),0.0)</f>
        <v>0</v>
      </c>
      <c r="AE189" s="26">
        <f>IFERROR(__xludf.DUMMYFUNCTION("""COMPUTED_VALUE"""),0.0)</f>
        <v>0</v>
      </c>
    </row>
    <row r="190">
      <c r="A190" s="26">
        <f>IFERROR(__xludf.DUMMYFUNCTION("""COMPUTED_VALUE"""),0.0)</f>
        <v>0</v>
      </c>
      <c r="B190" s="26">
        <f>IFERROR(__xludf.DUMMYFUNCTION("""COMPUTED_VALUE"""),0.0)</f>
        <v>0</v>
      </c>
      <c r="C190" s="26">
        <f>IFERROR(__xludf.DUMMYFUNCTION("""COMPUTED_VALUE"""),0.0)</f>
        <v>0</v>
      </c>
      <c r="D190" s="26">
        <f>IFERROR(__xludf.DUMMYFUNCTION("""COMPUTED_VALUE"""),0.0)</f>
        <v>0</v>
      </c>
      <c r="E190" s="26">
        <f>IFERROR(__xludf.DUMMYFUNCTION("""COMPUTED_VALUE"""),0.0)</f>
        <v>0</v>
      </c>
      <c r="F190" s="26">
        <f>IFERROR(__xludf.DUMMYFUNCTION("""COMPUTED_VALUE"""),0.0)</f>
        <v>0</v>
      </c>
      <c r="G190" s="26">
        <f>IFERROR(__xludf.DUMMYFUNCTION("""COMPUTED_VALUE"""),0.0)</f>
        <v>0</v>
      </c>
      <c r="H190" s="26">
        <f>IFERROR(__xludf.DUMMYFUNCTION("""COMPUTED_VALUE"""),0.0)</f>
        <v>0</v>
      </c>
      <c r="I190" s="26">
        <f>IFERROR(__xludf.DUMMYFUNCTION("""COMPUTED_VALUE"""),0.0)</f>
        <v>0</v>
      </c>
      <c r="J190" s="26">
        <f>IFERROR(__xludf.DUMMYFUNCTION("""COMPUTED_VALUE"""),0.0)</f>
        <v>0</v>
      </c>
      <c r="K190" s="26">
        <f>IFERROR(__xludf.DUMMYFUNCTION("""COMPUTED_VALUE"""),0.0)</f>
        <v>0</v>
      </c>
      <c r="L190" s="26">
        <f>IFERROR(__xludf.DUMMYFUNCTION("""COMPUTED_VALUE"""),0.0)</f>
        <v>0</v>
      </c>
      <c r="M190" s="26"/>
      <c r="N190" s="26"/>
      <c r="O190" s="26"/>
      <c r="P190" s="26"/>
      <c r="Q190" s="26"/>
      <c r="R190" s="26">
        <f>IFERROR(__xludf.DUMMYFUNCTION("""COMPUTED_VALUE"""),0.0)</f>
        <v>0</v>
      </c>
      <c r="S190" s="26">
        <f>IFERROR(__xludf.DUMMYFUNCTION("""COMPUTED_VALUE"""),0.0)</f>
        <v>0</v>
      </c>
      <c r="T190" s="26">
        <f>IFERROR(__xludf.DUMMYFUNCTION("""COMPUTED_VALUE"""),0.0)</f>
        <v>0</v>
      </c>
      <c r="U190" s="26">
        <f>IFERROR(__xludf.DUMMYFUNCTION("""COMPUTED_VALUE"""),0.0)</f>
        <v>0</v>
      </c>
      <c r="V190" s="26">
        <f>IFERROR(__xludf.DUMMYFUNCTION("""COMPUTED_VALUE"""),0.0)</f>
        <v>0</v>
      </c>
      <c r="W190" s="26">
        <f>IFERROR(__xludf.DUMMYFUNCTION("""COMPUTED_VALUE"""),0.0)</f>
        <v>0</v>
      </c>
      <c r="X190" s="26">
        <f>IFERROR(__xludf.DUMMYFUNCTION("""COMPUTED_VALUE"""),0.0)</f>
        <v>0</v>
      </c>
      <c r="Y190" s="26">
        <f>IFERROR(__xludf.DUMMYFUNCTION("""COMPUTED_VALUE"""),0.0)</f>
        <v>0</v>
      </c>
      <c r="Z190" s="26">
        <f>IFERROR(__xludf.DUMMYFUNCTION("""COMPUTED_VALUE"""),0.0)</f>
        <v>0</v>
      </c>
      <c r="AA190" s="26">
        <f>IFERROR(__xludf.DUMMYFUNCTION("""COMPUTED_VALUE"""),0.0)</f>
        <v>0</v>
      </c>
      <c r="AB190" s="26">
        <f>IFERROR(__xludf.DUMMYFUNCTION("""COMPUTED_VALUE"""),0.0)</f>
        <v>0</v>
      </c>
      <c r="AC190" s="26">
        <f>IFERROR(__xludf.DUMMYFUNCTION("""COMPUTED_VALUE"""),0.0)</f>
        <v>0</v>
      </c>
      <c r="AD190" s="26">
        <f>IFERROR(__xludf.DUMMYFUNCTION("""COMPUTED_VALUE"""),0.0)</f>
        <v>0</v>
      </c>
      <c r="AE190" s="26">
        <f>IFERROR(__xludf.DUMMYFUNCTION("""COMPUTED_VALUE"""),0.0)</f>
        <v>0</v>
      </c>
    </row>
    <row r="191">
      <c r="A191" s="26">
        <f>IFERROR(__xludf.DUMMYFUNCTION("""COMPUTED_VALUE"""),56.0)</f>
        <v>56</v>
      </c>
      <c r="B191" s="26">
        <f>IFERROR(__xludf.DUMMYFUNCTION("""COMPUTED_VALUE"""),0.0)</f>
        <v>0</v>
      </c>
      <c r="C191" s="26">
        <f>IFERROR(__xludf.DUMMYFUNCTION("""COMPUTED_VALUE"""),0.0)</f>
        <v>0</v>
      </c>
      <c r="D191" s="26">
        <f>IFERROR(__xludf.DUMMYFUNCTION("""COMPUTED_VALUE"""),0.0)</f>
        <v>0</v>
      </c>
      <c r="E191" s="26">
        <f>IFERROR(__xludf.DUMMYFUNCTION("""COMPUTED_VALUE"""),0.0)</f>
        <v>0</v>
      </c>
      <c r="F191" s="26">
        <f>IFERROR(__xludf.DUMMYFUNCTION("""COMPUTED_VALUE"""),0.0)</f>
        <v>0</v>
      </c>
      <c r="G191" s="26">
        <f>IFERROR(__xludf.DUMMYFUNCTION("""COMPUTED_VALUE"""),0.0)</f>
        <v>0</v>
      </c>
      <c r="H191" s="26">
        <f>IFERROR(__xludf.DUMMYFUNCTION("""COMPUTED_VALUE"""),0.0)</f>
        <v>0</v>
      </c>
      <c r="I191" s="26">
        <f>IFERROR(__xludf.DUMMYFUNCTION("""COMPUTED_VALUE"""),0.0)</f>
        <v>0</v>
      </c>
      <c r="J191" s="26">
        <f>IFERROR(__xludf.DUMMYFUNCTION("""COMPUTED_VALUE"""),0.0)</f>
        <v>0</v>
      </c>
      <c r="K191" s="26">
        <f>IFERROR(__xludf.DUMMYFUNCTION("""COMPUTED_VALUE"""),0.0)</f>
        <v>0</v>
      </c>
      <c r="L191" s="26">
        <f>IFERROR(__xludf.DUMMYFUNCTION("""COMPUTED_VALUE"""),0.0)</f>
        <v>0</v>
      </c>
      <c r="M191" s="26"/>
      <c r="N191" s="26"/>
      <c r="O191" s="26"/>
      <c r="P191" s="26"/>
      <c r="Q191" s="26"/>
      <c r="R191" s="26">
        <f>IFERROR(__xludf.DUMMYFUNCTION("""COMPUTED_VALUE"""),56.0)</f>
        <v>56</v>
      </c>
      <c r="S191" s="26">
        <f>IFERROR(__xludf.DUMMYFUNCTION("""COMPUTED_VALUE"""),24752.0)</f>
        <v>24752</v>
      </c>
      <c r="T191" s="26">
        <f>IFERROR(__xludf.DUMMYFUNCTION("""COMPUTED_VALUE"""),10752.0)</f>
        <v>10752</v>
      </c>
      <c r="U191" s="26">
        <f>IFERROR(__xludf.DUMMYFUNCTION("""COMPUTED_VALUE"""),14527.520000000002)</f>
        <v>14527.52</v>
      </c>
      <c r="V191" s="26">
        <f>IFERROR(__xludf.DUMMYFUNCTION("""COMPUTED_VALUE"""),0.0)</f>
        <v>0</v>
      </c>
      <c r="W191" s="26">
        <f>IFERROR(__xludf.DUMMYFUNCTION("""COMPUTED_VALUE"""),0.0)</f>
        <v>0</v>
      </c>
      <c r="X191" s="26">
        <f>IFERROR(__xludf.DUMMYFUNCTION("""COMPUTED_VALUE"""),3775.5200000000027)</f>
        <v>3775.52</v>
      </c>
      <c r="Y191" s="26">
        <f>IFERROR(__xludf.DUMMYFUNCTION("""COMPUTED_VALUE"""),3775.5200000000027)</f>
        <v>3775.52</v>
      </c>
      <c r="Z191" s="26">
        <f>IFERROR(__xludf.DUMMYFUNCTION("""COMPUTED_VALUE"""),0.0)</f>
        <v>0</v>
      </c>
      <c r="AA191" s="26">
        <f>IFERROR(__xludf.DUMMYFUNCTION("""COMPUTED_VALUE"""),0.0)</f>
        <v>0</v>
      </c>
      <c r="AB191" s="26">
        <f>IFERROR(__xludf.DUMMYFUNCTION("""COMPUTED_VALUE"""),0.0)</f>
        <v>0</v>
      </c>
      <c r="AC191" s="26">
        <f>IFERROR(__xludf.DUMMYFUNCTION("""COMPUTED_VALUE"""),0.0)</f>
        <v>0</v>
      </c>
      <c r="AD191" s="26">
        <f>IFERROR(__xludf.DUMMYFUNCTION("""COMPUTED_VALUE"""),0.0)</f>
        <v>0</v>
      </c>
      <c r="AE191" s="26">
        <f>IFERROR(__xludf.DUMMYFUNCTION("""COMPUTED_VALUE"""),0.0)</f>
        <v>0</v>
      </c>
    </row>
    <row r="192">
      <c r="A192" s="26">
        <f>IFERROR(__xludf.DUMMYFUNCTION("""COMPUTED_VALUE"""),45.0)</f>
        <v>45</v>
      </c>
      <c r="B192" s="26">
        <f>IFERROR(__xludf.DUMMYFUNCTION("""COMPUTED_VALUE"""),0.0)</f>
        <v>0</v>
      </c>
      <c r="C192" s="26">
        <f>IFERROR(__xludf.DUMMYFUNCTION("""COMPUTED_VALUE"""),0.0)</f>
        <v>0</v>
      </c>
      <c r="D192" s="26">
        <f>IFERROR(__xludf.DUMMYFUNCTION("""COMPUTED_VALUE"""),0.0)</f>
        <v>0</v>
      </c>
      <c r="E192" s="26">
        <f>IFERROR(__xludf.DUMMYFUNCTION("""COMPUTED_VALUE"""),0.0)</f>
        <v>0</v>
      </c>
      <c r="F192" s="26">
        <f>IFERROR(__xludf.DUMMYFUNCTION("""COMPUTED_VALUE"""),0.0)</f>
        <v>0</v>
      </c>
      <c r="G192" s="26">
        <f>IFERROR(__xludf.DUMMYFUNCTION("""COMPUTED_VALUE"""),0.0)</f>
        <v>0</v>
      </c>
      <c r="H192" s="26">
        <f>IFERROR(__xludf.DUMMYFUNCTION("""COMPUTED_VALUE"""),0.0)</f>
        <v>0</v>
      </c>
      <c r="I192" s="26">
        <f>IFERROR(__xludf.DUMMYFUNCTION("""COMPUTED_VALUE"""),0.0)</f>
        <v>0</v>
      </c>
      <c r="J192" s="26">
        <f>IFERROR(__xludf.DUMMYFUNCTION("""COMPUTED_VALUE"""),0.0)</f>
        <v>0</v>
      </c>
      <c r="K192" s="26">
        <f>IFERROR(__xludf.DUMMYFUNCTION("""COMPUTED_VALUE"""),0.0)</f>
        <v>0</v>
      </c>
      <c r="L192" s="26">
        <f>IFERROR(__xludf.DUMMYFUNCTION("""COMPUTED_VALUE"""),0.0)</f>
        <v>0</v>
      </c>
      <c r="M192" s="26"/>
      <c r="N192" s="26"/>
      <c r="O192" s="26"/>
      <c r="P192" s="26"/>
      <c r="Q192" s="26"/>
      <c r="R192" s="26">
        <f>IFERROR(__xludf.DUMMYFUNCTION("""COMPUTED_VALUE"""),45.0)</f>
        <v>45</v>
      </c>
      <c r="S192" s="26">
        <f>IFERROR(__xludf.DUMMYFUNCTION("""COMPUTED_VALUE"""),19890.0)</f>
        <v>19890</v>
      </c>
      <c r="T192" s="26">
        <f>IFERROR(__xludf.DUMMYFUNCTION("""COMPUTED_VALUE"""),8640.0)</f>
        <v>8640</v>
      </c>
      <c r="U192" s="26">
        <f>IFERROR(__xludf.DUMMYFUNCTION("""COMPUTED_VALUE"""),11673.900000000001)</f>
        <v>11673.9</v>
      </c>
      <c r="V192" s="26">
        <f>IFERROR(__xludf.DUMMYFUNCTION("""COMPUTED_VALUE"""),0.0)</f>
        <v>0</v>
      </c>
      <c r="W192" s="26">
        <f>IFERROR(__xludf.DUMMYFUNCTION("""COMPUTED_VALUE"""),0.0)</f>
        <v>0</v>
      </c>
      <c r="X192" s="26">
        <f>IFERROR(__xludf.DUMMYFUNCTION("""COMPUTED_VALUE"""),3033.900000000002)</f>
        <v>3033.9</v>
      </c>
      <c r="Y192" s="26">
        <f>IFERROR(__xludf.DUMMYFUNCTION("""COMPUTED_VALUE"""),3033.900000000002)</f>
        <v>3033.9</v>
      </c>
      <c r="Z192" s="26">
        <f>IFERROR(__xludf.DUMMYFUNCTION("""COMPUTED_VALUE"""),0.0)</f>
        <v>0</v>
      </c>
      <c r="AA192" s="26">
        <f>IFERROR(__xludf.DUMMYFUNCTION("""COMPUTED_VALUE"""),0.0)</f>
        <v>0</v>
      </c>
      <c r="AB192" s="26">
        <f>IFERROR(__xludf.DUMMYFUNCTION("""COMPUTED_VALUE"""),0.0)</f>
        <v>0</v>
      </c>
      <c r="AC192" s="26">
        <f>IFERROR(__xludf.DUMMYFUNCTION("""COMPUTED_VALUE"""),0.0)</f>
        <v>0</v>
      </c>
      <c r="AD192" s="26">
        <f>IFERROR(__xludf.DUMMYFUNCTION("""COMPUTED_VALUE"""),0.0)</f>
        <v>0</v>
      </c>
      <c r="AE192" s="26">
        <f>IFERROR(__xludf.DUMMYFUNCTION("""COMPUTED_VALUE"""),0.0)</f>
        <v>0</v>
      </c>
    </row>
    <row r="193">
      <c r="A193" s="26">
        <f>IFERROR(__xludf.DUMMYFUNCTION("""COMPUTED_VALUE"""),36.0)</f>
        <v>36</v>
      </c>
      <c r="B193" s="26">
        <f>IFERROR(__xludf.DUMMYFUNCTION("""COMPUTED_VALUE"""),0.0)</f>
        <v>0</v>
      </c>
      <c r="C193" s="26">
        <f>IFERROR(__xludf.DUMMYFUNCTION("""COMPUTED_VALUE"""),0.0)</f>
        <v>0</v>
      </c>
      <c r="D193" s="26">
        <f>IFERROR(__xludf.DUMMYFUNCTION("""COMPUTED_VALUE"""),0.0)</f>
        <v>0</v>
      </c>
      <c r="E193" s="26">
        <f>IFERROR(__xludf.DUMMYFUNCTION("""COMPUTED_VALUE"""),0.0)</f>
        <v>0</v>
      </c>
      <c r="F193" s="26">
        <f>IFERROR(__xludf.DUMMYFUNCTION("""COMPUTED_VALUE"""),0.0)</f>
        <v>0</v>
      </c>
      <c r="G193" s="26">
        <f>IFERROR(__xludf.DUMMYFUNCTION("""COMPUTED_VALUE"""),0.0)</f>
        <v>0</v>
      </c>
      <c r="H193" s="26">
        <f>IFERROR(__xludf.DUMMYFUNCTION("""COMPUTED_VALUE"""),0.0)</f>
        <v>0</v>
      </c>
      <c r="I193" s="26">
        <f>IFERROR(__xludf.DUMMYFUNCTION("""COMPUTED_VALUE"""),0.0)</f>
        <v>0</v>
      </c>
      <c r="J193" s="26">
        <f>IFERROR(__xludf.DUMMYFUNCTION("""COMPUTED_VALUE"""),0.0)</f>
        <v>0</v>
      </c>
      <c r="K193" s="26">
        <f>IFERROR(__xludf.DUMMYFUNCTION("""COMPUTED_VALUE"""),0.0)</f>
        <v>0</v>
      </c>
      <c r="L193" s="26">
        <f>IFERROR(__xludf.DUMMYFUNCTION("""COMPUTED_VALUE"""),0.0)</f>
        <v>0</v>
      </c>
      <c r="M193" s="26"/>
      <c r="N193" s="26"/>
      <c r="O193" s="26"/>
      <c r="P193" s="26"/>
      <c r="Q193" s="26"/>
      <c r="R193" s="26">
        <f>IFERROR(__xludf.DUMMYFUNCTION("""COMPUTED_VALUE"""),36.0)</f>
        <v>36</v>
      </c>
      <c r="S193" s="26">
        <f>IFERROR(__xludf.DUMMYFUNCTION("""COMPUTED_VALUE"""),15912.0)</f>
        <v>15912</v>
      </c>
      <c r="T193" s="26">
        <f>IFERROR(__xludf.DUMMYFUNCTION("""COMPUTED_VALUE"""),6912.0)</f>
        <v>6912</v>
      </c>
      <c r="U193" s="26">
        <f>IFERROR(__xludf.DUMMYFUNCTION("""COMPUTED_VALUE"""),9339.12)</f>
        <v>9339.12</v>
      </c>
      <c r="V193" s="26">
        <f>IFERROR(__xludf.DUMMYFUNCTION("""COMPUTED_VALUE"""),0.0)</f>
        <v>0</v>
      </c>
      <c r="W193" s="26">
        <f>IFERROR(__xludf.DUMMYFUNCTION("""COMPUTED_VALUE"""),0.0)</f>
        <v>0</v>
      </c>
      <c r="X193" s="26">
        <f>IFERROR(__xludf.DUMMYFUNCTION("""COMPUTED_VALUE"""),2427.1200000000013)</f>
        <v>2427.12</v>
      </c>
      <c r="Y193" s="26">
        <f>IFERROR(__xludf.DUMMYFUNCTION("""COMPUTED_VALUE"""),2427.1200000000013)</f>
        <v>2427.12</v>
      </c>
      <c r="Z193" s="26">
        <f>IFERROR(__xludf.DUMMYFUNCTION("""COMPUTED_VALUE"""),0.0)</f>
        <v>0</v>
      </c>
      <c r="AA193" s="26">
        <f>IFERROR(__xludf.DUMMYFUNCTION("""COMPUTED_VALUE"""),0.0)</f>
        <v>0</v>
      </c>
      <c r="AB193" s="26">
        <f>IFERROR(__xludf.DUMMYFUNCTION("""COMPUTED_VALUE"""),0.0)</f>
        <v>0</v>
      </c>
      <c r="AC193" s="26">
        <f>IFERROR(__xludf.DUMMYFUNCTION("""COMPUTED_VALUE"""),0.0)</f>
        <v>0</v>
      </c>
      <c r="AD193" s="26">
        <f>IFERROR(__xludf.DUMMYFUNCTION("""COMPUTED_VALUE"""),0.0)</f>
        <v>0</v>
      </c>
      <c r="AE193" s="26">
        <f>IFERROR(__xludf.DUMMYFUNCTION("""COMPUTED_VALUE"""),0.0)</f>
        <v>0</v>
      </c>
    </row>
    <row r="194">
      <c r="A194" s="26">
        <f>IFERROR(__xludf.DUMMYFUNCTION("""COMPUTED_VALUE"""),29.0)</f>
        <v>29</v>
      </c>
      <c r="B194" s="26">
        <f>IFERROR(__xludf.DUMMYFUNCTION("""COMPUTED_VALUE"""),0.0)</f>
        <v>0</v>
      </c>
      <c r="C194" s="26">
        <f>IFERROR(__xludf.DUMMYFUNCTION("""COMPUTED_VALUE"""),0.0)</f>
        <v>0</v>
      </c>
      <c r="D194" s="26">
        <f>IFERROR(__xludf.DUMMYFUNCTION("""COMPUTED_VALUE"""),0.0)</f>
        <v>0</v>
      </c>
      <c r="E194" s="26">
        <f>IFERROR(__xludf.DUMMYFUNCTION("""COMPUTED_VALUE"""),0.0)</f>
        <v>0</v>
      </c>
      <c r="F194" s="26">
        <f>IFERROR(__xludf.DUMMYFUNCTION("""COMPUTED_VALUE"""),0.0)</f>
        <v>0</v>
      </c>
      <c r="G194" s="26">
        <f>IFERROR(__xludf.DUMMYFUNCTION("""COMPUTED_VALUE"""),0.0)</f>
        <v>0</v>
      </c>
      <c r="H194" s="26">
        <f>IFERROR(__xludf.DUMMYFUNCTION("""COMPUTED_VALUE"""),0.0)</f>
        <v>0</v>
      </c>
      <c r="I194" s="26">
        <f>IFERROR(__xludf.DUMMYFUNCTION("""COMPUTED_VALUE"""),0.0)</f>
        <v>0</v>
      </c>
      <c r="J194" s="26">
        <f>IFERROR(__xludf.DUMMYFUNCTION("""COMPUTED_VALUE"""),0.0)</f>
        <v>0</v>
      </c>
      <c r="K194" s="26">
        <f>IFERROR(__xludf.DUMMYFUNCTION("""COMPUTED_VALUE"""),0.0)</f>
        <v>0</v>
      </c>
      <c r="L194" s="26">
        <f>IFERROR(__xludf.DUMMYFUNCTION("""COMPUTED_VALUE"""),0.0)</f>
        <v>0</v>
      </c>
      <c r="M194" s="26"/>
      <c r="N194" s="26"/>
      <c r="O194" s="26"/>
      <c r="P194" s="26"/>
      <c r="Q194" s="26"/>
      <c r="R194" s="26">
        <f>IFERROR(__xludf.DUMMYFUNCTION("""COMPUTED_VALUE"""),29.0)</f>
        <v>29</v>
      </c>
      <c r="S194" s="26">
        <f>IFERROR(__xludf.DUMMYFUNCTION("""COMPUTED_VALUE"""),12818.0)</f>
        <v>12818</v>
      </c>
      <c r="T194" s="26">
        <f>IFERROR(__xludf.DUMMYFUNCTION("""COMPUTED_VALUE"""),5568.0)</f>
        <v>5568</v>
      </c>
      <c r="U194" s="26">
        <f>IFERROR(__xludf.DUMMYFUNCTION("""COMPUTED_VALUE"""),7523.18)</f>
        <v>7523.18</v>
      </c>
      <c r="V194" s="26">
        <f>IFERROR(__xludf.DUMMYFUNCTION("""COMPUTED_VALUE"""),0.0)</f>
        <v>0</v>
      </c>
      <c r="W194" s="26">
        <f>IFERROR(__xludf.DUMMYFUNCTION("""COMPUTED_VALUE"""),0.0)</f>
        <v>0</v>
      </c>
      <c r="X194" s="26">
        <f>IFERROR(__xludf.DUMMYFUNCTION("""COMPUTED_VALUE"""),1955.1800000000007)</f>
        <v>1955.18</v>
      </c>
      <c r="Y194" s="26">
        <f>IFERROR(__xludf.DUMMYFUNCTION("""COMPUTED_VALUE"""),1955.1800000000007)</f>
        <v>1955.18</v>
      </c>
      <c r="Z194" s="26">
        <f>IFERROR(__xludf.DUMMYFUNCTION("""COMPUTED_VALUE"""),0.0)</f>
        <v>0</v>
      </c>
      <c r="AA194" s="26">
        <f>IFERROR(__xludf.DUMMYFUNCTION("""COMPUTED_VALUE"""),0.0)</f>
        <v>0</v>
      </c>
      <c r="AB194" s="26">
        <f>IFERROR(__xludf.DUMMYFUNCTION("""COMPUTED_VALUE"""),0.0)</f>
        <v>0</v>
      </c>
      <c r="AC194" s="26">
        <f>IFERROR(__xludf.DUMMYFUNCTION("""COMPUTED_VALUE"""),0.0)</f>
        <v>0</v>
      </c>
      <c r="AD194" s="26">
        <f>IFERROR(__xludf.DUMMYFUNCTION("""COMPUTED_VALUE"""),0.0)</f>
        <v>0</v>
      </c>
      <c r="AE194" s="26">
        <f>IFERROR(__xludf.DUMMYFUNCTION("""COMPUTED_VALUE"""),0.0)</f>
        <v>0</v>
      </c>
    </row>
    <row r="195">
      <c r="A195" s="26">
        <f>IFERROR(__xludf.DUMMYFUNCTION("""COMPUTED_VALUE"""),24.0)</f>
        <v>24</v>
      </c>
      <c r="B195" s="26">
        <f>IFERROR(__xludf.DUMMYFUNCTION("""COMPUTED_VALUE"""),0.0)</f>
        <v>0</v>
      </c>
      <c r="C195" s="26">
        <f>IFERROR(__xludf.DUMMYFUNCTION("""COMPUTED_VALUE"""),0.0)</f>
        <v>0</v>
      </c>
      <c r="D195" s="26">
        <f>IFERROR(__xludf.DUMMYFUNCTION("""COMPUTED_VALUE"""),0.0)</f>
        <v>0</v>
      </c>
      <c r="E195" s="26">
        <f>IFERROR(__xludf.DUMMYFUNCTION("""COMPUTED_VALUE"""),0.0)</f>
        <v>0</v>
      </c>
      <c r="F195" s="26">
        <f>IFERROR(__xludf.DUMMYFUNCTION("""COMPUTED_VALUE"""),0.0)</f>
        <v>0</v>
      </c>
      <c r="G195" s="26">
        <f>IFERROR(__xludf.DUMMYFUNCTION("""COMPUTED_VALUE"""),0.0)</f>
        <v>0</v>
      </c>
      <c r="H195" s="26">
        <f>IFERROR(__xludf.DUMMYFUNCTION("""COMPUTED_VALUE"""),0.0)</f>
        <v>0</v>
      </c>
      <c r="I195" s="26">
        <f>IFERROR(__xludf.DUMMYFUNCTION("""COMPUTED_VALUE"""),0.0)</f>
        <v>0</v>
      </c>
      <c r="J195" s="26">
        <f>IFERROR(__xludf.DUMMYFUNCTION("""COMPUTED_VALUE"""),0.0)</f>
        <v>0</v>
      </c>
      <c r="K195" s="26">
        <f>IFERROR(__xludf.DUMMYFUNCTION("""COMPUTED_VALUE"""),0.0)</f>
        <v>0</v>
      </c>
      <c r="L195" s="26">
        <f>IFERROR(__xludf.DUMMYFUNCTION("""COMPUTED_VALUE"""),0.0)</f>
        <v>0</v>
      </c>
      <c r="M195" s="26"/>
      <c r="N195" s="26"/>
      <c r="O195" s="26"/>
      <c r="P195" s="26"/>
      <c r="Q195" s="26"/>
      <c r="R195" s="26">
        <f>IFERROR(__xludf.DUMMYFUNCTION("""COMPUTED_VALUE"""),24.0)</f>
        <v>24</v>
      </c>
      <c r="S195" s="26">
        <f>IFERROR(__xludf.DUMMYFUNCTION("""COMPUTED_VALUE"""),10608.0)</f>
        <v>10608</v>
      </c>
      <c r="T195" s="26">
        <f>IFERROR(__xludf.DUMMYFUNCTION("""COMPUTED_VALUE"""),4608.0)</f>
        <v>4608</v>
      </c>
      <c r="U195" s="26">
        <f>IFERROR(__xludf.DUMMYFUNCTION("""COMPUTED_VALUE"""),6226.08)</f>
        <v>6226.08</v>
      </c>
      <c r="V195" s="26">
        <f>IFERROR(__xludf.DUMMYFUNCTION("""COMPUTED_VALUE"""),0.0)</f>
        <v>0</v>
      </c>
      <c r="W195" s="26">
        <f>IFERROR(__xludf.DUMMYFUNCTION("""COMPUTED_VALUE"""),0.0)</f>
        <v>0</v>
      </c>
      <c r="X195" s="26">
        <f>IFERROR(__xludf.DUMMYFUNCTION("""COMPUTED_VALUE"""),1618.0800000000004)</f>
        <v>1618.08</v>
      </c>
      <c r="Y195" s="26">
        <f>IFERROR(__xludf.DUMMYFUNCTION("""COMPUTED_VALUE"""),1618.0800000000004)</f>
        <v>1618.08</v>
      </c>
      <c r="Z195" s="26">
        <f>IFERROR(__xludf.DUMMYFUNCTION("""COMPUTED_VALUE"""),0.0)</f>
        <v>0</v>
      </c>
      <c r="AA195" s="26">
        <f>IFERROR(__xludf.DUMMYFUNCTION("""COMPUTED_VALUE"""),0.0)</f>
        <v>0</v>
      </c>
      <c r="AB195" s="26">
        <f>IFERROR(__xludf.DUMMYFUNCTION("""COMPUTED_VALUE"""),0.0)</f>
        <v>0</v>
      </c>
      <c r="AC195" s="26">
        <f>IFERROR(__xludf.DUMMYFUNCTION("""COMPUTED_VALUE"""),0.0)</f>
        <v>0</v>
      </c>
      <c r="AD195" s="26">
        <f>IFERROR(__xludf.DUMMYFUNCTION("""COMPUTED_VALUE"""),0.0)</f>
        <v>0</v>
      </c>
      <c r="AE195" s="26">
        <f>IFERROR(__xludf.DUMMYFUNCTION("""COMPUTED_VALUE"""),0.0)</f>
        <v>0</v>
      </c>
    </row>
    <row r="196">
      <c r="A196" s="26">
        <f>IFERROR(__xludf.DUMMYFUNCTION("""COMPUTED_VALUE"""),26.0)</f>
        <v>26</v>
      </c>
      <c r="B196" s="26">
        <f>IFERROR(__xludf.DUMMYFUNCTION("""COMPUTED_VALUE"""),0.0)</f>
        <v>0</v>
      </c>
      <c r="C196" s="26">
        <f>IFERROR(__xludf.DUMMYFUNCTION("""COMPUTED_VALUE"""),0.0)</f>
        <v>0</v>
      </c>
      <c r="D196" s="26">
        <f>IFERROR(__xludf.DUMMYFUNCTION("""COMPUTED_VALUE"""),0.0)</f>
        <v>0</v>
      </c>
      <c r="E196" s="26">
        <f>IFERROR(__xludf.DUMMYFUNCTION("""COMPUTED_VALUE"""),0.0)</f>
        <v>0</v>
      </c>
      <c r="F196" s="26">
        <f>IFERROR(__xludf.DUMMYFUNCTION("""COMPUTED_VALUE"""),0.0)</f>
        <v>0</v>
      </c>
      <c r="G196" s="26">
        <f>IFERROR(__xludf.DUMMYFUNCTION("""COMPUTED_VALUE"""),0.0)</f>
        <v>0</v>
      </c>
      <c r="H196" s="26">
        <f>IFERROR(__xludf.DUMMYFUNCTION("""COMPUTED_VALUE"""),0.0)</f>
        <v>0</v>
      </c>
      <c r="I196" s="26">
        <f>IFERROR(__xludf.DUMMYFUNCTION("""COMPUTED_VALUE"""),0.0)</f>
        <v>0</v>
      </c>
      <c r="J196" s="26">
        <f>IFERROR(__xludf.DUMMYFUNCTION("""COMPUTED_VALUE"""),0.0)</f>
        <v>0</v>
      </c>
      <c r="K196" s="26">
        <f>IFERROR(__xludf.DUMMYFUNCTION("""COMPUTED_VALUE"""),0.0)</f>
        <v>0</v>
      </c>
      <c r="L196" s="26">
        <f>IFERROR(__xludf.DUMMYFUNCTION("""COMPUTED_VALUE"""),0.0)</f>
        <v>0</v>
      </c>
      <c r="M196" s="26"/>
      <c r="N196" s="26"/>
      <c r="O196" s="26"/>
      <c r="P196" s="26"/>
      <c r="Q196" s="26"/>
      <c r="R196" s="26">
        <f>IFERROR(__xludf.DUMMYFUNCTION("""COMPUTED_VALUE"""),26.0)</f>
        <v>26</v>
      </c>
      <c r="S196" s="26">
        <f>IFERROR(__xludf.DUMMYFUNCTION("""COMPUTED_VALUE"""),11492.0)</f>
        <v>11492</v>
      </c>
      <c r="T196" s="26">
        <f>IFERROR(__xludf.DUMMYFUNCTION("""COMPUTED_VALUE"""),4992.0)</f>
        <v>4992</v>
      </c>
      <c r="U196" s="26">
        <f>IFERROR(__xludf.DUMMYFUNCTION("""COMPUTED_VALUE"""),6744.92)</f>
        <v>6744.92</v>
      </c>
      <c r="V196" s="26">
        <f>IFERROR(__xludf.DUMMYFUNCTION("""COMPUTED_VALUE"""),0.0)</f>
        <v>0</v>
      </c>
      <c r="W196" s="26">
        <f>IFERROR(__xludf.DUMMYFUNCTION("""COMPUTED_VALUE"""),0.0)</f>
        <v>0</v>
      </c>
      <c r="X196" s="26">
        <f>IFERROR(__xludf.DUMMYFUNCTION("""COMPUTED_VALUE"""),1752.9200000000005)</f>
        <v>1752.92</v>
      </c>
      <c r="Y196" s="26">
        <f>IFERROR(__xludf.DUMMYFUNCTION("""COMPUTED_VALUE"""),1752.9200000000005)</f>
        <v>1752.92</v>
      </c>
      <c r="Z196" s="26">
        <f>IFERROR(__xludf.DUMMYFUNCTION("""COMPUTED_VALUE"""),0.0)</f>
        <v>0</v>
      </c>
      <c r="AA196" s="26">
        <f>IFERROR(__xludf.DUMMYFUNCTION("""COMPUTED_VALUE"""),0.0)</f>
        <v>0</v>
      </c>
      <c r="AB196" s="26">
        <f>IFERROR(__xludf.DUMMYFUNCTION("""COMPUTED_VALUE"""),0.0)</f>
        <v>0</v>
      </c>
      <c r="AC196" s="26">
        <f>IFERROR(__xludf.DUMMYFUNCTION("""COMPUTED_VALUE"""),0.0)</f>
        <v>0</v>
      </c>
      <c r="AD196" s="26">
        <f>IFERROR(__xludf.DUMMYFUNCTION("""COMPUTED_VALUE"""),0.0)</f>
        <v>0</v>
      </c>
      <c r="AE196" s="26">
        <f>IFERROR(__xludf.DUMMYFUNCTION("""COMPUTED_VALUE"""),0.0)</f>
        <v>0</v>
      </c>
    </row>
    <row r="197">
      <c r="A197" s="26">
        <f>IFERROR(__xludf.DUMMYFUNCTION("""COMPUTED_VALUE"""),0.0)</f>
        <v>0</v>
      </c>
      <c r="B197" s="26">
        <f>IFERROR(__xludf.DUMMYFUNCTION("""COMPUTED_VALUE"""),0.0)</f>
        <v>0</v>
      </c>
      <c r="C197" s="26">
        <f>IFERROR(__xludf.DUMMYFUNCTION("""COMPUTED_VALUE"""),0.0)</f>
        <v>0</v>
      </c>
      <c r="D197" s="26">
        <f>IFERROR(__xludf.DUMMYFUNCTION("""COMPUTED_VALUE"""),0.0)</f>
        <v>0</v>
      </c>
      <c r="E197" s="26">
        <f>IFERROR(__xludf.DUMMYFUNCTION("""COMPUTED_VALUE"""),0.0)</f>
        <v>0</v>
      </c>
      <c r="F197" s="26">
        <f>IFERROR(__xludf.DUMMYFUNCTION("""COMPUTED_VALUE"""),0.0)</f>
        <v>0</v>
      </c>
      <c r="G197" s="26">
        <f>IFERROR(__xludf.DUMMYFUNCTION("""COMPUTED_VALUE"""),0.0)</f>
        <v>0</v>
      </c>
      <c r="H197" s="26">
        <f>IFERROR(__xludf.DUMMYFUNCTION("""COMPUTED_VALUE"""),0.0)</f>
        <v>0</v>
      </c>
      <c r="I197" s="26">
        <f>IFERROR(__xludf.DUMMYFUNCTION("""COMPUTED_VALUE"""),0.0)</f>
        <v>0</v>
      </c>
      <c r="J197" s="26">
        <f>IFERROR(__xludf.DUMMYFUNCTION("""COMPUTED_VALUE"""),0.0)</f>
        <v>0</v>
      </c>
      <c r="K197" s="26">
        <f>IFERROR(__xludf.DUMMYFUNCTION("""COMPUTED_VALUE"""),0.0)</f>
        <v>0</v>
      </c>
      <c r="L197" s="26">
        <f>IFERROR(__xludf.DUMMYFUNCTION("""COMPUTED_VALUE"""),0.0)</f>
        <v>0</v>
      </c>
      <c r="M197" s="26"/>
      <c r="N197" s="26"/>
      <c r="O197" s="26"/>
      <c r="P197" s="26"/>
      <c r="Q197" s="26"/>
      <c r="R197" s="26">
        <f>IFERROR(__xludf.DUMMYFUNCTION("""COMPUTED_VALUE"""),0.0)</f>
        <v>0</v>
      </c>
      <c r="S197" s="26">
        <f>IFERROR(__xludf.DUMMYFUNCTION("""COMPUTED_VALUE"""),0.0)</f>
        <v>0</v>
      </c>
      <c r="T197" s="26">
        <f>IFERROR(__xludf.DUMMYFUNCTION("""COMPUTED_VALUE"""),0.0)</f>
        <v>0</v>
      </c>
      <c r="U197" s="26">
        <f>IFERROR(__xludf.DUMMYFUNCTION("""COMPUTED_VALUE"""),0.0)</f>
        <v>0</v>
      </c>
      <c r="V197" s="26">
        <f>IFERROR(__xludf.DUMMYFUNCTION("""COMPUTED_VALUE"""),0.0)</f>
        <v>0</v>
      </c>
      <c r="W197" s="26">
        <f>IFERROR(__xludf.DUMMYFUNCTION("""COMPUTED_VALUE"""),0.0)</f>
        <v>0</v>
      </c>
      <c r="X197" s="26">
        <f>IFERROR(__xludf.DUMMYFUNCTION("""COMPUTED_VALUE"""),0.0)</f>
        <v>0</v>
      </c>
      <c r="Y197" s="26">
        <f>IFERROR(__xludf.DUMMYFUNCTION("""COMPUTED_VALUE"""),0.0)</f>
        <v>0</v>
      </c>
      <c r="Z197" s="26">
        <f>IFERROR(__xludf.DUMMYFUNCTION("""COMPUTED_VALUE"""),0.0)</f>
        <v>0</v>
      </c>
      <c r="AA197" s="26">
        <f>IFERROR(__xludf.DUMMYFUNCTION("""COMPUTED_VALUE"""),0.0)</f>
        <v>0</v>
      </c>
      <c r="AB197" s="26">
        <f>IFERROR(__xludf.DUMMYFUNCTION("""COMPUTED_VALUE"""),0.0)</f>
        <v>0</v>
      </c>
      <c r="AC197" s="26">
        <f>IFERROR(__xludf.DUMMYFUNCTION("""COMPUTED_VALUE"""),0.0)</f>
        <v>0</v>
      </c>
      <c r="AD197" s="26">
        <f>IFERROR(__xludf.DUMMYFUNCTION("""COMPUTED_VALUE"""),0.0)</f>
        <v>0</v>
      </c>
      <c r="AE197" s="26">
        <f>IFERROR(__xludf.DUMMYFUNCTION("""COMPUTED_VALUE"""),0.0)</f>
        <v>0</v>
      </c>
    </row>
    <row r="198">
      <c r="A198" s="26">
        <f>IFERROR(__xludf.DUMMYFUNCTION("""COMPUTED_VALUE"""),0.0)</f>
        <v>0</v>
      </c>
      <c r="B198" s="26">
        <f>IFERROR(__xludf.DUMMYFUNCTION("""COMPUTED_VALUE"""),0.0)</f>
        <v>0</v>
      </c>
      <c r="C198" s="26">
        <f>IFERROR(__xludf.DUMMYFUNCTION("""COMPUTED_VALUE"""),0.0)</f>
        <v>0</v>
      </c>
      <c r="D198" s="26">
        <f>IFERROR(__xludf.DUMMYFUNCTION("""COMPUTED_VALUE"""),0.0)</f>
        <v>0</v>
      </c>
      <c r="E198" s="26">
        <f>IFERROR(__xludf.DUMMYFUNCTION("""COMPUTED_VALUE"""),0.0)</f>
        <v>0</v>
      </c>
      <c r="F198" s="26">
        <f>IFERROR(__xludf.DUMMYFUNCTION("""COMPUTED_VALUE"""),0.0)</f>
        <v>0</v>
      </c>
      <c r="G198" s="26">
        <f>IFERROR(__xludf.DUMMYFUNCTION("""COMPUTED_VALUE"""),0.0)</f>
        <v>0</v>
      </c>
      <c r="H198" s="26">
        <f>IFERROR(__xludf.DUMMYFUNCTION("""COMPUTED_VALUE"""),0.0)</f>
        <v>0</v>
      </c>
      <c r="I198" s="26">
        <f>IFERROR(__xludf.DUMMYFUNCTION("""COMPUTED_VALUE"""),0.0)</f>
        <v>0</v>
      </c>
      <c r="J198" s="26">
        <f>IFERROR(__xludf.DUMMYFUNCTION("""COMPUTED_VALUE"""),0.0)</f>
        <v>0</v>
      </c>
      <c r="K198" s="26">
        <f>IFERROR(__xludf.DUMMYFUNCTION("""COMPUTED_VALUE"""),0.0)</f>
        <v>0</v>
      </c>
      <c r="L198" s="26">
        <f>IFERROR(__xludf.DUMMYFUNCTION("""COMPUTED_VALUE"""),0.0)</f>
        <v>0</v>
      </c>
      <c r="M198" s="26"/>
      <c r="N198" s="26"/>
      <c r="O198" s="26"/>
      <c r="P198" s="26"/>
      <c r="Q198" s="26"/>
      <c r="R198" s="26">
        <f>IFERROR(__xludf.DUMMYFUNCTION("""COMPUTED_VALUE"""),0.0)</f>
        <v>0</v>
      </c>
      <c r="S198" s="26">
        <f>IFERROR(__xludf.DUMMYFUNCTION("""COMPUTED_VALUE"""),0.0)</f>
        <v>0</v>
      </c>
      <c r="T198" s="26">
        <f>IFERROR(__xludf.DUMMYFUNCTION("""COMPUTED_VALUE"""),0.0)</f>
        <v>0</v>
      </c>
      <c r="U198" s="26">
        <f>IFERROR(__xludf.DUMMYFUNCTION("""COMPUTED_VALUE"""),0.0)</f>
        <v>0</v>
      </c>
      <c r="V198" s="26">
        <f>IFERROR(__xludf.DUMMYFUNCTION("""COMPUTED_VALUE"""),0.0)</f>
        <v>0</v>
      </c>
      <c r="W198" s="26">
        <f>IFERROR(__xludf.DUMMYFUNCTION("""COMPUTED_VALUE"""),0.0)</f>
        <v>0</v>
      </c>
      <c r="X198" s="26">
        <f>IFERROR(__xludf.DUMMYFUNCTION("""COMPUTED_VALUE"""),0.0)</f>
        <v>0</v>
      </c>
      <c r="Y198" s="26">
        <f>IFERROR(__xludf.DUMMYFUNCTION("""COMPUTED_VALUE"""),0.0)</f>
        <v>0</v>
      </c>
      <c r="Z198" s="26">
        <f>IFERROR(__xludf.DUMMYFUNCTION("""COMPUTED_VALUE"""),0.0)</f>
        <v>0</v>
      </c>
      <c r="AA198" s="26">
        <f>IFERROR(__xludf.DUMMYFUNCTION("""COMPUTED_VALUE"""),0.0)</f>
        <v>0</v>
      </c>
      <c r="AB198" s="26">
        <f>IFERROR(__xludf.DUMMYFUNCTION("""COMPUTED_VALUE"""),0.0)</f>
        <v>0</v>
      </c>
      <c r="AC198" s="26">
        <f>IFERROR(__xludf.DUMMYFUNCTION("""COMPUTED_VALUE"""),0.0)</f>
        <v>0</v>
      </c>
      <c r="AD198" s="26">
        <f>IFERROR(__xludf.DUMMYFUNCTION("""COMPUTED_VALUE"""),0.0)</f>
        <v>0</v>
      </c>
      <c r="AE198" s="26">
        <f>IFERROR(__xludf.DUMMYFUNCTION("""COMPUTED_VALUE"""),0.0)</f>
        <v>0</v>
      </c>
    </row>
    <row r="199">
      <c r="A199" s="26">
        <f>IFERROR(__xludf.DUMMYFUNCTION("""COMPUTED_VALUE"""),0.0)</f>
        <v>0</v>
      </c>
      <c r="B199" s="26">
        <f>IFERROR(__xludf.DUMMYFUNCTION("""COMPUTED_VALUE"""),0.0)</f>
        <v>0</v>
      </c>
      <c r="C199" s="26">
        <f>IFERROR(__xludf.DUMMYFUNCTION("""COMPUTED_VALUE"""),0.0)</f>
        <v>0</v>
      </c>
      <c r="D199" s="26">
        <f>IFERROR(__xludf.DUMMYFUNCTION("""COMPUTED_VALUE"""),0.0)</f>
        <v>0</v>
      </c>
      <c r="E199" s="26">
        <f>IFERROR(__xludf.DUMMYFUNCTION("""COMPUTED_VALUE"""),0.0)</f>
        <v>0</v>
      </c>
      <c r="F199" s="26">
        <f>IFERROR(__xludf.DUMMYFUNCTION("""COMPUTED_VALUE"""),0.0)</f>
        <v>0</v>
      </c>
      <c r="G199" s="26">
        <f>IFERROR(__xludf.DUMMYFUNCTION("""COMPUTED_VALUE"""),0.0)</f>
        <v>0</v>
      </c>
      <c r="H199" s="26">
        <f>IFERROR(__xludf.DUMMYFUNCTION("""COMPUTED_VALUE"""),0.0)</f>
        <v>0</v>
      </c>
      <c r="I199" s="26">
        <f>IFERROR(__xludf.DUMMYFUNCTION("""COMPUTED_VALUE"""),0.0)</f>
        <v>0</v>
      </c>
      <c r="J199" s="26">
        <f>IFERROR(__xludf.DUMMYFUNCTION("""COMPUTED_VALUE"""),0.0)</f>
        <v>0</v>
      </c>
      <c r="K199" s="26">
        <f>IFERROR(__xludf.DUMMYFUNCTION("""COMPUTED_VALUE"""),0.0)</f>
        <v>0</v>
      </c>
      <c r="L199" s="26">
        <f>IFERROR(__xludf.DUMMYFUNCTION("""COMPUTED_VALUE"""),0.0)</f>
        <v>0</v>
      </c>
      <c r="M199" s="26"/>
      <c r="N199" s="26"/>
      <c r="O199" s="26"/>
      <c r="P199" s="26"/>
      <c r="Q199" s="26"/>
      <c r="R199" s="26">
        <f>IFERROR(__xludf.DUMMYFUNCTION("""COMPUTED_VALUE"""),0.0)</f>
        <v>0</v>
      </c>
      <c r="S199" s="26">
        <f>IFERROR(__xludf.DUMMYFUNCTION("""COMPUTED_VALUE"""),0.0)</f>
        <v>0</v>
      </c>
      <c r="T199" s="26">
        <f>IFERROR(__xludf.DUMMYFUNCTION("""COMPUTED_VALUE"""),0.0)</f>
        <v>0</v>
      </c>
      <c r="U199" s="26">
        <f>IFERROR(__xludf.DUMMYFUNCTION("""COMPUTED_VALUE"""),0.0)</f>
        <v>0</v>
      </c>
      <c r="V199" s="26">
        <f>IFERROR(__xludf.DUMMYFUNCTION("""COMPUTED_VALUE"""),0.0)</f>
        <v>0</v>
      </c>
      <c r="W199" s="26">
        <f>IFERROR(__xludf.DUMMYFUNCTION("""COMPUTED_VALUE"""),0.0)</f>
        <v>0</v>
      </c>
      <c r="X199" s="26">
        <f>IFERROR(__xludf.DUMMYFUNCTION("""COMPUTED_VALUE"""),0.0)</f>
        <v>0</v>
      </c>
      <c r="Y199" s="26">
        <f>IFERROR(__xludf.DUMMYFUNCTION("""COMPUTED_VALUE"""),0.0)</f>
        <v>0</v>
      </c>
      <c r="Z199" s="26">
        <f>IFERROR(__xludf.DUMMYFUNCTION("""COMPUTED_VALUE"""),0.0)</f>
        <v>0</v>
      </c>
      <c r="AA199" s="26">
        <f>IFERROR(__xludf.DUMMYFUNCTION("""COMPUTED_VALUE"""),0.0)</f>
        <v>0</v>
      </c>
      <c r="AB199" s="26">
        <f>IFERROR(__xludf.DUMMYFUNCTION("""COMPUTED_VALUE"""),0.0)</f>
        <v>0</v>
      </c>
      <c r="AC199" s="26">
        <f>IFERROR(__xludf.DUMMYFUNCTION("""COMPUTED_VALUE"""),0.0)</f>
        <v>0</v>
      </c>
      <c r="AD199" s="26">
        <f>IFERROR(__xludf.DUMMYFUNCTION("""COMPUTED_VALUE"""),0.0)</f>
        <v>0</v>
      </c>
      <c r="AE199" s="26">
        <f>IFERROR(__xludf.DUMMYFUNCTION("""COMPUTED_VALUE"""),0.0)</f>
        <v>0</v>
      </c>
    </row>
    <row r="200">
      <c r="A200" s="26">
        <f>IFERROR(__xludf.DUMMYFUNCTION("""COMPUTED_VALUE"""),11.0)</f>
        <v>11</v>
      </c>
      <c r="B200" s="26">
        <f>IFERROR(__xludf.DUMMYFUNCTION("""COMPUTED_VALUE"""),0.0)</f>
        <v>0</v>
      </c>
      <c r="C200" s="26">
        <f>IFERROR(__xludf.DUMMYFUNCTION("""COMPUTED_VALUE"""),14.0)</f>
        <v>14</v>
      </c>
      <c r="D200" s="26">
        <f>IFERROR(__xludf.DUMMYFUNCTION("""COMPUTED_VALUE"""),0.0)</f>
        <v>0</v>
      </c>
      <c r="E200" s="26">
        <f>IFERROR(__xludf.DUMMYFUNCTION("""COMPUTED_VALUE"""),0.0)</f>
        <v>0</v>
      </c>
      <c r="F200" s="26">
        <f>IFERROR(__xludf.DUMMYFUNCTION("""COMPUTED_VALUE"""),0.0)</f>
        <v>0</v>
      </c>
      <c r="G200" s="26">
        <f>IFERROR(__xludf.DUMMYFUNCTION("""COMPUTED_VALUE"""),0.0)</f>
        <v>0</v>
      </c>
      <c r="H200" s="26">
        <f>IFERROR(__xludf.DUMMYFUNCTION("""COMPUTED_VALUE"""),0.0)</f>
        <v>0</v>
      </c>
      <c r="I200" s="26">
        <f>IFERROR(__xludf.DUMMYFUNCTION("""COMPUTED_VALUE"""),0.0)</f>
        <v>0</v>
      </c>
      <c r="J200" s="26">
        <f>IFERROR(__xludf.DUMMYFUNCTION("""COMPUTED_VALUE"""),0.0)</f>
        <v>0</v>
      </c>
      <c r="K200" s="26">
        <f>IFERROR(__xludf.DUMMYFUNCTION("""COMPUTED_VALUE"""),0.0)</f>
        <v>0</v>
      </c>
      <c r="L200" s="26">
        <f>IFERROR(__xludf.DUMMYFUNCTION("""COMPUTED_VALUE"""),0.0)</f>
        <v>0</v>
      </c>
      <c r="M200" s="26"/>
      <c r="N200" s="26"/>
      <c r="O200" s="26"/>
      <c r="P200" s="26"/>
      <c r="Q200" s="26"/>
      <c r="R200" s="26">
        <f>IFERROR(__xludf.DUMMYFUNCTION("""COMPUTED_VALUE"""),25.0)</f>
        <v>25</v>
      </c>
      <c r="S200" s="26">
        <f>IFERROR(__xludf.DUMMYFUNCTION("""COMPUTED_VALUE"""),13350.0)</f>
        <v>13350</v>
      </c>
      <c r="T200" s="26">
        <f>IFERROR(__xludf.DUMMYFUNCTION("""COMPUTED_VALUE"""),5685.0)</f>
        <v>5685</v>
      </c>
      <c r="U200" s="26">
        <f>IFERROR(__xludf.DUMMYFUNCTION("""COMPUTED_VALUE"""),7721.39)</f>
        <v>7721.39</v>
      </c>
      <c r="V200" s="26">
        <f>IFERROR(__xludf.DUMMYFUNCTION("""COMPUTED_VALUE"""),0.0)</f>
        <v>0</v>
      </c>
      <c r="W200" s="26">
        <f>IFERROR(__xludf.DUMMYFUNCTION("""COMPUTED_VALUE"""),0.0)</f>
        <v>0</v>
      </c>
      <c r="X200" s="26">
        <f>IFERROR(__xludf.DUMMYFUNCTION("""COMPUTED_VALUE"""),2036.39)</f>
        <v>2036.39</v>
      </c>
      <c r="Y200" s="26">
        <f>IFERROR(__xludf.DUMMYFUNCTION("""COMPUTED_VALUE"""),2036.39)</f>
        <v>2036.39</v>
      </c>
      <c r="Z200" s="26">
        <f>IFERROR(__xludf.DUMMYFUNCTION("""COMPUTED_VALUE"""),0.0)</f>
        <v>0</v>
      </c>
      <c r="AA200" s="26">
        <f>IFERROR(__xludf.DUMMYFUNCTION("""COMPUTED_VALUE"""),0.0)</f>
        <v>0</v>
      </c>
      <c r="AB200" s="26">
        <f>IFERROR(__xludf.DUMMYFUNCTION("""COMPUTED_VALUE"""),0.0)</f>
        <v>0</v>
      </c>
      <c r="AC200" s="26">
        <f>IFERROR(__xludf.DUMMYFUNCTION("""COMPUTED_VALUE"""),0.0)</f>
        <v>0</v>
      </c>
      <c r="AD200" s="26">
        <f>IFERROR(__xludf.DUMMYFUNCTION("""COMPUTED_VALUE"""),0.0)</f>
        <v>0</v>
      </c>
      <c r="AE200" s="26">
        <f>IFERROR(__xludf.DUMMYFUNCTION("""COMPUTED_VALUE"""),0.0)</f>
        <v>0</v>
      </c>
    </row>
    <row r="201">
      <c r="A201" s="26">
        <f>IFERROR(__xludf.DUMMYFUNCTION("""COMPUTED_VALUE"""),2.0)</f>
        <v>2</v>
      </c>
      <c r="B201" s="26">
        <f>IFERROR(__xludf.DUMMYFUNCTION("""COMPUTED_VALUE"""),0.0)</f>
        <v>0</v>
      </c>
      <c r="C201" s="26">
        <f>IFERROR(__xludf.DUMMYFUNCTION("""COMPUTED_VALUE"""),6.0)</f>
        <v>6</v>
      </c>
      <c r="D201" s="26">
        <f>IFERROR(__xludf.DUMMYFUNCTION("""COMPUTED_VALUE"""),0.0)</f>
        <v>0</v>
      </c>
      <c r="E201" s="26">
        <f>IFERROR(__xludf.DUMMYFUNCTION("""COMPUTED_VALUE"""),0.0)</f>
        <v>0</v>
      </c>
      <c r="F201" s="26">
        <f>IFERROR(__xludf.DUMMYFUNCTION("""COMPUTED_VALUE"""),0.0)</f>
        <v>0</v>
      </c>
      <c r="G201" s="26">
        <f>IFERROR(__xludf.DUMMYFUNCTION("""COMPUTED_VALUE"""),0.0)</f>
        <v>0</v>
      </c>
      <c r="H201" s="26">
        <f>IFERROR(__xludf.DUMMYFUNCTION("""COMPUTED_VALUE"""),0.0)</f>
        <v>0</v>
      </c>
      <c r="I201" s="26">
        <f>IFERROR(__xludf.DUMMYFUNCTION("""COMPUTED_VALUE"""),0.0)</f>
        <v>0</v>
      </c>
      <c r="J201" s="26">
        <f>IFERROR(__xludf.DUMMYFUNCTION("""COMPUTED_VALUE"""),0.0)</f>
        <v>0</v>
      </c>
      <c r="K201" s="26">
        <f>IFERROR(__xludf.DUMMYFUNCTION("""COMPUTED_VALUE"""),0.0)</f>
        <v>0</v>
      </c>
      <c r="L201" s="26">
        <f>IFERROR(__xludf.DUMMYFUNCTION("""COMPUTED_VALUE"""),0.0)</f>
        <v>0</v>
      </c>
      <c r="M201" s="26"/>
      <c r="N201" s="26"/>
      <c r="O201" s="26"/>
      <c r="P201" s="26"/>
      <c r="Q201" s="26"/>
      <c r="R201" s="26">
        <f>IFERROR(__xludf.DUMMYFUNCTION("""COMPUTED_VALUE"""),8.0)</f>
        <v>8</v>
      </c>
      <c r="S201" s="26">
        <f>IFERROR(__xludf.DUMMYFUNCTION("""COMPUTED_VALUE"""),4920.0)</f>
        <v>4920</v>
      </c>
      <c r="T201" s="26">
        <f>IFERROR(__xludf.DUMMYFUNCTION("""COMPUTED_VALUE"""),1880.0)</f>
        <v>1880</v>
      </c>
      <c r="U201" s="26">
        <f>IFERROR(__xludf.DUMMYFUNCTION("""COMPUTED_VALUE"""),2630.48)</f>
        <v>2630.48</v>
      </c>
      <c r="V201" s="26">
        <f>IFERROR(__xludf.DUMMYFUNCTION("""COMPUTED_VALUE"""),0.0)</f>
        <v>0</v>
      </c>
      <c r="W201" s="26">
        <f>IFERROR(__xludf.DUMMYFUNCTION("""COMPUTED_VALUE"""),0.0)</f>
        <v>0</v>
      </c>
      <c r="X201" s="26">
        <f>IFERROR(__xludf.DUMMYFUNCTION("""COMPUTED_VALUE"""),750.48)</f>
        <v>750.48</v>
      </c>
      <c r="Y201" s="26">
        <f>IFERROR(__xludf.DUMMYFUNCTION("""COMPUTED_VALUE"""),750.48)</f>
        <v>750.48</v>
      </c>
      <c r="Z201" s="26">
        <f>IFERROR(__xludf.DUMMYFUNCTION("""COMPUTED_VALUE"""),0.0)</f>
        <v>0</v>
      </c>
      <c r="AA201" s="26">
        <f>IFERROR(__xludf.DUMMYFUNCTION("""COMPUTED_VALUE"""),0.0)</f>
        <v>0</v>
      </c>
      <c r="AB201" s="26">
        <f>IFERROR(__xludf.DUMMYFUNCTION("""COMPUTED_VALUE"""),0.0)</f>
        <v>0</v>
      </c>
      <c r="AC201" s="26">
        <f>IFERROR(__xludf.DUMMYFUNCTION("""COMPUTED_VALUE"""),0.0)</f>
        <v>0</v>
      </c>
      <c r="AD201" s="26">
        <f>IFERROR(__xludf.DUMMYFUNCTION("""COMPUTED_VALUE"""),0.0)</f>
        <v>0</v>
      </c>
      <c r="AE201" s="26">
        <f>IFERROR(__xludf.DUMMYFUNCTION("""COMPUTED_VALUE"""),0.0)</f>
        <v>0</v>
      </c>
    </row>
    <row r="202">
      <c r="A202" s="26">
        <f>IFERROR(__xludf.DUMMYFUNCTION("""COMPUTED_VALUE"""),4.0)</f>
        <v>4</v>
      </c>
      <c r="B202" s="26">
        <f>IFERROR(__xludf.DUMMYFUNCTION("""COMPUTED_VALUE"""),0.0)</f>
        <v>0</v>
      </c>
      <c r="C202" s="26">
        <f>IFERROR(__xludf.DUMMYFUNCTION("""COMPUTED_VALUE"""),10.0)</f>
        <v>10</v>
      </c>
      <c r="D202" s="26">
        <f>IFERROR(__xludf.DUMMYFUNCTION("""COMPUTED_VALUE"""),0.0)</f>
        <v>0</v>
      </c>
      <c r="E202" s="26">
        <f>IFERROR(__xludf.DUMMYFUNCTION("""COMPUTED_VALUE"""),0.0)</f>
        <v>0</v>
      </c>
      <c r="F202" s="26">
        <f>IFERROR(__xludf.DUMMYFUNCTION("""COMPUTED_VALUE"""),0.0)</f>
        <v>0</v>
      </c>
      <c r="G202" s="26">
        <f>IFERROR(__xludf.DUMMYFUNCTION("""COMPUTED_VALUE"""),0.0)</f>
        <v>0</v>
      </c>
      <c r="H202" s="26">
        <f>IFERROR(__xludf.DUMMYFUNCTION("""COMPUTED_VALUE"""),0.0)</f>
        <v>0</v>
      </c>
      <c r="I202" s="26">
        <f>IFERROR(__xludf.DUMMYFUNCTION("""COMPUTED_VALUE"""),0.0)</f>
        <v>0</v>
      </c>
      <c r="J202" s="26">
        <f>IFERROR(__xludf.DUMMYFUNCTION("""COMPUTED_VALUE"""),0.0)</f>
        <v>0</v>
      </c>
      <c r="K202" s="26">
        <f>IFERROR(__xludf.DUMMYFUNCTION("""COMPUTED_VALUE"""),0.0)</f>
        <v>0</v>
      </c>
      <c r="L202" s="26">
        <f>IFERROR(__xludf.DUMMYFUNCTION("""COMPUTED_VALUE"""),0.0)</f>
        <v>0</v>
      </c>
      <c r="M202" s="26"/>
      <c r="N202" s="26"/>
      <c r="O202" s="26"/>
      <c r="P202" s="26"/>
      <c r="Q202" s="26"/>
      <c r="R202" s="26">
        <f>IFERROR(__xludf.DUMMYFUNCTION("""COMPUTED_VALUE"""),14.0)</f>
        <v>14</v>
      </c>
      <c r="S202" s="26">
        <f>IFERROR(__xludf.DUMMYFUNCTION("""COMPUTED_VALUE"""),6460.0)</f>
        <v>6460</v>
      </c>
      <c r="T202" s="26">
        <f>IFERROR(__xludf.DUMMYFUNCTION("""COMPUTED_VALUE"""),3270.0)</f>
        <v>3270</v>
      </c>
      <c r="U202" s="26">
        <f>IFERROR(__xludf.DUMMYFUNCTION("""COMPUTED_VALUE"""),4255.46)</f>
        <v>4255.46</v>
      </c>
      <c r="V202" s="26">
        <f>IFERROR(__xludf.DUMMYFUNCTION("""COMPUTED_VALUE"""),0.0)</f>
        <v>0</v>
      </c>
      <c r="W202" s="26">
        <f>IFERROR(__xludf.DUMMYFUNCTION("""COMPUTED_VALUE"""),0.0)</f>
        <v>0</v>
      </c>
      <c r="X202" s="26">
        <f>IFERROR(__xludf.DUMMYFUNCTION("""COMPUTED_VALUE"""),985.46)</f>
        <v>985.46</v>
      </c>
      <c r="Y202" s="26">
        <f>IFERROR(__xludf.DUMMYFUNCTION("""COMPUTED_VALUE"""),985.46)</f>
        <v>985.46</v>
      </c>
      <c r="Z202" s="26">
        <f>IFERROR(__xludf.DUMMYFUNCTION("""COMPUTED_VALUE"""),0.0)</f>
        <v>0</v>
      </c>
      <c r="AA202" s="26">
        <f>IFERROR(__xludf.DUMMYFUNCTION("""COMPUTED_VALUE"""),0.0)</f>
        <v>0</v>
      </c>
      <c r="AB202" s="26">
        <f>IFERROR(__xludf.DUMMYFUNCTION("""COMPUTED_VALUE"""),0.0)</f>
        <v>0</v>
      </c>
      <c r="AC202" s="26">
        <f>IFERROR(__xludf.DUMMYFUNCTION("""COMPUTED_VALUE"""),0.0)</f>
        <v>0</v>
      </c>
      <c r="AD202" s="26">
        <f>IFERROR(__xludf.DUMMYFUNCTION("""COMPUTED_VALUE"""),0.0)</f>
        <v>0</v>
      </c>
      <c r="AE202" s="26">
        <f>IFERROR(__xludf.DUMMYFUNCTION("""COMPUTED_VALUE"""),0.0)</f>
        <v>0</v>
      </c>
    </row>
    <row r="203">
      <c r="A203" s="26">
        <f>IFERROR(__xludf.DUMMYFUNCTION("""COMPUTED_VALUE"""),0.0)</f>
        <v>0</v>
      </c>
      <c r="B203" s="26">
        <f>IFERROR(__xludf.DUMMYFUNCTION("""COMPUTED_VALUE"""),0.0)</f>
        <v>0</v>
      </c>
      <c r="C203" s="26">
        <f>IFERROR(__xludf.DUMMYFUNCTION("""COMPUTED_VALUE"""),0.0)</f>
        <v>0</v>
      </c>
      <c r="D203" s="26">
        <f>IFERROR(__xludf.DUMMYFUNCTION("""COMPUTED_VALUE"""),0.0)</f>
        <v>0</v>
      </c>
      <c r="E203" s="26">
        <f>IFERROR(__xludf.DUMMYFUNCTION("""COMPUTED_VALUE"""),0.0)</f>
        <v>0</v>
      </c>
      <c r="F203" s="26">
        <f>IFERROR(__xludf.DUMMYFUNCTION("""COMPUTED_VALUE"""),0.0)</f>
        <v>0</v>
      </c>
      <c r="G203" s="26">
        <f>IFERROR(__xludf.DUMMYFUNCTION("""COMPUTED_VALUE"""),0.0)</f>
        <v>0</v>
      </c>
      <c r="H203" s="26">
        <f>IFERROR(__xludf.DUMMYFUNCTION("""COMPUTED_VALUE"""),0.0)</f>
        <v>0</v>
      </c>
      <c r="I203" s="26">
        <f>IFERROR(__xludf.DUMMYFUNCTION("""COMPUTED_VALUE"""),0.0)</f>
        <v>0</v>
      </c>
      <c r="J203" s="26">
        <f>IFERROR(__xludf.DUMMYFUNCTION("""COMPUTED_VALUE"""),0.0)</f>
        <v>0</v>
      </c>
      <c r="K203" s="26">
        <f>IFERROR(__xludf.DUMMYFUNCTION("""COMPUTED_VALUE"""),0.0)</f>
        <v>0</v>
      </c>
      <c r="L203" s="26">
        <f>IFERROR(__xludf.DUMMYFUNCTION("""COMPUTED_VALUE"""),0.0)</f>
        <v>0</v>
      </c>
      <c r="M203" s="26"/>
      <c r="N203" s="26"/>
      <c r="O203" s="26"/>
      <c r="P203" s="26"/>
      <c r="Q203" s="26"/>
      <c r="R203" s="26">
        <f>IFERROR(__xludf.DUMMYFUNCTION("""COMPUTED_VALUE"""),0.0)</f>
        <v>0</v>
      </c>
      <c r="S203" s="26">
        <f>IFERROR(__xludf.DUMMYFUNCTION("""COMPUTED_VALUE"""),0.0)</f>
        <v>0</v>
      </c>
      <c r="T203" s="26">
        <f>IFERROR(__xludf.DUMMYFUNCTION("""COMPUTED_VALUE"""),0.0)</f>
        <v>0</v>
      </c>
      <c r="U203" s="26">
        <f>IFERROR(__xludf.DUMMYFUNCTION("""COMPUTED_VALUE"""),0.0)</f>
        <v>0</v>
      </c>
      <c r="V203" s="26">
        <f>IFERROR(__xludf.DUMMYFUNCTION("""COMPUTED_VALUE"""),0.0)</f>
        <v>0</v>
      </c>
      <c r="W203" s="26">
        <f>IFERROR(__xludf.DUMMYFUNCTION("""COMPUTED_VALUE"""),0.0)</f>
        <v>0</v>
      </c>
      <c r="X203" s="26">
        <f>IFERROR(__xludf.DUMMYFUNCTION("""COMPUTED_VALUE"""),0.0)</f>
        <v>0</v>
      </c>
      <c r="Y203" s="26">
        <f>IFERROR(__xludf.DUMMYFUNCTION("""COMPUTED_VALUE"""),0.0)</f>
        <v>0</v>
      </c>
      <c r="Z203" s="26">
        <f>IFERROR(__xludf.DUMMYFUNCTION("""COMPUTED_VALUE"""),0.0)</f>
        <v>0</v>
      </c>
      <c r="AA203" s="26">
        <f>IFERROR(__xludf.DUMMYFUNCTION("""COMPUTED_VALUE"""),0.0)</f>
        <v>0</v>
      </c>
      <c r="AB203" s="26">
        <f>IFERROR(__xludf.DUMMYFUNCTION("""COMPUTED_VALUE"""),0.0)</f>
        <v>0</v>
      </c>
      <c r="AC203" s="26">
        <f>IFERROR(__xludf.DUMMYFUNCTION("""COMPUTED_VALUE"""),0.0)</f>
        <v>0</v>
      </c>
      <c r="AD203" s="26">
        <f>IFERROR(__xludf.DUMMYFUNCTION("""COMPUTED_VALUE"""),0.0)</f>
        <v>0</v>
      </c>
      <c r="AE203" s="26">
        <f>IFERROR(__xludf.DUMMYFUNCTION("""COMPUTED_VALUE"""),0.0)</f>
        <v>0</v>
      </c>
    </row>
    <row r="204">
      <c r="A204" s="26">
        <f>IFERROR(__xludf.DUMMYFUNCTION("""COMPUTED_VALUE"""),0.0)</f>
        <v>0</v>
      </c>
      <c r="B204" s="26">
        <f>IFERROR(__xludf.DUMMYFUNCTION("""COMPUTED_VALUE"""),0.0)</f>
        <v>0</v>
      </c>
      <c r="C204" s="26">
        <f>IFERROR(__xludf.DUMMYFUNCTION("""COMPUTED_VALUE"""),0.0)</f>
        <v>0</v>
      </c>
      <c r="D204" s="26">
        <f>IFERROR(__xludf.DUMMYFUNCTION("""COMPUTED_VALUE"""),0.0)</f>
        <v>0</v>
      </c>
      <c r="E204" s="26">
        <f>IFERROR(__xludf.DUMMYFUNCTION("""COMPUTED_VALUE"""),0.0)</f>
        <v>0</v>
      </c>
      <c r="F204" s="26">
        <f>IFERROR(__xludf.DUMMYFUNCTION("""COMPUTED_VALUE"""),0.0)</f>
        <v>0</v>
      </c>
      <c r="G204" s="26">
        <f>IFERROR(__xludf.DUMMYFUNCTION("""COMPUTED_VALUE"""),0.0)</f>
        <v>0</v>
      </c>
      <c r="H204" s="26">
        <f>IFERROR(__xludf.DUMMYFUNCTION("""COMPUTED_VALUE"""),0.0)</f>
        <v>0</v>
      </c>
      <c r="I204" s="26">
        <f>IFERROR(__xludf.DUMMYFUNCTION("""COMPUTED_VALUE"""),0.0)</f>
        <v>0</v>
      </c>
      <c r="J204" s="26">
        <f>IFERROR(__xludf.DUMMYFUNCTION("""COMPUTED_VALUE"""),0.0)</f>
        <v>0</v>
      </c>
      <c r="K204" s="26">
        <f>IFERROR(__xludf.DUMMYFUNCTION("""COMPUTED_VALUE"""),0.0)</f>
        <v>0</v>
      </c>
      <c r="L204" s="26">
        <f>IFERROR(__xludf.DUMMYFUNCTION("""COMPUTED_VALUE"""),0.0)</f>
        <v>0</v>
      </c>
      <c r="M204" s="26"/>
      <c r="N204" s="26"/>
      <c r="O204" s="26"/>
      <c r="P204" s="26"/>
      <c r="Q204" s="26"/>
      <c r="R204" s="26">
        <f>IFERROR(__xludf.DUMMYFUNCTION("""COMPUTED_VALUE"""),0.0)</f>
        <v>0</v>
      </c>
      <c r="S204" s="26">
        <f>IFERROR(__xludf.DUMMYFUNCTION("""COMPUTED_VALUE"""),0.0)</f>
        <v>0</v>
      </c>
      <c r="T204" s="26">
        <f>IFERROR(__xludf.DUMMYFUNCTION("""COMPUTED_VALUE"""),0.0)</f>
        <v>0</v>
      </c>
      <c r="U204" s="26">
        <f>IFERROR(__xludf.DUMMYFUNCTION("""COMPUTED_VALUE"""),0.0)</f>
        <v>0</v>
      </c>
      <c r="V204" s="26">
        <f>IFERROR(__xludf.DUMMYFUNCTION("""COMPUTED_VALUE"""),0.0)</f>
        <v>0</v>
      </c>
      <c r="W204" s="26">
        <f>IFERROR(__xludf.DUMMYFUNCTION("""COMPUTED_VALUE"""),0.0)</f>
        <v>0</v>
      </c>
      <c r="X204" s="26">
        <f>IFERROR(__xludf.DUMMYFUNCTION("""COMPUTED_VALUE"""),0.0)</f>
        <v>0</v>
      </c>
      <c r="Y204" s="26">
        <f>IFERROR(__xludf.DUMMYFUNCTION("""COMPUTED_VALUE"""),0.0)</f>
        <v>0</v>
      </c>
      <c r="Z204" s="26">
        <f>IFERROR(__xludf.DUMMYFUNCTION("""COMPUTED_VALUE"""),0.0)</f>
        <v>0</v>
      </c>
      <c r="AA204" s="26">
        <f>IFERROR(__xludf.DUMMYFUNCTION("""COMPUTED_VALUE"""),0.0)</f>
        <v>0</v>
      </c>
      <c r="AB204" s="26">
        <f>IFERROR(__xludf.DUMMYFUNCTION("""COMPUTED_VALUE"""),0.0)</f>
        <v>0</v>
      </c>
      <c r="AC204" s="26">
        <f>IFERROR(__xludf.DUMMYFUNCTION("""COMPUTED_VALUE"""),0.0)</f>
        <v>0</v>
      </c>
      <c r="AD204" s="26">
        <f>IFERROR(__xludf.DUMMYFUNCTION("""COMPUTED_VALUE"""),0.0)</f>
        <v>0</v>
      </c>
      <c r="AE204" s="26">
        <f>IFERROR(__xludf.DUMMYFUNCTION("""COMPUTED_VALUE"""),0.0)</f>
        <v>0</v>
      </c>
    </row>
    <row r="205">
      <c r="A205" s="26">
        <f>IFERROR(__xludf.DUMMYFUNCTION("""COMPUTED_VALUE"""),0.0)</f>
        <v>0</v>
      </c>
      <c r="B205" s="26">
        <f>IFERROR(__xludf.DUMMYFUNCTION("""COMPUTED_VALUE"""),0.0)</f>
        <v>0</v>
      </c>
      <c r="C205" s="26">
        <f>IFERROR(__xludf.DUMMYFUNCTION("""COMPUTED_VALUE"""),0.0)</f>
        <v>0</v>
      </c>
      <c r="D205" s="26">
        <f>IFERROR(__xludf.DUMMYFUNCTION("""COMPUTED_VALUE"""),0.0)</f>
        <v>0</v>
      </c>
      <c r="E205" s="26">
        <f>IFERROR(__xludf.DUMMYFUNCTION("""COMPUTED_VALUE"""),0.0)</f>
        <v>0</v>
      </c>
      <c r="F205" s="26">
        <f>IFERROR(__xludf.DUMMYFUNCTION("""COMPUTED_VALUE"""),0.0)</f>
        <v>0</v>
      </c>
      <c r="G205" s="26">
        <f>IFERROR(__xludf.DUMMYFUNCTION("""COMPUTED_VALUE"""),0.0)</f>
        <v>0</v>
      </c>
      <c r="H205" s="26">
        <f>IFERROR(__xludf.DUMMYFUNCTION("""COMPUTED_VALUE"""),0.0)</f>
        <v>0</v>
      </c>
      <c r="I205" s="26">
        <f>IFERROR(__xludf.DUMMYFUNCTION("""COMPUTED_VALUE"""),0.0)</f>
        <v>0</v>
      </c>
      <c r="J205" s="26">
        <f>IFERROR(__xludf.DUMMYFUNCTION("""COMPUTED_VALUE"""),0.0)</f>
        <v>0</v>
      </c>
      <c r="K205" s="26">
        <f>IFERROR(__xludf.DUMMYFUNCTION("""COMPUTED_VALUE"""),0.0)</f>
        <v>0</v>
      </c>
      <c r="L205" s="26">
        <f>IFERROR(__xludf.DUMMYFUNCTION("""COMPUTED_VALUE"""),0.0)</f>
        <v>0</v>
      </c>
      <c r="M205" s="26"/>
      <c r="N205" s="26"/>
      <c r="O205" s="26"/>
      <c r="P205" s="26"/>
      <c r="Q205" s="26"/>
      <c r="R205" s="26">
        <f>IFERROR(__xludf.DUMMYFUNCTION("""COMPUTED_VALUE"""),0.0)</f>
        <v>0</v>
      </c>
      <c r="S205" s="26">
        <f>IFERROR(__xludf.DUMMYFUNCTION("""COMPUTED_VALUE"""),0.0)</f>
        <v>0</v>
      </c>
      <c r="T205" s="26">
        <f>IFERROR(__xludf.DUMMYFUNCTION("""COMPUTED_VALUE"""),0.0)</f>
        <v>0</v>
      </c>
      <c r="U205" s="26">
        <f>IFERROR(__xludf.DUMMYFUNCTION("""COMPUTED_VALUE"""),0.0)</f>
        <v>0</v>
      </c>
      <c r="V205" s="26">
        <f>IFERROR(__xludf.DUMMYFUNCTION("""COMPUTED_VALUE"""),0.0)</f>
        <v>0</v>
      </c>
      <c r="W205" s="26">
        <f>IFERROR(__xludf.DUMMYFUNCTION("""COMPUTED_VALUE"""),0.0)</f>
        <v>0</v>
      </c>
      <c r="X205" s="26">
        <f>IFERROR(__xludf.DUMMYFUNCTION("""COMPUTED_VALUE"""),0.0)</f>
        <v>0</v>
      </c>
      <c r="Y205" s="26">
        <f>IFERROR(__xludf.DUMMYFUNCTION("""COMPUTED_VALUE"""),0.0)</f>
        <v>0</v>
      </c>
      <c r="Z205" s="26">
        <f>IFERROR(__xludf.DUMMYFUNCTION("""COMPUTED_VALUE"""),0.0)</f>
        <v>0</v>
      </c>
      <c r="AA205" s="26">
        <f>IFERROR(__xludf.DUMMYFUNCTION("""COMPUTED_VALUE"""),0.0)</f>
        <v>0</v>
      </c>
      <c r="AB205" s="26">
        <f>IFERROR(__xludf.DUMMYFUNCTION("""COMPUTED_VALUE"""),0.0)</f>
        <v>0</v>
      </c>
      <c r="AC205" s="26">
        <f>IFERROR(__xludf.DUMMYFUNCTION("""COMPUTED_VALUE"""),0.0)</f>
        <v>0</v>
      </c>
      <c r="AD205" s="26">
        <f>IFERROR(__xludf.DUMMYFUNCTION("""COMPUTED_VALUE"""),0.0)</f>
        <v>0</v>
      </c>
      <c r="AE205" s="26">
        <f>IFERROR(__xludf.DUMMYFUNCTION("""COMPUTED_VALUE"""),0.0)</f>
        <v>0</v>
      </c>
    </row>
    <row r="206">
      <c r="A206" s="26">
        <f>IFERROR(__xludf.DUMMYFUNCTION("""COMPUTED_VALUE"""),0.0)</f>
        <v>0</v>
      </c>
      <c r="B206" s="26">
        <f>IFERROR(__xludf.DUMMYFUNCTION("""COMPUTED_VALUE"""),0.0)</f>
        <v>0</v>
      </c>
      <c r="C206" s="26">
        <f>IFERROR(__xludf.DUMMYFUNCTION("""COMPUTED_VALUE"""),0.0)</f>
        <v>0</v>
      </c>
      <c r="D206" s="26">
        <f>IFERROR(__xludf.DUMMYFUNCTION("""COMPUTED_VALUE"""),0.0)</f>
        <v>0</v>
      </c>
      <c r="E206" s="26">
        <f>IFERROR(__xludf.DUMMYFUNCTION("""COMPUTED_VALUE"""),0.0)</f>
        <v>0</v>
      </c>
      <c r="F206" s="26">
        <f>IFERROR(__xludf.DUMMYFUNCTION("""COMPUTED_VALUE"""),0.0)</f>
        <v>0</v>
      </c>
      <c r="G206" s="26">
        <f>IFERROR(__xludf.DUMMYFUNCTION("""COMPUTED_VALUE"""),0.0)</f>
        <v>0</v>
      </c>
      <c r="H206" s="26">
        <f>IFERROR(__xludf.DUMMYFUNCTION("""COMPUTED_VALUE"""),0.0)</f>
        <v>0</v>
      </c>
      <c r="I206" s="26">
        <f>IFERROR(__xludf.DUMMYFUNCTION("""COMPUTED_VALUE"""),0.0)</f>
        <v>0</v>
      </c>
      <c r="J206" s="26">
        <f>IFERROR(__xludf.DUMMYFUNCTION("""COMPUTED_VALUE"""),0.0)</f>
        <v>0</v>
      </c>
      <c r="K206" s="26">
        <f>IFERROR(__xludf.DUMMYFUNCTION("""COMPUTED_VALUE"""),0.0)</f>
        <v>0</v>
      </c>
      <c r="L206" s="26">
        <f>IFERROR(__xludf.DUMMYFUNCTION("""COMPUTED_VALUE"""),0.0)</f>
        <v>0</v>
      </c>
      <c r="M206" s="26"/>
      <c r="N206" s="26"/>
      <c r="O206" s="26"/>
      <c r="P206" s="26"/>
      <c r="Q206" s="26"/>
      <c r="R206" s="26">
        <f>IFERROR(__xludf.DUMMYFUNCTION("""COMPUTED_VALUE"""),0.0)</f>
        <v>0</v>
      </c>
      <c r="S206" s="26">
        <f>IFERROR(__xludf.DUMMYFUNCTION("""COMPUTED_VALUE"""),0.0)</f>
        <v>0</v>
      </c>
      <c r="T206" s="26">
        <f>IFERROR(__xludf.DUMMYFUNCTION("""COMPUTED_VALUE"""),0.0)</f>
        <v>0</v>
      </c>
      <c r="U206" s="26">
        <f>IFERROR(__xludf.DUMMYFUNCTION("""COMPUTED_VALUE"""),0.0)</f>
        <v>0</v>
      </c>
      <c r="V206" s="26">
        <f>IFERROR(__xludf.DUMMYFUNCTION("""COMPUTED_VALUE"""),0.0)</f>
        <v>0</v>
      </c>
      <c r="W206" s="26">
        <f>IFERROR(__xludf.DUMMYFUNCTION("""COMPUTED_VALUE"""),0.0)</f>
        <v>0</v>
      </c>
      <c r="X206" s="26">
        <f>IFERROR(__xludf.DUMMYFUNCTION("""COMPUTED_VALUE"""),0.0)</f>
        <v>0</v>
      </c>
      <c r="Y206" s="26">
        <f>IFERROR(__xludf.DUMMYFUNCTION("""COMPUTED_VALUE"""),0.0)</f>
        <v>0</v>
      </c>
      <c r="Z206" s="26">
        <f>IFERROR(__xludf.DUMMYFUNCTION("""COMPUTED_VALUE"""),0.0)</f>
        <v>0</v>
      </c>
      <c r="AA206" s="26">
        <f>IFERROR(__xludf.DUMMYFUNCTION("""COMPUTED_VALUE"""),0.0)</f>
        <v>0</v>
      </c>
      <c r="AB206" s="26">
        <f>IFERROR(__xludf.DUMMYFUNCTION("""COMPUTED_VALUE"""),0.0)</f>
        <v>0</v>
      </c>
      <c r="AC206" s="26">
        <f>IFERROR(__xludf.DUMMYFUNCTION("""COMPUTED_VALUE"""),0.0)</f>
        <v>0</v>
      </c>
      <c r="AD206" s="26">
        <f>IFERROR(__xludf.DUMMYFUNCTION("""COMPUTED_VALUE"""),0.0)</f>
        <v>0</v>
      </c>
      <c r="AE206" s="26">
        <f>IFERROR(__xludf.DUMMYFUNCTION("""COMPUTED_VALUE"""),0.0)</f>
        <v>0</v>
      </c>
    </row>
    <row r="207">
      <c r="A207" s="26">
        <f>IFERROR(__xludf.DUMMYFUNCTION("""COMPUTED_VALUE"""),0.0)</f>
        <v>0</v>
      </c>
      <c r="B207" s="26">
        <f>IFERROR(__xludf.DUMMYFUNCTION("""COMPUTED_VALUE"""),0.0)</f>
        <v>0</v>
      </c>
      <c r="C207" s="26">
        <f>IFERROR(__xludf.DUMMYFUNCTION("""COMPUTED_VALUE"""),21.0)</f>
        <v>21</v>
      </c>
      <c r="D207" s="26">
        <f>IFERROR(__xludf.DUMMYFUNCTION("""COMPUTED_VALUE"""),0.0)</f>
        <v>0</v>
      </c>
      <c r="E207" s="26">
        <f>IFERROR(__xludf.DUMMYFUNCTION("""COMPUTED_VALUE"""),0.0)</f>
        <v>0</v>
      </c>
      <c r="F207" s="26">
        <f>IFERROR(__xludf.DUMMYFUNCTION("""COMPUTED_VALUE"""),0.0)</f>
        <v>0</v>
      </c>
      <c r="G207" s="26">
        <f>IFERROR(__xludf.DUMMYFUNCTION("""COMPUTED_VALUE"""),0.0)</f>
        <v>0</v>
      </c>
      <c r="H207" s="26">
        <f>IFERROR(__xludf.DUMMYFUNCTION("""COMPUTED_VALUE"""),0.0)</f>
        <v>0</v>
      </c>
      <c r="I207" s="26">
        <f>IFERROR(__xludf.DUMMYFUNCTION("""COMPUTED_VALUE"""),0.0)</f>
        <v>0</v>
      </c>
      <c r="J207" s="26">
        <f>IFERROR(__xludf.DUMMYFUNCTION("""COMPUTED_VALUE"""),0.0)</f>
        <v>0</v>
      </c>
      <c r="K207" s="26">
        <f>IFERROR(__xludf.DUMMYFUNCTION("""COMPUTED_VALUE"""),0.0)</f>
        <v>0</v>
      </c>
      <c r="L207" s="26">
        <f>IFERROR(__xludf.DUMMYFUNCTION("""COMPUTED_VALUE"""),0.0)</f>
        <v>0</v>
      </c>
      <c r="M207" s="26"/>
      <c r="N207" s="26"/>
      <c r="O207" s="26"/>
      <c r="P207" s="26"/>
      <c r="Q207" s="26"/>
      <c r="R207" s="26">
        <f>IFERROR(__xludf.DUMMYFUNCTION("""COMPUTED_VALUE"""),21.0)</f>
        <v>21</v>
      </c>
      <c r="S207" s="26">
        <f>IFERROR(__xludf.DUMMYFUNCTION("""COMPUTED_VALUE"""),14490.0)</f>
        <v>14490</v>
      </c>
      <c r="T207" s="26">
        <f>IFERROR(__xludf.DUMMYFUNCTION("""COMPUTED_VALUE"""),4305.0)</f>
        <v>4305</v>
      </c>
      <c r="U207" s="26">
        <f>IFERROR(__xludf.DUMMYFUNCTION("""COMPUTED_VALUE"""),6515.25)</f>
        <v>6515.25</v>
      </c>
      <c r="V207" s="26">
        <f>IFERROR(__xludf.DUMMYFUNCTION("""COMPUTED_VALUE"""),0.0)</f>
        <v>0</v>
      </c>
      <c r="W207" s="26">
        <f>IFERROR(__xludf.DUMMYFUNCTION("""COMPUTED_VALUE"""),0.0)</f>
        <v>0</v>
      </c>
      <c r="X207" s="26">
        <f>IFERROR(__xludf.DUMMYFUNCTION("""COMPUTED_VALUE"""),2210.25)</f>
        <v>2210.25</v>
      </c>
      <c r="Y207" s="26">
        <f>IFERROR(__xludf.DUMMYFUNCTION("""COMPUTED_VALUE"""),2210.25)</f>
        <v>2210.25</v>
      </c>
      <c r="Z207" s="26">
        <f>IFERROR(__xludf.DUMMYFUNCTION("""COMPUTED_VALUE"""),0.0)</f>
        <v>0</v>
      </c>
      <c r="AA207" s="26">
        <f>IFERROR(__xludf.DUMMYFUNCTION("""COMPUTED_VALUE"""),0.0)</f>
        <v>0</v>
      </c>
      <c r="AB207" s="26">
        <f>IFERROR(__xludf.DUMMYFUNCTION("""COMPUTED_VALUE"""),0.0)</f>
        <v>0</v>
      </c>
      <c r="AC207" s="26">
        <f>IFERROR(__xludf.DUMMYFUNCTION("""COMPUTED_VALUE"""),0.0)</f>
        <v>0</v>
      </c>
      <c r="AD207" s="26">
        <f>IFERROR(__xludf.DUMMYFUNCTION("""COMPUTED_VALUE"""),0.0)</f>
        <v>0</v>
      </c>
      <c r="AE207" s="26">
        <f>IFERROR(__xludf.DUMMYFUNCTION("""COMPUTED_VALUE"""),0.0)</f>
        <v>0</v>
      </c>
    </row>
    <row r="208">
      <c r="A208" s="26">
        <f>IFERROR(__xludf.DUMMYFUNCTION("""COMPUTED_VALUE"""),0.0)</f>
        <v>0</v>
      </c>
      <c r="B208" s="26">
        <f>IFERROR(__xludf.DUMMYFUNCTION("""COMPUTED_VALUE"""),0.0)</f>
        <v>0</v>
      </c>
      <c r="C208" s="26">
        <f>IFERROR(__xludf.DUMMYFUNCTION("""COMPUTED_VALUE"""),0.0)</f>
        <v>0</v>
      </c>
      <c r="D208" s="26">
        <f>IFERROR(__xludf.DUMMYFUNCTION("""COMPUTED_VALUE"""),0.0)</f>
        <v>0</v>
      </c>
      <c r="E208" s="26">
        <f>IFERROR(__xludf.DUMMYFUNCTION("""COMPUTED_VALUE"""),0.0)</f>
        <v>0</v>
      </c>
      <c r="F208" s="26">
        <f>IFERROR(__xludf.DUMMYFUNCTION("""COMPUTED_VALUE"""),0.0)</f>
        <v>0</v>
      </c>
      <c r="G208" s="26">
        <f>IFERROR(__xludf.DUMMYFUNCTION("""COMPUTED_VALUE"""),0.0)</f>
        <v>0</v>
      </c>
      <c r="H208" s="26">
        <f>IFERROR(__xludf.DUMMYFUNCTION("""COMPUTED_VALUE"""),0.0)</f>
        <v>0</v>
      </c>
      <c r="I208" s="26">
        <f>IFERROR(__xludf.DUMMYFUNCTION("""COMPUTED_VALUE"""),0.0)</f>
        <v>0</v>
      </c>
      <c r="J208" s="26">
        <f>IFERROR(__xludf.DUMMYFUNCTION("""COMPUTED_VALUE"""),0.0)</f>
        <v>0</v>
      </c>
      <c r="K208" s="26">
        <f>IFERROR(__xludf.DUMMYFUNCTION("""COMPUTED_VALUE"""),0.0)</f>
        <v>0</v>
      </c>
      <c r="L208" s="26">
        <f>IFERROR(__xludf.DUMMYFUNCTION("""COMPUTED_VALUE"""),0.0)</f>
        <v>0</v>
      </c>
      <c r="M208" s="26"/>
      <c r="N208" s="26"/>
      <c r="O208" s="26"/>
      <c r="P208" s="26"/>
      <c r="Q208" s="26"/>
      <c r="R208" s="26">
        <f>IFERROR(__xludf.DUMMYFUNCTION("""COMPUTED_VALUE"""),0.0)</f>
        <v>0</v>
      </c>
      <c r="S208" s="26">
        <f>IFERROR(__xludf.DUMMYFUNCTION("""COMPUTED_VALUE"""),0.0)</f>
        <v>0</v>
      </c>
      <c r="T208" s="26">
        <f>IFERROR(__xludf.DUMMYFUNCTION("""COMPUTED_VALUE"""),0.0)</f>
        <v>0</v>
      </c>
      <c r="U208" s="26">
        <f>IFERROR(__xludf.DUMMYFUNCTION("""COMPUTED_VALUE"""),0.0)</f>
        <v>0</v>
      </c>
      <c r="V208" s="26">
        <f>IFERROR(__xludf.DUMMYFUNCTION("""COMPUTED_VALUE"""),0.0)</f>
        <v>0</v>
      </c>
      <c r="W208" s="26">
        <f>IFERROR(__xludf.DUMMYFUNCTION("""COMPUTED_VALUE"""),0.0)</f>
        <v>0</v>
      </c>
      <c r="X208" s="26">
        <f>IFERROR(__xludf.DUMMYFUNCTION("""COMPUTED_VALUE"""),0.0)</f>
        <v>0</v>
      </c>
      <c r="Y208" s="26">
        <f>IFERROR(__xludf.DUMMYFUNCTION("""COMPUTED_VALUE"""),0.0)</f>
        <v>0</v>
      </c>
      <c r="Z208" s="26">
        <f>IFERROR(__xludf.DUMMYFUNCTION("""COMPUTED_VALUE"""),0.0)</f>
        <v>0</v>
      </c>
      <c r="AA208" s="26">
        <f>IFERROR(__xludf.DUMMYFUNCTION("""COMPUTED_VALUE"""),0.0)</f>
        <v>0</v>
      </c>
      <c r="AB208" s="26">
        <f>IFERROR(__xludf.DUMMYFUNCTION("""COMPUTED_VALUE"""),0.0)</f>
        <v>0</v>
      </c>
      <c r="AC208" s="26">
        <f>IFERROR(__xludf.DUMMYFUNCTION("""COMPUTED_VALUE"""),0.0)</f>
        <v>0</v>
      </c>
      <c r="AD208" s="26">
        <f>IFERROR(__xludf.DUMMYFUNCTION("""COMPUTED_VALUE"""),0.0)</f>
        <v>0</v>
      </c>
      <c r="AE208" s="26">
        <f>IFERROR(__xludf.DUMMYFUNCTION("""COMPUTED_VALUE"""),0.0)</f>
        <v>0</v>
      </c>
    </row>
    <row r="209">
      <c r="A209" s="26">
        <f>IFERROR(__xludf.DUMMYFUNCTION("""COMPUTED_VALUE"""),0.0)</f>
        <v>0</v>
      </c>
      <c r="B209" s="26">
        <f>IFERROR(__xludf.DUMMYFUNCTION("""COMPUTED_VALUE"""),0.0)</f>
        <v>0</v>
      </c>
      <c r="C209" s="26">
        <f>IFERROR(__xludf.DUMMYFUNCTION("""COMPUTED_VALUE"""),14.0)</f>
        <v>14</v>
      </c>
      <c r="D209" s="26">
        <f>IFERROR(__xludf.DUMMYFUNCTION("""COMPUTED_VALUE"""),0.0)</f>
        <v>0</v>
      </c>
      <c r="E209" s="26">
        <f>IFERROR(__xludf.DUMMYFUNCTION("""COMPUTED_VALUE"""),0.0)</f>
        <v>0</v>
      </c>
      <c r="F209" s="26">
        <f>IFERROR(__xludf.DUMMYFUNCTION("""COMPUTED_VALUE"""),0.0)</f>
        <v>0</v>
      </c>
      <c r="G209" s="26">
        <f>IFERROR(__xludf.DUMMYFUNCTION("""COMPUTED_VALUE"""),0.0)</f>
        <v>0</v>
      </c>
      <c r="H209" s="26">
        <f>IFERROR(__xludf.DUMMYFUNCTION("""COMPUTED_VALUE"""),0.0)</f>
        <v>0</v>
      </c>
      <c r="I209" s="26">
        <f>IFERROR(__xludf.DUMMYFUNCTION("""COMPUTED_VALUE"""),0.0)</f>
        <v>0</v>
      </c>
      <c r="J209" s="26">
        <f>IFERROR(__xludf.DUMMYFUNCTION("""COMPUTED_VALUE"""),0.0)</f>
        <v>0</v>
      </c>
      <c r="K209" s="26">
        <f>IFERROR(__xludf.DUMMYFUNCTION("""COMPUTED_VALUE"""),0.0)</f>
        <v>0</v>
      </c>
      <c r="L209" s="26">
        <f>IFERROR(__xludf.DUMMYFUNCTION("""COMPUTED_VALUE"""),0.0)</f>
        <v>0</v>
      </c>
      <c r="M209" s="26"/>
      <c r="N209" s="26"/>
      <c r="O209" s="26"/>
      <c r="P209" s="26"/>
      <c r="Q209" s="26"/>
      <c r="R209" s="26">
        <f>IFERROR(__xludf.DUMMYFUNCTION("""COMPUTED_VALUE"""),14.0)</f>
        <v>14</v>
      </c>
      <c r="S209" s="26">
        <f>IFERROR(__xludf.DUMMYFUNCTION("""COMPUTED_VALUE"""),9660.0)</f>
        <v>9660</v>
      </c>
      <c r="T209" s="26">
        <f>IFERROR(__xludf.DUMMYFUNCTION("""COMPUTED_VALUE"""),2870.0)</f>
        <v>2870</v>
      </c>
      <c r="U209" s="26">
        <f>IFERROR(__xludf.DUMMYFUNCTION("""COMPUTED_VALUE"""),4343.5)</f>
        <v>4343.5</v>
      </c>
      <c r="V209" s="26">
        <f>IFERROR(__xludf.DUMMYFUNCTION("""COMPUTED_VALUE"""),0.0)</f>
        <v>0</v>
      </c>
      <c r="W209" s="26">
        <f>IFERROR(__xludf.DUMMYFUNCTION("""COMPUTED_VALUE"""),0.0)</f>
        <v>0</v>
      </c>
      <c r="X209" s="26">
        <f>IFERROR(__xludf.DUMMYFUNCTION("""COMPUTED_VALUE"""),1473.5)</f>
        <v>1473.5</v>
      </c>
      <c r="Y209" s="26">
        <f>IFERROR(__xludf.DUMMYFUNCTION("""COMPUTED_VALUE"""),1473.5)</f>
        <v>1473.5</v>
      </c>
      <c r="Z209" s="26">
        <f>IFERROR(__xludf.DUMMYFUNCTION("""COMPUTED_VALUE"""),0.0)</f>
        <v>0</v>
      </c>
      <c r="AA209" s="26">
        <f>IFERROR(__xludf.DUMMYFUNCTION("""COMPUTED_VALUE"""),0.0)</f>
        <v>0</v>
      </c>
      <c r="AB209" s="26">
        <f>IFERROR(__xludf.DUMMYFUNCTION("""COMPUTED_VALUE"""),0.0)</f>
        <v>0</v>
      </c>
      <c r="AC209" s="26">
        <f>IFERROR(__xludf.DUMMYFUNCTION("""COMPUTED_VALUE"""),0.0)</f>
        <v>0</v>
      </c>
      <c r="AD209" s="26">
        <f>IFERROR(__xludf.DUMMYFUNCTION("""COMPUTED_VALUE"""),0.0)</f>
        <v>0</v>
      </c>
      <c r="AE209" s="26">
        <f>IFERROR(__xludf.DUMMYFUNCTION("""COMPUTED_VALUE"""),0.0)</f>
        <v>0</v>
      </c>
    </row>
    <row r="210">
      <c r="A210" s="26">
        <f>IFERROR(__xludf.DUMMYFUNCTION("""COMPUTED_VALUE"""),0.0)</f>
        <v>0</v>
      </c>
      <c r="B210" s="26">
        <f>IFERROR(__xludf.DUMMYFUNCTION("""COMPUTED_VALUE"""),0.0)</f>
        <v>0</v>
      </c>
      <c r="C210" s="26">
        <f>IFERROR(__xludf.DUMMYFUNCTION("""COMPUTED_VALUE"""),0.0)</f>
        <v>0</v>
      </c>
      <c r="D210" s="26">
        <f>IFERROR(__xludf.DUMMYFUNCTION("""COMPUTED_VALUE"""),0.0)</f>
        <v>0</v>
      </c>
      <c r="E210" s="26">
        <f>IFERROR(__xludf.DUMMYFUNCTION("""COMPUTED_VALUE"""),0.0)</f>
        <v>0</v>
      </c>
      <c r="F210" s="26">
        <f>IFERROR(__xludf.DUMMYFUNCTION("""COMPUTED_VALUE"""),0.0)</f>
        <v>0</v>
      </c>
      <c r="G210" s="26">
        <f>IFERROR(__xludf.DUMMYFUNCTION("""COMPUTED_VALUE"""),0.0)</f>
        <v>0</v>
      </c>
      <c r="H210" s="26">
        <f>IFERROR(__xludf.DUMMYFUNCTION("""COMPUTED_VALUE"""),0.0)</f>
        <v>0</v>
      </c>
      <c r="I210" s="26">
        <f>IFERROR(__xludf.DUMMYFUNCTION("""COMPUTED_VALUE"""),0.0)</f>
        <v>0</v>
      </c>
      <c r="J210" s="26">
        <f>IFERROR(__xludf.DUMMYFUNCTION("""COMPUTED_VALUE"""),0.0)</f>
        <v>0</v>
      </c>
      <c r="K210" s="26">
        <f>IFERROR(__xludf.DUMMYFUNCTION("""COMPUTED_VALUE"""),0.0)</f>
        <v>0</v>
      </c>
      <c r="L210" s="26">
        <f>IFERROR(__xludf.DUMMYFUNCTION("""COMPUTED_VALUE"""),0.0)</f>
        <v>0</v>
      </c>
      <c r="M210" s="26"/>
      <c r="N210" s="26"/>
      <c r="O210" s="26"/>
      <c r="P210" s="26"/>
      <c r="Q210" s="26"/>
      <c r="R210" s="26">
        <f>IFERROR(__xludf.DUMMYFUNCTION("""COMPUTED_VALUE"""),0.0)</f>
        <v>0</v>
      </c>
      <c r="S210" s="26">
        <f>IFERROR(__xludf.DUMMYFUNCTION("""COMPUTED_VALUE"""),0.0)</f>
        <v>0</v>
      </c>
      <c r="T210" s="26">
        <f>IFERROR(__xludf.DUMMYFUNCTION("""COMPUTED_VALUE"""),0.0)</f>
        <v>0</v>
      </c>
      <c r="U210" s="26">
        <f>IFERROR(__xludf.DUMMYFUNCTION("""COMPUTED_VALUE"""),0.0)</f>
        <v>0</v>
      </c>
      <c r="V210" s="26">
        <f>IFERROR(__xludf.DUMMYFUNCTION("""COMPUTED_VALUE"""),0.0)</f>
        <v>0</v>
      </c>
      <c r="W210" s="26">
        <f>IFERROR(__xludf.DUMMYFUNCTION("""COMPUTED_VALUE"""),0.0)</f>
        <v>0</v>
      </c>
      <c r="X210" s="26">
        <f>IFERROR(__xludf.DUMMYFUNCTION("""COMPUTED_VALUE"""),0.0)</f>
        <v>0</v>
      </c>
      <c r="Y210" s="26">
        <f>IFERROR(__xludf.DUMMYFUNCTION("""COMPUTED_VALUE"""),0.0)</f>
        <v>0</v>
      </c>
      <c r="Z210" s="26">
        <f>IFERROR(__xludf.DUMMYFUNCTION("""COMPUTED_VALUE"""),0.0)</f>
        <v>0</v>
      </c>
      <c r="AA210" s="26">
        <f>IFERROR(__xludf.DUMMYFUNCTION("""COMPUTED_VALUE"""),0.0)</f>
        <v>0</v>
      </c>
      <c r="AB210" s="26">
        <f>IFERROR(__xludf.DUMMYFUNCTION("""COMPUTED_VALUE"""),0.0)</f>
        <v>0</v>
      </c>
      <c r="AC210" s="26">
        <f>IFERROR(__xludf.DUMMYFUNCTION("""COMPUTED_VALUE"""),0.0)</f>
        <v>0</v>
      </c>
      <c r="AD210" s="26">
        <f>IFERROR(__xludf.DUMMYFUNCTION("""COMPUTED_VALUE"""),0.0)</f>
        <v>0</v>
      </c>
      <c r="AE210" s="26">
        <f>IFERROR(__xludf.DUMMYFUNCTION("""COMPUTED_VALUE"""),0.0)</f>
        <v>0</v>
      </c>
    </row>
    <row r="211">
      <c r="A211" s="26">
        <f>IFERROR(__xludf.DUMMYFUNCTION("""COMPUTED_VALUE"""),0.0)</f>
        <v>0</v>
      </c>
      <c r="B211" s="26">
        <f>IFERROR(__xludf.DUMMYFUNCTION("""COMPUTED_VALUE"""),0.0)</f>
        <v>0</v>
      </c>
      <c r="C211" s="26">
        <f>IFERROR(__xludf.DUMMYFUNCTION("""COMPUTED_VALUE"""),0.0)</f>
        <v>0</v>
      </c>
      <c r="D211" s="26">
        <f>IFERROR(__xludf.DUMMYFUNCTION("""COMPUTED_VALUE"""),0.0)</f>
        <v>0</v>
      </c>
      <c r="E211" s="26">
        <f>IFERROR(__xludf.DUMMYFUNCTION("""COMPUTED_VALUE"""),42.0)</f>
        <v>42</v>
      </c>
      <c r="F211" s="26">
        <f>IFERROR(__xludf.DUMMYFUNCTION("""COMPUTED_VALUE"""),0.0)</f>
        <v>0</v>
      </c>
      <c r="G211" s="26">
        <f>IFERROR(__xludf.DUMMYFUNCTION("""COMPUTED_VALUE"""),0.0)</f>
        <v>0</v>
      </c>
      <c r="H211" s="26">
        <f>IFERROR(__xludf.DUMMYFUNCTION("""COMPUTED_VALUE"""),0.0)</f>
        <v>0</v>
      </c>
      <c r="I211" s="26">
        <f>IFERROR(__xludf.DUMMYFUNCTION("""COMPUTED_VALUE"""),0.0)</f>
        <v>0</v>
      </c>
      <c r="J211" s="26">
        <f>IFERROR(__xludf.DUMMYFUNCTION("""COMPUTED_VALUE"""),0.0)</f>
        <v>0</v>
      </c>
      <c r="K211" s="26">
        <f>IFERROR(__xludf.DUMMYFUNCTION("""COMPUTED_VALUE"""),0.0)</f>
        <v>0</v>
      </c>
      <c r="L211" s="26">
        <f>IFERROR(__xludf.DUMMYFUNCTION("""COMPUTED_VALUE"""),0.0)</f>
        <v>0</v>
      </c>
      <c r="M211" s="26"/>
      <c r="N211" s="26"/>
      <c r="O211" s="26"/>
      <c r="P211" s="26"/>
      <c r="Q211" s="26"/>
      <c r="R211" s="26">
        <f>IFERROR(__xludf.DUMMYFUNCTION("""COMPUTED_VALUE"""),42.0)</f>
        <v>42</v>
      </c>
      <c r="S211" s="26">
        <f>IFERROR(__xludf.DUMMYFUNCTION("""COMPUTED_VALUE"""),19328.400000000016)</f>
        <v>19328.4</v>
      </c>
      <c r="T211" s="26">
        <f>IFERROR(__xludf.DUMMYFUNCTION("""COMPUTED_VALUE"""),16380.0)</f>
        <v>16380</v>
      </c>
      <c r="U211" s="26">
        <f>IFERROR(__xludf.DUMMYFUNCTION("""COMPUTED_VALUE"""),19328.399999999998)</f>
        <v>19328.4</v>
      </c>
      <c r="V211" s="26">
        <f>IFERROR(__xludf.DUMMYFUNCTION("""COMPUTED_VALUE"""),0.0)</f>
        <v>0</v>
      </c>
      <c r="W211" s="26">
        <f>IFERROR(__xludf.DUMMYFUNCTION("""COMPUTED_VALUE"""),0.0)</f>
        <v>0</v>
      </c>
      <c r="X211" s="26">
        <f>IFERROR(__xludf.DUMMYFUNCTION("""COMPUTED_VALUE"""),2948.3999999999987)</f>
        <v>2948.4</v>
      </c>
      <c r="Y211" s="26">
        <f>IFERROR(__xludf.DUMMYFUNCTION("""COMPUTED_VALUE"""),2948.3999999999987)</f>
        <v>2948.4</v>
      </c>
      <c r="Z211" s="26">
        <f>IFERROR(__xludf.DUMMYFUNCTION("""COMPUTED_VALUE"""),19328.400000000016)</f>
        <v>19328.4</v>
      </c>
      <c r="AA211" s="26">
        <f>IFERROR(__xludf.DUMMYFUNCTION("""COMPUTED_VALUE"""),19328.400000000016)</f>
        <v>19328.4</v>
      </c>
      <c r="AB211" s="26">
        <f>IFERROR(__xludf.DUMMYFUNCTION("""COMPUTED_VALUE"""),0.0)</f>
        <v>0</v>
      </c>
      <c r="AC211" s="26">
        <f>IFERROR(__xludf.DUMMYFUNCTION("""COMPUTED_VALUE"""),0.0)</f>
        <v>0</v>
      </c>
      <c r="AD211" s="26">
        <f>IFERROR(__xludf.DUMMYFUNCTION("""COMPUTED_VALUE"""),0.0)</f>
        <v>0</v>
      </c>
      <c r="AE211" s="26">
        <f>IFERROR(__xludf.DUMMYFUNCTION("""COMPUTED_VALUE"""),0.0)</f>
        <v>0</v>
      </c>
    </row>
    <row r="212">
      <c r="A212" s="26">
        <f>IFERROR(__xludf.DUMMYFUNCTION("""COMPUTED_VALUE"""),0.0)</f>
        <v>0</v>
      </c>
      <c r="B212" s="26">
        <f>IFERROR(__xludf.DUMMYFUNCTION("""COMPUTED_VALUE"""),0.0)</f>
        <v>0</v>
      </c>
      <c r="C212" s="26">
        <f>IFERROR(__xludf.DUMMYFUNCTION("""COMPUTED_VALUE"""),0.0)</f>
        <v>0</v>
      </c>
      <c r="D212" s="26">
        <f>IFERROR(__xludf.DUMMYFUNCTION("""COMPUTED_VALUE"""),0.0)</f>
        <v>0</v>
      </c>
      <c r="E212" s="26">
        <f>IFERROR(__xludf.DUMMYFUNCTION("""COMPUTED_VALUE"""),0.0)</f>
        <v>0</v>
      </c>
      <c r="F212" s="26">
        <f>IFERROR(__xludf.DUMMYFUNCTION("""COMPUTED_VALUE"""),0.0)</f>
        <v>0</v>
      </c>
      <c r="G212" s="26">
        <f>IFERROR(__xludf.DUMMYFUNCTION("""COMPUTED_VALUE"""),0.0)</f>
        <v>0</v>
      </c>
      <c r="H212" s="26">
        <f>IFERROR(__xludf.DUMMYFUNCTION("""COMPUTED_VALUE"""),0.0)</f>
        <v>0</v>
      </c>
      <c r="I212" s="26">
        <f>IFERROR(__xludf.DUMMYFUNCTION("""COMPUTED_VALUE"""),0.0)</f>
        <v>0</v>
      </c>
      <c r="J212" s="26">
        <f>IFERROR(__xludf.DUMMYFUNCTION("""COMPUTED_VALUE"""),0.0)</f>
        <v>0</v>
      </c>
      <c r="K212" s="26">
        <f>IFERROR(__xludf.DUMMYFUNCTION("""COMPUTED_VALUE"""),0.0)</f>
        <v>0</v>
      </c>
      <c r="L212" s="26">
        <f>IFERROR(__xludf.DUMMYFUNCTION("""COMPUTED_VALUE"""),0.0)</f>
        <v>0</v>
      </c>
      <c r="M212" s="26"/>
      <c r="N212" s="26"/>
      <c r="O212" s="26"/>
      <c r="P212" s="26"/>
      <c r="Q212" s="26"/>
      <c r="R212" s="26">
        <f>IFERROR(__xludf.DUMMYFUNCTION("""COMPUTED_VALUE"""),0.0)</f>
        <v>0</v>
      </c>
      <c r="S212" s="26">
        <f>IFERROR(__xludf.DUMMYFUNCTION("""COMPUTED_VALUE"""),0.0)</f>
        <v>0</v>
      </c>
      <c r="T212" s="26">
        <f>IFERROR(__xludf.DUMMYFUNCTION("""COMPUTED_VALUE"""),0.0)</f>
        <v>0</v>
      </c>
      <c r="U212" s="26">
        <f>IFERROR(__xludf.DUMMYFUNCTION("""COMPUTED_VALUE"""),0.0)</f>
        <v>0</v>
      </c>
      <c r="V212" s="26">
        <f>IFERROR(__xludf.DUMMYFUNCTION("""COMPUTED_VALUE"""),0.0)</f>
        <v>0</v>
      </c>
      <c r="W212" s="26">
        <f>IFERROR(__xludf.DUMMYFUNCTION("""COMPUTED_VALUE"""),0.0)</f>
        <v>0</v>
      </c>
      <c r="X212" s="26">
        <f>IFERROR(__xludf.DUMMYFUNCTION("""COMPUTED_VALUE"""),0.0)</f>
        <v>0</v>
      </c>
      <c r="Y212" s="26">
        <f>IFERROR(__xludf.DUMMYFUNCTION("""COMPUTED_VALUE"""),0.0)</f>
        <v>0</v>
      </c>
      <c r="Z212" s="26">
        <f>IFERROR(__xludf.DUMMYFUNCTION("""COMPUTED_VALUE"""),0.0)</f>
        <v>0</v>
      </c>
      <c r="AA212" s="26">
        <f>IFERROR(__xludf.DUMMYFUNCTION("""COMPUTED_VALUE"""),0.0)</f>
        <v>0</v>
      </c>
      <c r="AB212" s="26">
        <f>IFERROR(__xludf.DUMMYFUNCTION("""COMPUTED_VALUE"""),0.0)</f>
        <v>0</v>
      </c>
      <c r="AC212" s="26">
        <f>IFERROR(__xludf.DUMMYFUNCTION("""COMPUTED_VALUE"""),0.0)</f>
        <v>0</v>
      </c>
      <c r="AD212" s="26">
        <f>IFERROR(__xludf.DUMMYFUNCTION("""COMPUTED_VALUE"""),0.0)</f>
        <v>0</v>
      </c>
      <c r="AE212" s="26">
        <f>IFERROR(__xludf.DUMMYFUNCTION("""COMPUTED_VALUE"""),0.0)</f>
        <v>0</v>
      </c>
    </row>
    <row r="213">
      <c r="A213" s="26">
        <f>IFERROR(__xludf.DUMMYFUNCTION("""COMPUTED_VALUE"""),0.0)</f>
        <v>0</v>
      </c>
      <c r="B213" s="26">
        <f>IFERROR(__xludf.DUMMYFUNCTION("""COMPUTED_VALUE"""),0.0)</f>
        <v>0</v>
      </c>
      <c r="C213" s="26">
        <f>IFERROR(__xludf.DUMMYFUNCTION("""COMPUTED_VALUE"""),0.0)</f>
        <v>0</v>
      </c>
      <c r="D213" s="26">
        <f>IFERROR(__xludf.DUMMYFUNCTION("""COMPUTED_VALUE"""),0.0)</f>
        <v>0</v>
      </c>
      <c r="E213" s="26">
        <f>IFERROR(__xludf.DUMMYFUNCTION("""COMPUTED_VALUE"""),0.0)</f>
        <v>0</v>
      </c>
      <c r="F213" s="26">
        <f>IFERROR(__xludf.DUMMYFUNCTION("""COMPUTED_VALUE"""),0.0)</f>
        <v>0</v>
      </c>
      <c r="G213" s="26">
        <f>IFERROR(__xludf.DUMMYFUNCTION("""COMPUTED_VALUE"""),0.0)</f>
        <v>0</v>
      </c>
      <c r="H213" s="26">
        <f>IFERROR(__xludf.DUMMYFUNCTION("""COMPUTED_VALUE"""),0.0)</f>
        <v>0</v>
      </c>
      <c r="I213" s="26">
        <f>IFERROR(__xludf.DUMMYFUNCTION("""COMPUTED_VALUE"""),0.0)</f>
        <v>0</v>
      </c>
      <c r="J213" s="26">
        <f>IFERROR(__xludf.DUMMYFUNCTION("""COMPUTED_VALUE"""),0.0)</f>
        <v>0</v>
      </c>
      <c r="K213" s="26">
        <f>IFERROR(__xludf.DUMMYFUNCTION("""COMPUTED_VALUE"""),0.0)</f>
        <v>0</v>
      </c>
      <c r="L213" s="26">
        <f>IFERROR(__xludf.DUMMYFUNCTION("""COMPUTED_VALUE"""),0.0)</f>
        <v>0</v>
      </c>
      <c r="M213" s="26"/>
      <c r="N213" s="26"/>
      <c r="O213" s="26"/>
      <c r="P213" s="26"/>
      <c r="Q213" s="26"/>
      <c r="R213" s="26">
        <f>IFERROR(__xludf.DUMMYFUNCTION("""COMPUTED_VALUE"""),0.0)</f>
        <v>0</v>
      </c>
      <c r="S213" s="26">
        <f>IFERROR(__xludf.DUMMYFUNCTION("""COMPUTED_VALUE"""),0.0)</f>
        <v>0</v>
      </c>
      <c r="T213" s="26">
        <f>IFERROR(__xludf.DUMMYFUNCTION("""COMPUTED_VALUE"""),0.0)</f>
        <v>0</v>
      </c>
      <c r="U213" s="26">
        <f>IFERROR(__xludf.DUMMYFUNCTION("""COMPUTED_VALUE"""),0.0)</f>
        <v>0</v>
      </c>
      <c r="V213" s="26">
        <f>IFERROR(__xludf.DUMMYFUNCTION("""COMPUTED_VALUE"""),0.0)</f>
        <v>0</v>
      </c>
      <c r="W213" s="26">
        <f>IFERROR(__xludf.DUMMYFUNCTION("""COMPUTED_VALUE"""),0.0)</f>
        <v>0</v>
      </c>
      <c r="X213" s="26">
        <f>IFERROR(__xludf.DUMMYFUNCTION("""COMPUTED_VALUE"""),0.0)</f>
        <v>0</v>
      </c>
      <c r="Y213" s="26">
        <f>IFERROR(__xludf.DUMMYFUNCTION("""COMPUTED_VALUE"""),0.0)</f>
        <v>0</v>
      </c>
      <c r="Z213" s="26">
        <f>IFERROR(__xludf.DUMMYFUNCTION("""COMPUTED_VALUE"""),0.0)</f>
        <v>0</v>
      </c>
      <c r="AA213" s="26">
        <f>IFERROR(__xludf.DUMMYFUNCTION("""COMPUTED_VALUE"""),0.0)</f>
        <v>0</v>
      </c>
      <c r="AB213" s="26">
        <f>IFERROR(__xludf.DUMMYFUNCTION("""COMPUTED_VALUE"""),0.0)</f>
        <v>0</v>
      </c>
      <c r="AC213" s="26">
        <f>IFERROR(__xludf.DUMMYFUNCTION("""COMPUTED_VALUE"""),0.0)</f>
        <v>0</v>
      </c>
      <c r="AD213" s="26">
        <f>IFERROR(__xludf.DUMMYFUNCTION("""COMPUTED_VALUE"""),0.0)</f>
        <v>0</v>
      </c>
      <c r="AE213" s="26">
        <f>IFERROR(__xludf.DUMMYFUNCTION("""COMPUTED_VALUE"""),0.0)</f>
        <v>0</v>
      </c>
    </row>
    <row r="214">
      <c r="A214" s="26">
        <f>IFERROR(__xludf.DUMMYFUNCTION("""COMPUTED_VALUE"""),174.0)</f>
        <v>174</v>
      </c>
      <c r="B214" s="26">
        <f>IFERROR(__xludf.DUMMYFUNCTION("""COMPUTED_VALUE"""),0.0)</f>
        <v>0</v>
      </c>
      <c r="C214" s="26">
        <f>IFERROR(__xludf.DUMMYFUNCTION("""COMPUTED_VALUE"""),0.0)</f>
        <v>0</v>
      </c>
      <c r="D214" s="26">
        <f>IFERROR(__xludf.DUMMYFUNCTION("""COMPUTED_VALUE"""),0.0)</f>
        <v>0</v>
      </c>
      <c r="E214" s="26">
        <f>IFERROR(__xludf.DUMMYFUNCTION("""COMPUTED_VALUE"""),0.0)</f>
        <v>0</v>
      </c>
      <c r="F214" s="26">
        <f>IFERROR(__xludf.DUMMYFUNCTION("""COMPUTED_VALUE"""),0.0)</f>
        <v>0</v>
      </c>
      <c r="G214" s="26">
        <f>IFERROR(__xludf.DUMMYFUNCTION("""COMPUTED_VALUE"""),0.0)</f>
        <v>0</v>
      </c>
      <c r="H214" s="26">
        <f>IFERROR(__xludf.DUMMYFUNCTION("""COMPUTED_VALUE"""),0.0)</f>
        <v>0</v>
      </c>
      <c r="I214" s="26">
        <f>IFERROR(__xludf.DUMMYFUNCTION("""COMPUTED_VALUE"""),0.0)</f>
        <v>0</v>
      </c>
      <c r="J214" s="26">
        <f>IFERROR(__xludf.DUMMYFUNCTION("""COMPUTED_VALUE"""),0.0)</f>
        <v>0</v>
      </c>
      <c r="K214" s="26">
        <f>IFERROR(__xludf.DUMMYFUNCTION("""COMPUTED_VALUE"""),0.0)</f>
        <v>0</v>
      </c>
      <c r="L214" s="26">
        <f>IFERROR(__xludf.DUMMYFUNCTION("""COMPUTED_VALUE"""),0.0)</f>
        <v>0</v>
      </c>
      <c r="M214" s="26"/>
      <c r="N214" s="26"/>
      <c r="O214" s="26"/>
      <c r="P214" s="26"/>
      <c r="Q214" s="26"/>
      <c r="R214" s="26">
        <f>IFERROR(__xludf.DUMMYFUNCTION("""COMPUTED_VALUE"""),174.0)</f>
        <v>174</v>
      </c>
      <c r="S214" s="26">
        <f>IFERROR(__xludf.DUMMYFUNCTION("""COMPUTED_VALUE"""),67860.0)</f>
        <v>67860</v>
      </c>
      <c r="T214" s="26">
        <f>IFERROR(__xludf.DUMMYFUNCTION("""COMPUTED_VALUE"""),35670.0)</f>
        <v>35670</v>
      </c>
      <c r="U214" s="26">
        <f>IFERROR(__xludf.DUMMYFUNCTION("""COMPUTED_VALUE"""),46021.25999999997)</f>
        <v>46021.26</v>
      </c>
      <c r="V214" s="26">
        <f>IFERROR(__xludf.DUMMYFUNCTION("""COMPUTED_VALUE"""),0.0)</f>
        <v>0</v>
      </c>
      <c r="W214" s="26">
        <f>IFERROR(__xludf.DUMMYFUNCTION("""COMPUTED_VALUE"""),0.0)</f>
        <v>0</v>
      </c>
      <c r="X214" s="26">
        <f>IFERROR(__xludf.DUMMYFUNCTION("""COMPUTED_VALUE"""),10351.259999999971)</f>
        <v>10351.26</v>
      </c>
      <c r="Y214" s="26">
        <f>IFERROR(__xludf.DUMMYFUNCTION("""COMPUTED_VALUE"""),10351.259999999971)</f>
        <v>10351.26</v>
      </c>
      <c r="Z214" s="26">
        <f>IFERROR(__xludf.DUMMYFUNCTION("""COMPUTED_VALUE"""),67860.0)</f>
        <v>67860</v>
      </c>
      <c r="AA214" s="26">
        <f>IFERROR(__xludf.DUMMYFUNCTION("""COMPUTED_VALUE"""),47113.97999999988)</f>
        <v>47113.98</v>
      </c>
      <c r="AB214" s="26">
        <f>IFERROR(__xludf.DUMMYFUNCTION("""COMPUTED_VALUE"""),21838.739999999954)</f>
        <v>21838.74</v>
      </c>
      <c r="AC214" s="26">
        <f>IFERROR(__xludf.DUMMYFUNCTION("""COMPUTED_VALUE"""),0.0)</f>
        <v>0</v>
      </c>
      <c r="AD214" s="26">
        <f>IFERROR(__xludf.DUMMYFUNCTION("""COMPUTED_VALUE"""),1092.7199999999964)</f>
        <v>1092.72</v>
      </c>
      <c r="AE214" s="26">
        <f>IFERROR(__xludf.DUMMYFUNCTION("""COMPUTED_VALUE"""),20746.019999999942)</f>
        <v>20746.02</v>
      </c>
    </row>
    <row r="215">
      <c r="A215" s="26">
        <f>IFERROR(__xludf.DUMMYFUNCTION("""COMPUTED_VALUE"""),0.0)</f>
        <v>0</v>
      </c>
      <c r="B215" s="26">
        <f>IFERROR(__xludf.DUMMYFUNCTION("""COMPUTED_VALUE"""),0.0)</f>
        <v>0</v>
      </c>
      <c r="C215" s="26">
        <f>IFERROR(__xludf.DUMMYFUNCTION("""COMPUTED_VALUE"""),0.0)</f>
        <v>0</v>
      </c>
      <c r="D215" s="26">
        <f>IFERROR(__xludf.DUMMYFUNCTION("""COMPUTED_VALUE"""),0.0)</f>
        <v>0</v>
      </c>
      <c r="E215" s="26">
        <f>IFERROR(__xludf.DUMMYFUNCTION("""COMPUTED_VALUE"""),0.0)</f>
        <v>0</v>
      </c>
      <c r="F215" s="26">
        <f>IFERROR(__xludf.DUMMYFUNCTION("""COMPUTED_VALUE"""),0.0)</f>
        <v>0</v>
      </c>
      <c r="G215" s="26">
        <f>IFERROR(__xludf.DUMMYFUNCTION("""COMPUTED_VALUE"""),0.0)</f>
        <v>0</v>
      </c>
      <c r="H215" s="26">
        <f>IFERROR(__xludf.DUMMYFUNCTION("""COMPUTED_VALUE"""),0.0)</f>
        <v>0</v>
      </c>
      <c r="I215" s="26">
        <f>IFERROR(__xludf.DUMMYFUNCTION("""COMPUTED_VALUE"""),0.0)</f>
        <v>0</v>
      </c>
      <c r="J215" s="26">
        <f>IFERROR(__xludf.DUMMYFUNCTION("""COMPUTED_VALUE"""),0.0)</f>
        <v>0</v>
      </c>
      <c r="K215" s="26">
        <f>IFERROR(__xludf.DUMMYFUNCTION("""COMPUTED_VALUE"""),0.0)</f>
        <v>0</v>
      </c>
      <c r="L215" s="26">
        <f>IFERROR(__xludf.DUMMYFUNCTION("""COMPUTED_VALUE"""),0.0)</f>
        <v>0</v>
      </c>
      <c r="M215" s="26"/>
      <c r="N215" s="26"/>
      <c r="O215" s="26"/>
      <c r="P215" s="26"/>
      <c r="Q215" s="26"/>
      <c r="R215" s="26">
        <f>IFERROR(__xludf.DUMMYFUNCTION("""COMPUTED_VALUE"""),0.0)</f>
        <v>0</v>
      </c>
      <c r="S215" s="26">
        <f>IFERROR(__xludf.DUMMYFUNCTION("""COMPUTED_VALUE"""),0.0)</f>
        <v>0</v>
      </c>
      <c r="T215" s="26">
        <f>IFERROR(__xludf.DUMMYFUNCTION("""COMPUTED_VALUE"""),0.0)</f>
        <v>0</v>
      </c>
      <c r="U215" s="26">
        <f>IFERROR(__xludf.DUMMYFUNCTION("""COMPUTED_VALUE"""),0.0)</f>
        <v>0</v>
      </c>
      <c r="V215" s="26">
        <f>IFERROR(__xludf.DUMMYFUNCTION("""COMPUTED_VALUE"""),0.0)</f>
        <v>0</v>
      </c>
      <c r="W215" s="26">
        <f>IFERROR(__xludf.DUMMYFUNCTION("""COMPUTED_VALUE"""),0.0)</f>
        <v>0</v>
      </c>
      <c r="X215" s="26">
        <f>IFERROR(__xludf.DUMMYFUNCTION("""COMPUTED_VALUE"""),0.0)</f>
        <v>0</v>
      </c>
      <c r="Y215" s="26">
        <f>IFERROR(__xludf.DUMMYFUNCTION("""COMPUTED_VALUE"""),0.0)</f>
        <v>0</v>
      </c>
      <c r="Z215" s="26">
        <f>IFERROR(__xludf.DUMMYFUNCTION("""COMPUTED_VALUE"""),0.0)</f>
        <v>0</v>
      </c>
      <c r="AA215" s="26">
        <f>IFERROR(__xludf.DUMMYFUNCTION("""COMPUTED_VALUE"""),0.0)</f>
        <v>0</v>
      </c>
      <c r="AB215" s="26">
        <f>IFERROR(__xludf.DUMMYFUNCTION("""COMPUTED_VALUE"""),0.0)</f>
        <v>0</v>
      </c>
      <c r="AC215" s="26">
        <f>IFERROR(__xludf.DUMMYFUNCTION("""COMPUTED_VALUE"""),0.0)</f>
        <v>0</v>
      </c>
      <c r="AD215" s="26">
        <f>IFERROR(__xludf.DUMMYFUNCTION("""COMPUTED_VALUE"""),0.0)</f>
        <v>0</v>
      </c>
      <c r="AE215" s="26">
        <f>IFERROR(__xludf.DUMMYFUNCTION("""COMPUTED_VALUE"""),0.0)</f>
        <v>0</v>
      </c>
    </row>
    <row r="216">
      <c r="A216" s="26">
        <f>IFERROR(__xludf.DUMMYFUNCTION("""COMPUTED_VALUE"""),0.0)</f>
        <v>0</v>
      </c>
      <c r="B216" s="26">
        <f>IFERROR(__xludf.DUMMYFUNCTION("""COMPUTED_VALUE"""),0.0)</f>
        <v>0</v>
      </c>
      <c r="C216" s="26">
        <f>IFERROR(__xludf.DUMMYFUNCTION("""COMPUTED_VALUE"""),0.0)</f>
        <v>0</v>
      </c>
      <c r="D216" s="26">
        <f>IFERROR(__xludf.DUMMYFUNCTION("""COMPUTED_VALUE"""),0.0)</f>
        <v>0</v>
      </c>
      <c r="E216" s="26">
        <f>IFERROR(__xludf.DUMMYFUNCTION("""COMPUTED_VALUE"""),0.0)</f>
        <v>0</v>
      </c>
      <c r="F216" s="26">
        <f>IFERROR(__xludf.DUMMYFUNCTION("""COMPUTED_VALUE"""),0.0)</f>
        <v>0</v>
      </c>
      <c r="G216" s="26">
        <f>IFERROR(__xludf.DUMMYFUNCTION("""COMPUTED_VALUE"""),0.0)</f>
        <v>0</v>
      </c>
      <c r="H216" s="26">
        <f>IFERROR(__xludf.DUMMYFUNCTION("""COMPUTED_VALUE"""),0.0)</f>
        <v>0</v>
      </c>
      <c r="I216" s="26">
        <f>IFERROR(__xludf.DUMMYFUNCTION("""COMPUTED_VALUE"""),0.0)</f>
        <v>0</v>
      </c>
      <c r="J216" s="26">
        <f>IFERROR(__xludf.DUMMYFUNCTION("""COMPUTED_VALUE"""),0.0)</f>
        <v>0</v>
      </c>
      <c r="K216" s="26">
        <f>IFERROR(__xludf.DUMMYFUNCTION("""COMPUTED_VALUE"""),0.0)</f>
        <v>0</v>
      </c>
      <c r="L216" s="26">
        <f>IFERROR(__xludf.DUMMYFUNCTION("""COMPUTED_VALUE"""),0.0)</f>
        <v>0</v>
      </c>
      <c r="M216" s="26"/>
      <c r="N216" s="26"/>
      <c r="O216" s="26"/>
      <c r="P216" s="26"/>
      <c r="Q216" s="26"/>
      <c r="R216" s="26">
        <f>IFERROR(__xludf.DUMMYFUNCTION("""COMPUTED_VALUE"""),0.0)</f>
        <v>0</v>
      </c>
      <c r="S216" s="26">
        <f>IFERROR(__xludf.DUMMYFUNCTION("""COMPUTED_VALUE"""),0.0)</f>
        <v>0</v>
      </c>
      <c r="T216" s="26">
        <f>IFERROR(__xludf.DUMMYFUNCTION("""COMPUTED_VALUE"""),0.0)</f>
        <v>0</v>
      </c>
      <c r="U216" s="26">
        <f>IFERROR(__xludf.DUMMYFUNCTION("""COMPUTED_VALUE"""),0.0)</f>
        <v>0</v>
      </c>
      <c r="V216" s="26">
        <f>IFERROR(__xludf.DUMMYFUNCTION("""COMPUTED_VALUE"""),0.0)</f>
        <v>0</v>
      </c>
      <c r="W216" s="26">
        <f>IFERROR(__xludf.DUMMYFUNCTION("""COMPUTED_VALUE"""),0.0)</f>
        <v>0</v>
      </c>
      <c r="X216" s="26">
        <f>IFERROR(__xludf.DUMMYFUNCTION("""COMPUTED_VALUE"""),0.0)</f>
        <v>0</v>
      </c>
      <c r="Y216" s="26">
        <f>IFERROR(__xludf.DUMMYFUNCTION("""COMPUTED_VALUE"""),0.0)</f>
        <v>0</v>
      </c>
      <c r="Z216" s="26">
        <f>IFERROR(__xludf.DUMMYFUNCTION("""COMPUTED_VALUE"""),0.0)</f>
        <v>0</v>
      </c>
      <c r="AA216" s="26">
        <f>IFERROR(__xludf.DUMMYFUNCTION("""COMPUTED_VALUE"""),0.0)</f>
        <v>0</v>
      </c>
      <c r="AB216" s="26">
        <f>IFERROR(__xludf.DUMMYFUNCTION("""COMPUTED_VALUE"""),0.0)</f>
        <v>0</v>
      </c>
      <c r="AC216" s="26">
        <f>IFERROR(__xludf.DUMMYFUNCTION("""COMPUTED_VALUE"""),0.0)</f>
        <v>0</v>
      </c>
      <c r="AD216" s="26">
        <f>IFERROR(__xludf.DUMMYFUNCTION("""COMPUTED_VALUE"""),0.0)</f>
        <v>0</v>
      </c>
      <c r="AE216" s="26">
        <f>IFERROR(__xludf.DUMMYFUNCTION("""COMPUTED_VALUE"""),0.0)</f>
        <v>0</v>
      </c>
    </row>
    <row r="217">
      <c r="A217" s="26">
        <f>IFERROR(__xludf.DUMMYFUNCTION("""COMPUTED_VALUE"""),1.0)</f>
        <v>1</v>
      </c>
      <c r="B217" s="26">
        <f>IFERROR(__xludf.DUMMYFUNCTION("""COMPUTED_VALUE"""),0.0)</f>
        <v>0</v>
      </c>
      <c r="C217" s="26">
        <f>IFERROR(__xludf.DUMMYFUNCTION("""COMPUTED_VALUE"""),271.0)</f>
        <v>271</v>
      </c>
      <c r="D217" s="26">
        <f>IFERROR(__xludf.DUMMYFUNCTION("""COMPUTED_VALUE"""),0.0)</f>
        <v>0</v>
      </c>
      <c r="E217" s="26">
        <f>IFERROR(__xludf.DUMMYFUNCTION("""COMPUTED_VALUE"""),0.0)</f>
        <v>0</v>
      </c>
      <c r="F217" s="26">
        <f>IFERROR(__xludf.DUMMYFUNCTION("""COMPUTED_VALUE"""),0.0)</f>
        <v>0</v>
      </c>
      <c r="G217" s="26">
        <f>IFERROR(__xludf.DUMMYFUNCTION("""COMPUTED_VALUE"""),0.0)</f>
        <v>0</v>
      </c>
      <c r="H217" s="26">
        <f>IFERROR(__xludf.DUMMYFUNCTION("""COMPUTED_VALUE"""),0.0)</f>
        <v>0</v>
      </c>
      <c r="I217" s="26">
        <f>IFERROR(__xludf.DUMMYFUNCTION("""COMPUTED_VALUE"""),0.0)</f>
        <v>0</v>
      </c>
      <c r="J217" s="26">
        <f>IFERROR(__xludf.DUMMYFUNCTION("""COMPUTED_VALUE"""),0.0)</f>
        <v>0</v>
      </c>
      <c r="K217" s="26">
        <f>IFERROR(__xludf.DUMMYFUNCTION("""COMPUTED_VALUE"""),0.0)</f>
        <v>0</v>
      </c>
      <c r="L217" s="26">
        <f>IFERROR(__xludf.DUMMYFUNCTION("""COMPUTED_VALUE"""),0.0)</f>
        <v>0</v>
      </c>
      <c r="M217" s="26"/>
      <c r="N217" s="26"/>
      <c r="O217" s="26"/>
      <c r="P217" s="26"/>
      <c r="Q217" s="26"/>
      <c r="R217" s="26">
        <f>IFERROR(__xludf.DUMMYFUNCTION("""COMPUTED_VALUE"""),272.0)</f>
        <v>272</v>
      </c>
      <c r="S217" s="26">
        <f>IFERROR(__xludf.DUMMYFUNCTION("""COMPUTED_VALUE"""),187232.0)</f>
        <v>187232</v>
      </c>
      <c r="T217" s="26">
        <f>IFERROR(__xludf.DUMMYFUNCTION("""COMPUTED_VALUE"""),40910.0)</f>
        <v>40910</v>
      </c>
      <c r="U217" s="26">
        <f>IFERROR(__xludf.DUMMYFUNCTION("""COMPUTED_VALUE"""),69469.67)</f>
        <v>69469.67</v>
      </c>
      <c r="V217" s="26">
        <f>IFERROR(__xludf.DUMMYFUNCTION("""COMPUTED_VALUE"""),0.0)</f>
        <v>0</v>
      </c>
      <c r="W217" s="26">
        <f>IFERROR(__xludf.DUMMYFUNCTION("""COMPUTED_VALUE"""),0.0)</f>
        <v>0</v>
      </c>
      <c r="X217" s="26">
        <f>IFERROR(__xludf.DUMMYFUNCTION("""COMPUTED_VALUE"""),28559.67)</f>
        <v>28559.67</v>
      </c>
      <c r="Y217" s="26">
        <f>IFERROR(__xludf.DUMMYFUNCTION("""COMPUTED_VALUE"""),28559.67)</f>
        <v>28559.67</v>
      </c>
      <c r="Z217" s="26">
        <f>IFERROR(__xludf.DUMMYFUNCTION("""COMPUTED_VALUE"""),187232.0)</f>
        <v>187232</v>
      </c>
      <c r="AA217" s="26">
        <f>IFERROR(__xludf.DUMMYFUNCTION("""COMPUTED_VALUE"""),75358.46000000004)</f>
        <v>75358.46</v>
      </c>
      <c r="AB217" s="26">
        <f>IFERROR(__xludf.DUMMYFUNCTION("""COMPUTED_VALUE"""),117762.33)</f>
        <v>117762.33</v>
      </c>
      <c r="AC217" s="26">
        <f>IFERROR(__xludf.DUMMYFUNCTION("""COMPUTED_VALUE"""),0.0)</f>
        <v>0</v>
      </c>
      <c r="AD217" s="26">
        <f>IFERROR(__xludf.DUMMYFUNCTION("""COMPUTED_VALUE"""),5888.789999999963)</f>
        <v>5888.79</v>
      </c>
      <c r="AE217" s="26">
        <f>IFERROR(__xludf.DUMMYFUNCTION("""COMPUTED_VALUE"""),111873.53999999953)</f>
        <v>111873.54</v>
      </c>
    </row>
    <row r="218">
      <c r="A218" s="26">
        <f>IFERROR(__xludf.DUMMYFUNCTION("""COMPUTED_VALUE"""),116.0)</f>
        <v>116</v>
      </c>
      <c r="B218" s="26">
        <f>IFERROR(__xludf.DUMMYFUNCTION("""COMPUTED_VALUE"""),0.0)</f>
        <v>0</v>
      </c>
      <c r="C218" s="26">
        <f>IFERROR(__xludf.DUMMYFUNCTION("""COMPUTED_VALUE"""),0.0)</f>
        <v>0</v>
      </c>
      <c r="D218" s="26">
        <f>IFERROR(__xludf.DUMMYFUNCTION("""COMPUTED_VALUE"""),0.0)</f>
        <v>0</v>
      </c>
      <c r="E218" s="26">
        <f>IFERROR(__xludf.DUMMYFUNCTION("""COMPUTED_VALUE"""),0.0)</f>
        <v>0</v>
      </c>
      <c r="F218" s="26">
        <f>IFERROR(__xludf.DUMMYFUNCTION("""COMPUTED_VALUE"""),0.0)</f>
        <v>0</v>
      </c>
      <c r="G218" s="26">
        <f>IFERROR(__xludf.DUMMYFUNCTION("""COMPUTED_VALUE"""),0.0)</f>
        <v>0</v>
      </c>
      <c r="H218" s="26">
        <f>IFERROR(__xludf.DUMMYFUNCTION("""COMPUTED_VALUE"""),0.0)</f>
        <v>0</v>
      </c>
      <c r="I218" s="26">
        <f>IFERROR(__xludf.DUMMYFUNCTION("""COMPUTED_VALUE"""),0.0)</f>
        <v>0</v>
      </c>
      <c r="J218" s="26">
        <f>IFERROR(__xludf.DUMMYFUNCTION("""COMPUTED_VALUE"""),0.0)</f>
        <v>0</v>
      </c>
      <c r="K218" s="26">
        <f>IFERROR(__xludf.DUMMYFUNCTION("""COMPUTED_VALUE"""),0.0)</f>
        <v>0</v>
      </c>
      <c r="L218" s="26">
        <f>IFERROR(__xludf.DUMMYFUNCTION("""COMPUTED_VALUE"""),0.0)</f>
        <v>0</v>
      </c>
      <c r="M218" s="26"/>
      <c r="N218" s="26"/>
      <c r="O218" s="26"/>
      <c r="P218" s="26"/>
      <c r="Q218" s="26"/>
      <c r="R218" s="26">
        <f>IFERROR(__xludf.DUMMYFUNCTION("""COMPUTED_VALUE"""),116.0)</f>
        <v>116</v>
      </c>
      <c r="S218" s="26">
        <f>IFERROR(__xludf.DUMMYFUNCTION("""COMPUTED_VALUE"""),51272.0)</f>
        <v>51272</v>
      </c>
      <c r="T218" s="26">
        <f>IFERROR(__xludf.DUMMYFUNCTION("""COMPUTED_VALUE"""),20300.0)</f>
        <v>20300</v>
      </c>
      <c r="U218" s="26">
        <f>IFERROR(__xludf.DUMMYFUNCTION("""COMPUTED_VALUE"""),28120.72000000001)</f>
        <v>28120.72</v>
      </c>
      <c r="V218" s="26">
        <f>IFERROR(__xludf.DUMMYFUNCTION("""COMPUTED_VALUE"""),0.0)</f>
        <v>0</v>
      </c>
      <c r="W218" s="26">
        <f>IFERROR(__xludf.DUMMYFUNCTION("""COMPUTED_VALUE"""),0.0)</f>
        <v>0</v>
      </c>
      <c r="X218" s="26">
        <f>IFERROR(__xludf.DUMMYFUNCTION("""COMPUTED_VALUE"""),7820.720000000007)</f>
        <v>7820.72</v>
      </c>
      <c r="Y218" s="26">
        <f>IFERROR(__xludf.DUMMYFUNCTION("""COMPUTED_VALUE"""),7820.720000000007)</f>
        <v>7820.72</v>
      </c>
      <c r="Z218" s="26">
        <f>IFERROR(__xludf.DUMMYFUNCTION("""COMPUTED_VALUE"""),71162.0)</f>
        <v>71162</v>
      </c>
      <c r="AA218" s="26">
        <f>IFERROR(__xludf.DUMMYFUNCTION("""COMPUTED_VALUE"""),40636.400000000125)</f>
        <v>40636.4</v>
      </c>
      <c r="AB218" s="26">
        <f>IFERROR(__xludf.DUMMYFUNCTION("""COMPUTED_VALUE"""),32132.380000000132)</f>
        <v>32132.38</v>
      </c>
      <c r="AC218" s="26">
        <f>IFERROR(__xludf.DUMMYFUNCTION("""COMPUTED_VALUE"""),0.0)</f>
        <v>0</v>
      </c>
      <c r="AD218" s="26">
        <f>IFERROR(__xludf.DUMMYFUNCTION("""COMPUTED_VALUE"""),1606.7800000000022)</f>
        <v>1606.78</v>
      </c>
      <c r="AE218" s="26">
        <f>IFERROR(__xludf.DUMMYFUNCTION("""COMPUTED_VALUE"""),30525.599999999915)</f>
        <v>30525.6</v>
      </c>
    </row>
    <row r="219">
      <c r="A219" s="26">
        <f>IFERROR(__xludf.DUMMYFUNCTION("""COMPUTED_VALUE"""),0.0)</f>
        <v>0</v>
      </c>
      <c r="B219" s="26">
        <f>IFERROR(__xludf.DUMMYFUNCTION("""COMPUTED_VALUE"""),0.0)</f>
        <v>0</v>
      </c>
      <c r="C219" s="26">
        <f>IFERROR(__xludf.DUMMYFUNCTION("""COMPUTED_VALUE"""),0.0)</f>
        <v>0</v>
      </c>
      <c r="D219" s="26">
        <f>IFERROR(__xludf.DUMMYFUNCTION("""COMPUTED_VALUE"""),0.0)</f>
        <v>0</v>
      </c>
      <c r="E219" s="26">
        <f>IFERROR(__xludf.DUMMYFUNCTION("""COMPUTED_VALUE"""),0.0)</f>
        <v>0</v>
      </c>
      <c r="F219" s="26">
        <f>IFERROR(__xludf.DUMMYFUNCTION("""COMPUTED_VALUE"""),0.0)</f>
        <v>0</v>
      </c>
      <c r="G219" s="26">
        <f>IFERROR(__xludf.DUMMYFUNCTION("""COMPUTED_VALUE"""),0.0)</f>
        <v>0</v>
      </c>
      <c r="H219" s="26">
        <f>IFERROR(__xludf.DUMMYFUNCTION("""COMPUTED_VALUE"""),0.0)</f>
        <v>0</v>
      </c>
      <c r="I219" s="26">
        <f>IFERROR(__xludf.DUMMYFUNCTION("""COMPUTED_VALUE"""),0.0)</f>
        <v>0</v>
      </c>
      <c r="J219" s="26">
        <f>IFERROR(__xludf.DUMMYFUNCTION("""COMPUTED_VALUE"""),0.0)</f>
        <v>0</v>
      </c>
      <c r="K219" s="26">
        <f>IFERROR(__xludf.DUMMYFUNCTION("""COMPUTED_VALUE"""),0.0)</f>
        <v>0</v>
      </c>
      <c r="L219" s="26">
        <f>IFERROR(__xludf.DUMMYFUNCTION("""COMPUTED_VALUE"""),0.0)</f>
        <v>0</v>
      </c>
      <c r="M219" s="26"/>
      <c r="N219" s="26"/>
      <c r="O219" s="26"/>
      <c r="P219" s="26"/>
      <c r="Q219" s="26"/>
      <c r="R219" s="26">
        <f>IFERROR(__xludf.DUMMYFUNCTION("""COMPUTED_VALUE"""),0.0)</f>
        <v>0</v>
      </c>
      <c r="S219" s="26">
        <f>IFERROR(__xludf.DUMMYFUNCTION("""COMPUTED_VALUE"""),0.0)</f>
        <v>0</v>
      </c>
      <c r="T219" s="26">
        <f>IFERROR(__xludf.DUMMYFUNCTION("""COMPUTED_VALUE"""),0.0)</f>
        <v>0</v>
      </c>
      <c r="U219" s="26">
        <f>IFERROR(__xludf.DUMMYFUNCTION("""COMPUTED_VALUE"""),0.0)</f>
        <v>0</v>
      </c>
      <c r="V219" s="26">
        <f>IFERROR(__xludf.DUMMYFUNCTION("""COMPUTED_VALUE"""),0.0)</f>
        <v>0</v>
      </c>
      <c r="W219" s="26">
        <f>IFERROR(__xludf.DUMMYFUNCTION("""COMPUTED_VALUE"""),0.0)</f>
        <v>0</v>
      </c>
      <c r="X219" s="26">
        <f>IFERROR(__xludf.DUMMYFUNCTION("""COMPUTED_VALUE"""),0.0)</f>
        <v>0</v>
      </c>
      <c r="Y219" s="26">
        <f>IFERROR(__xludf.DUMMYFUNCTION("""COMPUTED_VALUE"""),0.0)</f>
        <v>0</v>
      </c>
      <c r="Z219" s="26">
        <f>IFERROR(__xludf.DUMMYFUNCTION("""COMPUTED_VALUE"""),0.0)</f>
        <v>0</v>
      </c>
      <c r="AA219" s="26">
        <f>IFERROR(__xludf.DUMMYFUNCTION("""COMPUTED_VALUE"""),0.0)</f>
        <v>0</v>
      </c>
      <c r="AB219" s="26">
        <f>IFERROR(__xludf.DUMMYFUNCTION("""COMPUTED_VALUE"""),0.0)</f>
        <v>0</v>
      </c>
      <c r="AC219" s="26">
        <f>IFERROR(__xludf.DUMMYFUNCTION("""COMPUTED_VALUE"""),0.0)</f>
        <v>0</v>
      </c>
      <c r="AD219" s="26">
        <f>IFERROR(__xludf.DUMMYFUNCTION("""COMPUTED_VALUE"""),0.0)</f>
        <v>0</v>
      </c>
      <c r="AE219" s="26">
        <f>IFERROR(__xludf.DUMMYFUNCTION("""COMPUTED_VALUE"""),0.0)</f>
        <v>0</v>
      </c>
    </row>
    <row r="220">
      <c r="A220" s="26">
        <f>IFERROR(__xludf.DUMMYFUNCTION("""COMPUTED_VALUE"""),0.0)</f>
        <v>0</v>
      </c>
      <c r="B220" s="26">
        <f>IFERROR(__xludf.DUMMYFUNCTION("""COMPUTED_VALUE"""),0.0)</f>
        <v>0</v>
      </c>
      <c r="C220" s="26">
        <f>IFERROR(__xludf.DUMMYFUNCTION("""COMPUTED_VALUE"""),0.0)</f>
        <v>0</v>
      </c>
      <c r="D220" s="26">
        <f>IFERROR(__xludf.DUMMYFUNCTION("""COMPUTED_VALUE"""),0.0)</f>
        <v>0</v>
      </c>
      <c r="E220" s="26">
        <f>IFERROR(__xludf.DUMMYFUNCTION("""COMPUTED_VALUE"""),0.0)</f>
        <v>0</v>
      </c>
      <c r="F220" s="26">
        <f>IFERROR(__xludf.DUMMYFUNCTION("""COMPUTED_VALUE"""),0.0)</f>
        <v>0</v>
      </c>
      <c r="G220" s="26">
        <f>IFERROR(__xludf.DUMMYFUNCTION("""COMPUTED_VALUE"""),0.0)</f>
        <v>0</v>
      </c>
      <c r="H220" s="26">
        <f>IFERROR(__xludf.DUMMYFUNCTION("""COMPUTED_VALUE"""),0.0)</f>
        <v>0</v>
      </c>
      <c r="I220" s="26">
        <f>IFERROR(__xludf.DUMMYFUNCTION("""COMPUTED_VALUE"""),0.0)</f>
        <v>0</v>
      </c>
      <c r="J220" s="26">
        <f>IFERROR(__xludf.DUMMYFUNCTION("""COMPUTED_VALUE"""),0.0)</f>
        <v>0</v>
      </c>
      <c r="K220" s="26">
        <f>IFERROR(__xludf.DUMMYFUNCTION("""COMPUTED_VALUE"""),0.0)</f>
        <v>0</v>
      </c>
      <c r="L220" s="26">
        <f>IFERROR(__xludf.DUMMYFUNCTION("""COMPUTED_VALUE"""),0.0)</f>
        <v>0</v>
      </c>
      <c r="M220" s="26"/>
      <c r="N220" s="26"/>
      <c r="O220" s="26"/>
      <c r="P220" s="26"/>
      <c r="Q220" s="26"/>
      <c r="R220" s="26">
        <f>IFERROR(__xludf.DUMMYFUNCTION("""COMPUTED_VALUE"""),0.0)</f>
        <v>0</v>
      </c>
      <c r="S220" s="26">
        <f>IFERROR(__xludf.DUMMYFUNCTION("""COMPUTED_VALUE"""),0.0)</f>
        <v>0</v>
      </c>
      <c r="T220" s="26">
        <f>IFERROR(__xludf.DUMMYFUNCTION("""COMPUTED_VALUE"""),0.0)</f>
        <v>0</v>
      </c>
      <c r="U220" s="26">
        <f>IFERROR(__xludf.DUMMYFUNCTION("""COMPUTED_VALUE"""),0.0)</f>
        <v>0</v>
      </c>
      <c r="V220" s="26">
        <f>IFERROR(__xludf.DUMMYFUNCTION("""COMPUTED_VALUE"""),0.0)</f>
        <v>0</v>
      </c>
      <c r="W220" s="26">
        <f>IFERROR(__xludf.DUMMYFUNCTION("""COMPUTED_VALUE"""),0.0)</f>
        <v>0</v>
      </c>
      <c r="X220" s="26">
        <f>IFERROR(__xludf.DUMMYFUNCTION("""COMPUTED_VALUE"""),0.0)</f>
        <v>0</v>
      </c>
      <c r="Y220" s="26">
        <f>IFERROR(__xludf.DUMMYFUNCTION("""COMPUTED_VALUE"""),0.0)</f>
        <v>0</v>
      </c>
      <c r="Z220" s="26">
        <f>IFERROR(__xludf.DUMMYFUNCTION("""COMPUTED_VALUE"""),0.0)</f>
        <v>0</v>
      </c>
      <c r="AA220" s="26">
        <f>IFERROR(__xludf.DUMMYFUNCTION("""COMPUTED_VALUE"""),0.0)</f>
        <v>0</v>
      </c>
      <c r="AB220" s="26">
        <f>IFERROR(__xludf.DUMMYFUNCTION("""COMPUTED_VALUE"""),0.0)</f>
        <v>0</v>
      </c>
      <c r="AC220" s="26">
        <f>IFERROR(__xludf.DUMMYFUNCTION("""COMPUTED_VALUE"""),0.0)</f>
        <v>0</v>
      </c>
      <c r="AD220" s="26">
        <f>IFERROR(__xludf.DUMMYFUNCTION("""COMPUTED_VALUE"""),0.0)</f>
        <v>0</v>
      </c>
      <c r="AE220" s="26">
        <f>IFERROR(__xludf.DUMMYFUNCTION("""COMPUTED_VALUE"""),0.0)</f>
        <v>0</v>
      </c>
    </row>
    <row r="221">
      <c r="A221" s="26">
        <f>IFERROR(__xludf.DUMMYFUNCTION("""COMPUTED_VALUE"""),51.0)</f>
        <v>51</v>
      </c>
      <c r="B221" s="26">
        <f>IFERROR(__xludf.DUMMYFUNCTION("""COMPUTED_VALUE"""),0.0)</f>
        <v>0</v>
      </c>
      <c r="C221" s="26">
        <f>IFERROR(__xludf.DUMMYFUNCTION("""COMPUTED_VALUE"""),0.0)</f>
        <v>0</v>
      </c>
      <c r="D221" s="26">
        <f>IFERROR(__xludf.DUMMYFUNCTION("""COMPUTED_VALUE"""),0.0)</f>
        <v>0</v>
      </c>
      <c r="E221" s="26">
        <f>IFERROR(__xludf.DUMMYFUNCTION("""COMPUTED_VALUE"""),0.0)</f>
        <v>0</v>
      </c>
      <c r="F221" s="26">
        <f>IFERROR(__xludf.DUMMYFUNCTION("""COMPUTED_VALUE"""),0.0)</f>
        <v>0</v>
      </c>
      <c r="G221" s="26">
        <f>IFERROR(__xludf.DUMMYFUNCTION("""COMPUTED_VALUE"""),0.0)</f>
        <v>0</v>
      </c>
      <c r="H221" s="26">
        <f>IFERROR(__xludf.DUMMYFUNCTION("""COMPUTED_VALUE"""),0.0)</f>
        <v>0</v>
      </c>
      <c r="I221" s="26">
        <f>IFERROR(__xludf.DUMMYFUNCTION("""COMPUTED_VALUE"""),0.0)</f>
        <v>0</v>
      </c>
      <c r="J221" s="26">
        <f>IFERROR(__xludf.DUMMYFUNCTION("""COMPUTED_VALUE"""),0.0)</f>
        <v>0</v>
      </c>
      <c r="K221" s="26">
        <f>IFERROR(__xludf.DUMMYFUNCTION("""COMPUTED_VALUE"""),0.0)</f>
        <v>0</v>
      </c>
      <c r="L221" s="26">
        <f>IFERROR(__xludf.DUMMYFUNCTION("""COMPUTED_VALUE"""),0.0)</f>
        <v>0</v>
      </c>
      <c r="M221" s="26"/>
      <c r="N221" s="26"/>
      <c r="O221" s="26"/>
      <c r="P221" s="26"/>
      <c r="Q221" s="26"/>
      <c r="R221" s="26">
        <f>IFERROR(__xludf.DUMMYFUNCTION("""COMPUTED_VALUE"""),51.0)</f>
        <v>51</v>
      </c>
      <c r="S221" s="26">
        <f>IFERROR(__xludf.DUMMYFUNCTION("""COMPUTED_VALUE"""),24990.0)</f>
        <v>24990</v>
      </c>
      <c r="T221" s="26">
        <f>IFERROR(__xludf.DUMMYFUNCTION("""COMPUTED_VALUE"""),9180.0)</f>
        <v>9180</v>
      </c>
      <c r="U221" s="26">
        <f>IFERROR(__xludf.DUMMYFUNCTION("""COMPUTED_VALUE"""),12992.25)</f>
        <v>12992.25</v>
      </c>
      <c r="V221" s="26">
        <f>IFERROR(__xludf.DUMMYFUNCTION("""COMPUTED_VALUE"""),0.0)</f>
        <v>0</v>
      </c>
      <c r="W221" s="26">
        <f>IFERROR(__xludf.DUMMYFUNCTION("""COMPUTED_VALUE"""),0.0)</f>
        <v>0</v>
      </c>
      <c r="X221" s="26">
        <f>IFERROR(__xludf.DUMMYFUNCTION("""COMPUTED_VALUE"""),3812.25)</f>
        <v>3812.25</v>
      </c>
      <c r="Y221" s="26">
        <f>IFERROR(__xludf.DUMMYFUNCTION("""COMPUTED_VALUE"""),3812.25)</f>
        <v>3812.25</v>
      </c>
      <c r="Z221" s="26">
        <f>IFERROR(__xludf.DUMMYFUNCTION("""COMPUTED_VALUE"""),24990.0)</f>
        <v>24990</v>
      </c>
      <c r="AA221" s="26">
        <f>IFERROR(__xludf.DUMMYFUNCTION("""COMPUTED_VALUE"""),13592.01000000001)</f>
        <v>13592.01</v>
      </c>
      <c r="AB221" s="26">
        <f>IFERROR(__xludf.DUMMYFUNCTION("""COMPUTED_VALUE"""),11997.75)</f>
        <v>11997.75</v>
      </c>
      <c r="AC221" s="26">
        <f>IFERROR(__xludf.DUMMYFUNCTION("""COMPUTED_VALUE"""),0.0)</f>
        <v>0</v>
      </c>
      <c r="AD221" s="26">
        <f>IFERROR(__xludf.DUMMYFUNCTION("""COMPUTED_VALUE"""),599.7599999999996)</f>
        <v>599.76</v>
      </c>
      <c r="AE221" s="26">
        <f>IFERROR(__xludf.DUMMYFUNCTION("""COMPUTED_VALUE"""),11397.989999999993)</f>
        <v>11397.99</v>
      </c>
    </row>
    <row r="222">
      <c r="A222" s="26">
        <f>IFERROR(__xludf.DUMMYFUNCTION("""COMPUTED_VALUE"""),0.0)</f>
        <v>0</v>
      </c>
      <c r="B222" s="26">
        <f>IFERROR(__xludf.DUMMYFUNCTION("""COMPUTED_VALUE"""),0.0)</f>
        <v>0</v>
      </c>
      <c r="C222" s="26">
        <f>IFERROR(__xludf.DUMMYFUNCTION("""COMPUTED_VALUE"""),100.0)</f>
        <v>100</v>
      </c>
      <c r="D222" s="26">
        <f>IFERROR(__xludf.DUMMYFUNCTION("""COMPUTED_VALUE"""),0.0)</f>
        <v>0</v>
      </c>
      <c r="E222" s="26">
        <f>IFERROR(__xludf.DUMMYFUNCTION("""COMPUTED_VALUE"""),0.0)</f>
        <v>0</v>
      </c>
      <c r="F222" s="26">
        <f>IFERROR(__xludf.DUMMYFUNCTION("""COMPUTED_VALUE"""),0.0)</f>
        <v>0</v>
      </c>
      <c r="G222" s="26">
        <f>IFERROR(__xludf.DUMMYFUNCTION("""COMPUTED_VALUE"""),0.0)</f>
        <v>0</v>
      </c>
      <c r="H222" s="26">
        <f>IFERROR(__xludf.DUMMYFUNCTION("""COMPUTED_VALUE"""),0.0)</f>
        <v>0</v>
      </c>
      <c r="I222" s="26">
        <f>IFERROR(__xludf.DUMMYFUNCTION("""COMPUTED_VALUE"""),0.0)</f>
        <v>0</v>
      </c>
      <c r="J222" s="26">
        <f>IFERROR(__xludf.DUMMYFUNCTION("""COMPUTED_VALUE"""),0.0)</f>
        <v>0</v>
      </c>
      <c r="K222" s="26">
        <f>IFERROR(__xludf.DUMMYFUNCTION("""COMPUTED_VALUE"""),0.0)</f>
        <v>0</v>
      </c>
      <c r="L222" s="26">
        <f>IFERROR(__xludf.DUMMYFUNCTION("""COMPUTED_VALUE"""),0.0)</f>
        <v>0</v>
      </c>
      <c r="M222" s="26"/>
      <c r="N222" s="26"/>
      <c r="O222" s="26"/>
      <c r="P222" s="26"/>
      <c r="Q222" s="26"/>
      <c r="R222" s="26">
        <f>IFERROR(__xludf.DUMMYFUNCTION("""COMPUTED_VALUE"""),100.0)</f>
        <v>100</v>
      </c>
      <c r="S222" s="26">
        <f>IFERROR(__xludf.DUMMYFUNCTION("""COMPUTED_VALUE"""),44200.0)</f>
        <v>44200</v>
      </c>
      <c r="T222" s="26">
        <f>IFERROR(__xludf.DUMMYFUNCTION("""COMPUTED_VALUE"""),23500.0)</f>
        <v>23500</v>
      </c>
      <c r="U222" s="26">
        <f>IFERROR(__xludf.DUMMYFUNCTION("""COMPUTED_VALUE"""),30242.000000000007)</f>
        <v>30242</v>
      </c>
      <c r="V222" s="26">
        <f>IFERROR(__xludf.DUMMYFUNCTION("""COMPUTED_VALUE"""),0.0)</f>
        <v>0</v>
      </c>
      <c r="W222" s="26">
        <f>IFERROR(__xludf.DUMMYFUNCTION("""COMPUTED_VALUE"""),0.0)</f>
        <v>0</v>
      </c>
      <c r="X222" s="26">
        <f>IFERROR(__xludf.DUMMYFUNCTION("""COMPUTED_VALUE"""),6742.0000000000055)</f>
        <v>6742</v>
      </c>
      <c r="Y222" s="26">
        <f>IFERROR(__xludf.DUMMYFUNCTION("""COMPUTED_VALUE"""),6742.0000000000055)</f>
        <v>6742</v>
      </c>
      <c r="Z222" s="26">
        <f>IFERROR(__xludf.DUMMYFUNCTION("""COMPUTED_VALUE"""),54763.80000000016)</f>
        <v>54763.8</v>
      </c>
      <c r="AA222" s="26">
        <f>IFERROR(__xludf.DUMMYFUNCTION("""COMPUTED_VALUE"""),54763.80000000016)</f>
        <v>54763.8</v>
      </c>
      <c r="AB222" s="26">
        <f>IFERROR(__xludf.DUMMYFUNCTION("""COMPUTED_VALUE"""),24705.660000000098)</f>
        <v>24705.66</v>
      </c>
      <c r="AC222" s="26">
        <f>IFERROR(__xludf.DUMMYFUNCTION("""COMPUTED_VALUE"""),23470.199999999953)</f>
        <v>23470.2</v>
      </c>
      <c r="AD222" s="26">
        <f>IFERROR(__xludf.DUMMYFUNCTION("""COMPUTED_VALUE"""),1235.4600000000023)</f>
        <v>1235.46</v>
      </c>
      <c r="AE222" s="26">
        <f>IFERROR(__xludf.DUMMYFUNCTION("""COMPUTED_VALUE"""),0.0)</f>
        <v>0</v>
      </c>
    </row>
    <row r="223">
      <c r="A223" s="26">
        <f>IFERROR(__xludf.DUMMYFUNCTION("""COMPUTED_VALUE"""),44.0)</f>
        <v>44</v>
      </c>
      <c r="B223" s="26">
        <f>IFERROR(__xludf.DUMMYFUNCTION("""COMPUTED_VALUE"""),0.0)</f>
        <v>0</v>
      </c>
      <c r="C223" s="26">
        <f>IFERROR(__xludf.DUMMYFUNCTION("""COMPUTED_VALUE"""),0.0)</f>
        <v>0</v>
      </c>
      <c r="D223" s="26">
        <f>IFERROR(__xludf.DUMMYFUNCTION("""COMPUTED_VALUE"""),0.0)</f>
        <v>0</v>
      </c>
      <c r="E223" s="26">
        <f>IFERROR(__xludf.DUMMYFUNCTION("""COMPUTED_VALUE"""),0.0)</f>
        <v>0</v>
      </c>
      <c r="F223" s="26">
        <f>IFERROR(__xludf.DUMMYFUNCTION("""COMPUTED_VALUE"""),0.0)</f>
        <v>0</v>
      </c>
      <c r="G223" s="26">
        <f>IFERROR(__xludf.DUMMYFUNCTION("""COMPUTED_VALUE"""),0.0)</f>
        <v>0</v>
      </c>
      <c r="H223" s="26">
        <f>IFERROR(__xludf.DUMMYFUNCTION("""COMPUTED_VALUE"""),0.0)</f>
        <v>0</v>
      </c>
      <c r="I223" s="26">
        <f>IFERROR(__xludf.DUMMYFUNCTION("""COMPUTED_VALUE"""),0.0)</f>
        <v>0</v>
      </c>
      <c r="J223" s="26">
        <f>IFERROR(__xludf.DUMMYFUNCTION("""COMPUTED_VALUE"""),0.0)</f>
        <v>0</v>
      </c>
      <c r="K223" s="26">
        <f>IFERROR(__xludf.DUMMYFUNCTION("""COMPUTED_VALUE"""),0.0)</f>
        <v>0</v>
      </c>
      <c r="L223" s="26">
        <f>IFERROR(__xludf.DUMMYFUNCTION("""COMPUTED_VALUE"""),0.0)</f>
        <v>0</v>
      </c>
      <c r="M223" s="26"/>
      <c r="N223" s="26"/>
      <c r="O223" s="26"/>
      <c r="P223" s="26"/>
      <c r="Q223" s="26"/>
      <c r="R223" s="26">
        <f>IFERROR(__xludf.DUMMYFUNCTION("""COMPUTED_VALUE"""),44.0)</f>
        <v>44</v>
      </c>
      <c r="S223" s="26">
        <f>IFERROR(__xludf.DUMMYFUNCTION("""COMPUTED_VALUE"""),19448.0)</f>
        <v>19448</v>
      </c>
      <c r="T223" s="26">
        <f>IFERROR(__xludf.DUMMYFUNCTION("""COMPUTED_VALUE"""),8448.0)</f>
        <v>8448</v>
      </c>
      <c r="U223" s="26">
        <f>IFERROR(__xludf.DUMMYFUNCTION("""COMPUTED_VALUE"""),11414.480000000001)</f>
        <v>11414.48</v>
      </c>
      <c r="V223" s="26">
        <f>IFERROR(__xludf.DUMMYFUNCTION("""COMPUTED_VALUE"""),33.71)</f>
        <v>33.71</v>
      </c>
      <c r="W223" s="26">
        <f>IFERROR(__xludf.DUMMYFUNCTION("""COMPUTED_VALUE"""),33.71)</f>
        <v>33.71</v>
      </c>
      <c r="X223" s="26">
        <f>IFERROR(__xludf.DUMMYFUNCTION("""COMPUTED_VALUE"""),2899.0600000000018)</f>
        <v>2899.06</v>
      </c>
      <c r="Y223" s="26">
        <f>IFERROR(__xludf.DUMMYFUNCTION("""COMPUTED_VALUE"""),2966.480000000002)</f>
        <v>2966.48</v>
      </c>
      <c r="Z223" s="26">
        <f>IFERROR(__xludf.DUMMYFUNCTION("""COMPUTED_VALUE"""),0.0)</f>
        <v>0</v>
      </c>
      <c r="AA223" s="26">
        <f>IFERROR(__xludf.DUMMYFUNCTION("""COMPUTED_VALUE"""),0.0)</f>
        <v>0</v>
      </c>
      <c r="AB223" s="26">
        <f>IFERROR(__xludf.DUMMYFUNCTION("""COMPUTED_VALUE"""),0.0)</f>
        <v>0</v>
      </c>
      <c r="AC223" s="26">
        <f>IFERROR(__xludf.DUMMYFUNCTION("""COMPUTED_VALUE"""),0.0)</f>
        <v>0</v>
      </c>
      <c r="AD223" s="26">
        <f>IFERROR(__xludf.DUMMYFUNCTION("""COMPUTED_VALUE"""),0.0)</f>
        <v>0</v>
      </c>
      <c r="AE223" s="26">
        <f>IFERROR(__xludf.DUMMYFUNCTION("""COMPUTED_VALUE"""),0.0)</f>
        <v>0</v>
      </c>
    </row>
    <row r="224">
      <c r="A224" s="26">
        <f>IFERROR(__xludf.DUMMYFUNCTION("""COMPUTED_VALUE"""),0.0)</f>
        <v>0</v>
      </c>
      <c r="B224" s="26">
        <f>IFERROR(__xludf.DUMMYFUNCTION("""COMPUTED_VALUE"""),0.0)</f>
        <v>0</v>
      </c>
      <c r="C224" s="26">
        <f>IFERROR(__xludf.DUMMYFUNCTION("""COMPUTED_VALUE"""),55.0)</f>
        <v>55</v>
      </c>
      <c r="D224" s="26">
        <f>IFERROR(__xludf.DUMMYFUNCTION("""COMPUTED_VALUE"""),0.0)</f>
        <v>0</v>
      </c>
      <c r="E224" s="26">
        <f>IFERROR(__xludf.DUMMYFUNCTION("""COMPUTED_VALUE"""),0.0)</f>
        <v>0</v>
      </c>
      <c r="F224" s="26">
        <f>IFERROR(__xludf.DUMMYFUNCTION("""COMPUTED_VALUE"""),0.0)</f>
        <v>0</v>
      </c>
      <c r="G224" s="26">
        <f>IFERROR(__xludf.DUMMYFUNCTION("""COMPUTED_VALUE"""),0.0)</f>
        <v>0</v>
      </c>
      <c r="H224" s="26">
        <f>IFERROR(__xludf.DUMMYFUNCTION("""COMPUTED_VALUE"""),0.0)</f>
        <v>0</v>
      </c>
      <c r="I224" s="26">
        <f>IFERROR(__xludf.DUMMYFUNCTION("""COMPUTED_VALUE"""),0.0)</f>
        <v>0</v>
      </c>
      <c r="J224" s="26">
        <f>IFERROR(__xludf.DUMMYFUNCTION("""COMPUTED_VALUE"""),0.0)</f>
        <v>0</v>
      </c>
      <c r="K224" s="26">
        <f>IFERROR(__xludf.DUMMYFUNCTION("""COMPUTED_VALUE"""),0.0)</f>
        <v>0</v>
      </c>
      <c r="L224" s="26">
        <f>IFERROR(__xludf.DUMMYFUNCTION("""COMPUTED_VALUE"""),0.0)</f>
        <v>0</v>
      </c>
      <c r="M224" s="26"/>
      <c r="N224" s="26"/>
      <c r="O224" s="26"/>
      <c r="P224" s="26"/>
      <c r="Q224" s="26"/>
      <c r="R224" s="26">
        <f>IFERROR(__xludf.DUMMYFUNCTION("""COMPUTED_VALUE"""),55.0)</f>
        <v>55</v>
      </c>
      <c r="S224" s="26">
        <f>IFERROR(__xludf.DUMMYFUNCTION("""COMPUTED_VALUE"""),24310.0)</f>
        <v>24310</v>
      </c>
      <c r="T224" s="26">
        <f>IFERROR(__xludf.DUMMYFUNCTION("""COMPUTED_VALUE"""),11825.0)</f>
        <v>11825</v>
      </c>
      <c r="U224" s="26">
        <f>IFERROR(__xludf.DUMMYFUNCTION("""COMPUTED_VALUE"""),15533.100000000002)</f>
        <v>15533.1</v>
      </c>
      <c r="V224" s="26">
        <f>IFERROR(__xludf.DUMMYFUNCTION("""COMPUTED_VALUE"""),0.0)</f>
        <v>0</v>
      </c>
      <c r="W224" s="26">
        <f>IFERROR(__xludf.DUMMYFUNCTION("""COMPUTED_VALUE"""),0.0)</f>
        <v>0</v>
      </c>
      <c r="X224" s="26">
        <f>IFERROR(__xludf.DUMMYFUNCTION("""COMPUTED_VALUE"""),3708.1000000000026)</f>
        <v>3708.1</v>
      </c>
      <c r="Y224" s="26">
        <f>IFERROR(__xludf.DUMMYFUNCTION("""COMPUTED_VALUE"""),3708.1000000000026)</f>
        <v>3708.1</v>
      </c>
      <c r="Z224" s="26">
        <f>IFERROR(__xludf.DUMMYFUNCTION("""COMPUTED_VALUE"""),15971.999999999987)</f>
        <v>15972</v>
      </c>
      <c r="AA224" s="26">
        <f>IFERROR(__xludf.DUMMYFUNCTION("""COMPUTED_VALUE"""),15971.999999999987)</f>
        <v>15972</v>
      </c>
      <c r="AB224" s="26">
        <f>IFERROR(__xludf.DUMMYFUNCTION("""COMPUTED_VALUE"""),8776.899999999998)</f>
        <v>8776.9</v>
      </c>
      <c r="AC224" s="26">
        <f>IFERROR(__xludf.DUMMYFUNCTION("""COMPUTED_VALUE"""),8338.000000000007)</f>
        <v>8338</v>
      </c>
      <c r="AD224" s="26">
        <f>IFERROR(__xludf.DUMMYFUNCTION("""COMPUTED_VALUE"""),438.9000000000003)</f>
        <v>438.9</v>
      </c>
      <c r="AE224" s="26">
        <f>IFERROR(__xludf.DUMMYFUNCTION("""COMPUTED_VALUE"""),0.0)</f>
        <v>0</v>
      </c>
    </row>
    <row r="225">
      <c r="A225" s="26">
        <f>IFERROR(__xludf.DUMMYFUNCTION("""COMPUTED_VALUE"""),0.0)</f>
        <v>0</v>
      </c>
      <c r="B225" s="26">
        <f>IFERROR(__xludf.DUMMYFUNCTION("""COMPUTED_VALUE"""),0.0)</f>
        <v>0</v>
      </c>
      <c r="C225" s="26">
        <f>IFERROR(__xludf.DUMMYFUNCTION("""COMPUTED_VALUE"""),0.0)</f>
        <v>0</v>
      </c>
      <c r="D225" s="26">
        <f>IFERROR(__xludf.DUMMYFUNCTION("""COMPUTED_VALUE"""),0.0)</f>
        <v>0</v>
      </c>
      <c r="E225" s="26">
        <f>IFERROR(__xludf.DUMMYFUNCTION("""COMPUTED_VALUE"""),0.0)</f>
        <v>0</v>
      </c>
      <c r="F225" s="26">
        <f>IFERROR(__xludf.DUMMYFUNCTION("""COMPUTED_VALUE"""),0.0)</f>
        <v>0</v>
      </c>
      <c r="G225" s="26">
        <f>IFERROR(__xludf.DUMMYFUNCTION("""COMPUTED_VALUE"""),0.0)</f>
        <v>0</v>
      </c>
      <c r="H225" s="26">
        <f>IFERROR(__xludf.DUMMYFUNCTION("""COMPUTED_VALUE"""),0.0)</f>
        <v>0</v>
      </c>
      <c r="I225" s="26">
        <f>IFERROR(__xludf.DUMMYFUNCTION("""COMPUTED_VALUE"""),0.0)</f>
        <v>0</v>
      </c>
      <c r="J225" s="26">
        <f>IFERROR(__xludf.DUMMYFUNCTION("""COMPUTED_VALUE"""),0.0)</f>
        <v>0</v>
      </c>
      <c r="K225" s="26">
        <f>IFERROR(__xludf.DUMMYFUNCTION("""COMPUTED_VALUE"""),0.0)</f>
        <v>0</v>
      </c>
      <c r="L225" s="26">
        <f>IFERROR(__xludf.DUMMYFUNCTION("""COMPUTED_VALUE"""),0.0)</f>
        <v>0</v>
      </c>
      <c r="M225" s="26"/>
      <c r="N225" s="26"/>
      <c r="O225" s="26"/>
      <c r="P225" s="26"/>
      <c r="Q225" s="26"/>
      <c r="R225" s="26">
        <f>IFERROR(__xludf.DUMMYFUNCTION("""COMPUTED_VALUE"""),0.0)</f>
        <v>0</v>
      </c>
      <c r="S225" s="26">
        <f>IFERROR(__xludf.DUMMYFUNCTION("""COMPUTED_VALUE"""),0.0)</f>
        <v>0</v>
      </c>
      <c r="T225" s="26">
        <f>IFERROR(__xludf.DUMMYFUNCTION("""COMPUTED_VALUE"""),0.0)</f>
        <v>0</v>
      </c>
      <c r="U225" s="26">
        <f>IFERROR(__xludf.DUMMYFUNCTION("""COMPUTED_VALUE"""),0.0)</f>
        <v>0</v>
      </c>
      <c r="V225" s="26">
        <f>IFERROR(__xludf.DUMMYFUNCTION("""COMPUTED_VALUE"""),0.0)</f>
        <v>0</v>
      </c>
      <c r="W225" s="26">
        <f>IFERROR(__xludf.DUMMYFUNCTION("""COMPUTED_VALUE"""),0.0)</f>
        <v>0</v>
      </c>
      <c r="X225" s="26">
        <f>IFERROR(__xludf.DUMMYFUNCTION("""COMPUTED_VALUE"""),0.0)</f>
        <v>0</v>
      </c>
      <c r="Y225" s="26">
        <f>IFERROR(__xludf.DUMMYFUNCTION("""COMPUTED_VALUE"""),0.0)</f>
        <v>0</v>
      </c>
      <c r="Z225" s="26">
        <f>IFERROR(__xludf.DUMMYFUNCTION("""COMPUTED_VALUE"""),0.0)</f>
        <v>0</v>
      </c>
      <c r="AA225" s="26">
        <f>IFERROR(__xludf.DUMMYFUNCTION("""COMPUTED_VALUE"""),0.0)</f>
        <v>0</v>
      </c>
      <c r="AB225" s="26">
        <f>IFERROR(__xludf.DUMMYFUNCTION("""COMPUTED_VALUE"""),0.0)</f>
        <v>0</v>
      </c>
      <c r="AC225" s="26">
        <f>IFERROR(__xludf.DUMMYFUNCTION("""COMPUTED_VALUE"""),0.0)</f>
        <v>0</v>
      </c>
      <c r="AD225" s="26">
        <f>IFERROR(__xludf.DUMMYFUNCTION("""COMPUTED_VALUE"""),0.0)</f>
        <v>0</v>
      </c>
      <c r="AE225" s="26">
        <f>IFERROR(__xludf.DUMMYFUNCTION("""COMPUTED_VALUE"""),0.0)</f>
        <v>0</v>
      </c>
    </row>
    <row r="226">
      <c r="A226" s="26">
        <f>IFERROR(__xludf.DUMMYFUNCTION("""COMPUTED_VALUE"""),0.0)</f>
        <v>0</v>
      </c>
      <c r="B226" s="26">
        <f>IFERROR(__xludf.DUMMYFUNCTION("""COMPUTED_VALUE"""),0.0)</f>
        <v>0</v>
      </c>
      <c r="C226" s="26">
        <f>IFERROR(__xludf.DUMMYFUNCTION("""COMPUTED_VALUE"""),53.0)</f>
        <v>53</v>
      </c>
      <c r="D226" s="26">
        <f>IFERROR(__xludf.DUMMYFUNCTION("""COMPUTED_VALUE"""),0.0)</f>
        <v>0</v>
      </c>
      <c r="E226" s="26">
        <f>IFERROR(__xludf.DUMMYFUNCTION("""COMPUTED_VALUE"""),0.0)</f>
        <v>0</v>
      </c>
      <c r="F226" s="26">
        <f>IFERROR(__xludf.DUMMYFUNCTION("""COMPUTED_VALUE"""),0.0)</f>
        <v>0</v>
      </c>
      <c r="G226" s="26">
        <f>IFERROR(__xludf.DUMMYFUNCTION("""COMPUTED_VALUE"""),0.0)</f>
        <v>0</v>
      </c>
      <c r="H226" s="26">
        <f>IFERROR(__xludf.DUMMYFUNCTION("""COMPUTED_VALUE"""),0.0)</f>
        <v>0</v>
      </c>
      <c r="I226" s="26">
        <f>IFERROR(__xludf.DUMMYFUNCTION("""COMPUTED_VALUE"""),0.0)</f>
        <v>0</v>
      </c>
      <c r="J226" s="26">
        <f>IFERROR(__xludf.DUMMYFUNCTION("""COMPUTED_VALUE"""),0.0)</f>
        <v>0</v>
      </c>
      <c r="K226" s="26">
        <f>IFERROR(__xludf.DUMMYFUNCTION("""COMPUTED_VALUE"""),0.0)</f>
        <v>0</v>
      </c>
      <c r="L226" s="26">
        <f>IFERROR(__xludf.DUMMYFUNCTION("""COMPUTED_VALUE"""),0.0)</f>
        <v>0</v>
      </c>
      <c r="M226" s="26"/>
      <c r="N226" s="26"/>
      <c r="O226" s="26"/>
      <c r="P226" s="26"/>
      <c r="Q226" s="26"/>
      <c r="R226" s="26">
        <f>IFERROR(__xludf.DUMMYFUNCTION("""COMPUTED_VALUE"""),53.0)</f>
        <v>53</v>
      </c>
      <c r="S226" s="26">
        <f>IFERROR(__xludf.DUMMYFUNCTION("""COMPUTED_VALUE"""),23426.0)</f>
        <v>23426</v>
      </c>
      <c r="T226" s="26">
        <f>IFERROR(__xludf.DUMMYFUNCTION("""COMPUTED_VALUE"""),12455.0)</f>
        <v>12455</v>
      </c>
      <c r="U226" s="26">
        <f>IFERROR(__xludf.DUMMYFUNCTION("""COMPUTED_VALUE"""),16028.260000000002)</f>
        <v>16028.26</v>
      </c>
      <c r="V226" s="26">
        <f>IFERROR(__xludf.DUMMYFUNCTION("""COMPUTED_VALUE"""),0.0)</f>
        <v>0</v>
      </c>
      <c r="W226" s="26">
        <f>IFERROR(__xludf.DUMMYFUNCTION("""COMPUTED_VALUE"""),0.0)</f>
        <v>0</v>
      </c>
      <c r="X226" s="26">
        <f>IFERROR(__xludf.DUMMYFUNCTION("""COMPUTED_VALUE"""),3573.2600000000025)</f>
        <v>3573.26</v>
      </c>
      <c r="Y226" s="26">
        <f>IFERROR(__xludf.DUMMYFUNCTION("""COMPUTED_VALUE"""),3573.2600000000025)</f>
        <v>3573.26</v>
      </c>
      <c r="Z226" s="26">
        <f>IFERROR(__xludf.DUMMYFUNCTION("""COMPUTED_VALUE"""),0.0)</f>
        <v>0</v>
      </c>
      <c r="AA226" s="26">
        <f>IFERROR(__xludf.DUMMYFUNCTION("""COMPUTED_VALUE"""),0.0)</f>
        <v>0</v>
      </c>
      <c r="AB226" s="26">
        <f>IFERROR(__xludf.DUMMYFUNCTION("""COMPUTED_VALUE"""),0.0)</f>
        <v>0</v>
      </c>
      <c r="AC226" s="26">
        <f>IFERROR(__xludf.DUMMYFUNCTION("""COMPUTED_VALUE"""),0.0)</f>
        <v>0</v>
      </c>
      <c r="AD226" s="26">
        <f>IFERROR(__xludf.DUMMYFUNCTION("""COMPUTED_VALUE"""),0.0)</f>
        <v>0</v>
      </c>
      <c r="AE226" s="26">
        <f>IFERROR(__xludf.DUMMYFUNCTION("""COMPUTED_VALUE"""),0.0)</f>
        <v>0</v>
      </c>
    </row>
    <row r="227">
      <c r="A227" s="26">
        <f>IFERROR(__xludf.DUMMYFUNCTION("""COMPUTED_VALUE"""),0.0)</f>
        <v>0</v>
      </c>
      <c r="B227" s="26">
        <f>IFERROR(__xludf.DUMMYFUNCTION("""COMPUTED_VALUE"""),0.0)</f>
        <v>0</v>
      </c>
      <c r="C227" s="26">
        <f>IFERROR(__xludf.DUMMYFUNCTION("""COMPUTED_VALUE"""),24.0)</f>
        <v>24</v>
      </c>
      <c r="D227" s="26">
        <f>IFERROR(__xludf.DUMMYFUNCTION("""COMPUTED_VALUE"""),0.0)</f>
        <v>0</v>
      </c>
      <c r="E227" s="26">
        <f>IFERROR(__xludf.DUMMYFUNCTION("""COMPUTED_VALUE"""),0.0)</f>
        <v>0</v>
      </c>
      <c r="F227" s="26">
        <f>IFERROR(__xludf.DUMMYFUNCTION("""COMPUTED_VALUE"""),0.0)</f>
        <v>0</v>
      </c>
      <c r="G227" s="26">
        <f>IFERROR(__xludf.DUMMYFUNCTION("""COMPUTED_VALUE"""),0.0)</f>
        <v>0</v>
      </c>
      <c r="H227" s="26">
        <f>IFERROR(__xludf.DUMMYFUNCTION("""COMPUTED_VALUE"""),0.0)</f>
        <v>0</v>
      </c>
      <c r="I227" s="26">
        <f>IFERROR(__xludf.DUMMYFUNCTION("""COMPUTED_VALUE"""),0.0)</f>
        <v>0</v>
      </c>
      <c r="J227" s="26">
        <f>IFERROR(__xludf.DUMMYFUNCTION("""COMPUTED_VALUE"""),0.0)</f>
        <v>0</v>
      </c>
      <c r="K227" s="26">
        <f>IFERROR(__xludf.DUMMYFUNCTION("""COMPUTED_VALUE"""),0.0)</f>
        <v>0</v>
      </c>
      <c r="L227" s="26">
        <f>IFERROR(__xludf.DUMMYFUNCTION("""COMPUTED_VALUE"""),0.0)</f>
        <v>0</v>
      </c>
      <c r="M227" s="26"/>
      <c r="N227" s="26"/>
      <c r="O227" s="26"/>
      <c r="P227" s="26"/>
      <c r="Q227" s="26"/>
      <c r="R227" s="26">
        <f>IFERROR(__xludf.DUMMYFUNCTION("""COMPUTED_VALUE"""),24.0)</f>
        <v>24</v>
      </c>
      <c r="S227" s="26">
        <f>IFERROR(__xludf.DUMMYFUNCTION("""COMPUTED_VALUE"""),10608.0)</f>
        <v>10608</v>
      </c>
      <c r="T227" s="26">
        <f>IFERROR(__xludf.DUMMYFUNCTION("""COMPUTED_VALUE"""),5640.0)</f>
        <v>5640</v>
      </c>
      <c r="U227" s="26">
        <f>IFERROR(__xludf.DUMMYFUNCTION("""COMPUTED_VALUE"""),7258.08)</f>
        <v>7258.08</v>
      </c>
      <c r="V227" s="26">
        <f>IFERROR(__xludf.DUMMYFUNCTION("""COMPUTED_VALUE"""),0.0)</f>
        <v>0</v>
      </c>
      <c r="W227" s="26">
        <f>IFERROR(__xludf.DUMMYFUNCTION("""COMPUTED_VALUE"""),0.0)</f>
        <v>0</v>
      </c>
      <c r="X227" s="26">
        <f>IFERROR(__xludf.DUMMYFUNCTION("""COMPUTED_VALUE"""),1618.0800000000004)</f>
        <v>1618.08</v>
      </c>
      <c r="Y227" s="26">
        <f>IFERROR(__xludf.DUMMYFUNCTION("""COMPUTED_VALUE"""),1618.0800000000004)</f>
        <v>1618.08</v>
      </c>
      <c r="Z227" s="26">
        <f>IFERROR(__xludf.DUMMYFUNCTION("""COMPUTED_VALUE"""),0.0)</f>
        <v>0</v>
      </c>
      <c r="AA227" s="26">
        <f>IFERROR(__xludf.DUMMYFUNCTION("""COMPUTED_VALUE"""),0.0)</f>
        <v>0</v>
      </c>
      <c r="AB227" s="26">
        <f>IFERROR(__xludf.DUMMYFUNCTION("""COMPUTED_VALUE"""),0.0)</f>
        <v>0</v>
      </c>
      <c r="AC227" s="26">
        <f>IFERROR(__xludf.DUMMYFUNCTION("""COMPUTED_VALUE"""),0.0)</f>
        <v>0</v>
      </c>
      <c r="AD227" s="26">
        <f>IFERROR(__xludf.DUMMYFUNCTION("""COMPUTED_VALUE"""),0.0)</f>
        <v>0</v>
      </c>
      <c r="AE227" s="26">
        <f>IFERROR(__xludf.DUMMYFUNCTION("""COMPUTED_VALUE"""),0.0)</f>
        <v>0</v>
      </c>
    </row>
    <row r="228">
      <c r="A228" s="26">
        <f>IFERROR(__xludf.DUMMYFUNCTION("""COMPUTED_VALUE"""),58.0)</f>
        <v>58</v>
      </c>
      <c r="B228" s="26">
        <f>IFERROR(__xludf.DUMMYFUNCTION("""COMPUTED_VALUE"""),0.0)</f>
        <v>0</v>
      </c>
      <c r="C228" s="26">
        <f>IFERROR(__xludf.DUMMYFUNCTION("""COMPUTED_VALUE"""),0.0)</f>
        <v>0</v>
      </c>
      <c r="D228" s="26">
        <f>IFERROR(__xludf.DUMMYFUNCTION("""COMPUTED_VALUE"""),0.0)</f>
        <v>0</v>
      </c>
      <c r="E228" s="26">
        <f>IFERROR(__xludf.DUMMYFUNCTION("""COMPUTED_VALUE"""),0.0)</f>
        <v>0</v>
      </c>
      <c r="F228" s="26">
        <f>IFERROR(__xludf.DUMMYFUNCTION("""COMPUTED_VALUE"""),0.0)</f>
        <v>0</v>
      </c>
      <c r="G228" s="26">
        <f>IFERROR(__xludf.DUMMYFUNCTION("""COMPUTED_VALUE"""),0.0)</f>
        <v>0</v>
      </c>
      <c r="H228" s="26">
        <f>IFERROR(__xludf.DUMMYFUNCTION("""COMPUTED_VALUE"""),0.0)</f>
        <v>0</v>
      </c>
      <c r="I228" s="26">
        <f>IFERROR(__xludf.DUMMYFUNCTION("""COMPUTED_VALUE"""),0.0)</f>
        <v>0</v>
      </c>
      <c r="J228" s="26">
        <f>IFERROR(__xludf.DUMMYFUNCTION("""COMPUTED_VALUE"""),0.0)</f>
        <v>0</v>
      </c>
      <c r="K228" s="26">
        <f>IFERROR(__xludf.DUMMYFUNCTION("""COMPUTED_VALUE"""),0.0)</f>
        <v>0</v>
      </c>
      <c r="L228" s="26">
        <f>IFERROR(__xludf.DUMMYFUNCTION("""COMPUTED_VALUE"""),0.0)</f>
        <v>0</v>
      </c>
      <c r="M228" s="26"/>
      <c r="N228" s="26"/>
      <c r="O228" s="26"/>
      <c r="P228" s="26"/>
      <c r="Q228" s="26"/>
      <c r="R228" s="26">
        <f>IFERROR(__xludf.DUMMYFUNCTION("""COMPUTED_VALUE"""),58.0)</f>
        <v>58</v>
      </c>
      <c r="S228" s="26">
        <f>IFERROR(__xludf.DUMMYFUNCTION("""COMPUTED_VALUE"""),25636.0)</f>
        <v>25636</v>
      </c>
      <c r="T228" s="26">
        <f>IFERROR(__xludf.DUMMYFUNCTION("""COMPUTED_VALUE"""),11136.0)</f>
        <v>11136</v>
      </c>
      <c r="U228" s="26">
        <f>IFERROR(__xludf.DUMMYFUNCTION("""COMPUTED_VALUE"""),15046.360000000002)</f>
        <v>15046.36</v>
      </c>
      <c r="V228" s="26">
        <f>IFERROR(__xludf.DUMMYFUNCTION("""COMPUTED_VALUE"""),0.0)</f>
        <v>0</v>
      </c>
      <c r="W228" s="26">
        <f>IFERROR(__xludf.DUMMYFUNCTION("""COMPUTED_VALUE"""),0.0)</f>
        <v>0</v>
      </c>
      <c r="X228" s="26">
        <f>IFERROR(__xludf.DUMMYFUNCTION("""COMPUTED_VALUE"""),3910.360000000003)</f>
        <v>3910.36</v>
      </c>
      <c r="Y228" s="26">
        <f>IFERROR(__xludf.DUMMYFUNCTION("""COMPUTED_VALUE"""),3910.360000000003)</f>
        <v>3910.36</v>
      </c>
      <c r="Z228" s="26">
        <f>IFERROR(__xludf.DUMMYFUNCTION("""COMPUTED_VALUE"""),0.0)</f>
        <v>0</v>
      </c>
      <c r="AA228" s="26">
        <f>IFERROR(__xludf.DUMMYFUNCTION("""COMPUTED_VALUE"""),0.0)</f>
        <v>0</v>
      </c>
      <c r="AB228" s="26">
        <f>IFERROR(__xludf.DUMMYFUNCTION("""COMPUTED_VALUE"""),0.0)</f>
        <v>0</v>
      </c>
      <c r="AC228" s="26">
        <f>IFERROR(__xludf.DUMMYFUNCTION("""COMPUTED_VALUE"""),0.0)</f>
        <v>0</v>
      </c>
      <c r="AD228" s="26">
        <f>IFERROR(__xludf.DUMMYFUNCTION("""COMPUTED_VALUE"""),0.0)</f>
        <v>0</v>
      </c>
      <c r="AE228" s="26">
        <f>IFERROR(__xludf.DUMMYFUNCTION("""COMPUTED_VALUE"""),0.0)</f>
        <v>0</v>
      </c>
    </row>
    <row r="229">
      <c r="A229" s="26">
        <f>IFERROR(__xludf.DUMMYFUNCTION("""COMPUTED_VALUE"""),0.0)</f>
        <v>0</v>
      </c>
      <c r="B229" s="26">
        <f>IFERROR(__xludf.DUMMYFUNCTION("""COMPUTED_VALUE"""),0.0)</f>
        <v>0</v>
      </c>
      <c r="C229" s="26">
        <f>IFERROR(__xludf.DUMMYFUNCTION("""COMPUTED_VALUE"""),0.0)</f>
        <v>0</v>
      </c>
      <c r="D229" s="26">
        <f>IFERROR(__xludf.DUMMYFUNCTION("""COMPUTED_VALUE"""),0.0)</f>
        <v>0</v>
      </c>
      <c r="E229" s="26">
        <f>IFERROR(__xludf.DUMMYFUNCTION("""COMPUTED_VALUE"""),14.0)</f>
        <v>14</v>
      </c>
      <c r="F229" s="26">
        <f>IFERROR(__xludf.DUMMYFUNCTION("""COMPUTED_VALUE"""),0.0)</f>
        <v>0</v>
      </c>
      <c r="G229" s="26">
        <f>IFERROR(__xludf.DUMMYFUNCTION("""COMPUTED_VALUE"""),0.0)</f>
        <v>0</v>
      </c>
      <c r="H229" s="26">
        <f>IFERROR(__xludf.DUMMYFUNCTION("""COMPUTED_VALUE"""),0.0)</f>
        <v>0</v>
      </c>
      <c r="I229" s="26">
        <f>IFERROR(__xludf.DUMMYFUNCTION("""COMPUTED_VALUE"""),0.0)</f>
        <v>0</v>
      </c>
      <c r="J229" s="26">
        <f>IFERROR(__xludf.DUMMYFUNCTION("""COMPUTED_VALUE"""),0.0)</f>
        <v>0</v>
      </c>
      <c r="K229" s="26">
        <f>IFERROR(__xludf.DUMMYFUNCTION("""COMPUTED_VALUE"""),0.0)</f>
        <v>0</v>
      </c>
      <c r="L229" s="26">
        <f>IFERROR(__xludf.DUMMYFUNCTION("""COMPUTED_VALUE"""),0.0)</f>
        <v>0</v>
      </c>
      <c r="M229" s="26"/>
      <c r="N229" s="26"/>
      <c r="O229" s="26"/>
      <c r="P229" s="26"/>
      <c r="Q229" s="26"/>
      <c r="R229" s="26">
        <f>IFERROR(__xludf.DUMMYFUNCTION("""COMPUTED_VALUE"""),14.0)</f>
        <v>14</v>
      </c>
      <c r="S229" s="26">
        <f>IFERROR(__xludf.DUMMYFUNCTION("""COMPUTED_VALUE"""),25900.0)</f>
        <v>25900</v>
      </c>
      <c r="T229" s="26">
        <f>IFERROR(__xludf.DUMMYFUNCTION("""COMPUTED_VALUE"""),2380.0)</f>
        <v>2380</v>
      </c>
      <c r="U229" s="26">
        <f>IFERROR(__xludf.DUMMYFUNCTION("""COMPUTED_VALUE"""),6330.799999999999)</f>
        <v>6330.8</v>
      </c>
      <c r="V229" s="26">
        <f>IFERROR(__xludf.DUMMYFUNCTION("""COMPUTED_VALUE"""),0.0)</f>
        <v>0</v>
      </c>
      <c r="W229" s="26">
        <f>IFERROR(__xludf.DUMMYFUNCTION("""COMPUTED_VALUE"""),0.0)</f>
        <v>0</v>
      </c>
      <c r="X229" s="26">
        <f>IFERROR(__xludf.DUMMYFUNCTION("""COMPUTED_VALUE"""),3950.799999999999)</f>
        <v>3950.8</v>
      </c>
      <c r="Y229" s="26">
        <f>IFERROR(__xludf.DUMMYFUNCTION("""COMPUTED_VALUE"""),3950.799999999999)</f>
        <v>3950.8</v>
      </c>
      <c r="Z229" s="26">
        <f>IFERROR(__xludf.DUMMYFUNCTION("""COMPUTED_VALUE"""),0.0)</f>
        <v>0</v>
      </c>
      <c r="AA229" s="26">
        <f>IFERROR(__xludf.DUMMYFUNCTION("""COMPUTED_VALUE"""),0.0)</f>
        <v>0</v>
      </c>
      <c r="AB229" s="26">
        <f>IFERROR(__xludf.DUMMYFUNCTION("""COMPUTED_VALUE"""),0.0)</f>
        <v>0</v>
      </c>
      <c r="AC229" s="26">
        <f>IFERROR(__xludf.DUMMYFUNCTION("""COMPUTED_VALUE"""),0.0)</f>
        <v>0</v>
      </c>
      <c r="AD229" s="26">
        <f>IFERROR(__xludf.DUMMYFUNCTION("""COMPUTED_VALUE"""),0.0)</f>
        <v>0</v>
      </c>
      <c r="AE229" s="26">
        <f>IFERROR(__xludf.DUMMYFUNCTION("""COMPUTED_VALUE"""),0.0)</f>
        <v>0</v>
      </c>
    </row>
    <row r="230">
      <c r="A230" s="26">
        <f>IFERROR(__xludf.DUMMYFUNCTION("""COMPUTED_VALUE"""),0.0)</f>
        <v>0</v>
      </c>
      <c r="B230" s="26">
        <f>IFERROR(__xludf.DUMMYFUNCTION("""COMPUTED_VALUE"""),0.0)</f>
        <v>0</v>
      </c>
      <c r="C230" s="26">
        <f>IFERROR(__xludf.DUMMYFUNCTION("""COMPUTED_VALUE"""),0.0)</f>
        <v>0</v>
      </c>
      <c r="D230" s="26">
        <f>IFERROR(__xludf.DUMMYFUNCTION("""COMPUTED_VALUE"""),0.0)</f>
        <v>0</v>
      </c>
      <c r="E230" s="26">
        <f>IFERROR(__xludf.DUMMYFUNCTION("""COMPUTED_VALUE"""),17.0)</f>
        <v>17</v>
      </c>
      <c r="F230" s="26">
        <f>IFERROR(__xludf.DUMMYFUNCTION("""COMPUTED_VALUE"""),0.0)</f>
        <v>0</v>
      </c>
      <c r="G230" s="26">
        <f>IFERROR(__xludf.DUMMYFUNCTION("""COMPUTED_VALUE"""),0.0)</f>
        <v>0</v>
      </c>
      <c r="H230" s="26">
        <f>IFERROR(__xludf.DUMMYFUNCTION("""COMPUTED_VALUE"""),0.0)</f>
        <v>0</v>
      </c>
      <c r="I230" s="26">
        <f>IFERROR(__xludf.DUMMYFUNCTION("""COMPUTED_VALUE"""),0.0)</f>
        <v>0</v>
      </c>
      <c r="J230" s="26">
        <f>IFERROR(__xludf.DUMMYFUNCTION("""COMPUTED_VALUE"""),0.0)</f>
        <v>0</v>
      </c>
      <c r="K230" s="26">
        <f>IFERROR(__xludf.DUMMYFUNCTION("""COMPUTED_VALUE"""),0.0)</f>
        <v>0</v>
      </c>
      <c r="L230" s="26">
        <f>IFERROR(__xludf.DUMMYFUNCTION("""COMPUTED_VALUE"""),0.0)</f>
        <v>0</v>
      </c>
      <c r="M230" s="26"/>
      <c r="N230" s="26"/>
      <c r="O230" s="26"/>
      <c r="P230" s="26"/>
      <c r="Q230" s="26"/>
      <c r="R230" s="26">
        <f>IFERROR(__xludf.DUMMYFUNCTION("""COMPUTED_VALUE"""),17.0)</f>
        <v>17</v>
      </c>
      <c r="S230" s="26">
        <f>IFERROR(__xludf.DUMMYFUNCTION("""COMPUTED_VALUE"""),31450.0)</f>
        <v>31450</v>
      </c>
      <c r="T230" s="26">
        <f>IFERROR(__xludf.DUMMYFUNCTION("""COMPUTED_VALUE"""),2890.0)</f>
        <v>2890</v>
      </c>
      <c r="U230" s="26">
        <f>IFERROR(__xludf.DUMMYFUNCTION("""COMPUTED_VALUE"""),7687.399999999999)</f>
        <v>7687.4</v>
      </c>
      <c r="V230" s="26">
        <f>IFERROR(__xludf.DUMMYFUNCTION("""COMPUTED_VALUE"""),141.1)</f>
        <v>141.1</v>
      </c>
      <c r="W230" s="26">
        <f>IFERROR(__xludf.DUMMYFUNCTION("""COMPUTED_VALUE"""),141.1)</f>
        <v>141.1</v>
      </c>
      <c r="X230" s="26">
        <f>IFERROR(__xludf.DUMMYFUNCTION("""COMPUTED_VALUE"""),4515.199999999999)</f>
        <v>4515.2</v>
      </c>
      <c r="Y230" s="26">
        <f>IFERROR(__xludf.DUMMYFUNCTION("""COMPUTED_VALUE"""),4797.399999999999)</f>
        <v>4797.4</v>
      </c>
      <c r="Z230" s="26">
        <f>IFERROR(__xludf.DUMMYFUNCTION("""COMPUTED_VALUE"""),0.0)</f>
        <v>0</v>
      </c>
      <c r="AA230" s="26">
        <f>IFERROR(__xludf.DUMMYFUNCTION("""COMPUTED_VALUE"""),0.0)</f>
        <v>0</v>
      </c>
      <c r="AB230" s="26">
        <f>IFERROR(__xludf.DUMMYFUNCTION("""COMPUTED_VALUE"""),0.0)</f>
        <v>0</v>
      </c>
      <c r="AC230" s="26">
        <f>IFERROR(__xludf.DUMMYFUNCTION("""COMPUTED_VALUE"""),0.0)</f>
        <v>0</v>
      </c>
      <c r="AD230" s="26">
        <f>IFERROR(__xludf.DUMMYFUNCTION("""COMPUTED_VALUE"""),0.0)</f>
        <v>0</v>
      </c>
      <c r="AE230" s="26">
        <f>IFERROR(__xludf.DUMMYFUNCTION("""COMPUTED_VALUE"""),0.0)</f>
        <v>0</v>
      </c>
    </row>
    <row r="231">
      <c r="A231" s="26">
        <f>IFERROR(__xludf.DUMMYFUNCTION("""COMPUTED_VALUE"""),0.0)</f>
        <v>0</v>
      </c>
      <c r="B231" s="26">
        <f>IFERROR(__xludf.DUMMYFUNCTION("""COMPUTED_VALUE"""),0.0)</f>
        <v>0</v>
      </c>
      <c r="C231" s="26">
        <f>IFERROR(__xludf.DUMMYFUNCTION("""COMPUTED_VALUE"""),0.0)</f>
        <v>0</v>
      </c>
      <c r="D231" s="26">
        <f>IFERROR(__xludf.DUMMYFUNCTION("""COMPUTED_VALUE"""),0.0)</f>
        <v>0</v>
      </c>
      <c r="E231" s="26">
        <f>IFERROR(__xludf.DUMMYFUNCTION("""COMPUTED_VALUE"""),29.0)</f>
        <v>29</v>
      </c>
      <c r="F231" s="26">
        <f>IFERROR(__xludf.DUMMYFUNCTION("""COMPUTED_VALUE"""),0.0)</f>
        <v>0</v>
      </c>
      <c r="G231" s="26">
        <f>IFERROR(__xludf.DUMMYFUNCTION("""COMPUTED_VALUE"""),0.0)</f>
        <v>0</v>
      </c>
      <c r="H231" s="26">
        <f>IFERROR(__xludf.DUMMYFUNCTION("""COMPUTED_VALUE"""),0.0)</f>
        <v>0</v>
      </c>
      <c r="I231" s="26">
        <f>IFERROR(__xludf.DUMMYFUNCTION("""COMPUTED_VALUE"""),0.0)</f>
        <v>0</v>
      </c>
      <c r="J231" s="26">
        <f>IFERROR(__xludf.DUMMYFUNCTION("""COMPUTED_VALUE"""),0.0)</f>
        <v>0</v>
      </c>
      <c r="K231" s="26">
        <f>IFERROR(__xludf.DUMMYFUNCTION("""COMPUTED_VALUE"""),0.0)</f>
        <v>0</v>
      </c>
      <c r="L231" s="26">
        <f>IFERROR(__xludf.DUMMYFUNCTION("""COMPUTED_VALUE"""),0.0)</f>
        <v>0</v>
      </c>
      <c r="M231" s="26"/>
      <c r="N231" s="26"/>
      <c r="O231" s="26"/>
      <c r="P231" s="26"/>
      <c r="Q231" s="26"/>
      <c r="R231" s="26">
        <f>IFERROR(__xludf.DUMMYFUNCTION("""COMPUTED_VALUE"""),29.0)</f>
        <v>29</v>
      </c>
      <c r="S231" s="26">
        <f>IFERROR(__xludf.DUMMYFUNCTION("""COMPUTED_VALUE"""),5304.099999999999)</f>
        <v>5304.1</v>
      </c>
      <c r="T231" s="26">
        <f>IFERROR(__xludf.DUMMYFUNCTION("""COMPUTED_VALUE"""),4495.0)</f>
        <v>4495</v>
      </c>
      <c r="U231" s="26">
        <f>IFERROR(__xludf.DUMMYFUNCTION("""COMPUTED_VALUE"""),5304.099999999999)</f>
        <v>5304.1</v>
      </c>
      <c r="V231" s="26">
        <f>IFERROR(__xludf.DUMMYFUNCTION("""COMPUTED_VALUE"""),0.0)</f>
        <v>0</v>
      </c>
      <c r="W231" s="26">
        <f>IFERROR(__xludf.DUMMYFUNCTION("""COMPUTED_VALUE"""),0.0)</f>
        <v>0</v>
      </c>
      <c r="X231" s="26">
        <f>IFERROR(__xludf.DUMMYFUNCTION("""COMPUTED_VALUE"""),809.0999999999996)</f>
        <v>809.1</v>
      </c>
      <c r="Y231" s="26">
        <f>IFERROR(__xludf.DUMMYFUNCTION("""COMPUTED_VALUE"""),809.0999999999996)</f>
        <v>809.1</v>
      </c>
      <c r="Z231" s="26">
        <f>IFERROR(__xludf.DUMMYFUNCTION("""COMPUTED_VALUE"""),0.0)</f>
        <v>0</v>
      </c>
      <c r="AA231" s="26">
        <f>IFERROR(__xludf.DUMMYFUNCTION("""COMPUTED_VALUE"""),0.0)</f>
        <v>0</v>
      </c>
      <c r="AB231" s="26">
        <f>IFERROR(__xludf.DUMMYFUNCTION("""COMPUTED_VALUE"""),0.0)</f>
        <v>0</v>
      </c>
      <c r="AC231" s="26">
        <f>IFERROR(__xludf.DUMMYFUNCTION("""COMPUTED_VALUE"""),0.0)</f>
        <v>0</v>
      </c>
      <c r="AD231" s="26">
        <f>IFERROR(__xludf.DUMMYFUNCTION("""COMPUTED_VALUE"""),0.0)</f>
        <v>0</v>
      </c>
      <c r="AE231" s="26">
        <f>IFERROR(__xludf.DUMMYFUNCTION("""COMPUTED_VALUE"""),0.0)</f>
        <v>0</v>
      </c>
    </row>
    <row r="232">
      <c r="A232" s="26">
        <f>IFERROR(__xludf.DUMMYFUNCTION("""COMPUTED_VALUE"""),0.0)</f>
        <v>0</v>
      </c>
      <c r="B232" s="26">
        <f>IFERROR(__xludf.DUMMYFUNCTION("""COMPUTED_VALUE"""),0.0)</f>
        <v>0</v>
      </c>
      <c r="C232" s="26">
        <f>IFERROR(__xludf.DUMMYFUNCTION("""COMPUTED_VALUE"""),0.0)</f>
        <v>0</v>
      </c>
      <c r="D232" s="26">
        <f>IFERROR(__xludf.DUMMYFUNCTION("""COMPUTED_VALUE"""),0.0)</f>
        <v>0</v>
      </c>
      <c r="E232" s="26">
        <f>IFERROR(__xludf.DUMMYFUNCTION("""COMPUTED_VALUE"""),0.0)</f>
        <v>0</v>
      </c>
      <c r="F232" s="26">
        <f>IFERROR(__xludf.DUMMYFUNCTION("""COMPUTED_VALUE"""),0.0)</f>
        <v>0</v>
      </c>
      <c r="G232" s="26">
        <f>IFERROR(__xludf.DUMMYFUNCTION("""COMPUTED_VALUE"""),0.0)</f>
        <v>0</v>
      </c>
      <c r="H232" s="26">
        <f>IFERROR(__xludf.DUMMYFUNCTION("""COMPUTED_VALUE"""),0.0)</f>
        <v>0</v>
      </c>
      <c r="I232" s="26">
        <f>IFERROR(__xludf.DUMMYFUNCTION("""COMPUTED_VALUE"""),0.0)</f>
        <v>0</v>
      </c>
      <c r="J232" s="26">
        <f>IFERROR(__xludf.DUMMYFUNCTION("""COMPUTED_VALUE"""),0.0)</f>
        <v>0</v>
      </c>
      <c r="K232" s="26">
        <f>IFERROR(__xludf.DUMMYFUNCTION("""COMPUTED_VALUE"""),0.0)</f>
        <v>0</v>
      </c>
      <c r="L232" s="26">
        <f>IFERROR(__xludf.DUMMYFUNCTION("""COMPUTED_VALUE"""),0.0)</f>
        <v>0</v>
      </c>
      <c r="M232" s="26"/>
      <c r="N232" s="26"/>
      <c r="O232" s="26"/>
      <c r="P232" s="26"/>
      <c r="Q232" s="26"/>
      <c r="R232" s="26">
        <f>IFERROR(__xludf.DUMMYFUNCTION("""COMPUTED_VALUE"""),0.0)</f>
        <v>0</v>
      </c>
      <c r="S232" s="26">
        <f>IFERROR(__xludf.DUMMYFUNCTION("""COMPUTED_VALUE"""),0.0)</f>
        <v>0</v>
      </c>
      <c r="T232" s="26">
        <f>IFERROR(__xludf.DUMMYFUNCTION("""COMPUTED_VALUE"""),0.0)</f>
        <v>0</v>
      </c>
      <c r="U232" s="26">
        <f>IFERROR(__xludf.DUMMYFUNCTION("""COMPUTED_VALUE"""),0.0)</f>
        <v>0</v>
      </c>
      <c r="V232" s="26">
        <f>IFERROR(__xludf.DUMMYFUNCTION("""COMPUTED_VALUE"""),0.0)</f>
        <v>0</v>
      </c>
      <c r="W232" s="26">
        <f>IFERROR(__xludf.DUMMYFUNCTION("""COMPUTED_VALUE"""),0.0)</f>
        <v>0</v>
      </c>
      <c r="X232" s="26">
        <f>IFERROR(__xludf.DUMMYFUNCTION("""COMPUTED_VALUE"""),0.0)</f>
        <v>0</v>
      </c>
      <c r="Y232" s="26">
        <f>IFERROR(__xludf.DUMMYFUNCTION("""COMPUTED_VALUE"""),0.0)</f>
        <v>0</v>
      </c>
      <c r="Z232" s="26">
        <f>IFERROR(__xludf.DUMMYFUNCTION("""COMPUTED_VALUE"""),0.0)</f>
        <v>0</v>
      </c>
      <c r="AA232" s="26">
        <f>IFERROR(__xludf.DUMMYFUNCTION("""COMPUTED_VALUE"""),0.0)</f>
        <v>0</v>
      </c>
      <c r="AB232" s="26">
        <f>IFERROR(__xludf.DUMMYFUNCTION("""COMPUTED_VALUE"""),0.0)</f>
        <v>0</v>
      </c>
      <c r="AC232" s="26">
        <f>IFERROR(__xludf.DUMMYFUNCTION("""COMPUTED_VALUE"""),0.0)</f>
        <v>0</v>
      </c>
      <c r="AD232" s="26">
        <f>IFERROR(__xludf.DUMMYFUNCTION("""COMPUTED_VALUE"""),0.0)</f>
        <v>0</v>
      </c>
      <c r="AE232" s="26">
        <f>IFERROR(__xludf.DUMMYFUNCTION("""COMPUTED_VALUE"""),0.0)</f>
        <v>0</v>
      </c>
    </row>
    <row r="233">
      <c r="A233" s="26">
        <f>IFERROR(__xludf.DUMMYFUNCTION("""COMPUTED_VALUE"""),0.0)</f>
        <v>0</v>
      </c>
      <c r="B233" s="26">
        <f>IFERROR(__xludf.DUMMYFUNCTION("""COMPUTED_VALUE"""),0.0)</f>
        <v>0</v>
      </c>
      <c r="C233" s="26">
        <f>IFERROR(__xludf.DUMMYFUNCTION("""COMPUTED_VALUE"""),0.0)</f>
        <v>0</v>
      </c>
      <c r="D233" s="26">
        <f>IFERROR(__xludf.DUMMYFUNCTION("""COMPUTED_VALUE"""),0.0)</f>
        <v>0</v>
      </c>
      <c r="E233" s="26">
        <f>IFERROR(__xludf.DUMMYFUNCTION("""COMPUTED_VALUE"""),0.0)</f>
        <v>0</v>
      </c>
      <c r="F233" s="26">
        <f>IFERROR(__xludf.DUMMYFUNCTION("""COMPUTED_VALUE"""),0.0)</f>
        <v>0</v>
      </c>
      <c r="G233" s="26">
        <f>IFERROR(__xludf.DUMMYFUNCTION("""COMPUTED_VALUE"""),0.0)</f>
        <v>0</v>
      </c>
      <c r="H233" s="26">
        <f>IFERROR(__xludf.DUMMYFUNCTION("""COMPUTED_VALUE"""),0.0)</f>
        <v>0</v>
      </c>
      <c r="I233" s="26">
        <f>IFERROR(__xludf.DUMMYFUNCTION("""COMPUTED_VALUE"""),0.0)</f>
        <v>0</v>
      </c>
      <c r="J233" s="26">
        <f>IFERROR(__xludf.DUMMYFUNCTION("""COMPUTED_VALUE"""),0.0)</f>
        <v>0</v>
      </c>
      <c r="K233" s="26">
        <f>IFERROR(__xludf.DUMMYFUNCTION("""COMPUTED_VALUE"""),0.0)</f>
        <v>0</v>
      </c>
      <c r="L233" s="26">
        <f>IFERROR(__xludf.DUMMYFUNCTION("""COMPUTED_VALUE"""),0.0)</f>
        <v>0</v>
      </c>
      <c r="M233" s="26"/>
      <c r="N233" s="26"/>
      <c r="O233" s="26"/>
      <c r="P233" s="26"/>
      <c r="Q233" s="26"/>
      <c r="R233" s="26">
        <f>IFERROR(__xludf.DUMMYFUNCTION("""COMPUTED_VALUE"""),0.0)</f>
        <v>0</v>
      </c>
      <c r="S233" s="26">
        <f>IFERROR(__xludf.DUMMYFUNCTION("""COMPUTED_VALUE"""),0.0)</f>
        <v>0</v>
      </c>
      <c r="T233" s="26">
        <f>IFERROR(__xludf.DUMMYFUNCTION("""COMPUTED_VALUE"""),0.0)</f>
        <v>0</v>
      </c>
      <c r="U233" s="26">
        <f>IFERROR(__xludf.DUMMYFUNCTION("""COMPUTED_VALUE"""),0.0)</f>
        <v>0</v>
      </c>
      <c r="V233" s="26">
        <f>IFERROR(__xludf.DUMMYFUNCTION("""COMPUTED_VALUE"""),0.0)</f>
        <v>0</v>
      </c>
      <c r="W233" s="26">
        <f>IFERROR(__xludf.DUMMYFUNCTION("""COMPUTED_VALUE"""),0.0)</f>
        <v>0</v>
      </c>
      <c r="X233" s="26">
        <f>IFERROR(__xludf.DUMMYFUNCTION("""COMPUTED_VALUE"""),0.0)</f>
        <v>0</v>
      </c>
      <c r="Y233" s="26">
        <f>IFERROR(__xludf.DUMMYFUNCTION("""COMPUTED_VALUE"""),0.0)</f>
        <v>0</v>
      </c>
      <c r="Z233" s="26">
        <f>IFERROR(__xludf.DUMMYFUNCTION("""COMPUTED_VALUE"""),46532.72000000007)</f>
        <v>46532.72</v>
      </c>
      <c r="AA233" s="26">
        <f>IFERROR(__xludf.DUMMYFUNCTION("""COMPUTED_VALUE"""),46532.72000000007)</f>
        <v>46532.72</v>
      </c>
      <c r="AB233" s="26">
        <f>IFERROR(__xludf.DUMMYFUNCTION("""COMPUTED_VALUE"""),57227.610000000044)</f>
        <v>57227.61</v>
      </c>
      <c r="AC233" s="26">
        <f>IFERROR(__xludf.DUMMYFUNCTION("""COMPUTED_VALUE"""),54366.279999999926)</f>
        <v>54366.28</v>
      </c>
      <c r="AD233" s="26">
        <f>IFERROR(__xludf.DUMMYFUNCTION("""COMPUTED_VALUE"""),2861.329999999996)</f>
        <v>2861.33</v>
      </c>
      <c r="AE233" s="26">
        <f>IFERROR(__xludf.DUMMYFUNCTION("""COMPUTED_VALUE"""),0.0)</f>
        <v>0</v>
      </c>
    </row>
    <row r="234">
      <c r="A234" s="26">
        <f>IFERROR(__xludf.DUMMYFUNCTION("""COMPUTED_VALUE"""),0.0)</f>
        <v>0</v>
      </c>
      <c r="B234" s="26">
        <f>IFERROR(__xludf.DUMMYFUNCTION("""COMPUTED_VALUE"""),0.0)</f>
        <v>0</v>
      </c>
      <c r="C234" s="26">
        <f>IFERROR(__xludf.DUMMYFUNCTION("""COMPUTED_VALUE"""),81.0)</f>
        <v>81</v>
      </c>
      <c r="D234" s="26">
        <f>IFERROR(__xludf.DUMMYFUNCTION("""COMPUTED_VALUE"""),0.0)</f>
        <v>0</v>
      </c>
      <c r="E234" s="26">
        <f>IFERROR(__xludf.DUMMYFUNCTION("""COMPUTED_VALUE"""),0.0)</f>
        <v>0</v>
      </c>
      <c r="F234" s="26">
        <f>IFERROR(__xludf.DUMMYFUNCTION("""COMPUTED_VALUE"""),0.0)</f>
        <v>0</v>
      </c>
      <c r="G234" s="26">
        <f>IFERROR(__xludf.DUMMYFUNCTION("""COMPUTED_VALUE"""),0.0)</f>
        <v>0</v>
      </c>
      <c r="H234" s="26">
        <f>IFERROR(__xludf.DUMMYFUNCTION("""COMPUTED_VALUE"""),0.0)</f>
        <v>0</v>
      </c>
      <c r="I234" s="26">
        <f>IFERROR(__xludf.DUMMYFUNCTION("""COMPUTED_VALUE"""),0.0)</f>
        <v>0</v>
      </c>
      <c r="J234" s="26">
        <f>IFERROR(__xludf.DUMMYFUNCTION("""COMPUTED_VALUE"""),0.0)</f>
        <v>0</v>
      </c>
      <c r="K234" s="26">
        <f>IFERROR(__xludf.DUMMYFUNCTION("""COMPUTED_VALUE"""),0.0)</f>
        <v>0</v>
      </c>
      <c r="L234" s="26">
        <f>IFERROR(__xludf.DUMMYFUNCTION("""COMPUTED_VALUE"""),0.0)</f>
        <v>0</v>
      </c>
      <c r="M234" s="26"/>
      <c r="N234" s="26"/>
      <c r="O234" s="26"/>
      <c r="P234" s="26"/>
      <c r="Q234" s="26"/>
      <c r="R234" s="26">
        <f>IFERROR(__xludf.DUMMYFUNCTION("""COMPUTED_VALUE"""),81.0)</f>
        <v>81</v>
      </c>
      <c r="S234" s="26">
        <f>IFERROR(__xludf.DUMMYFUNCTION("""COMPUTED_VALUE"""),35802.0)</f>
        <v>35802</v>
      </c>
      <c r="T234" s="26">
        <f>IFERROR(__xludf.DUMMYFUNCTION("""COMPUTED_VALUE"""),16605.0)</f>
        <v>16605</v>
      </c>
      <c r="U234" s="26">
        <f>IFERROR(__xludf.DUMMYFUNCTION("""COMPUTED_VALUE"""),22066.020000000004)</f>
        <v>22066.02</v>
      </c>
      <c r="V234" s="26">
        <f>IFERROR(__xludf.DUMMYFUNCTION("""COMPUTED_VALUE"""),0.0)</f>
        <v>0</v>
      </c>
      <c r="W234" s="26">
        <f>IFERROR(__xludf.DUMMYFUNCTION("""COMPUTED_VALUE"""),0.0)</f>
        <v>0</v>
      </c>
      <c r="X234" s="26">
        <f>IFERROR(__xludf.DUMMYFUNCTION("""COMPUTED_VALUE"""),5461.020000000004)</f>
        <v>5461.02</v>
      </c>
      <c r="Y234" s="26">
        <f>IFERROR(__xludf.DUMMYFUNCTION("""COMPUTED_VALUE"""),5461.020000000004)</f>
        <v>5461.02</v>
      </c>
      <c r="Z234" s="26">
        <f>IFERROR(__xludf.DUMMYFUNCTION("""COMPUTED_VALUE"""),22752.90000000002)</f>
        <v>22752.9</v>
      </c>
      <c r="AA234" s="26">
        <f>IFERROR(__xludf.DUMMYFUNCTION("""COMPUTED_VALUE"""),22752.90000000002)</f>
        <v>22752.9</v>
      </c>
      <c r="AB234" s="26">
        <f>IFERROR(__xludf.DUMMYFUNCTION("""COMPUTED_VALUE"""),13735.979999999996)</f>
        <v>13735.98</v>
      </c>
      <c r="AC234" s="26">
        <f>IFERROR(__xludf.DUMMYFUNCTION("""COMPUTED_VALUE"""),13049.100000000019)</f>
        <v>13049.1</v>
      </c>
      <c r="AD234" s="26">
        <f>IFERROR(__xludf.DUMMYFUNCTION("""COMPUTED_VALUE"""),686.8800000000008)</f>
        <v>686.88</v>
      </c>
      <c r="AE234" s="26">
        <f>IFERROR(__xludf.DUMMYFUNCTION("""COMPUTED_VALUE"""),0.0)</f>
        <v>0</v>
      </c>
    </row>
    <row r="235">
      <c r="A235" s="26">
        <f>IFERROR(__xludf.DUMMYFUNCTION("""COMPUTED_VALUE"""),0.0)</f>
        <v>0</v>
      </c>
      <c r="B235" s="26">
        <f>IFERROR(__xludf.DUMMYFUNCTION("""COMPUTED_VALUE"""),0.0)</f>
        <v>0</v>
      </c>
      <c r="C235" s="26">
        <f>IFERROR(__xludf.DUMMYFUNCTION("""COMPUTED_VALUE"""),0.0)</f>
        <v>0</v>
      </c>
      <c r="D235" s="26">
        <f>IFERROR(__xludf.DUMMYFUNCTION("""COMPUTED_VALUE"""),0.0)</f>
        <v>0</v>
      </c>
      <c r="E235" s="26">
        <f>IFERROR(__xludf.DUMMYFUNCTION("""COMPUTED_VALUE"""),42.0)</f>
        <v>42</v>
      </c>
      <c r="F235" s="26">
        <f>IFERROR(__xludf.DUMMYFUNCTION("""COMPUTED_VALUE"""),0.0)</f>
        <v>0</v>
      </c>
      <c r="G235" s="26">
        <f>IFERROR(__xludf.DUMMYFUNCTION("""COMPUTED_VALUE"""),0.0)</f>
        <v>0</v>
      </c>
      <c r="H235" s="26">
        <f>IFERROR(__xludf.DUMMYFUNCTION("""COMPUTED_VALUE"""),0.0)</f>
        <v>0</v>
      </c>
      <c r="I235" s="26">
        <f>IFERROR(__xludf.DUMMYFUNCTION("""COMPUTED_VALUE"""),0.0)</f>
        <v>0</v>
      </c>
      <c r="J235" s="26">
        <f>IFERROR(__xludf.DUMMYFUNCTION("""COMPUTED_VALUE"""),0.0)</f>
        <v>0</v>
      </c>
      <c r="K235" s="26">
        <f>IFERROR(__xludf.DUMMYFUNCTION("""COMPUTED_VALUE"""),0.0)</f>
        <v>0</v>
      </c>
      <c r="L235" s="26">
        <f>IFERROR(__xludf.DUMMYFUNCTION("""COMPUTED_VALUE"""),0.0)</f>
        <v>0</v>
      </c>
      <c r="M235" s="26"/>
      <c r="N235" s="26"/>
      <c r="O235" s="26"/>
      <c r="P235" s="26"/>
      <c r="Q235" s="26"/>
      <c r="R235" s="26">
        <f>IFERROR(__xludf.DUMMYFUNCTION("""COMPUTED_VALUE"""),42.0)</f>
        <v>42</v>
      </c>
      <c r="S235" s="26">
        <f>IFERROR(__xludf.DUMMYFUNCTION("""COMPUTED_VALUE"""),7681.799999999995)</f>
        <v>7681.8</v>
      </c>
      <c r="T235" s="26">
        <f>IFERROR(__xludf.DUMMYFUNCTION("""COMPUTED_VALUE"""),6510.0)</f>
        <v>6510</v>
      </c>
      <c r="U235" s="26">
        <f>IFERROR(__xludf.DUMMYFUNCTION("""COMPUTED_VALUE"""),7681.8)</f>
        <v>7681.8</v>
      </c>
      <c r="V235" s="26">
        <f>IFERROR(__xludf.DUMMYFUNCTION("""COMPUTED_VALUE"""),0.0)</f>
        <v>0</v>
      </c>
      <c r="W235" s="26">
        <f>IFERROR(__xludf.DUMMYFUNCTION("""COMPUTED_VALUE"""),0.0)</f>
        <v>0</v>
      </c>
      <c r="X235" s="26">
        <f>IFERROR(__xludf.DUMMYFUNCTION("""COMPUTED_VALUE"""),1171.8)</f>
        <v>1171.8</v>
      </c>
      <c r="Y235" s="26">
        <f>IFERROR(__xludf.DUMMYFUNCTION("""COMPUTED_VALUE"""),1171.8)</f>
        <v>1171.8</v>
      </c>
      <c r="Z235" s="26">
        <f>IFERROR(__xludf.DUMMYFUNCTION("""COMPUTED_VALUE"""),0.0)</f>
        <v>0</v>
      </c>
      <c r="AA235" s="26">
        <f>IFERROR(__xludf.DUMMYFUNCTION("""COMPUTED_VALUE"""),0.0)</f>
        <v>0</v>
      </c>
      <c r="AB235" s="26">
        <f>IFERROR(__xludf.DUMMYFUNCTION("""COMPUTED_VALUE"""),0.0)</f>
        <v>0</v>
      </c>
      <c r="AC235" s="26">
        <f>IFERROR(__xludf.DUMMYFUNCTION("""COMPUTED_VALUE"""),0.0)</f>
        <v>0</v>
      </c>
      <c r="AD235" s="26">
        <f>IFERROR(__xludf.DUMMYFUNCTION("""COMPUTED_VALUE"""),0.0)</f>
        <v>0</v>
      </c>
      <c r="AE235" s="26">
        <f>IFERROR(__xludf.DUMMYFUNCTION("""COMPUTED_VALUE"""),0.0)</f>
        <v>0</v>
      </c>
    </row>
    <row r="236">
      <c r="A236" s="26">
        <f>IFERROR(__xludf.DUMMYFUNCTION("""COMPUTED_VALUE"""),0.0)</f>
        <v>0</v>
      </c>
      <c r="B236" s="26">
        <f>IFERROR(__xludf.DUMMYFUNCTION("""COMPUTED_VALUE"""),0.0)</f>
        <v>0</v>
      </c>
      <c r="C236" s="26">
        <f>IFERROR(__xludf.DUMMYFUNCTION("""COMPUTED_VALUE"""),0.0)</f>
        <v>0</v>
      </c>
      <c r="D236" s="26">
        <f>IFERROR(__xludf.DUMMYFUNCTION("""COMPUTED_VALUE"""),0.0)</f>
        <v>0</v>
      </c>
      <c r="E236" s="26">
        <f>IFERROR(__xludf.DUMMYFUNCTION("""COMPUTED_VALUE"""),19.0)</f>
        <v>19</v>
      </c>
      <c r="F236" s="26">
        <f>IFERROR(__xludf.DUMMYFUNCTION("""COMPUTED_VALUE"""),0.0)</f>
        <v>0</v>
      </c>
      <c r="G236" s="26">
        <f>IFERROR(__xludf.DUMMYFUNCTION("""COMPUTED_VALUE"""),0.0)</f>
        <v>0</v>
      </c>
      <c r="H236" s="26">
        <f>IFERROR(__xludf.DUMMYFUNCTION("""COMPUTED_VALUE"""),0.0)</f>
        <v>0</v>
      </c>
      <c r="I236" s="26">
        <f>IFERROR(__xludf.DUMMYFUNCTION("""COMPUTED_VALUE"""),0.0)</f>
        <v>0</v>
      </c>
      <c r="J236" s="26">
        <f>IFERROR(__xludf.DUMMYFUNCTION("""COMPUTED_VALUE"""),0.0)</f>
        <v>0</v>
      </c>
      <c r="K236" s="26">
        <f>IFERROR(__xludf.DUMMYFUNCTION("""COMPUTED_VALUE"""),0.0)</f>
        <v>0</v>
      </c>
      <c r="L236" s="26">
        <f>IFERROR(__xludf.DUMMYFUNCTION("""COMPUTED_VALUE"""),0.0)</f>
        <v>0</v>
      </c>
      <c r="M236" s="26"/>
      <c r="N236" s="26"/>
      <c r="O236" s="26"/>
      <c r="P236" s="26"/>
      <c r="Q236" s="26"/>
      <c r="R236" s="26">
        <f>IFERROR(__xludf.DUMMYFUNCTION("""COMPUTED_VALUE"""),19.0)</f>
        <v>19</v>
      </c>
      <c r="S236" s="26">
        <f>IFERROR(__xludf.DUMMYFUNCTION("""COMPUTED_VALUE"""),3475.1000000000013)</f>
        <v>3475.1</v>
      </c>
      <c r="T236" s="26">
        <f>IFERROR(__xludf.DUMMYFUNCTION("""COMPUTED_VALUE"""),2945.0)</f>
        <v>2945</v>
      </c>
      <c r="U236" s="26">
        <f>IFERROR(__xludf.DUMMYFUNCTION("""COMPUTED_VALUE"""),3475.1)</f>
        <v>3475.1</v>
      </c>
      <c r="V236" s="26">
        <f>IFERROR(__xludf.DUMMYFUNCTION("""COMPUTED_VALUE"""),0.0)</f>
        <v>0</v>
      </c>
      <c r="W236" s="26">
        <f>IFERROR(__xludf.DUMMYFUNCTION("""COMPUTED_VALUE"""),0.0)</f>
        <v>0</v>
      </c>
      <c r="X236" s="26">
        <f>IFERROR(__xludf.DUMMYFUNCTION("""COMPUTED_VALUE"""),530.0999999999998)</f>
        <v>530.1</v>
      </c>
      <c r="Y236" s="26">
        <f>IFERROR(__xludf.DUMMYFUNCTION("""COMPUTED_VALUE"""),530.0999999999998)</f>
        <v>530.1</v>
      </c>
      <c r="Z236" s="26">
        <f>IFERROR(__xludf.DUMMYFUNCTION("""COMPUTED_VALUE"""),0.0)</f>
        <v>0</v>
      </c>
      <c r="AA236" s="26">
        <f>IFERROR(__xludf.DUMMYFUNCTION("""COMPUTED_VALUE"""),0.0)</f>
        <v>0</v>
      </c>
      <c r="AB236" s="26">
        <f>IFERROR(__xludf.DUMMYFUNCTION("""COMPUTED_VALUE"""),0.0)</f>
        <v>0</v>
      </c>
      <c r="AC236" s="26">
        <f>IFERROR(__xludf.DUMMYFUNCTION("""COMPUTED_VALUE"""),0.0)</f>
        <v>0</v>
      </c>
      <c r="AD236" s="26">
        <f>IFERROR(__xludf.DUMMYFUNCTION("""COMPUTED_VALUE"""),0.0)</f>
        <v>0</v>
      </c>
      <c r="AE236" s="26">
        <f>IFERROR(__xludf.DUMMYFUNCTION("""COMPUTED_VALUE"""),0.0)</f>
        <v>0</v>
      </c>
    </row>
    <row r="237">
      <c r="A237" s="26">
        <f>IFERROR(__xludf.DUMMYFUNCTION("""COMPUTED_VALUE"""),0.0)</f>
        <v>0</v>
      </c>
      <c r="B237" s="26">
        <f>IFERROR(__xludf.DUMMYFUNCTION("""COMPUTED_VALUE"""),0.0)</f>
        <v>0</v>
      </c>
      <c r="C237" s="26">
        <f>IFERROR(__xludf.DUMMYFUNCTION("""COMPUTED_VALUE"""),0.0)</f>
        <v>0</v>
      </c>
      <c r="D237" s="26">
        <f>IFERROR(__xludf.DUMMYFUNCTION("""COMPUTED_VALUE"""),0.0)</f>
        <v>0</v>
      </c>
      <c r="E237" s="26">
        <f>IFERROR(__xludf.DUMMYFUNCTION("""COMPUTED_VALUE"""),19.0)</f>
        <v>19</v>
      </c>
      <c r="F237" s="26">
        <f>IFERROR(__xludf.DUMMYFUNCTION("""COMPUTED_VALUE"""),0.0)</f>
        <v>0</v>
      </c>
      <c r="G237" s="26">
        <f>IFERROR(__xludf.DUMMYFUNCTION("""COMPUTED_VALUE"""),0.0)</f>
        <v>0</v>
      </c>
      <c r="H237" s="26">
        <f>IFERROR(__xludf.DUMMYFUNCTION("""COMPUTED_VALUE"""),0.0)</f>
        <v>0</v>
      </c>
      <c r="I237" s="26">
        <f>IFERROR(__xludf.DUMMYFUNCTION("""COMPUTED_VALUE"""),0.0)</f>
        <v>0</v>
      </c>
      <c r="J237" s="26">
        <f>IFERROR(__xludf.DUMMYFUNCTION("""COMPUTED_VALUE"""),0.0)</f>
        <v>0</v>
      </c>
      <c r="K237" s="26">
        <f>IFERROR(__xludf.DUMMYFUNCTION("""COMPUTED_VALUE"""),0.0)</f>
        <v>0</v>
      </c>
      <c r="L237" s="26">
        <f>IFERROR(__xludf.DUMMYFUNCTION("""COMPUTED_VALUE"""),0.0)</f>
        <v>0</v>
      </c>
      <c r="M237" s="26"/>
      <c r="N237" s="26"/>
      <c r="O237" s="26"/>
      <c r="P237" s="26"/>
      <c r="Q237" s="26"/>
      <c r="R237" s="26">
        <f>IFERROR(__xludf.DUMMYFUNCTION("""COMPUTED_VALUE"""),19.0)</f>
        <v>19</v>
      </c>
      <c r="S237" s="26">
        <f>IFERROR(__xludf.DUMMYFUNCTION("""COMPUTED_VALUE"""),3475.1000000000013)</f>
        <v>3475.1</v>
      </c>
      <c r="T237" s="26">
        <f>IFERROR(__xludf.DUMMYFUNCTION("""COMPUTED_VALUE"""),2945.0)</f>
        <v>2945</v>
      </c>
      <c r="U237" s="26">
        <f>IFERROR(__xludf.DUMMYFUNCTION("""COMPUTED_VALUE"""),3475.1)</f>
        <v>3475.1</v>
      </c>
      <c r="V237" s="26">
        <f>IFERROR(__xludf.DUMMYFUNCTION("""COMPUTED_VALUE"""),0.0)</f>
        <v>0</v>
      </c>
      <c r="W237" s="26">
        <f>IFERROR(__xludf.DUMMYFUNCTION("""COMPUTED_VALUE"""),0.0)</f>
        <v>0</v>
      </c>
      <c r="X237" s="26">
        <f>IFERROR(__xludf.DUMMYFUNCTION("""COMPUTED_VALUE"""),530.0999999999998)</f>
        <v>530.1</v>
      </c>
      <c r="Y237" s="26">
        <f>IFERROR(__xludf.DUMMYFUNCTION("""COMPUTED_VALUE"""),530.0999999999998)</f>
        <v>530.1</v>
      </c>
      <c r="Z237" s="26">
        <f>IFERROR(__xludf.DUMMYFUNCTION("""COMPUTED_VALUE"""),0.0)</f>
        <v>0</v>
      </c>
      <c r="AA237" s="26">
        <f>IFERROR(__xludf.DUMMYFUNCTION("""COMPUTED_VALUE"""),0.0)</f>
        <v>0</v>
      </c>
      <c r="AB237" s="26">
        <f>IFERROR(__xludf.DUMMYFUNCTION("""COMPUTED_VALUE"""),0.0)</f>
        <v>0</v>
      </c>
      <c r="AC237" s="26">
        <f>IFERROR(__xludf.DUMMYFUNCTION("""COMPUTED_VALUE"""),0.0)</f>
        <v>0</v>
      </c>
      <c r="AD237" s="26">
        <f>IFERROR(__xludf.DUMMYFUNCTION("""COMPUTED_VALUE"""),0.0)</f>
        <v>0</v>
      </c>
      <c r="AE237" s="26">
        <f>IFERROR(__xludf.DUMMYFUNCTION("""COMPUTED_VALUE"""),0.0)</f>
        <v>0</v>
      </c>
    </row>
    <row r="238">
      <c r="A238" s="26">
        <f>IFERROR(__xludf.DUMMYFUNCTION("""COMPUTED_VALUE"""),0.0)</f>
        <v>0</v>
      </c>
      <c r="B238" s="26">
        <f>IFERROR(__xludf.DUMMYFUNCTION("""COMPUTED_VALUE"""),0.0)</f>
        <v>0</v>
      </c>
      <c r="C238" s="26">
        <f>IFERROR(__xludf.DUMMYFUNCTION("""COMPUTED_VALUE"""),0.0)</f>
        <v>0</v>
      </c>
      <c r="D238" s="26">
        <f>IFERROR(__xludf.DUMMYFUNCTION("""COMPUTED_VALUE"""),0.0)</f>
        <v>0</v>
      </c>
      <c r="E238" s="26">
        <f>IFERROR(__xludf.DUMMYFUNCTION("""COMPUTED_VALUE"""),15.0)</f>
        <v>15</v>
      </c>
      <c r="F238" s="26">
        <f>IFERROR(__xludf.DUMMYFUNCTION("""COMPUTED_VALUE"""),0.0)</f>
        <v>0</v>
      </c>
      <c r="G238" s="26">
        <f>IFERROR(__xludf.DUMMYFUNCTION("""COMPUTED_VALUE"""),0.0)</f>
        <v>0</v>
      </c>
      <c r="H238" s="26">
        <f>IFERROR(__xludf.DUMMYFUNCTION("""COMPUTED_VALUE"""),0.0)</f>
        <v>0</v>
      </c>
      <c r="I238" s="26">
        <f>IFERROR(__xludf.DUMMYFUNCTION("""COMPUTED_VALUE"""),0.0)</f>
        <v>0</v>
      </c>
      <c r="J238" s="26">
        <f>IFERROR(__xludf.DUMMYFUNCTION("""COMPUTED_VALUE"""),0.0)</f>
        <v>0</v>
      </c>
      <c r="K238" s="26">
        <f>IFERROR(__xludf.DUMMYFUNCTION("""COMPUTED_VALUE"""),0.0)</f>
        <v>0</v>
      </c>
      <c r="L238" s="26">
        <f>IFERROR(__xludf.DUMMYFUNCTION("""COMPUTED_VALUE"""),0.0)</f>
        <v>0</v>
      </c>
      <c r="M238" s="26"/>
      <c r="N238" s="26"/>
      <c r="O238" s="26"/>
      <c r="P238" s="26"/>
      <c r="Q238" s="26"/>
      <c r="R238" s="26">
        <f>IFERROR(__xludf.DUMMYFUNCTION("""COMPUTED_VALUE"""),15.0)</f>
        <v>15</v>
      </c>
      <c r="S238" s="26">
        <f>IFERROR(__xludf.DUMMYFUNCTION("""COMPUTED_VALUE"""),2743.500000000001)</f>
        <v>2743.5</v>
      </c>
      <c r="T238" s="26">
        <f>IFERROR(__xludf.DUMMYFUNCTION("""COMPUTED_VALUE"""),2325.0)</f>
        <v>2325</v>
      </c>
      <c r="U238" s="26">
        <f>IFERROR(__xludf.DUMMYFUNCTION("""COMPUTED_VALUE"""),2743.5)</f>
        <v>2743.5</v>
      </c>
      <c r="V238" s="26">
        <f>IFERROR(__xludf.DUMMYFUNCTION("""COMPUTED_VALUE"""),0.0)</f>
        <v>0</v>
      </c>
      <c r="W238" s="26">
        <f>IFERROR(__xludf.DUMMYFUNCTION("""COMPUTED_VALUE"""),0.0)</f>
        <v>0</v>
      </c>
      <c r="X238" s="26">
        <f>IFERROR(__xludf.DUMMYFUNCTION("""COMPUTED_VALUE"""),418.4999999999999)</f>
        <v>418.5</v>
      </c>
      <c r="Y238" s="26">
        <f>IFERROR(__xludf.DUMMYFUNCTION("""COMPUTED_VALUE"""),418.4999999999999)</f>
        <v>418.5</v>
      </c>
      <c r="Z238" s="26">
        <f>IFERROR(__xludf.DUMMYFUNCTION("""COMPUTED_VALUE"""),0.0)</f>
        <v>0</v>
      </c>
      <c r="AA238" s="26">
        <f>IFERROR(__xludf.DUMMYFUNCTION("""COMPUTED_VALUE"""),0.0)</f>
        <v>0</v>
      </c>
      <c r="AB238" s="26">
        <f>IFERROR(__xludf.DUMMYFUNCTION("""COMPUTED_VALUE"""),0.0)</f>
        <v>0</v>
      </c>
      <c r="AC238" s="26">
        <f>IFERROR(__xludf.DUMMYFUNCTION("""COMPUTED_VALUE"""),0.0)</f>
        <v>0</v>
      </c>
      <c r="AD238" s="26">
        <f>IFERROR(__xludf.DUMMYFUNCTION("""COMPUTED_VALUE"""),0.0)</f>
        <v>0</v>
      </c>
      <c r="AE238" s="26">
        <f>IFERROR(__xludf.DUMMYFUNCTION("""COMPUTED_VALUE"""),0.0)</f>
        <v>0</v>
      </c>
    </row>
    <row r="239">
      <c r="A239" s="26">
        <f>IFERROR(__xludf.DUMMYFUNCTION("""COMPUTED_VALUE"""),0.0)</f>
        <v>0</v>
      </c>
      <c r="B239" s="26">
        <f>IFERROR(__xludf.DUMMYFUNCTION("""COMPUTED_VALUE"""),0.0)</f>
        <v>0</v>
      </c>
      <c r="C239" s="26">
        <f>IFERROR(__xludf.DUMMYFUNCTION("""COMPUTED_VALUE"""),0.0)</f>
        <v>0</v>
      </c>
      <c r="D239" s="26">
        <f>IFERROR(__xludf.DUMMYFUNCTION("""COMPUTED_VALUE"""),0.0)</f>
        <v>0</v>
      </c>
      <c r="E239" s="26">
        <f>IFERROR(__xludf.DUMMYFUNCTION("""COMPUTED_VALUE"""),0.0)</f>
        <v>0</v>
      </c>
      <c r="F239" s="26">
        <f>IFERROR(__xludf.DUMMYFUNCTION("""COMPUTED_VALUE"""),0.0)</f>
        <v>0</v>
      </c>
      <c r="G239" s="26">
        <f>IFERROR(__xludf.DUMMYFUNCTION("""COMPUTED_VALUE"""),0.0)</f>
        <v>0</v>
      </c>
      <c r="H239" s="26">
        <f>IFERROR(__xludf.DUMMYFUNCTION("""COMPUTED_VALUE"""),0.0)</f>
        <v>0</v>
      </c>
      <c r="I239" s="26">
        <f>IFERROR(__xludf.DUMMYFUNCTION("""COMPUTED_VALUE"""),0.0)</f>
        <v>0</v>
      </c>
      <c r="J239" s="26">
        <f>IFERROR(__xludf.DUMMYFUNCTION("""COMPUTED_VALUE"""),0.0)</f>
        <v>0</v>
      </c>
      <c r="K239" s="26">
        <f>IFERROR(__xludf.DUMMYFUNCTION("""COMPUTED_VALUE"""),101.0)</f>
        <v>101</v>
      </c>
      <c r="L239" s="26">
        <f>IFERROR(__xludf.DUMMYFUNCTION("""COMPUTED_VALUE"""),0.0)</f>
        <v>0</v>
      </c>
      <c r="M239" s="26"/>
      <c r="N239" s="26"/>
      <c r="O239" s="26"/>
      <c r="P239" s="26"/>
      <c r="Q239" s="26"/>
      <c r="R239" s="26">
        <f>IFERROR(__xludf.DUMMYFUNCTION("""COMPUTED_VALUE"""),101.0)</f>
        <v>101</v>
      </c>
      <c r="S239" s="26">
        <f>IFERROR(__xludf.DUMMYFUNCTION("""COMPUTED_VALUE"""),100899.0)</f>
        <v>100899</v>
      </c>
      <c r="T239" s="26">
        <f>IFERROR(__xludf.DUMMYFUNCTION("""COMPUTED_VALUE"""),28280.0)</f>
        <v>28280</v>
      </c>
      <c r="U239" s="26">
        <f>IFERROR(__xludf.DUMMYFUNCTION("""COMPUTED_VALUE"""),43671.38999999998)</f>
        <v>43671.39</v>
      </c>
      <c r="V239" s="26">
        <f>IFERROR(__xludf.DUMMYFUNCTION("""COMPUTED_VALUE"""),0.0)</f>
        <v>0</v>
      </c>
      <c r="W239" s="26">
        <f>IFERROR(__xludf.DUMMYFUNCTION("""COMPUTED_VALUE"""),0.0)</f>
        <v>0</v>
      </c>
      <c r="X239" s="26">
        <f>IFERROR(__xludf.DUMMYFUNCTION("""COMPUTED_VALUE"""),15391.38999999998)</f>
        <v>15391.39</v>
      </c>
      <c r="Y239" s="26">
        <f>IFERROR(__xludf.DUMMYFUNCTION("""COMPUTED_VALUE"""),15391.38999999998)</f>
        <v>15391.39</v>
      </c>
      <c r="Z239" s="26">
        <f>IFERROR(__xludf.DUMMYFUNCTION("""COMPUTED_VALUE"""),0.0)</f>
        <v>0</v>
      </c>
      <c r="AA239" s="26">
        <f>IFERROR(__xludf.DUMMYFUNCTION("""COMPUTED_VALUE"""),0.0)</f>
        <v>0</v>
      </c>
      <c r="AB239" s="26">
        <f>IFERROR(__xludf.DUMMYFUNCTION("""COMPUTED_VALUE"""),0.0)</f>
        <v>0</v>
      </c>
      <c r="AC239" s="26">
        <f>IFERROR(__xludf.DUMMYFUNCTION("""COMPUTED_VALUE"""),0.0)</f>
        <v>0</v>
      </c>
      <c r="AD239" s="26">
        <f>IFERROR(__xludf.DUMMYFUNCTION("""COMPUTED_VALUE"""),0.0)</f>
        <v>0</v>
      </c>
      <c r="AE239" s="26">
        <f>IFERROR(__xludf.DUMMYFUNCTION("""COMPUTED_VALUE"""),0.0)</f>
        <v>0</v>
      </c>
    </row>
    <row r="240">
      <c r="A240" s="26">
        <f>IFERROR(__xludf.DUMMYFUNCTION("""COMPUTED_VALUE"""),0.0)</f>
        <v>0</v>
      </c>
      <c r="B240" s="26">
        <f>IFERROR(__xludf.DUMMYFUNCTION("""COMPUTED_VALUE"""),0.0)</f>
        <v>0</v>
      </c>
      <c r="C240" s="26">
        <f>IFERROR(__xludf.DUMMYFUNCTION("""COMPUTED_VALUE"""),1.0)</f>
        <v>1</v>
      </c>
      <c r="D240" s="26">
        <f>IFERROR(__xludf.DUMMYFUNCTION("""COMPUTED_VALUE"""),0.0)</f>
        <v>0</v>
      </c>
      <c r="E240" s="26">
        <f>IFERROR(__xludf.DUMMYFUNCTION("""COMPUTED_VALUE"""),0.0)</f>
        <v>0</v>
      </c>
      <c r="F240" s="26">
        <f>IFERROR(__xludf.DUMMYFUNCTION("""COMPUTED_VALUE"""),0.0)</f>
        <v>0</v>
      </c>
      <c r="G240" s="26">
        <f>IFERROR(__xludf.DUMMYFUNCTION("""COMPUTED_VALUE"""),0.0)</f>
        <v>0</v>
      </c>
      <c r="H240" s="26">
        <f>IFERROR(__xludf.DUMMYFUNCTION("""COMPUTED_VALUE"""),0.0)</f>
        <v>0</v>
      </c>
      <c r="I240" s="26">
        <f>IFERROR(__xludf.DUMMYFUNCTION("""COMPUTED_VALUE"""),0.0)</f>
        <v>0</v>
      </c>
      <c r="J240" s="26">
        <f>IFERROR(__xludf.DUMMYFUNCTION("""COMPUTED_VALUE"""),0.0)</f>
        <v>0</v>
      </c>
      <c r="K240" s="26">
        <f>IFERROR(__xludf.DUMMYFUNCTION("""COMPUTED_VALUE"""),0.0)</f>
        <v>0</v>
      </c>
      <c r="L240" s="26">
        <f>IFERROR(__xludf.DUMMYFUNCTION("""COMPUTED_VALUE"""),0.0)</f>
        <v>0</v>
      </c>
      <c r="M240" s="26"/>
      <c r="N240" s="26"/>
      <c r="O240" s="26"/>
      <c r="P240" s="26"/>
      <c r="Q240" s="26"/>
      <c r="R240" s="26">
        <f>IFERROR(__xludf.DUMMYFUNCTION("""COMPUTED_VALUE"""),1.0)</f>
        <v>1</v>
      </c>
      <c r="S240" s="26">
        <f>IFERROR(__xludf.DUMMYFUNCTION("""COMPUTED_VALUE"""),442.0)</f>
        <v>442</v>
      </c>
      <c r="T240" s="26">
        <f>IFERROR(__xludf.DUMMYFUNCTION("""COMPUTED_VALUE"""),185.0)</f>
        <v>185</v>
      </c>
      <c r="U240" s="26">
        <f>IFERROR(__xludf.DUMMYFUNCTION("""COMPUTED_VALUE"""),252.42000000000002)</f>
        <v>252.42</v>
      </c>
      <c r="V240" s="26">
        <f>IFERROR(__xludf.DUMMYFUNCTION("""COMPUTED_VALUE"""),0.0)</f>
        <v>0</v>
      </c>
      <c r="W240" s="26">
        <f>IFERROR(__xludf.DUMMYFUNCTION("""COMPUTED_VALUE"""),0.0)</f>
        <v>0</v>
      </c>
      <c r="X240" s="26">
        <f>IFERROR(__xludf.DUMMYFUNCTION("""COMPUTED_VALUE"""),67.42)</f>
        <v>67.42</v>
      </c>
      <c r="Y240" s="26">
        <f>IFERROR(__xludf.DUMMYFUNCTION("""COMPUTED_VALUE"""),67.42)</f>
        <v>67.42</v>
      </c>
      <c r="Z240" s="26">
        <f>IFERROR(__xludf.DUMMYFUNCTION("""COMPUTED_VALUE"""),0.0)</f>
        <v>0</v>
      </c>
      <c r="AA240" s="26">
        <f>IFERROR(__xludf.DUMMYFUNCTION("""COMPUTED_VALUE"""),0.0)</f>
        <v>0</v>
      </c>
      <c r="AB240" s="26">
        <f>IFERROR(__xludf.DUMMYFUNCTION("""COMPUTED_VALUE"""),0.0)</f>
        <v>0</v>
      </c>
      <c r="AC240" s="26">
        <f>IFERROR(__xludf.DUMMYFUNCTION("""COMPUTED_VALUE"""),0.0)</f>
        <v>0</v>
      </c>
      <c r="AD240" s="26">
        <f>IFERROR(__xludf.DUMMYFUNCTION("""COMPUTED_VALUE"""),0.0)</f>
        <v>0</v>
      </c>
      <c r="AE240" s="26">
        <f>IFERROR(__xludf.DUMMYFUNCTION("""COMPUTED_VALUE"""),0.0)</f>
        <v>0</v>
      </c>
    </row>
    <row r="241">
      <c r="A241" s="26">
        <f>IFERROR(__xludf.DUMMYFUNCTION("""COMPUTED_VALUE"""),0.0)</f>
        <v>0</v>
      </c>
      <c r="B241" s="26">
        <f>IFERROR(__xludf.DUMMYFUNCTION("""COMPUTED_VALUE"""),0.0)</f>
        <v>0</v>
      </c>
      <c r="C241" s="26">
        <f>IFERROR(__xludf.DUMMYFUNCTION("""COMPUTED_VALUE"""),0.0)</f>
        <v>0</v>
      </c>
      <c r="D241" s="26">
        <f>IFERROR(__xludf.DUMMYFUNCTION("""COMPUTED_VALUE"""),0.0)</f>
        <v>0</v>
      </c>
      <c r="E241" s="26">
        <f>IFERROR(__xludf.DUMMYFUNCTION("""COMPUTED_VALUE"""),0.0)</f>
        <v>0</v>
      </c>
      <c r="F241" s="26">
        <f>IFERROR(__xludf.DUMMYFUNCTION("""COMPUTED_VALUE"""),0.0)</f>
        <v>0</v>
      </c>
      <c r="G241" s="26">
        <f>IFERROR(__xludf.DUMMYFUNCTION("""COMPUTED_VALUE"""),0.0)</f>
        <v>0</v>
      </c>
      <c r="H241" s="26">
        <f>IFERROR(__xludf.DUMMYFUNCTION("""COMPUTED_VALUE"""),0.0)</f>
        <v>0</v>
      </c>
      <c r="I241" s="26">
        <f>IFERROR(__xludf.DUMMYFUNCTION("""COMPUTED_VALUE"""),0.0)</f>
        <v>0</v>
      </c>
      <c r="J241" s="26">
        <f>IFERROR(__xludf.DUMMYFUNCTION("""COMPUTED_VALUE"""),0.0)</f>
        <v>0</v>
      </c>
      <c r="K241" s="26">
        <f>IFERROR(__xludf.DUMMYFUNCTION("""COMPUTED_VALUE"""),0.0)</f>
        <v>0</v>
      </c>
      <c r="L241" s="26">
        <f>IFERROR(__xludf.DUMMYFUNCTION("""COMPUTED_VALUE"""),0.0)</f>
        <v>0</v>
      </c>
      <c r="M241" s="26"/>
      <c r="N241" s="26"/>
      <c r="O241" s="26"/>
      <c r="P241" s="26"/>
      <c r="Q241" s="26"/>
      <c r="R241" s="26">
        <f>IFERROR(__xludf.DUMMYFUNCTION("""COMPUTED_VALUE"""),0.0)</f>
        <v>0</v>
      </c>
      <c r="S241" s="26">
        <f>IFERROR(__xludf.DUMMYFUNCTION("""COMPUTED_VALUE"""),0.0)</f>
        <v>0</v>
      </c>
      <c r="T241" s="26">
        <f>IFERROR(__xludf.DUMMYFUNCTION("""COMPUTED_VALUE"""),0.0)</f>
        <v>0</v>
      </c>
      <c r="U241" s="26">
        <f>IFERROR(__xludf.DUMMYFUNCTION("""COMPUTED_VALUE"""),0.0)</f>
        <v>0</v>
      </c>
      <c r="V241" s="26">
        <f>IFERROR(__xludf.DUMMYFUNCTION("""COMPUTED_VALUE"""),0.0)</f>
        <v>0</v>
      </c>
      <c r="W241" s="26">
        <f>IFERROR(__xludf.DUMMYFUNCTION("""COMPUTED_VALUE"""),0.0)</f>
        <v>0</v>
      </c>
      <c r="X241" s="26">
        <f>IFERROR(__xludf.DUMMYFUNCTION("""COMPUTED_VALUE"""),0.0)</f>
        <v>0</v>
      </c>
      <c r="Y241" s="26">
        <f>IFERROR(__xludf.DUMMYFUNCTION("""COMPUTED_VALUE"""),0.0)</f>
        <v>0</v>
      </c>
      <c r="Z241" s="26">
        <f>IFERROR(__xludf.DUMMYFUNCTION("""COMPUTED_VALUE"""),0.0)</f>
        <v>0</v>
      </c>
      <c r="AA241" s="26">
        <f>IFERROR(__xludf.DUMMYFUNCTION("""COMPUTED_VALUE"""),0.0)</f>
        <v>0</v>
      </c>
      <c r="AB241" s="26">
        <f>IFERROR(__xludf.DUMMYFUNCTION("""COMPUTED_VALUE"""),0.0)</f>
        <v>0</v>
      </c>
      <c r="AC241" s="26">
        <f>IFERROR(__xludf.DUMMYFUNCTION("""COMPUTED_VALUE"""),0.0)</f>
        <v>0</v>
      </c>
      <c r="AD241" s="26">
        <f>IFERROR(__xludf.DUMMYFUNCTION("""COMPUTED_VALUE"""),0.0)</f>
        <v>0</v>
      </c>
      <c r="AE241" s="26">
        <f>IFERROR(__xludf.DUMMYFUNCTION("""COMPUTED_VALUE"""),0.0)</f>
        <v>0</v>
      </c>
    </row>
    <row r="242">
      <c r="A242" s="26">
        <f>IFERROR(__xludf.DUMMYFUNCTION("""COMPUTED_VALUE"""),0.0)</f>
        <v>0</v>
      </c>
      <c r="B242" s="26">
        <f>IFERROR(__xludf.DUMMYFUNCTION("""COMPUTED_VALUE"""),0.0)</f>
        <v>0</v>
      </c>
      <c r="C242" s="26">
        <f>IFERROR(__xludf.DUMMYFUNCTION("""COMPUTED_VALUE"""),0.0)</f>
        <v>0</v>
      </c>
      <c r="D242" s="26">
        <f>IFERROR(__xludf.DUMMYFUNCTION("""COMPUTED_VALUE"""),0.0)</f>
        <v>0</v>
      </c>
      <c r="E242" s="26">
        <f>IFERROR(__xludf.DUMMYFUNCTION("""COMPUTED_VALUE"""),0.0)</f>
        <v>0</v>
      </c>
      <c r="F242" s="26">
        <f>IFERROR(__xludf.DUMMYFUNCTION("""COMPUTED_VALUE"""),0.0)</f>
        <v>0</v>
      </c>
      <c r="G242" s="26">
        <f>IFERROR(__xludf.DUMMYFUNCTION("""COMPUTED_VALUE"""),0.0)</f>
        <v>0</v>
      </c>
      <c r="H242" s="26">
        <f>IFERROR(__xludf.DUMMYFUNCTION("""COMPUTED_VALUE"""),0.0)</f>
        <v>0</v>
      </c>
      <c r="I242" s="26">
        <f>IFERROR(__xludf.DUMMYFUNCTION("""COMPUTED_VALUE"""),0.0)</f>
        <v>0</v>
      </c>
      <c r="J242" s="26">
        <f>IFERROR(__xludf.DUMMYFUNCTION("""COMPUTED_VALUE"""),0.0)</f>
        <v>0</v>
      </c>
      <c r="K242" s="26">
        <f>IFERROR(__xludf.DUMMYFUNCTION("""COMPUTED_VALUE"""),0.0)</f>
        <v>0</v>
      </c>
      <c r="L242" s="26">
        <f>IFERROR(__xludf.DUMMYFUNCTION("""COMPUTED_VALUE"""),0.0)</f>
        <v>0</v>
      </c>
      <c r="M242" s="26"/>
      <c r="N242" s="26"/>
      <c r="O242" s="26"/>
      <c r="P242" s="26"/>
      <c r="Q242" s="26"/>
      <c r="R242" s="26">
        <f>IFERROR(__xludf.DUMMYFUNCTION("""COMPUTED_VALUE"""),0.0)</f>
        <v>0</v>
      </c>
      <c r="S242" s="26">
        <f>IFERROR(__xludf.DUMMYFUNCTION("""COMPUTED_VALUE"""),0.0)</f>
        <v>0</v>
      </c>
      <c r="T242" s="26">
        <f>IFERROR(__xludf.DUMMYFUNCTION("""COMPUTED_VALUE"""),0.0)</f>
        <v>0</v>
      </c>
      <c r="U242" s="26">
        <f>IFERROR(__xludf.DUMMYFUNCTION("""COMPUTED_VALUE"""),0.0)</f>
        <v>0</v>
      </c>
      <c r="V242" s="26">
        <f>IFERROR(__xludf.DUMMYFUNCTION("""COMPUTED_VALUE"""),0.0)</f>
        <v>0</v>
      </c>
      <c r="W242" s="26">
        <f>IFERROR(__xludf.DUMMYFUNCTION("""COMPUTED_VALUE"""),0.0)</f>
        <v>0</v>
      </c>
      <c r="X242" s="26">
        <f>IFERROR(__xludf.DUMMYFUNCTION("""COMPUTED_VALUE"""),0.0)</f>
        <v>0</v>
      </c>
      <c r="Y242" s="26">
        <f>IFERROR(__xludf.DUMMYFUNCTION("""COMPUTED_VALUE"""),0.0)</f>
        <v>0</v>
      </c>
      <c r="Z242" s="26">
        <f>IFERROR(__xludf.DUMMYFUNCTION("""COMPUTED_VALUE"""),0.0)</f>
        <v>0</v>
      </c>
      <c r="AA242" s="26">
        <f>IFERROR(__xludf.DUMMYFUNCTION("""COMPUTED_VALUE"""),0.0)</f>
        <v>0</v>
      </c>
      <c r="AB242" s="26">
        <f>IFERROR(__xludf.DUMMYFUNCTION("""COMPUTED_VALUE"""),0.0)</f>
        <v>0</v>
      </c>
      <c r="AC242" s="26">
        <f>IFERROR(__xludf.DUMMYFUNCTION("""COMPUTED_VALUE"""),0.0)</f>
        <v>0</v>
      </c>
      <c r="AD242" s="26">
        <f>IFERROR(__xludf.DUMMYFUNCTION("""COMPUTED_VALUE"""),0.0)</f>
        <v>0</v>
      </c>
      <c r="AE242" s="26">
        <f>IFERROR(__xludf.DUMMYFUNCTION("""COMPUTED_VALUE"""),0.0)</f>
        <v>0</v>
      </c>
    </row>
    <row r="243">
      <c r="A243" s="26">
        <f>IFERROR(__xludf.DUMMYFUNCTION("""COMPUTED_VALUE"""),0.0)</f>
        <v>0</v>
      </c>
      <c r="B243" s="26">
        <f>IFERROR(__xludf.DUMMYFUNCTION("""COMPUTED_VALUE"""),0.0)</f>
        <v>0</v>
      </c>
      <c r="C243" s="26">
        <f>IFERROR(__xludf.DUMMYFUNCTION("""COMPUTED_VALUE"""),0.0)</f>
        <v>0</v>
      </c>
      <c r="D243" s="26">
        <f>IFERROR(__xludf.DUMMYFUNCTION("""COMPUTED_VALUE"""),0.0)</f>
        <v>0</v>
      </c>
      <c r="E243" s="26">
        <f>IFERROR(__xludf.DUMMYFUNCTION("""COMPUTED_VALUE"""),0.0)</f>
        <v>0</v>
      </c>
      <c r="F243" s="26">
        <f>IFERROR(__xludf.DUMMYFUNCTION("""COMPUTED_VALUE"""),0.0)</f>
        <v>0</v>
      </c>
      <c r="G243" s="26">
        <f>IFERROR(__xludf.DUMMYFUNCTION("""COMPUTED_VALUE"""),0.0)</f>
        <v>0</v>
      </c>
      <c r="H243" s="26">
        <f>IFERROR(__xludf.DUMMYFUNCTION("""COMPUTED_VALUE"""),0.0)</f>
        <v>0</v>
      </c>
      <c r="I243" s="26">
        <f>IFERROR(__xludf.DUMMYFUNCTION("""COMPUTED_VALUE"""),0.0)</f>
        <v>0</v>
      </c>
      <c r="J243" s="26">
        <f>IFERROR(__xludf.DUMMYFUNCTION("""COMPUTED_VALUE"""),0.0)</f>
        <v>0</v>
      </c>
      <c r="K243" s="26">
        <f>IFERROR(__xludf.DUMMYFUNCTION("""COMPUTED_VALUE"""),0.0)</f>
        <v>0</v>
      </c>
      <c r="L243" s="26">
        <f>IFERROR(__xludf.DUMMYFUNCTION("""COMPUTED_VALUE"""),0.0)</f>
        <v>0</v>
      </c>
      <c r="M243" s="26"/>
      <c r="N243" s="26"/>
      <c r="O243" s="26"/>
      <c r="P243" s="26"/>
      <c r="Q243" s="26"/>
      <c r="R243" s="26">
        <f>IFERROR(__xludf.DUMMYFUNCTION("""COMPUTED_VALUE"""),0.0)</f>
        <v>0</v>
      </c>
      <c r="S243" s="26">
        <f>IFERROR(__xludf.DUMMYFUNCTION("""COMPUTED_VALUE"""),0.0)</f>
        <v>0</v>
      </c>
      <c r="T243" s="26">
        <f>IFERROR(__xludf.DUMMYFUNCTION("""COMPUTED_VALUE"""),0.0)</f>
        <v>0</v>
      </c>
      <c r="U243" s="26">
        <f>IFERROR(__xludf.DUMMYFUNCTION("""COMPUTED_VALUE"""),0.0)</f>
        <v>0</v>
      </c>
      <c r="V243" s="26">
        <f>IFERROR(__xludf.DUMMYFUNCTION("""COMPUTED_VALUE"""),0.0)</f>
        <v>0</v>
      </c>
      <c r="W243" s="26">
        <f>IFERROR(__xludf.DUMMYFUNCTION("""COMPUTED_VALUE"""),0.0)</f>
        <v>0</v>
      </c>
      <c r="X243" s="26">
        <f>IFERROR(__xludf.DUMMYFUNCTION("""COMPUTED_VALUE"""),0.0)</f>
        <v>0</v>
      </c>
      <c r="Y243" s="26">
        <f>IFERROR(__xludf.DUMMYFUNCTION("""COMPUTED_VALUE"""),0.0)</f>
        <v>0</v>
      </c>
      <c r="Z243" s="26">
        <f>IFERROR(__xludf.DUMMYFUNCTION("""COMPUTED_VALUE"""),0.0)</f>
        <v>0</v>
      </c>
      <c r="AA243" s="26">
        <f>IFERROR(__xludf.DUMMYFUNCTION("""COMPUTED_VALUE"""),0.0)</f>
        <v>0</v>
      </c>
      <c r="AB243" s="26">
        <f>IFERROR(__xludf.DUMMYFUNCTION("""COMPUTED_VALUE"""),0.0)</f>
        <v>0</v>
      </c>
      <c r="AC243" s="26">
        <f>IFERROR(__xludf.DUMMYFUNCTION("""COMPUTED_VALUE"""),0.0)</f>
        <v>0</v>
      </c>
      <c r="AD243" s="26">
        <f>IFERROR(__xludf.DUMMYFUNCTION("""COMPUTED_VALUE"""),0.0)</f>
        <v>0</v>
      </c>
      <c r="AE243" s="26">
        <f>IFERROR(__xludf.DUMMYFUNCTION("""COMPUTED_VALUE"""),0.0)</f>
        <v>0</v>
      </c>
    </row>
    <row r="244">
      <c r="A244" s="26">
        <f>IFERROR(__xludf.DUMMYFUNCTION("""COMPUTED_VALUE"""),0.0)</f>
        <v>0</v>
      </c>
      <c r="B244" s="26">
        <f>IFERROR(__xludf.DUMMYFUNCTION("""COMPUTED_VALUE"""),0.0)</f>
        <v>0</v>
      </c>
      <c r="C244" s="26">
        <f>IFERROR(__xludf.DUMMYFUNCTION("""COMPUTED_VALUE"""),0.0)</f>
        <v>0</v>
      </c>
      <c r="D244" s="26">
        <f>IFERROR(__xludf.DUMMYFUNCTION("""COMPUTED_VALUE"""),0.0)</f>
        <v>0</v>
      </c>
      <c r="E244" s="26">
        <f>IFERROR(__xludf.DUMMYFUNCTION("""COMPUTED_VALUE"""),0.0)</f>
        <v>0</v>
      </c>
      <c r="F244" s="26">
        <f>IFERROR(__xludf.DUMMYFUNCTION("""COMPUTED_VALUE"""),0.0)</f>
        <v>0</v>
      </c>
      <c r="G244" s="26">
        <f>IFERROR(__xludf.DUMMYFUNCTION("""COMPUTED_VALUE"""),0.0)</f>
        <v>0</v>
      </c>
      <c r="H244" s="26">
        <f>IFERROR(__xludf.DUMMYFUNCTION("""COMPUTED_VALUE"""),0.0)</f>
        <v>0</v>
      </c>
      <c r="I244" s="26">
        <f>IFERROR(__xludf.DUMMYFUNCTION("""COMPUTED_VALUE"""),0.0)</f>
        <v>0</v>
      </c>
      <c r="J244" s="26">
        <f>IFERROR(__xludf.DUMMYFUNCTION("""COMPUTED_VALUE"""),0.0)</f>
        <v>0</v>
      </c>
      <c r="K244" s="26">
        <f>IFERROR(__xludf.DUMMYFUNCTION("""COMPUTED_VALUE"""),0.0)</f>
        <v>0</v>
      </c>
      <c r="L244" s="26">
        <f>IFERROR(__xludf.DUMMYFUNCTION("""COMPUTED_VALUE"""),0.0)</f>
        <v>0</v>
      </c>
      <c r="M244" s="26"/>
      <c r="N244" s="26"/>
      <c r="O244" s="26"/>
      <c r="P244" s="26"/>
      <c r="Q244" s="26"/>
      <c r="R244" s="26">
        <f>IFERROR(__xludf.DUMMYFUNCTION("""COMPUTED_VALUE"""),0.0)</f>
        <v>0</v>
      </c>
      <c r="S244" s="26">
        <f>IFERROR(__xludf.DUMMYFUNCTION("""COMPUTED_VALUE"""),0.0)</f>
        <v>0</v>
      </c>
      <c r="T244" s="26">
        <f>IFERROR(__xludf.DUMMYFUNCTION("""COMPUTED_VALUE"""),0.0)</f>
        <v>0</v>
      </c>
      <c r="U244" s="26">
        <f>IFERROR(__xludf.DUMMYFUNCTION("""COMPUTED_VALUE"""),0.0)</f>
        <v>0</v>
      </c>
      <c r="V244" s="26">
        <f>IFERROR(__xludf.DUMMYFUNCTION("""COMPUTED_VALUE"""),0.0)</f>
        <v>0</v>
      </c>
      <c r="W244" s="26">
        <f>IFERROR(__xludf.DUMMYFUNCTION("""COMPUTED_VALUE"""),0.0)</f>
        <v>0</v>
      </c>
      <c r="X244" s="26">
        <f>IFERROR(__xludf.DUMMYFUNCTION("""COMPUTED_VALUE"""),0.0)</f>
        <v>0</v>
      </c>
      <c r="Y244" s="26">
        <f>IFERROR(__xludf.DUMMYFUNCTION("""COMPUTED_VALUE"""),0.0)</f>
        <v>0</v>
      </c>
      <c r="Z244" s="26">
        <f>IFERROR(__xludf.DUMMYFUNCTION("""COMPUTED_VALUE"""),0.0)</f>
        <v>0</v>
      </c>
      <c r="AA244" s="26">
        <f>IFERROR(__xludf.DUMMYFUNCTION("""COMPUTED_VALUE"""),0.0)</f>
        <v>0</v>
      </c>
      <c r="AB244" s="26">
        <f>IFERROR(__xludf.DUMMYFUNCTION("""COMPUTED_VALUE"""),0.0)</f>
        <v>0</v>
      </c>
      <c r="AC244" s="26">
        <f>IFERROR(__xludf.DUMMYFUNCTION("""COMPUTED_VALUE"""),0.0)</f>
        <v>0</v>
      </c>
      <c r="AD244" s="26">
        <f>IFERROR(__xludf.DUMMYFUNCTION("""COMPUTED_VALUE"""),0.0)</f>
        <v>0</v>
      </c>
      <c r="AE244" s="26">
        <f>IFERROR(__xludf.DUMMYFUNCTION("""COMPUTED_VALUE"""),0.0)</f>
        <v>0</v>
      </c>
    </row>
    <row r="245">
      <c r="A245" s="26">
        <f>IFERROR(__xludf.DUMMYFUNCTION("""COMPUTED_VALUE"""),0.0)</f>
        <v>0</v>
      </c>
      <c r="B245" s="26">
        <f>IFERROR(__xludf.DUMMYFUNCTION("""COMPUTED_VALUE"""),0.0)</f>
        <v>0</v>
      </c>
      <c r="C245" s="26">
        <f>IFERROR(__xludf.DUMMYFUNCTION("""COMPUTED_VALUE"""),0.0)</f>
        <v>0</v>
      </c>
      <c r="D245" s="26">
        <f>IFERROR(__xludf.DUMMYFUNCTION("""COMPUTED_VALUE"""),0.0)</f>
        <v>0</v>
      </c>
      <c r="E245" s="26">
        <f>IFERROR(__xludf.DUMMYFUNCTION("""COMPUTED_VALUE"""),0.0)</f>
        <v>0</v>
      </c>
      <c r="F245" s="26">
        <f>IFERROR(__xludf.DUMMYFUNCTION("""COMPUTED_VALUE"""),0.0)</f>
        <v>0</v>
      </c>
      <c r="G245" s="26">
        <f>IFERROR(__xludf.DUMMYFUNCTION("""COMPUTED_VALUE"""),0.0)</f>
        <v>0</v>
      </c>
      <c r="H245" s="26">
        <f>IFERROR(__xludf.DUMMYFUNCTION("""COMPUTED_VALUE"""),0.0)</f>
        <v>0</v>
      </c>
      <c r="I245" s="26">
        <f>IFERROR(__xludf.DUMMYFUNCTION("""COMPUTED_VALUE"""),0.0)</f>
        <v>0</v>
      </c>
      <c r="J245" s="26">
        <f>IFERROR(__xludf.DUMMYFUNCTION("""COMPUTED_VALUE"""),0.0)</f>
        <v>0</v>
      </c>
      <c r="K245" s="26">
        <f>IFERROR(__xludf.DUMMYFUNCTION("""COMPUTED_VALUE"""),0.0)</f>
        <v>0</v>
      </c>
      <c r="L245" s="26">
        <f>IFERROR(__xludf.DUMMYFUNCTION("""COMPUTED_VALUE"""),0.0)</f>
        <v>0</v>
      </c>
      <c r="M245" s="26"/>
      <c r="N245" s="26"/>
      <c r="O245" s="26"/>
      <c r="P245" s="26"/>
      <c r="Q245" s="26"/>
      <c r="R245" s="26">
        <f>IFERROR(__xludf.DUMMYFUNCTION("""COMPUTED_VALUE"""),0.0)</f>
        <v>0</v>
      </c>
      <c r="S245" s="26">
        <f>IFERROR(__xludf.DUMMYFUNCTION("""COMPUTED_VALUE"""),0.0)</f>
        <v>0</v>
      </c>
      <c r="T245" s="26">
        <f>IFERROR(__xludf.DUMMYFUNCTION("""COMPUTED_VALUE"""),0.0)</f>
        <v>0</v>
      </c>
      <c r="U245" s="26">
        <f>IFERROR(__xludf.DUMMYFUNCTION("""COMPUTED_VALUE"""),0.0)</f>
        <v>0</v>
      </c>
      <c r="V245" s="26">
        <f>IFERROR(__xludf.DUMMYFUNCTION("""COMPUTED_VALUE"""),0.0)</f>
        <v>0</v>
      </c>
      <c r="W245" s="26">
        <f>IFERROR(__xludf.DUMMYFUNCTION("""COMPUTED_VALUE"""),0.0)</f>
        <v>0</v>
      </c>
      <c r="X245" s="26">
        <f>IFERROR(__xludf.DUMMYFUNCTION("""COMPUTED_VALUE"""),0.0)</f>
        <v>0</v>
      </c>
      <c r="Y245" s="26">
        <f>IFERROR(__xludf.DUMMYFUNCTION("""COMPUTED_VALUE"""),0.0)</f>
        <v>0</v>
      </c>
      <c r="Z245" s="26">
        <f>IFERROR(__xludf.DUMMYFUNCTION("""COMPUTED_VALUE"""),0.0)</f>
        <v>0</v>
      </c>
      <c r="AA245" s="26">
        <f>IFERROR(__xludf.DUMMYFUNCTION("""COMPUTED_VALUE"""),0.0)</f>
        <v>0</v>
      </c>
      <c r="AB245" s="26">
        <f>IFERROR(__xludf.DUMMYFUNCTION("""COMPUTED_VALUE"""),0.0)</f>
        <v>0</v>
      </c>
      <c r="AC245" s="26">
        <f>IFERROR(__xludf.DUMMYFUNCTION("""COMPUTED_VALUE"""),0.0)</f>
        <v>0</v>
      </c>
      <c r="AD245" s="26">
        <f>IFERROR(__xludf.DUMMYFUNCTION("""COMPUTED_VALUE"""),0.0)</f>
        <v>0</v>
      </c>
      <c r="AE245" s="26">
        <f>IFERROR(__xludf.DUMMYFUNCTION("""COMPUTED_VALUE"""),0.0)</f>
        <v>0</v>
      </c>
    </row>
    <row r="246">
      <c r="A246" s="26">
        <f>IFERROR(__xludf.DUMMYFUNCTION("""COMPUTED_VALUE"""),0.0)</f>
        <v>0</v>
      </c>
      <c r="B246" s="26">
        <f>IFERROR(__xludf.DUMMYFUNCTION("""COMPUTED_VALUE"""),0.0)</f>
        <v>0</v>
      </c>
      <c r="C246" s="26">
        <f>IFERROR(__xludf.DUMMYFUNCTION("""COMPUTED_VALUE"""),0.0)</f>
        <v>0</v>
      </c>
      <c r="D246" s="26">
        <f>IFERROR(__xludf.DUMMYFUNCTION("""COMPUTED_VALUE"""),0.0)</f>
        <v>0</v>
      </c>
      <c r="E246" s="26">
        <f>IFERROR(__xludf.DUMMYFUNCTION("""COMPUTED_VALUE"""),0.0)</f>
        <v>0</v>
      </c>
      <c r="F246" s="26">
        <f>IFERROR(__xludf.DUMMYFUNCTION("""COMPUTED_VALUE"""),0.0)</f>
        <v>0</v>
      </c>
      <c r="G246" s="26">
        <f>IFERROR(__xludf.DUMMYFUNCTION("""COMPUTED_VALUE"""),0.0)</f>
        <v>0</v>
      </c>
      <c r="H246" s="26">
        <f>IFERROR(__xludf.DUMMYFUNCTION("""COMPUTED_VALUE"""),0.0)</f>
        <v>0</v>
      </c>
      <c r="I246" s="26">
        <f>IFERROR(__xludf.DUMMYFUNCTION("""COMPUTED_VALUE"""),0.0)</f>
        <v>0</v>
      </c>
      <c r="J246" s="26">
        <f>IFERROR(__xludf.DUMMYFUNCTION("""COMPUTED_VALUE"""),0.0)</f>
        <v>0</v>
      </c>
      <c r="K246" s="26">
        <f>IFERROR(__xludf.DUMMYFUNCTION("""COMPUTED_VALUE"""),0.0)</f>
        <v>0</v>
      </c>
      <c r="L246" s="26">
        <f>IFERROR(__xludf.DUMMYFUNCTION("""COMPUTED_VALUE"""),0.0)</f>
        <v>0</v>
      </c>
      <c r="M246" s="26"/>
      <c r="N246" s="26"/>
      <c r="O246" s="26"/>
      <c r="P246" s="26"/>
      <c r="Q246" s="26"/>
      <c r="R246" s="26">
        <f>IFERROR(__xludf.DUMMYFUNCTION("""COMPUTED_VALUE"""),0.0)</f>
        <v>0</v>
      </c>
      <c r="S246" s="26">
        <f>IFERROR(__xludf.DUMMYFUNCTION("""COMPUTED_VALUE"""),0.0)</f>
        <v>0</v>
      </c>
      <c r="T246" s="26">
        <f>IFERROR(__xludf.DUMMYFUNCTION("""COMPUTED_VALUE"""),0.0)</f>
        <v>0</v>
      </c>
      <c r="U246" s="26">
        <f>IFERROR(__xludf.DUMMYFUNCTION("""COMPUTED_VALUE"""),0.0)</f>
        <v>0</v>
      </c>
      <c r="V246" s="26">
        <f>IFERROR(__xludf.DUMMYFUNCTION("""COMPUTED_VALUE"""),0.0)</f>
        <v>0</v>
      </c>
      <c r="W246" s="26">
        <f>IFERROR(__xludf.DUMMYFUNCTION("""COMPUTED_VALUE"""),0.0)</f>
        <v>0</v>
      </c>
      <c r="X246" s="26">
        <f>IFERROR(__xludf.DUMMYFUNCTION("""COMPUTED_VALUE"""),0.0)</f>
        <v>0</v>
      </c>
      <c r="Y246" s="26">
        <f>IFERROR(__xludf.DUMMYFUNCTION("""COMPUTED_VALUE"""),0.0)</f>
        <v>0</v>
      </c>
      <c r="Z246" s="26">
        <f>IFERROR(__xludf.DUMMYFUNCTION("""COMPUTED_VALUE"""),0.0)</f>
        <v>0</v>
      </c>
      <c r="AA246" s="26">
        <f>IFERROR(__xludf.DUMMYFUNCTION("""COMPUTED_VALUE"""),0.0)</f>
        <v>0</v>
      </c>
      <c r="AB246" s="26">
        <f>IFERROR(__xludf.DUMMYFUNCTION("""COMPUTED_VALUE"""),0.0)</f>
        <v>0</v>
      </c>
      <c r="AC246" s="26">
        <f>IFERROR(__xludf.DUMMYFUNCTION("""COMPUTED_VALUE"""),0.0)</f>
        <v>0</v>
      </c>
      <c r="AD246" s="26">
        <f>IFERROR(__xludf.DUMMYFUNCTION("""COMPUTED_VALUE"""),0.0)</f>
        <v>0</v>
      </c>
      <c r="AE246" s="26">
        <f>IFERROR(__xludf.DUMMYFUNCTION("""COMPUTED_VALUE"""),0.0)</f>
        <v>0</v>
      </c>
    </row>
    <row r="247">
      <c r="A247" s="26">
        <f>IFERROR(__xludf.DUMMYFUNCTION("""COMPUTED_VALUE"""),0.0)</f>
        <v>0</v>
      </c>
      <c r="B247" s="26">
        <f>IFERROR(__xludf.DUMMYFUNCTION("""COMPUTED_VALUE"""),0.0)</f>
        <v>0</v>
      </c>
      <c r="C247" s="26">
        <f>IFERROR(__xludf.DUMMYFUNCTION("""COMPUTED_VALUE"""),0.0)</f>
        <v>0</v>
      </c>
      <c r="D247" s="26">
        <f>IFERROR(__xludf.DUMMYFUNCTION("""COMPUTED_VALUE"""),0.0)</f>
        <v>0</v>
      </c>
      <c r="E247" s="26">
        <f>IFERROR(__xludf.DUMMYFUNCTION("""COMPUTED_VALUE"""),0.0)</f>
        <v>0</v>
      </c>
      <c r="F247" s="26">
        <f>IFERROR(__xludf.DUMMYFUNCTION("""COMPUTED_VALUE"""),0.0)</f>
        <v>0</v>
      </c>
      <c r="G247" s="26">
        <f>IFERROR(__xludf.DUMMYFUNCTION("""COMPUTED_VALUE"""),0.0)</f>
        <v>0</v>
      </c>
      <c r="H247" s="26">
        <f>IFERROR(__xludf.DUMMYFUNCTION("""COMPUTED_VALUE"""),0.0)</f>
        <v>0</v>
      </c>
      <c r="I247" s="26">
        <f>IFERROR(__xludf.DUMMYFUNCTION("""COMPUTED_VALUE"""),0.0)</f>
        <v>0</v>
      </c>
      <c r="J247" s="26">
        <f>IFERROR(__xludf.DUMMYFUNCTION("""COMPUTED_VALUE"""),0.0)</f>
        <v>0</v>
      </c>
      <c r="K247" s="26">
        <f>IFERROR(__xludf.DUMMYFUNCTION("""COMPUTED_VALUE"""),0.0)</f>
        <v>0</v>
      </c>
      <c r="L247" s="26">
        <f>IFERROR(__xludf.DUMMYFUNCTION("""COMPUTED_VALUE"""),0.0)</f>
        <v>0</v>
      </c>
      <c r="M247" s="26"/>
      <c r="N247" s="26"/>
      <c r="O247" s="26"/>
      <c r="P247" s="26"/>
      <c r="Q247" s="26"/>
      <c r="R247" s="26">
        <f>IFERROR(__xludf.DUMMYFUNCTION("""COMPUTED_VALUE"""),0.0)</f>
        <v>0</v>
      </c>
      <c r="S247" s="26">
        <f>IFERROR(__xludf.DUMMYFUNCTION("""COMPUTED_VALUE"""),0.0)</f>
        <v>0</v>
      </c>
      <c r="T247" s="26">
        <f>IFERROR(__xludf.DUMMYFUNCTION("""COMPUTED_VALUE"""),0.0)</f>
        <v>0</v>
      </c>
      <c r="U247" s="26">
        <f>IFERROR(__xludf.DUMMYFUNCTION("""COMPUTED_VALUE"""),0.0)</f>
        <v>0</v>
      </c>
      <c r="V247" s="26">
        <f>IFERROR(__xludf.DUMMYFUNCTION("""COMPUTED_VALUE"""),0.0)</f>
        <v>0</v>
      </c>
      <c r="W247" s="26">
        <f>IFERROR(__xludf.DUMMYFUNCTION("""COMPUTED_VALUE"""),0.0)</f>
        <v>0</v>
      </c>
      <c r="X247" s="26">
        <f>IFERROR(__xludf.DUMMYFUNCTION("""COMPUTED_VALUE"""),0.0)</f>
        <v>0</v>
      </c>
      <c r="Y247" s="26">
        <f>IFERROR(__xludf.DUMMYFUNCTION("""COMPUTED_VALUE"""),0.0)</f>
        <v>0</v>
      </c>
      <c r="Z247" s="26">
        <f>IFERROR(__xludf.DUMMYFUNCTION("""COMPUTED_VALUE"""),0.0)</f>
        <v>0</v>
      </c>
      <c r="AA247" s="26">
        <f>IFERROR(__xludf.DUMMYFUNCTION("""COMPUTED_VALUE"""),0.0)</f>
        <v>0</v>
      </c>
      <c r="AB247" s="26">
        <f>IFERROR(__xludf.DUMMYFUNCTION("""COMPUTED_VALUE"""),0.0)</f>
        <v>0</v>
      </c>
      <c r="AC247" s="26">
        <f>IFERROR(__xludf.DUMMYFUNCTION("""COMPUTED_VALUE"""),0.0)</f>
        <v>0</v>
      </c>
      <c r="AD247" s="26">
        <f>IFERROR(__xludf.DUMMYFUNCTION("""COMPUTED_VALUE"""),0.0)</f>
        <v>0</v>
      </c>
      <c r="AE247" s="26">
        <f>IFERROR(__xludf.DUMMYFUNCTION("""COMPUTED_VALUE"""),0.0)</f>
        <v>0</v>
      </c>
    </row>
    <row r="248">
      <c r="A248" s="26">
        <f>IFERROR(__xludf.DUMMYFUNCTION("""COMPUTED_VALUE"""),0.0)</f>
        <v>0</v>
      </c>
      <c r="B248" s="26">
        <f>IFERROR(__xludf.DUMMYFUNCTION("""COMPUTED_VALUE"""),0.0)</f>
        <v>0</v>
      </c>
      <c r="C248" s="26">
        <f>IFERROR(__xludf.DUMMYFUNCTION("""COMPUTED_VALUE"""),0.0)</f>
        <v>0</v>
      </c>
      <c r="D248" s="26">
        <f>IFERROR(__xludf.DUMMYFUNCTION("""COMPUTED_VALUE"""),0.0)</f>
        <v>0</v>
      </c>
      <c r="E248" s="26">
        <f>IFERROR(__xludf.DUMMYFUNCTION("""COMPUTED_VALUE"""),0.0)</f>
        <v>0</v>
      </c>
      <c r="F248" s="26">
        <f>IFERROR(__xludf.DUMMYFUNCTION("""COMPUTED_VALUE"""),0.0)</f>
        <v>0</v>
      </c>
      <c r="G248" s="26">
        <f>IFERROR(__xludf.DUMMYFUNCTION("""COMPUTED_VALUE"""),0.0)</f>
        <v>0</v>
      </c>
      <c r="H248" s="26">
        <f>IFERROR(__xludf.DUMMYFUNCTION("""COMPUTED_VALUE"""),0.0)</f>
        <v>0</v>
      </c>
      <c r="I248" s="26">
        <f>IFERROR(__xludf.DUMMYFUNCTION("""COMPUTED_VALUE"""),0.0)</f>
        <v>0</v>
      </c>
      <c r="J248" s="26">
        <f>IFERROR(__xludf.DUMMYFUNCTION("""COMPUTED_VALUE"""),0.0)</f>
        <v>0</v>
      </c>
      <c r="K248" s="26">
        <f>IFERROR(__xludf.DUMMYFUNCTION("""COMPUTED_VALUE"""),0.0)</f>
        <v>0</v>
      </c>
      <c r="L248" s="26">
        <f>IFERROR(__xludf.DUMMYFUNCTION("""COMPUTED_VALUE"""),0.0)</f>
        <v>0</v>
      </c>
      <c r="M248" s="26"/>
      <c r="N248" s="26"/>
      <c r="O248" s="26"/>
      <c r="P248" s="26"/>
      <c r="Q248" s="26"/>
      <c r="R248" s="26">
        <f>IFERROR(__xludf.DUMMYFUNCTION("""COMPUTED_VALUE"""),0.0)</f>
        <v>0</v>
      </c>
      <c r="S248" s="26">
        <f>IFERROR(__xludf.DUMMYFUNCTION("""COMPUTED_VALUE"""),0.0)</f>
        <v>0</v>
      </c>
      <c r="T248" s="26">
        <f>IFERROR(__xludf.DUMMYFUNCTION("""COMPUTED_VALUE"""),0.0)</f>
        <v>0</v>
      </c>
      <c r="U248" s="26">
        <f>IFERROR(__xludf.DUMMYFUNCTION("""COMPUTED_VALUE"""),0.0)</f>
        <v>0</v>
      </c>
      <c r="V248" s="26">
        <f>IFERROR(__xludf.DUMMYFUNCTION("""COMPUTED_VALUE"""),0.0)</f>
        <v>0</v>
      </c>
      <c r="W248" s="26">
        <f>IFERROR(__xludf.DUMMYFUNCTION("""COMPUTED_VALUE"""),0.0)</f>
        <v>0</v>
      </c>
      <c r="X248" s="26">
        <f>IFERROR(__xludf.DUMMYFUNCTION("""COMPUTED_VALUE"""),0.0)</f>
        <v>0</v>
      </c>
      <c r="Y248" s="26">
        <f>IFERROR(__xludf.DUMMYFUNCTION("""COMPUTED_VALUE"""),0.0)</f>
        <v>0</v>
      </c>
      <c r="Z248" s="26">
        <f>IFERROR(__xludf.DUMMYFUNCTION("""COMPUTED_VALUE"""),0.0)</f>
        <v>0</v>
      </c>
      <c r="AA248" s="26">
        <f>IFERROR(__xludf.DUMMYFUNCTION("""COMPUTED_VALUE"""),0.0)</f>
        <v>0</v>
      </c>
      <c r="AB248" s="26">
        <f>IFERROR(__xludf.DUMMYFUNCTION("""COMPUTED_VALUE"""),0.0)</f>
        <v>0</v>
      </c>
      <c r="AC248" s="26">
        <f>IFERROR(__xludf.DUMMYFUNCTION("""COMPUTED_VALUE"""),0.0)</f>
        <v>0</v>
      </c>
      <c r="AD248" s="26">
        <f>IFERROR(__xludf.DUMMYFUNCTION("""COMPUTED_VALUE"""),0.0)</f>
        <v>0</v>
      </c>
      <c r="AE248" s="26">
        <f>IFERROR(__xludf.DUMMYFUNCTION("""COMPUTED_VALUE"""),0.0)</f>
        <v>0</v>
      </c>
    </row>
    <row r="249">
      <c r="A249" s="26">
        <f>IFERROR(__xludf.DUMMYFUNCTION("""COMPUTED_VALUE"""),0.0)</f>
        <v>0</v>
      </c>
      <c r="B249" s="26">
        <f>IFERROR(__xludf.DUMMYFUNCTION("""COMPUTED_VALUE"""),0.0)</f>
        <v>0</v>
      </c>
      <c r="C249" s="26">
        <f>IFERROR(__xludf.DUMMYFUNCTION("""COMPUTED_VALUE"""),0.0)</f>
        <v>0</v>
      </c>
      <c r="D249" s="26">
        <f>IFERROR(__xludf.DUMMYFUNCTION("""COMPUTED_VALUE"""),0.0)</f>
        <v>0</v>
      </c>
      <c r="E249" s="26">
        <f>IFERROR(__xludf.DUMMYFUNCTION("""COMPUTED_VALUE"""),0.0)</f>
        <v>0</v>
      </c>
      <c r="F249" s="26">
        <f>IFERROR(__xludf.DUMMYFUNCTION("""COMPUTED_VALUE"""),0.0)</f>
        <v>0</v>
      </c>
      <c r="G249" s="26">
        <f>IFERROR(__xludf.DUMMYFUNCTION("""COMPUTED_VALUE"""),0.0)</f>
        <v>0</v>
      </c>
      <c r="H249" s="26">
        <f>IFERROR(__xludf.DUMMYFUNCTION("""COMPUTED_VALUE"""),0.0)</f>
        <v>0</v>
      </c>
      <c r="I249" s="26">
        <f>IFERROR(__xludf.DUMMYFUNCTION("""COMPUTED_VALUE"""),0.0)</f>
        <v>0</v>
      </c>
      <c r="J249" s="26">
        <f>IFERROR(__xludf.DUMMYFUNCTION("""COMPUTED_VALUE"""),0.0)</f>
        <v>0</v>
      </c>
      <c r="K249" s="26">
        <f>IFERROR(__xludf.DUMMYFUNCTION("""COMPUTED_VALUE"""),0.0)</f>
        <v>0</v>
      </c>
      <c r="L249" s="26">
        <f>IFERROR(__xludf.DUMMYFUNCTION("""COMPUTED_VALUE"""),0.0)</f>
        <v>0</v>
      </c>
      <c r="M249" s="26"/>
      <c r="N249" s="26"/>
      <c r="O249" s="26"/>
      <c r="P249" s="26"/>
      <c r="Q249" s="26"/>
      <c r="R249" s="26">
        <f>IFERROR(__xludf.DUMMYFUNCTION("""COMPUTED_VALUE"""),0.0)</f>
        <v>0</v>
      </c>
      <c r="S249" s="26">
        <f>IFERROR(__xludf.DUMMYFUNCTION("""COMPUTED_VALUE"""),0.0)</f>
        <v>0</v>
      </c>
      <c r="T249" s="26">
        <f>IFERROR(__xludf.DUMMYFUNCTION("""COMPUTED_VALUE"""),0.0)</f>
        <v>0</v>
      </c>
      <c r="U249" s="26">
        <f>IFERROR(__xludf.DUMMYFUNCTION("""COMPUTED_VALUE"""),0.0)</f>
        <v>0</v>
      </c>
      <c r="V249" s="26">
        <f>IFERROR(__xludf.DUMMYFUNCTION("""COMPUTED_VALUE"""),0.0)</f>
        <v>0</v>
      </c>
      <c r="W249" s="26">
        <f>IFERROR(__xludf.DUMMYFUNCTION("""COMPUTED_VALUE"""),0.0)</f>
        <v>0</v>
      </c>
      <c r="X249" s="26">
        <f>IFERROR(__xludf.DUMMYFUNCTION("""COMPUTED_VALUE"""),0.0)</f>
        <v>0</v>
      </c>
      <c r="Y249" s="26">
        <f>IFERROR(__xludf.DUMMYFUNCTION("""COMPUTED_VALUE"""),0.0)</f>
        <v>0</v>
      </c>
      <c r="Z249" s="26">
        <f>IFERROR(__xludf.DUMMYFUNCTION("""COMPUTED_VALUE"""),0.0)</f>
        <v>0</v>
      </c>
      <c r="AA249" s="26">
        <f>IFERROR(__xludf.DUMMYFUNCTION("""COMPUTED_VALUE"""),0.0)</f>
        <v>0</v>
      </c>
      <c r="AB249" s="26">
        <f>IFERROR(__xludf.DUMMYFUNCTION("""COMPUTED_VALUE"""),0.0)</f>
        <v>0</v>
      </c>
      <c r="AC249" s="26">
        <f>IFERROR(__xludf.DUMMYFUNCTION("""COMPUTED_VALUE"""),0.0)</f>
        <v>0</v>
      </c>
      <c r="AD249" s="26">
        <f>IFERROR(__xludf.DUMMYFUNCTION("""COMPUTED_VALUE"""),0.0)</f>
        <v>0</v>
      </c>
      <c r="AE249" s="26">
        <f>IFERROR(__xludf.DUMMYFUNCTION("""COMPUTED_VALUE"""),0.0)</f>
        <v>0</v>
      </c>
    </row>
    <row r="250">
      <c r="A250" s="26">
        <f>IFERROR(__xludf.DUMMYFUNCTION("""COMPUTED_VALUE"""),0.0)</f>
        <v>0</v>
      </c>
      <c r="B250" s="26">
        <f>IFERROR(__xludf.DUMMYFUNCTION("""COMPUTED_VALUE"""),0.0)</f>
        <v>0</v>
      </c>
      <c r="C250" s="26">
        <f>IFERROR(__xludf.DUMMYFUNCTION("""COMPUTED_VALUE"""),0.0)</f>
        <v>0</v>
      </c>
      <c r="D250" s="26">
        <f>IFERROR(__xludf.DUMMYFUNCTION("""COMPUTED_VALUE"""),0.0)</f>
        <v>0</v>
      </c>
      <c r="E250" s="26">
        <f>IFERROR(__xludf.DUMMYFUNCTION("""COMPUTED_VALUE"""),0.0)</f>
        <v>0</v>
      </c>
      <c r="F250" s="26">
        <f>IFERROR(__xludf.DUMMYFUNCTION("""COMPUTED_VALUE"""),0.0)</f>
        <v>0</v>
      </c>
      <c r="G250" s="26">
        <f>IFERROR(__xludf.DUMMYFUNCTION("""COMPUTED_VALUE"""),0.0)</f>
        <v>0</v>
      </c>
      <c r="H250" s="26">
        <f>IFERROR(__xludf.DUMMYFUNCTION("""COMPUTED_VALUE"""),0.0)</f>
        <v>0</v>
      </c>
      <c r="I250" s="26">
        <f>IFERROR(__xludf.DUMMYFUNCTION("""COMPUTED_VALUE"""),0.0)</f>
        <v>0</v>
      </c>
      <c r="J250" s="26">
        <f>IFERROR(__xludf.DUMMYFUNCTION("""COMPUTED_VALUE"""),0.0)</f>
        <v>0</v>
      </c>
      <c r="K250" s="26">
        <f>IFERROR(__xludf.DUMMYFUNCTION("""COMPUTED_VALUE"""),0.0)</f>
        <v>0</v>
      </c>
      <c r="L250" s="26">
        <f>IFERROR(__xludf.DUMMYFUNCTION("""COMPUTED_VALUE"""),0.0)</f>
        <v>0</v>
      </c>
      <c r="M250" s="26"/>
      <c r="N250" s="26"/>
      <c r="O250" s="26"/>
      <c r="P250" s="26"/>
      <c r="Q250" s="26"/>
      <c r="R250" s="26">
        <f>IFERROR(__xludf.DUMMYFUNCTION("""COMPUTED_VALUE"""),0.0)</f>
        <v>0</v>
      </c>
      <c r="S250" s="26">
        <f>IFERROR(__xludf.DUMMYFUNCTION("""COMPUTED_VALUE"""),0.0)</f>
        <v>0</v>
      </c>
      <c r="T250" s="26">
        <f>IFERROR(__xludf.DUMMYFUNCTION("""COMPUTED_VALUE"""),0.0)</f>
        <v>0</v>
      </c>
      <c r="U250" s="26">
        <f>IFERROR(__xludf.DUMMYFUNCTION("""COMPUTED_VALUE"""),0.0)</f>
        <v>0</v>
      </c>
      <c r="V250" s="26">
        <f>IFERROR(__xludf.DUMMYFUNCTION("""COMPUTED_VALUE"""),0.0)</f>
        <v>0</v>
      </c>
      <c r="W250" s="26">
        <f>IFERROR(__xludf.DUMMYFUNCTION("""COMPUTED_VALUE"""),0.0)</f>
        <v>0</v>
      </c>
      <c r="X250" s="26">
        <f>IFERROR(__xludf.DUMMYFUNCTION("""COMPUTED_VALUE"""),0.0)</f>
        <v>0</v>
      </c>
      <c r="Y250" s="26">
        <f>IFERROR(__xludf.DUMMYFUNCTION("""COMPUTED_VALUE"""),0.0)</f>
        <v>0</v>
      </c>
      <c r="Z250" s="26">
        <f>IFERROR(__xludf.DUMMYFUNCTION("""COMPUTED_VALUE"""),0.0)</f>
        <v>0</v>
      </c>
      <c r="AA250" s="26">
        <f>IFERROR(__xludf.DUMMYFUNCTION("""COMPUTED_VALUE"""),0.0)</f>
        <v>0</v>
      </c>
      <c r="AB250" s="26">
        <f>IFERROR(__xludf.DUMMYFUNCTION("""COMPUTED_VALUE"""),0.0)</f>
        <v>0</v>
      </c>
      <c r="AC250" s="26">
        <f>IFERROR(__xludf.DUMMYFUNCTION("""COMPUTED_VALUE"""),0.0)</f>
        <v>0</v>
      </c>
      <c r="AD250" s="26">
        <f>IFERROR(__xludf.DUMMYFUNCTION("""COMPUTED_VALUE"""),0.0)</f>
        <v>0</v>
      </c>
      <c r="AE250" s="26">
        <f>IFERROR(__xludf.DUMMYFUNCTION("""COMPUTED_VALUE"""),0.0)</f>
        <v>0</v>
      </c>
    </row>
    <row r="251">
      <c r="A251" s="26">
        <f>IFERROR(__xludf.DUMMYFUNCTION("""COMPUTED_VALUE"""),0.0)</f>
        <v>0</v>
      </c>
      <c r="B251" s="26">
        <f>IFERROR(__xludf.DUMMYFUNCTION("""COMPUTED_VALUE"""),0.0)</f>
        <v>0</v>
      </c>
      <c r="C251" s="26">
        <f>IFERROR(__xludf.DUMMYFUNCTION("""COMPUTED_VALUE"""),0.0)</f>
        <v>0</v>
      </c>
      <c r="D251" s="26">
        <f>IFERROR(__xludf.DUMMYFUNCTION("""COMPUTED_VALUE"""),0.0)</f>
        <v>0</v>
      </c>
      <c r="E251" s="26">
        <f>IFERROR(__xludf.DUMMYFUNCTION("""COMPUTED_VALUE"""),0.0)</f>
        <v>0</v>
      </c>
      <c r="F251" s="26">
        <f>IFERROR(__xludf.DUMMYFUNCTION("""COMPUTED_VALUE"""),0.0)</f>
        <v>0</v>
      </c>
      <c r="G251" s="26">
        <f>IFERROR(__xludf.DUMMYFUNCTION("""COMPUTED_VALUE"""),0.0)</f>
        <v>0</v>
      </c>
      <c r="H251" s="26">
        <f>IFERROR(__xludf.DUMMYFUNCTION("""COMPUTED_VALUE"""),0.0)</f>
        <v>0</v>
      </c>
      <c r="I251" s="26">
        <f>IFERROR(__xludf.DUMMYFUNCTION("""COMPUTED_VALUE"""),0.0)</f>
        <v>0</v>
      </c>
      <c r="J251" s="26">
        <f>IFERROR(__xludf.DUMMYFUNCTION("""COMPUTED_VALUE"""),0.0)</f>
        <v>0</v>
      </c>
      <c r="K251" s="26">
        <f>IFERROR(__xludf.DUMMYFUNCTION("""COMPUTED_VALUE"""),0.0)</f>
        <v>0</v>
      </c>
      <c r="L251" s="26">
        <f>IFERROR(__xludf.DUMMYFUNCTION("""COMPUTED_VALUE"""),0.0)</f>
        <v>0</v>
      </c>
      <c r="M251" s="26"/>
      <c r="N251" s="26"/>
      <c r="O251" s="26"/>
      <c r="P251" s="26"/>
      <c r="Q251" s="26"/>
      <c r="R251" s="26">
        <f>IFERROR(__xludf.DUMMYFUNCTION("""COMPUTED_VALUE"""),0.0)</f>
        <v>0</v>
      </c>
      <c r="S251" s="26">
        <f>IFERROR(__xludf.DUMMYFUNCTION("""COMPUTED_VALUE"""),0.0)</f>
        <v>0</v>
      </c>
      <c r="T251" s="26">
        <f>IFERROR(__xludf.DUMMYFUNCTION("""COMPUTED_VALUE"""),0.0)</f>
        <v>0</v>
      </c>
      <c r="U251" s="26">
        <f>IFERROR(__xludf.DUMMYFUNCTION("""COMPUTED_VALUE"""),0.0)</f>
        <v>0</v>
      </c>
      <c r="V251" s="26">
        <f>IFERROR(__xludf.DUMMYFUNCTION("""COMPUTED_VALUE"""),0.0)</f>
        <v>0</v>
      </c>
      <c r="W251" s="26">
        <f>IFERROR(__xludf.DUMMYFUNCTION("""COMPUTED_VALUE"""),0.0)</f>
        <v>0</v>
      </c>
      <c r="X251" s="26">
        <f>IFERROR(__xludf.DUMMYFUNCTION("""COMPUTED_VALUE"""),0.0)</f>
        <v>0</v>
      </c>
      <c r="Y251" s="26">
        <f>IFERROR(__xludf.DUMMYFUNCTION("""COMPUTED_VALUE"""),0.0)</f>
        <v>0</v>
      </c>
      <c r="Z251" s="26">
        <f>IFERROR(__xludf.DUMMYFUNCTION("""COMPUTED_VALUE"""),0.0)</f>
        <v>0</v>
      </c>
      <c r="AA251" s="26">
        <f>IFERROR(__xludf.DUMMYFUNCTION("""COMPUTED_VALUE"""),0.0)</f>
        <v>0</v>
      </c>
      <c r="AB251" s="26">
        <f>IFERROR(__xludf.DUMMYFUNCTION("""COMPUTED_VALUE"""),0.0)</f>
        <v>0</v>
      </c>
      <c r="AC251" s="26">
        <f>IFERROR(__xludf.DUMMYFUNCTION("""COMPUTED_VALUE"""),0.0)</f>
        <v>0</v>
      </c>
      <c r="AD251" s="26">
        <f>IFERROR(__xludf.DUMMYFUNCTION("""COMPUTED_VALUE"""),0.0)</f>
        <v>0</v>
      </c>
      <c r="AE251" s="26">
        <f>IFERROR(__xludf.DUMMYFUNCTION("""COMPUTED_VALUE"""),0.0)</f>
        <v>0</v>
      </c>
    </row>
    <row r="252">
      <c r="A252" s="26">
        <f>IFERROR(__xludf.DUMMYFUNCTION("""COMPUTED_VALUE"""),0.0)</f>
        <v>0</v>
      </c>
      <c r="B252" s="26">
        <f>IFERROR(__xludf.DUMMYFUNCTION("""COMPUTED_VALUE"""),0.0)</f>
        <v>0</v>
      </c>
      <c r="C252" s="26">
        <f>IFERROR(__xludf.DUMMYFUNCTION("""COMPUTED_VALUE"""),0.0)</f>
        <v>0</v>
      </c>
      <c r="D252" s="26">
        <f>IFERROR(__xludf.DUMMYFUNCTION("""COMPUTED_VALUE"""),0.0)</f>
        <v>0</v>
      </c>
      <c r="E252" s="26">
        <f>IFERROR(__xludf.DUMMYFUNCTION("""COMPUTED_VALUE"""),0.0)</f>
        <v>0</v>
      </c>
      <c r="F252" s="26">
        <f>IFERROR(__xludf.DUMMYFUNCTION("""COMPUTED_VALUE"""),0.0)</f>
        <v>0</v>
      </c>
      <c r="G252" s="26">
        <f>IFERROR(__xludf.DUMMYFUNCTION("""COMPUTED_VALUE"""),0.0)</f>
        <v>0</v>
      </c>
      <c r="H252" s="26">
        <f>IFERROR(__xludf.DUMMYFUNCTION("""COMPUTED_VALUE"""),0.0)</f>
        <v>0</v>
      </c>
      <c r="I252" s="26">
        <f>IFERROR(__xludf.DUMMYFUNCTION("""COMPUTED_VALUE"""),0.0)</f>
        <v>0</v>
      </c>
      <c r="J252" s="26">
        <f>IFERROR(__xludf.DUMMYFUNCTION("""COMPUTED_VALUE"""),0.0)</f>
        <v>0</v>
      </c>
      <c r="K252" s="26">
        <f>IFERROR(__xludf.DUMMYFUNCTION("""COMPUTED_VALUE"""),0.0)</f>
        <v>0</v>
      </c>
      <c r="L252" s="26">
        <f>IFERROR(__xludf.DUMMYFUNCTION("""COMPUTED_VALUE"""),0.0)</f>
        <v>0</v>
      </c>
      <c r="M252" s="26"/>
      <c r="N252" s="26"/>
      <c r="O252" s="26"/>
      <c r="P252" s="26"/>
      <c r="Q252" s="26"/>
      <c r="R252" s="26">
        <f>IFERROR(__xludf.DUMMYFUNCTION("""COMPUTED_VALUE"""),0.0)</f>
        <v>0</v>
      </c>
      <c r="S252" s="26">
        <f>IFERROR(__xludf.DUMMYFUNCTION("""COMPUTED_VALUE"""),0.0)</f>
        <v>0</v>
      </c>
      <c r="T252" s="26">
        <f>IFERROR(__xludf.DUMMYFUNCTION("""COMPUTED_VALUE"""),0.0)</f>
        <v>0</v>
      </c>
      <c r="U252" s="26">
        <f>IFERROR(__xludf.DUMMYFUNCTION("""COMPUTED_VALUE"""),0.0)</f>
        <v>0</v>
      </c>
      <c r="V252" s="26">
        <f>IFERROR(__xludf.DUMMYFUNCTION("""COMPUTED_VALUE"""),0.0)</f>
        <v>0</v>
      </c>
      <c r="W252" s="26">
        <f>IFERROR(__xludf.DUMMYFUNCTION("""COMPUTED_VALUE"""),0.0)</f>
        <v>0</v>
      </c>
      <c r="X252" s="26">
        <f>IFERROR(__xludf.DUMMYFUNCTION("""COMPUTED_VALUE"""),0.0)</f>
        <v>0</v>
      </c>
      <c r="Y252" s="26">
        <f>IFERROR(__xludf.DUMMYFUNCTION("""COMPUTED_VALUE"""),0.0)</f>
        <v>0</v>
      </c>
      <c r="Z252" s="26">
        <f>IFERROR(__xludf.DUMMYFUNCTION("""COMPUTED_VALUE"""),0.0)</f>
        <v>0</v>
      </c>
      <c r="AA252" s="26">
        <f>IFERROR(__xludf.DUMMYFUNCTION("""COMPUTED_VALUE"""),0.0)</f>
        <v>0</v>
      </c>
      <c r="AB252" s="26">
        <f>IFERROR(__xludf.DUMMYFUNCTION("""COMPUTED_VALUE"""),0.0)</f>
        <v>0</v>
      </c>
      <c r="AC252" s="26">
        <f>IFERROR(__xludf.DUMMYFUNCTION("""COMPUTED_VALUE"""),0.0)</f>
        <v>0</v>
      </c>
      <c r="AD252" s="26">
        <f>IFERROR(__xludf.DUMMYFUNCTION("""COMPUTED_VALUE"""),0.0)</f>
        <v>0</v>
      </c>
      <c r="AE252" s="26">
        <f>IFERROR(__xludf.DUMMYFUNCTION("""COMPUTED_VALUE"""),0.0)</f>
        <v>0</v>
      </c>
    </row>
    <row r="253">
      <c r="A253" s="26">
        <f>IFERROR(__xludf.DUMMYFUNCTION("""COMPUTED_VALUE"""),0.0)</f>
        <v>0</v>
      </c>
      <c r="B253" s="26">
        <f>IFERROR(__xludf.DUMMYFUNCTION("""COMPUTED_VALUE"""),0.0)</f>
        <v>0</v>
      </c>
      <c r="C253" s="26">
        <f>IFERROR(__xludf.DUMMYFUNCTION("""COMPUTED_VALUE"""),0.0)</f>
        <v>0</v>
      </c>
      <c r="D253" s="26">
        <f>IFERROR(__xludf.DUMMYFUNCTION("""COMPUTED_VALUE"""),0.0)</f>
        <v>0</v>
      </c>
      <c r="E253" s="26">
        <f>IFERROR(__xludf.DUMMYFUNCTION("""COMPUTED_VALUE"""),44.0)</f>
        <v>44</v>
      </c>
      <c r="F253" s="26">
        <f>IFERROR(__xludf.DUMMYFUNCTION("""COMPUTED_VALUE"""),0.0)</f>
        <v>0</v>
      </c>
      <c r="G253" s="26">
        <f>IFERROR(__xludf.DUMMYFUNCTION("""COMPUTED_VALUE"""),0.0)</f>
        <v>0</v>
      </c>
      <c r="H253" s="26">
        <f>IFERROR(__xludf.DUMMYFUNCTION("""COMPUTED_VALUE"""),0.0)</f>
        <v>0</v>
      </c>
      <c r="I253" s="26">
        <f>IFERROR(__xludf.DUMMYFUNCTION("""COMPUTED_VALUE"""),0.0)</f>
        <v>0</v>
      </c>
      <c r="J253" s="26">
        <f>IFERROR(__xludf.DUMMYFUNCTION("""COMPUTED_VALUE"""),0.0)</f>
        <v>0</v>
      </c>
      <c r="K253" s="26">
        <f>IFERROR(__xludf.DUMMYFUNCTION("""COMPUTED_VALUE"""),0.0)</f>
        <v>0</v>
      </c>
      <c r="L253" s="26">
        <f>IFERROR(__xludf.DUMMYFUNCTION("""COMPUTED_VALUE"""),0.0)</f>
        <v>0</v>
      </c>
      <c r="M253" s="26"/>
      <c r="N253" s="26"/>
      <c r="O253" s="26"/>
      <c r="P253" s="26"/>
      <c r="Q253" s="26"/>
      <c r="R253" s="26">
        <f>IFERROR(__xludf.DUMMYFUNCTION("""COMPUTED_VALUE"""),44.0)</f>
        <v>44</v>
      </c>
      <c r="S253" s="26">
        <f>IFERROR(__xludf.DUMMYFUNCTION("""COMPUTED_VALUE"""),77000.0)</f>
        <v>77000</v>
      </c>
      <c r="T253" s="26">
        <f>IFERROR(__xludf.DUMMYFUNCTION("""COMPUTED_VALUE"""),7480.0)</f>
        <v>7480</v>
      </c>
      <c r="U253" s="26">
        <f>IFERROR(__xludf.DUMMYFUNCTION("""COMPUTED_VALUE"""),19225.800000000007)</f>
        <v>19225.8</v>
      </c>
      <c r="V253" s="26">
        <f>IFERROR(__xludf.DUMMYFUNCTION("""COMPUTED_VALUE"""),0.0)</f>
        <v>0</v>
      </c>
      <c r="W253" s="26">
        <f>IFERROR(__xludf.DUMMYFUNCTION("""COMPUTED_VALUE"""),0.0)</f>
        <v>0</v>
      </c>
      <c r="X253" s="26">
        <f>IFERROR(__xludf.DUMMYFUNCTION("""COMPUTED_VALUE"""),11745.800000000007)</f>
        <v>11745.8</v>
      </c>
      <c r="Y253" s="26">
        <f>IFERROR(__xludf.DUMMYFUNCTION("""COMPUTED_VALUE"""),11745.800000000007)</f>
        <v>11745.8</v>
      </c>
      <c r="Z253" s="26">
        <f>IFERROR(__xludf.DUMMYFUNCTION("""COMPUTED_VALUE"""),0.0)</f>
        <v>0</v>
      </c>
      <c r="AA253" s="26">
        <f>IFERROR(__xludf.DUMMYFUNCTION("""COMPUTED_VALUE"""),0.0)</f>
        <v>0</v>
      </c>
      <c r="AB253" s="26">
        <f>IFERROR(__xludf.DUMMYFUNCTION("""COMPUTED_VALUE"""),0.0)</f>
        <v>0</v>
      </c>
      <c r="AC253" s="26">
        <f>IFERROR(__xludf.DUMMYFUNCTION("""COMPUTED_VALUE"""),0.0)</f>
        <v>0</v>
      </c>
      <c r="AD253" s="26">
        <f>IFERROR(__xludf.DUMMYFUNCTION("""COMPUTED_VALUE"""),0.0)</f>
        <v>0</v>
      </c>
      <c r="AE253" s="26">
        <f>IFERROR(__xludf.DUMMYFUNCTION("""COMPUTED_VALUE"""),0.0)</f>
        <v>0</v>
      </c>
    </row>
    <row r="254">
      <c r="A254" s="26">
        <f>IFERROR(__xludf.DUMMYFUNCTION("""COMPUTED_VALUE"""),0.0)</f>
        <v>0</v>
      </c>
      <c r="B254" s="26">
        <f>IFERROR(__xludf.DUMMYFUNCTION("""COMPUTED_VALUE"""),0.0)</f>
        <v>0</v>
      </c>
      <c r="C254" s="26">
        <f>IFERROR(__xludf.DUMMYFUNCTION("""COMPUTED_VALUE"""),0.0)</f>
        <v>0</v>
      </c>
      <c r="D254" s="26">
        <f>IFERROR(__xludf.DUMMYFUNCTION("""COMPUTED_VALUE"""),0.0)</f>
        <v>0</v>
      </c>
      <c r="E254" s="26">
        <f>IFERROR(__xludf.DUMMYFUNCTION("""COMPUTED_VALUE"""),20.0)</f>
        <v>20</v>
      </c>
      <c r="F254" s="26">
        <f>IFERROR(__xludf.DUMMYFUNCTION("""COMPUTED_VALUE"""),0.0)</f>
        <v>0</v>
      </c>
      <c r="G254" s="26">
        <f>IFERROR(__xludf.DUMMYFUNCTION("""COMPUTED_VALUE"""),0.0)</f>
        <v>0</v>
      </c>
      <c r="H254" s="26">
        <f>IFERROR(__xludf.DUMMYFUNCTION("""COMPUTED_VALUE"""),0.0)</f>
        <v>0</v>
      </c>
      <c r="I254" s="26">
        <f>IFERROR(__xludf.DUMMYFUNCTION("""COMPUTED_VALUE"""),0.0)</f>
        <v>0</v>
      </c>
      <c r="J254" s="26">
        <f>IFERROR(__xludf.DUMMYFUNCTION("""COMPUTED_VALUE"""),0.0)</f>
        <v>0</v>
      </c>
      <c r="K254" s="26">
        <f>IFERROR(__xludf.DUMMYFUNCTION("""COMPUTED_VALUE"""),0.0)</f>
        <v>0</v>
      </c>
      <c r="L254" s="26">
        <f>IFERROR(__xludf.DUMMYFUNCTION("""COMPUTED_VALUE"""),0.0)</f>
        <v>0</v>
      </c>
      <c r="M254" s="26"/>
      <c r="N254" s="26"/>
      <c r="O254" s="26"/>
      <c r="P254" s="26"/>
      <c r="Q254" s="26"/>
      <c r="R254" s="26">
        <f>IFERROR(__xludf.DUMMYFUNCTION("""COMPUTED_VALUE"""),20.0)</f>
        <v>20</v>
      </c>
      <c r="S254" s="26">
        <f>IFERROR(__xludf.DUMMYFUNCTION("""COMPUTED_VALUE"""),35000.0)</f>
        <v>35000</v>
      </c>
      <c r="T254" s="26">
        <f>IFERROR(__xludf.DUMMYFUNCTION("""COMPUTED_VALUE"""),3400.0)</f>
        <v>3400</v>
      </c>
      <c r="U254" s="26">
        <f>IFERROR(__xludf.DUMMYFUNCTION("""COMPUTED_VALUE"""),8738.999999999998)</f>
        <v>8739</v>
      </c>
      <c r="V254" s="26">
        <f>IFERROR(__xludf.DUMMYFUNCTION("""COMPUTED_VALUE"""),0.0)</f>
        <v>0</v>
      </c>
      <c r="W254" s="26">
        <f>IFERROR(__xludf.DUMMYFUNCTION("""COMPUTED_VALUE"""),0.0)</f>
        <v>0</v>
      </c>
      <c r="X254" s="26">
        <f>IFERROR(__xludf.DUMMYFUNCTION("""COMPUTED_VALUE"""),5338.999999999998)</f>
        <v>5339</v>
      </c>
      <c r="Y254" s="26">
        <f>IFERROR(__xludf.DUMMYFUNCTION("""COMPUTED_VALUE"""),5338.999999999998)</f>
        <v>5339</v>
      </c>
      <c r="Z254" s="26">
        <f>IFERROR(__xludf.DUMMYFUNCTION("""COMPUTED_VALUE"""),0.0)</f>
        <v>0</v>
      </c>
      <c r="AA254" s="26">
        <f>IFERROR(__xludf.DUMMYFUNCTION("""COMPUTED_VALUE"""),0.0)</f>
        <v>0</v>
      </c>
      <c r="AB254" s="26">
        <f>IFERROR(__xludf.DUMMYFUNCTION("""COMPUTED_VALUE"""),0.0)</f>
        <v>0</v>
      </c>
      <c r="AC254" s="26">
        <f>IFERROR(__xludf.DUMMYFUNCTION("""COMPUTED_VALUE"""),0.0)</f>
        <v>0</v>
      </c>
      <c r="AD254" s="26">
        <f>IFERROR(__xludf.DUMMYFUNCTION("""COMPUTED_VALUE"""),0.0)</f>
        <v>0</v>
      </c>
      <c r="AE254" s="26">
        <f>IFERROR(__xludf.DUMMYFUNCTION("""COMPUTED_VALUE"""),0.0)</f>
        <v>0</v>
      </c>
    </row>
    <row r="255">
      <c r="A255" s="26">
        <f>IFERROR(__xludf.DUMMYFUNCTION("""COMPUTED_VALUE"""),0.0)</f>
        <v>0</v>
      </c>
      <c r="B255" s="26">
        <f>IFERROR(__xludf.DUMMYFUNCTION("""COMPUTED_VALUE"""),0.0)</f>
        <v>0</v>
      </c>
      <c r="C255" s="26">
        <f>IFERROR(__xludf.DUMMYFUNCTION("""COMPUTED_VALUE"""),0.0)</f>
        <v>0</v>
      </c>
      <c r="D255" s="26">
        <f>IFERROR(__xludf.DUMMYFUNCTION("""COMPUTED_VALUE"""),0.0)</f>
        <v>0</v>
      </c>
      <c r="E255" s="26">
        <f>IFERROR(__xludf.DUMMYFUNCTION("""COMPUTED_VALUE"""),0.0)</f>
        <v>0</v>
      </c>
      <c r="F255" s="26">
        <f>IFERROR(__xludf.DUMMYFUNCTION("""COMPUTED_VALUE"""),0.0)</f>
        <v>0</v>
      </c>
      <c r="G255" s="26">
        <f>IFERROR(__xludf.DUMMYFUNCTION("""COMPUTED_VALUE"""),0.0)</f>
        <v>0</v>
      </c>
      <c r="H255" s="26">
        <f>IFERROR(__xludf.DUMMYFUNCTION("""COMPUTED_VALUE"""),0.0)</f>
        <v>0</v>
      </c>
      <c r="I255" s="26">
        <f>IFERROR(__xludf.DUMMYFUNCTION("""COMPUTED_VALUE"""),0.0)</f>
        <v>0</v>
      </c>
      <c r="J255" s="26">
        <f>IFERROR(__xludf.DUMMYFUNCTION("""COMPUTED_VALUE"""),0.0)</f>
        <v>0</v>
      </c>
      <c r="K255" s="26">
        <f>IFERROR(__xludf.DUMMYFUNCTION("""COMPUTED_VALUE"""),0.0)</f>
        <v>0</v>
      </c>
      <c r="L255" s="26">
        <f>IFERROR(__xludf.DUMMYFUNCTION("""COMPUTED_VALUE"""),0.0)</f>
        <v>0</v>
      </c>
      <c r="M255" s="26"/>
      <c r="N255" s="26"/>
      <c r="O255" s="26"/>
      <c r="P255" s="26"/>
      <c r="Q255" s="26"/>
      <c r="R255" s="26">
        <f>IFERROR(__xludf.DUMMYFUNCTION("""COMPUTED_VALUE"""),0.0)</f>
        <v>0</v>
      </c>
      <c r="S255" s="26">
        <f>IFERROR(__xludf.DUMMYFUNCTION("""COMPUTED_VALUE"""),0.0)</f>
        <v>0</v>
      </c>
      <c r="T255" s="26">
        <f>IFERROR(__xludf.DUMMYFUNCTION("""COMPUTED_VALUE"""),0.0)</f>
        <v>0</v>
      </c>
      <c r="U255" s="26">
        <f>IFERROR(__xludf.DUMMYFUNCTION("""COMPUTED_VALUE"""),0.0)</f>
        <v>0</v>
      </c>
      <c r="V255" s="26">
        <f>IFERROR(__xludf.DUMMYFUNCTION("""COMPUTED_VALUE"""),0.0)</f>
        <v>0</v>
      </c>
      <c r="W255" s="26">
        <f>IFERROR(__xludf.DUMMYFUNCTION("""COMPUTED_VALUE"""),0.0)</f>
        <v>0</v>
      </c>
      <c r="X255" s="26">
        <f>IFERROR(__xludf.DUMMYFUNCTION("""COMPUTED_VALUE"""),0.0)</f>
        <v>0</v>
      </c>
      <c r="Y255" s="26">
        <f>IFERROR(__xludf.DUMMYFUNCTION("""COMPUTED_VALUE"""),0.0)</f>
        <v>0</v>
      </c>
      <c r="Z255" s="26">
        <f>IFERROR(__xludf.DUMMYFUNCTION("""COMPUTED_VALUE"""),0.0)</f>
        <v>0</v>
      </c>
      <c r="AA255" s="26">
        <f>IFERROR(__xludf.DUMMYFUNCTION("""COMPUTED_VALUE"""),0.0)</f>
        <v>0</v>
      </c>
      <c r="AB255" s="26">
        <f>IFERROR(__xludf.DUMMYFUNCTION("""COMPUTED_VALUE"""),0.0)</f>
        <v>0</v>
      </c>
      <c r="AC255" s="26">
        <f>IFERROR(__xludf.DUMMYFUNCTION("""COMPUTED_VALUE"""),0.0)</f>
        <v>0</v>
      </c>
      <c r="AD255" s="26">
        <f>IFERROR(__xludf.DUMMYFUNCTION("""COMPUTED_VALUE"""),0.0)</f>
        <v>0</v>
      </c>
      <c r="AE255" s="26">
        <f>IFERROR(__xludf.DUMMYFUNCTION("""COMPUTED_VALUE"""),0.0)</f>
        <v>0</v>
      </c>
    </row>
    <row r="256">
      <c r="A256" s="26">
        <f>IFERROR(__xludf.DUMMYFUNCTION("""COMPUTED_VALUE"""),0.0)</f>
        <v>0</v>
      </c>
      <c r="B256" s="26">
        <f>IFERROR(__xludf.DUMMYFUNCTION("""COMPUTED_VALUE"""),0.0)</f>
        <v>0</v>
      </c>
      <c r="C256" s="26">
        <f>IFERROR(__xludf.DUMMYFUNCTION("""COMPUTED_VALUE"""),0.0)</f>
        <v>0</v>
      </c>
      <c r="D256" s="26">
        <f>IFERROR(__xludf.DUMMYFUNCTION("""COMPUTED_VALUE"""),0.0)</f>
        <v>0</v>
      </c>
      <c r="E256" s="26">
        <f>IFERROR(__xludf.DUMMYFUNCTION("""COMPUTED_VALUE"""),0.0)</f>
        <v>0</v>
      </c>
      <c r="F256" s="26">
        <f>IFERROR(__xludf.DUMMYFUNCTION("""COMPUTED_VALUE"""),0.0)</f>
        <v>0</v>
      </c>
      <c r="G256" s="26">
        <f>IFERROR(__xludf.DUMMYFUNCTION("""COMPUTED_VALUE"""),0.0)</f>
        <v>0</v>
      </c>
      <c r="H256" s="26">
        <f>IFERROR(__xludf.DUMMYFUNCTION("""COMPUTED_VALUE"""),0.0)</f>
        <v>0</v>
      </c>
      <c r="I256" s="26">
        <f>IFERROR(__xludf.DUMMYFUNCTION("""COMPUTED_VALUE"""),0.0)</f>
        <v>0</v>
      </c>
      <c r="J256" s="26">
        <f>IFERROR(__xludf.DUMMYFUNCTION("""COMPUTED_VALUE"""),0.0)</f>
        <v>0</v>
      </c>
      <c r="K256" s="26">
        <f>IFERROR(__xludf.DUMMYFUNCTION("""COMPUTED_VALUE"""),0.0)</f>
        <v>0</v>
      </c>
      <c r="L256" s="26">
        <f>IFERROR(__xludf.DUMMYFUNCTION("""COMPUTED_VALUE"""),0.0)</f>
        <v>0</v>
      </c>
      <c r="M256" s="26"/>
      <c r="N256" s="26"/>
      <c r="O256" s="26"/>
      <c r="P256" s="26"/>
      <c r="Q256" s="26"/>
      <c r="R256" s="26">
        <f>IFERROR(__xludf.DUMMYFUNCTION("""COMPUTED_VALUE"""),0.0)</f>
        <v>0</v>
      </c>
      <c r="S256" s="26">
        <f>IFERROR(__xludf.DUMMYFUNCTION("""COMPUTED_VALUE"""),0.0)</f>
        <v>0</v>
      </c>
      <c r="T256" s="26">
        <f>IFERROR(__xludf.DUMMYFUNCTION("""COMPUTED_VALUE"""),0.0)</f>
        <v>0</v>
      </c>
      <c r="U256" s="26">
        <f>IFERROR(__xludf.DUMMYFUNCTION("""COMPUTED_VALUE"""),0.0)</f>
        <v>0</v>
      </c>
      <c r="V256" s="26">
        <f>IFERROR(__xludf.DUMMYFUNCTION("""COMPUTED_VALUE"""),0.0)</f>
        <v>0</v>
      </c>
      <c r="W256" s="26">
        <f>IFERROR(__xludf.DUMMYFUNCTION("""COMPUTED_VALUE"""),0.0)</f>
        <v>0</v>
      </c>
      <c r="X256" s="26">
        <f>IFERROR(__xludf.DUMMYFUNCTION("""COMPUTED_VALUE"""),0.0)</f>
        <v>0</v>
      </c>
      <c r="Y256" s="26">
        <f>IFERROR(__xludf.DUMMYFUNCTION("""COMPUTED_VALUE"""),0.0)</f>
        <v>0</v>
      </c>
      <c r="Z256" s="26">
        <f>IFERROR(__xludf.DUMMYFUNCTION("""COMPUTED_VALUE"""),0.0)</f>
        <v>0</v>
      </c>
      <c r="AA256" s="26">
        <f>IFERROR(__xludf.DUMMYFUNCTION("""COMPUTED_VALUE"""),0.0)</f>
        <v>0</v>
      </c>
      <c r="AB256" s="26">
        <f>IFERROR(__xludf.DUMMYFUNCTION("""COMPUTED_VALUE"""),0.0)</f>
        <v>0</v>
      </c>
      <c r="AC256" s="26">
        <f>IFERROR(__xludf.DUMMYFUNCTION("""COMPUTED_VALUE"""),0.0)</f>
        <v>0</v>
      </c>
      <c r="AD256" s="26">
        <f>IFERROR(__xludf.DUMMYFUNCTION("""COMPUTED_VALUE"""),0.0)</f>
        <v>0</v>
      </c>
      <c r="AE256" s="26">
        <f>IFERROR(__xludf.DUMMYFUNCTION("""COMPUTED_VALUE"""),0.0)</f>
        <v>0</v>
      </c>
    </row>
    <row r="257">
      <c r="A257" s="26">
        <f>IFERROR(__xludf.DUMMYFUNCTION("""COMPUTED_VALUE"""),0.0)</f>
        <v>0</v>
      </c>
      <c r="B257" s="26">
        <f>IFERROR(__xludf.DUMMYFUNCTION("""COMPUTED_VALUE"""),0.0)</f>
        <v>0</v>
      </c>
      <c r="C257" s="26">
        <f>IFERROR(__xludf.DUMMYFUNCTION("""COMPUTED_VALUE"""),0.0)</f>
        <v>0</v>
      </c>
      <c r="D257" s="26">
        <f>IFERROR(__xludf.DUMMYFUNCTION("""COMPUTED_VALUE"""),0.0)</f>
        <v>0</v>
      </c>
      <c r="E257" s="26">
        <f>IFERROR(__xludf.DUMMYFUNCTION("""COMPUTED_VALUE"""),0.0)</f>
        <v>0</v>
      </c>
      <c r="F257" s="26">
        <f>IFERROR(__xludf.DUMMYFUNCTION("""COMPUTED_VALUE"""),0.0)</f>
        <v>0</v>
      </c>
      <c r="G257" s="26">
        <f>IFERROR(__xludf.DUMMYFUNCTION("""COMPUTED_VALUE"""),0.0)</f>
        <v>0</v>
      </c>
      <c r="H257" s="26">
        <f>IFERROR(__xludf.DUMMYFUNCTION("""COMPUTED_VALUE"""),0.0)</f>
        <v>0</v>
      </c>
      <c r="I257" s="26">
        <f>IFERROR(__xludf.DUMMYFUNCTION("""COMPUTED_VALUE"""),0.0)</f>
        <v>0</v>
      </c>
      <c r="J257" s="26">
        <f>IFERROR(__xludf.DUMMYFUNCTION("""COMPUTED_VALUE"""),0.0)</f>
        <v>0</v>
      </c>
      <c r="K257" s="26">
        <f>IFERROR(__xludf.DUMMYFUNCTION("""COMPUTED_VALUE"""),0.0)</f>
        <v>0</v>
      </c>
      <c r="L257" s="26">
        <f>IFERROR(__xludf.DUMMYFUNCTION("""COMPUTED_VALUE"""),0.0)</f>
        <v>0</v>
      </c>
      <c r="M257" s="26"/>
      <c r="N257" s="26"/>
      <c r="O257" s="26"/>
      <c r="P257" s="26"/>
      <c r="Q257" s="26"/>
      <c r="R257" s="26">
        <f>IFERROR(__xludf.DUMMYFUNCTION("""COMPUTED_VALUE"""),0.0)</f>
        <v>0</v>
      </c>
      <c r="S257" s="26">
        <f>IFERROR(__xludf.DUMMYFUNCTION("""COMPUTED_VALUE"""),0.0)</f>
        <v>0</v>
      </c>
      <c r="T257" s="26">
        <f>IFERROR(__xludf.DUMMYFUNCTION("""COMPUTED_VALUE"""),0.0)</f>
        <v>0</v>
      </c>
      <c r="U257" s="26">
        <f>IFERROR(__xludf.DUMMYFUNCTION("""COMPUTED_VALUE"""),0.0)</f>
        <v>0</v>
      </c>
      <c r="V257" s="26">
        <f>IFERROR(__xludf.DUMMYFUNCTION("""COMPUTED_VALUE"""),0.0)</f>
        <v>0</v>
      </c>
      <c r="W257" s="26">
        <f>IFERROR(__xludf.DUMMYFUNCTION("""COMPUTED_VALUE"""),0.0)</f>
        <v>0</v>
      </c>
      <c r="X257" s="26">
        <f>IFERROR(__xludf.DUMMYFUNCTION("""COMPUTED_VALUE"""),0.0)</f>
        <v>0</v>
      </c>
      <c r="Y257" s="26">
        <f>IFERROR(__xludf.DUMMYFUNCTION("""COMPUTED_VALUE"""),0.0)</f>
        <v>0</v>
      </c>
      <c r="Z257" s="26">
        <f>IFERROR(__xludf.DUMMYFUNCTION("""COMPUTED_VALUE"""),0.0)</f>
        <v>0</v>
      </c>
      <c r="AA257" s="26">
        <f>IFERROR(__xludf.DUMMYFUNCTION("""COMPUTED_VALUE"""),0.0)</f>
        <v>0</v>
      </c>
      <c r="AB257" s="26">
        <f>IFERROR(__xludf.DUMMYFUNCTION("""COMPUTED_VALUE"""),0.0)</f>
        <v>0</v>
      </c>
      <c r="AC257" s="26">
        <f>IFERROR(__xludf.DUMMYFUNCTION("""COMPUTED_VALUE"""),0.0)</f>
        <v>0</v>
      </c>
      <c r="AD257" s="26">
        <f>IFERROR(__xludf.DUMMYFUNCTION("""COMPUTED_VALUE"""),0.0)</f>
        <v>0</v>
      </c>
      <c r="AE257" s="26">
        <f>IFERROR(__xludf.DUMMYFUNCTION("""COMPUTED_VALUE"""),0.0)</f>
        <v>0</v>
      </c>
    </row>
    <row r="258">
      <c r="A258" s="26">
        <f>IFERROR(__xludf.DUMMYFUNCTION("""COMPUTED_VALUE"""),0.0)</f>
        <v>0</v>
      </c>
      <c r="B258" s="26">
        <f>IFERROR(__xludf.DUMMYFUNCTION("""COMPUTED_VALUE"""),0.0)</f>
        <v>0</v>
      </c>
      <c r="C258" s="26">
        <f>IFERROR(__xludf.DUMMYFUNCTION("""COMPUTED_VALUE"""),0.0)</f>
        <v>0</v>
      </c>
      <c r="D258" s="26">
        <f>IFERROR(__xludf.DUMMYFUNCTION("""COMPUTED_VALUE"""),0.0)</f>
        <v>0</v>
      </c>
      <c r="E258" s="26">
        <f>IFERROR(__xludf.DUMMYFUNCTION("""COMPUTED_VALUE"""),0.0)</f>
        <v>0</v>
      </c>
      <c r="F258" s="26">
        <f>IFERROR(__xludf.DUMMYFUNCTION("""COMPUTED_VALUE"""),0.0)</f>
        <v>0</v>
      </c>
      <c r="G258" s="26">
        <f>IFERROR(__xludf.DUMMYFUNCTION("""COMPUTED_VALUE"""),0.0)</f>
        <v>0</v>
      </c>
      <c r="H258" s="26">
        <f>IFERROR(__xludf.DUMMYFUNCTION("""COMPUTED_VALUE"""),0.0)</f>
        <v>0</v>
      </c>
      <c r="I258" s="26">
        <f>IFERROR(__xludf.DUMMYFUNCTION("""COMPUTED_VALUE"""),0.0)</f>
        <v>0</v>
      </c>
      <c r="J258" s="26">
        <f>IFERROR(__xludf.DUMMYFUNCTION("""COMPUTED_VALUE"""),0.0)</f>
        <v>0</v>
      </c>
      <c r="K258" s="26">
        <f>IFERROR(__xludf.DUMMYFUNCTION("""COMPUTED_VALUE"""),0.0)</f>
        <v>0</v>
      </c>
      <c r="L258" s="26">
        <f>IFERROR(__xludf.DUMMYFUNCTION("""COMPUTED_VALUE"""),0.0)</f>
        <v>0</v>
      </c>
      <c r="M258" s="26"/>
      <c r="N258" s="26"/>
      <c r="O258" s="26"/>
      <c r="P258" s="26"/>
      <c r="Q258" s="26"/>
      <c r="R258" s="26">
        <f>IFERROR(__xludf.DUMMYFUNCTION("""COMPUTED_VALUE"""),0.0)</f>
        <v>0</v>
      </c>
      <c r="S258" s="26">
        <f>IFERROR(__xludf.DUMMYFUNCTION("""COMPUTED_VALUE"""),0.0)</f>
        <v>0</v>
      </c>
      <c r="T258" s="26">
        <f>IFERROR(__xludf.DUMMYFUNCTION("""COMPUTED_VALUE"""),0.0)</f>
        <v>0</v>
      </c>
      <c r="U258" s="26">
        <f>IFERROR(__xludf.DUMMYFUNCTION("""COMPUTED_VALUE"""),0.0)</f>
        <v>0</v>
      </c>
      <c r="V258" s="26">
        <f>IFERROR(__xludf.DUMMYFUNCTION("""COMPUTED_VALUE"""),0.0)</f>
        <v>0</v>
      </c>
      <c r="W258" s="26">
        <f>IFERROR(__xludf.DUMMYFUNCTION("""COMPUTED_VALUE"""),0.0)</f>
        <v>0</v>
      </c>
      <c r="X258" s="26">
        <f>IFERROR(__xludf.DUMMYFUNCTION("""COMPUTED_VALUE"""),0.0)</f>
        <v>0</v>
      </c>
      <c r="Y258" s="26">
        <f>IFERROR(__xludf.DUMMYFUNCTION("""COMPUTED_VALUE"""),0.0)</f>
        <v>0</v>
      </c>
      <c r="Z258" s="26">
        <f>IFERROR(__xludf.DUMMYFUNCTION("""COMPUTED_VALUE"""),0.0)</f>
        <v>0</v>
      </c>
      <c r="AA258" s="26">
        <f>IFERROR(__xludf.DUMMYFUNCTION("""COMPUTED_VALUE"""),0.0)</f>
        <v>0</v>
      </c>
      <c r="AB258" s="26">
        <f>IFERROR(__xludf.DUMMYFUNCTION("""COMPUTED_VALUE"""),0.0)</f>
        <v>0</v>
      </c>
      <c r="AC258" s="26">
        <f>IFERROR(__xludf.DUMMYFUNCTION("""COMPUTED_VALUE"""),0.0)</f>
        <v>0</v>
      </c>
      <c r="AD258" s="26">
        <f>IFERROR(__xludf.DUMMYFUNCTION("""COMPUTED_VALUE"""),0.0)</f>
        <v>0</v>
      </c>
      <c r="AE258" s="26">
        <f>IFERROR(__xludf.DUMMYFUNCTION("""COMPUTED_VALUE"""),0.0)</f>
        <v>0</v>
      </c>
    </row>
    <row r="259">
      <c r="A259" s="26">
        <f>IFERROR(__xludf.DUMMYFUNCTION("""COMPUTED_VALUE"""),4.0)</f>
        <v>4</v>
      </c>
      <c r="B259" s="26">
        <f>IFERROR(__xludf.DUMMYFUNCTION("""COMPUTED_VALUE"""),0.0)</f>
        <v>0</v>
      </c>
      <c r="C259" s="26">
        <f>IFERROR(__xludf.DUMMYFUNCTION("""COMPUTED_VALUE"""),0.0)</f>
        <v>0</v>
      </c>
      <c r="D259" s="26">
        <f>IFERROR(__xludf.DUMMYFUNCTION("""COMPUTED_VALUE"""),0.0)</f>
        <v>0</v>
      </c>
      <c r="E259" s="26">
        <f>IFERROR(__xludf.DUMMYFUNCTION("""COMPUTED_VALUE"""),0.0)</f>
        <v>0</v>
      </c>
      <c r="F259" s="26">
        <f>IFERROR(__xludf.DUMMYFUNCTION("""COMPUTED_VALUE"""),0.0)</f>
        <v>0</v>
      </c>
      <c r="G259" s="26">
        <f>IFERROR(__xludf.DUMMYFUNCTION("""COMPUTED_VALUE"""),0.0)</f>
        <v>0</v>
      </c>
      <c r="H259" s="26">
        <f>IFERROR(__xludf.DUMMYFUNCTION("""COMPUTED_VALUE"""),0.0)</f>
        <v>0</v>
      </c>
      <c r="I259" s="26">
        <f>IFERROR(__xludf.DUMMYFUNCTION("""COMPUTED_VALUE"""),0.0)</f>
        <v>0</v>
      </c>
      <c r="J259" s="26">
        <f>IFERROR(__xludf.DUMMYFUNCTION("""COMPUTED_VALUE"""),0.0)</f>
        <v>0</v>
      </c>
      <c r="K259" s="26">
        <f>IFERROR(__xludf.DUMMYFUNCTION("""COMPUTED_VALUE"""),0.0)</f>
        <v>0</v>
      </c>
      <c r="L259" s="26">
        <f>IFERROR(__xludf.DUMMYFUNCTION("""COMPUTED_VALUE"""),0.0)</f>
        <v>0</v>
      </c>
      <c r="M259" s="26"/>
      <c r="N259" s="26"/>
      <c r="O259" s="26"/>
      <c r="P259" s="26"/>
      <c r="Q259" s="26"/>
      <c r="R259" s="26">
        <f>IFERROR(__xludf.DUMMYFUNCTION("""COMPUTED_VALUE"""),4.0)</f>
        <v>4</v>
      </c>
      <c r="S259" s="26">
        <f>IFERROR(__xludf.DUMMYFUNCTION("""COMPUTED_VALUE"""),1560.0)</f>
        <v>1560</v>
      </c>
      <c r="T259" s="26">
        <f>IFERROR(__xludf.DUMMYFUNCTION("""COMPUTED_VALUE"""),660.0)</f>
        <v>660</v>
      </c>
      <c r="U259" s="26">
        <f>IFERROR(__xludf.DUMMYFUNCTION("""COMPUTED_VALUE"""),897.96)</f>
        <v>897.96</v>
      </c>
      <c r="V259" s="26">
        <f>IFERROR(__xludf.DUMMYFUNCTION("""COMPUTED_VALUE"""),0.0)</f>
        <v>0</v>
      </c>
      <c r="W259" s="26">
        <f>IFERROR(__xludf.DUMMYFUNCTION("""COMPUTED_VALUE"""),0.0)</f>
        <v>0</v>
      </c>
      <c r="X259" s="26">
        <f>IFERROR(__xludf.DUMMYFUNCTION("""COMPUTED_VALUE"""),237.96)</f>
        <v>237.96</v>
      </c>
      <c r="Y259" s="26">
        <f>IFERROR(__xludf.DUMMYFUNCTION("""COMPUTED_VALUE"""),237.96)</f>
        <v>237.96</v>
      </c>
      <c r="Z259" s="26">
        <f>IFERROR(__xludf.DUMMYFUNCTION("""COMPUTED_VALUE"""),931.08)</f>
        <v>931.08</v>
      </c>
      <c r="AA259" s="26">
        <f>IFERROR(__xludf.DUMMYFUNCTION("""COMPUTED_VALUE"""),931.08)</f>
        <v>931.08</v>
      </c>
      <c r="AB259" s="26">
        <f>IFERROR(__xludf.DUMMYFUNCTION("""COMPUTED_VALUE"""),662.04)</f>
        <v>662.04</v>
      </c>
      <c r="AC259" s="26">
        <f>IFERROR(__xludf.DUMMYFUNCTION("""COMPUTED_VALUE"""),628.92)</f>
        <v>628.92</v>
      </c>
      <c r="AD259" s="26">
        <f>IFERROR(__xludf.DUMMYFUNCTION("""COMPUTED_VALUE"""),33.12)</f>
        <v>33.12</v>
      </c>
      <c r="AE259" s="26">
        <f>IFERROR(__xludf.DUMMYFUNCTION("""COMPUTED_VALUE"""),0.0)</f>
        <v>0</v>
      </c>
    </row>
    <row r="260">
      <c r="A260" s="26">
        <f>IFERROR(__xludf.DUMMYFUNCTION("""COMPUTED_VALUE"""),0.0)</f>
        <v>0</v>
      </c>
      <c r="B260" s="26">
        <f>IFERROR(__xludf.DUMMYFUNCTION("""COMPUTED_VALUE"""),0.0)</f>
        <v>0</v>
      </c>
      <c r="C260" s="26">
        <f>IFERROR(__xludf.DUMMYFUNCTION("""COMPUTED_VALUE"""),0.0)</f>
        <v>0</v>
      </c>
      <c r="D260" s="26">
        <f>IFERROR(__xludf.DUMMYFUNCTION("""COMPUTED_VALUE"""),0.0)</f>
        <v>0</v>
      </c>
      <c r="E260" s="26">
        <f>IFERROR(__xludf.DUMMYFUNCTION("""COMPUTED_VALUE"""),0.0)</f>
        <v>0</v>
      </c>
      <c r="F260" s="26">
        <f>IFERROR(__xludf.DUMMYFUNCTION("""COMPUTED_VALUE"""),0.0)</f>
        <v>0</v>
      </c>
      <c r="G260" s="26">
        <f>IFERROR(__xludf.DUMMYFUNCTION("""COMPUTED_VALUE"""),0.0)</f>
        <v>0</v>
      </c>
      <c r="H260" s="26">
        <f>IFERROR(__xludf.DUMMYFUNCTION("""COMPUTED_VALUE"""),0.0)</f>
        <v>0</v>
      </c>
      <c r="I260" s="26">
        <f>IFERROR(__xludf.DUMMYFUNCTION("""COMPUTED_VALUE"""),0.0)</f>
        <v>0</v>
      </c>
      <c r="J260" s="26">
        <f>IFERROR(__xludf.DUMMYFUNCTION("""COMPUTED_VALUE"""),0.0)</f>
        <v>0</v>
      </c>
      <c r="K260" s="26">
        <f>IFERROR(__xludf.DUMMYFUNCTION("""COMPUTED_VALUE"""),0.0)</f>
        <v>0</v>
      </c>
      <c r="L260" s="26">
        <f>IFERROR(__xludf.DUMMYFUNCTION("""COMPUTED_VALUE"""),0.0)</f>
        <v>0</v>
      </c>
      <c r="M260" s="26"/>
      <c r="N260" s="26"/>
      <c r="O260" s="26"/>
      <c r="P260" s="26"/>
      <c r="Q260" s="26"/>
      <c r="R260" s="26">
        <f>IFERROR(__xludf.DUMMYFUNCTION("""COMPUTED_VALUE"""),0.0)</f>
        <v>0</v>
      </c>
      <c r="S260" s="26">
        <f>IFERROR(__xludf.DUMMYFUNCTION("""COMPUTED_VALUE"""),0.0)</f>
        <v>0</v>
      </c>
      <c r="T260" s="26">
        <f>IFERROR(__xludf.DUMMYFUNCTION("""COMPUTED_VALUE"""),0.0)</f>
        <v>0</v>
      </c>
      <c r="U260" s="26">
        <f>IFERROR(__xludf.DUMMYFUNCTION("""COMPUTED_VALUE"""),0.0)</f>
        <v>0</v>
      </c>
      <c r="V260" s="26">
        <f>IFERROR(__xludf.DUMMYFUNCTION("""COMPUTED_VALUE"""),0.0)</f>
        <v>0</v>
      </c>
      <c r="W260" s="26">
        <f>IFERROR(__xludf.DUMMYFUNCTION("""COMPUTED_VALUE"""),0.0)</f>
        <v>0</v>
      </c>
      <c r="X260" s="26">
        <f>IFERROR(__xludf.DUMMYFUNCTION("""COMPUTED_VALUE"""),0.0)</f>
        <v>0</v>
      </c>
      <c r="Y260" s="26">
        <f>IFERROR(__xludf.DUMMYFUNCTION("""COMPUTED_VALUE"""),0.0)</f>
        <v>0</v>
      </c>
      <c r="Z260" s="26">
        <f>IFERROR(__xludf.DUMMYFUNCTION("""COMPUTED_VALUE"""),0.0)</f>
        <v>0</v>
      </c>
      <c r="AA260" s="26">
        <f>IFERROR(__xludf.DUMMYFUNCTION("""COMPUTED_VALUE"""),0.0)</f>
        <v>0</v>
      </c>
      <c r="AB260" s="26">
        <f>IFERROR(__xludf.DUMMYFUNCTION("""COMPUTED_VALUE"""),0.0)</f>
        <v>0</v>
      </c>
      <c r="AC260" s="26">
        <f>IFERROR(__xludf.DUMMYFUNCTION("""COMPUTED_VALUE"""),0.0)</f>
        <v>0</v>
      </c>
      <c r="AD260" s="26">
        <f>IFERROR(__xludf.DUMMYFUNCTION("""COMPUTED_VALUE"""),0.0)</f>
        <v>0</v>
      </c>
      <c r="AE260" s="26">
        <f>IFERROR(__xludf.DUMMYFUNCTION("""COMPUTED_VALUE"""),0.0)</f>
        <v>0</v>
      </c>
    </row>
    <row r="261">
      <c r="A261" s="26">
        <f>IFERROR(__xludf.DUMMYFUNCTION("""COMPUTED_VALUE"""),0.0)</f>
        <v>0</v>
      </c>
      <c r="B261" s="26">
        <f>IFERROR(__xludf.DUMMYFUNCTION("""COMPUTED_VALUE"""),0.0)</f>
        <v>0</v>
      </c>
      <c r="C261" s="26">
        <f>IFERROR(__xludf.DUMMYFUNCTION("""COMPUTED_VALUE"""),0.0)</f>
        <v>0</v>
      </c>
      <c r="D261" s="26">
        <f>IFERROR(__xludf.DUMMYFUNCTION("""COMPUTED_VALUE"""),0.0)</f>
        <v>0</v>
      </c>
      <c r="E261" s="26">
        <f>IFERROR(__xludf.DUMMYFUNCTION("""COMPUTED_VALUE"""),0.0)</f>
        <v>0</v>
      </c>
      <c r="F261" s="26">
        <f>IFERROR(__xludf.DUMMYFUNCTION("""COMPUTED_VALUE"""),0.0)</f>
        <v>0</v>
      </c>
      <c r="G261" s="26">
        <f>IFERROR(__xludf.DUMMYFUNCTION("""COMPUTED_VALUE"""),0.0)</f>
        <v>0</v>
      </c>
      <c r="H261" s="26">
        <f>IFERROR(__xludf.DUMMYFUNCTION("""COMPUTED_VALUE"""),0.0)</f>
        <v>0</v>
      </c>
      <c r="I261" s="26">
        <f>IFERROR(__xludf.DUMMYFUNCTION("""COMPUTED_VALUE"""),0.0)</f>
        <v>0</v>
      </c>
      <c r="J261" s="26">
        <f>IFERROR(__xludf.DUMMYFUNCTION("""COMPUTED_VALUE"""),0.0)</f>
        <v>0</v>
      </c>
      <c r="K261" s="26">
        <f>IFERROR(__xludf.DUMMYFUNCTION("""COMPUTED_VALUE"""),0.0)</f>
        <v>0</v>
      </c>
      <c r="L261" s="26">
        <f>IFERROR(__xludf.DUMMYFUNCTION("""COMPUTED_VALUE"""),0.0)</f>
        <v>0</v>
      </c>
      <c r="M261" s="26"/>
      <c r="N261" s="26"/>
      <c r="O261" s="26"/>
      <c r="P261" s="26"/>
      <c r="Q261" s="26"/>
      <c r="R261" s="26">
        <f>IFERROR(__xludf.DUMMYFUNCTION("""COMPUTED_VALUE"""),0.0)</f>
        <v>0</v>
      </c>
      <c r="S261" s="26">
        <f>IFERROR(__xludf.DUMMYFUNCTION("""COMPUTED_VALUE"""),0.0)</f>
        <v>0</v>
      </c>
      <c r="T261" s="26">
        <f>IFERROR(__xludf.DUMMYFUNCTION("""COMPUTED_VALUE"""),0.0)</f>
        <v>0</v>
      </c>
      <c r="U261" s="26">
        <f>IFERROR(__xludf.DUMMYFUNCTION("""COMPUTED_VALUE"""),0.0)</f>
        <v>0</v>
      </c>
      <c r="V261" s="26">
        <f>IFERROR(__xludf.DUMMYFUNCTION("""COMPUTED_VALUE"""),0.0)</f>
        <v>0</v>
      </c>
      <c r="W261" s="26">
        <f>IFERROR(__xludf.DUMMYFUNCTION("""COMPUTED_VALUE"""),0.0)</f>
        <v>0</v>
      </c>
      <c r="X261" s="26">
        <f>IFERROR(__xludf.DUMMYFUNCTION("""COMPUTED_VALUE"""),0.0)</f>
        <v>0</v>
      </c>
      <c r="Y261" s="26">
        <f>IFERROR(__xludf.DUMMYFUNCTION("""COMPUTED_VALUE"""),0.0)</f>
        <v>0</v>
      </c>
      <c r="Z261" s="26">
        <f>IFERROR(__xludf.DUMMYFUNCTION("""COMPUTED_VALUE"""),0.0)</f>
        <v>0</v>
      </c>
      <c r="AA261" s="26">
        <f>IFERROR(__xludf.DUMMYFUNCTION("""COMPUTED_VALUE"""),0.0)</f>
        <v>0</v>
      </c>
      <c r="AB261" s="26">
        <f>IFERROR(__xludf.DUMMYFUNCTION("""COMPUTED_VALUE"""),0.0)</f>
        <v>0</v>
      </c>
      <c r="AC261" s="26">
        <f>IFERROR(__xludf.DUMMYFUNCTION("""COMPUTED_VALUE"""),0.0)</f>
        <v>0</v>
      </c>
      <c r="AD261" s="26">
        <f>IFERROR(__xludf.DUMMYFUNCTION("""COMPUTED_VALUE"""),0.0)</f>
        <v>0</v>
      </c>
      <c r="AE261" s="26">
        <f>IFERROR(__xludf.DUMMYFUNCTION("""COMPUTED_VALUE"""),0.0)</f>
        <v>0</v>
      </c>
    </row>
    <row r="262">
      <c r="A262" s="26">
        <f>IFERROR(__xludf.DUMMYFUNCTION("""COMPUTED_VALUE"""),0.0)</f>
        <v>0</v>
      </c>
      <c r="B262" s="26">
        <f>IFERROR(__xludf.DUMMYFUNCTION("""COMPUTED_VALUE"""),0.0)</f>
        <v>0</v>
      </c>
      <c r="C262" s="26">
        <f>IFERROR(__xludf.DUMMYFUNCTION("""COMPUTED_VALUE"""),0.0)</f>
        <v>0</v>
      </c>
      <c r="D262" s="26">
        <f>IFERROR(__xludf.DUMMYFUNCTION("""COMPUTED_VALUE"""),0.0)</f>
        <v>0</v>
      </c>
      <c r="E262" s="26">
        <f>IFERROR(__xludf.DUMMYFUNCTION("""COMPUTED_VALUE"""),0.0)</f>
        <v>0</v>
      </c>
      <c r="F262" s="26">
        <f>IFERROR(__xludf.DUMMYFUNCTION("""COMPUTED_VALUE"""),0.0)</f>
        <v>0</v>
      </c>
      <c r="G262" s="26">
        <f>IFERROR(__xludf.DUMMYFUNCTION("""COMPUTED_VALUE"""),0.0)</f>
        <v>0</v>
      </c>
      <c r="H262" s="26">
        <f>IFERROR(__xludf.DUMMYFUNCTION("""COMPUTED_VALUE"""),0.0)</f>
        <v>0</v>
      </c>
      <c r="I262" s="26">
        <f>IFERROR(__xludf.DUMMYFUNCTION("""COMPUTED_VALUE"""),0.0)</f>
        <v>0</v>
      </c>
      <c r="J262" s="26">
        <f>IFERROR(__xludf.DUMMYFUNCTION("""COMPUTED_VALUE"""),0.0)</f>
        <v>0</v>
      </c>
      <c r="K262" s="26">
        <f>IFERROR(__xludf.DUMMYFUNCTION("""COMPUTED_VALUE"""),0.0)</f>
        <v>0</v>
      </c>
      <c r="L262" s="26">
        <f>IFERROR(__xludf.DUMMYFUNCTION("""COMPUTED_VALUE"""),0.0)</f>
        <v>0</v>
      </c>
      <c r="M262" s="26"/>
      <c r="N262" s="26"/>
      <c r="O262" s="26"/>
      <c r="P262" s="26"/>
      <c r="Q262" s="26"/>
      <c r="R262" s="26">
        <f>IFERROR(__xludf.DUMMYFUNCTION("""COMPUTED_VALUE"""),0.0)</f>
        <v>0</v>
      </c>
      <c r="S262" s="26">
        <f>IFERROR(__xludf.DUMMYFUNCTION("""COMPUTED_VALUE"""),0.0)</f>
        <v>0</v>
      </c>
      <c r="T262" s="26">
        <f>IFERROR(__xludf.DUMMYFUNCTION("""COMPUTED_VALUE"""),0.0)</f>
        <v>0</v>
      </c>
      <c r="U262" s="26">
        <f>IFERROR(__xludf.DUMMYFUNCTION("""COMPUTED_VALUE"""),0.0)</f>
        <v>0</v>
      </c>
      <c r="V262" s="26">
        <f>IFERROR(__xludf.DUMMYFUNCTION("""COMPUTED_VALUE"""),0.0)</f>
        <v>0</v>
      </c>
      <c r="W262" s="26">
        <f>IFERROR(__xludf.DUMMYFUNCTION("""COMPUTED_VALUE"""),0.0)</f>
        <v>0</v>
      </c>
      <c r="X262" s="26">
        <f>IFERROR(__xludf.DUMMYFUNCTION("""COMPUTED_VALUE"""),0.0)</f>
        <v>0</v>
      </c>
      <c r="Y262" s="26">
        <f>IFERROR(__xludf.DUMMYFUNCTION("""COMPUTED_VALUE"""),0.0)</f>
        <v>0</v>
      </c>
      <c r="Z262" s="26">
        <f>IFERROR(__xludf.DUMMYFUNCTION("""COMPUTED_VALUE"""),0.0)</f>
        <v>0</v>
      </c>
      <c r="AA262" s="26">
        <f>IFERROR(__xludf.DUMMYFUNCTION("""COMPUTED_VALUE"""),0.0)</f>
        <v>0</v>
      </c>
      <c r="AB262" s="26">
        <f>IFERROR(__xludf.DUMMYFUNCTION("""COMPUTED_VALUE"""),0.0)</f>
        <v>0</v>
      </c>
      <c r="AC262" s="26">
        <f>IFERROR(__xludf.DUMMYFUNCTION("""COMPUTED_VALUE"""),0.0)</f>
        <v>0</v>
      </c>
      <c r="AD262" s="26">
        <f>IFERROR(__xludf.DUMMYFUNCTION("""COMPUTED_VALUE"""),0.0)</f>
        <v>0</v>
      </c>
      <c r="AE262" s="26">
        <f>IFERROR(__xludf.DUMMYFUNCTION("""COMPUTED_VALUE"""),0.0)</f>
        <v>0</v>
      </c>
    </row>
    <row r="263">
      <c r="A263" s="26">
        <f>IFERROR(__xludf.DUMMYFUNCTION("""COMPUTED_VALUE"""),35.0)</f>
        <v>35</v>
      </c>
      <c r="B263" s="26">
        <f>IFERROR(__xludf.DUMMYFUNCTION("""COMPUTED_VALUE"""),0.0)</f>
        <v>0</v>
      </c>
      <c r="C263" s="26">
        <f>IFERROR(__xludf.DUMMYFUNCTION("""COMPUTED_VALUE"""),0.0)</f>
        <v>0</v>
      </c>
      <c r="D263" s="26">
        <f>IFERROR(__xludf.DUMMYFUNCTION("""COMPUTED_VALUE"""),0.0)</f>
        <v>0</v>
      </c>
      <c r="E263" s="26">
        <f>IFERROR(__xludf.DUMMYFUNCTION("""COMPUTED_VALUE"""),0.0)</f>
        <v>0</v>
      </c>
      <c r="F263" s="26">
        <f>IFERROR(__xludf.DUMMYFUNCTION("""COMPUTED_VALUE"""),0.0)</f>
        <v>0</v>
      </c>
      <c r="G263" s="26">
        <f>IFERROR(__xludf.DUMMYFUNCTION("""COMPUTED_VALUE"""),0.0)</f>
        <v>0</v>
      </c>
      <c r="H263" s="26">
        <f>IFERROR(__xludf.DUMMYFUNCTION("""COMPUTED_VALUE"""),0.0)</f>
        <v>0</v>
      </c>
      <c r="I263" s="26">
        <f>IFERROR(__xludf.DUMMYFUNCTION("""COMPUTED_VALUE"""),0.0)</f>
        <v>0</v>
      </c>
      <c r="J263" s="26">
        <f>IFERROR(__xludf.DUMMYFUNCTION("""COMPUTED_VALUE"""),0.0)</f>
        <v>0</v>
      </c>
      <c r="K263" s="26">
        <f>IFERROR(__xludf.DUMMYFUNCTION("""COMPUTED_VALUE"""),0.0)</f>
        <v>0</v>
      </c>
      <c r="L263" s="26">
        <f>IFERROR(__xludf.DUMMYFUNCTION("""COMPUTED_VALUE"""),0.0)</f>
        <v>0</v>
      </c>
      <c r="M263" s="26"/>
      <c r="N263" s="26"/>
      <c r="O263" s="26"/>
      <c r="P263" s="26"/>
      <c r="Q263" s="26"/>
      <c r="R263" s="26">
        <f>IFERROR(__xludf.DUMMYFUNCTION("""COMPUTED_VALUE"""),35.0)</f>
        <v>35</v>
      </c>
      <c r="S263" s="26">
        <f>IFERROR(__xludf.DUMMYFUNCTION("""COMPUTED_VALUE"""),15470.0)</f>
        <v>15470</v>
      </c>
      <c r="T263" s="26">
        <f>IFERROR(__xludf.DUMMYFUNCTION("""COMPUTED_VALUE"""),6720.0)</f>
        <v>6720</v>
      </c>
      <c r="U263" s="26">
        <f>IFERROR(__xludf.DUMMYFUNCTION("""COMPUTED_VALUE"""),9079.7)</f>
        <v>9079.7</v>
      </c>
      <c r="V263" s="26">
        <f>IFERROR(__xludf.DUMMYFUNCTION("""COMPUTED_VALUE"""),0.0)</f>
        <v>0</v>
      </c>
      <c r="W263" s="26">
        <f>IFERROR(__xludf.DUMMYFUNCTION("""COMPUTED_VALUE"""),0.0)</f>
        <v>0</v>
      </c>
      <c r="X263" s="26">
        <f>IFERROR(__xludf.DUMMYFUNCTION("""COMPUTED_VALUE"""),2359.700000000001)</f>
        <v>2359.7</v>
      </c>
      <c r="Y263" s="26">
        <f>IFERROR(__xludf.DUMMYFUNCTION("""COMPUTED_VALUE"""),2359.700000000001)</f>
        <v>2359.7</v>
      </c>
      <c r="Z263" s="26">
        <f>IFERROR(__xludf.DUMMYFUNCTION("""COMPUTED_VALUE"""),0.0)</f>
        <v>0</v>
      </c>
      <c r="AA263" s="26">
        <f>IFERROR(__xludf.DUMMYFUNCTION("""COMPUTED_VALUE"""),0.0)</f>
        <v>0</v>
      </c>
      <c r="AB263" s="26">
        <f>IFERROR(__xludf.DUMMYFUNCTION("""COMPUTED_VALUE"""),0.0)</f>
        <v>0</v>
      </c>
      <c r="AC263" s="26">
        <f>IFERROR(__xludf.DUMMYFUNCTION("""COMPUTED_VALUE"""),0.0)</f>
        <v>0</v>
      </c>
      <c r="AD263" s="26">
        <f>IFERROR(__xludf.DUMMYFUNCTION("""COMPUTED_VALUE"""),0.0)</f>
        <v>0</v>
      </c>
      <c r="AE263" s="26">
        <f>IFERROR(__xludf.DUMMYFUNCTION("""COMPUTED_VALUE"""),0.0)</f>
        <v>0</v>
      </c>
    </row>
    <row r="264">
      <c r="A264" s="26">
        <f>IFERROR(__xludf.DUMMYFUNCTION("""COMPUTED_VALUE"""),30.0)</f>
        <v>30</v>
      </c>
      <c r="B264" s="26">
        <f>IFERROR(__xludf.DUMMYFUNCTION("""COMPUTED_VALUE"""),0.0)</f>
        <v>0</v>
      </c>
      <c r="C264" s="26">
        <f>IFERROR(__xludf.DUMMYFUNCTION("""COMPUTED_VALUE"""),0.0)</f>
        <v>0</v>
      </c>
      <c r="D264" s="26">
        <f>IFERROR(__xludf.DUMMYFUNCTION("""COMPUTED_VALUE"""),0.0)</f>
        <v>0</v>
      </c>
      <c r="E264" s="26">
        <f>IFERROR(__xludf.DUMMYFUNCTION("""COMPUTED_VALUE"""),0.0)</f>
        <v>0</v>
      </c>
      <c r="F264" s="26">
        <f>IFERROR(__xludf.DUMMYFUNCTION("""COMPUTED_VALUE"""),0.0)</f>
        <v>0</v>
      </c>
      <c r="G264" s="26">
        <f>IFERROR(__xludf.DUMMYFUNCTION("""COMPUTED_VALUE"""),0.0)</f>
        <v>0</v>
      </c>
      <c r="H264" s="26">
        <f>IFERROR(__xludf.DUMMYFUNCTION("""COMPUTED_VALUE"""),0.0)</f>
        <v>0</v>
      </c>
      <c r="I264" s="26">
        <f>IFERROR(__xludf.DUMMYFUNCTION("""COMPUTED_VALUE"""),0.0)</f>
        <v>0</v>
      </c>
      <c r="J264" s="26">
        <f>IFERROR(__xludf.DUMMYFUNCTION("""COMPUTED_VALUE"""),0.0)</f>
        <v>0</v>
      </c>
      <c r="K264" s="26">
        <f>IFERROR(__xludf.DUMMYFUNCTION("""COMPUTED_VALUE"""),0.0)</f>
        <v>0</v>
      </c>
      <c r="L264" s="26">
        <f>IFERROR(__xludf.DUMMYFUNCTION("""COMPUTED_VALUE"""),0.0)</f>
        <v>0</v>
      </c>
      <c r="M264" s="26"/>
      <c r="N264" s="26"/>
      <c r="O264" s="26"/>
      <c r="P264" s="26"/>
      <c r="Q264" s="26"/>
      <c r="R264" s="26">
        <f>IFERROR(__xludf.DUMMYFUNCTION("""COMPUTED_VALUE"""),30.0)</f>
        <v>30</v>
      </c>
      <c r="S264" s="26">
        <f>IFERROR(__xludf.DUMMYFUNCTION("""COMPUTED_VALUE"""),13260.0)</f>
        <v>13260</v>
      </c>
      <c r="T264" s="26">
        <f>IFERROR(__xludf.DUMMYFUNCTION("""COMPUTED_VALUE"""),5760.0)</f>
        <v>5760</v>
      </c>
      <c r="U264" s="26">
        <f>IFERROR(__xludf.DUMMYFUNCTION("""COMPUTED_VALUE"""),7782.6)</f>
        <v>7782.6</v>
      </c>
      <c r="V264" s="26">
        <f>IFERROR(__xludf.DUMMYFUNCTION("""COMPUTED_VALUE"""),0.0)</f>
        <v>0</v>
      </c>
      <c r="W264" s="26">
        <f>IFERROR(__xludf.DUMMYFUNCTION("""COMPUTED_VALUE"""),0.0)</f>
        <v>0</v>
      </c>
      <c r="X264" s="26">
        <f>IFERROR(__xludf.DUMMYFUNCTION("""COMPUTED_VALUE"""),2022.6000000000008)</f>
        <v>2022.6</v>
      </c>
      <c r="Y264" s="26">
        <f>IFERROR(__xludf.DUMMYFUNCTION("""COMPUTED_VALUE"""),2022.6000000000008)</f>
        <v>2022.6</v>
      </c>
      <c r="Z264" s="26">
        <f>IFERROR(__xludf.DUMMYFUNCTION("""COMPUTED_VALUE"""),0.0)</f>
        <v>0</v>
      </c>
      <c r="AA264" s="26">
        <f>IFERROR(__xludf.DUMMYFUNCTION("""COMPUTED_VALUE"""),0.0)</f>
        <v>0</v>
      </c>
      <c r="AB264" s="26">
        <f>IFERROR(__xludf.DUMMYFUNCTION("""COMPUTED_VALUE"""),0.0)</f>
        <v>0</v>
      </c>
      <c r="AC264" s="26">
        <f>IFERROR(__xludf.DUMMYFUNCTION("""COMPUTED_VALUE"""),0.0)</f>
        <v>0</v>
      </c>
      <c r="AD264" s="26">
        <f>IFERROR(__xludf.DUMMYFUNCTION("""COMPUTED_VALUE"""),0.0)</f>
        <v>0</v>
      </c>
      <c r="AE264" s="26">
        <f>IFERROR(__xludf.DUMMYFUNCTION("""COMPUTED_VALUE"""),0.0)</f>
        <v>0</v>
      </c>
    </row>
    <row r="265">
      <c r="A265" s="26">
        <f>IFERROR(__xludf.DUMMYFUNCTION("""COMPUTED_VALUE"""),9.0)</f>
        <v>9</v>
      </c>
      <c r="B265" s="26">
        <f>IFERROR(__xludf.DUMMYFUNCTION("""COMPUTED_VALUE"""),0.0)</f>
        <v>0</v>
      </c>
      <c r="C265" s="26">
        <f>IFERROR(__xludf.DUMMYFUNCTION("""COMPUTED_VALUE"""),0.0)</f>
        <v>0</v>
      </c>
      <c r="D265" s="26">
        <f>IFERROR(__xludf.DUMMYFUNCTION("""COMPUTED_VALUE"""),0.0)</f>
        <v>0</v>
      </c>
      <c r="E265" s="26">
        <f>IFERROR(__xludf.DUMMYFUNCTION("""COMPUTED_VALUE"""),0.0)</f>
        <v>0</v>
      </c>
      <c r="F265" s="26">
        <f>IFERROR(__xludf.DUMMYFUNCTION("""COMPUTED_VALUE"""),0.0)</f>
        <v>0</v>
      </c>
      <c r="G265" s="26">
        <f>IFERROR(__xludf.DUMMYFUNCTION("""COMPUTED_VALUE"""),0.0)</f>
        <v>0</v>
      </c>
      <c r="H265" s="26">
        <f>IFERROR(__xludf.DUMMYFUNCTION("""COMPUTED_VALUE"""),0.0)</f>
        <v>0</v>
      </c>
      <c r="I265" s="26">
        <f>IFERROR(__xludf.DUMMYFUNCTION("""COMPUTED_VALUE"""),0.0)</f>
        <v>0</v>
      </c>
      <c r="J265" s="26">
        <f>IFERROR(__xludf.DUMMYFUNCTION("""COMPUTED_VALUE"""),0.0)</f>
        <v>0</v>
      </c>
      <c r="K265" s="26">
        <f>IFERROR(__xludf.DUMMYFUNCTION("""COMPUTED_VALUE"""),0.0)</f>
        <v>0</v>
      </c>
      <c r="L265" s="26">
        <f>IFERROR(__xludf.DUMMYFUNCTION("""COMPUTED_VALUE"""),0.0)</f>
        <v>0</v>
      </c>
      <c r="M265" s="26"/>
      <c r="N265" s="26"/>
      <c r="O265" s="26"/>
      <c r="P265" s="26"/>
      <c r="Q265" s="26"/>
      <c r="R265" s="26">
        <f>IFERROR(__xludf.DUMMYFUNCTION("""COMPUTED_VALUE"""),9.0)</f>
        <v>9</v>
      </c>
      <c r="S265" s="26">
        <f>IFERROR(__xludf.DUMMYFUNCTION("""COMPUTED_VALUE"""),1800.09)</f>
        <v>1800.09</v>
      </c>
      <c r="T265" s="26">
        <f>IFERROR(__xludf.DUMMYFUNCTION("""COMPUTED_VALUE"""),1525.5)</f>
        <v>1525.5</v>
      </c>
      <c r="U265" s="26">
        <f>IFERROR(__xludf.DUMMYFUNCTION("""COMPUTED_VALUE"""),1800.09)</f>
        <v>1800.09</v>
      </c>
      <c r="V265" s="26">
        <f>IFERROR(__xludf.DUMMYFUNCTION("""COMPUTED_VALUE"""),0.0)</f>
        <v>0</v>
      </c>
      <c r="W265" s="26">
        <f>IFERROR(__xludf.DUMMYFUNCTION("""COMPUTED_VALUE"""),0.0)</f>
        <v>0</v>
      </c>
      <c r="X265" s="26">
        <f>IFERROR(__xludf.DUMMYFUNCTION("""COMPUTED_VALUE"""),274.59)</f>
        <v>274.59</v>
      </c>
      <c r="Y265" s="26">
        <f>IFERROR(__xludf.DUMMYFUNCTION("""COMPUTED_VALUE"""),274.59)</f>
        <v>274.59</v>
      </c>
      <c r="Z265" s="26">
        <f>IFERROR(__xludf.DUMMYFUNCTION("""COMPUTED_VALUE"""),0.0)</f>
        <v>0</v>
      </c>
      <c r="AA265" s="26">
        <f>IFERROR(__xludf.DUMMYFUNCTION("""COMPUTED_VALUE"""),0.0)</f>
        <v>0</v>
      </c>
      <c r="AB265" s="26">
        <f>IFERROR(__xludf.DUMMYFUNCTION("""COMPUTED_VALUE"""),0.0)</f>
        <v>0</v>
      </c>
      <c r="AC265" s="26">
        <f>IFERROR(__xludf.DUMMYFUNCTION("""COMPUTED_VALUE"""),0.0)</f>
        <v>0</v>
      </c>
      <c r="AD265" s="26">
        <f>IFERROR(__xludf.DUMMYFUNCTION("""COMPUTED_VALUE"""),0.0)</f>
        <v>0</v>
      </c>
      <c r="AE265" s="26">
        <f>IFERROR(__xludf.DUMMYFUNCTION("""COMPUTED_VALUE"""),0.0)</f>
        <v>0</v>
      </c>
    </row>
    <row r="266">
      <c r="A266" s="26">
        <f>IFERROR(__xludf.DUMMYFUNCTION("""COMPUTED_VALUE"""),9.0)</f>
        <v>9</v>
      </c>
      <c r="B266" s="26">
        <f>IFERROR(__xludf.DUMMYFUNCTION("""COMPUTED_VALUE"""),0.0)</f>
        <v>0</v>
      </c>
      <c r="C266" s="26">
        <f>IFERROR(__xludf.DUMMYFUNCTION("""COMPUTED_VALUE"""),0.0)</f>
        <v>0</v>
      </c>
      <c r="D266" s="26">
        <f>IFERROR(__xludf.DUMMYFUNCTION("""COMPUTED_VALUE"""),0.0)</f>
        <v>0</v>
      </c>
      <c r="E266" s="26">
        <f>IFERROR(__xludf.DUMMYFUNCTION("""COMPUTED_VALUE"""),0.0)</f>
        <v>0</v>
      </c>
      <c r="F266" s="26">
        <f>IFERROR(__xludf.DUMMYFUNCTION("""COMPUTED_VALUE"""),0.0)</f>
        <v>0</v>
      </c>
      <c r="G266" s="26">
        <f>IFERROR(__xludf.DUMMYFUNCTION("""COMPUTED_VALUE"""),0.0)</f>
        <v>0</v>
      </c>
      <c r="H266" s="26">
        <f>IFERROR(__xludf.DUMMYFUNCTION("""COMPUTED_VALUE"""),0.0)</f>
        <v>0</v>
      </c>
      <c r="I266" s="26">
        <f>IFERROR(__xludf.DUMMYFUNCTION("""COMPUTED_VALUE"""),0.0)</f>
        <v>0</v>
      </c>
      <c r="J266" s="26">
        <f>IFERROR(__xludf.DUMMYFUNCTION("""COMPUTED_VALUE"""),0.0)</f>
        <v>0</v>
      </c>
      <c r="K266" s="26">
        <f>IFERROR(__xludf.DUMMYFUNCTION("""COMPUTED_VALUE"""),0.0)</f>
        <v>0</v>
      </c>
      <c r="L266" s="26">
        <f>IFERROR(__xludf.DUMMYFUNCTION("""COMPUTED_VALUE"""),0.0)</f>
        <v>0</v>
      </c>
      <c r="M266" s="26"/>
      <c r="N266" s="26"/>
      <c r="O266" s="26"/>
      <c r="P266" s="26"/>
      <c r="Q266" s="26"/>
      <c r="R266" s="26">
        <f>IFERROR(__xludf.DUMMYFUNCTION("""COMPUTED_VALUE"""),9.0)</f>
        <v>9</v>
      </c>
      <c r="S266" s="26">
        <f>IFERROR(__xludf.DUMMYFUNCTION("""COMPUTED_VALUE"""),1800.09)</f>
        <v>1800.09</v>
      </c>
      <c r="T266" s="26">
        <f>IFERROR(__xludf.DUMMYFUNCTION("""COMPUTED_VALUE"""),1525.5)</f>
        <v>1525.5</v>
      </c>
      <c r="U266" s="26">
        <f>IFERROR(__xludf.DUMMYFUNCTION("""COMPUTED_VALUE"""),1800.09)</f>
        <v>1800.09</v>
      </c>
      <c r="V266" s="26">
        <f>IFERROR(__xludf.DUMMYFUNCTION("""COMPUTED_VALUE"""),0.0)</f>
        <v>0</v>
      </c>
      <c r="W266" s="26">
        <f>IFERROR(__xludf.DUMMYFUNCTION("""COMPUTED_VALUE"""),0.0)</f>
        <v>0</v>
      </c>
      <c r="X266" s="26">
        <f>IFERROR(__xludf.DUMMYFUNCTION("""COMPUTED_VALUE"""),274.59)</f>
        <v>274.59</v>
      </c>
      <c r="Y266" s="26">
        <f>IFERROR(__xludf.DUMMYFUNCTION("""COMPUTED_VALUE"""),274.59)</f>
        <v>274.59</v>
      </c>
      <c r="Z266" s="26">
        <f>IFERROR(__xludf.DUMMYFUNCTION("""COMPUTED_VALUE"""),0.0)</f>
        <v>0</v>
      </c>
      <c r="AA266" s="26">
        <f>IFERROR(__xludf.DUMMYFUNCTION("""COMPUTED_VALUE"""),0.0)</f>
        <v>0</v>
      </c>
      <c r="AB266" s="26">
        <f>IFERROR(__xludf.DUMMYFUNCTION("""COMPUTED_VALUE"""),0.0)</f>
        <v>0</v>
      </c>
      <c r="AC266" s="26">
        <f>IFERROR(__xludf.DUMMYFUNCTION("""COMPUTED_VALUE"""),0.0)</f>
        <v>0</v>
      </c>
      <c r="AD266" s="26">
        <f>IFERROR(__xludf.DUMMYFUNCTION("""COMPUTED_VALUE"""),0.0)</f>
        <v>0</v>
      </c>
      <c r="AE266" s="26">
        <f>IFERROR(__xludf.DUMMYFUNCTION("""COMPUTED_VALUE"""),0.0)</f>
        <v>0</v>
      </c>
    </row>
    <row r="267">
      <c r="A267" s="26">
        <f>IFERROR(__xludf.DUMMYFUNCTION("""COMPUTED_VALUE"""),0.0)</f>
        <v>0</v>
      </c>
      <c r="B267" s="26">
        <f>IFERROR(__xludf.DUMMYFUNCTION("""COMPUTED_VALUE"""),0.0)</f>
        <v>0</v>
      </c>
      <c r="C267" s="26">
        <f>IFERROR(__xludf.DUMMYFUNCTION("""COMPUTED_VALUE"""),0.0)</f>
        <v>0</v>
      </c>
      <c r="D267" s="26">
        <f>IFERROR(__xludf.DUMMYFUNCTION("""COMPUTED_VALUE"""),0.0)</f>
        <v>0</v>
      </c>
      <c r="E267" s="26">
        <f>IFERROR(__xludf.DUMMYFUNCTION("""COMPUTED_VALUE"""),0.0)</f>
        <v>0</v>
      </c>
      <c r="F267" s="26">
        <f>IFERROR(__xludf.DUMMYFUNCTION("""COMPUTED_VALUE"""),0.0)</f>
        <v>0</v>
      </c>
      <c r="G267" s="26">
        <f>IFERROR(__xludf.DUMMYFUNCTION("""COMPUTED_VALUE"""),0.0)</f>
        <v>0</v>
      </c>
      <c r="H267" s="26">
        <f>IFERROR(__xludf.DUMMYFUNCTION("""COMPUTED_VALUE"""),0.0)</f>
        <v>0</v>
      </c>
      <c r="I267" s="26">
        <f>IFERROR(__xludf.DUMMYFUNCTION("""COMPUTED_VALUE"""),0.0)</f>
        <v>0</v>
      </c>
      <c r="J267" s="26">
        <f>IFERROR(__xludf.DUMMYFUNCTION("""COMPUTED_VALUE"""),0.0)</f>
        <v>0</v>
      </c>
      <c r="K267" s="26">
        <f>IFERROR(__xludf.DUMMYFUNCTION("""COMPUTED_VALUE"""),0.0)</f>
        <v>0</v>
      </c>
      <c r="L267" s="26">
        <f>IFERROR(__xludf.DUMMYFUNCTION("""COMPUTED_VALUE"""),0.0)</f>
        <v>0</v>
      </c>
      <c r="M267" s="26"/>
      <c r="N267" s="26"/>
      <c r="O267" s="26"/>
      <c r="P267" s="26"/>
      <c r="Q267" s="26"/>
      <c r="R267" s="26">
        <f>IFERROR(__xludf.DUMMYFUNCTION("""COMPUTED_VALUE"""),0.0)</f>
        <v>0</v>
      </c>
      <c r="S267" s="26">
        <f>IFERROR(__xludf.DUMMYFUNCTION("""COMPUTED_VALUE"""),0.0)</f>
        <v>0</v>
      </c>
      <c r="T267" s="26">
        <f>IFERROR(__xludf.DUMMYFUNCTION("""COMPUTED_VALUE"""),0.0)</f>
        <v>0</v>
      </c>
      <c r="U267" s="26">
        <f>IFERROR(__xludf.DUMMYFUNCTION("""COMPUTED_VALUE"""),0.0)</f>
        <v>0</v>
      </c>
      <c r="V267" s="26">
        <f>IFERROR(__xludf.DUMMYFUNCTION("""COMPUTED_VALUE"""),0.0)</f>
        <v>0</v>
      </c>
      <c r="W267" s="26">
        <f>IFERROR(__xludf.DUMMYFUNCTION("""COMPUTED_VALUE"""),0.0)</f>
        <v>0</v>
      </c>
      <c r="X267" s="26">
        <f>IFERROR(__xludf.DUMMYFUNCTION("""COMPUTED_VALUE"""),0.0)</f>
        <v>0</v>
      </c>
      <c r="Y267" s="26">
        <f>IFERROR(__xludf.DUMMYFUNCTION("""COMPUTED_VALUE"""),0.0)</f>
        <v>0</v>
      </c>
      <c r="Z267" s="26">
        <f>IFERROR(__xludf.DUMMYFUNCTION("""COMPUTED_VALUE"""),0.0)</f>
        <v>0</v>
      </c>
      <c r="AA267" s="26">
        <f>IFERROR(__xludf.DUMMYFUNCTION("""COMPUTED_VALUE"""),0.0)</f>
        <v>0</v>
      </c>
      <c r="AB267" s="26">
        <f>IFERROR(__xludf.DUMMYFUNCTION("""COMPUTED_VALUE"""),0.0)</f>
        <v>0</v>
      </c>
      <c r="AC267" s="26">
        <f>IFERROR(__xludf.DUMMYFUNCTION("""COMPUTED_VALUE"""),0.0)</f>
        <v>0</v>
      </c>
      <c r="AD267" s="26">
        <f>IFERROR(__xludf.DUMMYFUNCTION("""COMPUTED_VALUE"""),0.0)</f>
        <v>0</v>
      </c>
      <c r="AE267" s="26">
        <f>IFERROR(__xludf.DUMMYFUNCTION("""COMPUTED_VALUE"""),0.0)</f>
        <v>0</v>
      </c>
    </row>
    <row r="268">
      <c r="A268" s="26">
        <f>IFERROR(__xludf.DUMMYFUNCTION("""COMPUTED_VALUE"""),0.0)</f>
        <v>0</v>
      </c>
      <c r="B268" s="26">
        <f>IFERROR(__xludf.DUMMYFUNCTION("""COMPUTED_VALUE"""),0.0)</f>
        <v>0</v>
      </c>
      <c r="C268" s="26">
        <f>IFERROR(__xludf.DUMMYFUNCTION("""COMPUTED_VALUE"""),0.0)</f>
        <v>0</v>
      </c>
      <c r="D268" s="26">
        <f>IFERROR(__xludf.DUMMYFUNCTION("""COMPUTED_VALUE"""),0.0)</f>
        <v>0</v>
      </c>
      <c r="E268" s="26">
        <f>IFERROR(__xludf.DUMMYFUNCTION("""COMPUTED_VALUE"""),0.0)</f>
        <v>0</v>
      </c>
      <c r="F268" s="26">
        <f>IFERROR(__xludf.DUMMYFUNCTION("""COMPUTED_VALUE"""),0.0)</f>
        <v>0</v>
      </c>
      <c r="G268" s="26">
        <f>IFERROR(__xludf.DUMMYFUNCTION("""COMPUTED_VALUE"""),0.0)</f>
        <v>0</v>
      </c>
      <c r="H268" s="26">
        <f>IFERROR(__xludf.DUMMYFUNCTION("""COMPUTED_VALUE"""),0.0)</f>
        <v>0</v>
      </c>
      <c r="I268" s="26">
        <f>IFERROR(__xludf.DUMMYFUNCTION("""COMPUTED_VALUE"""),0.0)</f>
        <v>0</v>
      </c>
      <c r="J268" s="26">
        <f>IFERROR(__xludf.DUMMYFUNCTION("""COMPUTED_VALUE"""),0.0)</f>
        <v>0</v>
      </c>
      <c r="K268" s="26">
        <f>IFERROR(__xludf.DUMMYFUNCTION("""COMPUTED_VALUE"""),0.0)</f>
        <v>0</v>
      </c>
      <c r="L268" s="26">
        <f>IFERROR(__xludf.DUMMYFUNCTION("""COMPUTED_VALUE"""),0.0)</f>
        <v>0</v>
      </c>
      <c r="M268" s="26"/>
      <c r="N268" s="26"/>
      <c r="O268" s="26"/>
      <c r="P268" s="26"/>
      <c r="Q268" s="26"/>
      <c r="R268" s="26">
        <f>IFERROR(__xludf.DUMMYFUNCTION("""COMPUTED_VALUE"""),0.0)</f>
        <v>0</v>
      </c>
      <c r="S268" s="26">
        <f>IFERROR(__xludf.DUMMYFUNCTION("""COMPUTED_VALUE"""),0.0)</f>
        <v>0</v>
      </c>
      <c r="T268" s="26">
        <f>IFERROR(__xludf.DUMMYFUNCTION("""COMPUTED_VALUE"""),0.0)</f>
        <v>0</v>
      </c>
      <c r="U268" s="26">
        <f>IFERROR(__xludf.DUMMYFUNCTION("""COMPUTED_VALUE"""),0.0)</f>
        <v>0</v>
      </c>
      <c r="V268" s="26">
        <f>IFERROR(__xludf.DUMMYFUNCTION("""COMPUTED_VALUE"""),0.0)</f>
        <v>0</v>
      </c>
      <c r="W268" s="26">
        <f>IFERROR(__xludf.DUMMYFUNCTION("""COMPUTED_VALUE"""),0.0)</f>
        <v>0</v>
      </c>
      <c r="X268" s="26">
        <f>IFERROR(__xludf.DUMMYFUNCTION("""COMPUTED_VALUE"""),0.0)</f>
        <v>0</v>
      </c>
      <c r="Y268" s="26">
        <f>IFERROR(__xludf.DUMMYFUNCTION("""COMPUTED_VALUE"""),0.0)</f>
        <v>0</v>
      </c>
      <c r="Z268" s="26">
        <f>IFERROR(__xludf.DUMMYFUNCTION("""COMPUTED_VALUE"""),0.0)</f>
        <v>0</v>
      </c>
      <c r="AA268" s="26">
        <f>IFERROR(__xludf.DUMMYFUNCTION("""COMPUTED_VALUE"""),0.0)</f>
        <v>0</v>
      </c>
      <c r="AB268" s="26">
        <f>IFERROR(__xludf.DUMMYFUNCTION("""COMPUTED_VALUE"""),0.0)</f>
        <v>0</v>
      </c>
      <c r="AC268" s="26">
        <f>IFERROR(__xludf.DUMMYFUNCTION("""COMPUTED_VALUE"""),0.0)</f>
        <v>0</v>
      </c>
      <c r="AD268" s="26">
        <f>IFERROR(__xludf.DUMMYFUNCTION("""COMPUTED_VALUE"""),0.0)</f>
        <v>0</v>
      </c>
      <c r="AE268" s="26">
        <f>IFERROR(__xludf.DUMMYFUNCTION("""COMPUTED_VALUE"""),0.0)</f>
        <v>0</v>
      </c>
    </row>
    <row r="269">
      <c r="A269" s="26">
        <f>IFERROR(__xludf.DUMMYFUNCTION("""COMPUTED_VALUE"""),206.0)</f>
        <v>206</v>
      </c>
      <c r="B269" s="26">
        <f>IFERROR(__xludf.DUMMYFUNCTION("""COMPUTED_VALUE"""),0.0)</f>
        <v>0</v>
      </c>
      <c r="C269" s="26">
        <f>IFERROR(__xludf.DUMMYFUNCTION("""COMPUTED_VALUE"""),0.0)</f>
        <v>0</v>
      </c>
      <c r="D269" s="26">
        <f>IFERROR(__xludf.DUMMYFUNCTION("""COMPUTED_VALUE"""),0.0)</f>
        <v>0</v>
      </c>
      <c r="E269" s="26">
        <f>IFERROR(__xludf.DUMMYFUNCTION("""COMPUTED_VALUE"""),0.0)</f>
        <v>0</v>
      </c>
      <c r="F269" s="26">
        <f>IFERROR(__xludf.DUMMYFUNCTION("""COMPUTED_VALUE"""),0.0)</f>
        <v>0</v>
      </c>
      <c r="G269" s="26">
        <f>IFERROR(__xludf.DUMMYFUNCTION("""COMPUTED_VALUE"""),0.0)</f>
        <v>0</v>
      </c>
      <c r="H269" s="26">
        <f>IFERROR(__xludf.DUMMYFUNCTION("""COMPUTED_VALUE"""),0.0)</f>
        <v>0</v>
      </c>
      <c r="I269" s="26">
        <f>IFERROR(__xludf.DUMMYFUNCTION("""COMPUTED_VALUE"""),0.0)</f>
        <v>0</v>
      </c>
      <c r="J269" s="26">
        <f>IFERROR(__xludf.DUMMYFUNCTION("""COMPUTED_VALUE"""),0.0)</f>
        <v>0</v>
      </c>
      <c r="K269" s="26">
        <f>IFERROR(__xludf.DUMMYFUNCTION("""COMPUTED_VALUE"""),0.0)</f>
        <v>0</v>
      </c>
      <c r="L269" s="26">
        <f>IFERROR(__xludf.DUMMYFUNCTION("""COMPUTED_VALUE"""),0.0)</f>
        <v>0</v>
      </c>
      <c r="M269" s="26"/>
      <c r="N269" s="26"/>
      <c r="O269" s="26"/>
      <c r="P269" s="26"/>
      <c r="Q269" s="26"/>
      <c r="R269" s="26">
        <f>IFERROR(__xludf.DUMMYFUNCTION("""COMPUTED_VALUE"""),206.0)</f>
        <v>206</v>
      </c>
      <c r="S269" s="26">
        <f>IFERROR(__xludf.DUMMYFUNCTION("""COMPUTED_VALUE"""),91052.0)</f>
        <v>91052</v>
      </c>
      <c r="T269" s="26">
        <f>IFERROR(__xludf.DUMMYFUNCTION("""COMPUTED_VALUE"""),36050.0)</f>
        <v>36050</v>
      </c>
      <c r="U269" s="26">
        <f>IFERROR(__xludf.DUMMYFUNCTION("""COMPUTED_VALUE"""),49938.52000000001)</f>
        <v>49938.52</v>
      </c>
      <c r="V269" s="26">
        <f>IFERROR(__xludf.DUMMYFUNCTION("""COMPUTED_VALUE"""),0.0)</f>
        <v>0</v>
      </c>
      <c r="W269" s="26">
        <f>IFERROR(__xludf.DUMMYFUNCTION("""COMPUTED_VALUE"""),0.0)</f>
        <v>0</v>
      </c>
      <c r="X269" s="26">
        <f>IFERROR(__xludf.DUMMYFUNCTION("""COMPUTED_VALUE"""),13888.520000000013)</f>
        <v>13888.52</v>
      </c>
      <c r="Y269" s="26">
        <f>IFERROR(__xludf.DUMMYFUNCTION("""COMPUTED_VALUE"""),13888.520000000013)</f>
        <v>13888.52</v>
      </c>
      <c r="Z269" s="26">
        <f>IFERROR(__xludf.DUMMYFUNCTION("""COMPUTED_VALUE"""),221102.39999999668)</f>
        <v>221102.4</v>
      </c>
      <c r="AA269" s="26">
        <f>IFERROR(__xludf.DUMMYFUNCTION("""COMPUTED_VALUE"""),221102.39999999668)</f>
        <v>221102.4</v>
      </c>
      <c r="AB269" s="26">
        <f>IFERROR(__xludf.DUMMYFUNCTION("""COMPUTED_VALUE"""),174832.07999999818)</f>
        <v>174832.08</v>
      </c>
      <c r="AC269" s="26">
        <f>IFERROR(__xludf.DUMMYFUNCTION("""COMPUTED_VALUE"""),166089.60000000274)</f>
        <v>166089.6</v>
      </c>
      <c r="AD269" s="26">
        <f>IFERROR(__xludf.DUMMYFUNCTION("""COMPUTED_VALUE"""),8742.479999999803)</f>
        <v>8742.48</v>
      </c>
      <c r="AE269" s="26">
        <f>IFERROR(__xludf.DUMMYFUNCTION("""COMPUTED_VALUE"""),0.0)</f>
        <v>0</v>
      </c>
    </row>
    <row r="270">
      <c r="A270" s="26">
        <f>IFERROR(__xludf.DUMMYFUNCTION("""COMPUTED_VALUE"""),116.0)</f>
        <v>116</v>
      </c>
      <c r="B270" s="26">
        <f>IFERROR(__xludf.DUMMYFUNCTION("""COMPUTED_VALUE"""),0.0)</f>
        <v>0</v>
      </c>
      <c r="C270" s="26">
        <f>IFERROR(__xludf.DUMMYFUNCTION("""COMPUTED_VALUE"""),0.0)</f>
        <v>0</v>
      </c>
      <c r="D270" s="26">
        <f>IFERROR(__xludf.DUMMYFUNCTION("""COMPUTED_VALUE"""),0.0)</f>
        <v>0</v>
      </c>
      <c r="E270" s="26">
        <f>IFERROR(__xludf.DUMMYFUNCTION("""COMPUTED_VALUE"""),0.0)</f>
        <v>0</v>
      </c>
      <c r="F270" s="26">
        <f>IFERROR(__xludf.DUMMYFUNCTION("""COMPUTED_VALUE"""),0.0)</f>
        <v>0</v>
      </c>
      <c r="G270" s="26">
        <f>IFERROR(__xludf.DUMMYFUNCTION("""COMPUTED_VALUE"""),0.0)</f>
        <v>0</v>
      </c>
      <c r="H270" s="26">
        <f>IFERROR(__xludf.DUMMYFUNCTION("""COMPUTED_VALUE"""),0.0)</f>
        <v>0</v>
      </c>
      <c r="I270" s="26">
        <f>IFERROR(__xludf.DUMMYFUNCTION("""COMPUTED_VALUE"""),0.0)</f>
        <v>0</v>
      </c>
      <c r="J270" s="26">
        <f>IFERROR(__xludf.DUMMYFUNCTION("""COMPUTED_VALUE"""),0.0)</f>
        <v>0</v>
      </c>
      <c r="K270" s="26">
        <f>IFERROR(__xludf.DUMMYFUNCTION("""COMPUTED_VALUE"""),0.0)</f>
        <v>0</v>
      </c>
      <c r="L270" s="26">
        <f>IFERROR(__xludf.DUMMYFUNCTION("""COMPUTED_VALUE"""),0.0)</f>
        <v>0</v>
      </c>
      <c r="M270" s="26"/>
      <c r="N270" s="26"/>
      <c r="O270" s="26"/>
      <c r="P270" s="26"/>
      <c r="Q270" s="26"/>
      <c r="R270" s="26">
        <f>IFERROR(__xludf.DUMMYFUNCTION("""COMPUTED_VALUE"""),116.0)</f>
        <v>116</v>
      </c>
      <c r="S270" s="26">
        <f>IFERROR(__xludf.DUMMYFUNCTION("""COMPUTED_VALUE"""),51272.0)</f>
        <v>51272</v>
      </c>
      <c r="T270" s="26">
        <f>IFERROR(__xludf.DUMMYFUNCTION("""COMPUTED_VALUE"""),19720.0)</f>
        <v>19720</v>
      </c>
      <c r="U270" s="26">
        <f>IFERROR(__xludf.DUMMYFUNCTION("""COMPUTED_VALUE"""),27540.72000000001)</f>
        <v>27540.72</v>
      </c>
      <c r="V270" s="26">
        <f>IFERROR(__xludf.DUMMYFUNCTION("""COMPUTED_VALUE"""),0.0)</f>
        <v>0</v>
      </c>
      <c r="W270" s="26">
        <f>IFERROR(__xludf.DUMMYFUNCTION("""COMPUTED_VALUE"""),0.0)</f>
        <v>0</v>
      </c>
      <c r="X270" s="26">
        <f>IFERROR(__xludf.DUMMYFUNCTION("""COMPUTED_VALUE"""),7820.720000000007)</f>
        <v>7820.72</v>
      </c>
      <c r="Y270" s="26">
        <f>IFERROR(__xludf.DUMMYFUNCTION("""COMPUTED_VALUE"""),7820.720000000007)</f>
        <v>7820.72</v>
      </c>
      <c r="Z270" s="26">
        <f>IFERROR(__xludf.DUMMYFUNCTION("""COMPUTED_VALUE"""),38881.05000000011)</f>
        <v>38881.05</v>
      </c>
      <c r="AA270" s="26">
        <f>IFERROR(__xludf.DUMMYFUNCTION("""COMPUTED_VALUE"""),38881.05000000011)</f>
        <v>38881.05</v>
      </c>
      <c r="AB270" s="26">
        <f>IFERROR(__xludf.DUMMYFUNCTION("""COMPUTED_VALUE"""),32119.06000000013)</f>
        <v>32119.06</v>
      </c>
      <c r="AC270" s="26">
        <f>IFERROR(__xludf.DUMMYFUNCTION("""COMPUTED_VALUE"""),30512.949999999917)</f>
        <v>30512.95</v>
      </c>
      <c r="AD270" s="26">
        <f>IFERROR(__xludf.DUMMYFUNCTION("""COMPUTED_VALUE"""),1606.1100000000022)</f>
        <v>1606.11</v>
      </c>
      <c r="AE270" s="26">
        <f>IFERROR(__xludf.DUMMYFUNCTION("""COMPUTED_VALUE"""),0.0)</f>
        <v>0</v>
      </c>
    </row>
    <row r="271">
      <c r="A271" s="26">
        <f>IFERROR(__xludf.DUMMYFUNCTION("""COMPUTED_VALUE"""),133.0)</f>
        <v>133</v>
      </c>
      <c r="B271" s="26">
        <f>IFERROR(__xludf.DUMMYFUNCTION("""COMPUTED_VALUE"""),0.0)</f>
        <v>0</v>
      </c>
      <c r="C271" s="26">
        <f>IFERROR(__xludf.DUMMYFUNCTION("""COMPUTED_VALUE"""),0.0)</f>
        <v>0</v>
      </c>
      <c r="D271" s="26">
        <f>IFERROR(__xludf.DUMMYFUNCTION("""COMPUTED_VALUE"""),0.0)</f>
        <v>0</v>
      </c>
      <c r="E271" s="26">
        <f>IFERROR(__xludf.DUMMYFUNCTION("""COMPUTED_VALUE"""),0.0)</f>
        <v>0</v>
      </c>
      <c r="F271" s="26">
        <f>IFERROR(__xludf.DUMMYFUNCTION("""COMPUTED_VALUE"""),0.0)</f>
        <v>0</v>
      </c>
      <c r="G271" s="26">
        <f>IFERROR(__xludf.DUMMYFUNCTION("""COMPUTED_VALUE"""),0.0)</f>
        <v>0</v>
      </c>
      <c r="H271" s="26">
        <f>IFERROR(__xludf.DUMMYFUNCTION("""COMPUTED_VALUE"""),0.0)</f>
        <v>0</v>
      </c>
      <c r="I271" s="26">
        <f>IFERROR(__xludf.DUMMYFUNCTION("""COMPUTED_VALUE"""),0.0)</f>
        <v>0</v>
      </c>
      <c r="J271" s="26">
        <f>IFERROR(__xludf.DUMMYFUNCTION("""COMPUTED_VALUE"""),0.0)</f>
        <v>0</v>
      </c>
      <c r="K271" s="26">
        <f>IFERROR(__xludf.DUMMYFUNCTION("""COMPUTED_VALUE"""),0.0)</f>
        <v>0</v>
      </c>
      <c r="L271" s="26">
        <f>IFERROR(__xludf.DUMMYFUNCTION("""COMPUTED_VALUE"""),0.0)</f>
        <v>0</v>
      </c>
      <c r="M271" s="26"/>
      <c r="N271" s="26"/>
      <c r="O271" s="26"/>
      <c r="P271" s="26"/>
      <c r="Q271" s="26"/>
      <c r="R271" s="26">
        <f>IFERROR(__xludf.DUMMYFUNCTION("""COMPUTED_VALUE"""),133.0)</f>
        <v>133</v>
      </c>
      <c r="S271" s="26">
        <f>IFERROR(__xludf.DUMMYFUNCTION("""COMPUTED_VALUE"""),58786.0)</f>
        <v>58786</v>
      </c>
      <c r="T271" s="26">
        <f>IFERROR(__xludf.DUMMYFUNCTION("""COMPUTED_VALUE"""),23275.0)</f>
        <v>23275</v>
      </c>
      <c r="U271" s="26">
        <f>IFERROR(__xludf.DUMMYFUNCTION("""COMPUTED_VALUE"""),32241.860000000008)</f>
        <v>32241.86</v>
      </c>
      <c r="V271" s="26">
        <f>IFERROR(__xludf.DUMMYFUNCTION("""COMPUTED_VALUE"""),0.0)</f>
        <v>0</v>
      </c>
      <c r="W271" s="26">
        <f>IFERROR(__xludf.DUMMYFUNCTION("""COMPUTED_VALUE"""),0.0)</f>
        <v>0</v>
      </c>
      <c r="X271" s="26">
        <f>IFERROR(__xludf.DUMMYFUNCTION("""COMPUTED_VALUE"""),8966.860000000008)</f>
        <v>8966.86</v>
      </c>
      <c r="Y271" s="26">
        <f>IFERROR(__xludf.DUMMYFUNCTION("""COMPUTED_VALUE"""),8966.860000000008)</f>
        <v>8966.86</v>
      </c>
      <c r="Z271" s="26">
        <f>IFERROR(__xludf.DUMMYFUNCTION("""COMPUTED_VALUE"""),0.0)</f>
        <v>0</v>
      </c>
      <c r="AA271" s="26">
        <f>IFERROR(__xludf.DUMMYFUNCTION("""COMPUTED_VALUE"""),0.0)</f>
        <v>0</v>
      </c>
      <c r="AB271" s="26">
        <f>IFERROR(__xludf.DUMMYFUNCTION("""COMPUTED_VALUE"""),0.0)</f>
        <v>0</v>
      </c>
      <c r="AC271" s="26">
        <f>IFERROR(__xludf.DUMMYFUNCTION("""COMPUTED_VALUE"""),0.0)</f>
        <v>0</v>
      </c>
      <c r="AD271" s="26">
        <f>IFERROR(__xludf.DUMMYFUNCTION("""COMPUTED_VALUE"""),0.0)</f>
        <v>0</v>
      </c>
      <c r="AE271" s="26">
        <f>IFERROR(__xludf.DUMMYFUNCTION("""COMPUTED_VALUE"""),0.0)</f>
        <v>0</v>
      </c>
    </row>
    <row r="272">
      <c r="A272" s="26">
        <f>IFERROR(__xludf.DUMMYFUNCTION("""COMPUTED_VALUE"""),17.0)</f>
        <v>17</v>
      </c>
      <c r="B272" s="26">
        <f>IFERROR(__xludf.DUMMYFUNCTION("""COMPUTED_VALUE"""),0.0)</f>
        <v>0</v>
      </c>
      <c r="C272" s="26">
        <f>IFERROR(__xludf.DUMMYFUNCTION("""COMPUTED_VALUE"""),0.0)</f>
        <v>0</v>
      </c>
      <c r="D272" s="26">
        <f>IFERROR(__xludf.DUMMYFUNCTION("""COMPUTED_VALUE"""),0.0)</f>
        <v>0</v>
      </c>
      <c r="E272" s="26">
        <f>IFERROR(__xludf.DUMMYFUNCTION("""COMPUTED_VALUE"""),0.0)</f>
        <v>0</v>
      </c>
      <c r="F272" s="26">
        <f>IFERROR(__xludf.DUMMYFUNCTION("""COMPUTED_VALUE"""),0.0)</f>
        <v>0</v>
      </c>
      <c r="G272" s="26">
        <f>IFERROR(__xludf.DUMMYFUNCTION("""COMPUTED_VALUE"""),0.0)</f>
        <v>0</v>
      </c>
      <c r="H272" s="26">
        <f>IFERROR(__xludf.DUMMYFUNCTION("""COMPUTED_VALUE"""),0.0)</f>
        <v>0</v>
      </c>
      <c r="I272" s="26">
        <f>IFERROR(__xludf.DUMMYFUNCTION("""COMPUTED_VALUE"""),0.0)</f>
        <v>0</v>
      </c>
      <c r="J272" s="26">
        <f>IFERROR(__xludf.DUMMYFUNCTION("""COMPUTED_VALUE"""),0.0)</f>
        <v>0</v>
      </c>
      <c r="K272" s="26">
        <f>IFERROR(__xludf.DUMMYFUNCTION("""COMPUTED_VALUE"""),0.0)</f>
        <v>0</v>
      </c>
      <c r="L272" s="26">
        <f>IFERROR(__xludf.DUMMYFUNCTION("""COMPUTED_VALUE"""),0.0)</f>
        <v>0</v>
      </c>
      <c r="M272" s="26"/>
      <c r="N272" s="26"/>
      <c r="O272" s="26"/>
      <c r="P272" s="26"/>
      <c r="Q272" s="26"/>
      <c r="R272" s="26">
        <f>IFERROR(__xludf.DUMMYFUNCTION("""COMPUTED_VALUE"""),17.0)</f>
        <v>17</v>
      </c>
      <c r="S272" s="26">
        <f>IFERROR(__xludf.DUMMYFUNCTION("""COMPUTED_VALUE"""),7514.0)</f>
        <v>7514</v>
      </c>
      <c r="T272" s="26">
        <f>IFERROR(__xludf.DUMMYFUNCTION("""COMPUTED_VALUE"""),2975.0)</f>
        <v>2975</v>
      </c>
      <c r="U272" s="26">
        <f>IFERROR(__xludf.DUMMYFUNCTION("""COMPUTED_VALUE"""),4121.139999999999)</f>
        <v>4121.14</v>
      </c>
      <c r="V272" s="26">
        <f>IFERROR(__xludf.DUMMYFUNCTION("""COMPUTED_VALUE"""),0.0)</f>
        <v>0</v>
      </c>
      <c r="W272" s="26">
        <f>IFERROR(__xludf.DUMMYFUNCTION("""COMPUTED_VALUE"""),0.0)</f>
        <v>0</v>
      </c>
      <c r="X272" s="26">
        <f>IFERROR(__xludf.DUMMYFUNCTION("""COMPUTED_VALUE"""),1146.1399999999999)</f>
        <v>1146.14</v>
      </c>
      <c r="Y272" s="26">
        <f>IFERROR(__xludf.DUMMYFUNCTION("""COMPUTED_VALUE"""),1146.1399999999999)</f>
        <v>1146.14</v>
      </c>
      <c r="Z272" s="26">
        <f>IFERROR(__xludf.DUMMYFUNCTION("""COMPUTED_VALUE"""),0.0)</f>
        <v>0</v>
      </c>
      <c r="AA272" s="26">
        <f>IFERROR(__xludf.DUMMYFUNCTION("""COMPUTED_VALUE"""),0.0)</f>
        <v>0</v>
      </c>
      <c r="AB272" s="26">
        <f>IFERROR(__xludf.DUMMYFUNCTION("""COMPUTED_VALUE"""),0.0)</f>
        <v>0</v>
      </c>
      <c r="AC272" s="26">
        <f>IFERROR(__xludf.DUMMYFUNCTION("""COMPUTED_VALUE"""),0.0)</f>
        <v>0</v>
      </c>
      <c r="AD272" s="26">
        <f>IFERROR(__xludf.DUMMYFUNCTION("""COMPUTED_VALUE"""),0.0)</f>
        <v>0</v>
      </c>
      <c r="AE272" s="26">
        <f>IFERROR(__xludf.DUMMYFUNCTION("""COMPUTED_VALUE"""),0.0)</f>
        <v>0</v>
      </c>
    </row>
    <row r="273">
      <c r="A273" s="26">
        <f>IFERROR(__xludf.DUMMYFUNCTION("""COMPUTED_VALUE"""),0.0)</f>
        <v>0</v>
      </c>
      <c r="B273" s="26">
        <f>IFERROR(__xludf.DUMMYFUNCTION("""COMPUTED_VALUE"""),0.0)</f>
        <v>0</v>
      </c>
      <c r="C273" s="26">
        <f>IFERROR(__xludf.DUMMYFUNCTION("""COMPUTED_VALUE"""),0.0)</f>
        <v>0</v>
      </c>
      <c r="D273" s="26">
        <f>IFERROR(__xludf.DUMMYFUNCTION("""COMPUTED_VALUE"""),0.0)</f>
        <v>0</v>
      </c>
      <c r="E273" s="26">
        <f>IFERROR(__xludf.DUMMYFUNCTION("""COMPUTED_VALUE"""),0.0)</f>
        <v>0</v>
      </c>
      <c r="F273" s="26">
        <f>IFERROR(__xludf.DUMMYFUNCTION("""COMPUTED_VALUE"""),0.0)</f>
        <v>0</v>
      </c>
      <c r="G273" s="26">
        <f>IFERROR(__xludf.DUMMYFUNCTION("""COMPUTED_VALUE"""),0.0)</f>
        <v>0</v>
      </c>
      <c r="H273" s="26">
        <f>IFERROR(__xludf.DUMMYFUNCTION("""COMPUTED_VALUE"""),0.0)</f>
        <v>0</v>
      </c>
      <c r="I273" s="26">
        <f>IFERROR(__xludf.DUMMYFUNCTION("""COMPUTED_VALUE"""),0.0)</f>
        <v>0</v>
      </c>
      <c r="J273" s="26">
        <f>IFERROR(__xludf.DUMMYFUNCTION("""COMPUTED_VALUE"""),0.0)</f>
        <v>0</v>
      </c>
      <c r="K273" s="26">
        <f>IFERROR(__xludf.DUMMYFUNCTION("""COMPUTED_VALUE"""),0.0)</f>
        <v>0</v>
      </c>
      <c r="L273" s="26">
        <f>IFERROR(__xludf.DUMMYFUNCTION("""COMPUTED_VALUE"""),0.0)</f>
        <v>0</v>
      </c>
      <c r="M273" s="26"/>
      <c r="N273" s="26"/>
      <c r="O273" s="26"/>
      <c r="P273" s="26"/>
      <c r="Q273" s="26"/>
      <c r="R273" s="26">
        <f>IFERROR(__xludf.DUMMYFUNCTION("""COMPUTED_VALUE"""),0.0)</f>
        <v>0</v>
      </c>
      <c r="S273" s="26">
        <f>IFERROR(__xludf.DUMMYFUNCTION("""COMPUTED_VALUE"""),0.0)</f>
        <v>0</v>
      </c>
      <c r="T273" s="26">
        <f>IFERROR(__xludf.DUMMYFUNCTION("""COMPUTED_VALUE"""),0.0)</f>
        <v>0</v>
      </c>
      <c r="U273" s="26">
        <f>IFERROR(__xludf.DUMMYFUNCTION("""COMPUTED_VALUE"""),0.0)</f>
        <v>0</v>
      </c>
      <c r="V273" s="26">
        <f>IFERROR(__xludf.DUMMYFUNCTION("""COMPUTED_VALUE"""),0.0)</f>
        <v>0</v>
      </c>
      <c r="W273" s="26">
        <f>IFERROR(__xludf.DUMMYFUNCTION("""COMPUTED_VALUE"""),0.0)</f>
        <v>0</v>
      </c>
      <c r="X273" s="26">
        <f>IFERROR(__xludf.DUMMYFUNCTION("""COMPUTED_VALUE"""),0.0)</f>
        <v>0</v>
      </c>
      <c r="Y273" s="26">
        <f>IFERROR(__xludf.DUMMYFUNCTION("""COMPUTED_VALUE"""),0.0)</f>
        <v>0</v>
      </c>
      <c r="Z273" s="26">
        <f>IFERROR(__xludf.DUMMYFUNCTION("""COMPUTED_VALUE"""),0.0)</f>
        <v>0</v>
      </c>
      <c r="AA273" s="26">
        <f>IFERROR(__xludf.DUMMYFUNCTION("""COMPUTED_VALUE"""),0.0)</f>
        <v>0</v>
      </c>
      <c r="AB273" s="26">
        <f>IFERROR(__xludf.DUMMYFUNCTION("""COMPUTED_VALUE"""),0.0)</f>
        <v>0</v>
      </c>
      <c r="AC273" s="26">
        <f>IFERROR(__xludf.DUMMYFUNCTION("""COMPUTED_VALUE"""),0.0)</f>
        <v>0</v>
      </c>
      <c r="AD273" s="26">
        <f>IFERROR(__xludf.DUMMYFUNCTION("""COMPUTED_VALUE"""),0.0)</f>
        <v>0</v>
      </c>
      <c r="AE273" s="26">
        <f>IFERROR(__xludf.DUMMYFUNCTION("""COMPUTED_VALUE"""),0.0)</f>
        <v>0</v>
      </c>
    </row>
    <row r="274">
      <c r="A274" s="26">
        <f>IFERROR(__xludf.DUMMYFUNCTION("""COMPUTED_VALUE"""),19.0)</f>
        <v>19</v>
      </c>
      <c r="B274" s="26">
        <f>IFERROR(__xludf.DUMMYFUNCTION("""COMPUTED_VALUE"""),0.0)</f>
        <v>0</v>
      </c>
      <c r="C274" s="26">
        <f>IFERROR(__xludf.DUMMYFUNCTION("""COMPUTED_VALUE"""),0.0)</f>
        <v>0</v>
      </c>
      <c r="D274" s="26">
        <f>IFERROR(__xludf.DUMMYFUNCTION("""COMPUTED_VALUE"""),0.0)</f>
        <v>0</v>
      </c>
      <c r="E274" s="26">
        <f>IFERROR(__xludf.DUMMYFUNCTION("""COMPUTED_VALUE"""),0.0)</f>
        <v>0</v>
      </c>
      <c r="F274" s="26">
        <f>IFERROR(__xludf.DUMMYFUNCTION("""COMPUTED_VALUE"""),0.0)</f>
        <v>0</v>
      </c>
      <c r="G274" s="26">
        <f>IFERROR(__xludf.DUMMYFUNCTION("""COMPUTED_VALUE"""),0.0)</f>
        <v>0</v>
      </c>
      <c r="H274" s="26">
        <f>IFERROR(__xludf.DUMMYFUNCTION("""COMPUTED_VALUE"""),0.0)</f>
        <v>0</v>
      </c>
      <c r="I274" s="26">
        <f>IFERROR(__xludf.DUMMYFUNCTION("""COMPUTED_VALUE"""),0.0)</f>
        <v>0</v>
      </c>
      <c r="J274" s="26">
        <f>IFERROR(__xludf.DUMMYFUNCTION("""COMPUTED_VALUE"""),0.0)</f>
        <v>0</v>
      </c>
      <c r="K274" s="26">
        <f>IFERROR(__xludf.DUMMYFUNCTION("""COMPUTED_VALUE"""),0.0)</f>
        <v>0</v>
      </c>
      <c r="L274" s="26">
        <f>IFERROR(__xludf.DUMMYFUNCTION("""COMPUTED_VALUE"""),0.0)</f>
        <v>0</v>
      </c>
      <c r="M274" s="26"/>
      <c r="N274" s="26"/>
      <c r="O274" s="26"/>
      <c r="P274" s="26"/>
      <c r="Q274" s="26"/>
      <c r="R274" s="26">
        <f>IFERROR(__xludf.DUMMYFUNCTION("""COMPUTED_VALUE"""),19.0)</f>
        <v>19</v>
      </c>
      <c r="S274" s="26">
        <f>IFERROR(__xludf.DUMMYFUNCTION("""COMPUTED_VALUE"""),8398.0)</f>
        <v>8398</v>
      </c>
      <c r="T274" s="26">
        <f>IFERROR(__xludf.DUMMYFUNCTION("""COMPUTED_VALUE"""),3325.0)</f>
        <v>3325</v>
      </c>
      <c r="U274" s="26">
        <f>IFERROR(__xludf.DUMMYFUNCTION("""COMPUTED_VALUE"""),4605.98)</f>
        <v>4605.98</v>
      </c>
      <c r="V274" s="26">
        <f>IFERROR(__xludf.DUMMYFUNCTION("""COMPUTED_VALUE"""),0.0)</f>
        <v>0</v>
      </c>
      <c r="W274" s="26">
        <f>IFERROR(__xludf.DUMMYFUNCTION("""COMPUTED_VALUE"""),0.0)</f>
        <v>0</v>
      </c>
      <c r="X274" s="26">
        <f>IFERROR(__xludf.DUMMYFUNCTION("""COMPUTED_VALUE"""),1280.98)</f>
        <v>1280.98</v>
      </c>
      <c r="Y274" s="26">
        <f>IFERROR(__xludf.DUMMYFUNCTION("""COMPUTED_VALUE"""),1280.98)</f>
        <v>1280.98</v>
      </c>
      <c r="Z274" s="26">
        <f>IFERROR(__xludf.DUMMYFUNCTION("""COMPUTED_VALUE"""),0.0)</f>
        <v>0</v>
      </c>
      <c r="AA274" s="26">
        <f>IFERROR(__xludf.DUMMYFUNCTION("""COMPUTED_VALUE"""),0.0)</f>
        <v>0</v>
      </c>
      <c r="AB274" s="26">
        <f>IFERROR(__xludf.DUMMYFUNCTION("""COMPUTED_VALUE"""),0.0)</f>
        <v>0</v>
      </c>
      <c r="AC274" s="26">
        <f>IFERROR(__xludf.DUMMYFUNCTION("""COMPUTED_VALUE"""),0.0)</f>
        <v>0</v>
      </c>
      <c r="AD274" s="26">
        <f>IFERROR(__xludf.DUMMYFUNCTION("""COMPUTED_VALUE"""),0.0)</f>
        <v>0</v>
      </c>
      <c r="AE274" s="26">
        <f>IFERROR(__xludf.DUMMYFUNCTION("""COMPUTED_VALUE"""),0.0)</f>
        <v>0</v>
      </c>
    </row>
    <row r="275">
      <c r="A275" s="26">
        <f>IFERROR(__xludf.DUMMYFUNCTION("""COMPUTED_VALUE"""),0.0)</f>
        <v>0</v>
      </c>
      <c r="B275" s="26">
        <f>IFERROR(__xludf.DUMMYFUNCTION("""COMPUTED_VALUE"""),0.0)</f>
        <v>0</v>
      </c>
      <c r="C275" s="26">
        <f>IFERROR(__xludf.DUMMYFUNCTION("""COMPUTED_VALUE"""),0.0)</f>
        <v>0</v>
      </c>
      <c r="D275" s="26">
        <f>IFERROR(__xludf.DUMMYFUNCTION("""COMPUTED_VALUE"""),0.0)</f>
        <v>0</v>
      </c>
      <c r="E275" s="26">
        <f>IFERROR(__xludf.DUMMYFUNCTION("""COMPUTED_VALUE"""),0.0)</f>
        <v>0</v>
      </c>
      <c r="F275" s="26">
        <f>IFERROR(__xludf.DUMMYFUNCTION("""COMPUTED_VALUE"""),0.0)</f>
        <v>0</v>
      </c>
      <c r="G275" s="26">
        <f>IFERROR(__xludf.DUMMYFUNCTION("""COMPUTED_VALUE"""),0.0)</f>
        <v>0</v>
      </c>
      <c r="H275" s="26">
        <f>IFERROR(__xludf.DUMMYFUNCTION("""COMPUTED_VALUE"""),0.0)</f>
        <v>0</v>
      </c>
      <c r="I275" s="26">
        <f>IFERROR(__xludf.DUMMYFUNCTION("""COMPUTED_VALUE"""),0.0)</f>
        <v>0</v>
      </c>
      <c r="J275" s="26">
        <f>IFERROR(__xludf.DUMMYFUNCTION("""COMPUTED_VALUE"""),0.0)</f>
        <v>0</v>
      </c>
      <c r="K275" s="26">
        <f>IFERROR(__xludf.DUMMYFUNCTION("""COMPUTED_VALUE"""),0.0)</f>
        <v>0</v>
      </c>
      <c r="L275" s="26">
        <f>IFERROR(__xludf.DUMMYFUNCTION("""COMPUTED_VALUE"""),0.0)</f>
        <v>0</v>
      </c>
      <c r="M275" s="26"/>
      <c r="N275" s="26"/>
      <c r="O275" s="26"/>
      <c r="P275" s="26"/>
      <c r="Q275" s="26"/>
      <c r="R275" s="26">
        <f>IFERROR(__xludf.DUMMYFUNCTION("""COMPUTED_VALUE"""),0.0)</f>
        <v>0</v>
      </c>
      <c r="S275" s="26">
        <f>IFERROR(__xludf.DUMMYFUNCTION("""COMPUTED_VALUE"""),0.0)</f>
        <v>0</v>
      </c>
      <c r="T275" s="26">
        <f>IFERROR(__xludf.DUMMYFUNCTION("""COMPUTED_VALUE"""),0.0)</f>
        <v>0</v>
      </c>
      <c r="U275" s="26">
        <f>IFERROR(__xludf.DUMMYFUNCTION("""COMPUTED_VALUE"""),0.0)</f>
        <v>0</v>
      </c>
      <c r="V275" s="26">
        <f>IFERROR(__xludf.DUMMYFUNCTION("""COMPUTED_VALUE"""),0.0)</f>
        <v>0</v>
      </c>
      <c r="W275" s="26">
        <f>IFERROR(__xludf.DUMMYFUNCTION("""COMPUTED_VALUE"""),0.0)</f>
        <v>0</v>
      </c>
      <c r="X275" s="26">
        <f>IFERROR(__xludf.DUMMYFUNCTION("""COMPUTED_VALUE"""),0.0)</f>
        <v>0</v>
      </c>
      <c r="Y275" s="26">
        <f>IFERROR(__xludf.DUMMYFUNCTION("""COMPUTED_VALUE"""),0.0)</f>
        <v>0</v>
      </c>
      <c r="Z275" s="26">
        <f>IFERROR(__xludf.DUMMYFUNCTION("""COMPUTED_VALUE"""),0.0)</f>
        <v>0</v>
      </c>
      <c r="AA275" s="26">
        <f>IFERROR(__xludf.DUMMYFUNCTION("""COMPUTED_VALUE"""),0.0)</f>
        <v>0</v>
      </c>
      <c r="AB275" s="26">
        <f>IFERROR(__xludf.DUMMYFUNCTION("""COMPUTED_VALUE"""),0.0)</f>
        <v>0</v>
      </c>
      <c r="AC275" s="26">
        <f>IFERROR(__xludf.DUMMYFUNCTION("""COMPUTED_VALUE"""),0.0)</f>
        <v>0</v>
      </c>
      <c r="AD275" s="26">
        <f>IFERROR(__xludf.DUMMYFUNCTION("""COMPUTED_VALUE"""),0.0)</f>
        <v>0</v>
      </c>
      <c r="AE275" s="26">
        <f>IFERROR(__xludf.DUMMYFUNCTION("""COMPUTED_VALUE"""),0.0)</f>
        <v>0</v>
      </c>
    </row>
    <row r="276">
      <c r="A276" s="26">
        <f>IFERROR(__xludf.DUMMYFUNCTION("""COMPUTED_VALUE"""),0.0)</f>
        <v>0</v>
      </c>
      <c r="B276" s="26">
        <f>IFERROR(__xludf.DUMMYFUNCTION("""COMPUTED_VALUE"""),0.0)</f>
        <v>0</v>
      </c>
      <c r="C276" s="26">
        <f>IFERROR(__xludf.DUMMYFUNCTION("""COMPUTED_VALUE"""),0.0)</f>
        <v>0</v>
      </c>
      <c r="D276" s="26">
        <f>IFERROR(__xludf.DUMMYFUNCTION("""COMPUTED_VALUE"""),0.0)</f>
        <v>0</v>
      </c>
      <c r="E276" s="26">
        <f>IFERROR(__xludf.DUMMYFUNCTION("""COMPUTED_VALUE"""),0.0)</f>
        <v>0</v>
      </c>
      <c r="F276" s="26">
        <f>IFERROR(__xludf.DUMMYFUNCTION("""COMPUTED_VALUE"""),0.0)</f>
        <v>0</v>
      </c>
      <c r="G276" s="26">
        <f>IFERROR(__xludf.DUMMYFUNCTION("""COMPUTED_VALUE"""),0.0)</f>
        <v>0</v>
      </c>
      <c r="H276" s="26">
        <f>IFERROR(__xludf.DUMMYFUNCTION("""COMPUTED_VALUE"""),0.0)</f>
        <v>0</v>
      </c>
      <c r="I276" s="26">
        <f>IFERROR(__xludf.DUMMYFUNCTION("""COMPUTED_VALUE"""),0.0)</f>
        <v>0</v>
      </c>
      <c r="J276" s="26">
        <f>IFERROR(__xludf.DUMMYFUNCTION("""COMPUTED_VALUE"""),0.0)</f>
        <v>0</v>
      </c>
      <c r="K276" s="26">
        <f>IFERROR(__xludf.DUMMYFUNCTION("""COMPUTED_VALUE"""),0.0)</f>
        <v>0</v>
      </c>
      <c r="L276" s="26">
        <f>IFERROR(__xludf.DUMMYFUNCTION("""COMPUTED_VALUE"""),0.0)</f>
        <v>0</v>
      </c>
      <c r="M276" s="26"/>
      <c r="N276" s="26"/>
      <c r="O276" s="26"/>
      <c r="P276" s="26"/>
      <c r="Q276" s="26"/>
      <c r="R276" s="26">
        <f>IFERROR(__xludf.DUMMYFUNCTION("""COMPUTED_VALUE"""),0.0)</f>
        <v>0</v>
      </c>
      <c r="S276" s="26">
        <f>IFERROR(__xludf.DUMMYFUNCTION("""COMPUTED_VALUE"""),0.0)</f>
        <v>0</v>
      </c>
      <c r="T276" s="26">
        <f>IFERROR(__xludf.DUMMYFUNCTION("""COMPUTED_VALUE"""),0.0)</f>
        <v>0</v>
      </c>
      <c r="U276" s="26">
        <f>IFERROR(__xludf.DUMMYFUNCTION("""COMPUTED_VALUE"""),0.0)</f>
        <v>0</v>
      </c>
      <c r="V276" s="26">
        <f>IFERROR(__xludf.DUMMYFUNCTION("""COMPUTED_VALUE"""),0.0)</f>
        <v>0</v>
      </c>
      <c r="W276" s="26">
        <f>IFERROR(__xludf.DUMMYFUNCTION("""COMPUTED_VALUE"""),0.0)</f>
        <v>0</v>
      </c>
      <c r="X276" s="26">
        <f>IFERROR(__xludf.DUMMYFUNCTION("""COMPUTED_VALUE"""),0.0)</f>
        <v>0</v>
      </c>
      <c r="Y276" s="26">
        <f>IFERROR(__xludf.DUMMYFUNCTION("""COMPUTED_VALUE"""),0.0)</f>
        <v>0</v>
      </c>
      <c r="Z276" s="26">
        <f>IFERROR(__xludf.DUMMYFUNCTION("""COMPUTED_VALUE"""),0.0)</f>
        <v>0</v>
      </c>
      <c r="AA276" s="26">
        <f>IFERROR(__xludf.DUMMYFUNCTION("""COMPUTED_VALUE"""),0.0)</f>
        <v>0</v>
      </c>
      <c r="AB276" s="26">
        <f>IFERROR(__xludf.DUMMYFUNCTION("""COMPUTED_VALUE"""),0.0)</f>
        <v>0</v>
      </c>
      <c r="AC276" s="26">
        <f>IFERROR(__xludf.DUMMYFUNCTION("""COMPUTED_VALUE"""),0.0)</f>
        <v>0</v>
      </c>
      <c r="AD276" s="26">
        <f>IFERROR(__xludf.DUMMYFUNCTION("""COMPUTED_VALUE"""),0.0)</f>
        <v>0</v>
      </c>
      <c r="AE276" s="26">
        <f>IFERROR(__xludf.DUMMYFUNCTION("""COMPUTED_VALUE"""),0.0)</f>
        <v>0</v>
      </c>
    </row>
    <row r="277">
      <c r="A277" s="26">
        <f>IFERROR(__xludf.DUMMYFUNCTION("""COMPUTED_VALUE"""),0.0)</f>
        <v>0</v>
      </c>
      <c r="B277" s="26">
        <f>IFERROR(__xludf.DUMMYFUNCTION("""COMPUTED_VALUE"""),0.0)</f>
        <v>0</v>
      </c>
      <c r="C277" s="26">
        <f>IFERROR(__xludf.DUMMYFUNCTION("""COMPUTED_VALUE"""),0.0)</f>
        <v>0</v>
      </c>
      <c r="D277" s="26">
        <f>IFERROR(__xludf.DUMMYFUNCTION("""COMPUTED_VALUE"""),0.0)</f>
        <v>0</v>
      </c>
      <c r="E277" s="26">
        <f>IFERROR(__xludf.DUMMYFUNCTION("""COMPUTED_VALUE"""),0.0)</f>
        <v>0</v>
      </c>
      <c r="F277" s="26">
        <f>IFERROR(__xludf.DUMMYFUNCTION("""COMPUTED_VALUE"""),0.0)</f>
        <v>0</v>
      </c>
      <c r="G277" s="26">
        <f>IFERROR(__xludf.DUMMYFUNCTION("""COMPUTED_VALUE"""),0.0)</f>
        <v>0</v>
      </c>
      <c r="H277" s="26">
        <f>IFERROR(__xludf.DUMMYFUNCTION("""COMPUTED_VALUE"""),0.0)</f>
        <v>0</v>
      </c>
      <c r="I277" s="26">
        <f>IFERROR(__xludf.DUMMYFUNCTION("""COMPUTED_VALUE"""),0.0)</f>
        <v>0</v>
      </c>
      <c r="J277" s="26">
        <f>IFERROR(__xludf.DUMMYFUNCTION("""COMPUTED_VALUE"""),0.0)</f>
        <v>0</v>
      </c>
      <c r="K277" s="26">
        <f>IFERROR(__xludf.DUMMYFUNCTION("""COMPUTED_VALUE"""),0.0)</f>
        <v>0</v>
      </c>
      <c r="L277" s="26">
        <f>IFERROR(__xludf.DUMMYFUNCTION("""COMPUTED_VALUE"""),0.0)</f>
        <v>0</v>
      </c>
      <c r="M277" s="26"/>
      <c r="N277" s="26"/>
      <c r="O277" s="26"/>
      <c r="P277" s="26"/>
      <c r="Q277" s="26"/>
      <c r="R277" s="26">
        <f>IFERROR(__xludf.DUMMYFUNCTION("""COMPUTED_VALUE"""),0.0)</f>
        <v>0</v>
      </c>
      <c r="S277" s="26">
        <f>IFERROR(__xludf.DUMMYFUNCTION("""COMPUTED_VALUE"""),0.0)</f>
        <v>0</v>
      </c>
      <c r="T277" s="26">
        <f>IFERROR(__xludf.DUMMYFUNCTION("""COMPUTED_VALUE"""),0.0)</f>
        <v>0</v>
      </c>
      <c r="U277" s="26">
        <f>IFERROR(__xludf.DUMMYFUNCTION("""COMPUTED_VALUE"""),0.0)</f>
        <v>0</v>
      </c>
      <c r="V277" s="26">
        <f>IFERROR(__xludf.DUMMYFUNCTION("""COMPUTED_VALUE"""),0.0)</f>
        <v>0</v>
      </c>
      <c r="W277" s="26">
        <f>IFERROR(__xludf.DUMMYFUNCTION("""COMPUTED_VALUE"""),0.0)</f>
        <v>0</v>
      </c>
      <c r="X277" s="26">
        <f>IFERROR(__xludf.DUMMYFUNCTION("""COMPUTED_VALUE"""),0.0)</f>
        <v>0</v>
      </c>
      <c r="Y277" s="26">
        <f>IFERROR(__xludf.DUMMYFUNCTION("""COMPUTED_VALUE"""),0.0)</f>
        <v>0</v>
      </c>
      <c r="Z277" s="26">
        <f>IFERROR(__xludf.DUMMYFUNCTION("""COMPUTED_VALUE"""),0.0)</f>
        <v>0</v>
      </c>
      <c r="AA277" s="26">
        <f>IFERROR(__xludf.DUMMYFUNCTION("""COMPUTED_VALUE"""),0.0)</f>
        <v>0</v>
      </c>
      <c r="AB277" s="26">
        <f>IFERROR(__xludf.DUMMYFUNCTION("""COMPUTED_VALUE"""),0.0)</f>
        <v>0</v>
      </c>
      <c r="AC277" s="26">
        <f>IFERROR(__xludf.DUMMYFUNCTION("""COMPUTED_VALUE"""),0.0)</f>
        <v>0</v>
      </c>
      <c r="AD277" s="26">
        <f>IFERROR(__xludf.DUMMYFUNCTION("""COMPUTED_VALUE"""),0.0)</f>
        <v>0</v>
      </c>
      <c r="AE277" s="26">
        <f>IFERROR(__xludf.DUMMYFUNCTION("""COMPUTED_VALUE"""),0.0)</f>
        <v>0</v>
      </c>
    </row>
    <row r="278">
      <c r="A278" s="26">
        <f>IFERROR(__xludf.DUMMYFUNCTION("""COMPUTED_VALUE"""),0.0)</f>
        <v>0</v>
      </c>
      <c r="B278" s="26">
        <f>IFERROR(__xludf.DUMMYFUNCTION("""COMPUTED_VALUE"""),0.0)</f>
        <v>0</v>
      </c>
      <c r="C278" s="26">
        <f>IFERROR(__xludf.DUMMYFUNCTION("""COMPUTED_VALUE"""),0.0)</f>
        <v>0</v>
      </c>
      <c r="D278" s="26">
        <f>IFERROR(__xludf.DUMMYFUNCTION("""COMPUTED_VALUE"""),0.0)</f>
        <v>0</v>
      </c>
      <c r="E278" s="26">
        <f>IFERROR(__xludf.DUMMYFUNCTION("""COMPUTED_VALUE"""),0.0)</f>
        <v>0</v>
      </c>
      <c r="F278" s="26">
        <f>IFERROR(__xludf.DUMMYFUNCTION("""COMPUTED_VALUE"""),0.0)</f>
        <v>0</v>
      </c>
      <c r="G278" s="26">
        <f>IFERROR(__xludf.DUMMYFUNCTION("""COMPUTED_VALUE"""),0.0)</f>
        <v>0</v>
      </c>
      <c r="H278" s="26">
        <f>IFERROR(__xludf.DUMMYFUNCTION("""COMPUTED_VALUE"""),0.0)</f>
        <v>0</v>
      </c>
      <c r="I278" s="26">
        <f>IFERROR(__xludf.DUMMYFUNCTION("""COMPUTED_VALUE"""),0.0)</f>
        <v>0</v>
      </c>
      <c r="J278" s="26">
        <f>IFERROR(__xludf.DUMMYFUNCTION("""COMPUTED_VALUE"""),0.0)</f>
        <v>0</v>
      </c>
      <c r="K278" s="26">
        <f>IFERROR(__xludf.DUMMYFUNCTION("""COMPUTED_VALUE"""),0.0)</f>
        <v>0</v>
      </c>
      <c r="L278" s="26">
        <f>IFERROR(__xludf.DUMMYFUNCTION("""COMPUTED_VALUE"""),0.0)</f>
        <v>0</v>
      </c>
      <c r="M278" s="26"/>
      <c r="N278" s="26"/>
      <c r="O278" s="26"/>
      <c r="P278" s="26"/>
      <c r="Q278" s="26"/>
      <c r="R278" s="26">
        <f>IFERROR(__xludf.DUMMYFUNCTION("""COMPUTED_VALUE"""),0.0)</f>
        <v>0</v>
      </c>
      <c r="S278" s="26">
        <f>IFERROR(__xludf.DUMMYFUNCTION("""COMPUTED_VALUE"""),0.0)</f>
        <v>0</v>
      </c>
      <c r="T278" s="26">
        <f>IFERROR(__xludf.DUMMYFUNCTION("""COMPUTED_VALUE"""),0.0)</f>
        <v>0</v>
      </c>
      <c r="U278" s="26">
        <f>IFERROR(__xludf.DUMMYFUNCTION("""COMPUTED_VALUE"""),0.0)</f>
        <v>0</v>
      </c>
      <c r="V278" s="26">
        <f>IFERROR(__xludf.DUMMYFUNCTION("""COMPUTED_VALUE"""),0.0)</f>
        <v>0</v>
      </c>
      <c r="W278" s="26">
        <f>IFERROR(__xludf.DUMMYFUNCTION("""COMPUTED_VALUE"""),0.0)</f>
        <v>0</v>
      </c>
      <c r="X278" s="26">
        <f>IFERROR(__xludf.DUMMYFUNCTION("""COMPUTED_VALUE"""),0.0)</f>
        <v>0</v>
      </c>
      <c r="Y278" s="26">
        <f>IFERROR(__xludf.DUMMYFUNCTION("""COMPUTED_VALUE"""),0.0)</f>
        <v>0</v>
      </c>
      <c r="Z278" s="26">
        <f>IFERROR(__xludf.DUMMYFUNCTION("""COMPUTED_VALUE"""),0.0)</f>
        <v>0</v>
      </c>
      <c r="AA278" s="26">
        <f>IFERROR(__xludf.DUMMYFUNCTION("""COMPUTED_VALUE"""),0.0)</f>
        <v>0</v>
      </c>
      <c r="AB278" s="26">
        <f>IFERROR(__xludf.DUMMYFUNCTION("""COMPUTED_VALUE"""),0.0)</f>
        <v>0</v>
      </c>
      <c r="AC278" s="26">
        <f>IFERROR(__xludf.DUMMYFUNCTION("""COMPUTED_VALUE"""),0.0)</f>
        <v>0</v>
      </c>
      <c r="AD278" s="26">
        <f>IFERROR(__xludf.DUMMYFUNCTION("""COMPUTED_VALUE"""),0.0)</f>
        <v>0</v>
      </c>
      <c r="AE278" s="26">
        <f>IFERROR(__xludf.DUMMYFUNCTION("""COMPUTED_VALUE"""),0.0)</f>
        <v>0</v>
      </c>
    </row>
    <row r="279">
      <c r="A279" s="26">
        <f>IFERROR(__xludf.DUMMYFUNCTION("""COMPUTED_VALUE"""),120.0)</f>
        <v>120</v>
      </c>
      <c r="B279" s="26">
        <f>IFERROR(__xludf.DUMMYFUNCTION("""COMPUTED_VALUE"""),0.0)</f>
        <v>0</v>
      </c>
      <c r="C279" s="26">
        <f>IFERROR(__xludf.DUMMYFUNCTION("""COMPUTED_VALUE"""),0.0)</f>
        <v>0</v>
      </c>
      <c r="D279" s="26">
        <f>IFERROR(__xludf.DUMMYFUNCTION("""COMPUTED_VALUE"""),0.0)</f>
        <v>0</v>
      </c>
      <c r="E279" s="26">
        <f>IFERROR(__xludf.DUMMYFUNCTION("""COMPUTED_VALUE"""),0.0)</f>
        <v>0</v>
      </c>
      <c r="F279" s="26">
        <f>IFERROR(__xludf.DUMMYFUNCTION("""COMPUTED_VALUE"""),0.0)</f>
        <v>0</v>
      </c>
      <c r="G279" s="26">
        <f>IFERROR(__xludf.DUMMYFUNCTION("""COMPUTED_VALUE"""),0.0)</f>
        <v>0</v>
      </c>
      <c r="H279" s="26">
        <f>IFERROR(__xludf.DUMMYFUNCTION("""COMPUTED_VALUE"""),0.0)</f>
        <v>0</v>
      </c>
      <c r="I279" s="26">
        <f>IFERROR(__xludf.DUMMYFUNCTION("""COMPUTED_VALUE"""),0.0)</f>
        <v>0</v>
      </c>
      <c r="J279" s="26">
        <f>IFERROR(__xludf.DUMMYFUNCTION("""COMPUTED_VALUE"""),0.0)</f>
        <v>0</v>
      </c>
      <c r="K279" s="26">
        <f>IFERROR(__xludf.DUMMYFUNCTION("""COMPUTED_VALUE"""),0.0)</f>
        <v>0</v>
      </c>
      <c r="L279" s="26">
        <f>IFERROR(__xludf.DUMMYFUNCTION("""COMPUTED_VALUE"""),0.0)</f>
        <v>0</v>
      </c>
      <c r="M279" s="26"/>
      <c r="N279" s="26"/>
      <c r="O279" s="26"/>
      <c r="P279" s="26"/>
      <c r="Q279" s="26"/>
      <c r="R279" s="26">
        <f>IFERROR(__xludf.DUMMYFUNCTION("""COMPUTED_VALUE"""),120.0)</f>
        <v>120</v>
      </c>
      <c r="S279" s="26">
        <f>IFERROR(__xludf.DUMMYFUNCTION("""COMPUTED_VALUE"""),53040.0)</f>
        <v>53040</v>
      </c>
      <c r="T279" s="26">
        <f>IFERROR(__xludf.DUMMYFUNCTION("""COMPUTED_VALUE"""),21000.0)</f>
        <v>21000</v>
      </c>
      <c r="U279" s="26">
        <f>IFERROR(__xludf.DUMMYFUNCTION("""COMPUTED_VALUE"""),29090.40000000001)</f>
        <v>29090.4</v>
      </c>
      <c r="V279" s="26">
        <f>IFERROR(__xludf.DUMMYFUNCTION("""COMPUTED_VALUE"""),0.0)</f>
        <v>0</v>
      </c>
      <c r="W279" s="26">
        <f>IFERROR(__xludf.DUMMYFUNCTION("""COMPUTED_VALUE"""),0.0)</f>
        <v>0</v>
      </c>
      <c r="X279" s="26">
        <f>IFERROR(__xludf.DUMMYFUNCTION("""COMPUTED_VALUE"""),8090.400000000007)</f>
        <v>8090.4</v>
      </c>
      <c r="Y279" s="26">
        <f>IFERROR(__xludf.DUMMYFUNCTION("""COMPUTED_VALUE"""),8090.400000000007)</f>
        <v>8090.4</v>
      </c>
      <c r="Z279" s="26">
        <f>IFERROR(__xludf.DUMMYFUNCTION("""COMPUTED_VALUE"""),0.0)</f>
        <v>0</v>
      </c>
      <c r="AA279" s="26">
        <f>IFERROR(__xludf.DUMMYFUNCTION("""COMPUTED_VALUE"""),0.0)</f>
        <v>0</v>
      </c>
      <c r="AB279" s="26">
        <f>IFERROR(__xludf.DUMMYFUNCTION("""COMPUTED_VALUE"""),0.0)</f>
        <v>0</v>
      </c>
      <c r="AC279" s="26">
        <f>IFERROR(__xludf.DUMMYFUNCTION("""COMPUTED_VALUE"""),0.0)</f>
        <v>0</v>
      </c>
      <c r="AD279" s="26">
        <f>IFERROR(__xludf.DUMMYFUNCTION("""COMPUTED_VALUE"""),0.0)</f>
        <v>0</v>
      </c>
      <c r="AE279" s="26">
        <f>IFERROR(__xludf.DUMMYFUNCTION("""COMPUTED_VALUE"""),0.0)</f>
        <v>0</v>
      </c>
    </row>
    <row r="280">
      <c r="A280" s="26">
        <f>IFERROR(__xludf.DUMMYFUNCTION("""COMPUTED_VALUE"""),68.0)</f>
        <v>68</v>
      </c>
      <c r="B280" s="26">
        <f>IFERROR(__xludf.DUMMYFUNCTION("""COMPUTED_VALUE"""),0.0)</f>
        <v>0</v>
      </c>
      <c r="C280" s="26">
        <f>IFERROR(__xludf.DUMMYFUNCTION("""COMPUTED_VALUE"""),0.0)</f>
        <v>0</v>
      </c>
      <c r="D280" s="26">
        <f>IFERROR(__xludf.DUMMYFUNCTION("""COMPUTED_VALUE"""),0.0)</f>
        <v>0</v>
      </c>
      <c r="E280" s="26">
        <f>IFERROR(__xludf.DUMMYFUNCTION("""COMPUTED_VALUE"""),0.0)</f>
        <v>0</v>
      </c>
      <c r="F280" s="26">
        <f>IFERROR(__xludf.DUMMYFUNCTION("""COMPUTED_VALUE"""),0.0)</f>
        <v>0</v>
      </c>
      <c r="G280" s="26">
        <f>IFERROR(__xludf.DUMMYFUNCTION("""COMPUTED_VALUE"""),0.0)</f>
        <v>0</v>
      </c>
      <c r="H280" s="26">
        <f>IFERROR(__xludf.DUMMYFUNCTION("""COMPUTED_VALUE"""),0.0)</f>
        <v>0</v>
      </c>
      <c r="I280" s="26">
        <f>IFERROR(__xludf.DUMMYFUNCTION("""COMPUTED_VALUE"""),0.0)</f>
        <v>0</v>
      </c>
      <c r="J280" s="26">
        <f>IFERROR(__xludf.DUMMYFUNCTION("""COMPUTED_VALUE"""),0.0)</f>
        <v>0</v>
      </c>
      <c r="K280" s="26">
        <f>IFERROR(__xludf.DUMMYFUNCTION("""COMPUTED_VALUE"""),0.0)</f>
        <v>0</v>
      </c>
      <c r="L280" s="26">
        <f>IFERROR(__xludf.DUMMYFUNCTION("""COMPUTED_VALUE"""),0.0)</f>
        <v>0</v>
      </c>
      <c r="M280" s="26"/>
      <c r="N280" s="26"/>
      <c r="O280" s="26"/>
      <c r="P280" s="26"/>
      <c r="Q280" s="26"/>
      <c r="R280" s="26">
        <f>IFERROR(__xludf.DUMMYFUNCTION("""COMPUTED_VALUE"""),68.0)</f>
        <v>68</v>
      </c>
      <c r="S280" s="26">
        <f>IFERROR(__xludf.DUMMYFUNCTION("""COMPUTED_VALUE"""),30056.0)</f>
        <v>30056</v>
      </c>
      <c r="T280" s="26">
        <f>IFERROR(__xludf.DUMMYFUNCTION("""COMPUTED_VALUE"""),11900.0)</f>
        <v>11900</v>
      </c>
      <c r="U280" s="26">
        <f>IFERROR(__xludf.DUMMYFUNCTION("""COMPUTED_VALUE"""),16484.560000000005)</f>
        <v>16484.56</v>
      </c>
      <c r="V280" s="26">
        <f>IFERROR(__xludf.DUMMYFUNCTION("""COMPUTED_VALUE"""),0.0)</f>
        <v>0</v>
      </c>
      <c r="W280" s="26">
        <f>IFERROR(__xludf.DUMMYFUNCTION("""COMPUTED_VALUE"""),0.0)</f>
        <v>0</v>
      </c>
      <c r="X280" s="26">
        <f>IFERROR(__xludf.DUMMYFUNCTION("""COMPUTED_VALUE"""),4584.560000000003)</f>
        <v>4584.56</v>
      </c>
      <c r="Y280" s="26">
        <f>IFERROR(__xludf.DUMMYFUNCTION("""COMPUTED_VALUE"""),4584.560000000003)</f>
        <v>4584.56</v>
      </c>
      <c r="Z280" s="26">
        <f>IFERROR(__xludf.DUMMYFUNCTION("""COMPUTED_VALUE"""),0.0)</f>
        <v>0</v>
      </c>
      <c r="AA280" s="26">
        <f>IFERROR(__xludf.DUMMYFUNCTION("""COMPUTED_VALUE"""),0.0)</f>
        <v>0</v>
      </c>
      <c r="AB280" s="26">
        <f>IFERROR(__xludf.DUMMYFUNCTION("""COMPUTED_VALUE"""),0.0)</f>
        <v>0</v>
      </c>
      <c r="AC280" s="26">
        <f>IFERROR(__xludf.DUMMYFUNCTION("""COMPUTED_VALUE"""),0.0)</f>
        <v>0</v>
      </c>
      <c r="AD280" s="26">
        <f>IFERROR(__xludf.DUMMYFUNCTION("""COMPUTED_VALUE"""),0.0)</f>
        <v>0</v>
      </c>
      <c r="AE280" s="26">
        <f>IFERROR(__xludf.DUMMYFUNCTION("""COMPUTED_VALUE"""),0.0)</f>
        <v>0</v>
      </c>
    </row>
    <row r="281">
      <c r="A281" s="26">
        <f>IFERROR(__xludf.DUMMYFUNCTION("""COMPUTED_VALUE"""),45.0)</f>
        <v>45</v>
      </c>
      <c r="B281" s="26">
        <f>IFERROR(__xludf.DUMMYFUNCTION("""COMPUTED_VALUE"""),0.0)</f>
        <v>0</v>
      </c>
      <c r="C281" s="26">
        <f>IFERROR(__xludf.DUMMYFUNCTION("""COMPUTED_VALUE"""),0.0)</f>
        <v>0</v>
      </c>
      <c r="D281" s="26">
        <f>IFERROR(__xludf.DUMMYFUNCTION("""COMPUTED_VALUE"""),0.0)</f>
        <v>0</v>
      </c>
      <c r="E281" s="26">
        <f>IFERROR(__xludf.DUMMYFUNCTION("""COMPUTED_VALUE"""),0.0)</f>
        <v>0</v>
      </c>
      <c r="F281" s="26">
        <f>IFERROR(__xludf.DUMMYFUNCTION("""COMPUTED_VALUE"""),0.0)</f>
        <v>0</v>
      </c>
      <c r="G281" s="26">
        <f>IFERROR(__xludf.DUMMYFUNCTION("""COMPUTED_VALUE"""),0.0)</f>
        <v>0</v>
      </c>
      <c r="H281" s="26">
        <f>IFERROR(__xludf.DUMMYFUNCTION("""COMPUTED_VALUE"""),0.0)</f>
        <v>0</v>
      </c>
      <c r="I281" s="26">
        <f>IFERROR(__xludf.DUMMYFUNCTION("""COMPUTED_VALUE"""),0.0)</f>
        <v>0</v>
      </c>
      <c r="J281" s="26">
        <f>IFERROR(__xludf.DUMMYFUNCTION("""COMPUTED_VALUE"""),0.0)</f>
        <v>0</v>
      </c>
      <c r="K281" s="26">
        <f>IFERROR(__xludf.DUMMYFUNCTION("""COMPUTED_VALUE"""),0.0)</f>
        <v>0</v>
      </c>
      <c r="L281" s="26">
        <f>IFERROR(__xludf.DUMMYFUNCTION("""COMPUTED_VALUE"""),0.0)</f>
        <v>0</v>
      </c>
      <c r="M281" s="26"/>
      <c r="N281" s="26"/>
      <c r="O281" s="26"/>
      <c r="P281" s="26"/>
      <c r="Q281" s="26"/>
      <c r="R281" s="26">
        <f>IFERROR(__xludf.DUMMYFUNCTION("""COMPUTED_VALUE"""),45.0)</f>
        <v>45</v>
      </c>
      <c r="S281" s="26">
        <f>IFERROR(__xludf.DUMMYFUNCTION("""COMPUTED_VALUE"""),19890.0)</f>
        <v>19890</v>
      </c>
      <c r="T281" s="26">
        <f>IFERROR(__xludf.DUMMYFUNCTION("""COMPUTED_VALUE"""),7875.0)</f>
        <v>7875</v>
      </c>
      <c r="U281" s="26">
        <f>IFERROR(__xludf.DUMMYFUNCTION("""COMPUTED_VALUE"""),10908.900000000001)</f>
        <v>10908.9</v>
      </c>
      <c r="V281" s="26">
        <f>IFERROR(__xludf.DUMMYFUNCTION("""COMPUTED_VALUE"""),0.0)</f>
        <v>0</v>
      </c>
      <c r="W281" s="26">
        <f>IFERROR(__xludf.DUMMYFUNCTION("""COMPUTED_VALUE"""),0.0)</f>
        <v>0</v>
      </c>
      <c r="X281" s="26">
        <f>IFERROR(__xludf.DUMMYFUNCTION("""COMPUTED_VALUE"""),3033.900000000002)</f>
        <v>3033.9</v>
      </c>
      <c r="Y281" s="26">
        <f>IFERROR(__xludf.DUMMYFUNCTION("""COMPUTED_VALUE"""),3033.900000000002)</f>
        <v>3033.9</v>
      </c>
      <c r="Z281" s="26">
        <f>IFERROR(__xludf.DUMMYFUNCTION("""COMPUTED_VALUE"""),0.0)</f>
        <v>0</v>
      </c>
      <c r="AA281" s="26">
        <f>IFERROR(__xludf.DUMMYFUNCTION("""COMPUTED_VALUE"""),0.0)</f>
        <v>0</v>
      </c>
      <c r="AB281" s="26">
        <f>IFERROR(__xludf.DUMMYFUNCTION("""COMPUTED_VALUE"""),0.0)</f>
        <v>0</v>
      </c>
      <c r="AC281" s="26">
        <f>IFERROR(__xludf.DUMMYFUNCTION("""COMPUTED_VALUE"""),0.0)</f>
        <v>0</v>
      </c>
      <c r="AD281" s="26">
        <f>IFERROR(__xludf.DUMMYFUNCTION("""COMPUTED_VALUE"""),0.0)</f>
        <v>0</v>
      </c>
      <c r="AE281" s="26">
        <f>IFERROR(__xludf.DUMMYFUNCTION("""COMPUTED_VALUE"""),0.0)</f>
        <v>0</v>
      </c>
    </row>
    <row r="282">
      <c r="A282" s="26">
        <f>IFERROR(__xludf.DUMMYFUNCTION("""COMPUTED_VALUE"""),47.0)</f>
        <v>47</v>
      </c>
      <c r="B282" s="26">
        <f>IFERROR(__xludf.DUMMYFUNCTION("""COMPUTED_VALUE"""),0.0)</f>
        <v>0</v>
      </c>
      <c r="C282" s="26">
        <f>IFERROR(__xludf.DUMMYFUNCTION("""COMPUTED_VALUE"""),0.0)</f>
        <v>0</v>
      </c>
      <c r="D282" s="26">
        <f>IFERROR(__xludf.DUMMYFUNCTION("""COMPUTED_VALUE"""),0.0)</f>
        <v>0</v>
      </c>
      <c r="E282" s="26">
        <f>IFERROR(__xludf.DUMMYFUNCTION("""COMPUTED_VALUE"""),0.0)</f>
        <v>0</v>
      </c>
      <c r="F282" s="26">
        <f>IFERROR(__xludf.DUMMYFUNCTION("""COMPUTED_VALUE"""),0.0)</f>
        <v>0</v>
      </c>
      <c r="G282" s="26">
        <f>IFERROR(__xludf.DUMMYFUNCTION("""COMPUTED_VALUE"""),0.0)</f>
        <v>0</v>
      </c>
      <c r="H282" s="26">
        <f>IFERROR(__xludf.DUMMYFUNCTION("""COMPUTED_VALUE"""),0.0)</f>
        <v>0</v>
      </c>
      <c r="I282" s="26">
        <f>IFERROR(__xludf.DUMMYFUNCTION("""COMPUTED_VALUE"""),0.0)</f>
        <v>0</v>
      </c>
      <c r="J282" s="26">
        <f>IFERROR(__xludf.DUMMYFUNCTION("""COMPUTED_VALUE"""),0.0)</f>
        <v>0</v>
      </c>
      <c r="K282" s="26">
        <f>IFERROR(__xludf.DUMMYFUNCTION("""COMPUTED_VALUE"""),0.0)</f>
        <v>0</v>
      </c>
      <c r="L282" s="26">
        <f>IFERROR(__xludf.DUMMYFUNCTION("""COMPUTED_VALUE"""),0.0)</f>
        <v>0</v>
      </c>
      <c r="M282" s="26"/>
      <c r="N282" s="26"/>
      <c r="O282" s="26"/>
      <c r="P282" s="26"/>
      <c r="Q282" s="26"/>
      <c r="R282" s="26">
        <f>IFERROR(__xludf.DUMMYFUNCTION("""COMPUTED_VALUE"""),47.0)</f>
        <v>47</v>
      </c>
      <c r="S282" s="26">
        <f>IFERROR(__xludf.DUMMYFUNCTION("""COMPUTED_VALUE"""),20774.0)</f>
        <v>20774</v>
      </c>
      <c r="T282" s="26">
        <f>IFERROR(__xludf.DUMMYFUNCTION("""COMPUTED_VALUE"""),8225.0)</f>
        <v>8225</v>
      </c>
      <c r="U282" s="26">
        <f>IFERROR(__xludf.DUMMYFUNCTION("""COMPUTED_VALUE"""),11393.740000000002)</f>
        <v>11393.74</v>
      </c>
      <c r="V282" s="26">
        <f>IFERROR(__xludf.DUMMYFUNCTION("""COMPUTED_VALUE"""),0.0)</f>
        <v>0</v>
      </c>
      <c r="W282" s="26">
        <f>IFERROR(__xludf.DUMMYFUNCTION("""COMPUTED_VALUE"""),0.0)</f>
        <v>0</v>
      </c>
      <c r="X282" s="26">
        <f>IFERROR(__xludf.DUMMYFUNCTION("""COMPUTED_VALUE"""),3168.740000000002)</f>
        <v>3168.74</v>
      </c>
      <c r="Y282" s="26">
        <f>IFERROR(__xludf.DUMMYFUNCTION("""COMPUTED_VALUE"""),3168.740000000002)</f>
        <v>3168.74</v>
      </c>
      <c r="Z282" s="26">
        <f>IFERROR(__xludf.DUMMYFUNCTION("""COMPUTED_VALUE"""),0.0)</f>
        <v>0</v>
      </c>
      <c r="AA282" s="26">
        <f>IFERROR(__xludf.DUMMYFUNCTION("""COMPUTED_VALUE"""),0.0)</f>
        <v>0</v>
      </c>
      <c r="AB282" s="26">
        <f>IFERROR(__xludf.DUMMYFUNCTION("""COMPUTED_VALUE"""),0.0)</f>
        <v>0</v>
      </c>
      <c r="AC282" s="26">
        <f>IFERROR(__xludf.DUMMYFUNCTION("""COMPUTED_VALUE"""),0.0)</f>
        <v>0</v>
      </c>
      <c r="AD282" s="26">
        <f>IFERROR(__xludf.DUMMYFUNCTION("""COMPUTED_VALUE"""),0.0)</f>
        <v>0</v>
      </c>
      <c r="AE282" s="26">
        <f>IFERROR(__xludf.DUMMYFUNCTION("""COMPUTED_VALUE"""),0.0)</f>
        <v>0</v>
      </c>
    </row>
    <row r="283">
      <c r="A283" s="26">
        <f>IFERROR(__xludf.DUMMYFUNCTION("""COMPUTED_VALUE"""),3.0)</f>
        <v>3</v>
      </c>
      <c r="B283" s="26">
        <f>IFERROR(__xludf.DUMMYFUNCTION("""COMPUTED_VALUE"""),0.0)</f>
        <v>0</v>
      </c>
      <c r="C283" s="26">
        <f>IFERROR(__xludf.DUMMYFUNCTION("""COMPUTED_VALUE"""),0.0)</f>
        <v>0</v>
      </c>
      <c r="D283" s="26">
        <f>IFERROR(__xludf.DUMMYFUNCTION("""COMPUTED_VALUE"""),0.0)</f>
        <v>0</v>
      </c>
      <c r="E283" s="26">
        <f>IFERROR(__xludf.DUMMYFUNCTION("""COMPUTED_VALUE"""),0.0)</f>
        <v>0</v>
      </c>
      <c r="F283" s="26">
        <f>IFERROR(__xludf.DUMMYFUNCTION("""COMPUTED_VALUE"""),0.0)</f>
        <v>0</v>
      </c>
      <c r="G283" s="26">
        <f>IFERROR(__xludf.DUMMYFUNCTION("""COMPUTED_VALUE"""),0.0)</f>
        <v>0</v>
      </c>
      <c r="H283" s="26">
        <f>IFERROR(__xludf.DUMMYFUNCTION("""COMPUTED_VALUE"""),0.0)</f>
        <v>0</v>
      </c>
      <c r="I283" s="26">
        <f>IFERROR(__xludf.DUMMYFUNCTION("""COMPUTED_VALUE"""),0.0)</f>
        <v>0</v>
      </c>
      <c r="J283" s="26">
        <f>IFERROR(__xludf.DUMMYFUNCTION("""COMPUTED_VALUE"""),0.0)</f>
        <v>0</v>
      </c>
      <c r="K283" s="26">
        <f>IFERROR(__xludf.DUMMYFUNCTION("""COMPUTED_VALUE"""),0.0)</f>
        <v>0</v>
      </c>
      <c r="L283" s="26">
        <f>IFERROR(__xludf.DUMMYFUNCTION("""COMPUTED_VALUE"""),0.0)</f>
        <v>0</v>
      </c>
      <c r="M283" s="26"/>
      <c r="N283" s="26"/>
      <c r="O283" s="26"/>
      <c r="P283" s="26"/>
      <c r="Q283" s="26"/>
      <c r="R283" s="26">
        <f>IFERROR(__xludf.DUMMYFUNCTION("""COMPUTED_VALUE"""),3.0)</f>
        <v>3</v>
      </c>
      <c r="S283" s="26">
        <f>IFERROR(__xludf.DUMMYFUNCTION("""COMPUTED_VALUE"""),1326.0)</f>
        <v>1326</v>
      </c>
      <c r="T283" s="26">
        <f>IFERROR(__xludf.DUMMYFUNCTION("""COMPUTED_VALUE"""),525.0)</f>
        <v>525</v>
      </c>
      <c r="U283" s="26">
        <f>IFERROR(__xludf.DUMMYFUNCTION("""COMPUTED_VALUE"""),727.26)</f>
        <v>727.26</v>
      </c>
      <c r="V283" s="26">
        <f>IFERROR(__xludf.DUMMYFUNCTION("""COMPUTED_VALUE"""),0.0)</f>
        <v>0</v>
      </c>
      <c r="W283" s="26">
        <f>IFERROR(__xludf.DUMMYFUNCTION("""COMPUTED_VALUE"""),0.0)</f>
        <v>0</v>
      </c>
      <c r="X283" s="26">
        <f>IFERROR(__xludf.DUMMYFUNCTION("""COMPUTED_VALUE"""),202.26)</f>
        <v>202.26</v>
      </c>
      <c r="Y283" s="26">
        <f>IFERROR(__xludf.DUMMYFUNCTION("""COMPUTED_VALUE"""),202.26)</f>
        <v>202.26</v>
      </c>
      <c r="Z283" s="26">
        <f>IFERROR(__xludf.DUMMYFUNCTION("""COMPUTED_VALUE"""),0.0)</f>
        <v>0</v>
      </c>
      <c r="AA283" s="26">
        <f>IFERROR(__xludf.DUMMYFUNCTION("""COMPUTED_VALUE"""),0.0)</f>
        <v>0</v>
      </c>
      <c r="AB283" s="26">
        <f>IFERROR(__xludf.DUMMYFUNCTION("""COMPUTED_VALUE"""),0.0)</f>
        <v>0</v>
      </c>
      <c r="AC283" s="26">
        <f>IFERROR(__xludf.DUMMYFUNCTION("""COMPUTED_VALUE"""),0.0)</f>
        <v>0</v>
      </c>
      <c r="AD283" s="26">
        <f>IFERROR(__xludf.DUMMYFUNCTION("""COMPUTED_VALUE"""),0.0)</f>
        <v>0</v>
      </c>
      <c r="AE283" s="26">
        <f>IFERROR(__xludf.DUMMYFUNCTION("""COMPUTED_VALUE"""),0.0)</f>
        <v>0</v>
      </c>
    </row>
    <row r="284">
      <c r="A284" s="26">
        <f>IFERROR(__xludf.DUMMYFUNCTION("""COMPUTED_VALUE"""),13.0)</f>
        <v>13</v>
      </c>
      <c r="B284" s="26">
        <f>IFERROR(__xludf.DUMMYFUNCTION("""COMPUTED_VALUE"""),0.0)</f>
        <v>0</v>
      </c>
      <c r="C284" s="26">
        <f>IFERROR(__xludf.DUMMYFUNCTION("""COMPUTED_VALUE"""),0.0)</f>
        <v>0</v>
      </c>
      <c r="D284" s="26">
        <f>IFERROR(__xludf.DUMMYFUNCTION("""COMPUTED_VALUE"""),0.0)</f>
        <v>0</v>
      </c>
      <c r="E284" s="26">
        <f>IFERROR(__xludf.DUMMYFUNCTION("""COMPUTED_VALUE"""),0.0)</f>
        <v>0</v>
      </c>
      <c r="F284" s="26">
        <f>IFERROR(__xludf.DUMMYFUNCTION("""COMPUTED_VALUE"""),0.0)</f>
        <v>0</v>
      </c>
      <c r="G284" s="26">
        <f>IFERROR(__xludf.DUMMYFUNCTION("""COMPUTED_VALUE"""),0.0)</f>
        <v>0</v>
      </c>
      <c r="H284" s="26">
        <f>IFERROR(__xludf.DUMMYFUNCTION("""COMPUTED_VALUE"""),0.0)</f>
        <v>0</v>
      </c>
      <c r="I284" s="26">
        <f>IFERROR(__xludf.DUMMYFUNCTION("""COMPUTED_VALUE"""),0.0)</f>
        <v>0</v>
      </c>
      <c r="J284" s="26">
        <f>IFERROR(__xludf.DUMMYFUNCTION("""COMPUTED_VALUE"""),0.0)</f>
        <v>0</v>
      </c>
      <c r="K284" s="26">
        <f>IFERROR(__xludf.DUMMYFUNCTION("""COMPUTED_VALUE"""),0.0)</f>
        <v>0</v>
      </c>
      <c r="L284" s="26">
        <f>IFERROR(__xludf.DUMMYFUNCTION("""COMPUTED_VALUE"""),0.0)</f>
        <v>0</v>
      </c>
      <c r="M284" s="26"/>
      <c r="N284" s="26"/>
      <c r="O284" s="26"/>
      <c r="P284" s="26"/>
      <c r="Q284" s="26"/>
      <c r="R284" s="26">
        <f>IFERROR(__xludf.DUMMYFUNCTION("""COMPUTED_VALUE"""),13.0)</f>
        <v>13</v>
      </c>
      <c r="S284" s="26">
        <f>IFERROR(__xludf.DUMMYFUNCTION("""COMPUTED_VALUE"""),5746.0)</f>
        <v>5746</v>
      </c>
      <c r="T284" s="26">
        <f>IFERROR(__xludf.DUMMYFUNCTION("""COMPUTED_VALUE"""),2275.0)</f>
        <v>2275</v>
      </c>
      <c r="U284" s="26">
        <f>IFERROR(__xludf.DUMMYFUNCTION("""COMPUTED_VALUE"""),3151.46)</f>
        <v>3151.46</v>
      </c>
      <c r="V284" s="26">
        <f>IFERROR(__xludf.DUMMYFUNCTION("""COMPUTED_VALUE"""),0.0)</f>
        <v>0</v>
      </c>
      <c r="W284" s="26">
        <f>IFERROR(__xludf.DUMMYFUNCTION("""COMPUTED_VALUE"""),0.0)</f>
        <v>0</v>
      </c>
      <c r="X284" s="26">
        <f>IFERROR(__xludf.DUMMYFUNCTION("""COMPUTED_VALUE"""),876.4599999999998)</f>
        <v>876.46</v>
      </c>
      <c r="Y284" s="26">
        <f>IFERROR(__xludf.DUMMYFUNCTION("""COMPUTED_VALUE"""),876.4599999999998)</f>
        <v>876.46</v>
      </c>
      <c r="Z284" s="26">
        <f>IFERROR(__xludf.DUMMYFUNCTION("""COMPUTED_VALUE"""),0.0)</f>
        <v>0</v>
      </c>
      <c r="AA284" s="26">
        <f>IFERROR(__xludf.DUMMYFUNCTION("""COMPUTED_VALUE"""),0.0)</f>
        <v>0</v>
      </c>
      <c r="AB284" s="26">
        <f>IFERROR(__xludf.DUMMYFUNCTION("""COMPUTED_VALUE"""),0.0)</f>
        <v>0</v>
      </c>
      <c r="AC284" s="26">
        <f>IFERROR(__xludf.DUMMYFUNCTION("""COMPUTED_VALUE"""),0.0)</f>
        <v>0</v>
      </c>
      <c r="AD284" s="26">
        <f>IFERROR(__xludf.DUMMYFUNCTION("""COMPUTED_VALUE"""),0.0)</f>
        <v>0</v>
      </c>
      <c r="AE284" s="26">
        <f>IFERROR(__xludf.DUMMYFUNCTION("""COMPUTED_VALUE"""),0.0)</f>
        <v>0</v>
      </c>
    </row>
    <row r="285">
      <c r="A285" s="26">
        <f>IFERROR(__xludf.DUMMYFUNCTION("""COMPUTED_VALUE"""),0.0)</f>
        <v>0</v>
      </c>
      <c r="B285" s="26">
        <f>IFERROR(__xludf.DUMMYFUNCTION("""COMPUTED_VALUE"""),0.0)</f>
        <v>0</v>
      </c>
      <c r="C285" s="26">
        <f>IFERROR(__xludf.DUMMYFUNCTION("""COMPUTED_VALUE"""),0.0)</f>
        <v>0</v>
      </c>
      <c r="D285" s="26">
        <f>IFERROR(__xludf.DUMMYFUNCTION("""COMPUTED_VALUE"""),0.0)</f>
        <v>0</v>
      </c>
      <c r="E285" s="26">
        <f>IFERROR(__xludf.DUMMYFUNCTION("""COMPUTED_VALUE"""),0.0)</f>
        <v>0</v>
      </c>
      <c r="F285" s="26">
        <f>IFERROR(__xludf.DUMMYFUNCTION("""COMPUTED_VALUE"""),0.0)</f>
        <v>0</v>
      </c>
      <c r="G285" s="26">
        <f>IFERROR(__xludf.DUMMYFUNCTION("""COMPUTED_VALUE"""),0.0)</f>
        <v>0</v>
      </c>
      <c r="H285" s="26">
        <f>IFERROR(__xludf.DUMMYFUNCTION("""COMPUTED_VALUE"""),0.0)</f>
        <v>0</v>
      </c>
      <c r="I285" s="26">
        <f>IFERROR(__xludf.DUMMYFUNCTION("""COMPUTED_VALUE"""),0.0)</f>
        <v>0</v>
      </c>
      <c r="J285" s="26">
        <f>IFERROR(__xludf.DUMMYFUNCTION("""COMPUTED_VALUE"""),0.0)</f>
        <v>0</v>
      </c>
      <c r="K285" s="26">
        <f>IFERROR(__xludf.DUMMYFUNCTION("""COMPUTED_VALUE"""),0.0)</f>
        <v>0</v>
      </c>
      <c r="L285" s="26">
        <f>IFERROR(__xludf.DUMMYFUNCTION("""COMPUTED_VALUE"""),0.0)</f>
        <v>0</v>
      </c>
      <c r="M285" s="26"/>
      <c r="N285" s="26"/>
      <c r="O285" s="26"/>
      <c r="P285" s="26"/>
      <c r="Q285" s="26"/>
      <c r="R285" s="26">
        <f>IFERROR(__xludf.DUMMYFUNCTION("""COMPUTED_VALUE"""),0.0)</f>
        <v>0</v>
      </c>
      <c r="S285" s="26">
        <f>IFERROR(__xludf.DUMMYFUNCTION("""COMPUTED_VALUE"""),0.0)</f>
        <v>0</v>
      </c>
      <c r="T285" s="26">
        <f>IFERROR(__xludf.DUMMYFUNCTION("""COMPUTED_VALUE"""),0.0)</f>
        <v>0</v>
      </c>
      <c r="U285" s="26">
        <f>IFERROR(__xludf.DUMMYFUNCTION("""COMPUTED_VALUE"""),0.0)</f>
        <v>0</v>
      </c>
      <c r="V285" s="26">
        <f>IFERROR(__xludf.DUMMYFUNCTION("""COMPUTED_VALUE"""),0.0)</f>
        <v>0</v>
      </c>
      <c r="W285" s="26">
        <f>IFERROR(__xludf.DUMMYFUNCTION("""COMPUTED_VALUE"""),0.0)</f>
        <v>0</v>
      </c>
      <c r="X285" s="26">
        <f>IFERROR(__xludf.DUMMYFUNCTION("""COMPUTED_VALUE"""),0.0)</f>
        <v>0</v>
      </c>
      <c r="Y285" s="26">
        <f>IFERROR(__xludf.DUMMYFUNCTION("""COMPUTED_VALUE"""),0.0)</f>
        <v>0</v>
      </c>
      <c r="Z285" s="26">
        <f>IFERROR(__xludf.DUMMYFUNCTION("""COMPUTED_VALUE"""),0.0)</f>
        <v>0</v>
      </c>
      <c r="AA285" s="26">
        <f>IFERROR(__xludf.DUMMYFUNCTION("""COMPUTED_VALUE"""),0.0)</f>
        <v>0</v>
      </c>
      <c r="AB285" s="26">
        <f>IFERROR(__xludf.DUMMYFUNCTION("""COMPUTED_VALUE"""),0.0)</f>
        <v>0</v>
      </c>
      <c r="AC285" s="26">
        <f>IFERROR(__xludf.DUMMYFUNCTION("""COMPUTED_VALUE"""),0.0)</f>
        <v>0</v>
      </c>
      <c r="AD285" s="26">
        <f>IFERROR(__xludf.DUMMYFUNCTION("""COMPUTED_VALUE"""),0.0)</f>
        <v>0</v>
      </c>
      <c r="AE285" s="26">
        <f>IFERROR(__xludf.DUMMYFUNCTION("""COMPUTED_VALUE"""),0.0)</f>
        <v>0</v>
      </c>
    </row>
    <row r="286">
      <c r="A286" s="26">
        <f>IFERROR(__xludf.DUMMYFUNCTION("""COMPUTED_VALUE"""),12.0)</f>
        <v>12</v>
      </c>
      <c r="B286" s="26">
        <f>IFERROR(__xludf.DUMMYFUNCTION("""COMPUTED_VALUE"""),0.0)</f>
        <v>0</v>
      </c>
      <c r="C286" s="26">
        <f>IFERROR(__xludf.DUMMYFUNCTION("""COMPUTED_VALUE"""),0.0)</f>
        <v>0</v>
      </c>
      <c r="D286" s="26">
        <f>IFERROR(__xludf.DUMMYFUNCTION("""COMPUTED_VALUE"""),0.0)</f>
        <v>0</v>
      </c>
      <c r="E286" s="26">
        <f>IFERROR(__xludf.DUMMYFUNCTION("""COMPUTED_VALUE"""),0.0)</f>
        <v>0</v>
      </c>
      <c r="F286" s="26">
        <f>IFERROR(__xludf.DUMMYFUNCTION("""COMPUTED_VALUE"""),0.0)</f>
        <v>0</v>
      </c>
      <c r="G286" s="26">
        <f>IFERROR(__xludf.DUMMYFUNCTION("""COMPUTED_VALUE"""),0.0)</f>
        <v>0</v>
      </c>
      <c r="H286" s="26">
        <f>IFERROR(__xludf.DUMMYFUNCTION("""COMPUTED_VALUE"""),0.0)</f>
        <v>0</v>
      </c>
      <c r="I286" s="26">
        <f>IFERROR(__xludf.DUMMYFUNCTION("""COMPUTED_VALUE"""),0.0)</f>
        <v>0</v>
      </c>
      <c r="J286" s="26">
        <f>IFERROR(__xludf.DUMMYFUNCTION("""COMPUTED_VALUE"""),0.0)</f>
        <v>0</v>
      </c>
      <c r="K286" s="26">
        <f>IFERROR(__xludf.DUMMYFUNCTION("""COMPUTED_VALUE"""),0.0)</f>
        <v>0</v>
      </c>
      <c r="L286" s="26">
        <f>IFERROR(__xludf.DUMMYFUNCTION("""COMPUTED_VALUE"""),0.0)</f>
        <v>0</v>
      </c>
      <c r="M286" s="26"/>
      <c r="N286" s="26"/>
      <c r="O286" s="26"/>
      <c r="P286" s="26"/>
      <c r="Q286" s="26"/>
      <c r="R286" s="26">
        <f>IFERROR(__xludf.DUMMYFUNCTION("""COMPUTED_VALUE"""),12.0)</f>
        <v>12</v>
      </c>
      <c r="S286" s="26">
        <f>IFERROR(__xludf.DUMMYFUNCTION("""COMPUTED_VALUE"""),5304.0)</f>
        <v>5304</v>
      </c>
      <c r="T286" s="26">
        <f>IFERROR(__xludf.DUMMYFUNCTION("""COMPUTED_VALUE"""),2100.0)</f>
        <v>2100</v>
      </c>
      <c r="U286" s="26">
        <f>IFERROR(__xludf.DUMMYFUNCTION("""COMPUTED_VALUE"""),2909.04)</f>
        <v>2909.04</v>
      </c>
      <c r="V286" s="26">
        <f>IFERROR(__xludf.DUMMYFUNCTION("""COMPUTED_VALUE"""),0.0)</f>
        <v>0</v>
      </c>
      <c r="W286" s="26">
        <f>IFERROR(__xludf.DUMMYFUNCTION("""COMPUTED_VALUE"""),0.0)</f>
        <v>0</v>
      </c>
      <c r="X286" s="26">
        <f>IFERROR(__xludf.DUMMYFUNCTION("""COMPUTED_VALUE"""),809.0399999999998)</f>
        <v>809.04</v>
      </c>
      <c r="Y286" s="26">
        <f>IFERROR(__xludf.DUMMYFUNCTION("""COMPUTED_VALUE"""),809.0399999999998)</f>
        <v>809.04</v>
      </c>
      <c r="Z286" s="26">
        <f>IFERROR(__xludf.DUMMYFUNCTION("""COMPUTED_VALUE"""),0.0)</f>
        <v>0</v>
      </c>
      <c r="AA286" s="26">
        <f>IFERROR(__xludf.DUMMYFUNCTION("""COMPUTED_VALUE"""),0.0)</f>
        <v>0</v>
      </c>
      <c r="AB286" s="26">
        <f>IFERROR(__xludf.DUMMYFUNCTION("""COMPUTED_VALUE"""),0.0)</f>
        <v>0</v>
      </c>
      <c r="AC286" s="26">
        <f>IFERROR(__xludf.DUMMYFUNCTION("""COMPUTED_VALUE"""),0.0)</f>
        <v>0</v>
      </c>
      <c r="AD286" s="26">
        <f>IFERROR(__xludf.DUMMYFUNCTION("""COMPUTED_VALUE"""),0.0)</f>
        <v>0</v>
      </c>
      <c r="AE286" s="26">
        <f>IFERROR(__xludf.DUMMYFUNCTION("""COMPUTED_VALUE"""),0.0)</f>
        <v>0</v>
      </c>
    </row>
    <row r="287">
      <c r="A287" s="26">
        <f>IFERROR(__xludf.DUMMYFUNCTION("""COMPUTED_VALUE"""),21.0)</f>
        <v>21</v>
      </c>
      <c r="B287" s="26">
        <f>IFERROR(__xludf.DUMMYFUNCTION("""COMPUTED_VALUE"""),0.0)</f>
        <v>0</v>
      </c>
      <c r="C287" s="26">
        <f>IFERROR(__xludf.DUMMYFUNCTION("""COMPUTED_VALUE"""),0.0)</f>
        <v>0</v>
      </c>
      <c r="D287" s="26">
        <f>IFERROR(__xludf.DUMMYFUNCTION("""COMPUTED_VALUE"""),0.0)</f>
        <v>0</v>
      </c>
      <c r="E287" s="26">
        <f>IFERROR(__xludf.DUMMYFUNCTION("""COMPUTED_VALUE"""),0.0)</f>
        <v>0</v>
      </c>
      <c r="F287" s="26">
        <f>IFERROR(__xludf.DUMMYFUNCTION("""COMPUTED_VALUE"""),0.0)</f>
        <v>0</v>
      </c>
      <c r="G287" s="26">
        <f>IFERROR(__xludf.DUMMYFUNCTION("""COMPUTED_VALUE"""),0.0)</f>
        <v>0</v>
      </c>
      <c r="H287" s="26">
        <f>IFERROR(__xludf.DUMMYFUNCTION("""COMPUTED_VALUE"""),0.0)</f>
        <v>0</v>
      </c>
      <c r="I287" s="26">
        <f>IFERROR(__xludf.DUMMYFUNCTION("""COMPUTED_VALUE"""),0.0)</f>
        <v>0</v>
      </c>
      <c r="J287" s="26">
        <f>IFERROR(__xludf.DUMMYFUNCTION("""COMPUTED_VALUE"""),0.0)</f>
        <v>0</v>
      </c>
      <c r="K287" s="26">
        <f>IFERROR(__xludf.DUMMYFUNCTION("""COMPUTED_VALUE"""),0.0)</f>
        <v>0</v>
      </c>
      <c r="L287" s="26">
        <f>IFERROR(__xludf.DUMMYFUNCTION("""COMPUTED_VALUE"""),0.0)</f>
        <v>0</v>
      </c>
      <c r="M287" s="26"/>
      <c r="N287" s="26"/>
      <c r="O287" s="26"/>
      <c r="P287" s="26"/>
      <c r="Q287" s="26"/>
      <c r="R287" s="26">
        <f>IFERROR(__xludf.DUMMYFUNCTION("""COMPUTED_VALUE"""),21.0)</f>
        <v>21</v>
      </c>
      <c r="S287" s="26">
        <f>IFERROR(__xludf.DUMMYFUNCTION("""COMPUTED_VALUE"""),9282.0)</f>
        <v>9282</v>
      </c>
      <c r="T287" s="26">
        <f>IFERROR(__xludf.DUMMYFUNCTION("""COMPUTED_VALUE"""),3675.0)</f>
        <v>3675</v>
      </c>
      <c r="U287" s="26">
        <f>IFERROR(__xludf.DUMMYFUNCTION("""COMPUTED_VALUE"""),5090.82)</f>
        <v>5090.82</v>
      </c>
      <c r="V287" s="26">
        <f>IFERROR(__xludf.DUMMYFUNCTION("""COMPUTED_VALUE"""),0.0)</f>
        <v>0</v>
      </c>
      <c r="W287" s="26">
        <f>IFERROR(__xludf.DUMMYFUNCTION("""COMPUTED_VALUE"""),0.0)</f>
        <v>0</v>
      </c>
      <c r="X287" s="26">
        <f>IFERROR(__xludf.DUMMYFUNCTION("""COMPUTED_VALUE"""),1415.8200000000002)</f>
        <v>1415.82</v>
      </c>
      <c r="Y287" s="26">
        <f>IFERROR(__xludf.DUMMYFUNCTION("""COMPUTED_VALUE"""),1415.8200000000002)</f>
        <v>1415.82</v>
      </c>
      <c r="Z287" s="26">
        <f>IFERROR(__xludf.DUMMYFUNCTION("""COMPUTED_VALUE"""),0.0)</f>
        <v>0</v>
      </c>
      <c r="AA287" s="26">
        <f>IFERROR(__xludf.DUMMYFUNCTION("""COMPUTED_VALUE"""),0.0)</f>
        <v>0</v>
      </c>
      <c r="AB287" s="26">
        <f>IFERROR(__xludf.DUMMYFUNCTION("""COMPUTED_VALUE"""),0.0)</f>
        <v>0</v>
      </c>
      <c r="AC287" s="26">
        <f>IFERROR(__xludf.DUMMYFUNCTION("""COMPUTED_VALUE"""),0.0)</f>
        <v>0</v>
      </c>
      <c r="AD287" s="26">
        <f>IFERROR(__xludf.DUMMYFUNCTION("""COMPUTED_VALUE"""),0.0)</f>
        <v>0</v>
      </c>
      <c r="AE287" s="26">
        <f>IFERROR(__xludf.DUMMYFUNCTION("""COMPUTED_VALUE"""),0.0)</f>
        <v>0</v>
      </c>
    </row>
    <row r="288">
      <c r="A288" s="26">
        <f>IFERROR(__xludf.DUMMYFUNCTION("""COMPUTED_VALUE"""),0.0)</f>
        <v>0</v>
      </c>
      <c r="B288" s="26">
        <f>IFERROR(__xludf.DUMMYFUNCTION("""COMPUTED_VALUE"""),0.0)</f>
        <v>0</v>
      </c>
      <c r="C288" s="26">
        <f>IFERROR(__xludf.DUMMYFUNCTION("""COMPUTED_VALUE"""),0.0)</f>
        <v>0</v>
      </c>
      <c r="D288" s="26">
        <f>IFERROR(__xludf.DUMMYFUNCTION("""COMPUTED_VALUE"""),0.0)</f>
        <v>0</v>
      </c>
      <c r="E288" s="26">
        <f>IFERROR(__xludf.DUMMYFUNCTION("""COMPUTED_VALUE"""),0.0)</f>
        <v>0</v>
      </c>
      <c r="F288" s="26">
        <f>IFERROR(__xludf.DUMMYFUNCTION("""COMPUTED_VALUE"""),0.0)</f>
        <v>0</v>
      </c>
      <c r="G288" s="26">
        <f>IFERROR(__xludf.DUMMYFUNCTION("""COMPUTED_VALUE"""),0.0)</f>
        <v>0</v>
      </c>
      <c r="H288" s="26">
        <f>IFERROR(__xludf.DUMMYFUNCTION("""COMPUTED_VALUE"""),0.0)</f>
        <v>0</v>
      </c>
      <c r="I288" s="26">
        <f>IFERROR(__xludf.DUMMYFUNCTION("""COMPUTED_VALUE"""),0.0)</f>
        <v>0</v>
      </c>
      <c r="J288" s="26">
        <f>IFERROR(__xludf.DUMMYFUNCTION("""COMPUTED_VALUE"""),0.0)</f>
        <v>0</v>
      </c>
      <c r="K288" s="26">
        <f>IFERROR(__xludf.DUMMYFUNCTION("""COMPUTED_VALUE"""),0.0)</f>
        <v>0</v>
      </c>
      <c r="L288" s="26">
        <f>IFERROR(__xludf.DUMMYFUNCTION("""COMPUTED_VALUE"""),0.0)</f>
        <v>0</v>
      </c>
      <c r="M288" s="26"/>
      <c r="N288" s="26"/>
      <c r="O288" s="26"/>
      <c r="P288" s="26"/>
      <c r="Q288" s="26"/>
      <c r="R288" s="26">
        <f>IFERROR(__xludf.DUMMYFUNCTION("""COMPUTED_VALUE"""),0.0)</f>
        <v>0</v>
      </c>
      <c r="S288" s="26">
        <f>IFERROR(__xludf.DUMMYFUNCTION("""COMPUTED_VALUE"""),0.0)</f>
        <v>0</v>
      </c>
      <c r="T288" s="26">
        <f>IFERROR(__xludf.DUMMYFUNCTION("""COMPUTED_VALUE"""),0.0)</f>
        <v>0</v>
      </c>
      <c r="U288" s="26">
        <f>IFERROR(__xludf.DUMMYFUNCTION("""COMPUTED_VALUE"""),0.0)</f>
        <v>0</v>
      </c>
      <c r="V288" s="26">
        <f>IFERROR(__xludf.DUMMYFUNCTION("""COMPUTED_VALUE"""),0.0)</f>
        <v>0</v>
      </c>
      <c r="W288" s="26">
        <f>IFERROR(__xludf.DUMMYFUNCTION("""COMPUTED_VALUE"""),0.0)</f>
        <v>0</v>
      </c>
      <c r="X288" s="26">
        <f>IFERROR(__xludf.DUMMYFUNCTION("""COMPUTED_VALUE"""),0.0)</f>
        <v>0</v>
      </c>
      <c r="Y288" s="26">
        <f>IFERROR(__xludf.DUMMYFUNCTION("""COMPUTED_VALUE"""),0.0)</f>
        <v>0</v>
      </c>
      <c r="Z288" s="26">
        <f>IFERROR(__xludf.DUMMYFUNCTION("""COMPUTED_VALUE"""),0.0)</f>
        <v>0</v>
      </c>
      <c r="AA288" s="26">
        <f>IFERROR(__xludf.DUMMYFUNCTION("""COMPUTED_VALUE"""),0.0)</f>
        <v>0</v>
      </c>
      <c r="AB288" s="26">
        <f>IFERROR(__xludf.DUMMYFUNCTION("""COMPUTED_VALUE"""),0.0)</f>
        <v>0</v>
      </c>
      <c r="AC288" s="26">
        <f>IFERROR(__xludf.DUMMYFUNCTION("""COMPUTED_VALUE"""),0.0)</f>
        <v>0</v>
      </c>
      <c r="AD288" s="26">
        <f>IFERROR(__xludf.DUMMYFUNCTION("""COMPUTED_VALUE"""),0.0)</f>
        <v>0</v>
      </c>
      <c r="AE288" s="26">
        <f>IFERROR(__xludf.DUMMYFUNCTION("""COMPUTED_VALUE"""),0.0)</f>
        <v>0</v>
      </c>
    </row>
    <row r="289">
      <c r="A289" s="26">
        <f>IFERROR(__xludf.DUMMYFUNCTION("""COMPUTED_VALUE"""),23.0)</f>
        <v>23</v>
      </c>
      <c r="B289" s="26">
        <f>IFERROR(__xludf.DUMMYFUNCTION("""COMPUTED_VALUE"""),0.0)</f>
        <v>0</v>
      </c>
      <c r="C289" s="26">
        <f>IFERROR(__xludf.DUMMYFUNCTION("""COMPUTED_VALUE"""),0.0)</f>
        <v>0</v>
      </c>
      <c r="D289" s="26">
        <f>IFERROR(__xludf.DUMMYFUNCTION("""COMPUTED_VALUE"""),0.0)</f>
        <v>0</v>
      </c>
      <c r="E289" s="26">
        <f>IFERROR(__xludf.DUMMYFUNCTION("""COMPUTED_VALUE"""),0.0)</f>
        <v>0</v>
      </c>
      <c r="F289" s="26">
        <f>IFERROR(__xludf.DUMMYFUNCTION("""COMPUTED_VALUE"""),0.0)</f>
        <v>0</v>
      </c>
      <c r="G289" s="26">
        <f>IFERROR(__xludf.DUMMYFUNCTION("""COMPUTED_VALUE"""),0.0)</f>
        <v>0</v>
      </c>
      <c r="H289" s="26">
        <f>IFERROR(__xludf.DUMMYFUNCTION("""COMPUTED_VALUE"""),0.0)</f>
        <v>0</v>
      </c>
      <c r="I289" s="26">
        <f>IFERROR(__xludf.DUMMYFUNCTION("""COMPUTED_VALUE"""),0.0)</f>
        <v>0</v>
      </c>
      <c r="J289" s="26">
        <f>IFERROR(__xludf.DUMMYFUNCTION("""COMPUTED_VALUE"""),0.0)</f>
        <v>0</v>
      </c>
      <c r="K289" s="26">
        <f>IFERROR(__xludf.DUMMYFUNCTION("""COMPUTED_VALUE"""),0.0)</f>
        <v>0</v>
      </c>
      <c r="L289" s="26">
        <f>IFERROR(__xludf.DUMMYFUNCTION("""COMPUTED_VALUE"""),0.0)</f>
        <v>0</v>
      </c>
      <c r="M289" s="26"/>
      <c r="N289" s="26"/>
      <c r="O289" s="26"/>
      <c r="P289" s="26"/>
      <c r="Q289" s="26"/>
      <c r="R289" s="26">
        <f>IFERROR(__xludf.DUMMYFUNCTION("""COMPUTED_VALUE"""),23.0)</f>
        <v>23</v>
      </c>
      <c r="S289" s="26">
        <f>IFERROR(__xludf.DUMMYFUNCTION("""COMPUTED_VALUE"""),10166.0)</f>
        <v>10166</v>
      </c>
      <c r="T289" s="26">
        <f>IFERROR(__xludf.DUMMYFUNCTION("""COMPUTED_VALUE"""),4025.0)</f>
        <v>4025</v>
      </c>
      <c r="U289" s="26">
        <f>IFERROR(__xludf.DUMMYFUNCTION("""COMPUTED_VALUE"""),5575.66)</f>
        <v>5575.66</v>
      </c>
      <c r="V289" s="26">
        <f>IFERROR(__xludf.DUMMYFUNCTION("""COMPUTED_VALUE"""),0.0)</f>
        <v>0</v>
      </c>
      <c r="W289" s="26">
        <f>IFERROR(__xludf.DUMMYFUNCTION("""COMPUTED_VALUE"""),0.0)</f>
        <v>0</v>
      </c>
      <c r="X289" s="26">
        <f>IFERROR(__xludf.DUMMYFUNCTION("""COMPUTED_VALUE"""),1550.6600000000003)</f>
        <v>1550.66</v>
      </c>
      <c r="Y289" s="26">
        <f>IFERROR(__xludf.DUMMYFUNCTION("""COMPUTED_VALUE"""),1550.6600000000003)</f>
        <v>1550.66</v>
      </c>
      <c r="Z289" s="26">
        <f>IFERROR(__xludf.DUMMYFUNCTION("""COMPUTED_VALUE"""),0.0)</f>
        <v>0</v>
      </c>
      <c r="AA289" s="26">
        <f>IFERROR(__xludf.DUMMYFUNCTION("""COMPUTED_VALUE"""),0.0)</f>
        <v>0</v>
      </c>
      <c r="AB289" s="26">
        <f>IFERROR(__xludf.DUMMYFUNCTION("""COMPUTED_VALUE"""),0.0)</f>
        <v>0</v>
      </c>
      <c r="AC289" s="26">
        <f>IFERROR(__xludf.DUMMYFUNCTION("""COMPUTED_VALUE"""),0.0)</f>
        <v>0</v>
      </c>
      <c r="AD289" s="26">
        <f>IFERROR(__xludf.DUMMYFUNCTION("""COMPUTED_VALUE"""),0.0)</f>
        <v>0</v>
      </c>
      <c r="AE289" s="26">
        <f>IFERROR(__xludf.DUMMYFUNCTION("""COMPUTED_VALUE"""),0.0)</f>
        <v>0</v>
      </c>
    </row>
    <row r="290">
      <c r="A290" s="26">
        <f>IFERROR(__xludf.DUMMYFUNCTION("""COMPUTED_VALUE"""),38.0)</f>
        <v>38</v>
      </c>
      <c r="B290" s="26">
        <f>IFERROR(__xludf.DUMMYFUNCTION("""COMPUTED_VALUE"""),0.0)</f>
        <v>0</v>
      </c>
      <c r="C290" s="26">
        <f>IFERROR(__xludf.DUMMYFUNCTION("""COMPUTED_VALUE"""),0.0)</f>
        <v>0</v>
      </c>
      <c r="D290" s="26">
        <f>IFERROR(__xludf.DUMMYFUNCTION("""COMPUTED_VALUE"""),0.0)</f>
        <v>0</v>
      </c>
      <c r="E290" s="26">
        <f>IFERROR(__xludf.DUMMYFUNCTION("""COMPUTED_VALUE"""),0.0)</f>
        <v>0</v>
      </c>
      <c r="F290" s="26">
        <f>IFERROR(__xludf.DUMMYFUNCTION("""COMPUTED_VALUE"""),0.0)</f>
        <v>0</v>
      </c>
      <c r="G290" s="26">
        <f>IFERROR(__xludf.DUMMYFUNCTION("""COMPUTED_VALUE"""),0.0)</f>
        <v>0</v>
      </c>
      <c r="H290" s="26">
        <f>IFERROR(__xludf.DUMMYFUNCTION("""COMPUTED_VALUE"""),0.0)</f>
        <v>0</v>
      </c>
      <c r="I290" s="26">
        <f>IFERROR(__xludf.DUMMYFUNCTION("""COMPUTED_VALUE"""),0.0)</f>
        <v>0</v>
      </c>
      <c r="J290" s="26">
        <f>IFERROR(__xludf.DUMMYFUNCTION("""COMPUTED_VALUE"""),0.0)</f>
        <v>0</v>
      </c>
      <c r="K290" s="26">
        <f>IFERROR(__xludf.DUMMYFUNCTION("""COMPUTED_VALUE"""),0.0)</f>
        <v>0</v>
      </c>
      <c r="L290" s="26">
        <f>IFERROR(__xludf.DUMMYFUNCTION("""COMPUTED_VALUE"""),0.0)</f>
        <v>0</v>
      </c>
      <c r="M290" s="26"/>
      <c r="N290" s="26"/>
      <c r="O290" s="26"/>
      <c r="P290" s="26"/>
      <c r="Q290" s="26"/>
      <c r="R290" s="26">
        <f>IFERROR(__xludf.DUMMYFUNCTION("""COMPUTED_VALUE"""),38.0)</f>
        <v>38</v>
      </c>
      <c r="S290" s="26">
        <f>IFERROR(__xludf.DUMMYFUNCTION("""COMPUTED_VALUE"""),16796.0)</f>
        <v>16796</v>
      </c>
      <c r="T290" s="26">
        <f>IFERROR(__xludf.DUMMYFUNCTION("""COMPUTED_VALUE"""),6650.0)</f>
        <v>6650</v>
      </c>
      <c r="U290" s="26">
        <f>IFERROR(__xludf.DUMMYFUNCTION("""COMPUTED_VALUE"""),9211.960000000001)</f>
        <v>9211.96</v>
      </c>
      <c r="V290" s="26">
        <f>IFERROR(__xludf.DUMMYFUNCTION("""COMPUTED_VALUE"""),0.0)</f>
        <v>0</v>
      </c>
      <c r="W290" s="26">
        <f>IFERROR(__xludf.DUMMYFUNCTION("""COMPUTED_VALUE"""),0.0)</f>
        <v>0</v>
      </c>
      <c r="X290" s="26">
        <f>IFERROR(__xludf.DUMMYFUNCTION("""COMPUTED_VALUE"""),2561.9600000000014)</f>
        <v>2561.96</v>
      </c>
      <c r="Y290" s="26">
        <f>IFERROR(__xludf.DUMMYFUNCTION("""COMPUTED_VALUE"""),2561.9600000000014)</f>
        <v>2561.96</v>
      </c>
      <c r="Z290" s="26">
        <f>IFERROR(__xludf.DUMMYFUNCTION("""COMPUTED_VALUE"""),0.0)</f>
        <v>0</v>
      </c>
      <c r="AA290" s="26">
        <f>IFERROR(__xludf.DUMMYFUNCTION("""COMPUTED_VALUE"""),0.0)</f>
        <v>0</v>
      </c>
      <c r="AB290" s="26">
        <f>IFERROR(__xludf.DUMMYFUNCTION("""COMPUTED_VALUE"""),0.0)</f>
        <v>0</v>
      </c>
      <c r="AC290" s="26">
        <f>IFERROR(__xludf.DUMMYFUNCTION("""COMPUTED_VALUE"""),0.0)</f>
        <v>0</v>
      </c>
      <c r="AD290" s="26">
        <f>IFERROR(__xludf.DUMMYFUNCTION("""COMPUTED_VALUE"""),0.0)</f>
        <v>0</v>
      </c>
      <c r="AE290" s="26">
        <f>IFERROR(__xludf.DUMMYFUNCTION("""COMPUTED_VALUE"""),0.0)</f>
        <v>0</v>
      </c>
    </row>
    <row r="291">
      <c r="A291" s="26">
        <f>IFERROR(__xludf.DUMMYFUNCTION("""COMPUTED_VALUE"""),34.0)</f>
        <v>34</v>
      </c>
      <c r="B291" s="26">
        <f>IFERROR(__xludf.DUMMYFUNCTION("""COMPUTED_VALUE"""),0.0)</f>
        <v>0</v>
      </c>
      <c r="C291" s="26">
        <f>IFERROR(__xludf.DUMMYFUNCTION("""COMPUTED_VALUE"""),0.0)</f>
        <v>0</v>
      </c>
      <c r="D291" s="26">
        <f>IFERROR(__xludf.DUMMYFUNCTION("""COMPUTED_VALUE"""),0.0)</f>
        <v>0</v>
      </c>
      <c r="E291" s="26">
        <f>IFERROR(__xludf.DUMMYFUNCTION("""COMPUTED_VALUE"""),0.0)</f>
        <v>0</v>
      </c>
      <c r="F291" s="26">
        <f>IFERROR(__xludf.DUMMYFUNCTION("""COMPUTED_VALUE"""),0.0)</f>
        <v>0</v>
      </c>
      <c r="G291" s="26">
        <f>IFERROR(__xludf.DUMMYFUNCTION("""COMPUTED_VALUE"""),0.0)</f>
        <v>0</v>
      </c>
      <c r="H291" s="26">
        <f>IFERROR(__xludf.DUMMYFUNCTION("""COMPUTED_VALUE"""),0.0)</f>
        <v>0</v>
      </c>
      <c r="I291" s="26">
        <f>IFERROR(__xludf.DUMMYFUNCTION("""COMPUTED_VALUE"""),0.0)</f>
        <v>0</v>
      </c>
      <c r="J291" s="26">
        <f>IFERROR(__xludf.DUMMYFUNCTION("""COMPUTED_VALUE"""),0.0)</f>
        <v>0</v>
      </c>
      <c r="K291" s="26">
        <f>IFERROR(__xludf.DUMMYFUNCTION("""COMPUTED_VALUE"""),0.0)</f>
        <v>0</v>
      </c>
      <c r="L291" s="26">
        <f>IFERROR(__xludf.DUMMYFUNCTION("""COMPUTED_VALUE"""),0.0)</f>
        <v>0</v>
      </c>
      <c r="M291" s="26"/>
      <c r="N291" s="26"/>
      <c r="O291" s="26"/>
      <c r="P291" s="26"/>
      <c r="Q291" s="26"/>
      <c r="R291" s="26">
        <f>IFERROR(__xludf.DUMMYFUNCTION("""COMPUTED_VALUE"""),34.0)</f>
        <v>34</v>
      </c>
      <c r="S291" s="26">
        <f>IFERROR(__xludf.DUMMYFUNCTION("""COMPUTED_VALUE"""),15028.0)</f>
        <v>15028</v>
      </c>
      <c r="T291" s="26">
        <f>IFERROR(__xludf.DUMMYFUNCTION("""COMPUTED_VALUE"""),5950.0)</f>
        <v>5950</v>
      </c>
      <c r="U291" s="26">
        <f>IFERROR(__xludf.DUMMYFUNCTION("""COMPUTED_VALUE"""),8242.28)</f>
        <v>8242.28</v>
      </c>
      <c r="V291" s="26">
        <f>IFERROR(__xludf.DUMMYFUNCTION("""COMPUTED_VALUE"""),0.0)</f>
        <v>0</v>
      </c>
      <c r="W291" s="26">
        <f>IFERROR(__xludf.DUMMYFUNCTION("""COMPUTED_VALUE"""),0.0)</f>
        <v>0</v>
      </c>
      <c r="X291" s="26">
        <f>IFERROR(__xludf.DUMMYFUNCTION("""COMPUTED_VALUE"""),2292.280000000001)</f>
        <v>2292.28</v>
      </c>
      <c r="Y291" s="26">
        <f>IFERROR(__xludf.DUMMYFUNCTION("""COMPUTED_VALUE"""),2292.280000000001)</f>
        <v>2292.28</v>
      </c>
      <c r="Z291" s="26">
        <f>IFERROR(__xludf.DUMMYFUNCTION("""COMPUTED_VALUE"""),0.0)</f>
        <v>0</v>
      </c>
      <c r="AA291" s="26">
        <f>IFERROR(__xludf.DUMMYFUNCTION("""COMPUTED_VALUE"""),0.0)</f>
        <v>0</v>
      </c>
      <c r="AB291" s="26">
        <f>IFERROR(__xludf.DUMMYFUNCTION("""COMPUTED_VALUE"""),0.0)</f>
        <v>0</v>
      </c>
      <c r="AC291" s="26">
        <f>IFERROR(__xludf.DUMMYFUNCTION("""COMPUTED_VALUE"""),0.0)</f>
        <v>0</v>
      </c>
      <c r="AD291" s="26">
        <f>IFERROR(__xludf.DUMMYFUNCTION("""COMPUTED_VALUE"""),0.0)</f>
        <v>0</v>
      </c>
      <c r="AE291" s="26">
        <f>IFERROR(__xludf.DUMMYFUNCTION("""COMPUTED_VALUE"""),0.0)</f>
        <v>0</v>
      </c>
    </row>
    <row r="292">
      <c r="A292" s="26">
        <f>IFERROR(__xludf.DUMMYFUNCTION("""COMPUTED_VALUE"""),0.0)</f>
        <v>0</v>
      </c>
      <c r="B292" s="26">
        <f>IFERROR(__xludf.DUMMYFUNCTION("""COMPUTED_VALUE"""),0.0)</f>
        <v>0</v>
      </c>
      <c r="C292" s="26">
        <f>IFERROR(__xludf.DUMMYFUNCTION("""COMPUTED_VALUE"""),0.0)</f>
        <v>0</v>
      </c>
      <c r="D292" s="26">
        <f>IFERROR(__xludf.DUMMYFUNCTION("""COMPUTED_VALUE"""),0.0)</f>
        <v>0</v>
      </c>
      <c r="E292" s="26">
        <f>IFERROR(__xludf.DUMMYFUNCTION("""COMPUTED_VALUE"""),0.0)</f>
        <v>0</v>
      </c>
      <c r="F292" s="26">
        <f>IFERROR(__xludf.DUMMYFUNCTION("""COMPUTED_VALUE"""),0.0)</f>
        <v>0</v>
      </c>
      <c r="G292" s="26">
        <f>IFERROR(__xludf.DUMMYFUNCTION("""COMPUTED_VALUE"""),0.0)</f>
        <v>0</v>
      </c>
      <c r="H292" s="26">
        <f>IFERROR(__xludf.DUMMYFUNCTION("""COMPUTED_VALUE"""),0.0)</f>
        <v>0</v>
      </c>
      <c r="I292" s="26">
        <f>IFERROR(__xludf.DUMMYFUNCTION("""COMPUTED_VALUE"""),0.0)</f>
        <v>0</v>
      </c>
      <c r="J292" s="26">
        <f>IFERROR(__xludf.DUMMYFUNCTION("""COMPUTED_VALUE"""),0.0)</f>
        <v>0</v>
      </c>
      <c r="K292" s="26">
        <f>IFERROR(__xludf.DUMMYFUNCTION("""COMPUTED_VALUE"""),0.0)</f>
        <v>0</v>
      </c>
      <c r="L292" s="26">
        <f>IFERROR(__xludf.DUMMYFUNCTION("""COMPUTED_VALUE"""),0.0)</f>
        <v>0</v>
      </c>
      <c r="M292" s="26"/>
      <c r="N292" s="26"/>
      <c r="O292" s="26"/>
      <c r="P292" s="26"/>
      <c r="Q292" s="26"/>
      <c r="R292" s="26">
        <f>IFERROR(__xludf.DUMMYFUNCTION("""COMPUTED_VALUE"""),0.0)</f>
        <v>0</v>
      </c>
      <c r="S292" s="26">
        <f>IFERROR(__xludf.DUMMYFUNCTION("""COMPUTED_VALUE"""),0.0)</f>
        <v>0</v>
      </c>
      <c r="T292" s="26">
        <f>IFERROR(__xludf.DUMMYFUNCTION("""COMPUTED_VALUE"""),0.0)</f>
        <v>0</v>
      </c>
      <c r="U292" s="26">
        <f>IFERROR(__xludf.DUMMYFUNCTION("""COMPUTED_VALUE"""),0.0)</f>
        <v>0</v>
      </c>
      <c r="V292" s="26">
        <f>IFERROR(__xludf.DUMMYFUNCTION("""COMPUTED_VALUE"""),0.0)</f>
        <v>0</v>
      </c>
      <c r="W292" s="26">
        <f>IFERROR(__xludf.DUMMYFUNCTION("""COMPUTED_VALUE"""),0.0)</f>
        <v>0</v>
      </c>
      <c r="X292" s="26">
        <f>IFERROR(__xludf.DUMMYFUNCTION("""COMPUTED_VALUE"""),0.0)</f>
        <v>0</v>
      </c>
      <c r="Y292" s="26">
        <f>IFERROR(__xludf.DUMMYFUNCTION("""COMPUTED_VALUE"""),0.0)</f>
        <v>0</v>
      </c>
      <c r="Z292" s="26">
        <f>IFERROR(__xludf.DUMMYFUNCTION("""COMPUTED_VALUE"""),0.0)</f>
        <v>0</v>
      </c>
      <c r="AA292" s="26">
        <f>IFERROR(__xludf.DUMMYFUNCTION("""COMPUTED_VALUE"""),0.0)</f>
        <v>0</v>
      </c>
      <c r="AB292" s="26">
        <f>IFERROR(__xludf.DUMMYFUNCTION("""COMPUTED_VALUE"""),0.0)</f>
        <v>0</v>
      </c>
      <c r="AC292" s="26">
        <f>IFERROR(__xludf.DUMMYFUNCTION("""COMPUTED_VALUE"""),0.0)</f>
        <v>0</v>
      </c>
      <c r="AD292" s="26">
        <f>IFERROR(__xludf.DUMMYFUNCTION("""COMPUTED_VALUE"""),0.0)</f>
        <v>0</v>
      </c>
      <c r="AE292" s="26">
        <f>IFERROR(__xludf.DUMMYFUNCTION("""COMPUTED_VALUE"""),0.0)</f>
        <v>0</v>
      </c>
    </row>
    <row r="293">
      <c r="A293" s="26">
        <f>IFERROR(__xludf.DUMMYFUNCTION("""COMPUTED_VALUE"""),20.0)</f>
        <v>20</v>
      </c>
      <c r="B293" s="26">
        <f>IFERROR(__xludf.DUMMYFUNCTION("""COMPUTED_VALUE"""),0.0)</f>
        <v>0</v>
      </c>
      <c r="C293" s="26">
        <f>IFERROR(__xludf.DUMMYFUNCTION("""COMPUTED_VALUE"""),0.0)</f>
        <v>0</v>
      </c>
      <c r="D293" s="26">
        <f>IFERROR(__xludf.DUMMYFUNCTION("""COMPUTED_VALUE"""),0.0)</f>
        <v>0</v>
      </c>
      <c r="E293" s="26">
        <f>IFERROR(__xludf.DUMMYFUNCTION("""COMPUTED_VALUE"""),0.0)</f>
        <v>0</v>
      </c>
      <c r="F293" s="26">
        <f>IFERROR(__xludf.DUMMYFUNCTION("""COMPUTED_VALUE"""),0.0)</f>
        <v>0</v>
      </c>
      <c r="G293" s="26">
        <f>IFERROR(__xludf.DUMMYFUNCTION("""COMPUTED_VALUE"""),0.0)</f>
        <v>0</v>
      </c>
      <c r="H293" s="26">
        <f>IFERROR(__xludf.DUMMYFUNCTION("""COMPUTED_VALUE"""),0.0)</f>
        <v>0</v>
      </c>
      <c r="I293" s="26">
        <f>IFERROR(__xludf.DUMMYFUNCTION("""COMPUTED_VALUE"""),0.0)</f>
        <v>0</v>
      </c>
      <c r="J293" s="26">
        <f>IFERROR(__xludf.DUMMYFUNCTION("""COMPUTED_VALUE"""),0.0)</f>
        <v>0</v>
      </c>
      <c r="K293" s="26">
        <f>IFERROR(__xludf.DUMMYFUNCTION("""COMPUTED_VALUE"""),0.0)</f>
        <v>0</v>
      </c>
      <c r="L293" s="26">
        <f>IFERROR(__xludf.DUMMYFUNCTION("""COMPUTED_VALUE"""),0.0)</f>
        <v>0</v>
      </c>
      <c r="M293" s="26"/>
      <c r="N293" s="26"/>
      <c r="O293" s="26"/>
      <c r="P293" s="26"/>
      <c r="Q293" s="26"/>
      <c r="R293" s="26">
        <f>IFERROR(__xludf.DUMMYFUNCTION("""COMPUTED_VALUE"""),20.0)</f>
        <v>20</v>
      </c>
      <c r="S293" s="26">
        <f>IFERROR(__xludf.DUMMYFUNCTION("""COMPUTED_VALUE"""),8840.0)</f>
        <v>8840</v>
      </c>
      <c r="T293" s="26">
        <f>IFERROR(__xludf.DUMMYFUNCTION("""COMPUTED_VALUE"""),3500.0)</f>
        <v>3500</v>
      </c>
      <c r="U293" s="26">
        <f>IFERROR(__xludf.DUMMYFUNCTION("""COMPUTED_VALUE"""),4848.4)</f>
        <v>4848.4</v>
      </c>
      <c r="V293" s="26">
        <f>IFERROR(__xludf.DUMMYFUNCTION("""COMPUTED_VALUE"""),0.0)</f>
        <v>0</v>
      </c>
      <c r="W293" s="26">
        <f>IFERROR(__xludf.DUMMYFUNCTION("""COMPUTED_VALUE"""),0.0)</f>
        <v>0</v>
      </c>
      <c r="X293" s="26">
        <f>IFERROR(__xludf.DUMMYFUNCTION("""COMPUTED_VALUE"""),1348.4)</f>
        <v>1348.4</v>
      </c>
      <c r="Y293" s="26">
        <f>IFERROR(__xludf.DUMMYFUNCTION("""COMPUTED_VALUE"""),1348.4)</f>
        <v>1348.4</v>
      </c>
      <c r="Z293" s="26">
        <f>IFERROR(__xludf.DUMMYFUNCTION("""COMPUTED_VALUE"""),0.0)</f>
        <v>0</v>
      </c>
      <c r="AA293" s="26">
        <f>IFERROR(__xludf.DUMMYFUNCTION("""COMPUTED_VALUE"""),0.0)</f>
        <v>0</v>
      </c>
      <c r="AB293" s="26">
        <f>IFERROR(__xludf.DUMMYFUNCTION("""COMPUTED_VALUE"""),0.0)</f>
        <v>0</v>
      </c>
      <c r="AC293" s="26">
        <f>IFERROR(__xludf.DUMMYFUNCTION("""COMPUTED_VALUE"""),0.0)</f>
        <v>0</v>
      </c>
      <c r="AD293" s="26">
        <f>IFERROR(__xludf.DUMMYFUNCTION("""COMPUTED_VALUE"""),0.0)</f>
        <v>0</v>
      </c>
      <c r="AE293" s="26">
        <f>IFERROR(__xludf.DUMMYFUNCTION("""COMPUTED_VALUE"""),0.0)</f>
        <v>0</v>
      </c>
    </row>
    <row r="294">
      <c r="A294" s="26">
        <f>IFERROR(__xludf.DUMMYFUNCTION("""COMPUTED_VALUE"""),0.0)</f>
        <v>0</v>
      </c>
      <c r="B294" s="26">
        <f>IFERROR(__xludf.DUMMYFUNCTION("""COMPUTED_VALUE"""),0.0)</f>
        <v>0</v>
      </c>
      <c r="C294" s="26">
        <f>IFERROR(__xludf.DUMMYFUNCTION("""COMPUTED_VALUE"""),0.0)</f>
        <v>0</v>
      </c>
      <c r="D294" s="26">
        <f>IFERROR(__xludf.DUMMYFUNCTION("""COMPUTED_VALUE"""),0.0)</f>
        <v>0</v>
      </c>
      <c r="E294" s="26">
        <f>IFERROR(__xludf.DUMMYFUNCTION("""COMPUTED_VALUE"""),0.0)</f>
        <v>0</v>
      </c>
      <c r="F294" s="26">
        <f>IFERROR(__xludf.DUMMYFUNCTION("""COMPUTED_VALUE"""),0.0)</f>
        <v>0</v>
      </c>
      <c r="G294" s="26">
        <f>IFERROR(__xludf.DUMMYFUNCTION("""COMPUTED_VALUE"""),0.0)</f>
        <v>0</v>
      </c>
      <c r="H294" s="26">
        <f>IFERROR(__xludf.DUMMYFUNCTION("""COMPUTED_VALUE"""),0.0)</f>
        <v>0</v>
      </c>
      <c r="I294" s="26">
        <f>IFERROR(__xludf.DUMMYFUNCTION("""COMPUTED_VALUE"""),0.0)</f>
        <v>0</v>
      </c>
      <c r="J294" s="26">
        <f>IFERROR(__xludf.DUMMYFUNCTION("""COMPUTED_VALUE"""),0.0)</f>
        <v>0</v>
      </c>
      <c r="K294" s="26">
        <f>IFERROR(__xludf.DUMMYFUNCTION("""COMPUTED_VALUE"""),0.0)</f>
        <v>0</v>
      </c>
      <c r="L294" s="26">
        <f>IFERROR(__xludf.DUMMYFUNCTION("""COMPUTED_VALUE"""),0.0)</f>
        <v>0</v>
      </c>
      <c r="M294" s="26"/>
      <c r="N294" s="26"/>
      <c r="O294" s="26"/>
      <c r="P294" s="26"/>
      <c r="Q294" s="26"/>
      <c r="R294" s="26">
        <f>IFERROR(__xludf.DUMMYFUNCTION("""COMPUTED_VALUE"""),0.0)</f>
        <v>0</v>
      </c>
      <c r="S294" s="26">
        <f>IFERROR(__xludf.DUMMYFUNCTION("""COMPUTED_VALUE"""),0.0)</f>
        <v>0</v>
      </c>
      <c r="T294" s="26">
        <f>IFERROR(__xludf.DUMMYFUNCTION("""COMPUTED_VALUE"""),0.0)</f>
        <v>0</v>
      </c>
      <c r="U294" s="26">
        <f>IFERROR(__xludf.DUMMYFUNCTION("""COMPUTED_VALUE"""),0.0)</f>
        <v>0</v>
      </c>
      <c r="V294" s="26">
        <f>IFERROR(__xludf.DUMMYFUNCTION("""COMPUTED_VALUE"""),0.0)</f>
        <v>0</v>
      </c>
      <c r="W294" s="26">
        <f>IFERROR(__xludf.DUMMYFUNCTION("""COMPUTED_VALUE"""),0.0)</f>
        <v>0</v>
      </c>
      <c r="X294" s="26">
        <f>IFERROR(__xludf.DUMMYFUNCTION("""COMPUTED_VALUE"""),0.0)</f>
        <v>0</v>
      </c>
      <c r="Y294" s="26">
        <f>IFERROR(__xludf.DUMMYFUNCTION("""COMPUTED_VALUE"""),0.0)</f>
        <v>0</v>
      </c>
      <c r="Z294" s="26">
        <f>IFERROR(__xludf.DUMMYFUNCTION("""COMPUTED_VALUE"""),0.0)</f>
        <v>0</v>
      </c>
      <c r="AA294" s="26">
        <f>IFERROR(__xludf.DUMMYFUNCTION("""COMPUTED_VALUE"""),0.0)</f>
        <v>0</v>
      </c>
      <c r="AB294" s="26">
        <f>IFERROR(__xludf.DUMMYFUNCTION("""COMPUTED_VALUE"""),0.0)</f>
        <v>0</v>
      </c>
      <c r="AC294" s="26">
        <f>IFERROR(__xludf.DUMMYFUNCTION("""COMPUTED_VALUE"""),0.0)</f>
        <v>0</v>
      </c>
      <c r="AD294" s="26">
        <f>IFERROR(__xludf.DUMMYFUNCTION("""COMPUTED_VALUE"""),0.0)</f>
        <v>0</v>
      </c>
      <c r="AE294" s="26">
        <f>IFERROR(__xludf.DUMMYFUNCTION("""COMPUTED_VALUE"""),0.0)</f>
        <v>0</v>
      </c>
    </row>
    <row r="295">
      <c r="A295" s="26">
        <f>IFERROR(__xludf.DUMMYFUNCTION("""COMPUTED_VALUE"""),6.0)</f>
        <v>6</v>
      </c>
      <c r="B295" s="26">
        <f>IFERROR(__xludf.DUMMYFUNCTION("""COMPUTED_VALUE"""),0.0)</f>
        <v>0</v>
      </c>
      <c r="C295" s="26">
        <f>IFERROR(__xludf.DUMMYFUNCTION("""COMPUTED_VALUE"""),0.0)</f>
        <v>0</v>
      </c>
      <c r="D295" s="26">
        <f>IFERROR(__xludf.DUMMYFUNCTION("""COMPUTED_VALUE"""),0.0)</f>
        <v>0</v>
      </c>
      <c r="E295" s="26">
        <f>IFERROR(__xludf.DUMMYFUNCTION("""COMPUTED_VALUE"""),8.0)</f>
        <v>8</v>
      </c>
      <c r="F295" s="26">
        <f>IFERROR(__xludf.DUMMYFUNCTION("""COMPUTED_VALUE"""),0.0)</f>
        <v>0</v>
      </c>
      <c r="G295" s="26">
        <f>IFERROR(__xludf.DUMMYFUNCTION("""COMPUTED_VALUE"""),0.0)</f>
        <v>0</v>
      </c>
      <c r="H295" s="26">
        <f>IFERROR(__xludf.DUMMYFUNCTION("""COMPUTED_VALUE"""),0.0)</f>
        <v>0</v>
      </c>
      <c r="I295" s="26">
        <f>IFERROR(__xludf.DUMMYFUNCTION("""COMPUTED_VALUE"""),0.0)</f>
        <v>0</v>
      </c>
      <c r="J295" s="26">
        <f>IFERROR(__xludf.DUMMYFUNCTION("""COMPUTED_VALUE"""),0.0)</f>
        <v>0</v>
      </c>
      <c r="K295" s="26">
        <f>IFERROR(__xludf.DUMMYFUNCTION("""COMPUTED_VALUE"""),0.0)</f>
        <v>0</v>
      </c>
      <c r="L295" s="26">
        <f>IFERROR(__xludf.DUMMYFUNCTION("""COMPUTED_VALUE"""),0.0)</f>
        <v>0</v>
      </c>
      <c r="M295" s="26"/>
      <c r="N295" s="26"/>
      <c r="O295" s="26"/>
      <c r="P295" s="26"/>
      <c r="Q295" s="26"/>
      <c r="R295" s="26">
        <f>IFERROR(__xludf.DUMMYFUNCTION("""COMPUTED_VALUE"""),14.0)</f>
        <v>14</v>
      </c>
      <c r="S295" s="26">
        <f>IFERROR(__xludf.DUMMYFUNCTION("""COMPUTED_VALUE"""),4400.219999999999)</f>
        <v>4400.22</v>
      </c>
      <c r="T295" s="26">
        <f>IFERROR(__xludf.DUMMYFUNCTION("""COMPUTED_VALUE"""),3729.0)</f>
        <v>3729</v>
      </c>
      <c r="U295" s="26">
        <f>IFERROR(__xludf.DUMMYFUNCTION("""COMPUTED_VALUE"""),4400.22)</f>
        <v>4400.22</v>
      </c>
      <c r="V295" s="26">
        <f>IFERROR(__xludf.DUMMYFUNCTION("""COMPUTED_VALUE"""),0.0)</f>
        <v>0</v>
      </c>
      <c r="W295" s="26">
        <f>IFERROR(__xludf.DUMMYFUNCTION("""COMPUTED_VALUE"""),0.0)</f>
        <v>0</v>
      </c>
      <c r="X295" s="26">
        <f>IFERROR(__xludf.DUMMYFUNCTION("""COMPUTED_VALUE"""),671.2199999999999)</f>
        <v>671.22</v>
      </c>
      <c r="Y295" s="26">
        <f>IFERROR(__xludf.DUMMYFUNCTION("""COMPUTED_VALUE"""),671.2199999999999)</f>
        <v>671.22</v>
      </c>
      <c r="Z295" s="26">
        <f>IFERROR(__xludf.DUMMYFUNCTION("""COMPUTED_VALUE"""),0.0)</f>
        <v>0</v>
      </c>
      <c r="AA295" s="26">
        <f>IFERROR(__xludf.DUMMYFUNCTION("""COMPUTED_VALUE"""),0.0)</f>
        <v>0</v>
      </c>
      <c r="AB295" s="26">
        <f>IFERROR(__xludf.DUMMYFUNCTION("""COMPUTED_VALUE"""),0.0)</f>
        <v>0</v>
      </c>
      <c r="AC295" s="26">
        <f>IFERROR(__xludf.DUMMYFUNCTION("""COMPUTED_VALUE"""),0.0)</f>
        <v>0</v>
      </c>
      <c r="AD295" s="26">
        <f>IFERROR(__xludf.DUMMYFUNCTION("""COMPUTED_VALUE"""),0.0)</f>
        <v>0</v>
      </c>
      <c r="AE295" s="26">
        <f>IFERROR(__xludf.DUMMYFUNCTION("""COMPUTED_VALUE"""),0.0)</f>
        <v>0</v>
      </c>
    </row>
    <row r="296">
      <c r="A296" s="26">
        <f>IFERROR(__xludf.DUMMYFUNCTION("""COMPUTED_VALUE"""),0.0)</f>
        <v>0</v>
      </c>
      <c r="B296" s="26">
        <f>IFERROR(__xludf.DUMMYFUNCTION("""COMPUTED_VALUE"""),0.0)</f>
        <v>0</v>
      </c>
      <c r="C296" s="26">
        <f>IFERROR(__xludf.DUMMYFUNCTION("""COMPUTED_VALUE"""),0.0)</f>
        <v>0</v>
      </c>
      <c r="D296" s="26">
        <f>IFERROR(__xludf.DUMMYFUNCTION("""COMPUTED_VALUE"""),0.0)</f>
        <v>0</v>
      </c>
      <c r="E296" s="26">
        <f>IFERROR(__xludf.DUMMYFUNCTION("""COMPUTED_VALUE"""),0.0)</f>
        <v>0</v>
      </c>
      <c r="F296" s="26">
        <f>IFERROR(__xludf.DUMMYFUNCTION("""COMPUTED_VALUE"""),0.0)</f>
        <v>0</v>
      </c>
      <c r="G296" s="26">
        <f>IFERROR(__xludf.DUMMYFUNCTION("""COMPUTED_VALUE"""),0.0)</f>
        <v>0</v>
      </c>
      <c r="H296" s="26">
        <f>IFERROR(__xludf.DUMMYFUNCTION("""COMPUTED_VALUE"""),0.0)</f>
        <v>0</v>
      </c>
      <c r="I296" s="26">
        <f>IFERROR(__xludf.DUMMYFUNCTION("""COMPUTED_VALUE"""),0.0)</f>
        <v>0</v>
      </c>
      <c r="J296" s="26">
        <f>IFERROR(__xludf.DUMMYFUNCTION("""COMPUTED_VALUE"""),0.0)</f>
        <v>0</v>
      </c>
      <c r="K296" s="26">
        <f>IFERROR(__xludf.DUMMYFUNCTION("""COMPUTED_VALUE"""),0.0)</f>
        <v>0</v>
      </c>
      <c r="L296" s="26">
        <f>IFERROR(__xludf.DUMMYFUNCTION("""COMPUTED_VALUE"""),0.0)</f>
        <v>0</v>
      </c>
      <c r="M296" s="26"/>
      <c r="N296" s="26"/>
      <c r="O296" s="26"/>
      <c r="P296" s="26"/>
      <c r="Q296" s="26"/>
      <c r="R296" s="26">
        <f>IFERROR(__xludf.DUMMYFUNCTION("""COMPUTED_VALUE"""),0.0)</f>
        <v>0</v>
      </c>
      <c r="S296" s="26">
        <f>IFERROR(__xludf.DUMMYFUNCTION("""COMPUTED_VALUE"""),0.0)</f>
        <v>0</v>
      </c>
      <c r="T296" s="26">
        <f>IFERROR(__xludf.DUMMYFUNCTION("""COMPUTED_VALUE"""),0.0)</f>
        <v>0</v>
      </c>
      <c r="U296" s="26">
        <f>IFERROR(__xludf.DUMMYFUNCTION("""COMPUTED_VALUE"""),0.0)</f>
        <v>0</v>
      </c>
      <c r="V296" s="26">
        <f>IFERROR(__xludf.DUMMYFUNCTION("""COMPUTED_VALUE"""),0.0)</f>
        <v>0</v>
      </c>
      <c r="W296" s="26">
        <f>IFERROR(__xludf.DUMMYFUNCTION("""COMPUTED_VALUE"""),0.0)</f>
        <v>0</v>
      </c>
      <c r="X296" s="26">
        <f>IFERROR(__xludf.DUMMYFUNCTION("""COMPUTED_VALUE"""),0.0)</f>
        <v>0</v>
      </c>
      <c r="Y296" s="26">
        <f>IFERROR(__xludf.DUMMYFUNCTION("""COMPUTED_VALUE"""),0.0)</f>
        <v>0</v>
      </c>
      <c r="Z296" s="26">
        <f>IFERROR(__xludf.DUMMYFUNCTION("""COMPUTED_VALUE"""),0.0)</f>
        <v>0</v>
      </c>
      <c r="AA296" s="26">
        <f>IFERROR(__xludf.DUMMYFUNCTION("""COMPUTED_VALUE"""),0.0)</f>
        <v>0</v>
      </c>
      <c r="AB296" s="26">
        <f>IFERROR(__xludf.DUMMYFUNCTION("""COMPUTED_VALUE"""),0.0)</f>
        <v>0</v>
      </c>
      <c r="AC296" s="26">
        <f>IFERROR(__xludf.DUMMYFUNCTION("""COMPUTED_VALUE"""),0.0)</f>
        <v>0</v>
      </c>
      <c r="AD296" s="26">
        <f>IFERROR(__xludf.DUMMYFUNCTION("""COMPUTED_VALUE"""),0.0)</f>
        <v>0</v>
      </c>
      <c r="AE296" s="26">
        <f>IFERROR(__xludf.DUMMYFUNCTION("""COMPUTED_VALUE"""),0.0)</f>
        <v>0</v>
      </c>
    </row>
    <row r="297">
      <c r="A297" s="26">
        <f>IFERROR(__xludf.DUMMYFUNCTION("""COMPUTED_VALUE"""),0.0)</f>
        <v>0</v>
      </c>
      <c r="B297" s="26">
        <f>IFERROR(__xludf.DUMMYFUNCTION("""COMPUTED_VALUE"""),0.0)</f>
        <v>0</v>
      </c>
      <c r="C297" s="26">
        <f>IFERROR(__xludf.DUMMYFUNCTION("""COMPUTED_VALUE"""),0.0)</f>
        <v>0</v>
      </c>
      <c r="D297" s="26">
        <f>IFERROR(__xludf.DUMMYFUNCTION("""COMPUTED_VALUE"""),0.0)</f>
        <v>0</v>
      </c>
      <c r="E297" s="26">
        <f>IFERROR(__xludf.DUMMYFUNCTION("""COMPUTED_VALUE"""),0.0)</f>
        <v>0</v>
      </c>
      <c r="F297" s="26">
        <f>IFERROR(__xludf.DUMMYFUNCTION("""COMPUTED_VALUE"""),0.0)</f>
        <v>0</v>
      </c>
      <c r="G297" s="26">
        <f>IFERROR(__xludf.DUMMYFUNCTION("""COMPUTED_VALUE"""),0.0)</f>
        <v>0</v>
      </c>
      <c r="H297" s="26">
        <f>IFERROR(__xludf.DUMMYFUNCTION("""COMPUTED_VALUE"""),0.0)</f>
        <v>0</v>
      </c>
      <c r="I297" s="26">
        <f>IFERROR(__xludf.DUMMYFUNCTION("""COMPUTED_VALUE"""),0.0)</f>
        <v>0</v>
      </c>
      <c r="J297" s="26">
        <f>IFERROR(__xludf.DUMMYFUNCTION("""COMPUTED_VALUE"""),0.0)</f>
        <v>0</v>
      </c>
      <c r="K297" s="26">
        <f>IFERROR(__xludf.DUMMYFUNCTION("""COMPUTED_VALUE"""),0.0)</f>
        <v>0</v>
      </c>
      <c r="L297" s="26">
        <f>IFERROR(__xludf.DUMMYFUNCTION("""COMPUTED_VALUE"""),0.0)</f>
        <v>0</v>
      </c>
      <c r="M297" s="26"/>
      <c r="N297" s="26"/>
      <c r="O297" s="26"/>
      <c r="P297" s="26"/>
      <c r="Q297" s="26"/>
      <c r="R297" s="26">
        <f>IFERROR(__xludf.DUMMYFUNCTION("""COMPUTED_VALUE"""),0.0)</f>
        <v>0</v>
      </c>
      <c r="S297" s="26">
        <f>IFERROR(__xludf.DUMMYFUNCTION("""COMPUTED_VALUE"""),0.0)</f>
        <v>0</v>
      </c>
      <c r="T297" s="26">
        <f>IFERROR(__xludf.DUMMYFUNCTION("""COMPUTED_VALUE"""),0.0)</f>
        <v>0</v>
      </c>
      <c r="U297" s="26">
        <f>IFERROR(__xludf.DUMMYFUNCTION("""COMPUTED_VALUE"""),0.0)</f>
        <v>0</v>
      </c>
      <c r="V297" s="26">
        <f>IFERROR(__xludf.DUMMYFUNCTION("""COMPUTED_VALUE"""),0.0)</f>
        <v>0</v>
      </c>
      <c r="W297" s="26">
        <f>IFERROR(__xludf.DUMMYFUNCTION("""COMPUTED_VALUE"""),0.0)</f>
        <v>0</v>
      </c>
      <c r="X297" s="26">
        <f>IFERROR(__xludf.DUMMYFUNCTION("""COMPUTED_VALUE"""),0.0)</f>
        <v>0</v>
      </c>
      <c r="Y297" s="26">
        <f>IFERROR(__xludf.DUMMYFUNCTION("""COMPUTED_VALUE"""),0.0)</f>
        <v>0</v>
      </c>
      <c r="Z297" s="26">
        <f>IFERROR(__xludf.DUMMYFUNCTION("""COMPUTED_VALUE"""),0.0)</f>
        <v>0</v>
      </c>
      <c r="AA297" s="26">
        <f>IFERROR(__xludf.DUMMYFUNCTION("""COMPUTED_VALUE"""),0.0)</f>
        <v>0</v>
      </c>
      <c r="AB297" s="26">
        <f>IFERROR(__xludf.DUMMYFUNCTION("""COMPUTED_VALUE"""),0.0)</f>
        <v>0</v>
      </c>
      <c r="AC297" s="26">
        <f>IFERROR(__xludf.DUMMYFUNCTION("""COMPUTED_VALUE"""),0.0)</f>
        <v>0</v>
      </c>
      <c r="AD297" s="26">
        <f>IFERROR(__xludf.DUMMYFUNCTION("""COMPUTED_VALUE"""),0.0)</f>
        <v>0</v>
      </c>
      <c r="AE297" s="26">
        <f>IFERROR(__xludf.DUMMYFUNCTION("""COMPUTED_VALUE"""),0.0)</f>
        <v>0</v>
      </c>
    </row>
    <row r="298">
      <c r="A298" s="26">
        <f>IFERROR(__xludf.DUMMYFUNCTION("""COMPUTED_VALUE"""),0.0)</f>
        <v>0</v>
      </c>
      <c r="B298" s="26">
        <f>IFERROR(__xludf.DUMMYFUNCTION("""COMPUTED_VALUE"""),0.0)</f>
        <v>0</v>
      </c>
      <c r="C298" s="26">
        <f>IFERROR(__xludf.DUMMYFUNCTION("""COMPUTED_VALUE"""),0.0)</f>
        <v>0</v>
      </c>
      <c r="D298" s="26">
        <f>IFERROR(__xludf.DUMMYFUNCTION("""COMPUTED_VALUE"""),0.0)</f>
        <v>0</v>
      </c>
      <c r="E298" s="26">
        <f>IFERROR(__xludf.DUMMYFUNCTION("""COMPUTED_VALUE"""),0.0)</f>
        <v>0</v>
      </c>
      <c r="F298" s="26">
        <f>IFERROR(__xludf.DUMMYFUNCTION("""COMPUTED_VALUE"""),0.0)</f>
        <v>0</v>
      </c>
      <c r="G298" s="26">
        <f>IFERROR(__xludf.DUMMYFUNCTION("""COMPUTED_VALUE"""),0.0)</f>
        <v>0</v>
      </c>
      <c r="H298" s="26">
        <f>IFERROR(__xludf.DUMMYFUNCTION("""COMPUTED_VALUE"""),0.0)</f>
        <v>0</v>
      </c>
      <c r="I298" s="26">
        <f>IFERROR(__xludf.DUMMYFUNCTION("""COMPUTED_VALUE"""),0.0)</f>
        <v>0</v>
      </c>
      <c r="J298" s="26">
        <f>IFERROR(__xludf.DUMMYFUNCTION("""COMPUTED_VALUE"""),0.0)</f>
        <v>0</v>
      </c>
      <c r="K298" s="26">
        <f>IFERROR(__xludf.DUMMYFUNCTION("""COMPUTED_VALUE"""),0.0)</f>
        <v>0</v>
      </c>
      <c r="L298" s="26">
        <f>IFERROR(__xludf.DUMMYFUNCTION("""COMPUTED_VALUE"""),0.0)</f>
        <v>0</v>
      </c>
      <c r="M298" s="26"/>
      <c r="N298" s="26"/>
      <c r="O298" s="26"/>
      <c r="P298" s="26"/>
      <c r="Q298" s="26"/>
      <c r="R298" s="26">
        <f>IFERROR(__xludf.DUMMYFUNCTION("""COMPUTED_VALUE"""),0.0)</f>
        <v>0</v>
      </c>
      <c r="S298" s="26">
        <f>IFERROR(__xludf.DUMMYFUNCTION("""COMPUTED_VALUE"""),0.0)</f>
        <v>0</v>
      </c>
      <c r="T298" s="26">
        <f>IFERROR(__xludf.DUMMYFUNCTION("""COMPUTED_VALUE"""),0.0)</f>
        <v>0</v>
      </c>
      <c r="U298" s="26">
        <f>IFERROR(__xludf.DUMMYFUNCTION("""COMPUTED_VALUE"""),0.0)</f>
        <v>0</v>
      </c>
      <c r="V298" s="26">
        <f>IFERROR(__xludf.DUMMYFUNCTION("""COMPUTED_VALUE"""),0.0)</f>
        <v>0</v>
      </c>
      <c r="W298" s="26">
        <f>IFERROR(__xludf.DUMMYFUNCTION("""COMPUTED_VALUE"""),0.0)</f>
        <v>0</v>
      </c>
      <c r="X298" s="26">
        <f>IFERROR(__xludf.DUMMYFUNCTION("""COMPUTED_VALUE"""),0.0)</f>
        <v>0</v>
      </c>
      <c r="Y298" s="26">
        <f>IFERROR(__xludf.DUMMYFUNCTION("""COMPUTED_VALUE"""),0.0)</f>
        <v>0</v>
      </c>
      <c r="Z298" s="26">
        <f>IFERROR(__xludf.DUMMYFUNCTION("""COMPUTED_VALUE"""),0.0)</f>
        <v>0</v>
      </c>
      <c r="AA298" s="26">
        <f>IFERROR(__xludf.DUMMYFUNCTION("""COMPUTED_VALUE"""),0.0)</f>
        <v>0</v>
      </c>
      <c r="AB298" s="26">
        <f>IFERROR(__xludf.DUMMYFUNCTION("""COMPUTED_VALUE"""),0.0)</f>
        <v>0</v>
      </c>
      <c r="AC298" s="26">
        <f>IFERROR(__xludf.DUMMYFUNCTION("""COMPUTED_VALUE"""),0.0)</f>
        <v>0</v>
      </c>
      <c r="AD298" s="26">
        <f>IFERROR(__xludf.DUMMYFUNCTION("""COMPUTED_VALUE"""),0.0)</f>
        <v>0</v>
      </c>
      <c r="AE298" s="26">
        <f>IFERROR(__xludf.DUMMYFUNCTION("""COMPUTED_VALUE"""),0.0)</f>
        <v>0</v>
      </c>
    </row>
    <row r="299">
      <c r="A299" s="26">
        <f>IFERROR(__xludf.DUMMYFUNCTION("""COMPUTED_VALUE"""),0.0)</f>
        <v>0</v>
      </c>
      <c r="B299" s="26">
        <f>IFERROR(__xludf.DUMMYFUNCTION("""COMPUTED_VALUE"""),0.0)</f>
        <v>0</v>
      </c>
      <c r="C299" s="26">
        <f>IFERROR(__xludf.DUMMYFUNCTION("""COMPUTED_VALUE"""),0.0)</f>
        <v>0</v>
      </c>
      <c r="D299" s="26">
        <f>IFERROR(__xludf.DUMMYFUNCTION("""COMPUTED_VALUE"""),0.0)</f>
        <v>0</v>
      </c>
      <c r="E299" s="26">
        <f>IFERROR(__xludf.DUMMYFUNCTION("""COMPUTED_VALUE"""),0.0)</f>
        <v>0</v>
      </c>
      <c r="F299" s="26">
        <f>IFERROR(__xludf.DUMMYFUNCTION("""COMPUTED_VALUE"""),0.0)</f>
        <v>0</v>
      </c>
      <c r="G299" s="26">
        <f>IFERROR(__xludf.DUMMYFUNCTION("""COMPUTED_VALUE"""),0.0)</f>
        <v>0</v>
      </c>
      <c r="H299" s="26">
        <f>IFERROR(__xludf.DUMMYFUNCTION("""COMPUTED_VALUE"""),0.0)</f>
        <v>0</v>
      </c>
      <c r="I299" s="26">
        <f>IFERROR(__xludf.DUMMYFUNCTION("""COMPUTED_VALUE"""),0.0)</f>
        <v>0</v>
      </c>
      <c r="J299" s="26">
        <f>IFERROR(__xludf.DUMMYFUNCTION("""COMPUTED_VALUE"""),0.0)</f>
        <v>0</v>
      </c>
      <c r="K299" s="26">
        <f>IFERROR(__xludf.DUMMYFUNCTION("""COMPUTED_VALUE"""),0.0)</f>
        <v>0</v>
      </c>
      <c r="L299" s="26">
        <f>IFERROR(__xludf.DUMMYFUNCTION("""COMPUTED_VALUE"""),0.0)</f>
        <v>0</v>
      </c>
      <c r="M299" s="26"/>
      <c r="N299" s="26"/>
      <c r="O299" s="26"/>
      <c r="P299" s="26"/>
      <c r="Q299" s="26"/>
      <c r="R299" s="26">
        <f>IFERROR(__xludf.DUMMYFUNCTION("""COMPUTED_VALUE"""),0.0)</f>
        <v>0</v>
      </c>
      <c r="S299" s="26">
        <f>IFERROR(__xludf.DUMMYFUNCTION("""COMPUTED_VALUE"""),0.0)</f>
        <v>0</v>
      </c>
      <c r="T299" s="26">
        <f>IFERROR(__xludf.DUMMYFUNCTION("""COMPUTED_VALUE"""),0.0)</f>
        <v>0</v>
      </c>
      <c r="U299" s="26">
        <f>IFERROR(__xludf.DUMMYFUNCTION("""COMPUTED_VALUE"""),0.0)</f>
        <v>0</v>
      </c>
      <c r="V299" s="26">
        <f>IFERROR(__xludf.DUMMYFUNCTION("""COMPUTED_VALUE"""),0.0)</f>
        <v>0</v>
      </c>
      <c r="W299" s="26">
        <f>IFERROR(__xludf.DUMMYFUNCTION("""COMPUTED_VALUE"""),0.0)</f>
        <v>0</v>
      </c>
      <c r="X299" s="26">
        <f>IFERROR(__xludf.DUMMYFUNCTION("""COMPUTED_VALUE"""),0.0)</f>
        <v>0</v>
      </c>
      <c r="Y299" s="26">
        <f>IFERROR(__xludf.DUMMYFUNCTION("""COMPUTED_VALUE"""),0.0)</f>
        <v>0</v>
      </c>
      <c r="Z299" s="26">
        <f>IFERROR(__xludf.DUMMYFUNCTION("""COMPUTED_VALUE"""),0.0)</f>
        <v>0</v>
      </c>
      <c r="AA299" s="26">
        <f>IFERROR(__xludf.DUMMYFUNCTION("""COMPUTED_VALUE"""),0.0)</f>
        <v>0</v>
      </c>
      <c r="AB299" s="26">
        <f>IFERROR(__xludf.DUMMYFUNCTION("""COMPUTED_VALUE"""),0.0)</f>
        <v>0</v>
      </c>
      <c r="AC299" s="26">
        <f>IFERROR(__xludf.DUMMYFUNCTION("""COMPUTED_VALUE"""),0.0)</f>
        <v>0</v>
      </c>
      <c r="AD299" s="26">
        <f>IFERROR(__xludf.DUMMYFUNCTION("""COMPUTED_VALUE"""),0.0)</f>
        <v>0</v>
      </c>
      <c r="AE299" s="26">
        <f>IFERROR(__xludf.DUMMYFUNCTION("""COMPUTED_VALUE"""),0.0)</f>
        <v>0</v>
      </c>
    </row>
    <row r="300">
      <c r="A300" s="26">
        <f>IFERROR(__xludf.DUMMYFUNCTION("""COMPUTED_VALUE"""),0.0)</f>
        <v>0</v>
      </c>
      <c r="B300" s="26">
        <f>IFERROR(__xludf.DUMMYFUNCTION("""COMPUTED_VALUE"""),0.0)</f>
        <v>0</v>
      </c>
      <c r="C300" s="26">
        <f>IFERROR(__xludf.DUMMYFUNCTION("""COMPUTED_VALUE"""),0.0)</f>
        <v>0</v>
      </c>
      <c r="D300" s="26">
        <f>IFERROR(__xludf.DUMMYFUNCTION("""COMPUTED_VALUE"""),0.0)</f>
        <v>0</v>
      </c>
      <c r="E300" s="26">
        <f>IFERROR(__xludf.DUMMYFUNCTION("""COMPUTED_VALUE"""),20.0)</f>
        <v>20</v>
      </c>
      <c r="F300" s="26">
        <f>IFERROR(__xludf.DUMMYFUNCTION("""COMPUTED_VALUE"""),0.0)</f>
        <v>0</v>
      </c>
      <c r="G300" s="26">
        <f>IFERROR(__xludf.DUMMYFUNCTION("""COMPUTED_VALUE"""),0.0)</f>
        <v>0</v>
      </c>
      <c r="H300" s="26">
        <f>IFERROR(__xludf.DUMMYFUNCTION("""COMPUTED_VALUE"""),0.0)</f>
        <v>0</v>
      </c>
      <c r="I300" s="26">
        <f>IFERROR(__xludf.DUMMYFUNCTION("""COMPUTED_VALUE"""),0.0)</f>
        <v>0</v>
      </c>
      <c r="J300" s="26">
        <f>IFERROR(__xludf.DUMMYFUNCTION("""COMPUTED_VALUE"""),0.0)</f>
        <v>0</v>
      </c>
      <c r="K300" s="26">
        <f>IFERROR(__xludf.DUMMYFUNCTION("""COMPUTED_VALUE"""),0.0)</f>
        <v>0</v>
      </c>
      <c r="L300" s="26">
        <f>IFERROR(__xludf.DUMMYFUNCTION("""COMPUTED_VALUE"""),0.0)</f>
        <v>0</v>
      </c>
      <c r="M300" s="26"/>
      <c r="N300" s="26"/>
      <c r="O300" s="26"/>
      <c r="P300" s="26"/>
      <c r="Q300" s="26"/>
      <c r="R300" s="26">
        <f>IFERROR(__xludf.DUMMYFUNCTION("""COMPUTED_VALUE"""),20.0)</f>
        <v>20</v>
      </c>
      <c r="S300" s="26">
        <f>IFERROR(__xludf.DUMMYFUNCTION("""COMPUTED_VALUE"""),37000.0)</f>
        <v>37000</v>
      </c>
      <c r="T300" s="26">
        <f>IFERROR(__xludf.DUMMYFUNCTION("""COMPUTED_VALUE"""),3400.0)</f>
        <v>3400</v>
      </c>
      <c r="U300" s="26">
        <f>IFERROR(__xludf.DUMMYFUNCTION("""COMPUTED_VALUE"""),9043.999999999998)</f>
        <v>9044</v>
      </c>
      <c r="V300" s="26">
        <f>IFERROR(__xludf.DUMMYFUNCTION("""COMPUTED_VALUE"""),0.0)</f>
        <v>0</v>
      </c>
      <c r="W300" s="26">
        <f>IFERROR(__xludf.DUMMYFUNCTION("""COMPUTED_VALUE"""),0.0)</f>
        <v>0</v>
      </c>
      <c r="X300" s="26">
        <f>IFERROR(__xludf.DUMMYFUNCTION("""COMPUTED_VALUE"""),5643.999999999998)</f>
        <v>5644</v>
      </c>
      <c r="Y300" s="26">
        <f>IFERROR(__xludf.DUMMYFUNCTION("""COMPUTED_VALUE"""),5643.999999999998)</f>
        <v>5644</v>
      </c>
      <c r="Z300" s="26">
        <f>IFERROR(__xludf.DUMMYFUNCTION("""COMPUTED_VALUE"""),0.0)</f>
        <v>0</v>
      </c>
      <c r="AA300" s="26">
        <f>IFERROR(__xludf.DUMMYFUNCTION("""COMPUTED_VALUE"""),0.0)</f>
        <v>0</v>
      </c>
      <c r="AB300" s="26">
        <f>IFERROR(__xludf.DUMMYFUNCTION("""COMPUTED_VALUE"""),0.0)</f>
        <v>0</v>
      </c>
      <c r="AC300" s="26">
        <f>IFERROR(__xludf.DUMMYFUNCTION("""COMPUTED_VALUE"""),0.0)</f>
        <v>0</v>
      </c>
      <c r="AD300" s="26">
        <f>IFERROR(__xludf.DUMMYFUNCTION("""COMPUTED_VALUE"""),0.0)</f>
        <v>0</v>
      </c>
      <c r="AE300" s="26">
        <f>IFERROR(__xludf.DUMMYFUNCTION("""COMPUTED_VALUE"""),0.0)</f>
        <v>0</v>
      </c>
    </row>
    <row r="301">
      <c r="A301" s="26">
        <f>IFERROR(__xludf.DUMMYFUNCTION("""COMPUTED_VALUE"""),0.0)</f>
        <v>0</v>
      </c>
      <c r="B301" s="26">
        <f>IFERROR(__xludf.DUMMYFUNCTION("""COMPUTED_VALUE"""),0.0)</f>
        <v>0</v>
      </c>
      <c r="C301" s="26">
        <f>IFERROR(__xludf.DUMMYFUNCTION("""COMPUTED_VALUE"""),0.0)</f>
        <v>0</v>
      </c>
      <c r="D301" s="26">
        <f>IFERROR(__xludf.DUMMYFUNCTION("""COMPUTED_VALUE"""),0.0)</f>
        <v>0</v>
      </c>
      <c r="E301" s="26">
        <f>IFERROR(__xludf.DUMMYFUNCTION("""COMPUTED_VALUE"""),0.0)</f>
        <v>0</v>
      </c>
      <c r="F301" s="26">
        <f>IFERROR(__xludf.DUMMYFUNCTION("""COMPUTED_VALUE"""),0.0)</f>
        <v>0</v>
      </c>
      <c r="G301" s="26">
        <f>IFERROR(__xludf.DUMMYFUNCTION("""COMPUTED_VALUE"""),0.0)</f>
        <v>0</v>
      </c>
      <c r="H301" s="26">
        <f>IFERROR(__xludf.DUMMYFUNCTION("""COMPUTED_VALUE"""),0.0)</f>
        <v>0</v>
      </c>
      <c r="I301" s="26">
        <f>IFERROR(__xludf.DUMMYFUNCTION("""COMPUTED_VALUE"""),0.0)</f>
        <v>0</v>
      </c>
      <c r="J301" s="26">
        <f>IFERROR(__xludf.DUMMYFUNCTION("""COMPUTED_VALUE"""),0.0)</f>
        <v>0</v>
      </c>
      <c r="K301" s="26">
        <f>IFERROR(__xludf.DUMMYFUNCTION("""COMPUTED_VALUE"""),0.0)</f>
        <v>0</v>
      </c>
      <c r="L301" s="26">
        <f>IFERROR(__xludf.DUMMYFUNCTION("""COMPUTED_VALUE"""),0.0)</f>
        <v>0</v>
      </c>
      <c r="M301" s="26"/>
      <c r="N301" s="26"/>
      <c r="O301" s="26"/>
      <c r="P301" s="26"/>
      <c r="Q301" s="26"/>
      <c r="R301" s="26">
        <f>IFERROR(__xludf.DUMMYFUNCTION("""COMPUTED_VALUE"""),0.0)</f>
        <v>0</v>
      </c>
      <c r="S301" s="26">
        <f>IFERROR(__xludf.DUMMYFUNCTION("""COMPUTED_VALUE"""),0.0)</f>
        <v>0</v>
      </c>
      <c r="T301" s="26">
        <f>IFERROR(__xludf.DUMMYFUNCTION("""COMPUTED_VALUE"""),0.0)</f>
        <v>0</v>
      </c>
      <c r="U301" s="26">
        <f>IFERROR(__xludf.DUMMYFUNCTION("""COMPUTED_VALUE"""),0.0)</f>
        <v>0</v>
      </c>
      <c r="V301" s="26">
        <f>IFERROR(__xludf.DUMMYFUNCTION("""COMPUTED_VALUE"""),0.0)</f>
        <v>0</v>
      </c>
      <c r="W301" s="26">
        <f>IFERROR(__xludf.DUMMYFUNCTION("""COMPUTED_VALUE"""),0.0)</f>
        <v>0</v>
      </c>
      <c r="X301" s="26">
        <f>IFERROR(__xludf.DUMMYFUNCTION("""COMPUTED_VALUE"""),0.0)</f>
        <v>0</v>
      </c>
      <c r="Y301" s="26">
        <f>IFERROR(__xludf.DUMMYFUNCTION("""COMPUTED_VALUE"""),0.0)</f>
        <v>0</v>
      </c>
      <c r="Z301" s="26">
        <f>IFERROR(__xludf.DUMMYFUNCTION("""COMPUTED_VALUE"""),0.0)</f>
        <v>0</v>
      </c>
      <c r="AA301" s="26">
        <f>IFERROR(__xludf.DUMMYFUNCTION("""COMPUTED_VALUE"""),0.0)</f>
        <v>0</v>
      </c>
      <c r="AB301" s="26">
        <f>IFERROR(__xludf.DUMMYFUNCTION("""COMPUTED_VALUE"""),0.0)</f>
        <v>0</v>
      </c>
      <c r="AC301" s="26">
        <f>IFERROR(__xludf.DUMMYFUNCTION("""COMPUTED_VALUE"""),0.0)</f>
        <v>0</v>
      </c>
      <c r="AD301" s="26">
        <f>IFERROR(__xludf.DUMMYFUNCTION("""COMPUTED_VALUE"""),0.0)</f>
        <v>0</v>
      </c>
      <c r="AE301" s="26">
        <f>IFERROR(__xludf.DUMMYFUNCTION("""COMPUTED_VALUE"""),0.0)</f>
        <v>0</v>
      </c>
    </row>
    <row r="302">
      <c r="A302" s="26">
        <f>IFERROR(__xludf.DUMMYFUNCTION("""COMPUTED_VALUE"""),0.0)</f>
        <v>0</v>
      </c>
      <c r="B302" s="26">
        <f>IFERROR(__xludf.DUMMYFUNCTION("""COMPUTED_VALUE"""),0.0)</f>
        <v>0</v>
      </c>
      <c r="C302" s="26">
        <f>IFERROR(__xludf.DUMMYFUNCTION("""COMPUTED_VALUE"""),0.0)</f>
        <v>0</v>
      </c>
      <c r="D302" s="26">
        <f>IFERROR(__xludf.DUMMYFUNCTION("""COMPUTED_VALUE"""),0.0)</f>
        <v>0</v>
      </c>
      <c r="E302" s="26">
        <f>IFERROR(__xludf.DUMMYFUNCTION("""COMPUTED_VALUE"""),0.0)</f>
        <v>0</v>
      </c>
      <c r="F302" s="26">
        <f>IFERROR(__xludf.DUMMYFUNCTION("""COMPUTED_VALUE"""),0.0)</f>
        <v>0</v>
      </c>
      <c r="G302" s="26">
        <f>IFERROR(__xludf.DUMMYFUNCTION("""COMPUTED_VALUE"""),0.0)</f>
        <v>0</v>
      </c>
      <c r="H302" s="26">
        <f>IFERROR(__xludf.DUMMYFUNCTION("""COMPUTED_VALUE"""),0.0)</f>
        <v>0</v>
      </c>
      <c r="I302" s="26">
        <f>IFERROR(__xludf.DUMMYFUNCTION("""COMPUTED_VALUE"""),0.0)</f>
        <v>0</v>
      </c>
      <c r="J302" s="26">
        <f>IFERROR(__xludf.DUMMYFUNCTION("""COMPUTED_VALUE"""),0.0)</f>
        <v>0</v>
      </c>
      <c r="K302" s="26">
        <f>IFERROR(__xludf.DUMMYFUNCTION("""COMPUTED_VALUE"""),0.0)</f>
        <v>0</v>
      </c>
      <c r="L302" s="26">
        <f>IFERROR(__xludf.DUMMYFUNCTION("""COMPUTED_VALUE"""),0.0)</f>
        <v>0</v>
      </c>
      <c r="M302" s="26"/>
      <c r="N302" s="26"/>
      <c r="O302" s="26"/>
      <c r="P302" s="26"/>
      <c r="Q302" s="26"/>
      <c r="R302" s="26">
        <f>IFERROR(__xludf.DUMMYFUNCTION("""COMPUTED_VALUE"""),0.0)</f>
        <v>0</v>
      </c>
      <c r="S302" s="26">
        <f>IFERROR(__xludf.DUMMYFUNCTION("""COMPUTED_VALUE"""),0.0)</f>
        <v>0</v>
      </c>
      <c r="T302" s="26">
        <f>IFERROR(__xludf.DUMMYFUNCTION("""COMPUTED_VALUE"""),0.0)</f>
        <v>0</v>
      </c>
      <c r="U302" s="26">
        <f>IFERROR(__xludf.DUMMYFUNCTION("""COMPUTED_VALUE"""),0.0)</f>
        <v>0</v>
      </c>
      <c r="V302" s="26">
        <f>IFERROR(__xludf.DUMMYFUNCTION("""COMPUTED_VALUE"""),0.0)</f>
        <v>0</v>
      </c>
      <c r="W302" s="26">
        <f>IFERROR(__xludf.DUMMYFUNCTION("""COMPUTED_VALUE"""),0.0)</f>
        <v>0</v>
      </c>
      <c r="X302" s="26">
        <f>IFERROR(__xludf.DUMMYFUNCTION("""COMPUTED_VALUE"""),0.0)</f>
        <v>0</v>
      </c>
      <c r="Y302" s="26">
        <f>IFERROR(__xludf.DUMMYFUNCTION("""COMPUTED_VALUE"""),0.0)</f>
        <v>0</v>
      </c>
      <c r="Z302" s="26">
        <f>IFERROR(__xludf.DUMMYFUNCTION("""COMPUTED_VALUE"""),0.0)</f>
        <v>0</v>
      </c>
      <c r="AA302" s="26">
        <f>IFERROR(__xludf.DUMMYFUNCTION("""COMPUTED_VALUE"""),0.0)</f>
        <v>0</v>
      </c>
      <c r="AB302" s="26">
        <f>IFERROR(__xludf.DUMMYFUNCTION("""COMPUTED_VALUE"""),0.0)</f>
        <v>0</v>
      </c>
      <c r="AC302" s="26">
        <f>IFERROR(__xludf.DUMMYFUNCTION("""COMPUTED_VALUE"""),0.0)</f>
        <v>0</v>
      </c>
      <c r="AD302" s="26">
        <f>IFERROR(__xludf.DUMMYFUNCTION("""COMPUTED_VALUE"""),0.0)</f>
        <v>0</v>
      </c>
      <c r="AE302" s="26">
        <f>IFERROR(__xludf.DUMMYFUNCTION("""COMPUTED_VALUE"""),0.0)</f>
        <v>0</v>
      </c>
    </row>
    <row r="303">
      <c r="A303" s="26">
        <f>IFERROR(__xludf.DUMMYFUNCTION("""COMPUTED_VALUE"""),2.0)</f>
        <v>2</v>
      </c>
      <c r="B303" s="26">
        <f>IFERROR(__xludf.DUMMYFUNCTION("""COMPUTED_VALUE"""),1.0)</f>
        <v>1</v>
      </c>
      <c r="C303" s="26">
        <f>IFERROR(__xludf.DUMMYFUNCTION("""COMPUTED_VALUE"""),0.0)</f>
        <v>0</v>
      </c>
      <c r="D303" s="26">
        <f>IFERROR(__xludf.DUMMYFUNCTION("""COMPUTED_VALUE"""),0.0)</f>
        <v>0</v>
      </c>
      <c r="E303" s="26">
        <f>IFERROR(__xludf.DUMMYFUNCTION("""COMPUTED_VALUE"""),0.0)</f>
        <v>0</v>
      </c>
      <c r="F303" s="26">
        <f>IFERROR(__xludf.DUMMYFUNCTION("""COMPUTED_VALUE"""),0.0)</f>
        <v>0</v>
      </c>
      <c r="G303" s="26">
        <f>IFERROR(__xludf.DUMMYFUNCTION("""COMPUTED_VALUE"""),0.0)</f>
        <v>0</v>
      </c>
      <c r="H303" s="26">
        <f>IFERROR(__xludf.DUMMYFUNCTION("""COMPUTED_VALUE"""),0.0)</f>
        <v>0</v>
      </c>
      <c r="I303" s="26">
        <f>IFERROR(__xludf.DUMMYFUNCTION("""COMPUTED_VALUE"""),0.0)</f>
        <v>0</v>
      </c>
      <c r="J303" s="26">
        <f>IFERROR(__xludf.DUMMYFUNCTION("""COMPUTED_VALUE"""),0.0)</f>
        <v>0</v>
      </c>
      <c r="K303" s="26">
        <f>IFERROR(__xludf.DUMMYFUNCTION("""COMPUTED_VALUE"""),0.0)</f>
        <v>0</v>
      </c>
      <c r="L303" s="26">
        <f>IFERROR(__xludf.DUMMYFUNCTION("""COMPUTED_VALUE"""),0.0)</f>
        <v>0</v>
      </c>
      <c r="M303" s="26"/>
      <c r="N303" s="26"/>
      <c r="O303" s="26"/>
      <c r="P303" s="26"/>
      <c r="Q303" s="26"/>
      <c r="R303" s="26">
        <f>IFERROR(__xludf.DUMMYFUNCTION("""COMPUTED_VALUE"""),3.0)</f>
        <v>3</v>
      </c>
      <c r="S303" s="26">
        <f>IFERROR(__xludf.DUMMYFUNCTION("""COMPUTED_VALUE"""),1470.0)</f>
        <v>1470</v>
      </c>
      <c r="T303" s="26">
        <f>IFERROR(__xludf.DUMMYFUNCTION("""COMPUTED_VALUE"""),615.0)</f>
        <v>615</v>
      </c>
      <c r="U303" s="26">
        <f>IFERROR(__xludf.DUMMYFUNCTION("""COMPUTED_VALUE"""),839.25)</f>
        <v>839.25</v>
      </c>
      <c r="V303" s="26">
        <f>IFERROR(__xludf.DUMMYFUNCTION("""COMPUTED_VALUE"""),0.0)</f>
        <v>0</v>
      </c>
      <c r="W303" s="26">
        <f>IFERROR(__xludf.DUMMYFUNCTION("""COMPUTED_VALUE"""),0.0)</f>
        <v>0</v>
      </c>
      <c r="X303" s="26">
        <f>IFERROR(__xludf.DUMMYFUNCTION("""COMPUTED_VALUE"""),224.25)</f>
        <v>224.25</v>
      </c>
      <c r="Y303" s="26">
        <f>IFERROR(__xludf.DUMMYFUNCTION("""COMPUTED_VALUE"""),224.25)</f>
        <v>224.25</v>
      </c>
      <c r="Z303" s="26">
        <f>IFERROR(__xludf.DUMMYFUNCTION("""COMPUTED_VALUE"""),870.78)</f>
        <v>870.78</v>
      </c>
      <c r="AA303" s="26">
        <f>IFERROR(__xludf.DUMMYFUNCTION("""COMPUTED_VALUE"""),870.78)</f>
        <v>870.78</v>
      </c>
      <c r="AB303" s="26">
        <f>IFERROR(__xludf.DUMMYFUNCTION("""COMPUTED_VALUE"""),630.75)</f>
        <v>630.75</v>
      </c>
      <c r="AC303" s="26">
        <f>IFERROR(__xludf.DUMMYFUNCTION("""COMPUTED_VALUE"""),599.22)</f>
        <v>599.22</v>
      </c>
      <c r="AD303" s="26">
        <f>IFERROR(__xludf.DUMMYFUNCTION("""COMPUTED_VALUE"""),31.53)</f>
        <v>31.53</v>
      </c>
      <c r="AE303" s="26">
        <f>IFERROR(__xludf.DUMMYFUNCTION("""COMPUTED_VALUE"""),0.0)</f>
        <v>0</v>
      </c>
    </row>
    <row r="304">
      <c r="A304" s="26">
        <f>IFERROR(__xludf.DUMMYFUNCTION("""COMPUTED_VALUE"""),0.0)</f>
        <v>0</v>
      </c>
      <c r="B304" s="26">
        <f>IFERROR(__xludf.DUMMYFUNCTION("""COMPUTED_VALUE"""),0.0)</f>
        <v>0</v>
      </c>
      <c r="C304" s="26">
        <f>IFERROR(__xludf.DUMMYFUNCTION("""COMPUTED_VALUE"""),0.0)</f>
        <v>0</v>
      </c>
      <c r="D304" s="26">
        <f>IFERROR(__xludf.DUMMYFUNCTION("""COMPUTED_VALUE"""),0.0)</f>
        <v>0</v>
      </c>
      <c r="E304" s="26">
        <f>IFERROR(__xludf.DUMMYFUNCTION("""COMPUTED_VALUE"""),9.0)</f>
        <v>9</v>
      </c>
      <c r="F304" s="26">
        <f>IFERROR(__xludf.DUMMYFUNCTION("""COMPUTED_VALUE"""),0.0)</f>
        <v>0</v>
      </c>
      <c r="G304" s="26">
        <f>IFERROR(__xludf.DUMMYFUNCTION("""COMPUTED_VALUE"""),0.0)</f>
        <v>0</v>
      </c>
      <c r="H304" s="26">
        <f>IFERROR(__xludf.DUMMYFUNCTION("""COMPUTED_VALUE"""),0.0)</f>
        <v>0</v>
      </c>
      <c r="I304" s="26">
        <f>IFERROR(__xludf.DUMMYFUNCTION("""COMPUTED_VALUE"""),0.0)</f>
        <v>0</v>
      </c>
      <c r="J304" s="26">
        <f>IFERROR(__xludf.DUMMYFUNCTION("""COMPUTED_VALUE"""),0.0)</f>
        <v>0</v>
      </c>
      <c r="K304" s="26">
        <f>IFERROR(__xludf.DUMMYFUNCTION("""COMPUTED_VALUE"""),0.0)</f>
        <v>0</v>
      </c>
      <c r="L304" s="26">
        <f>IFERROR(__xludf.DUMMYFUNCTION("""COMPUTED_VALUE"""),0.0)</f>
        <v>0</v>
      </c>
      <c r="M304" s="26"/>
      <c r="N304" s="26"/>
      <c r="O304" s="26"/>
      <c r="P304" s="26"/>
      <c r="Q304" s="26"/>
      <c r="R304" s="26">
        <f>IFERROR(__xludf.DUMMYFUNCTION("""COMPUTED_VALUE"""),9.0)</f>
        <v>9</v>
      </c>
      <c r="S304" s="26">
        <f>IFERROR(__xludf.DUMMYFUNCTION("""COMPUTED_VALUE"""),1646.1000000000004)</f>
        <v>1646.1</v>
      </c>
      <c r="T304" s="26">
        <f>IFERROR(__xludf.DUMMYFUNCTION("""COMPUTED_VALUE"""),1395.0)</f>
        <v>1395</v>
      </c>
      <c r="U304" s="26">
        <f>IFERROR(__xludf.DUMMYFUNCTION("""COMPUTED_VALUE"""),1646.1)</f>
        <v>1646.1</v>
      </c>
      <c r="V304" s="26">
        <f>IFERROR(__xludf.DUMMYFUNCTION("""COMPUTED_VALUE"""),0.0)</f>
        <v>0</v>
      </c>
      <c r="W304" s="26">
        <f>IFERROR(__xludf.DUMMYFUNCTION("""COMPUTED_VALUE"""),0.0)</f>
        <v>0</v>
      </c>
      <c r="X304" s="26">
        <f>IFERROR(__xludf.DUMMYFUNCTION("""COMPUTED_VALUE"""),251.10000000000002)</f>
        <v>251.1</v>
      </c>
      <c r="Y304" s="26">
        <f>IFERROR(__xludf.DUMMYFUNCTION("""COMPUTED_VALUE"""),251.10000000000002)</f>
        <v>251.1</v>
      </c>
      <c r="Z304" s="26">
        <f>IFERROR(__xludf.DUMMYFUNCTION("""COMPUTED_VALUE"""),0.0)</f>
        <v>0</v>
      </c>
      <c r="AA304" s="26">
        <f>IFERROR(__xludf.DUMMYFUNCTION("""COMPUTED_VALUE"""),0.0)</f>
        <v>0</v>
      </c>
      <c r="AB304" s="26">
        <f>IFERROR(__xludf.DUMMYFUNCTION("""COMPUTED_VALUE"""),0.0)</f>
        <v>0</v>
      </c>
      <c r="AC304" s="26">
        <f>IFERROR(__xludf.DUMMYFUNCTION("""COMPUTED_VALUE"""),0.0)</f>
        <v>0</v>
      </c>
      <c r="AD304" s="26">
        <f>IFERROR(__xludf.DUMMYFUNCTION("""COMPUTED_VALUE"""),0.0)</f>
        <v>0</v>
      </c>
      <c r="AE304" s="26">
        <f>IFERROR(__xludf.DUMMYFUNCTION("""COMPUTED_VALUE"""),0.0)</f>
        <v>0</v>
      </c>
    </row>
    <row r="305">
      <c r="A305" s="26">
        <f>IFERROR(__xludf.DUMMYFUNCTION("""COMPUTED_VALUE"""),2.0)</f>
        <v>2</v>
      </c>
      <c r="B305" s="26">
        <f>IFERROR(__xludf.DUMMYFUNCTION("""COMPUTED_VALUE"""),0.0)</f>
        <v>0</v>
      </c>
      <c r="C305" s="26">
        <f>IFERROR(__xludf.DUMMYFUNCTION("""COMPUTED_VALUE"""),0.0)</f>
        <v>0</v>
      </c>
      <c r="D305" s="26">
        <f>IFERROR(__xludf.DUMMYFUNCTION("""COMPUTED_VALUE"""),0.0)</f>
        <v>0</v>
      </c>
      <c r="E305" s="26">
        <f>IFERROR(__xludf.DUMMYFUNCTION("""COMPUTED_VALUE"""),0.0)</f>
        <v>0</v>
      </c>
      <c r="F305" s="26">
        <f>IFERROR(__xludf.DUMMYFUNCTION("""COMPUTED_VALUE"""),0.0)</f>
        <v>0</v>
      </c>
      <c r="G305" s="26">
        <f>IFERROR(__xludf.DUMMYFUNCTION("""COMPUTED_VALUE"""),0.0)</f>
        <v>0</v>
      </c>
      <c r="H305" s="26">
        <f>IFERROR(__xludf.DUMMYFUNCTION("""COMPUTED_VALUE"""),0.0)</f>
        <v>0</v>
      </c>
      <c r="I305" s="26">
        <f>IFERROR(__xludf.DUMMYFUNCTION("""COMPUTED_VALUE"""),0.0)</f>
        <v>0</v>
      </c>
      <c r="J305" s="26">
        <f>IFERROR(__xludf.DUMMYFUNCTION("""COMPUTED_VALUE"""),0.0)</f>
        <v>0</v>
      </c>
      <c r="K305" s="26">
        <f>IFERROR(__xludf.DUMMYFUNCTION("""COMPUTED_VALUE"""),0.0)</f>
        <v>0</v>
      </c>
      <c r="L305" s="26">
        <f>IFERROR(__xludf.DUMMYFUNCTION("""COMPUTED_VALUE"""),0.0)</f>
        <v>0</v>
      </c>
      <c r="M305" s="26"/>
      <c r="N305" s="26"/>
      <c r="O305" s="26"/>
      <c r="P305" s="26"/>
      <c r="Q305" s="26"/>
      <c r="R305" s="26">
        <f>IFERROR(__xludf.DUMMYFUNCTION("""COMPUTED_VALUE"""),2.0)</f>
        <v>2</v>
      </c>
      <c r="S305" s="26">
        <f>IFERROR(__xludf.DUMMYFUNCTION("""COMPUTED_VALUE"""),884.0)</f>
        <v>884</v>
      </c>
      <c r="T305" s="26">
        <f>IFERROR(__xludf.DUMMYFUNCTION("""COMPUTED_VALUE"""),430.0)</f>
        <v>430</v>
      </c>
      <c r="U305" s="26">
        <f>IFERROR(__xludf.DUMMYFUNCTION("""COMPUTED_VALUE"""),564.84)</f>
        <v>564.84</v>
      </c>
      <c r="V305" s="26">
        <f>IFERROR(__xludf.DUMMYFUNCTION("""COMPUTED_VALUE"""),0.0)</f>
        <v>0</v>
      </c>
      <c r="W305" s="26">
        <f>IFERROR(__xludf.DUMMYFUNCTION("""COMPUTED_VALUE"""),0.0)</f>
        <v>0</v>
      </c>
      <c r="X305" s="26">
        <f>IFERROR(__xludf.DUMMYFUNCTION("""COMPUTED_VALUE"""),134.84)</f>
        <v>134.84</v>
      </c>
      <c r="Y305" s="26">
        <f>IFERROR(__xludf.DUMMYFUNCTION("""COMPUTED_VALUE"""),134.84)</f>
        <v>134.84</v>
      </c>
      <c r="Z305" s="26">
        <f>IFERROR(__xludf.DUMMYFUNCTION("""COMPUTED_VALUE"""),884.0)</f>
        <v>884</v>
      </c>
      <c r="AA305" s="26">
        <f>IFERROR(__xludf.DUMMYFUNCTION("""COMPUTED_VALUE"""),580.8)</f>
        <v>580.8</v>
      </c>
      <c r="AB305" s="26">
        <f>IFERROR(__xludf.DUMMYFUNCTION("""COMPUTED_VALUE"""),478.74)</f>
        <v>478.74</v>
      </c>
      <c r="AC305" s="26">
        <f>IFERROR(__xludf.DUMMYFUNCTION("""COMPUTED_VALUE"""),0.0)</f>
        <v>0</v>
      </c>
      <c r="AD305" s="26">
        <f>IFERROR(__xludf.DUMMYFUNCTION("""COMPUTED_VALUE"""),23.94)</f>
        <v>23.94</v>
      </c>
      <c r="AE305" s="26">
        <f>IFERROR(__xludf.DUMMYFUNCTION("""COMPUTED_VALUE"""),454.79999999999995)</f>
        <v>454.8</v>
      </c>
    </row>
    <row r="306">
      <c r="A306" s="26">
        <f>IFERROR(__xludf.DUMMYFUNCTION("""COMPUTED_VALUE"""),0.0)</f>
        <v>0</v>
      </c>
      <c r="B306" s="26">
        <f>IFERROR(__xludf.DUMMYFUNCTION("""COMPUTED_VALUE"""),0.0)</f>
        <v>0</v>
      </c>
      <c r="C306" s="26">
        <f>IFERROR(__xludf.DUMMYFUNCTION("""COMPUTED_VALUE"""),0.0)</f>
        <v>0</v>
      </c>
      <c r="D306" s="26">
        <f>IFERROR(__xludf.DUMMYFUNCTION("""COMPUTED_VALUE"""),0.0)</f>
        <v>0</v>
      </c>
      <c r="E306" s="26">
        <f>IFERROR(__xludf.DUMMYFUNCTION("""COMPUTED_VALUE"""),0.0)</f>
        <v>0</v>
      </c>
      <c r="F306" s="26">
        <f>IFERROR(__xludf.DUMMYFUNCTION("""COMPUTED_VALUE"""),0.0)</f>
        <v>0</v>
      </c>
      <c r="G306" s="26">
        <f>IFERROR(__xludf.DUMMYFUNCTION("""COMPUTED_VALUE"""),0.0)</f>
        <v>0</v>
      </c>
      <c r="H306" s="26">
        <f>IFERROR(__xludf.DUMMYFUNCTION("""COMPUTED_VALUE"""),0.0)</f>
        <v>0</v>
      </c>
      <c r="I306" s="26">
        <f>IFERROR(__xludf.DUMMYFUNCTION("""COMPUTED_VALUE"""),0.0)</f>
        <v>0</v>
      </c>
      <c r="J306" s="26">
        <f>IFERROR(__xludf.DUMMYFUNCTION("""COMPUTED_VALUE"""),0.0)</f>
        <v>0</v>
      </c>
      <c r="K306" s="26">
        <f>IFERROR(__xludf.DUMMYFUNCTION("""COMPUTED_VALUE"""),0.0)</f>
        <v>0</v>
      </c>
      <c r="L306" s="26">
        <f>IFERROR(__xludf.DUMMYFUNCTION("""COMPUTED_VALUE"""),0.0)</f>
        <v>0</v>
      </c>
      <c r="M306" s="26"/>
      <c r="N306" s="26"/>
      <c r="O306" s="26"/>
      <c r="P306" s="26"/>
      <c r="Q306" s="26"/>
      <c r="R306" s="26">
        <f>IFERROR(__xludf.DUMMYFUNCTION("""COMPUTED_VALUE"""),0.0)</f>
        <v>0</v>
      </c>
      <c r="S306" s="26">
        <f>IFERROR(__xludf.DUMMYFUNCTION("""COMPUTED_VALUE"""),0.0)</f>
        <v>0</v>
      </c>
      <c r="T306" s="26">
        <f>IFERROR(__xludf.DUMMYFUNCTION("""COMPUTED_VALUE"""),0.0)</f>
        <v>0</v>
      </c>
      <c r="U306" s="26">
        <f>IFERROR(__xludf.DUMMYFUNCTION("""COMPUTED_VALUE"""),0.0)</f>
        <v>0</v>
      </c>
      <c r="V306" s="26">
        <f>IFERROR(__xludf.DUMMYFUNCTION("""COMPUTED_VALUE"""),0.0)</f>
        <v>0</v>
      </c>
      <c r="W306" s="26">
        <f>IFERROR(__xludf.DUMMYFUNCTION("""COMPUTED_VALUE"""),0.0)</f>
        <v>0</v>
      </c>
      <c r="X306" s="26">
        <f>IFERROR(__xludf.DUMMYFUNCTION("""COMPUTED_VALUE"""),0.0)</f>
        <v>0</v>
      </c>
      <c r="Y306" s="26">
        <f>IFERROR(__xludf.DUMMYFUNCTION("""COMPUTED_VALUE"""),0.0)</f>
        <v>0</v>
      </c>
      <c r="Z306" s="26">
        <f>IFERROR(__xludf.DUMMYFUNCTION("""COMPUTED_VALUE"""),0.0)</f>
        <v>0</v>
      </c>
      <c r="AA306" s="26">
        <f>IFERROR(__xludf.DUMMYFUNCTION("""COMPUTED_VALUE"""),0.0)</f>
        <v>0</v>
      </c>
      <c r="AB306" s="26">
        <f>IFERROR(__xludf.DUMMYFUNCTION("""COMPUTED_VALUE"""),0.0)</f>
        <v>0</v>
      </c>
      <c r="AC306" s="26">
        <f>IFERROR(__xludf.DUMMYFUNCTION("""COMPUTED_VALUE"""),0.0)</f>
        <v>0</v>
      </c>
      <c r="AD306" s="26">
        <f>IFERROR(__xludf.DUMMYFUNCTION("""COMPUTED_VALUE"""),0.0)</f>
        <v>0</v>
      </c>
      <c r="AE306" s="26">
        <f>IFERROR(__xludf.DUMMYFUNCTION("""COMPUTED_VALUE"""),0.0)</f>
        <v>0</v>
      </c>
    </row>
    <row r="307">
      <c r="A307" s="26">
        <f>IFERROR(__xludf.DUMMYFUNCTION("""COMPUTED_VALUE"""),0.0)</f>
        <v>0</v>
      </c>
      <c r="B307" s="26">
        <f>IFERROR(__xludf.DUMMYFUNCTION("""COMPUTED_VALUE"""),0.0)</f>
        <v>0</v>
      </c>
      <c r="C307" s="26">
        <f>IFERROR(__xludf.DUMMYFUNCTION("""COMPUTED_VALUE"""),0.0)</f>
        <v>0</v>
      </c>
      <c r="D307" s="26">
        <f>IFERROR(__xludf.DUMMYFUNCTION("""COMPUTED_VALUE"""),0.0)</f>
        <v>0</v>
      </c>
      <c r="E307" s="26">
        <f>IFERROR(__xludf.DUMMYFUNCTION("""COMPUTED_VALUE"""),0.0)</f>
        <v>0</v>
      </c>
      <c r="F307" s="26">
        <f>IFERROR(__xludf.DUMMYFUNCTION("""COMPUTED_VALUE"""),0.0)</f>
        <v>0</v>
      </c>
      <c r="G307" s="26">
        <f>IFERROR(__xludf.DUMMYFUNCTION("""COMPUTED_VALUE"""),0.0)</f>
        <v>0</v>
      </c>
      <c r="H307" s="26">
        <f>IFERROR(__xludf.DUMMYFUNCTION("""COMPUTED_VALUE"""),0.0)</f>
        <v>0</v>
      </c>
      <c r="I307" s="26">
        <f>IFERROR(__xludf.DUMMYFUNCTION("""COMPUTED_VALUE"""),0.0)</f>
        <v>0</v>
      </c>
      <c r="J307" s="26">
        <f>IFERROR(__xludf.DUMMYFUNCTION("""COMPUTED_VALUE"""),0.0)</f>
        <v>0</v>
      </c>
      <c r="K307" s="26">
        <f>IFERROR(__xludf.DUMMYFUNCTION("""COMPUTED_VALUE"""),0.0)</f>
        <v>0</v>
      </c>
      <c r="L307" s="26">
        <f>IFERROR(__xludf.DUMMYFUNCTION("""COMPUTED_VALUE"""),0.0)</f>
        <v>0</v>
      </c>
      <c r="M307" s="26"/>
      <c r="N307" s="26"/>
      <c r="O307" s="26"/>
      <c r="P307" s="26"/>
      <c r="Q307" s="26"/>
      <c r="R307" s="26">
        <f>IFERROR(__xludf.DUMMYFUNCTION("""COMPUTED_VALUE"""),0.0)</f>
        <v>0</v>
      </c>
      <c r="S307" s="26">
        <f>IFERROR(__xludf.DUMMYFUNCTION("""COMPUTED_VALUE"""),0.0)</f>
        <v>0</v>
      </c>
      <c r="T307" s="26">
        <f>IFERROR(__xludf.DUMMYFUNCTION("""COMPUTED_VALUE"""),0.0)</f>
        <v>0</v>
      </c>
      <c r="U307" s="26">
        <f>IFERROR(__xludf.DUMMYFUNCTION("""COMPUTED_VALUE"""),0.0)</f>
        <v>0</v>
      </c>
      <c r="V307" s="26">
        <f>IFERROR(__xludf.DUMMYFUNCTION("""COMPUTED_VALUE"""),0.0)</f>
        <v>0</v>
      </c>
      <c r="W307" s="26">
        <f>IFERROR(__xludf.DUMMYFUNCTION("""COMPUTED_VALUE"""),0.0)</f>
        <v>0</v>
      </c>
      <c r="X307" s="26">
        <f>IFERROR(__xludf.DUMMYFUNCTION("""COMPUTED_VALUE"""),0.0)</f>
        <v>0</v>
      </c>
      <c r="Y307" s="26">
        <f>IFERROR(__xludf.DUMMYFUNCTION("""COMPUTED_VALUE"""),0.0)</f>
        <v>0</v>
      </c>
      <c r="Z307" s="26">
        <f>IFERROR(__xludf.DUMMYFUNCTION("""COMPUTED_VALUE"""),0.0)</f>
        <v>0</v>
      </c>
      <c r="AA307" s="26">
        <f>IFERROR(__xludf.DUMMYFUNCTION("""COMPUTED_VALUE"""),0.0)</f>
        <v>0</v>
      </c>
      <c r="AB307" s="26">
        <f>IFERROR(__xludf.DUMMYFUNCTION("""COMPUTED_VALUE"""),0.0)</f>
        <v>0</v>
      </c>
      <c r="AC307" s="26">
        <f>IFERROR(__xludf.DUMMYFUNCTION("""COMPUTED_VALUE"""),0.0)</f>
        <v>0</v>
      </c>
      <c r="AD307" s="26">
        <f>IFERROR(__xludf.DUMMYFUNCTION("""COMPUTED_VALUE"""),0.0)</f>
        <v>0</v>
      </c>
      <c r="AE307" s="26">
        <f>IFERROR(__xludf.DUMMYFUNCTION("""COMPUTED_VALUE"""),0.0)</f>
        <v>0</v>
      </c>
    </row>
    <row r="308">
      <c r="A308" s="26">
        <f>IFERROR(__xludf.DUMMYFUNCTION("""COMPUTED_VALUE"""),1.0)</f>
        <v>1</v>
      </c>
      <c r="B308" s="26">
        <f>IFERROR(__xludf.DUMMYFUNCTION("""COMPUTED_VALUE"""),0.0)</f>
        <v>0</v>
      </c>
      <c r="C308" s="26">
        <f>IFERROR(__xludf.DUMMYFUNCTION("""COMPUTED_VALUE"""),0.0)</f>
        <v>0</v>
      </c>
      <c r="D308" s="26">
        <f>IFERROR(__xludf.DUMMYFUNCTION("""COMPUTED_VALUE"""),0.0)</f>
        <v>0</v>
      </c>
      <c r="E308" s="26">
        <f>IFERROR(__xludf.DUMMYFUNCTION("""COMPUTED_VALUE"""),0.0)</f>
        <v>0</v>
      </c>
      <c r="F308" s="26">
        <f>IFERROR(__xludf.DUMMYFUNCTION("""COMPUTED_VALUE"""),0.0)</f>
        <v>0</v>
      </c>
      <c r="G308" s="26">
        <f>IFERROR(__xludf.DUMMYFUNCTION("""COMPUTED_VALUE"""),0.0)</f>
        <v>0</v>
      </c>
      <c r="H308" s="26">
        <f>IFERROR(__xludf.DUMMYFUNCTION("""COMPUTED_VALUE"""),0.0)</f>
        <v>0</v>
      </c>
      <c r="I308" s="26">
        <f>IFERROR(__xludf.DUMMYFUNCTION("""COMPUTED_VALUE"""),0.0)</f>
        <v>0</v>
      </c>
      <c r="J308" s="26">
        <f>IFERROR(__xludf.DUMMYFUNCTION("""COMPUTED_VALUE"""),0.0)</f>
        <v>0</v>
      </c>
      <c r="K308" s="26">
        <f>IFERROR(__xludf.DUMMYFUNCTION("""COMPUTED_VALUE"""),0.0)</f>
        <v>0</v>
      </c>
      <c r="L308" s="26">
        <f>IFERROR(__xludf.DUMMYFUNCTION("""COMPUTED_VALUE"""),0.0)</f>
        <v>0</v>
      </c>
      <c r="M308" s="26"/>
      <c r="N308" s="26"/>
      <c r="O308" s="26"/>
      <c r="P308" s="26"/>
      <c r="Q308" s="26"/>
      <c r="R308" s="26">
        <f>IFERROR(__xludf.DUMMYFUNCTION("""COMPUTED_VALUE"""),1.0)</f>
        <v>1</v>
      </c>
      <c r="S308" s="26">
        <f>IFERROR(__xludf.DUMMYFUNCTION("""COMPUTED_VALUE"""),442.0)</f>
        <v>442</v>
      </c>
      <c r="T308" s="26">
        <f>IFERROR(__xludf.DUMMYFUNCTION("""COMPUTED_VALUE"""),215.0)</f>
        <v>215</v>
      </c>
      <c r="U308" s="26">
        <f>IFERROR(__xludf.DUMMYFUNCTION("""COMPUTED_VALUE"""),282.42)</f>
        <v>282.42</v>
      </c>
      <c r="V308" s="26">
        <f>IFERROR(__xludf.DUMMYFUNCTION("""COMPUTED_VALUE"""),0.0)</f>
        <v>0</v>
      </c>
      <c r="W308" s="26">
        <f>IFERROR(__xludf.DUMMYFUNCTION("""COMPUTED_VALUE"""),0.0)</f>
        <v>0</v>
      </c>
      <c r="X308" s="26">
        <f>IFERROR(__xludf.DUMMYFUNCTION("""COMPUTED_VALUE"""),67.42)</f>
        <v>67.42</v>
      </c>
      <c r="Y308" s="26">
        <f>IFERROR(__xludf.DUMMYFUNCTION("""COMPUTED_VALUE"""),67.42)</f>
        <v>67.42</v>
      </c>
      <c r="Z308" s="26">
        <f>IFERROR(__xludf.DUMMYFUNCTION("""COMPUTED_VALUE"""),442.0)</f>
        <v>442</v>
      </c>
      <c r="AA308" s="26">
        <f>IFERROR(__xludf.DUMMYFUNCTION("""COMPUTED_VALUE"""),290.4)</f>
        <v>290.4</v>
      </c>
      <c r="AB308" s="26">
        <f>IFERROR(__xludf.DUMMYFUNCTION("""COMPUTED_VALUE"""),0.0)</f>
        <v>0</v>
      </c>
      <c r="AC308" s="26">
        <f>IFERROR(__xludf.DUMMYFUNCTION("""COMPUTED_VALUE"""),0.0)</f>
        <v>0</v>
      </c>
      <c r="AD308" s="26">
        <f>IFERROR(__xludf.DUMMYFUNCTION("""COMPUTED_VALUE"""),0.0)</f>
        <v>0</v>
      </c>
      <c r="AE308" s="26">
        <f>IFERROR(__xludf.DUMMYFUNCTION("""COMPUTED_VALUE"""),0.0)</f>
        <v>0</v>
      </c>
    </row>
    <row r="309">
      <c r="A309" s="26">
        <f>IFERROR(__xludf.DUMMYFUNCTION("""COMPUTED_VALUE"""),0.0)</f>
        <v>0</v>
      </c>
      <c r="B309" s="26">
        <f>IFERROR(__xludf.DUMMYFUNCTION("""COMPUTED_VALUE"""),0.0)</f>
        <v>0</v>
      </c>
      <c r="C309" s="26">
        <f>IFERROR(__xludf.DUMMYFUNCTION("""COMPUTED_VALUE"""),0.0)</f>
        <v>0</v>
      </c>
      <c r="D309" s="26">
        <f>IFERROR(__xludf.DUMMYFUNCTION("""COMPUTED_VALUE"""),0.0)</f>
        <v>0</v>
      </c>
      <c r="E309" s="26">
        <f>IFERROR(__xludf.DUMMYFUNCTION("""COMPUTED_VALUE"""),0.0)</f>
        <v>0</v>
      </c>
      <c r="F309" s="26">
        <f>IFERROR(__xludf.DUMMYFUNCTION("""COMPUTED_VALUE"""),0.0)</f>
        <v>0</v>
      </c>
      <c r="G309" s="26">
        <f>IFERROR(__xludf.DUMMYFUNCTION("""COMPUTED_VALUE"""),0.0)</f>
        <v>0</v>
      </c>
      <c r="H309" s="26">
        <f>IFERROR(__xludf.DUMMYFUNCTION("""COMPUTED_VALUE"""),0.0)</f>
        <v>0</v>
      </c>
      <c r="I309" s="26">
        <f>IFERROR(__xludf.DUMMYFUNCTION("""COMPUTED_VALUE"""),0.0)</f>
        <v>0</v>
      </c>
      <c r="J309" s="26">
        <f>IFERROR(__xludf.DUMMYFUNCTION("""COMPUTED_VALUE"""),0.0)</f>
        <v>0</v>
      </c>
      <c r="K309" s="26">
        <f>IFERROR(__xludf.DUMMYFUNCTION("""COMPUTED_VALUE"""),0.0)</f>
        <v>0</v>
      </c>
      <c r="L309" s="26">
        <f>IFERROR(__xludf.DUMMYFUNCTION("""COMPUTED_VALUE"""),0.0)</f>
        <v>0</v>
      </c>
      <c r="M309" s="26"/>
      <c r="N309" s="26"/>
      <c r="O309" s="26"/>
      <c r="P309" s="26"/>
      <c r="Q309" s="26"/>
      <c r="R309" s="26">
        <f>IFERROR(__xludf.DUMMYFUNCTION("""COMPUTED_VALUE"""),0.0)</f>
        <v>0</v>
      </c>
      <c r="S309" s="26">
        <f>IFERROR(__xludf.DUMMYFUNCTION("""COMPUTED_VALUE"""),0.0)</f>
        <v>0</v>
      </c>
      <c r="T309" s="26">
        <f>IFERROR(__xludf.DUMMYFUNCTION("""COMPUTED_VALUE"""),0.0)</f>
        <v>0</v>
      </c>
      <c r="U309" s="26">
        <f>IFERROR(__xludf.DUMMYFUNCTION("""COMPUTED_VALUE"""),0.0)</f>
        <v>0</v>
      </c>
      <c r="V309" s="26">
        <f>IFERROR(__xludf.DUMMYFUNCTION("""COMPUTED_VALUE"""),0.0)</f>
        <v>0</v>
      </c>
      <c r="W309" s="26">
        <f>IFERROR(__xludf.DUMMYFUNCTION("""COMPUTED_VALUE"""),0.0)</f>
        <v>0</v>
      </c>
      <c r="X309" s="26">
        <f>IFERROR(__xludf.DUMMYFUNCTION("""COMPUTED_VALUE"""),0.0)</f>
        <v>0</v>
      </c>
      <c r="Y309" s="26">
        <f>IFERROR(__xludf.DUMMYFUNCTION("""COMPUTED_VALUE"""),0.0)</f>
        <v>0</v>
      </c>
      <c r="Z309" s="26">
        <f>IFERROR(__xludf.DUMMYFUNCTION("""COMPUTED_VALUE"""),0.0)</f>
        <v>0</v>
      </c>
      <c r="AA309" s="26">
        <f>IFERROR(__xludf.DUMMYFUNCTION("""COMPUTED_VALUE"""),0.0)</f>
        <v>0</v>
      </c>
      <c r="AB309" s="26">
        <f>IFERROR(__xludf.DUMMYFUNCTION("""COMPUTED_VALUE"""),0.0)</f>
        <v>0</v>
      </c>
      <c r="AC309" s="26">
        <f>IFERROR(__xludf.DUMMYFUNCTION("""COMPUTED_VALUE"""),0.0)</f>
        <v>0</v>
      </c>
      <c r="AD309" s="26">
        <f>IFERROR(__xludf.DUMMYFUNCTION("""COMPUTED_VALUE"""),0.0)</f>
        <v>0</v>
      </c>
      <c r="AE309" s="26">
        <f>IFERROR(__xludf.DUMMYFUNCTION("""COMPUTED_VALUE"""),0.0)</f>
        <v>0</v>
      </c>
    </row>
    <row r="310">
      <c r="A310" s="26">
        <f>IFERROR(__xludf.DUMMYFUNCTION("""COMPUTED_VALUE"""),0.0)</f>
        <v>0</v>
      </c>
      <c r="B310" s="26">
        <f>IFERROR(__xludf.DUMMYFUNCTION("""COMPUTED_VALUE"""),0.0)</f>
        <v>0</v>
      </c>
      <c r="C310" s="26">
        <f>IFERROR(__xludf.DUMMYFUNCTION("""COMPUTED_VALUE"""),0.0)</f>
        <v>0</v>
      </c>
      <c r="D310" s="26">
        <f>IFERROR(__xludf.DUMMYFUNCTION("""COMPUTED_VALUE"""),0.0)</f>
        <v>0</v>
      </c>
      <c r="E310" s="26">
        <f>IFERROR(__xludf.DUMMYFUNCTION("""COMPUTED_VALUE"""),0.0)</f>
        <v>0</v>
      </c>
      <c r="F310" s="26">
        <f>IFERROR(__xludf.DUMMYFUNCTION("""COMPUTED_VALUE"""),0.0)</f>
        <v>0</v>
      </c>
      <c r="G310" s="26">
        <f>IFERROR(__xludf.DUMMYFUNCTION("""COMPUTED_VALUE"""),0.0)</f>
        <v>0</v>
      </c>
      <c r="H310" s="26">
        <f>IFERROR(__xludf.DUMMYFUNCTION("""COMPUTED_VALUE"""),0.0)</f>
        <v>0</v>
      </c>
      <c r="I310" s="26">
        <f>IFERROR(__xludf.DUMMYFUNCTION("""COMPUTED_VALUE"""),0.0)</f>
        <v>0</v>
      </c>
      <c r="J310" s="26">
        <f>IFERROR(__xludf.DUMMYFUNCTION("""COMPUTED_VALUE"""),0.0)</f>
        <v>0</v>
      </c>
      <c r="K310" s="26">
        <f>IFERROR(__xludf.DUMMYFUNCTION("""COMPUTED_VALUE"""),0.0)</f>
        <v>0</v>
      </c>
      <c r="L310" s="26">
        <f>IFERROR(__xludf.DUMMYFUNCTION("""COMPUTED_VALUE"""),0.0)</f>
        <v>0</v>
      </c>
      <c r="M310" s="26"/>
      <c r="N310" s="26"/>
      <c r="O310" s="26"/>
      <c r="P310" s="26"/>
      <c r="Q310" s="26"/>
      <c r="R310" s="26">
        <f>IFERROR(__xludf.DUMMYFUNCTION("""COMPUTED_VALUE"""),0.0)</f>
        <v>0</v>
      </c>
      <c r="S310" s="26">
        <f>IFERROR(__xludf.DUMMYFUNCTION("""COMPUTED_VALUE"""),0.0)</f>
        <v>0</v>
      </c>
      <c r="T310" s="26">
        <f>IFERROR(__xludf.DUMMYFUNCTION("""COMPUTED_VALUE"""),0.0)</f>
        <v>0</v>
      </c>
      <c r="U310" s="26">
        <f>IFERROR(__xludf.DUMMYFUNCTION("""COMPUTED_VALUE"""),0.0)</f>
        <v>0</v>
      </c>
      <c r="V310" s="26">
        <f>IFERROR(__xludf.DUMMYFUNCTION("""COMPUTED_VALUE"""),0.0)</f>
        <v>0</v>
      </c>
      <c r="W310" s="26">
        <f>IFERROR(__xludf.DUMMYFUNCTION("""COMPUTED_VALUE"""),0.0)</f>
        <v>0</v>
      </c>
      <c r="X310" s="26">
        <f>IFERROR(__xludf.DUMMYFUNCTION("""COMPUTED_VALUE"""),0.0)</f>
        <v>0</v>
      </c>
      <c r="Y310" s="26">
        <f>IFERROR(__xludf.DUMMYFUNCTION("""COMPUTED_VALUE"""),0.0)</f>
        <v>0</v>
      </c>
      <c r="Z310" s="26">
        <f>IFERROR(__xludf.DUMMYFUNCTION("""COMPUTED_VALUE"""),0.0)</f>
        <v>0</v>
      </c>
      <c r="AA310" s="26">
        <f>IFERROR(__xludf.DUMMYFUNCTION("""COMPUTED_VALUE"""),0.0)</f>
        <v>0</v>
      </c>
      <c r="AB310" s="26">
        <f>IFERROR(__xludf.DUMMYFUNCTION("""COMPUTED_VALUE"""),0.0)</f>
        <v>0</v>
      </c>
      <c r="AC310" s="26">
        <f>IFERROR(__xludf.DUMMYFUNCTION("""COMPUTED_VALUE"""),0.0)</f>
        <v>0</v>
      </c>
      <c r="AD310" s="26">
        <f>IFERROR(__xludf.DUMMYFUNCTION("""COMPUTED_VALUE"""),0.0)</f>
        <v>0</v>
      </c>
      <c r="AE310" s="26">
        <f>IFERROR(__xludf.DUMMYFUNCTION("""COMPUTED_VALUE"""),0.0)</f>
        <v>0</v>
      </c>
    </row>
    <row r="311">
      <c r="A311" s="26">
        <f>IFERROR(__xludf.DUMMYFUNCTION("""COMPUTED_VALUE"""),0.0)</f>
        <v>0</v>
      </c>
      <c r="B311" s="26">
        <f>IFERROR(__xludf.DUMMYFUNCTION("""COMPUTED_VALUE"""),0.0)</f>
        <v>0</v>
      </c>
      <c r="C311" s="26">
        <f>IFERROR(__xludf.DUMMYFUNCTION("""COMPUTED_VALUE"""),0.0)</f>
        <v>0</v>
      </c>
      <c r="D311" s="26">
        <f>IFERROR(__xludf.DUMMYFUNCTION("""COMPUTED_VALUE"""),0.0)</f>
        <v>0</v>
      </c>
      <c r="E311" s="26">
        <f>IFERROR(__xludf.DUMMYFUNCTION("""COMPUTED_VALUE"""),0.0)</f>
        <v>0</v>
      </c>
      <c r="F311" s="26">
        <f>IFERROR(__xludf.DUMMYFUNCTION("""COMPUTED_VALUE"""),0.0)</f>
        <v>0</v>
      </c>
      <c r="G311" s="26">
        <f>IFERROR(__xludf.DUMMYFUNCTION("""COMPUTED_VALUE"""),0.0)</f>
        <v>0</v>
      </c>
      <c r="H311" s="26">
        <f>IFERROR(__xludf.DUMMYFUNCTION("""COMPUTED_VALUE"""),0.0)</f>
        <v>0</v>
      </c>
      <c r="I311" s="26">
        <f>IFERROR(__xludf.DUMMYFUNCTION("""COMPUTED_VALUE"""),0.0)</f>
        <v>0</v>
      </c>
      <c r="J311" s="26">
        <f>IFERROR(__xludf.DUMMYFUNCTION("""COMPUTED_VALUE"""),0.0)</f>
        <v>0</v>
      </c>
      <c r="K311" s="26">
        <f>IFERROR(__xludf.DUMMYFUNCTION("""COMPUTED_VALUE"""),0.0)</f>
        <v>0</v>
      </c>
      <c r="L311" s="26">
        <f>IFERROR(__xludf.DUMMYFUNCTION("""COMPUTED_VALUE"""),0.0)</f>
        <v>0</v>
      </c>
      <c r="M311" s="26"/>
      <c r="N311" s="26"/>
      <c r="O311" s="26"/>
      <c r="P311" s="26"/>
      <c r="Q311" s="26"/>
      <c r="R311" s="26">
        <f>IFERROR(__xludf.DUMMYFUNCTION("""COMPUTED_VALUE"""),0.0)</f>
        <v>0</v>
      </c>
      <c r="S311" s="26">
        <f>IFERROR(__xludf.DUMMYFUNCTION("""COMPUTED_VALUE"""),0.0)</f>
        <v>0</v>
      </c>
      <c r="T311" s="26">
        <f>IFERROR(__xludf.DUMMYFUNCTION("""COMPUTED_VALUE"""),0.0)</f>
        <v>0</v>
      </c>
      <c r="U311" s="26">
        <f>IFERROR(__xludf.DUMMYFUNCTION("""COMPUTED_VALUE"""),0.0)</f>
        <v>0</v>
      </c>
      <c r="V311" s="26">
        <f>IFERROR(__xludf.DUMMYFUNCTION("""COMPUTED_VALUE"""),0.0)</f>
        <v>0</v>
      </c>
      <c r="W311" s="26">
        <f>IFERROR(__xludf.DUMMYFUNCTION("""COMPUTED_VALUE"""),0.0)</f>
        <v>0</v>
      </c>
      <c r="X311" s="26">
        <f>IFERROR(__xludf.DUMMYFUNCTION("""COMPUTED_VALUE"""),0.0)</f>
        <v>0</v>
      </c>
      <c r="Y311" s="26">
        <f>IFERROR(__xludf.DUMMYFUNCTION("""COMPUTED_VALUE"""),0.0)</f>
        <v>0</v>
      </c>
      <c r="Z311" s="26">
        <f>IFERROR(__xludf.DUMMYFUNCTION("""COMPUTED_VALUE"""),0.0)</f>
        <v>0</v>
      </c>
      <c r="AA311" s="26">
        <f>IFERROR(__xludf.DUMMYFUNCTION("""COMPUTED_VALUE"""),0.0)</f>
        <v>0</v>
      </c>
      <c r="AB311" s="26">
        <f>IFERROR(__xludf.DUMMYFUNCTION("""COMPUTED_VALUE"""),0.0)</f>
        <v>0</v>
      </c>
      <c r="AC311" s="26">
        <f>IFERROR(__xludf.DUMMYFUNCTION("""COMPUTED_VALUE"""),0.0)</f>
        <v>0</v>
      </c>
      <c r="AD311" s="26">
        <f>IFERROR(__xludf.DUMMYFUNCTION("""COMPUTED_VALUE"""),0.0)</f>
        <v>0</v>
      </c>
      <c r="AE311" s="26">
        <f>IFERROR(__xludf.DUMMYFUNCTION("""COMPUTED_VALUE"""),0.0)</f>
        <v>0</v>
      </c>
    </row>
    <row r="312">
      <c r="A312" s="26">
        <f>IFERROR(__xludf.DUMMYFUNCTION("""COMPUTED_VALUE"""),15.0)</f>
        <v>15</v>
      </c>
      <c r="B312" s="26">
        <f>IFERROR(__xludf.DUMMYFUNCTION("""COMPUTED_VALUE"""),0.0)</f>
        <v>0</v>
      </c>
      <c r="C312" s="26">
        <f>IFERROR(__xludf.DUMMYFUNCTION("""COMPUTED_VALUE"""),0.0)</f>
        <v>0</v>
      </c>
      <c r="D312" s="26">
        <f>IFERROR(__xludf.DUMMYFUNCTION("""COMPUTED_VALUE"""),0.0)</f>
        <v>0</v>
      </c>
      <c r="E312" s="26">
        <f>IFERROR(__xludf.DUMMYFUNCTION("""COMPUTED_VALUE"""),0.0)</f>
        <v>0</v>
      </c>
      <c r="F312" s="26">
        <f>IFERROR(__xludf.DUMMYFUNCTION("""COMPUTED_VALUE"""),0.0)</f>
        <v>0</v>
      </c>
      <c r="G312" s="26">
        <f>IFERROR(__xludf.DUMMYFUNCTION("""COMPUTED_VALUE"""),0.0)</f>
        <v>0</v>
      </c>
      <c r="H312" s="26">
        <f>IFERROR(__xludf.DUMMYFUNCTION("""COMPUTED_VALUE"""),0.0)</f>
        <v>0</v>
      </c>
      <c r="I312" s="26">
        <f>IFERROR(__xludf.DUMMYFUNCTION("""COMPUTED_VALUE"""),0.0)</f>
        <v>0</v>
      </c>
      <c r="J312" s="26">
        <f>IFERROR(__xludf.DUMMYFUNCTION("""COMPUTED_VALUE"""),0.0)</f>
        <v>0</v>
      </c>
      <c r="K312" s="26">
        <f>IFERROR(__xludf.DUMMYFUNCTION("""COMPUTED_VALUE"""),0.0)</f>
        <v>0</v>
      </c>
      <c r="L312" s="26">
        <f>IFERROR(__xludf.DUMMYFUNCTION("""COMPUTED_VALUE"""),0.0)</f>
        <v>0</v>
      </c>
      <c r="M312" s="26"/>
      <c r="N312" s="26"/>
      <c r="O312" s="26"/>
      <c r="P312" s="26"/>
      <c r="Q312" s="26"/>
      <c r="R312" s="26">
        <f>IFERROR(__xludf.DUMMYFUNCTION("""COMPUTED_VALUE"""),15.0)</f>
        <v>15</v>
      </c>
      <c r="S312" s="26">
        <f>IFERROR(__xludf.DUMMYFUNCTION("""COMPUTED_VALUE"""),5850.0)</f>
        <v>5850</v>
      </c>
      <c r="T312" s="26">
        <f>IFERROR(__xludf.DUMMYFUNCTION("""COMPUTED_VALUE"""),2550.0)</f>
        <v>2550</v>
      </c>
      <c r="U312" s="26">
        <f>IFERROR(__xludf.DUMMYFUNCTION("""COMPUTED_VALUE"""),3442.35)</f>
        <v>3442.35</v>
      </c>
      <c r="V312" s="26">
        <f>IFERROR(__xludf.DUMMYFUNCTION("""COMPUTED_VALUE"""),0.0)</f>
        <v>0</v>
      </c>
      <c r="W312" s="26">
        <f>IFERROR(__xludf.DUMMYFUNCTION("""COMPUTED_VALUE"""),0.0)</f>
        <v>0</v>
      </c>
      <c r="X312" s="26">
        <f>IFERROR(__xludf.DUMMYFUNCTION("""COMPUTED_VALUE"""),892.35)</f>
        <v>892.35</v>
      </c>
      <c r="Y312" s="26">
        <f>IFERROR(__xludf.DUMMYFUNCTION("""COMPUTED_VALUE"""),892.35)</f>
        <v>892.35</v>
      </c>
      <c r="Z312" s="26">
        <f>IFERROR(__xludf.DUMMYFUNCTION("""COMPUTED_VALUE"""),3562.8)</f>
        <v>3562.8</v>
      </c>
      <c r="AA312" s="26">
        <f>IFERROR(__xludf.DUMMYFUNCTION("""COMPUTED_VALUE"""),3562.8)</f>
        <v>3562.8</v>
      </c>
      <c r="AB312" s="26">
        <f>IFERROR(__xludf.DUMMYFUNCTION("""COMPUTED_VALUE"""),2407.6500000000005)</f>
        <v>2407.65</v>
      </c>
      <c r="AC312" s="26">
        <f>IFERROR(__xludf.DUMMYFUNCTION("""COMPUTED_VALUE"""),2287.2)</f>
        <v>2287.2</v>
      </c>
      <c r="AD312" s="26">
        <f>IFERROR(__xludf.DUMMYFUNCTION("""COMPUTED_VALUE"""),120.45)</f>
        <v>120.45</v>
      </c>
      <c r="AE312" s="26">
        <f>IFERROR(__xludf.DUMMYFUNCTION("""COMPUTED_VALUE"""),0.0)</f>
        <v>0</v>
      </c>
    </row>
    <row r="313">
      <c r="A313" s="26">
        <f>IFERROR(__xludf.DUMMYFUNCTION("""COMPUTED_VALUE"""),0.0)</f>
        <v>0</v>
      </c>
      <c r="B313" s="26">
        <f>IFERROR(__xludf.DUMMYFUNCTION("""COMPUTED_VALUE"""),0.0)</f>
        <v>0</v>
      </c>
      <c r="C313" s="26">
        <f>IFERROR(__xludf.DUMMYFUNCTION("""COMPUTED_VALUE"""),0.0)</f>
        <v>0</v>
      </c>
      <c r="D313" s="26">
        <f>IFERROR(__xludf.DUMMYFUNCTION("""COMPUTED_VALUE"""),0.0)</f>
        <v>0</v>
      </c>
      <c r="E313" s="26">
        <f>IFERROR(__xludf.DUMMYFUNCTION("""COMPUTED_VALUE"""),0.0)</f>
        <v>0</v>
      </c>
      <c r="F313" s="26">
        <f>IFERROR(__xludf.DUMMYFUNCTION("""COMPUTED_VALUE"""),0.0)</f>
        <v>0</v>
      </c>
      <c r="G313" s="26">
        <f>IFERROR(__xludf.DUMMYFUNCTION("""COMPUTED_VALUE"""),0.0)</f>
        <v>0</v>
      </c>
      <c r="H313" s="26">
        <f>IFERROR(__xludf.DUMMYFUNCTION("""COMPUTED_VALUE"""),0.0)</f>
        <v>0</v>
      </c>
      <c r="I313" s="26">
        <f>IFERROR(__xludf.DUMMYFUNCTION("""COMPUTED_VALUE"""),0.0)</f>
        <v>0</v>
      </c>
      <c r="J313" s="26">
        <f>IFERROR(__xludf.DUMMYFUNCTION("""COMPUTED_VALUE"""),0.0)</f>
        <v>0</v>
      </c>
      <c r="K313" s="26">
        <f>IFERROR(__xludf.DUMMYFUNCTION("""COMPUTED_VALUE"""),0.0)</f>
        <v>0</v>
      </c>
      <c r="L313" s="26">
        <f>IFERROR(__xludf.DUMMYFUNCTION("""COMPUTED_VALUE"""),0.0)</f>
        <v>0</v>
      </c>
      <c r="M313" s="26"/>
      <c r="N313" s="26"/>
      <c r="O313" s="26"/>
      <c r="P313" s="26"/>
      <c r="Q313" s="26"/>
      <c r="R313" s="26">
        <f>IFERROR(__xludf.DUMMYFUNCTION("""COMPUTED_VALUE"""),0.0)</f>
        <v>0</v>
      </c>
      <c r="S313" s="26">
        <f>IFERROR(__xludf.DUMMYFUNCTION("""COMPUTED_VALUE"""),0.0)</f>
        <v>0</v>
      </c>
      <c r="T313" s="26">
        <f>IFERROR(__xludf.DUMMYFUNCTION("""COMPUTED_VALUE"""),0.0)</f>
        <v>0</v>
      </c>
      <c r="U313" s="26">
        <f>IFERROR(__xludf.DUMMYFUNCTION("""COMPUTED_VALUE"""),0.0)</f>
        <v>0</v>
      </c>
      <c r="V313" s="26">
        <f>IFERROR(__xludf.DUMMYFUNCTION("""COMPUTED_VALUE"""),0.0)</f>
        <v>0</v>
      </c>
      <c r="W313" s="26">
        <f>IFERROR(__xludf.DUMMYFUNCTION("""COMPUTED_VALUE"""),0.0)</f>
        <v>0</v>
      </c>
      <c r="X313" s="26">
        <f>IFERROR(__xludf.DUMMYFUNCTION("""COMPUTED_VALUE"""),0.0)</f>
        <v>0</v>
      </c>
      <c r="Y313" s="26">
        <f>IFERROR(__xludf.DUMMYFUNCTION("""COMPUTED_VALUE"""),0.0)</f>
        <v>0</v>
      </c>
      <c r="Z313" s="26">
        <f>IFERROR(__xludf.DUMMYFUNCTION("""COMPUTED_VALUE"""),0.0)</f>
        <v>0</v>
      </c>
      <c r="AA313" s="26">
        <f>IFERROR(__xludf.DUMMYFUNCTION("""COMPUTED_VALUE"""),0.0)</f>
        <v>0</v>
      </c>
      <c r="AB313" s="26">
        <f>IFERROR(__xludf.DUMMYFUNCTION("""COMPUTED_VALUE"""),0.0)</f>
        <v>0</v>
      </c>
      <c r="AC313" s="26">
        <f>IFERROR(__xludf.DUMMYFUNCTION("""COMPUTED_VALUE"""),0.0)</f>
        <v>0</v>
      </c>
      <c r="AD313" s="26">
        <f>IFERROR(__xludf.DUMMYFUNCTION("""COMPUTED_VALUE"""),0.0)</f>
        <v>0</v>
      </c>
      <c r="AE313" s="26">
        <f>IFERROR(__xludf.DUMMYFUNCTION("""COMPUTED_VALUE"""),0.0)</f>
        <v>0</v>
      </c>
    </row>
    <row r="314">
      <c r="A314" s="26">
        <f>IFERROR(__xludf.DUMMYFUNCTION("""COMPUTED_VALUE"""),0.0)</f>
        <v>0</v>
      </c>
      <c r="B314" s="26">
        <f>IFERROR(__xludf.DUMMYFUNCTION("""COMPUTED_VALUE"""),0.0)</f>
        <v>0</v>
      </c>
      <c r="C314" s="26">
        <f>IFERROR(__xludf.DUMMYFUNCTION("""COMPUTED_VALUE"""),0.0)</f>
        <v>0</v>
      </c>
      <c r="D314" s="26">
        <f>IFERROR(__xludf.DUMMYFUNCTION("""COMPUTED_VALUE"""),0.0)</f>
        <v>0</v>
      </c>
      <c r="E314" s="26">
        <f>IFERROR(__xludf.DUMMYFUNCTION("""COMPUTED_VALUE"""),0.0)</f>
        <v>0</v>
      </c>
      <c r="F314" s="26">
        <f>IFERROR(__xludf.DUMMYFUNCTION("""COMPUTED_VALUE"""),0.0)</f>
        <v>0</v>
      </c>
      <c r="G314" s="26">
        <f>IFERROR(__xludf.DUMMYFUNCTION("""COMPUTED_VALUE"""),0.0)</f>
        <v>0</v>
      </c>
      <c r="H314" s="26">
        <f>IFERROR(__xludf.DUMMYFUNCTION("""COMPUTED_VALUE"""),0.0)</f>
        <v>0</v>
      </c>
      <c r="I314" s="26">
        <f>IFERROR(__xludf.DUMMYFUNCTION("""COMPUTED_VALUE"""),0.0)</f>
        <v>0</v>
      </c>
      <c r="J314" s="26">
        <f>IFERROR(__xludf.DUMMYFUNCTION("""COMPUTED_VALUE"""),0.0)</f>
        <v>0</v>
      </c>
      <c r="K314" s="26">
        <f>IFERROR(__xludf.DUMMYFUNCTION("""COMPUTED_VALUE"""),0.0)</f>
        <v>0</v>
      </c>
      <c r="L314" s="26">
        <f>IFERROR(__xludf.DUMMYFUNCTION("""COMPUTED_VALUE"""),0.0)</f>
        <v>0</v>
      </c>
      <c r="M314" s="26"/>
      <c r="N314" s="26"/>
      <c r="O314" s="26"/>
      <c r="P314" s="26"/>
      <c r="Q314" s="26"/>
      <c r="R314" s="26">
        <f>IFERROR(__xludf.DUMMYFUNCTION("""COMPUTED_VALUE"""),0.0)</f>
        <v>0</v>
      </c>
      <c r="S314" s="26">
        <f>IFERROR(__xludf.DUMMYFUNCTION("""COMPUTED_VALUE"""),0.0)</f>
        <v>0</v>
      </c>
      <c r="T314" s="26">
        <f>IFERROR(__xludf.DUMMYFUNCTION("""COMPUTED_VALUE"""),0.0)</f>
        <v>0</v>
      </c>
      <c r="U314" s="26">
        <f>IFERROR(__xludf.DUMMYFUNCTION("""COMPUTED_VALUE"""),0.0)</f>
        <v>0</v>
      </c>
      <c r="V314" s="26">
        <f>IFERROR(__xludf.DUMMYFUNCTION("""COMPUTED_VALUE"""),0.0)</f>
        <v>0</v>
      </c>
      <c r="W314" s="26">
        <f>IFERROR(__xludf.DUMMYFUNCTION("""COMPUTED_VALUE"""),0.0)</f>
        <v>0</v>
      </c>
      <c r="X314" s="26">
        <f>IFERROR(__xludf.DUMMYFUNCTION("""COMPUTED_VALUE"""),0.0)</f>
        <v>0</v>
      </c>
      <c r="Y314" s="26">
        <f>IFERROR(__xludf.DUMMYFUNCTION("""COMPUTED_VALUE"""),0.0)</f>
        <v>0</v>
      </c>
      <c r="Z314" s="26">
        <f>IFERROR(__xludf.DUMMYFUNCTION("""COMPUTED_VALUE"""),0.0)</f>
        <v>0</v>
      </c>
      <c r="AA314" s="26">
        <f>IFERROR(__xludf.DUMMYFUNCTION("""COMPUTED_VALUE"""),0.0)</f>
        <v>0</v>
      </c>
      <c r="AB314" s="26">
        <f>IFERROR(__xludf.DUMMYFUNCTION("""COMPUTED_VALUE"""),0.0)</f>
        <v>0</v>
      </c>
      <c r="AC314" s="26">
        <f>IFERROR(__xludf.DUMMYFUNCTION("""COMPUTED_VALUE"""),0.0)</f>
        <v>0</v>
      </c>
      <c r="AD314" s="26">
        <f>IFERROR(__xludf.DUMMYFUNCTION("""COMPUTED_VALUE"""),0.0)</f>
        <v>0</v>
      </c>
      <c r="AE314" s="26">
        <f>IFERROR(__xludf.DUMMYFUNCTION("""COMPUTED_VALUE"""),0.0)</f>
        <v>0</v>
      </c>
    </row>
    <row r="315">
      <c r="A315" s="26">
        <f>IFERROR(__xludf.DUMMYFUNCTION("""COMPUTED_VALUE"""),0.0)</f>
        <v>0</v>
      </c>
      <c r="B315" s="26">
        <f>IFERROR(__xludf.DUMMYFUNCTION("""COMPUTED_VALUE"""),0.0)</f>
        <v>0</v>
      </c>
      <c r="C315" s="26">
        <f>IFERROR(__xludf.DUMMYFUNCTION("""COMPUTED_VALUE"""),0.0)</f>
        <v>0</v>
      </c>
      <c r="D315" s="26">
        <f>IFERROR(__xludf.DUMMYFUNCTION("""COMPUTED_VALUE"""),0.0)</f>
        <v>0</v>
      </c>
      <c r="E315" s="26">
        <f>IFERROR(__xludf.DUMMYFUNCTION("""COMPUTED_VALUE"""),0.0)</f>
        <v>0</v>
      </c>
      <c r="F315" s="26">
        <f>IFERROR(__xludf.DUMMYFUNCTION("""COMPUTED_VALUE"""),0.0)</f>
        <v>0</v>
      </c>
      <c r="G315" s="26">
        <f>IFERROR(__xludf.DUMMYFUNCTION("""COMPUTED_VALUE"""),0.0)</f>
        <v>0</v>
      </c>
      <c r="H315" s="26">
        <f>IFERROR(__xludf.DUMMYFUNCTION("""COMPUTED_VALUE"""),0.0)</f>
        <v>0</v>
      </c>
      <c r="I315" s="26">
        <f>IFERROR(__xludf.DUMMYFUNCTION("""COMPUTED_VALUE"""),0.0)</f>
        <v>0</v>
      </c>
      <c r="J315" s="26">
        <f>IFERROR(__xludf.DUMMYFUNCTION("""COMPUTED_VALUE"""),0.0)</f>
        <v>0</v>
      </c>
      <c r="K315" s="26">
        <f>IFERROR(__xludf.DUMMYFUNCTION("""COMPUTED_VALUE"""),0.0)</f>
        <v>0</v>
      </c>
      <c r="L315" s="26">
        <f>IFERROR(__xludf.DUMMYFUNCTION("""COMPUTED_VALUE"""),0.0)</f>
        <v>0</v>
      </c>
      <c r="M315" s="26"/>
      <c r="N315" s="26"/>
      <c r="O315" s="26"/>
      <c r="P315" s="26"/>
      <c r="Q315" s="26"/>
      <c r="R315" s="26">
        <f>IFERROR(__xludf.DUMMYFUNCTION("""COMPUTED_VALUE"""),0.0)</f>
        <v>0</v>
      </c>
      <c r="S315" s="26">
        <f>IFERROR(__xludf.DUMMYFUNCTION("""COMPUTED_VALUE"""),0.0)</f>
        <v>0</v>
      </c>
      <c r="T315" s="26">
        <f>IFERROR(__xludf.DUMMYFUNCTION("""COMPUTED_VALUE"""),0.0)</f>
        <v>0</v>
      </c>
      <c r="U315" s="26">
        <f>IFERROR(__xludf.DUMMYFUNCTION("""COMPUTED_VALUE"""),0.0)</f>
        <v>0</v>
      </c>
      <c r="V315" s="26">
        <f>IFERROR(__xludf.DUMMYFUNCTION("""COMPUTED_VALUE"""),0.0)</f>
        <v>0</v>
      </c>
      <c r="W315" s="26">
        <f>IFERROR(__xludf.DUMMYFUNCTION("""COMPUTED_VALUE"""),0.0)</f>
        <v>0</v>
      </c>
      <c r="X315" s="26">
        <f>IFERROR(__xludf.DUMMYFUNCTION("""COMPUTED_VALUE"""),0.0)</f>
        <v>0</v>
      </c>
      <c r="Y315" s="26">
        <f>IFERROR(__xludf.DUMMYFUNCTION("""COMPUTED_VALUE"""),0.0)</f>
        <v>0</v>
      </c>
      <c r="Z315" s="26">
        <f>IFERROR(__xludf.DUMMYFUNCTION("""COMPUTED_VALUE"""),0.0)</f>
        <v>0</v>
      </c>
      <c r="AA315" s="26">
        <f>IFERROR(__xludf.DUMMYFUNCTION("""COMPUTED_VALUE"""),0.0)</f>
        <v>0</v>
      </c>
      <c r="AB315" s="26">
        <f>IFERROR(__xludf.DUMMYFUNCTION("""COMPUTED_VALUE"""),0.0)</f>
        <v>0</v>
      </c>
      <c r="AC315" s="26">
        <f>IFERROR(__xludf.DUMMYFUNCTION("""COMPUTED_VALUE"""),0.0)</f>
        <v>0</v>
      </c>
      <c r="AD315" s="26">
        <f>IFERROR(__xludf.DUMMYFUNCTION("""COMPUTED_VALUE"""),0.0)</f>
        <v>0</v>
      </c>
      <c r="AE315" s="26">
        <f>IFERROR(__xludf.DUMMYFUNCTION("""COMPUTED_VALUE"""),0.0)</f>
        <v>0</v>
      </c>
    </row>
    <row r="316">
      <c r="A316" s="26">
        <f>IFERROR(__xludf.DUMMYFUNCTION("""COMPUTED_VALUE"""),0.0)</f>
        <v>0</v>
      </c>
      <c r="B316" s="26">
        <f>IFERROR(__xludf.DUMMYFUNCTION("""COMPUTED_VALUE"""),0.0)</f>
        <v>0</v>
      </c>
      <c r="C316" s="26">
        <f>IFERROR(__xludf.DUMMYFUNCTION("""COMPUTED_VALUE"""),0.0)</f>
        <v>0</v>
      </c>
      <c r="D316" s="26">
        <f>IFERROR(__xludf.DUMMYFUNCTION("""COMPUTED_VALUE"""),0.0)</f>
        <v>0</v>
      </c>
      <c r="E316" s="26">
        <f>IFERROR(__xludf.DUMMYFUNCTION("""COMPUTED_VALUE"""),0.0)</f>
        <v>0</v>
      </c>
      <c r="F316" s="26">
        <f>IFERROR(__xludf.DUMMYFUNCTION("""COMPUTED_VALUE"""),0.0)</f>
        <v>0</v>
      </c>
      <c r="G316" s="26">
        <f>IFERROR(__xludf.DUMMYFUNCTION("""COMPUTED_VALUE"""),0.0)</f>
        <v>0</v>
      </c>
      <c r="H316" s="26">
        <f>IFERROR(__xludf.DUMMYFUNCTION("""COMPUTED_VALUE"""),0.0)</f>
        <v>0</v>
      </c>
      <c r="I316" s="26">
        <f>IFERROR(__xludf.DUMMYFUNCTION("""COMPUTED_VALUE"""),0.0)</f>
        <v>0</v>
      </c>
      <c r="J316" s="26">
        <f>IFERROR(__xludf.DUMMYFUNCTION("""COMPUTED_VALUE"""),0.0)</f>
        <v>0</v>
      </c>
      <c r="K316" s="26">
        <f>IFERROR(__xludf.DUMMYFUNCTION("""COMPUTED_VALUE"""),0.0)</f>
        <v>0</v>
      </c>
      <c r="L316" s="26">
        <f>IFERROR(__xludf.DUMMYFUNCTION("""COMPUTED_VALUE"""),0.0)</f>
        <v>0</v>
      </c>
      <c r="M316" s="26"/>
      <c r="N316" s="26"/>
      <c r="O316" s="26"/>
      <c r="P316" s="26"/>
      <c r="Q316" s="26"/>
      <c r="R316" s="26">
        <f>IFERROR(__xludf.DUMMYFUNCTION("""COMPUTED_VALUE"""),0.0)</f>
        <v>0</v>
      </c>
      <c r="S316" s="26">
        <f>IFERROR(__xludf.DUMMYFUNCTION("""COMPUTED_VALUE"""),0.0)</f>
        <v>0</v>
      </c>
      <c r="T316" s="26">
        <f>IFERROR(__xludf.DUMMYFUNCTION("""COMPUTED_VALUE"""),0.0)</f>
        <v>0</v>
      </c>
      <c r="U316" s="26">
        <f>IFERROR(__xludf.DUMMYFUNCTION("""COMPUTED_VALUE"""),0.0)</f>
        <v>0</v>
      </c>
      <c r="V316" s="26">
        <f>IFERROR(__xludf.DUMMYFUNCTION("""COMPUTED_VALUE"""),0.0)</f>
        <v>0</v>
      </c>
      <c r="W316" s="26">
        <f>IFERROR(__xludf.DUMMYFUNCTION("""COMPUTED_VALUE"""),0.0)</f>
        <v>0</v>
      </c>
      <c r="X316" s="26">
        <f>IFERROR(__xludf.DUMMYFUNCTION("""COMPUTED_VALUE"""),0.0)</f>
        <v>0</v>
      </c>
      <c r="Y316" s="26">
        <f>IFERROR(__xludf.DUMMYFUNCTION("""COMPUTED_VALUE"""),0.0)</f>
        <v>0</v>
      </c>
      <c r="Z316" s="26">
        <f>IFERROR(__xludf.DUMMYFUNCTION("""COMPUTED_VALUE"""),0.0)</f>
        <v>0</v>
      </c>
      <c r="AA316" s="26">
        <f>IFERROR(__xludf.DUMMYFUNCTION("""COMPUTED_VALUE"""),0.0)</f>
        <v>0</v>
      </c>
      <c r="AB316" s="26">
        <f>IFERROR(__xludf.DUMMYFUNCTION("""COMPUTED_VALUE"""),0.0)</f>
        <v>0</v>
      </c>
      <c r="AC316" s="26">
        <f>IFERROR(__xludf.DUMMYFUNCTION("""COMPUTED_VALUE"""),0.0)</f>
        <v>0</v>
      </c>
      <c r="AD316" s="26">
        <f>IFERROR(__xludf.DUMMYFUNCTION("""COMPUTED_VALUE"""),0.0)</f>
        <v>0</v>
      </c>
      <c r="AE316" s="26">
        <f>IFERROR(__xludf.DUMMYFUNCTION("""COMPUTED_VALUE"""),0.0)</f>
        <v>0</v>
      </c>
    </row>
    <row r="317">
      <c r="A317" s="26">
        <f>IFERROR(__xludf.DUMMYFUNCTION("""COMPUTED_VALUE"""),106.0)</f>
        <v>106</v>
      </c>
      <c r="B317" s="26">
        <f>IFERROR(__xludf.DUMMYFUNCTION("""COMPUTED_VALUE"""),0.0)</f>
        <v>0</v>
      </c>
      <c r="C317" s="26">
        <f>IFERROR(__xludf.DUMMYFUNCTION("""COMPUTED_VALUE"""),0.0)</f>
        <v>0</v>
      </c>
      <c r="D317" s="26">
        <f>IFERROR(__xludf.DUMMYFUNCTION("""COMPUTED_VALUE"""),0.0)</f>
        <v>0</v>
      </c>
      <c r="E317" s="26">
        <f>IFERROR(__xludf.DUMMYFUNCTION("""COMPUTED_VALUE"""),0.0)</f>
        <v>0</v>
      </c>
      <c r="F317" s="26">
        <f>IFERROR(__xludf.DUMMYFUNCTION("""COMPUTED_VALUE"""),0.0)</f>
        <v>0</v>
      </c>
      <c r="G317" s="26">
        <f>IFERROR(__xludf.DUMMYFUNCTION("""COMPUTED_VALUE"""),0.0)</f>
        <v>0</v>
      </c>
      <c r="H317" s="26">
        <f>IFERROR(__xludf.DUMMYFUNCTION("""COMPUTED_VALUE"""),0.0)</f>
        <v>0</v>
      </c>
      <c r="I317" s="26">
        <f>IFERROR(__xludf.DUMMYFUNCTION("""COMPUTED_VALUE"""),0.0)</f>
        <v>0</v>
      </c>
      <c r="J317" s="26">
        <f>IFERROR(__xludf.DUMMYFUNCTION("""COMPUTED_VALUE"""),0.0)</f>
        <v>0</v>
      </c>
      <c r="K317" s="26">
        <f>IFERROR(__xludf.DUMMYFUNCTION("""COMPUTED_VALUE"""),0.0)</f>
        <v>0</v>
      </c>
      <c r="L317" s="26">
        <f>IFERROR(__xludf.DUMMYFUNCTION("""COMPUTED_VALUE"""),0.0)</f>
        <v>0</v>
      </c>
      <c r="M317" s="26"/>
      <c r="N317" s="26"/>
      <c r="O317" s="26"/>
      <c r="P317" s="26"/>
      <c r="Q317" s="26"/>
      <c r="R317" s="26">
        <f>IFERROR(__xludf.DUMMYFUNCTION("""COMPUTED_VALUE"""),106.0)</f>
        <v>106</v>
      </c>
      <c r="S317" s="26">
        <f>IFERROR(__xludf.DUMMYFUNCTION("""COMPUTED_VALUE"""),46852.0)</f>
        <v>46852</v>
      </c>
      <c r="T317" s="26">
        <f>IFERROR(__xludf.DUMMYFUNCTION("""COMPUTED_VALUE"""),18550.0)</f>
        <v>18550</v>
      </c>
      <c r="U317" s="26">
        <f>IFERROR(__xludf.DUMMYFUNCTION("""COMPUTED_VALUE"""),25696.520000000004)</f>
        <v>25696.52</v>
      </c>
      <c r="V317" s="26">
        <f>IFERROR(__xludf.DUMMYFUNCTION("""COMPUTED_VALUE"""),0.0)</f>
        <v>0</v>
      </c>
      <c r="W317" s="26">
        <f>IFERROR(__xludf.DUMMYFUNCTION("""COMPUTED_VALUE"""),0.0)</f>
        <v>0</v>
      </c>
      <c r="X317" s="26">
        <f>IFERROR(__xludf.DUMMYFUNCTION("""COMPUTED_VALUE"""),7146.520000000006)</f>
        <v>7146.52</v>
      </c>
      <c r="Y317" s="26">
        <f>IFERROR(__xludf.DUMMYFUNCTION("""COMPUTED_VALUE"""),7146.520000000006)</f>
        <v>7146.52</v>
      </c>
      <c r="Z317" s="26">
        <f>IFERROR(__xludf.DUMMYFUNCTION("""COMPUTED_VALUE"""),46852.0)</f>
        <v>46852</v>
      </c>
      <c r="AA317" s="26">
        <f>IFERROR(__xludf.DUMMYFUNCTION("""COMPUTED_VALUE"""),26754.400000000045)</f>
        <v>26754.4</v>
      </c>
      <c r="AB317" s="26">
        <f>IFERROR(__xludf.DUMMYFUNCTION("""COMPUTED_VALUE"""),64464.34000000041)</f>
        <v>64464.34</v>
      </c>
      <c r="AC317" s="26">
        <f>IFERROR(__xludf.DUMMYFUNCTION("""COMPUTED_VALUE"""),41143.19999999984)</f>
        <v>41143.2</v>
      </c>
      <c r="AD317" s="26">
        <f>IFERROR(__xludf.DUMMYFUNCTION("""COMPUTED_VALUE"""),3223.540000000005)</f>
        <v>3223.54</v>
      </c>
      <c r="AE317" s="26">
        <f>IFERROR(__xludf.DUMMYFUNCTION("""COMPUTED_VALUE"""),20097.599999999995)</f>
        <v>20097.6</v>
      </c>
    </row>
    <row r="318">
      <c r="A318" s="26">
        <f>IFERROR(__xludf.DUMMYFUNCTION("""COMPUTED_VALUE"""),217.0)</f>
        <v>217</v>
      </c>
      <c r="B318" s="26">
        <f>IFERROR(__xludf.DUMMYFUNCTION("""COMPUTED_VALUE"""),0.0)</f>
        <v>0</v>
      </c>
      <c r="C318" s="26">
        <f>IFERROR(__xludf.DUMMYFUNCTION("""COMPUTED_VALUE"""),0.0)</f>
        <v>0</v>
      </c>
      <c r="D318" s="26">
        <f>IFERROR(__xludf.DUMMYFUNCTION("""COMPUTED_VALUE"""),0.0)</f>
        <v>0</v>
      </c>
      <c r="E318" s="26">
        <f>IFERROR(__xludf.DUMMYFUNCTION("""COMPUTED_VALUE"""),0.0)</f>
        <v>0</v>
      </c>
      <c r="F318" s="26">
        <f>IFERROR(__xludf.DUMMYFUNCTION("""COMPUTED_VALUE"""),0.0)</f>
        <v>0</v>
      </c>
      <c r="G318" s="26">
        <f>IFERROR(__xludf.DUMMYFUNCTION("""COMPUTED_VALUE"""),0.0)</f>
        <v>0</v>
      </c>
      <c r="H318" s="26">
        <f>IFERROR(__xludf.DUMMYFUNCTION("""COMPUTED_VALUE"""),0.0)</f>
        <v>0</v>
      </c>
      <c r="I318" s="26">
        <f>IFERROR(__xludf.DUMMYFUNCTION("""COMPUTED_VALUE"""),0.0)</f>
        <v>0</v>
      </c>
      <c r="J318" s="26">
        <f>IFERROR(__xludf.DUMMYFUNCTION("""COMPUTED_VALUE"""),0.0)</f>
        <v>0</v>
      </c>
      <c r="K318" s="26">
        <f>IFERROR(__xludf.DUMMYFUNCTION("""COMPUTED_VALUE"""),0.0)</f>
        <v>0</v>
      </c>
      <c r="L318" s="26">
        <f>IFERROR(__xludf.DUMMYFUNCTION("""COMPUTED_VALUE"""),0.0)</f>
        <v>0</v>
      </c>
      <c r="M318" s="26"/>
      <c r="N318" s="26"/>
      <c r="O318" s="26"/>
      <c r="P318" s="26"/>
      <c r="Q318" s="26"/>
      <c r="R318" s="26">
        <f>IFERROR(__xludf.DUMMYFUNCTION("""COMPUTED_VALUE"""),217.0)</f>
        <v>217</v>
      </c>
      <c r="S318" s="26">
        <f>IFERROR(__xludf.DUMMYFUNCTION("""COMPUTED_VALUE"""),95914.0)</f>
        <v>95914</v>
      </c>
      <c r="T318" s="26">
        <f>IFERROR(__xludf.DUMMYFUNCTION("""COMPUTED_VALUE"""),37975.0)</f>
        <v>37975</v>
      </c>
      <c r="U318" s="26">
        <f>IFERROR(__xludf.DUMMYFUNCTION("""COMPUTED_VALUE"""),52605.140000000014)</f>
        <v>52605.14</v>
      </c>
      <c r="V318" s="26">
        <f>IFERROR(__xludf.DUMMYFUNCTION("""COMPUTED_VALUE"""),0.0)</f>
        <v>0</v>
      </c>
      <c r="W318" s="26">
        <f>IFERROR(__xludf.DUMMYFUNCTION("""COMPUTED_VALUE"""),0.0)</f>
        <v>0</v>
      </c>
      <c r="X318" s="26">
        <f>IFERROR(__xludf.DUMMYFUNCTION("""COMPUTED_VALUE"""),14630.140000000014)</f>
        <v>14630.14</v>
      </c>
      <c r="Y318" s="26">
        <f>IFERROR(__xludf.DUMMYFUNCTION("""COMPUTED_VALUE"""),14630.140000000014)</f>
        <v>14630.14</v>
      </c>
      <c r="Z318" s="26">
        <f>IFERROR(__xludf.DUMMYFUNCTION("""COMPUTED_VALUE"""),54770.80000000021)</f>
        <v>54770.8</v>
      </c>
      <c r="AA318" s="26">
        <f>IFERROR(__xludf.DUMMYFUNCTION("""COMPUTED_VALUE"""),54770.80000000021)</f>
        <v>54770.8</v>
      </c>
      <c r="AB318" s="26">
        <f>IFERROR(__xludf.DUMMYFUNCTION("""COMPUTED_VALUE"""),0.0)</f>
        <v>0</v>
      </c>
      <c r="AC318" s="26">
        <f>IFERROR(__xludf.DUMMYFUNCTION("""COMPUTED_VALUE"""),0.0)</f>
        <v>0</v>
      </c>
      <c r="AD318" s="26">
        <f>IFERROR(__xludf.DUMMYFUNCTION("""COMPUTED_VALUE"""),0.0)</f>
        <v>0</v>
      </c>
      <c r="AE318" s="26">
        <f>IFERROR(__xludf.DUMMYFUNCTION("""COMPUTED_VALUE"""),0.0)</f>
        <v>0</v>
      </c>
    </row>
    <row r="319">
      <c r="A319" s="26">
        <f>IFERROR(__xludf.DUMMYFUNCTION("""COMPUTED_VALUE"""),0.0)</f>
        <v>0</v>
      </c>
      <c r="B319" s="26">
        <f>IFERROR(__xludf.DUMMYFUNCTION("""COMPUTED_VALUE"""),0.0)</f>
        <v>0</v>
      </c>
      <c r="C319" s="26">
        <f>IFERROR(__xludf.DUMMYFUNCTION("""COMPUTED_VALUE"""),0.0)</f>
        <v>0</v>
      </c>
      <c r="D319" s="26">
        <f>IFERROR(__xludf.DUMMYFUNCTION("""COMPUTED_VALUE"""),0.0)</f>
        <v>0</v>
      </c>
      <c r="E319" s="26">
        <f>IFERROR(__xludf.DUMMYFUNCTION("""COMPUTED_VALUE"""),0.0)</f>
        <v>0</v>
      </c>
      <c r="F319" s="26">
        <f>IFERROR(__xludf.DUMMYFUNCTION("""COMPUTED_VALUE"""),0.0)</f>
        <v>0</v>
      </c>
      <c r="G319" s="26">
        <f>IFERROR(__xludf.DUMMYFUNCTION("""COMPUTED_VALUE"""),0.0)</f>
        <v>0</v>
      </c>
      <c r="H319" s="26">
        <f>IFERROR(__xludf.DUMMYFUNCTION("""COMPUTED_VALUE"""),0.0)</f>
        <v>0</v>
      </c>
      <c r="I319" s="26">
        <f>IFERROR(__xludf.DUMMYFUNCTION("""COMPUTED_VALUE"""),0.0)</f>
        <v>0</v>
      </c>
      <c r="J319" s="26">
        <f>IFERROR(__xludf.DUMMYFUNCTION("""COMPUTED_VALUE"""),0.0)</f>
        <v>0</v>
      </c>
      <c r="K319" s="26">
        <f>IFERROR(__xludf.DUMMYFUNCTION("""COMPUTED_VALUE"""),0.0)</f>
        <v>0</v>
      </c>
      <c r="L319" s="26">
        <f>IFERROR(__xludf.DUMMYFUNCTION("""COMPUTED_VALUE"""),0.0)</f>
        <v>0</v>
      </c>
      <c r="M319" s="26"/>
      <c r="N319" s="26"/>
      <c r="O319" s="26"/>
      <c r="P319" s="26"/>
      <c r="Q319" s="26"/>
      <c r="R319" s="26">
        <f>IFERROR(__xludf.DUMMYFUNCTION("""COMPUTED_VALUE"""),0.0)</f>
        <v>0</v>
      </c>
      <c r="S319" s="26">
        <f>IFERROR(__xludf.DUMMYFUNCTION("""COMPUTED_VALUE"""),0.0)</f>
        <v>0</v>
      </c>
      <c r="T319" s="26">
        <f>IFERROR(__xludf.DUMMYFUNCTION("""COMPUTED_VALUE"""),0.0)</f>
        <v>0</v>
      </c>
      <c r="U319" s="26">
        <f>IFERROR(__xludf.DUMMYFUNCTION("""COMPUTED_VALUE"""),0.0)</f>
        <v>0</v>
      </c>
      <c r="V319" s="26">
        <f>IFERROR(__xludf.DUMMYFUNCTION("""COMPUTED_VALUE"""),0.0)</f>
        <v>0</v>
      </c>
      <c r="W319" s="26">
        <f>IFERROR(__xludf.DUMMYFUNCTION("""COMPUTED_VALUE"""),0.0)</f>
        <v>0</v>
      </c>
      <c r="X319" s="26">
        <f>IFERROR(__xludf.DUMMYFUNCTION("""COMPUTED_VALUE"""),0.0)</f>
        <v>0</v>
      </c>
      <c r="Y319" s="26">
        <f>IFERROR(__xludf.DUMMYFUNCTION("""COMPUTED_VALUE"""),0.0)</f>
        <v>0</v>
      </c>
      <c r="Z319" s="26">
        <f>IFERROR(__xludf.DUMMYFUNCTION("""COMPUTED_VALUE"""),0.0)</f>
        <v>0</v>
      </c>
      <c r="AA319" s="26">
        <f>IFERROR(__xludf.DUMMYFUNCTION("""COMPUTED_VALUE"""),0.0)</f>
        <v>0</v>
      </c>
      <c r="AB319" s="26">
        <f>IFERROR(__xludf.DUMMYFUNCTION("""COMPUTED_VALUE"""),0.0)</f>
        <v>0</v>
      </c>
      <c r="AC319" s="26">
        <f>IFERROR(__xludf.DUMMYFUNCTION("""COMPUTED_VALUE"""),0.0)</f>
        <v>0</v>
      </c>
      <c r="AD319" s="26">
        <f>IFERROR(__xludf.DUMMYFUNCTION("""COMPUTED_VALUE"""),0.0)</f>
        <v>0</v>
      </c>
      <c r="AE319" s="26">
        <f>IFERROR(__xludf.DUMMYFUNCTION("""COMPUTED_VALUE"""),0.0)</f>
        <v>0</v>
      </c>
    </row>
    <row r="320">
      <c r="A320" s="26">
        <f>IFERROR(__xludf.DUMMYFUNCTION("""COMPUTED_VALUE"""),0.0)</f>
        <v>0</v>
      </c>
      <c r="B320" s="26">
        <f>IFERROR(__xludf.DUMMYFUNCTION("""COMPUTED_VALUE"""),0.0)</f>
        <v>0</v>
      </c>
      <c r="C320" s="26">
        <f>IFERROR(__xludf.DUMMYFUNCTION("""COMPUTED_VALUE"""),0.0)</f>
        <v>0</v>
      </c>
      <c r="D320" s="26">
        <f>IFERROR(__xludf.DUMMYFUNCTION("""COMPUTED_VALUE"""),0.0)</f>
        <v>0</v>
      </c>
      <c r="E320" s="26">
        <f>IFERROR(__xludf.DUMMYFUNCTION("""COMPUTED_VALUE"""),0.0)</f>
        <v>0</v>
      </c>
      <c r="F320" s="26">
        <f>IFERROR(__xludf.DUMMYFUNCTION("""COMPUTED_VALUE"""),0.0)</f>
        <v>0</v>
      </c>
      <c r="G320" s="26">
        <f>IFERROR(__xludf.DUMMYFUNCTION("""COMPUTED_VALUE"""),0.0)</f>
        <v>0</v>
      </c>
      <c r="H320" s="26">
        <f>IFERROR(__xludf.DUMMYFUNCTION("""COMPUTED_VALUE"""),0.0)</f>
        <v>0</v>
      </c>
      <c r="I320" s="26">
        <f>IFERROR(__xludf.DUMMYFUNCTION("""COMPUTED_VALUE"""),0.0)</f>
        <v>0</v>
      </c>
      <c r="J320" s="26">
        <f>IFERROR(__xludf.DUMMYFUNCTION("""COMPUTED_VALUE"""),0.0)</f>
        <v>0</v>
      </c>
      <c r="K320" s="26">
        <f>IFERROR(__xludf.DUMMYFUNCTION("""COMPUTED_VALUE"""),0.0)</f>
        <v>0</v>
      </c>
      <c r="L320" s="26">
        <f>IFERROR(__xludf.DUMMYFUNCTION("""COMPUTED_VALUE"""),0.0)</f>
        <v>0</v>
      </c>
      <c r="M320" s="26"/>
      <c r="N320" s="26"/>
      <c r="O320" s="26"/>
      <c r="P320" s="26"/>
      <c r="Q320" s="26"/>
      <c r="R320" s="26">
        <f>IFERROR(__xludf.DUMMYFUNCTION("""COMPUTED_VALUE"""),0.0)</f>
        <v>0</v>
      </c>
      <c r="S320" s="26">
        <f>IFERROR(__xludf.DUMMYFUNCTION("""COMPUTED_VALUE"""),0.0)</f>
        <v>0</v>
      </c>
      <c r="T320" s="26">
        <f>IFERROR(__xludf.DUMMYFUNCTION("""COMPUTED_VALUE"""),0.0)</f>
        <v>0</v>
      </c>
      <c r="U320" s="26">
        <f>IFERROR(__xludf.DUMMYFUNCTION("""COMPUTED_VALUE"""),0.0)</f>
        <v>0</v>
      </c>
      <c r="V320" s="26">
        <f>IFERROR(__xludf.DUMMYFUNCTION("""COMPUTED_VALUE"""),0.0)</f>
        <v>0</v>
      </c>
      <c r="W320" s="26">
        <f>IFERROR(__xludf.DUMMYFUNCTION("""COMPUTED_VALUE"""),0.0)</f>
        <v>0</v>
      </c>
      <c r="X320" s="26">
        <f>IFERROR(__xludf.DUMMYFUNCTION("""COMPUTED_VALUE"""),0.0)</f>
        <v>0</v>
      </c>
      <c r="Y320" s="26">
        <f>IFERROR(__xludf.DUMMYFUNCTION("""COMPUTED_VALUE"""),0.0)</f>
        <v>0</v>
      </c>
      <c r="Z320" s="26">
        <f>IFERROR(__xludf.DUMMYFUNCTION("""COMPUTED_VALUE"""),0.0)</f>
        <v>0</v>
      </c>
      <c r="AA320" s="26">
        <f>IFERROR(__xludf.DUMMYFUNCTION("""COMPUTED_VALUE"""),0.0)</f>
        <v>0</v>
      </c>
      <c r="AB320" s="26">
        <f>IFERROR(__xludf.DUMMYFUNCTION("""COMPUTED_VALUE"""),0.0)</f>
        <v>0</v>
      </c>
      <c r="AC320" s="26">
        <f>IFERROR(__xludf.DUMMYFUNCTION("""COMPUTED_VALUE"""),0.0)</f>
        <v>0</v>
      </c>
      <c r="AD320" s="26">
        <f>IFERROR(__xludf.DUMMYFUNCTION("""COMPUTED_VALUE"""),0.0)</f>
        <v>0</v>
      </c>
      <c r="AE320" s="26">
        <f>IFERROR(__xludf.DUMMYFUNCTION("""COMPUTED_VALUE"""),0.0)</f>
        <v>0</v>
      </c>
    </row>
    <row r="321">
      <c r="A321" s="26">
        <f>IFERROR(__xludf.DUMMYFUNCTION("""COMPUTED_VALUE"""),0.0)</f>
        <v>0</v>
      </c>
      <c r="B321" s="26">
        <f>IFERROR(__xludf.DUMMYFUNCTION("""COMPUTED_VALUE"""),0.0)</f>
        <v>0</v>
      </c>
      <c r="C321" s="26">
        <f>IFERROR(__xludf.DUMMYFUNCTION("""COMPUTED_VALUE"""),0.0)</f>
        <v>0</v>
      </c>
      <c r="D321" s="26">
        <f>IFERROR(__xludf.DUMMYFUNCTION("""COMPUTED_VALUE"""),0.0)</f>
        <v>0</v>
      </c>
      <c r="E321" s="26">
        <f>IFERROR(__xludf.DUMMYFUNCTION("""COMPUTED_VALUE"""),0.0)</f>
        <v>0</v>
      </c>
      <c r="F321" s="26">
        <f>IFERROR(__xludf.DUMMYFUNCTION("""COMPUTED_VALUE"""),0.0)</f>
        <v>0</v>
      </c>
      <c r="G321" s="26">
        <f>IFERROR(__xludf.DUMMYFUNCTION("""COMPUTED_VALUE"""),0.0)</f>
        <v>0</v>
      </c>
      <c r="H321" s="26">
        <f>IFERROR(__xludf.DUMMYFUNCTION("""COMPUTED_VALUE"""),0.0)</f>
        <v>0</v>
      </c>
      <c r="I321" s="26">
        <f>IFERROR(__xludf.DUMMYFUNCTION("""COMPUTED_VALUE"""),0.0)</f>
        <v>0</v>
      </c>
      <c r="J321" s="26">
        <f>IFERROR(__xludf.DUMMYFUNCTION("""COMPUTED_VALUE"""),0.0)</f>
        <v>0</v>
      </c>
      <c r="K321" s="26">
        <f>IFERROR(__xludf.DUMMYFUNCTION("""COMPUTED_VALUE"""),0.0)</f>
        <v>0</v>
      </c>
      <c r="L321" s="26">
        <f>IFERROR(__xludf.DUMMYFUNCTION("""COMPUTED_VALUE"""),0.0)</f>
        <v>0</v>
      </c>
      <c r="M321" s="26"/>
      <c r="N321" s="26"/>
      <c r="O321" s="26"/>
      <c r="P321" s="26"/>
      <c r="Q321" s="26"/>
      <c r="R321" s="26">
        <f>IFERROR(__xludf.DUMMYFUNCTION("""COMPUTED_VALUE"""),0.0)</f>
        <v>0</v>
      </c>
      <c r="S321" s="26">
        <f>IFERROR(__xludf.DUMMYFUNCTION("""COMPUTED_VALUE"""),0.0)</f>
        <v>0</v>
      </c>
      <c r="T321" s="26">
        <f>IFERROR(__xludf.DUMMYFUNCTION("""COMPUTED_VALUE"""),0.0)</f>
        <v>0</v>
      </c>
      <c r="U321" s="26">
        <f>IFERROR(__xludf.DUMMYFUNCTION("""COMPUTED_VALUE"""),0.0)</f>
        <v>0</v>
      </c>
      <c r="V321" s="26">
        <f>IFERROR(__xludf.DUMMYFUNCTION("""COMPUTED_VALUE"""),0.0)</f>
        <v>0</v>
      </c>
      <c r="W321" s="26">
        <f>IFERROR(__xludf.DUMMYFUNCTION("""COMPUTED_VALUE"""),0.0)</f>
        <v>0</v>
      </c>
      <c r="X321" s="26">
        <f>IFERROR(__xludf.DUMMYFUNCTION("""COMPUTED_VALUE"""),0.0)</f>
        <v>0</v>
      </c>
      <c r="Y321" s="26">
        <f>IFERROR(__xludf.DUMMYFUNCTION("""COMPUTED_VALUE"""),0.0)</f>
        <v>0</v>
      </c>
      <c r="Z321" s="26">
        <f>IFERROR(__xludf.DUMMYFUNCTION("""COMPUTED_VALUE"""),0.0)</f>
        <v>0</v>
      </c>
      <c r="AA321" s="26">
        <f>IFERROR(__xludf.DUMMYFUNCTION("""COMPUTED_VALUE"""),0.0)</f>
        <v>0</v>
      </c>
      <c r="AB321" s="26">
        <f>IFERROR(__xludf.DUMMYFUNCTION("""COMPUTED_VALUE"""),0.0)</f>
        <v>0</v>
      </c>
      <c r="AC321" s="26">
        <f>IFERROR(__xludf.DUMMYFUNCTION("""COMPUTED_VALUE"""),0.0)</f>
        <v>0</v>
      </c>
      <c r="AD321" s="26">
        <f>IFERROR(__xludf.DUMMYFUNCTION("""COMPUTED_VALUE"""),0.0)</f>
        <v>0</v>
      </c>
      <c r="AE321" s="26">
        <f>IFERROR(__xludf.DUMMYFUNCTION("""COMPUTED_VALUE"""),0.0)</f>
        <v>0</v>
      </c>
    </row>
    <row r="322">
      <c r="A322" s="26">
        <f>IFERROR(__xludf.DUMMYFUNCTION("""COMPUTED_VALUE"""),0.0)</f>
        <v>0</v>
      </c>
      <c r="B322" s="26">
        <f>IFERROR(__xludf.DUMMYFUNCTION("""COMPUTED_VALUE"""),0.0)</f>
        <v>0</v>
      </c>
      <c r="C322" s="26">
        <f>IFERROR(__xludf.DUMMYFUNCTION("""COMPUTED_VALUE"""),0.0)</f>
        <v>0</v>
      </c>
      <c r="D322" s="26">
        <f>IFERROR(__xludf.DUMMYFUNCTION("""COMPUTED_VALUE"""),0.0)</f>
        <v>0</v>
      </c>
      <c r="E322" s="26">
        <f>IFERROR(__xludf.DUMMYFUNCTION("""COMPUTED_VALUE"""),0.0)</f>
        <v>0</v>
      </c>
      <c r="F322" s="26">
        <f>IFERROR(__xludf.DUMMYFUNCTION("""COMPUTED_VALUE"""),0.0)</f>
        <v>0</v>
      </c>
      <c r="G322" s="26">
        <f>IFERROR(__xludf.DUMMYFUNCTION("""COMPUTED_VALUE"""),0.0)</f>
        <v>0</v>
      </c>
      <c r="H322" s="26">
        <f>IFERROR(__xludf.DUMMYFUNCTION("""COMPUTED_VALUE"""),0.0)</f>
        <v>0</v>
      </c>
      <c r="I322" s="26">
        <f>IFERROR(__xludf.DUMMYFUNCTION("""COMPUTED_VALUE"""),0.0)</f>
        <v>0</v>
      </c>
      <c r="J322" s="26">
        <f>IFERROR(__xludf.DUMMYFUNCTION("""COMPUTED_VALUE"""),0.0)</f>
        <v>0</v>
      </c>
      <c r="K322" s="26">
        <f>IFERROR(__xludf.DUMMYFUNCTION("""COMPUTED_VALUE"""),0.0)</f>
        <v>0</v>
      </c>
      <c r="L322" s="26">
        <f>IFERROR(__xludf.DUMMYFUNCTION("""COMPUTED_VALUE"""),0.0)</f>
        <v>0</v>
      </c>
      <c r="M322" s="26"/>
      <c r="N322" s="26"/>
      <c r="O322" s="26"/>
      <c r="P322" s="26"/>
      <c r="Q322" s="26"/>
      <c r="R322" s="26">
        <f>IFERROR(__xludf.DUMMYFUNCTION("""COMPUTED_VALUE"""),0.0)</f>
        <v>0</v>
      </c>
      <c r="S322" s="26">
        <f>IFERROR(__xludf.DUMMYFUNCTION("""COMPUTED_VALUE"""),0.0)</f>
        <v>0</v>
      </c>
      <c r="T322" s="26">
        <f>IFERROR(__xludf.DUMMYFUNCTION("""COMPUTED_VALUE"""),0.0)</f>
        <v>0</v>
      </c>
      <c r="U322" s="26">
        <f>IFERROR(__xludf.DUMMYFUNCTION("""COMPUTED_VALUE"""),0.0)</f>
        <v>0</v>
      </c>
      <c r="V322" s="26">
        <f>IFERROR(__xludf.DUMMYFUNCTION("""COMPUTED_VALUE"""),0.0)</f>
        <v>0</v>
      </c>
      <c r="W322" s="26">
        <f>IFERROR(__xludf.DUMMYFUNCTION("""COMPUTED_VALUE"""),0.0)</f>
        <v>0</v>
      </c>
      <c r="X322" s="26">
        <f>IFERROR(__xludf.DUMMYFUNCTION("""COMPUTED_VALUE"""),0.0)</f>
        <v>0</v>
      </c>
      <c r="Y322" s="26">
        <f>IFERROR(__xludf.DUMMYFUNCTION("""COMPUTED_VALUE"""),0.0)</f>
        <v>0</v>
      </c>
      <c r="Z322" s="26">
        <f>IFERROR(__xludf.DUMMYFUNCTION("""COMPUTED_VALUE"""),0.0)</f>
        <v>0</v>
      </c>
      <c r="AA322" s="26">
        <f>IFERROR(__xludf.DUMMYFUNCTION("""COMPUTED_VALUE"""),0.0)</f>
        <v>0</v>
      </c>
      <c r="AB322" s="26">
        <f>IFERROR(__xludf.DUMMYFUNCTION("""COMPUTED_VALUE"""),0.0)</f>
        <v>0</v>
      </c>
      <c r="AC322" s="26">
        <f>IFERROR(__xludf.DUMMYFUNCTION("""COMPUTED_VALUE"""),0.0)</f>
        <v>0</v>
      </c>
      <c r="AD322" s="26">
        <f>IFERROR(__xludf.DUMMYFUNCTION("""COMPUTED_VALUE"""),0.0)</f>
        <v>0</v>
      </c>
      <c r="AE322" s="26">
        <f>IFERROR(__xludf.DUMMYFUNCTION("""COMPUTED_VALUE"""),0.0)</f>
        <v>0</v>
      </c>
    </row>
    <row r="323">
      <c r="A323" s="26">
        <f>IFERROR(__xludf.DUMMYFUNCTION("""COMPUTED_VALUE"""),24.0)</f>
        <v>24</v>
      </c>
      <c r="B323" s="26">
        <f>IFERROR(__xludf.DUMMYFUNCTION("""COMPUTED_VALUE"""),0.0)</f>
        <v>0</v>
      </c>
      <c r="C323" s="26">
        <f>IFERROR(__xludf.DUMMYFUNCTION("""COMPUTED_VALUE"""),0.0)</f>
        <v>0</v>
      </c>
      <c r="D323" s="26">
        <f>IFERROR(__xludf.DUMMYFUNCTION("""COMPUTED_VALUE"""),0.0)</f>
        <v>0</v>
      </c>
      <c r="E323" s="26">
        <f>IFERROR(__xludf.DUMMYFUNCTION("""COMPUTED_VALUE"""),0.0)</f>
        <v>0</v>
      </c>
      <c r="F323" s="26">
        <f>IFERROR(__xludf.DUMMYFUNCTION("""COMPUTED_VALUE"""),0.0)</f>
        <v>0</v>
      </c>
      <c r="G323" s="26">
        <f>IFERROR(__xludf.DUMMYFUNCTION("""COMPUTED_VALUE"""),0.0)</f>
        <v>0</v>
      </c>
      <c r="H323" s="26">
        <f>IFERROR(__xludf.DUMMYFUNCTION("""COMPUTED_VALUE"""),0.0)</f>
        <v>0</v>
      </c>
      <c r="I323" s="26">
        <f>IFERROR(__xludf.DUMMYFUNCTION("""COMPUTED_VALUE"""),0.0)</f>
        <v>0</v>
      </c>
      <c r="J323" s="26">
        <f>IFERROR(__xludf.DUMMYFUNCTION("""COMPUTED_VALUE"""),0.0)</f>
        <v>0</v>
      </c>
      <c r="K323" s="26">
        <f>IFERROR(__xludf.DUMMYFUNCTION("""COMPUTED_VALUE"""),0.0)</f>
        <v>0</v>
      </c>
      <c r="L323" s="26">
        <f>IFERROR(__xludf.DUMMYFUNCTION("""COMPUTED_VALUE"""),0.0)</f>
        <v>0</v>
      </c>
      <c r="M323" s="26"/>
      <c r="N323" s="26"/>
      <c r="O323" s="26"/>
      <c r="P323" s="26"/>
      <c r="Q323" s="26"/>
      <c r="R323" s="26">
        <f>IFERROR(__xludf.DUMMYFUNCTION("""COMPUTED_VALUE"""),24.0)</f>
        <v>24</v>
      </c>
      <c r="S323" s="26">
        <f>IFERROR(__xludf.DUMMYFUNCTION("""COMPUTED_VALUE"""),10608.0)</f>
        <v>10608</v>
      </c>
      <c r="T323" s="26">
        <f>IFERROR(__xludf.DUMMYFUNCTION("""COMPUTED_VALUE"""),4080.0)</f>
        <v>4080</v>
      </c>
      <c r="U323" s="26">
        <f>IFERROR(__xludf.DUMMYFUNCTION("""COMPUTED_VALUE"""),5698.08)</f>
        <v>5698.08</v>
      </c>
      <c r="V323" s="26">
        <f>IFERROR(__xludf.DUMMYFUNCTION("""COMPUTED_VALUE"""),0.0)</f>
        <v>0</v>
      </c>
      <c r="W323" s="26">
        <f>IFERROR(__xludf.DUMMYFUNCTION("""COMPUTED_VALUE"""),0.0)</f>
        <v>0</v>
      </c>
      <c r="X323" s="26">
        <f>IFERROR(__xludf.DUMMYFUNCTION("""COMPUTED_VALUE"""),1618.0800000000004)</f>
        <v>1618.08</v>
      </c>
      <c r="Y323" s="26">
        <f>IFERROR(__xludf.DUMMYFUNCTION("""COMPUTED_VALUE"""),1618.0800000000004)</f>
        <v>1618.08</v>
      </c>
      <c r="Z323" s="26">
        <f>IFERROR(__xludf.DUMMYFUNCTION("""COMPUTED_VALUE"""),0.0)</f>
        <v>0</v>
      </c>
      <c r="AA323" s="26">
        <f>IFERROR(__xludf.DUMMYFUNCTION("""COMPUTED_VALUE"""),0.0)</f>
        <v>0</v>
      </c>
      <c r="AB323" s="26">
        <f>IFERROR(__xludf.DUMMYFUNCTION("""COMPUTED_VALUE"""),0.0)</f>
        <v>0</v>
      </c>
      <c r="AC323" s="26">
        <f>IFERROR(__xludf.DUMMYFUNCTION("""COMPUTED_VALUE"""),0.0)</f>
        <v>0</v>
      </c>
      <c r="AD323" s="26">
        <f>IFERROR(__xludf.DUMMYFUNCTION("""COMPUTED_VALUE"""),0.0)</f>
        <v>0</v>
      </c>
      <c r="AE323" s="26">
        <f>IFERROR(__xludf.DUMMYFUNCTION("""COMPUTED_VALUE"""),0.0)</f>
        <v>0</v>
      </c>
    </row>
    <row r="324">
      <c r="A324" s="26">
        <f>IFERROR(__xludf.DUMMYFUNCTION("""COMPUTED_VALUE"""),17.0)</f>
        <v>17</v>
      </c>
      <c r="B324" s="26">
        <f>IFERROR(__xludf.DUMMYFUNCTION("""COMPUTED_VALUE"""),0.0)</f>
        <v>0</v>
      </c>
      <c r="C324" s="26">
        <f>IFERROR(__xludf.DUMMYFUNCTION("""COMPUTED_VALUE"""),0.0)</f>
        <v>0</v>
      </c>
      <c r="D324" s="26">
        <f>IFERROR(__xludf.DUMMYFUNCTION("""COMPUTED_VALUE"""),0.0)</f>
        <v>0</v>
      </c>
      <c r="E324" s="26">
        <f>IFERROR(__xludf.DUMMYFUNCTION("""COMPUTED_VALUE"""),0.0)</f>
        <v>0</v>
      </c>
      <c r="F324" s="26">
        <f>IFERROR(__xludf.DUMMYFUNCTION("""COMPUTED_VALUE"""),0.0)</f>
        <v>0</v>
      </c>
      <c r="G324" s="26">
        <f>IFERROR(__xludf.DUMMYFUNCTION("""COMPUTED_VALUE"""),0.0)</f>
        <v>0</v>
      </c>
      <c r="H324" s="26">
        <f>IFERROR(__xludf.DUMMYFUNCTION("""COMPUTED_VALUE"""),0.0)</f>
        <v>0</v>
      </c>
      <c r="I324" s="26">
        <f>IFERROR(__xludf.DUMMYFUNCTION("""COMPUTED_VALUE"""),0.0)</f>
        <v>0</v>
      </c>
      <c r="J324" s="26">
        <f>IFERROR(__xludf.DUMMYFUNCTION("""COMPUTED_VALUE"""),0.0)</f>
        <v>0</v>
      </c>
      <c r="K324" s="26">
        <f>IFERROR(__xludf.DUMMYFUNCTION("""COMPUTED_VALUE"""),0.0)</f>
        <v>0</v>
      </c>
      <c r="L324" s="26">
        <f>IFERROR(__xludf.DUMMYFUNCTION("""COMPUTED_VALUE"""),0.0)</f>
        <v>0</v>
      </c>
      <c r="M324" s="26"/>
      <c r="N324" s="26"/>
      <c r="O324" s="26"/>
      <c r="P324" s="26"/>
      <c r="Q324" s="26"/>
      <c r="R324" s="26">
        <f>IFERROR(__xludf.DUMMYFUNCTION("""COMPUTED_VALUE"""),17.0)</f>
        <v>17</v>
      </c>
      <c r="S324" s="26">
        <f>IFERROR(__xludf.DUMMYFUNCTION("""COMPUTED_VALUE"""),7514.0)</f>
        <v>7514</v>
      </c>
      <c r="T324" s="26">
        <f>IFERROR(__xludf.DUMMYFUNCTION("""COMPUTED_VALUE"""),2890.0)</f>
        <v>2890</v>
      </c>
      <c r="U324" s="26">
        <f>IFERROR(__xludf.DUMMYFUNCTION("""COMPUTED_VALUE"""),4036.14)</f>
        <v>4036.14</v>
      </c>
      <c r="V324" s="26">
        <f>IFERROR(__xludf.DUMMYFUNCTION("""COMPUTED_VALUE"""),0.0)</f>
        <v>0</v>
      </c>
      <c r="W324" s="26">
        <f>IFERROR(__xludf.DUMMYFUNCTION("""COMPUTED_VALUE"""),0.0)</f>
        <v>0</v>
      </c>
      <c r="X324" s="26">
        <f>IFERROR(__xludf.DUMMYFUNCTION("""COMPUTED_VALUE"""),1146.1399999999999)</f>
        <v>1146.14</v>
      </c>
      <c r="Y324" s="26">
        <f>IFERROR(__xludf.DUMMYFUNCTION("""COMPUTED_VALUE"""),1146.1399999999999)</f>
        <v>1146.14</v>
      </c>
      <c r="Z324" s="26">
        <f>IFERROR(__xludf.DUMMYFUNCTION("""COMPUTED_VALUE"""),0.0)</f>
        <v>0</v>
      </c>
      <c r="AA324" s="26">
        <f>IFERROR(__xludf.DUMMYFUNCTION("""COMPUTED_VALUE"""),0.0)</f>
        <v>0</v>
      </c>
      <c r="AB324" s="26">
        <f>IFERROR(__xludf.DUMMYFUNCTION("""COMPUTED_VALUE"""),0.0)</f>
        <v>0</v>
      </c>
      <c r="AC324" s="26">
        <f>IFERROR(__xludf.DUMMYFUNCTION("""COMPUTED_VALUE"""),0.0)</f>
        <v>0</v>
      </c>
      <c r="AD324" s="26">
        <f>IFERROR(__xludf.DUMMYFUNCTION("""COMPUTED_VALUE"""),0.0)</f>
        <v>0</v>
      </c>
      <c r="AE324" s="26">
        <f>IFERROR(__xludf.DUMMYFUNCTION("""COMPUTED_VALUE"""),0.0)</f>
        <v>0</v>
      </c>
    </row>
    <row r="325">
      <c r="A325" s="26">
        <f>IFERROR(__xludf.DUMMYFUNCTION("""COMPUTED_VALUE"""),341.0)</f>
        <v>341</v>
      </c>
      <c r="B325" s="26">
        <f>IFERROR(__xludf.DUMMYFUNCTION("""COMPUTED_VALUE"""),0.0)</f>
        <v>0</v>
      </c>
      <c r="C325" s="26">
        <f>IFERROR(__xludf.DUMMYFUNCTION("""COMPUTED_VALUE"""),0.0)</f>
        <v>0</v>
      </c>
      <c r="D325" s="26">
        <f>IFERROR(__xludf.DUMMYFUNCTION("""COMPUTED_VALUE"""),0.0)</f>
        <v>0</v>
      </c>
      <c r="E325" s="26">
        <f>IFERROR(__xludf.DUMMYFUNCTION("""COMPUTED_VALUE"""),0.0)</f>
        <v>0</v>
      </c>
      <c r="F325" s="26">
        <f>IFERROR(__xludf.DUMMYFUNCTION("""COMPUTED_VALUE"""),0.0)</f>
        <v>0</v>
      </c>
      <c r="G325" s="26">
        <f>IFERROR(__xludf.DUMMYFUNCTION("""COMPUTED_VALUE"""),0.0)</f>
        <v>0</v>
      </c>
      <c r="H325" s="26">
        <f>IFERROR(__xludf.DUMMYFUNCTION("""COMPUTED_VALUE"""),0.0)</f>
        <v>0</v>
      </c>
      <c r="I325" s="26">
        <f>IFERROR(__xludf.DUMMYFUNCTION("""COMPUTED_VALUE"""),0.0)</f>
        <v>0</v>
      </c>
      <c r="J325" s="26">
        <f>IFERROR(__xludf.DUMMYFUNCTION("""COMPUTED_VALUE"""),0.0)</f>
        <v>0</v>
      </c>
      <c r="K325" s="26">
        <f>IFERROR(__xludf.DUMMYFUNCTION("""COMPUTED_VALUE"""),0.0)</f>
        <v>0</v>
      </c>
      <c r="L325" s="26">
        <f>IFERROR(__xludf.DUMMYFUNCTION("""COMPUTED_VALUE"""),0.0)</f>
        <v>0</v>
      </c>
      <c r="M325" s="26"/>
      <c r="N325" s="26"/>
      <c r="O325" s="26"/>
      <c r="P325" s="26"/>
      <c r="Q325" s="26"/>
      <c r="R325" s="26">
        <f>IFERROR(__xludf.DUMMYFUNCTION("""COMPUTED_VALUE"""),341.0)</f>
        <v>341</v>
      </c>
      <c r="S325" s="26">
        <f>IFERROR(__xludf.DUMMYFUNCTION("""COMPUTED_VALUE"""),132990.0)</f>
        <v>132990</v>
      </c>
      <c r="T325" s="26">
        <f>IFERROR(__xludf.DUMMYFUNCTION("""COMPUTED_VALUE"""),44671.0)</f>
        <v>44671</v>
      </c>
      <c r="U325" s="26">
        <f>IFERROR(__xludf.DUMMYFUNCTION("""COMPUTED_VALUE"""),64957.090000000055)</f>
        <v>64957.09</v>
      </c>
      <c r="V325" s="26">
        <f>IFERROR(__xludf.DUMMYFUNCTION("""COMPUTED_VALUE"""),0.0)</f>
        <v>0</v>
      </c>
      <c r="W325" s="26">
        <f>IFERROR(__xludf.DUMMYFUNCTION("""COMPUTED_VALUE"""),0.0)</f>
        <v>0</v>
      </c>
      <c r="X325" s="26">
        <f>IFERROR(__xludf.DUMMYFUNCTION("""COMPUTED_VALUE"""),20286.090000000055)</f>
        <v>20286.09</v>
      </c>
      <c r="Y325" s="26">
        <f>IFERROR(__xludf.DUMMYFUNCTION("""COMPUTED_VALUE"""),20286.090000000055)</f>
        <v>20286.09</v>
      </c>
      <c r="Z325" s="26">
        <f>IFERROR(__xludf.DUMMYFUNCTION("""COMPUTED_VALUE"""),68360.27000000027)</f>
        <v>68360.27</v>
      </c>
      <c r="AA325" s="26">
        <f>IFERROR(__xludf.DUMMYFUNCTION("""COMPUTED_VALUE"""),68360.27000000027)</f>
        <v>68360.27</v>
      </c>
      <c r="AB325" s="26">
        <f>IFERROR(__xludf.DUMMYFUNCTION("""COMPUTED_VALUE"""),68032.91000000015)</f>
        <v>68032.91</v>
      </c>
      <c r="AC325" s="26">
        <f>IFERROR(__xludf.DUMMYFUNCTION("""COMPUTED_VALUE"""),64629.72999999973)</f>
        <v>64629.73</v>
      </c>
      <c r="AD325" s="26">
        <f>IFERROR(__xludf.DUMMYFUNCTION("""COMPUTED_VALUE"""),3403.1800000000053)</f>
        <v>3403.18</v>
      </c>
      <c r="AE325" s="26">
        <f>IFERROR(__xludf.DUMMYFUNCTION("""COMPUTED_VALUE"""),0.0)</f>
        <v>0</v>
      </c>
    </row>
    <row r="326">
      <c r="A326" s="26">
        <f>IFERROR(__xludf.DUMMYFUNCTION("""COMPUTED_VALUE"""),1.0)</f>
        <v>1</v>
      </c>
      <c r="B326" s="26">
        <f>IFERROR(__xludf.DUMMYFUNCTION("""COMPUTED_VALUE"""),0.0)</f>
        <v>0</v>
      </c>
      <c r="C326" s="26">
        <f>IFERROR(__xludf.DUMMYFUNCTION("""COMPUTED_VALUE"""),0.0)</f>
        <v>0</v>
      </c>
      <c r="D326" s="26">
        <f>IFERROR(__xludf.DUMMYFUNCTION("""COMPUTED_VALUE"""),0.0)</f>
        <v>0</v>
      </c>
      <c r="E326" s="26">
        <f>IFERROR(__xludf.DUMMYFUNCTION("""COMPUTED_VALUE"""),0.0)</f>
        <v>0</v>
      </c>
      <c r="F326" s="26">
        <f>IFERROR(__xludf.DUMMYFUNCTION("""COMPUTED_VALUE"""),0.0)</f>
        <v>0</v>
      </c>
      <c r="G326" s="26">
        <f>IFERROR(__xludf.DUMMYFUNCTION("""COMPUTED_VALUE"""),0.0)</f>
        <v>0</v>
      </c>
      <c r="H326" s="26">
        <f>IFERROR(__xludf.DUMMYFUNCTION("""COMPUTED_VALUE"""),0.0)</f>
        <v>0</v>
      </c>
      <c r="I326" s="26">
        <f>IFERROR(__xludf.DUMMYFUNCTION("""COMPUTED_VALUE"""),0.0)</f>
        <v>0</v>
      </c>
      <c r="J326" s="26">
        <f>IFERROR(__xludf.DUMMYFUNCTION("""COMPUTED_VALUE"""),0.0)</f>
        <v>0</v>
      </c>
      <c r="K326" s="26">
        <f>IFERROR(__xludf.DUMMYFUNCTION("""COMPUTED_VALUE"""),0.0)</f>
        <v>0</v>
      </c>
      <c r="L326" s="26">
        <f>IFERROR(__xludf.DUMMYFUNCTION("""COMPUTED_VALUE"""),0.0)</f>
        <v>0</v>
      </c>
      <c r="M326" s="26"/>
      <c r="N326" s="26"/>
      <c r="O326" s="26"/>
      <c r="P326" s="26"/>
      <c r="Q326" s="26"/>
      <c r="R326" s="26">
        <f>IFERROR(__xludf.DUMMYFUNCTION("""COMPUTED_VALUE"""),1.0)</f>
        <v>1</v>
      </c>
      <c r="S326" s="26">
        <f>IFERROR(__xludf.DUMMYFUNCTION("""COMPUTED_VALUE"""),390.0)</f>
        <v>390</v>
      </c>
      <c r="T326" s="26">
        <f>IFERROR(__xludf.DUMMYFUNCTION("""COMPUTED_VALUE"""),170.0)</f>
        <v>170</v>
      </c>
      <c r="U326" s="26">
        <f>IFERROR(__xludf.DUMMYFUNCTION("""COMPUTED_VALUE"""),229.49)</f>
        <v>229.49</v>
      </c>
      <c r="V326" s="26">
        <f>IFERROR(__xludf.DUMMYFUNCTION("""COMPUTED_VALUE"""),0.0)</f>
        <v>0</v>
      </c>
      <c r="W326" s="26">
        <f>IFERROR(__xludf.DUMMYFUNCTION("""COMPUTED_VALUE"""),0.0)</f>
        <v>0</v>
      </c>
      <c r="X326" s="26">
        <f>IFERROR(__xludf.DUMMYFUNCTION("""COMPUTED_VALUE"""),59.49)</f>
        <v>59.49</v>
      </c>
      <c r="Y326" s="26">
        <f>IFERROR(__xludf.DUMMYFUNCTION("""COMPUTED_VALUE"""),59.49)</f>
        <v>59.49</v>
      </c>
      <c r="Z326" s="26">
        <f>IFERROR(__xludf.DUMMYFUNCTION("""COMPUTED_VALUE"""),237.52)</f>
        <v>237.52</v>
      </c>
      <c r="AA326" s="26">
        <f>IFERROR(__xludf.DUMMYFUNCTION("""COMPUTED_VALUE"""),237.52)</f>
        <v>237.52</v>
      </c>
      <c r="AB326" s="26">
        <f>IFERROR(__xludf.DUMMYFUNCTION("""COMPUTED_VALUE"""),160.51)</f>
        <v>160.51</v>
      </c>
      <c r="AC326" s="26">
        <f>IFERROR(__xludf.DUMMYFUNCTION("""COMPUTED_VALUE"""),152.48)</f>
        <v>152.48</v>
      </c>
      <c r="AD326" s="26">
        <f>IFERROR(__xludf.DUMMYFUNCTION("""COMPUTED_VALUE"""),8.03)</f>
        <v>8.03</v>
      </c>
      <c r="AE326" s="26">
        <f>IFERROR(__xludf.DUMMYFUNCTION("""COMPUTED_VALUE"""),0.0)</f>
        <v>0</v>
      </c>
    </row>
    <row r="327">
      <c r="A327" s="26">
        <f>IFERROR(__xludf.DUMMYFUNCTION("""COMPUTED_VALUE"""),0.0)</f>
        <v>0</v>
      </c>
      <c r="B327" s="26">
        <f>IFERROR(__xludf.DUMMYFUNCTION("""COMPUTED_VALUE"""),0.0)</f>
        <v>0</v>
      </c>
      <c r="C327" s="26">
        <f>IFERROR(__xludf.DUMMYFUNCTION("""COMPUTED_VALUE"""),0.0)</f>
        <v>0</v>
      </c>
      <c r="D327" s="26">
        <f>IFERROR(__xludf.DUMMYFUNCTION("""COMPUTED_VALUE"""),0.0)</f>
        <v>0</v>
      </c>
      <c r="E327" s="26">
        <f>IFERROR(__xludf.DUMMYFUNCTION("""COMPUTED_VALUE"""),0.0)</f>
        <v>0</v>
      </c>
      <c r="F327" s="26">
        <f>IFERROR(__xludf.DUMMYFUNCTION("""COMPUTED_VALUE"""),0.0)</f>
        <v>0</v>
      </c>
      <c r="G327" s="26">
        <f>IFERROR(__xludf.DUMMYFUNCTION("""COMPUTED_VALUE"""),0.0)</f>
        <v>0</v>
      </c>
      <c r="H327" s="26">
        <f>IFERROR(__xludf.DUMMYFUNCTION("""COMPUTED_VALUE"""),0.0)</f>
        <v>0</v>
      </c>
      <c r="I327" s="26">
        <f>IFERROR(__xludf.DUMMYFUNCTION("""COMPUTED_VALUE"""),0.0)</f>
        <v>0</v>
      </c>
      <c r="J327" s="26">
        <f>IFERROR(__xludf.DUMMYFUNCTION("""COMPUTED_VALUE"""),0.0)</f>
        <v>0</v>
      </c>
      <c r="K327" s="26">
        <f>IFERROR(__xludf.DUMMYFUNCTION("""COMPUTED_VALUE"""),0.0)</f>
        <v>0</v>
      </c>
      <c r="L327" s="26">
        <f>IFERROR(__xludf.DUMMYFUNCTION("""COMPUTED_VALUE"""),0.0)</f>
        <v>0</v>
      </c>
      <c r="M327" s="26"/>
      <c r="N327" s="26"/>
      <c r="O327" s="26"/>
      <c r="P327" s="26"/>
      <c r="Q327" s="26"/>
      <c r="R327" s="26">
        <f>IFERROR(__xludf.DUMMYFUNCTION("""COMPUTED_VALUE"""),0.0)</f>
        <v>0</v>
      </c>
      <c r="S327" s="26">
        <f>IFERROR(__xludf.DUMMYFUNCTION("""COMPUTED_VALUE"""),0.0)</f>
        <v>0</v>
      </c>
      <c r="T327" s="26">
        <f>IFERROR(__xludf.DUMMYFUNCTION("""COMPUTED_VALUE"""),0.0)</f>
        <v>0</v>
      </c>
      <c r="U327" s="26">
        <f>IFERROR(__xludf.DUMMYFUNCTION("""COMPUTED_VALUE"""),0.0)</f>
        <v>0</v>
      </c>
      <c r="V327" s="26">
        <f>IFERROR(__xludf.DUMMYFUNCTION("""COMPUTED_VALUE"""),0.0)</f>
        <v>0</v>
      </c>
      <c r="W327" s="26">
        <f>IFERROR(__xludf.DUMMYFUNCTION("""COMPUTED_VALUE"""),0.0)</f>
        <v>0</v>
      </c>
      <c r="X327" s="26">
        <f>IFERROR(__xludf.DUMMYFUNCTION("""COMPUTED_VALUE"""),0.0)</f>
        <v>0</v>
      </c>
      <c r="Y327" s="26">
        <f>IFERROR(__xludf.DUMMYFUNCTION("""COMPUTED_VALUE"""),0.0)</f>
        <v>0</v>
      </c>
      <c r="Z327" s="26">
        <f>IFERROR(__xludf.DUMMYFUNCTION("""COMPUTED_VALUE"""),0.0)</f>
        <v>0</v>
      </c>
      <c r="AA327" s="26">
        <f>IFERROR(__xludf.DUMMYFUNCTION("""COMPUTED_VALUE"""),0.0)</f>
        <v>0</v>
      </c>
      <c r="AB327" s="26">
        <f>IFERROR(__xludf.DUMMYFUNCTION("""COMPUTED_VALUE"""),0.0)</f>
        <v>0</v>
      </c>
      <c r="AC327" s="26">
        <f>IFERROR(__xludf.DUMMYFUNCTION("""COMPUTED_VALUE"""),0.0)</f>
        <v>0</v>
      </c>
      <c r="AD327" s="26">
        <f>IFERROR(__xludf.DUMMYFUNCTION("""COMPUTED_VALUE"""),0.0)</f>
        <v>0</v>
      </c>
      <c r="AE327" s="26">
        <f>IFERROR(__xludf.DUMMYFUNCTION("""COMPUTED_VALUE"""),0.0)</f>
        <v>0</v>
      </c>
    </row>
    <row r="328">
      <c r="A328" s="26">
        <f>IFERROR(__xludf.DUMMYFUNCTION("""COMPUTED_VALUE"""),57.0)</f>
        <v>57</v>
      </c>
      <c r="B328" s="26">
        <f>IFERROR(__xludf.DUMMYFUNCTION("""COMPUTED_VALUE"""),0.0)</f>
        <v>0</v>
      </c>
      <c r="C328" s="26">
        <f>IFERROR(__xludf.DUMMYFUNCTION("""COMPUTED_VALUE"""),0.0)</f>
        <v>0</v>
      </c>
      <c r="D328" s="26">
        <f>IFERROR(__xludf.DUMMYFUNCTION("""COMPUTED_VALUE"""),0.0)</f>
        <v>0</v>
      </c>
      <c r="E328" s="26">
        <f>IFERROR(__xludf.DUMMYFUNCTION("""COMPUTED_VALUE"""),0.0)</f>
        <v>0</v>
      </c>
      <c r="F328" s="26">
        <f>IFERROR(__xludf.DUMMYFUNCTION("""COMPUTED_VALUE"""),0.0)</f>
        <v>0</v>
      </c>
      <c r="G328" s="26">
        <f>IFERROR(__xludf.DUMMYFUNCTION("""COMPUTED_VALUE"""),0.0)</f>
        <v>0</v>
      </c>
      <c r="H328" s="26">
        <f>IFERROR(__xludf.DUMMYFUNCTION("""COMPUTED_VALUE"""),0.0)</f>
        <v>0</v>
      </c>
      <c r="I328" s="26">
        <f>IFERROR(__xludf.DUMMYFUNCTION("""COMPUTED_VALUE"""),0.0)</f>
        <v>0</v>
      </c>
      <c r="J328" s="26">
        <f>IFERROR(__xludf.DUMMYFUNCTION("""COMPUTED_VALUE"""),0.0)</f>
        <v>0</v>
      </c>
      <c r="K328" s="26">
        <f>IFERROR(__xludf.DUMMYFUNCTION("""COMPUTED_VALUE"""),0.0)</f>
        <v>0</v>
      </c>
      <c r="L328" s="26">
        <f>IFERROR(__xludf.DUMMYFUNCTION("""COMPUTED_VALUE"""),0.0)</f>
        <v>0</v>
      </c>
      <c r="M328" s="26"/>
      <c r="N328" s="26"/>
      <c r="O328" s="26"/>
      <c r="P328" s="26"/>
      <c r="Q328" s="26"/>
      <c r="R328" s="26">
        <f>IFERROR(__xludf.DUMMYFUNCTION("""COMPUTED_VALUE"""),57.0)</f>
        <v>57</v>
      </c>
      <c r="S328" s="26">
        <f>IFERROR(__xludf.DUMMYFUNCTION("""COMPUTED_VALUE"""),19930.0)</f>
        <v>19930</v>
      </c>
      <c r="T328" s="26">
        <f>IFERROR(__xludf.DUMMYFUNCTION("""COMPUTED_VALUE"""),8835.0)</f>
        <v>8835</v>
      </c>
      <c r="U328" s="26">
        <f>IFERROR(__xludf.DUMMYFUNCTION("""COMPUTED_VALUE"""),11874.899999999998)</f>
        <v>11874.9</v>
      </c>
      <c r="V328" s="26">
        <f>IFERROR(__xludf.DUMMYFUNCTION("""COMPUTED_VALUE"""),0.0)</f>
        <v>0</v>
      </c>
      <c r="W328" s="26">
        <f>IFERROR(__xludf.DUMMYFUNCTION("""COMPUTED_VALUE"""),0.0)</f>
        <v>0</v>
      </c>
      <c r="X328" s="26">
        <f>IFERROR(__xludf.DUMMYFUNCTION("""COMPUTED_VALUE"""),3039.899999999998)</f>
        <v>3039.9</v>
      </c>
      <c r="Y328" s="26">
        <f>IFERROR(__xludf.DUMMYFUNCTION("""COMPUTED_VALUE"""),3039.899999999998)</f>
        <v>3039.9</v>
      </c>
      <c r="Z328" s="26">
        <f>IFERROR(__xludf.DUMMYFUNCTION("""COMPUTED_VALUE"""),19930.0)</f>
        <v>19930</v>
      </c>
      <c r="AA328" s="26">
        <f>IFERROR(__xludf.DUMMYFUNCTION("""COMPUTED_VALUE"""),12277.879999999997)</f>
        <v>12277.88</v>
      </c>
      <c r="AB328" s="26">
        <f>IFERROR(__xludf.DUMMYFUNCTION("""COMPUTED_VALUE"""),8055.100000000003)</f>
        <v>8055.1</v>
      </c>
      <c r="AC328" s="26">
        <f>IFERROR(__xludf.DUMMYFUNCTION("""COMPUTED_VALUE"""),0.0)</f>
        <v>0</v>
      </c>
      <c r="AD328" s="26">
        <f>IFERROR(__xludf.DUMMYFUNCTION("""COMPUTED_VALUE"""),402.98)</f>
        <v>402.98</v>
      </c>
      <c r="AE328" s="26">
        <f>IFERROR(__xludf.DUMMYFUNCTION("""COMPUTED_VALUE"""),7652.120000000003)</f>
        <v>7652.12</v>
      </c>
    </row>
    <row r="329">
      <c r="A329" s="26">
        <f>IFERROR(__xludf.DUMMYFUNCTION("""COMPUTED_VALUE"""),0.0)</f>
        <v>0</v>
      </c>
      <c r="B329" s="26">
        <f>IFERROR(__xludf.DUMMYFUNCTION("""COMPUTED_VALUE"""),0.0)</f>
        <v>0</v>
      </c>
      <c r="C329" s="26">
        <f>IFERROR(__xludf.DUMMYFUNCTION("""COMPUTED_VALUE"""),0.0)</f>
        <v>0</v>
      </c>
      <c r="D329" s="26">
        <f>IFERROR(__xludf.DUMMYFUNCTION("""COMPUTED_VALUE"""),0.0)</f>
        <v>0</v>
      </c>
      <c r="E329" s="26">
        <f>IFERROR(__xludf.DUMMYFUNCTION("""COMPUTED_VALUE"""),0.0)</f>
        <v>0</v>
      </c>
      <c r="F329" s="26">
        <f>IFERROR(__xludf.DUMMYFUNCTION("""COMPUTED_VALUE"""),0.0)</f>
        <v>0</v>
      </c>
      <c r="G329" s="26">
        <f>IFERROR(__xludf.DUMMYFUNCTION("""COMPUTED_VALUE"""),0.0)</f>
        <v>0</v>
      </c>
      <c r="H329" s="26">
        <f>IFERROR(__xludf.DUMMYFUNCTION("""COMPUTED_VALUE"""),0.0)</f>
        <v>0</v>
      </c>
      <c r="I329" s="26">
        <f>IFERROR(__xludf.DUMMYFUNCTION("""COMPUTED_VALUE"""),0.0)</f>
        <v>0</v>
      </c>
      <c r="J329" s="26">
        <f>IFERROR(__xludf.DUMMYFUNCTION("""COMPUTED_VALUE"""),0.0)</f>
        <v>0</v>
      </c>
      <c r="K329" s="26">
        <f>IFERROR(__xludf.DUMMYFUNCTION("""COMPUTED_VALUE"""),0.0)</f>
        <v>0</v>
      </c>
      <c r="L329" s="26">
        <f>IFERROR(__xludf.DUMMYFUNCTION("""COMPUTED_VALUE"""),0.0)</f>
        <v>0</v>
      </c>
      <c r="M329" s="26"/>
      <c r="N329" s="26"/>
      <c r="O329" s="26"/>
      <c r="P329" s="26"/>
      <c r="Q329" s="26"/>
      <c r="R329" s="26">
        <f>IFERROR(__xludf.DUMMYFUNCTION("""COMPUTED_VALUE"""),0.0)</f>
        <v>0</v>
      </c>
      <c r="S329" s="26">
        <f>IFERROR(__xludf.DUMMYFUNCTION("""COMPUTED_VALUE"""),0.0)</f>
        <v>0</v>
      </c>
      <c r="T329" s="26">
        <f>IFERROR(__xludf.DUMMYFUNCTION("""COMPUTED_VALUE"""),0.0)</f>
        <v>0</v>
      </c>
      <c r="U329" s="26">
        <f>IFERROR(__xludf.DUMMYFUNCTION("""COMPUTED_VALUE"""),0.0)</f>
        <v>0</v>
      </c>
      <c r="V329" s="26">
        <f>IFERROR(__xludf.DUMMYFUNCTION("""COMPUTED_VALUE"""),0.0)</f>
        <v>0</v>
      </c>
      <c r="W329" s="26">
        <f>IFERROR(__xludf.DUMMYFUNCTION("""COMPUTED_VALUE"""),0.0)</f>
        <v>0</v>
      </c>
      <c r="X329" s="26">
        <f>IFERROR(__xludf.DUMMYFUNCTION("""COMPUTED_VALUE"""),0.0)</f>
        <v>0</v>
      </c>
      <c r="Y329" s="26">
        <f>IFERROR(__xludf.DUMMYFUNCTION("""COMPUTED_VALUE"""),0.0)</f>
        <v>0</v>
      </c>
      <c r="Z329" s="26">
        <f>IFERROR(__xludf.DUMMYFUNCTION("""COMPUTED_VALUE"""),0.0)</f>
        <v>0</v>
      </c>
      <c r="AA329" s="26">
        <f>IFERROR(__xludf.DUMMYFUNCTION("""COMPUTED_VALUE"""),0.0)</f>
        <v>0</v>
      </c>
      <c r="AB329" s="26">
        <f>IFERROR(__xludf.DUMMYFUNCTION("""COMPUTED_VALUE"""),0.0)</f>
        <v>0</v>
      </c>
      <c r="AC329" s="26">
        <f>IFERROR(__xludf.DUMMYFUNCTION("""COMPUTED_VALUE"""),0.0)</f>
        <v>0</v>
      </c>
      <c r="AD329" s="26">
        <f>IFERROR(__xludf.DUMMYFUNCTION("""COMPUTED_VALUE"""),0.0)</f>
        <v>0</v>
      </c>
      <c r="AE329" s="26">
        <f>IFERROR(__xludf.DUMMYFUNCTION("""COMPUTED_VALUE"""),0.0)</f>
        <v>0</v>
      </c>
    </row>
    <row r="330">
      <c r="A330" s="26">
        <f>IFERROR(__xludf.DUMMYFUNCTION("""COMPUTED_VALUE"""),18.0)</f>
        <v>18</v>
      </c>
      <c r="B330" s="26">
        <f>IFERROR(__xludf.DUMMYFUNCTION("""COMPUTED_VALUE"""),0.0)</f>
        <v>0</v>
      </c>
      <c r="C330" s="26">
        <f>IFERROR(__xludf.DUMMYFUNCTION("""COMPUTED_VALUE"""),0.0)</f>
        <v>0</v>
      </c>
      <c r="D330" s="26">
        <f>IFERROR(__xludf.DUMMYFUNCTION("""COMPUTED_VALUE"""),0.0)</f>
        <v>0</v>
      </c>
      <c r="E330" s="26">
        <f>IFERROR(__xludf.DUMMYFUNCTION("""COMPUTED_VALUE"""),0.0)</f>
        <v>0</v>
      </c>
      <c r="F330" s="26">
        <f>IFERROR(__xludf.DUMMYFUNCTION("""COMPUTED_VALUE"""),0.0)</f>
        <v>0</v>
      </c>
      <c r="G330" s="26">
        <f>IFERROR(__xludf.DUMMYFUNCTION("""COMPUTED_VALUE"""),0.0)</f>
        <v>0</v>
      </c>
      <c r="H330" s="26">
        <f>IFERROR(__xludf.DUMMYFUNCTION("""COMPUTED_VALUE"""),0.0)</f>
        <v>0</v>
      </c>
      <c r="I330" s="26">
        <f>IFERROR(__xludf.DUMMYFUNCTION("""COMPUTED_VALUE"""),0.0)</f>
        <v>0</v>
      </c>
      <c r="J330" s="26">
        <f>IFERROR(__xludf.DUMMYFUNCTION("""COMPUTED_VALUE"""),0.0)</f>
        <v>0</v>
      </c>
      <c r="K330" s="26">
        <f>IFERROR(__xludf.DUMMYFUNCTION("""COMPUTED_VALUE"""),0.0)</f>
        <v>0</v>
      </c>
      <c r="L330" s="26">
        <f>IFERROR(__xludf.DUMMYFUNCTION("""COMPUTED_VALUE"""),0.0)</f>
        <v>0</v>
      </c>
      <c r="M330" s="26"/>
      <c r="N330" s="26"/>
      <c r="O330" s="26"/>
      <c r="P330" s="26"/>
      <c r="Q330" s="26"/>
      <c r="R330" s="26">
        <f>IFERROR(__xludf.DUMMYFUNCTION("""COMPUTED_VALUE"""),18.0)</f>
        <v>18</v>
      </c>
      <c r="S330" s="26">
        <f>IFERROR(__xludf.DUMMYFUNCTION("""COMPUTED_VALUE"""),7020.0)</f>
        <v>7020</v>
      </c>
      <c r="T330" s="26">
        <f>IFERROR(__xludf.DUMMYFUNCTION("""COMPUTED_VALUE"""),3060.0)</f>
        <v>3060</v>
      </c>
      <c r="U330" s="26">
        <f>IFERROR(__xludf.DUMMYFUNCTION("""COMPUTED_VALUE"""),4130.82)</f>
        <v>4130.82</v>
      </c>
      <c r="V330" s="26">
        <f>IFERROR(__xludf.DUMMYFUNCTION("""COMPUTED_VALUE"""),0.0)</f>
        <v>0</v>
      </c>
      <c r="W330" s="26">
        <f>IFERROR(__xludf.DUMMYFUNCTION("""COMPUTED_VALUE"""),0.0)</f>
        <v>0</v>
      </c>
      <c r="X330" s="26">
        <f>IFERROR(__xludf.DUMMYFUNCTION("""COMPUTED_VALUE"""),1070.82)</f>
        <v>1070.82</v>
      </c>
      <c r="Y330" s="26">
        <f>IFERROR(__xludf.DUMMYFUNCTION("""COMPUTED_VALUE"""),1070.82)</f>
        <v>1070.82</v>
      </c>
      <c r="Z330" s="26">
        <f>IFERROR(__xludf.DUMMYFUNCTION("""COMPUTED_VALUE"""),4275.360000000001)</f>
        <v>4275.36</v>
      </c>
      <c r="AA330" s="26">
        <f>IFERROR(__xludf.DUMMYFUNCTION("""COMPUTED_VALUE"""),4275.360000000001)</f>
        <v>4275.36</v>
      </c>
      <c r="AB330" s="26">
        <f>IFERROR(__xludf.DUMMYFUNCTION("""COMPUTED_VALUE"""),2889.180000000001)</f>
        <v>2889.18</v>
      </c>
      <c r="AC330" s="26">
        <f>IFERROR(__xludf.DUMMYFUNCTION("""COMPUTED_VALUE"""),2744.64)</f>
        <v>2744.64</v>
      </c>
      <c r="AD330" s="26">
        <f>IFERROR(__xludf.DUMMYFUNCTION("""COMPUTED_VALUE"""),144.54)</f>
        <v>144.54</v>
      </c>
      <c r="AE330" s="26">
        <f>IFERROR(__xludf.DUMMYFUNCTION("""COMPUTED_VALUE"""),0.0)</f>
        <v>0</v>
      </c>
    </row>
    <row r="331">
      <c r="A331" s="26">
        <f>IFERROR(__xludf.DUMMYFUNCTION("""COMPUTED_VALUE"""),0.0)</f>
        <v>0</v>
      </c>
      <c r="B331" s="26">
        <f>IFERROR(__xludf.DUMMYFUNCTION("""COMPUTED_VALUE"""),0.0)</f>
        <v>0</v>
      </c>
      <c r="C331" s="26">
        <f>IFERROR(__xludf.DUMMYFUNCTION("""COMPUTED_VALUE"""),0.0)</f>
        <v>0</v>
      </c>
      <c r="D331" s="26">
        <f>IFERROR(__xludf.DUMMYFUNCTION("""COMPUTED_VALUE"""),0.0)</f>
        <v>0</v>
      </c>
      <c r="E331" s="26">
        <f>IFERROR(__xludf.DUMMYFUNCTION("""COMPUTED_VALUE"""),0.0)</f>
        <v>0</v>
      </c>
      <c r="F331" s="26">
        <f>IFERROR(__xludf.DUMMYFUNCTION("""COMPUTED_VALUE"""),0.0)</f>
        <v>0</v>
      </c>
      <c r="G331" s="26">
        <f>IFERROR(__xludf.DUMMYFUNCTION("""COMPUTED_VALUE"""),0.0)</f>
        <v>0</v>
      </c>
      <c r="H331" s="26">
        <f>IFERROR(__xludf.DUMMYFUNCTION("""COMPUTED_VALUE"""),0.0)</f>
        <v>0</v>
      </c>
      <c r="I331" s="26">
        <f>IFERROR(__xludf.DUMMYFUNCTION("""COMPUTED_VALUE"""),0.0)</f>
        <v>0</v>
      </c>
      <c r="J331" s="26">
        <f>IFERROR(__xludf.DUMMYFUNCTION("""COMPUTED_VALUE"""),0.0)</f>
        <v>0</v>
      </c>
      <c r="K331" s="26">
        <f>IFERROR(__xludf.DUMMYFUNCTION("""COMPUTED_VALUE"""),0.0)</f>
        <v>0</v>
      </c>
      <c r="L331" s="26">
        <f>IFERROR(__xludf.DUMMYFUNCTION("""COMPUTED_VALUE"""),0.0)</f>
        <v>0</v>
      </c>
      <c r="M331" s="26"/>
      <c r="N331" s="26"/>
      <c r="O331" s="26"/>
      <c r="P331" s="26"/>
      <c r="Q331" s="26"/>
      <c r="R331" s="26">
        <f>IFERROR(__xludf.DUMMYFUNCTION("""COMPUTED_VALUE"""),0.0)</f>
        <v>0</v>
      </c>
      <c r="S331" s="26">
        <f>IFERROR(__xludf.DUMMYFUNCTION("""COMPUTED_VALUE"""),0.0)</f>
        <v>0</v>
      </c>
      <c r="T331" s="26">
        <f>IFERROR(__xludf.DUMMYFUNCTION("""COMPUTED_VALUE"""),0.0)</f>
        <v>0</v>
      </c>
      <c r="U331" s="26">
        <f>IFERROR(__xludf.DUMMYFUNCTION("""COMPUTED_VALUE"""),0.0)</f>
        <v>0</v>
      </c>
      <c r="V331" s="26">
        <f>IFERROR(__xludf.DUMMYFUNCTION("""COMPUTED_VALUE"""),0.0)</f>
        <v>0</v>
      </c>
      <c r="W331" s="26">
        <f>IFERROR(__xludf.DUMMYFUNCTION("""COMPUTED_VALUE"""),0.0)</f>
        <v>0</v>
      </c>
      <c r="X331" s="26">
        <f>IFERROR(__xludf.DUMMYFUNCTION("""COMPUTED_VALUE"""),0.0)</f>
        <v>0</v>
      </c>
      <c r="Y331" s="26">
        <f>IFERROR(__xludf.DUMMYFUNCTION("""COMPUTED_VALUE"""),0.0)</f>
        <v>0</v>
      </c>
      <c r="Z331" s="26">
        <f>IFERROR(__xludf.DUMMYFUNCTION("""COMPUTED_VALUE"""),0.0)</f>
        <v>0</v>
      </c>
      <c r="AA331" s="26">
        <f>IFERROR(__xludf.DUMMYFUNCTION("""COMPUTED_VALUE"""),0.0)</f>
        <v>0</v>
      </c>
      <c r="AB331" s="26">
        <f>IFERROR(__xludf.DUMMYFUNCTION("""COMPUTED_VALUE"""),0.0)</f>
        <v>0</v>
      </c>
      <c r="AC331" s="26">
        <f>IFERROR(__xludf.DUMMYFUNCTION("""COMPUTED_VALUE"""),0.0)</f>
        <v>0</v>
      </c>
      <c r="AD331" s="26">
        <f>IFERROR(__xludf.DUMMYFUNCTION("""COMPUTED_VALUE"""),0.0)</f>
        <v>0</v>
      </c>
      <c r="AE331" s="26">
        <f>IFERROR(__xludf.DUMMYFUNCTION("""COMPUTED_VALUE"""),0.0)</f>
        <v>0</v>
      </c>
    </row>
    <row r="332">
      <c r="A332" s="26">
        <f>IFERROR(__xludf.DUMMYFUNCTION("""COMPUTED_VALUE"""),0.0)</f>
        <v>0</v>
      </c>
      <c r="B332" s="26">
        <f>IFERROR(__xludf.DUMMYFUNCTION("""COMPUTED_VALUE"""),0.0)</f>
        <v>0</v>
      </c>
      <c r="C332" s="26">
        <f>IFERROR(__xludf.DUMMYFUNCTION("""COMPUTED_VALUE"""),0.0)</f>
        <v>0</v>
      </c>
      <c r="D332" s="26">
        <f>IFERROR(__xludf.DUMMYFUNCTION("""COMPUTED_VALUE"""),0.0)</f>
        <v>0</v>
      </c>
      <c r="E332" s="26">
        <f>IFERROR(__xludf.DUMMYFUNCTION("""COMPUTED_VALUE"""),0.0)</f>
        <v>0</v>
      </c>
      <c r="F332" s="26">
        <f>IFERROR(__xludf.DUMMYFUNCTION("""COMPUTED_VALUE"""),0.0)</f>
        <v>0</v>
      </c>
      <c r="G332" s="26">
        <f>IFERROR(__xludf.DUMMYFUNCTION("""COMPUTED_VALUE"""),0.0)</f>
        <v>0</v>
      </c>
      <c r="H332" s="26">
        <f>IFERROR(__xludf.DUMMYFUNCTION("""COMPUTED_VALUE"""),0.0)</f>
        <v>0</v>
      </c>
      <c r="I332" s="26">
        <f>IFERROR(__xludf.DUMMYFUNCTION("""COMPUTED_VALUE"""),0.0)</f>
        <v>0</v>
      </c>
      <c r="J332" s="26">
        <f>IFERROR(__xludf.DUMMYFUNCTION("""COMPUTED_VALUE"""),0.0)</f>
        <v>0</v>
      </c>
      <c r="K332" s="26">
        <f>IFERROR(__xludf.DUMMYFUNCTION("""COMPUTED_VALUE"""),0.0)</f>
        <v>0</v>
      </c>
      <c r="L332" s="26">
        <f>IFERROR(__xludf.DUMMYFUNCTION("""COMPUTED_VALUE"""),0.0)</f>
        <v>0</v>
      </c>
      <c r="M332" s="26"/>
      <c r="N332" s="26"/>
      <c r="O332" s="26"/>
      <c r="P332" s="26"/>
      <c r="Q332" s="26"/>
      <c r="R332" s="26">
        <f>IFERROR(__xludf.DUMMYFUNCTION("""COMPUTED_VALUE"""),0.0)</f>
        <v>0</v>
      </c>
      <c r="S332" s="26">
        <f>IFERROR(__xludf.DUMMYFUNCTION("""COMPUTED_VALUE"""),0.0)</f>
        <v>0</v>
      </c>
      <c r="T332" s="26">
        <f>IFERROR(__xludf.DUMMYFUNCTION("""COMPUTED_VALUE"""),0.0)</f>
        <v>0</v>
      </c>
      <c r="U332" s="26">
        <f>IFERROR(__xludf.DUMMYFUNCTION("""COMPUTED_VALUE"""),0.0)</f>
        <v>0</v>
      </c>
      <c r="V332" s="26">
        <f>IFERROR(__xludf.DUMMYFUNCTION("""COMPUTED_VALUE"""),0.0)</f>
        <v>0</v>
      </c>
      <c r="W332" s="26">
        <f>IFERROR(__xludf.DUMMYFUNCTION("""COMPUTED_VALUE"""),0.0)</f>
        <v>0</v>
      </c>
      <c r="X332" s="26">
        <f>IFERROR(__xludf.DUMMYFUNCTION("""COMPUTED_VALUE"""),0.0)</f>
        <v>0</v>
      </c>
      <c r="Y332" s="26">
        <f>IFERROR(__xludf.DUMMYFUNCTION("""COMPUTED_VALUE"""),0.0)</f>
        <v>0</v>
      </c>
      <c r="Z332" s="26">
        <f>IFERROR(__xludf.DUMMYFUNCTION("""COMPUTED_VALUE"""),0.0)</f>
        <v>0</v>
      </c>
      <c r="AA332" s="26">
        <f>IFERROR(__xludf.DUMMYFUNCTION("""COMPUTED_VALUE"""),0.0)</f>
        <v>0</v>
      </c>
      <c r="AB332" s="26">
        <f>IFERROR(__xludf.DUMMYFUNCTION("""COMPUTED_VALUE"""),0.0)</f>
        <v>0</v>
      </c>
      <c r="AC332" s="26">
        <f>IFERROR(__xludf.DUMMYFUNCTION("""COMPUTED_VALUE"""),0.0)</f>
        <v>0</v>
      </c>
      <c r="AD332" s="26">
        <f>IFERROR(__xludf.DUMMYFUNCTION("""COMPUTED_VALUE"""),0.0)</f>
        <v>0</v>
      </c>
      <c r="AE332" s="26">
        <f>IFERROR(__xludf.DUMMYFUNCTION("""COMPUTED_VALUE"""),0.0)</f>
        <v>0</v>
      </c>
    </row>
    <row r="333">
      <c r="A333" s="26">
        <f>IFERROR(__xludf.DUMMYFUNCTION("""COMPUTED_VALUE"""),1.0)</f>
        <v>1</v>
      </c>
      <c r="B333" s="26">
        <f>IFERROR(__xludf.DUMMYFUNCTION("""COMPUTED_VALUE"""),0.0)</f>
        <v>0</v>
      </c>
      <c r="C333" s="26">
        <f>IFERROR(__xludf.DUMMYFUNCTION("""COMPUTED_VALUE"""),0.0)</f>
        <v>0</v>
      </c>
      <c r="D333" s="26">
        <f>IFERROR(__xludf.DUMMYFUNCTION("""COMPUTED_VALUE"""),0.0)</f>
        <v>0</v>
      </c>
      <c r="E333" s="26">
        <f>IFERROR(__xludf.DUMMYFUNCTION("""COMPUTED_VALUE"""),0.0)</f>
        <v>0</v>
      </c>
      <c r="F333" s="26">
        <f>IFERROR(__xludf.DUMMYFUNCTION("""COMPUTED_VALUE"""),0.0)</f>
        <v>0</v>
      </c>
      <c r="G333" s="26">
        <f>IFERROR(__xludf.DUMMYFUNCTION("""COMPUTED_VALUE"""),0.0)</f>
        <v>0</v>
      </c>
      <c r="H333" s="26">
        <f>IFERROR(__xludf.DUMMYFUNCTION("""COMPUTED_VALUE"""),0.0)</f>
        <v>0</v>
      </c>
      <c r="I333" s="26">
        <f>IFERROR(__xludf.DUMMYFUNCTION("""COMPUTED_VALUE"""),0.0)</f>
        <v>0</v>
      </c>
      <c r="J333" s="26">
        <f>IFERROR(__xludf.DUMMYFUNCTION("""COMPUTED_VALUE"""),0.0)</f>
        <v>0</v>
      </c>
      <c r="K333" s="26">
        <f>IFERROR(__xludf.DUMMYFUNCTION("""COMPUTED_VALUE"""),0.0)</f>
        <v>0</v>
      </c>
      <c r="L333" s="26">
        <f>IFERROR(__xludf.DUMMYFUNCTION("""COMPUTED_VALUE"""),0.0)</f>
        <v>0</v>
      </c>
      <c r="M333" s="26"/>
      <c r="N333" s="26"/>
      <c r="O333" s="26"/>
      <c r="P333" s="26"/>
      <c r="Q333" s="26"/>
      <c r="R333" s="26">
        <f>IFERROR(__xludf.DUMMYFUNCTION("""COMPUTED_VALUE"""),1.0)</f>
        <v>1</v>
      </c>
      <c r="S333" s="26">
        <f>IFERROR(__xludf.DUMMYFUNCTION("""COMPUTED_VALUE"""),390.0)</f>
        <v>390</v>
      </c>
      <c r="T333" s="26">
        <f>IFERROR(__xludf.DUMMYFUNCTION("""COMPUTED_VALUE"""),170.0)</f>
        <v>170</v>
      </c>
      <c r="U333" s="26">
        <f>IFERROR(__xludf.DUMMYFUNCTION("""COMPUTED_VALUE"""),229.49)</f>
        <v>229.49</v>
      </c>
      <c r="V333" s="26">
        <f>IFERROR(__xludf.DUMMYFUNCTION("""COMPUTED_VALUE"""),0.0)</f>
        <v>0</v>
      </c>
      <c r="W333" s="26">
        <f>IFERROR(__xludf.DUMMYFUNCTION("""COMPUTED_VALUE"""),0.0)</f>
        <v>0</v>
      </c>
      <c r="X333" s="26">
        <f>IFERROR(__xludf.DUMMYFUNCTION("""COMPUTED_VALUE"""),59.49)</f>
        <v>59.49</v>
      </c>
      <c r="Y333" s="26">
        <f>IFERROR(__xludf.DUMMYFUNCTION("""COMPUTED_VALUE"""),59.49)</f>
        <v>59.49</v>
      </c>
      <c r="Z333" s="26">
        <f>IFERROR(__xludf.DUMMYFUNCTION("""COMPUTED_VALUE"""),390.0)</f>
        <v>390</v>
      </c>
      <c r="AA333" s="26">
        <f>IFERROR(__xludf.DUMMYFUNCTION("""COMPUTED_VALUE"""),237.52)</f>
        <v>237.52</v>
      </c>
      <c r="AB333" s="26">
        <f>IFERROR(__xludf.DUMMYFUNCTION("""COMPUTED_VALUE"""),160.51)</f>
        <v>160.51</v>
      </c>
      <c r="AC333" s="26">
        <f>IFERROR(__xludf.DUMMYFUNCTION("""COMPUTED_VALUE"""),0.0)</f>
        <v>0</v>
      </c>
      <c r="AD333" s="26">
        <f>IFERROR(__xludf.DUMMYFUNCTION("""COMPUTED_VALUE"""),8.03)</f>
        <v>8.03</v>
      </c>
      <c r="AE333" s="26">
        <f>IFERROR(__xludf.DUMMYFUNCTION("""COMPUTED_VALUE"""),152.48)</f>
        <v>152.48</v>
      </c>
    </row>
    <row r="334">
      <c r="A334" s="26">
        <f>IFERROR(__xludf.DUMMYFUNCTION("""COMPUTED_VALUE"""),1.0)</f>
        <v>1</v>
      </c>
      <c r="B334" s="26">
        <f>IFERROR(__xludf.DUMMYFUNCTION("""COMPUTED_VALUE"""),0.0)</f>
        <v>0</v>
      </c>
      <c r="C334" s="26">
        <f>IFERROR(__xludf.DUMMYFUNCTION("""COMPUTED_VALUE"""),0.0)</f>
        <v>0</v>
      </c>
      <c r="D334" s="26">
        <f>IFERROR(__xludf.DUMMYFUNCTION("""COMPUTED_VALUE"""),0.0)</f>
        <v>0</v>
      </c>
      <c r="E334" s="26">
        <f>IFERROR(__xludf.DUMMYFUNCTION("""COMPUTED_VALUE"""),0.0)</f>
        <v>0</v>
      </c>
      <c r="F334" s="26">
        <f>IFERROR(__xludf.DUMMYFUNCTION("""COMPUTED_VALUE"""),0.0)</f>
        <v>0</v>
      </c>
      <c r="G334" s="26">
        <f>IFERROR(__xludf.DUMMYFUNCTION("""COMPUTED_VALUE"""),0.0)</f>
        <v>0</v>
      </c>
      <c r="H334" s="26">
        <f>IFERROR(__xludf.DUMMYFUNCTION("""COMPUTED_VALUE"""),0.0)</f>
        <v>0</v>
      </c>
      <c r="I334" s="26">
        <f>IFERROR(__xludf.DUMMYFUNCTION("""COMPUTED_VALUE"""),0.0)</f>
        <v>0</v>
      </c>
      <c r="J334" s="26">
        <f>IFERROR(__xludf.DUMMYFUNCTION("""COMPUTED_VALUE"""),0.0)</f>
        <v>0</v>
      </c>
      <c r="K334" s="26">
        <f>IFERROR(__xludf.DUMMYFUNCTION("""COMPUTED_VALUE"""),0.0)</f>
        <v>0</v>
      </c>
      <c r="L334" s="26">
        <f>IFERROR(__xludf.DUMMYFUNCTION("""COMPUTED_VALUE"""),0.0)</f>
        <v>0</v>
      </c>
      <c r="M334" s="26"/>
      <c r="N334" s="26"/>
      <c r="O334" s="26"/>
      <c r="P334" s="26"/>
      <c r="Q334" s="26"/>
      <c r="R334" s="26">
        <f>IFERROR(__xludf.DUMMYFUNCTION("""COMPUTED_VALUE"""),1.0)</f>
        <v>1</v>
      </c>
      <c r="S334" s="26">
        <f>IFERROR(__xludf.DUMMYFUNCTION("""COMPUTED_VALUE"""),442.0)</f>
        <v>442</v>
      </c>
      <c r="T334" s="26">
        <f>IFERROR(__xludf.DUMMYFUNCTION("""COMPUTED_VALUE"""),175.0)</f>
        <v>175</v>
      </c>
      <c r="U334" s="26">
        <f>IFERROR(__xludf.DUMMYFUNCTION("""COMPUTED_VALUE"""),242.42000000000002)</f>
        <v>242.42</v>
      </c>
      <c r="V334" s="26">
        <f>IFERROR(__xludf.DUMMYFUNCTION("""COMPUTED_VALUE"""),0.0)</f>
        <v>0</v>
      </c>
      <c r="W334" s="26">
        <f>IFERROR(__xludf.DUMMYFUNCTION("""COMPUTED_VALUE"""),0.0)</f>
        <v>0</v>
      </c>
      <c r="X334" s="26">
        <f>IFERROR(__xludf.DUMMYFUNCTION("""COMPUTED_VALUE"""),67.42)</f>
        <v>67.42</v>
      </c>
      <c r="Y334" s="26">
        <f>IFERROR(__xludf.DUMMYFUNCTION("""COMPUTED_VALUE"""),67.42)</f>
        <v>67.42</v>
      </c>
      <c r="Z334" s="26">
        <f>IFERROR(__xludf.DUMMYFUNCTION("""COMPUTED_VALUE"""),252.4)</f>
        <v>252.4</v>
      </c>
      <c r="AA334" s="26">
        <f>IFERROR(__xludf.DUMMYFUNCTION("""COMPUTED_VALUE"""),252.4)</f>
        <v>252.4</v>
      </c>
      <c r="AB334" s="26">
        <f>IFERROR(__xludf.DUMMYFUNCTION("""COMPUTED_VALUE"""),199.58)</f>
        <v>199.58</v>
      </c>
      <c r="AC334" s="26">
        <f>IFERROR(__xludf.DUMMYFUNCTION("""COMPUTED_VALUE"""),189.6)</f>
        <v>189.6</v>
      </c>
      <c r="AD334" s="26">
        <f>IFERROR(__xludf.DUMMYFUNCTION("""COMPUTED_VALUE"""),9.98)</f>
        <v>9.98</v>
      </c>
      <c r="AE334" s="26">
        <f>IFERROR(__xludf.DUMMYFUNCTION("""COMPUTED_VALUE"""),0.0)</f>
        <v>0</v>
      </c>
    </row>
    <row r="335">
      <c r="A335" s="26">
        <f>IFERROR(__xludf.DUMMYFUNCTION("""COMPUTED_VALUE"""),84.0)</f>
        <v>84</v>
      </c>
      <c r="B335" s="26">
        <f>IFERROR(__xludf.DUMMYFUNCTION("""COMPUTED_VALUE"""),0.0)</f>
        <v>0</v>
      </c>
      <c r="C335" s="26">
        <f>IFERROR(__xludf.DUMMYFUNCTION("""COMPUTED_VALUE"""),0.0)</f>
        <v>0</v>
      </c>
      <c r="D335" s="26">
        <f>IFERROR(__xludf.DUMMYFUNCTION("""COMPUTED_VALUE"""),0.0)</f>
        <v>0</v>
      </c>
      <c r="E335" s="26">
        <f>IFERROR(__xludf.DUMMYFUNCTION("""COMPUTED_VALUE"""),0.0)</f>
        <v>0</v>
      </c>
      <c r="F335" s="26">
        <f>IFERROR(__xludf.DUMMYFUNCTION("""COMPUTED_VALUE"""),0.0)</f>
        <v>0</v>
      </c>
      <c r="G335" s="26">
        <f>IFERROR(__xludf.DUMMYFUNCTION("""COMPUTED_VALUE"""),0.0)</f>
        <v>0</v>
      </c>
      <c r="H335" s="26">
        <f>IFERROR(__xludf.DUMMYFUNCTION("""COMPUTED_VALUE"""),0.0)</f>
        <v>0</v>
      </c>
      <c r="I335" s="26">
        <f>IFERROR(__xludf.DUMMYFUNCTION("""COMPUTED_VALUE"""),0.0)</f>
        <v>0</v>
      </c>
      <c r="J335" s="26">
        <f>IFERROR(__xludf.DUMMYFUNCTION("""COMPUTED_VALUE"""),0.0)</f>
        <v>0</v>
      </c>
      <c r="K335" s="26">
        <f>IFERROR(__xludf.DUMMYFUNCTION("""COMPUTED_VALUE"""),0.0)</f>
        <v>0</v>
      </c>
      <c r="L335" s="26">
        <f>IFERROR(__xludf.DUMMYFUNCTION("""COMPUTED_VALUE"""),0.0)</f>
        <v>0</v>
      </c>
      <c r="M335" s="26"/>
      <c r="N335" s="26"/>
      <c r="O335" s="26"/>
      <c r="P335" s="26"/>
      <c r="Q335" s="26"/>
      <c r="R335" s="26">
        <f>IFERROR(__xludf.DUMMYFUNCTION("""COMPUTED_VALUE"""),84.0)</f>
        <v>84</v>
      </c>
      <c r="S335" s="26">
        <f>IFERROR(__xludf.DUMMYFUNCTION("""COMPUTED_VALUE"""),32760.0)</f>
        <v>32760</v>
      </c>
      <c r="T335" s="26">
        <f>IFERROR(__xludf.DUMMYFUNCTION("""COMPUTED_VALUE"""),13440.0)</f>
        <v>13440</v>
      </c>
      <c r="U335" s="26">
        <f>IFERROR(__xludf.DUMMYFUNCTION("""COMPUTED_VALUE"""),18437.15999999999)</f>
        <v>18437.16</v>
      </c>
      <c r="V335" s="26">
        <f>IFERROR(__xludf.DUMMYFUNCTION("""COMPUTED_VALUE"""),0.0)</f>
        <v>0</v>
      </c>
      <c r="W335" s="26">
        <f>IFERROR(__xludf.DUMMYFUNCTION("""COMPUTED_VALUE"""),0.0)</f>
        <v>0</v>
      </c>
      <c r="X335" s="26">
        <f>IFERROR(__xludf.DUMMYFUNCTION("""COMPUTED_VALUE"""),4997.15999999999)</f>
        <v>4997.16</v>
      </c>
      <c r="Y335" s="26">
        <f>IFERROR(__xludf.DUMMYFUNCTION("""COMPUTED_VALUE"""),4997.15999999999)</f>
        <v>4997.16</v>
      </c>
      <c r="Z335" s="26">
        <f>IFERROR(__xludf.DUMMYFUNCTION("""COMPUTED_VALUE"""),32760.0)</f>
        <v>32760</v>
      </c>
      <c r="AA335" s="26">
        <f>IFERROR(__xludf.DUMMYFUNCTION("""COMPUTED_VALUE"""),19153.68000000003)</f>
        <v>19153.68</v>
      </c>
      <c r="AB335" s="26">
        <f>IFERROR(__xludf.DUMMYFUNCTION("""COMPUTED_VALUE"""),14322.840000000015)</f>
        <v>14322.84</v>
      </c>
      <c r="AC335" s="26">
        <f>IFERROR(__xludf.DUMMYFUNCTION("""COMPUTED_VALUE"""),0.0)</f>
        <v>0</v>
      </c>
      <c r="AD335" s="26">
        <f>IFERROR(__xludf.DUMMYFUNCTION("""COMPUTED_VALUE"""),716.5199999999986)</f>
        <v>716.52</v>
      </c>
      <c r="AE335" s="26">
        <f>IFERROR(__xludf.DUMMYFUNCTION("""COMPUTED_VALUE"""),13606.319999999974)</f>
        <v>13606.32</v>
      </c>
    </row>
    <row r="336">
      <c r="A336" s="26">
        <f>IFERROR(__xludf.DUMMYFUNCTION("""COMPUTED_VALUE"""),77.0)</f>
        <v>77</v>
      </c>
      <c r="B336" s="26">
        <f>IFERROR(__xludf.DUMMYFUNCTION("""COMPUTED_VALUE"""),0.0)</f>
        <v>0</v>
      </c>
      <c r="C336" s="26">
        <f>IFERROR(__xludf.DUMMYFUNCTION("""COMPUTED_VALUE"""),0.0)</f>
        <v>0</v>
      </c>
      <c r="D336" s="26">
        <f>IFERROR(__xludf.DUMMYFUNCTION("""COMPUTED_VALUE"""),0.0)</f>
        <v>0</v>
      </c>
      <c r="E336" s="26">
        <f>IFERROR(__xludf.DUMMYFUNCTION("""COMPUTED_VALUE"""),0.0)</f>
        <v>0</v>
      </c>
      <c r="F336" s="26">
        <f>IFERROR(__xludf.DUMMYFUNCTION("""COMPUTED_VALUE"""),0.0)</f>
        <v>0</v>
      </c>
      <c r="G336" s="26">
        <f>IFERROR(__xludf.DUMMYFUNCTION("""COMPUTED_VALUE"""),0.0)</f>
        <v>0</v>
      </c>
      <c r="H336" s="26">
        <f>IFERROR(__xludf.DUMMYFUNCTION("""COMPUTED_VALUE"""),0.0)</f>
        <v>0</v>
      </c>
      <c r="I336" s="26">
        <f>IFERROR(__xludf.DUMMYFUNCTION("""COMPUTED_VALUE"""),0.0)</f>
        <v>0</v>
      </c>
      <c r="J336" s="26">
        <f>IFERROR(__xludf.DUMMYFUNCTION("""COMPUTED_VALUE"""),0.0)</f>
        <v>0</v>
      </c>
      <c r="K336" s="26">
        <f>IFERROR(__xludf.DUMMYFUNCTION("""COMPUTED_VALUE"""),0.0)</f>
        <v>0</v>
      </c>
      <c r="L336" s="26">
        <f>IFERROR(__xludf.DUMMYFUNCTION("""COMPUTED_VALUE"""),0.0)</f>
        <v>0</v>
      </c>
      <c r="M336" s="26"/>
      <c r="N336" s="26"/>
      <c r="O336" s="26"/>
      <c r="P336" s="26"/>
      <c r="Q336" s="26"/>
      <c r="R336" s="26">
        <f>IFERROR(__xludf.DUMMYFUNCTION("""COMPUTED_VALUE"""),77.0)</f>
        <v>77</v>
      </c>
      <c r="S336" s="26">
        <f>IFERROR(__xludf.DUMMYFUNCTION("""COMPUTED_VALUE"""),34034.0)</f>
        <v>34034</v>
      </c>
      <c r="T336" s="26">
        <f>IFERROR(__xludf.DUMMYFUNCTION("""COMPUTED_VALUE"""),14245.0)</f>
        <v>14245</v>
      </c>
      <c r="U336" s="26">
        <f>IFERROR(__xludf.DUMMYFUNCTION("""COMPUTED_VALUE"""),19436.340000000004)</f>
        <v>19436.34</v>
      </c>
      <c r="V336" s="26">
        <f>IFERROR(__xludf.DUMMYFUNCTION("""COMPUTED_VALUE"""),0.0)</f>
        <v>0</v>
      </c>
      <c r="W336" s="26">
        <f>IFERROR(__xludf.DUMMYFUNCTION("""COMPUTED_VALUE"""),0.0)</f>
        <v>0</v>
      </c>
      <c r="X336" s="26">
        <f>IFERROR(__xludf.DUMMYFUNCTION("""COMPUTED_VALUE"""),5191.340000000004)</f>
        <v>5191.34</v>
      </c>
      <c r="Y336" s="26">
        <f>IFERROR(__xludf.DUMMYFUNCTION("""COMPUTED_VALUE"""),5191.340000000004)</f>
        <v>5191.34</v>
      </c>
      <c r="Z336" s="26">
        <f>IFERROR(__xludf.DUMMYFUNCTION("""COMPUTED_VALUE"""),20166.300000000007)</f>
        <v>20166.3</v>
      </c>
      <c r="AA336" s="26">
        <f>IFERROR(__xludf.DUMMYFUNCTION("""COMPUTED_VALUE"""),20166.300000000007)</f>
        <v>20166.3</v>
      </c>
      <c r="AB336" s="26">
        <f>IFERROR(__xludf.DUMMYFUNCTION("""COMPUTED_VALUE"""),14597.659999999996)</f>
        <v>14597.66</v>
      </c>
      <c r="AC336" s="26">
        <f>IFERROR(__xludf.DUMMYFUNCTION("""COMPUTED_VALUE"""),13867.700000000017)</f>
        <v>13867.7</v>
      </c>
      <c r="AD336" s="26">
        <f>IFERROR(__xludf.DUMMYFUNCTION("""COMPUTED_VALUE"""),729.9600000000007)</f>
        <v>729.96</v>
      </c>
      <c r="AE336" s="26">
        <f>IFERROR(__xludf.DUMMYFUNCTION("""COMPUTED_VALUE"""),0.0)</f>
        <v>0</v>
      </c>
    </row>
    <row r="337">
      <c r="A337" s="26">
        <f>IFERROR(__xludf.DUMMYFUNCTION("""COMPUTED_VALUE"""),5.0)</f>
        <v>5</v>
      </c>
      <c r="B337" s="26">
        <f>IFERROR(__xludf.DUMMYFUNCTION("""COMPUTED_VALUE"""),0.0)</f>
        <v>0</v>
      </c>
      <c r="C337" s="26">
        <f>IFERROR(__xludf.DUMMYFUNCTION("""COMPUTED_VALUE"""),0.0)</f>
        <v>0</v>
      </c>
      <c r="D337" s="26">
        <f>IFERROR(__xludf.DUMMYFUNCTION("""COMPUTED_VALUE"""),0.0)</f>
        <v>0</v>
      </c>
      <c r="E337" s="26">
        <f>IFERROR(__xludf.DUMMYFUNCTION("""COMPUTED_VALUE"""),0.0)</f>
        <v>0</v>
      </c>
      <c r="F337" s="26">
        <f>IFERROR(__xludf.DUMMYFUNCTION("""COMPUTED_VALUE"""),0.0)</f>
        <v>0</v>
      </c>
      <c r="G337" s="26">
        <f>IFERROR(__xludf.DUMMYFUNCTION("""COMPUTED_VALUE"""),0.0)</f>
        <v>0</v>
      </c>
      <c r="H337" s="26">
        <f>IFERROR(__xludf.DUMMYFUNCTION("""COMPUTED_VALUE"""),0.0)</f>
        <v>0</v>
      </c>
      <c r="I337" s="26">
        <f>IFERROR(__xludf.DUMMYFUNCTION("""COMPUTED_VALUE"""),0.0)</f>
        <v>0</v>
      </c>
      <c r="J337" s="26">
        <f>IFERROR(__xludf.DUMMYFUNCTION("""COMPUTED_VALUE"""),0.0)</f>
        <v>0</v>
      </c>
      <c r="K337" s="26">
        <f>IFERROR(__xludf.DUMMYFUNCTION("""COMPUTED_VALUE"""),0.0)</f>
        <v>0</v>
      </c>
      <c r="L337" s="26">
        <f>IFERROR(__xludf.DUMMYFUNCTION("""COMPUTED_VALUE"""),0.0)</f>
        <v>0</v>
      </c>
      <c r="M337" s="26"/>
      <c r="N337" s="26"/>
      <c r="O337" s="26"/>
      <c r="P337" s="26"/>
      <c r="Q337" s="26"/>
      <c r="R337" s="26">
        <f>IFERROR(__xludf.DUMMYFUNCTION("""COMPUTED_VALUE"""),5.0)</f>
        <v>5</v>
      </c>
      <c r="S337" s="26">
        <f>IFERROR(__xludf.DUMMYFUNCTION("""COMPUTED_VALUE"""),2210.0)</f>
        <v>2210</v>
      </c>
      <c r="T337" s="26">
        <f>IFERROR(__xludf.DUMMYFUNCTION("""COMPUTED_VALUE"""),875.0)</f>
        <v>875</v>
      </c>
      <c r="U337" s="26">
        <f>IFERROR(__xludf.DUMMYFUNCTION("""COMPUTED_VALUE"""),1212.1)</f>
        <v>1212.1</v>
      </c>
      <c r="V337" s="26">
        <f>IFERROR(__xludf.DUMMYFUNCTION("""COMPUTED_VALUE"""),0.0)</f>
        <v>0</v>
      </c>
      <c r="W337" s="26">
        <f>IFERROR(__xludf.DUMMYFUNCTION("""COMPUTED_VALUE"""),0.0)</f>
        <v>0</v>
      </c>
      <c r="X337" s="26">
        <f>IFERROR(__xludf.DUMMYFUNCTION("""COMPUTED_VALUE"""),337.1)</f>
        <v>337.1</v>
      </c>
      <c r="Y337" s="26">
        <f>IFERROR(__xludf.DUMMYFUNCTION("""COMPUTED_VALUE"""),337.1)</f>
        <v>337.1</v>
      </c>
      <c r="Z337" s="26">
        <f>IFERROR(__xludf.DUMMYFUNCTION("""COMPUTED_VALUE"""),0.0)</f>
        <v>0</v>
      </c>
      <c r="AA337" s="26">
        <f>IFERROR(__xludf.DUMMYFUNCTION("""COMPUTED_VALUE"""),0.0)</f>
        <v>0</v>
      </c>
      <c r="AB337" s="26">
        <f>IFERROR(__xludf.DUMMYFUNCTION("""COMPUTED_VALUE"""),0.0)</f>
        <v>0</v>
      </c>
      <c r="AC337" s="26">
        <f>IFERROR(__xludf.DUMMYFUNCTION("""COMPUTED_VALUE"""),0.0)</f>
        <v>0</v>
      </c>
      <c r="AD337" s="26">
        <f>IFERROR(__xludf.DUMMYFUNCTION("""COMPUTED_VALUE"""),0.0)</f>
        <v>0</v>
      </c>
      <c r="AE337" s="26">
        <f>IFERROR(__xludf.DUMMYFUNCTION("""COMPUTED_VALUE"""),0.0)</f>
        <v>0</v>
      </c>
    </row>
    <row r="338">
      <c r="A338" s="26">
        <f>IFERROR(__xludf.DUMMYFUNCTION("""COMPUTED_VALUE"""),12.0)</f>
        <v>12</v>
      </c>
      <c r="B338" s="26">
        <f>IFERROR(__xludf.DUMMYFUNCTION("""COMPUTED_VALUE"""),0.0)</f>
        <v>0</v>
      </c>
      <c r="C338" s="26">
        <f>IFERROR(__xludf.DUMMYFUNCTION("""COMPUTED_VALUE"""),0.0)</f>
        <v>0</v>
      </c>
      <c r="D338" s="26">
        <f>IFERROR(__xludf.DUMMYFUNCTION("""COMPUTED_VALUE"""),0.0)</f>
        <v>0</v>
      </c>
      <c r="E338" s="26">
        <f>IFERROR(__xludf.DUMMYFUNCTION("""COMPUTED_VALUE"""),0.0)</f>
        <v>0</v>
      </c>
      <c r="F338" s="26">
        <f>IFERROR(__xludf.DUMMYFUNCTION("""COMPUTED_VALUE"""),0.0)</f>
        <v>0</v>
      </c>
      <c r="G338" s="26">
        <f>IFERROR(__xludf.DUMMYFUNCTION("""COMPUTED_VALUE"""),0.0)</f>
        <v>0</v>
      </c>
      <c r="H338" s="26">
        <f>IFERROR(__xludf.DUMMYFUNCTION("""COMPUTED_VALUE"""),0.0)</f>
        <v>0</v>
      </c>
      <c r="I338" s="26">
        <f>IFERROR(__xludf.DUMMYFUNCTION("""COMPUTED_VALUE"""),0.0)</f>
        <v>0</v>
      </c>
      <c r="J338" s="26">
        <f>IFERROR(__xludf.DUMMYFUNCTION("""COMPUTED_VALUE"""),0.0)</f>
        <v>0</v>
      </c>
      <c r="K338" s="26">
        <f>IFERROR(__xludf.DUMMYFUNCTION("""COMPUTED_VALUE"""),0.0)</f>
        <v>0</v>
      </c>
      <c r="L338" s="26">
        <f>IFERROR(__xludf.DUMMYFUNCTION("""COMPUTED_VALUE"""),0.0)</f>
        <v>0</v>
      </c>
      <c r="M338" s="26"/>
      <c r="N338" s="26"/>
      <c r="O338" s="26"/>
      <c r="P338" s="26"/>
      <c r="Q338" s="26"/>
      <c r="R338" s="26">
        <f>IFERROR(__xludf.DUMMYFUNCTION("""COMPUTED_VALUE"""),12.0)</f>
        <v>12</v>
      </c>
      <c r="S338" s="26">
        <f>IFERROR(__xludf.DUMMYFUNCTION("""COMPUTED_VALUE"""),5304.0)</f>
        <v>5304</v>
      </c>
      <c r="T338" s="26">
        <f>IFERROR(__xludf.DUMMYFUNCTION("""COMPUTED_VALUE"""),2220.0)</f>
        <v>2220</v>
      </c>
      <c r="U338" s="26">
        <f>IFERROR(__xludf.DUMMYFUNCTION("""COMPUTED_VALUE"""),3029.04)</f>
        <v>3029.04</v>
      </c>
      <c r="V338" s="26">
        <f>IFERROR(__xludf.DUMMYFUNCTION("""COMPUTED_VALUE"""),0.0)</f>
        <v>0</v>
      </c>
      <c r="W338" s="26">
        <f>IFERROR(__xludf.DUMMYFUNCTION("""COMPUTED_VALUE"""),0.0)</f>
        <v>0</v>
      </c>
      <c r="X338" s="26">
        <f>IFERROR(__xludf.DUMMYFUNCTION("""COMPUTED_VALUE"""),809.0399999999998)</f>
        <v>809.04</v>
      </c>
      <c r="Y338" s="26">
        <f>IFERROR(__xludf.DUMMYFUNCTION("""COMPUTED_VALUE"""),809.0399999999998)</f>
        <v>809.04</v>
      </c>
      <c r="Z338" s="26">
        <f>IFERROR(__xludf.DUMMYFUNCTION("""COMPUTED_VALUE"""),5304.0)</f>
        <v>5304</v>
      </c>
      <c r="AA338" s="26">
        <f>IFERROR(__xludf.DUMMYFUNCTION("""COMPUTED_VALUE"""),3142.8000000000006)</f>
        <v>3142.8</v>
      </c>
      <c r="AB338" s="26">
        <f>IFERROR(__xludf.DUMMYFUNCTION("""COMPUTED_VALUE"""),2274.9599999999996)</f>
        <v>2274.96</v>
      </c>
      <c r="AC338" s="26">
        <f>IFERROR(__xludf.DUMMYFUNCTION("""COMPUTED_VALUE"""),0.0)</f>
        <v>0</v>
      </c>
      <c r="AD338" s="26">
        <f>IFERROR(__xludf.DUMMYFUNCTION("""COMPUTED_VALUE"""),113.76000000000003)</f>
        <v>113.76</v>
      </c>
      <c r="AE338" s="26">
        <f>IFERROR(__xludf.DUMMYFUNCTION("""COMPUTED_VALUE"""),2161.1999999999994)</f>
        <v>2161.2</v>
      </c>
    </row>
    <row r="339">
      <c r="A339" s="26">
        <f>IFERROR(__xludf.DUMMYFUNCTION("""COMPUTED_VALUE"""),64.0)</f>
        <v>64</v>
      </c>
      <c r="B339" s="26">
        <f>IFERROR(__xludf.DUMMYFUNCTION("""COMPUTED_VALUE"""),0.0)</f>
        <v>0</v>
      </c>
      <c r="C339" s="26">
        <f>IFERROR(__xludf.DUMMYFUNCTION("""COMPUTED_VALUE"""),0.0)</f>
        <v>0</v>
      </c>
      <c r="D339" s="26">
        <f>IFERROR(__xludf.DUMMYFUNCTION("""COMPUTED_VALUE"""),0.0)</f>
        <v>0</v>
      </c>
      <c r="E339" s="26">
        <f>IFERROR(__xludf.DUMMYFUNCTION("""COMPUTED_VALUE"""),0.0)</f>
        <v>0</v>
      </c>
      <c r="F339" s="26">
        <f>IFERROR(__xludf.DUMMYFUNCTION("""COMPUTED_VALUE"""),0.0)</f>
        <v>0</v>
      </c>
      <c r="G339" s="26">
        <f>IFERROR(__xludf.DUMMYFUNCTION("""COMPUTED_VALUE"""),0.0)</f>
        <v>0</v>
      </c>
      <c r="H339" s="26">
        <f>IFERROR(__xludf.DUMMYFUNCTION("""COMPUTED_VALUE"""),0.0)</f>
        <v>0</v>
      </c>
      <c r="I339" s="26">
        <f>IFERROR(__xludf.DUMMYFUNCTION("""COMPUTED_VALUE"""),0.0)</f>
        <v>0</v>
      </c>
      <c r="J339" s="26">
        <f>IFERROR(__xludf.DUMMYFUNCTION("""COMPUTED_VALUE"""),0.0)</f>
        <v>0</v>
      </c>
      <c r="K339" s="26">
        <f>IFERROR(__xludf.DUMMYFUNCTION("""COMPUTED_VALUE"""),0.0)</f>
        <v>0</v>
      </c>
      <c r="L339" s="26">
        <f>IFERROR(__xludf.DUMMYFUNCTION("""COMPUTED_VALUE"""),0.0)</f>
        <v>0</v>
      </c>
      <c r="M339" s="26"/>
      <c r="N339" s="26"/>
      <c r="O339" s="26"/>
      <c r="P339" s="26"/>
      <c r="Q339" s="26"/>
      <c r="R339" s="26">
        <f>IFERROR(__xludf.DUMMYFUNCTION("""COMPUTED_VALUE"""),64.0)</f>
        <v>64</v>
      </c>
      <c r="S339" s="26">
        <f>IFERROR(__xludf.DUMMYFUNCTION("""COMPUTED_VALUE"""),28288.0)</f>
        <v>28288</v>
      </c>
      <c r="T339" s="26">
        <f>IFERROR(__xludf.DUMMYFUNCTION("""COMPUTED_VALUE"""),11200.0)</f>
        <v>11200</v>
      </c>
      <c r="U339" s="26">
        <f>IFERROR(__xludf.DUMMYFUNCTION("""COMPUTED_VALUE"""),15514.880000000003)</f>
        <v>15514.88</v>
      </c>
      <c r="V339" s="26">
        <f>IFERROR(__xludf.DUMMYFUNCTION("""COMPUTED_VALUE"""),0.0)</f>
        <v>0</v>
      </c>
      <c r="W339" s="26">
        <f>IFERROR(__xludf.DUMMYFUNCTION("""COMPUTED_VALUE"""),0.0)</f>
        <v>0</v>
      </c>
      <c r="X339" s="26">
        <f>IFERROR(__xludf.DUMMYFUNCTION("""COMPUTED_VALUE"""),4314.880000000003)</f>
        <v>4314.88</v>
      </c>
      <c r="Y339" s="26">
        <f>IFERROR(__xludf.DUMMYFUNCTION("""COMPUTED_VALUE"""),4314.880000000003)</f>
        <v>4314.88</v>
      </c>
      <c r="Z339" s="26">
        <f>IFERROR(__xludf.DUMMYFUNCTION("""COMPUTED_VALUE"""),46441.60000000016)</f>
        <v>46441.6</v>
      </c>
      <c r="AA339" s="26">
        <f>IFERROR(__xludf.DUMMYFUNCTION("""COMPUTED_VALUE"""),46441.60000000016)</f>
        <v>46441.6</v>
      </c>
      <c r="AB339" s="26">
        <f>IFERROR(__xludf.DUMMYFUNCTION("""COMPUTED_VALUE"""),36722.72000000017)</f>
        <v>36722.72</v>
      </c>
      <c r="AC339" s="26">
        <f>IFERROR(__xludf.DUMMYFUNCTION("""COMPUTED_VALUE"""),34886.399999999885)</f>
        <v>34886.4</v>
      </c>
      <c r="AD339" s="26">
        <f>IFERROR(__xludf.DUMMYFUNCTION("""COMPUTED_VALUE"""),1836.3200000000027)</f>
        <v>1836.32</v>
      </c>
      <c r="AE339" s="26">
        <f>IFERROR(__xludf.DUMMYFUNCTION("""COMPUTED_VALUE"""),0.0)</f>
        <v>0</v>
      </c>
    </row>
    <row r="340">
      <c r="A340" s="26">
        <f>IFERROR(__xludf.DUMMYFUNCTION("""COMPUTED_VALUE"""),31.0)</f>
        <v>31</v>
      </c>
      <c r="B340" s="26">
        <f>IFERROR(__xludf.DUMMYFUNCTION("""COMPUTED_VALUE"""),0.0)</f>
        <v>0</v>
      </c>
      <c r="C340" s="26">
        <f>IFERROR(__xludf.DUMMYFUNCTION("""COMPUTED_VALUE"""),0.0)</f>
        <v>0</v>
      </c>
      <c r="D340" s="26">
        <f>IFERROR(__xludf.DUMMYFUNCTION("""COMPUTED_VALUE"""),0.0)</f>
        <v>0</v>
      </c>
      <c r="E340" s="26">
        <f>IFERROR(__xludf.DUMMYFUNCTION("""COMPUTED_VALUE"""),0.0)</f>
        <v>0</v>
      </c>
      <c r="F340" s="26">
        <f>IFERROR(__xludf.DUMMYFUNCTION("""COMPUTED_VALUE"""),0.0)</f>
        <v>0</v>
      </c>
      <c r="G340" s="26">
        <f>IFERROR(__xludf.DUMMYFUNCTION("""COMPUTED_VALUE"""),0.0)</f>
        <v>0</v>
      </c>
      <c r="H340" s="26">
        <f>IFERROR(__xludf.DUMMYFUNCTION("""COMPUTED_VALUE"""),0.0)</f>
        <v>0</v>
      </c>
      <c r="I340" s="26">
        <f>IFERROR(__xludf.DUMMYFUNCTION("""COMPUTED_VALUE"""),0.0)</f>
        <v>0</v>
      </c>
      <c r="J340" s="26">
        <f>IFERROR(__xludf.DUMMYFUNCTION("""COMPUTED_VALUE"""),0.0)</f>
        <v>0</v>
      </c>
      <c r="K340" s="26">
        <f>IFERROR(__xludf.DUMMYFUNCTION("""COMPUTED_VALUE"""),0.0)</f>
        <v>0</v>
      </c>
      <c r="L340" s="26">
        <f>IFERROR(__xludf.DUMMYFUNCTION("""COMPUTED_VALUE"""),0.0)</f>
        <v>0</v>
      </c>
      <c r="M340" s="26"/>
      <c r="N340" s="26"/>
      <c r="O340" s="26"/>
      <c r="P340" s="26"/>
      <c r="Q340" s="26"/>
      <c r="R340" s="26">
        <f>IFERROR(__xludf.DUMMYFUNCTION("""COMPUTED_VALUE"""),31.0)</f>
        <v>31</v>
      </c>
      <c r="S340" s="26">
        <f>IFERROR(__xludf.DUMMYFUNCTION("""COMPUTED_VALUE"""),13702.0)</f>
        <v>13702</v>
      </c>
      <c r="T340" s="26">
        <f>IFERROR(__xludf.DUMMYFUNCTION("""COMPUTED_VALUE"""),5425.0)</f>
        <v>5425</v>
      </c>
      <c r="U340" s="26">
        <f>IFERROR(__xludf.DUMMYFUNCTION("""COMPUTED_VALUE"""),7515.02)</f>
        <v>7515.02</v>
      </c>
      <c r="V340" s="26">
        <f>IFERROR(__xludf.DUMMYFUNCTION("""COMPUTED_VALUE"""),0.0)</f>
        <v>0</v>
      </c>
      <c r="W340" s="26">
        <f>IFERROR(__xludf.DUMMYFUNCTION("""COMPUTED_VALUE"""),0.0)</f>
        <v>0</v>
      </c>
      <c r="X340" s="26">
        <f>IFERROR(__xludf.DUMMYFUNCTION("""COMPUTED_VALUE"""),2090.020000000001)</f>
        <v>2090.02</v>
      </c>
      <c r="Y340" s="26">
        <f>IFERROR(__xludf.DUMMYFUNCTION("""COMPUTED_VALUE"""),2090.020000000001)</f>
        <v>2090.02</v>
      </c>
      <c r="Z340" s="26">
        <f>IFERROR(__xludf.DUMMYFUNCTION("""COMPUTED_VALUE"""),0.0)</f>
        <v>0</v>
      </c>
      <c r="AA340" s="26">
        <f>IFERROR(__xludf.DUMMYFUNCTION("""COMPUTED_VALUE"""),0.0)</f>
        <v>0</v>
      </c>
      <c r="AB340" s="26">
        <f>IFERROR(__xludf.DUMMYFUNCTION("""COMPUTED_VALUE"""),0.0)</f>
        <v>0</v>
      </c>
      <c r="AC340" s="26">
        <f>IFERROR(__xludf.DUMMYFUNCTION("""COMPUTED_VALUE"""),0.0)</f>
        <v>0</v>
      </c>
      <c r="AD340" s="26">
        <f>IFERROR(__xludf.DUMMYFUNCTION("""COMPUTED_VALUE"""),0.0)</f>
        <v>0</v>
      </c>
      <c r="AE340" s="26">
        <f>IFERROR(__xludf.DUMMYFUNCTION("""COMPUTED_VALUE"""),0.0)</f>
        <v>0</v>
      </c>
    </row>
    <row r="341">
      <c r="A341" s="26">
        <f>IFERROR(__xludf.DUMMYFUNCTION("""COMPUTED_VALUE"""),14.0)</f>
        <v>14</v>
      </c>
      <c r="B341" s="26">
        <f>IFERROR(__xludf.DUMMYFUNCTION("""COMPUTED_VALUE"""),0.0)</f>
        <v>0</v>
      </c>
      <c r="C341" s="26">
        <f>IFERROR(__xludf.DUMMYFUNCTION("""COMPUTED_VALUE"""),0.0)</f>
        <v>0</v>
      </c>
      <c r="D341" s="26">
        <f>IFERROR(__xludf.DUMMYFUNCTION("""COMPUTED_VALUE"""),0.0)</f>
        <v>0</v>
      </c>
      <c r="E341" s="26">
        <f>IFERROR(__xludf.DUMMYFUNCTION("""COMPUTED_VALUE"""),0.0)</f>
        <v>0</v>
      </c>
      <c r="F341" s="26">
        <f>IFERROR(__xludf.DUMMYFUNCTION("""COMPUTED_VALUE"""),0.0)</f>
        <v>0</v>
      </c>
      <c r="G341" s="26">
        <f>IFERROR(__xludf.DUMMYFUNCTION("""COMPUTED_VALUE"""),0.0)</f>
        <v>0</v>
      </c>
      <c r="H341" s="26">
        <f>IFERROR(__xludf.DUMMYFUNCTION("""COMPUTED_VALUE"""),0.0)</f>
        <v>0</v>
      </c>
      <c r="I341" s="26">
        <f>IFERROR(__xludf.DUMMYFUNCTION("""COMPUTED_VALUE"""),0.0)</f>
        <v>0</v>
      </c>
      <c r="J341" s="26">
        <f>IFERROR(__xludf.DUMMYFUNCTION("""COMPUTED_VALUE"""),0.0)</f>
        <v>0</v>
      </c>
      <c r="K341" s="26">
        <f>IFERROR(__xludf.DUMMYFUNCTION("""COMPUTED_VALUE"""),0.0)</f>
        <v>0</v>
      </c>
      <c r="L341" s="26">
        <f>IFERROR(__xludf.DUMMYFUNCTION("""COMPUTED_VALUE"""),0.0)</f>
        <v>0</v>
      </c>
      <c r="M341" s="26"/>
      <c r="N341" s="26"/>
      <c r="O341" s="26"/>
      <c r="P341" s="26"/>
      <c r="Q341" s="26"/>
      <c r="R341" s="26">
        <f>IFERROR(__xludf.DUMMYFUNCTION("""COMPUTED_VALUE"""),14.0)</f>
        <v>14</v>
      </c>
      <c r="S341" s="26">
        <f>IFERROR(__xludf.DUMMYFUNCTION("""COMPUTED_VALUE"""),6188.0)</f>
        <v>6188</v>
      </c>
      <c r="T341" s="26">
        <f>IFERROR(__xludf.DUMMYFUNCTION("""COMPUTED_VALUE"""),2450.0)</f>
        <v>2450</v>
      </c>
      <c r="U341" s="26">
        <f>IFERROR(__xludf.DUMMYFUNCTION("""COMPUTED_VALUE"""),3393.8799999999997)</f>
        <v>3393.88</v>
      </c>
      <c r="V341" s="26">
        <f>IFERROR(__xludf.DUMMYFUNCTION("""COMPUTED_VALUE"""),0.0)</f>
        <v>0</v>
      </c>
      <c r="W341" s="26">
        <f>IFERROR(__xludf.DUMMYFUNCTION("""COMPUTED_VALUE"""),0.0)</f>
        <v>0</v>
      </c>
      <c r="X341" s="26">
        <f>IFERROR(__xludf.DUMMYFUNCTION("""COMPUTED_VALUE"""),943.8799999999998)</f>
        <v>943.88</v>
      </c>
      <c r="Y341" s="26">
        <f>IFERROR(__xludf.DUMMYFUNCTION("""COMPUTED_VALUE"""),943.8799999999998)</f>
        <v>943.88</v>
      </c>
      <c r="Z341" s="26">
        <f>IFERROR(__xludf.DUMMYFUNCTION("""COMPUTED_VALUE"""),0.0)</f>
        <v>0</v>
      </c>
      <c r="AA341" s="26">
        <f>IFERROR(__xludf.DUMMYFUNCTION("""COMPUTED_VALUE"""),0.0)</f>
        <v>0</v>
      </c>
      <c r="AB341" s="26">
        <f>IFERROR(__xludf.DUMMYFUNCTION("""COMPUTED_VALUE"""),0.0)</f>
        <v>0</v>
      </c>
      <c r="AC341" s="26">
        <f>IFERROR(__xludf.DUMMYFUNCTION("""COMPUTED_VALUE"""),0.0)</f>
        <v>0</v>
      </c>
      <c r="AD341" s="26">
        <f>IFERROR(__xludf.DUMMYFUNCTION("""COMPUTED_VALUE"""),0.0)</f>
        <v>0</v>
      </c>
      <c r="AE341" s="26">
        <f>IFERROR(__xludf.DUMMYFUNCTION("""COMPUTED_VALUE"""),0.0)</f>
        <v>0</v>
      </c>
    </row>
    <row r="342">
      <c r="A342" s="26">
        <f>IFERROR(__xludf.DUMMYFUNCTION("""COMPUTED_VALUE"""),0.0)</f>
        <v>0</v>
      </c>
      <c r="B342" s="26">
        <f>IFERROR(__xludf.DUMMYFUNCTION("""COMPUTED_VALUE"""),0.0)</f>
        <v>0</v>
      </c>
      <c r="C342" s="26">
        <f>IFERROR(__xludf.DUMMYFUNCTION("""COMPUTED_VALUE"""),0.0)</f>
        <v>0</v>
      </c>
      <c r="D342" s="26">
        <f>IFERROR(__xludf.DUMMYFUNCTION("""COMPUTED_VALUE"""),0.0)</f>
        <v>0</v>
      </c>
      <c r="E342" s="26">
        <f>IFERROR(__xludf.DUMMYFUNCTION("""COMPUTED_VALUE"""),0.0)</f>
        <v>0</v>
      </c>
      <c r="F342" s="26">
        <f>IFERROR(__xludf.DUMMYFUNCTION("""COMPUTED_VALUE"""),0.0)</f>
        <v>0</v>
      </c>
      <c r="G342" s="26">
        <f>IFERROR(__xludf.DUMMYFUNCTION("""COMPUTED_VALUE"""),0.0)</f>
        <v>0</v>
      </c>
      <c r="H342" s="26">
        <f>IFERROR(__xludf.DUMMYFUNCTION("""COMPUTED_VALUE"""),0.0)</f>
        <v>0</v>
      </c>
      <c r="I342" s="26">
        <f>IFERROR(__xludf.DUMMYFUNCTION("""COMPUTED_VALUE"""),0.0)</f>
        <v>0</v>
      </c>
      <c r="J342" s="26">
        <f>IFERROR(__xludf.DUMMYFUNCTION("""COMPUTED_VALUE"""),0.0)</f>
        <v>0</v>
      </c>
      <c r="K342" s="26">
        <f>IFERROR(__xludf.DUMMYFUNCTION("""COMPUTED_VALUE"""),0.0)</f>
        <v>0</v>
      </c>
      <c r="L342" s="26">
        <f>IFERROR(__xludf.DUMMYFUNCTION("""COMPUTED_VALUE"""),0.0)</f>
        <v>0</v>
      </c>
      <c r="M342" s="26"/>
      <c r="N342" s="26"/>
      <c r="O342" s="26"/>
      <c r="P342" s="26"/>
      <c r="Q342" s="26"/>
      <c r="R342" s="26">
        <f>IFERROR(__xludf.DUMMYFUNCTION("""COMPUTED_VALUE"""),0.0)</f>
        <v>0</v>
      </c>
      <c r="S342" s="26">
        <f>IFERROR(__xludf.DUMMYFUNCTION("""COMPUTED_VALUE"""),0.0)</f>
        <v>0</v>
      </c>
      <c r="T342" s="26">
        <f>IFERROR(__xludf.DUMMYFUNCTION("""COMPUTED_VALUE"""),0.0)</f>
        <v>0</v>
      </c>
      <c r="U342" s="26">
        <f>IFERROR(__xludf.DUMMYFUNCTION("""COMPUTED_VALUE"""),0.0)</f>
        <v>0</v>
      </c>
      <c r="V342" s="26">
        <f>IFERROR(__xludf.DUMMYFUNCTION("""COMPUTED_VALUE"""),0.0)</f>
        <v>0</v>
      </c>
      <c r="W342" s="26">
        <f>IFERROR(__xludf.DUMMYFUNCTION("""COMPUTED_VALUE"""),0.0)</f>
        <v>0</v>
      </c>
      <c r="X342" s="26">
        <f>IFERROR(__xludf.DUMMYFUNCTION("""COMPUTED_VALUE"""),0.0)</f>
        <v>0</v>
      </c>
      <c r="Y342" s="26">
        <f>IFERROR(__xludf.DUMMYFUNCTION("""COMPUTED_VALUE"""),0.0)</f>
        <v>0</v>
      </c>
      <c r="Z342" s="26">
        <f>IFERROR(__xludf.DUMMYFUNCTION("""COMPUTED_VALUE"""),0.0)</f>
        <v>0</v>
      </c>
      <c r="AA342" s="26">
        <f>IFERROR(__xludf.DUMMYFUNCTION("""COMPUTED_VALUE"""),0.0)</f>
        <v>0</v>
      </c>
      <c r="AB342" s="26">
        <f>IFERROR(__xludf.DUMMYFUNCTION("""COMPUTED_VALUE"""),0.0)</f>
        <v>0</v>
      </c>
      <c r="AC342" s="26">
        <f>IFERROR(__xludf.DUMMYFUNCTION("""COMPUTED_VALUE"""),0.0)</f>
        <v>0</v>
      </c>
      <c r="AD342" s="26">
        <f>IFERROR(__xludf.DUMMYFUNCTION("""COMPUTED_VALUE"""),0.0)</f>
        <v>0</v>
      </c>
      <c r="AE342" s="26">
        <f>IFERROR(__xludf.DUMMYFUNCTION("""COMPUTED_VALUE"""),0.0)</f>
        <v>0</v>
      </c>
    </row>
    <row r="343">
      <c r="A343" s="26">
        <f>IFERROR(__xludf.DUMMYFUNCTION("""COMPUTED_VALUE"""),122.0)</f>
        <v>122</v>
      </c>
      <c r="B343" s="26">
        <f>IFERROR(__xludf.DUMMYFUNCTION("""COMPUTED_VALUE"""),0.0)</f>
        <v>0</v>
      </c>
      <c r="C343" s="26">
        <f>IFERROR(__xludf.DUMMYFUNCTION("""COMPUTED_VALUE"""),0.0)</f>
        <v>0</v>
      </c>
      <c r="D343" s="26">
        <f>IFERROR(__xludf.DUMMYFUNCTION("""COMPUTED_VALUE"""),0.0)</f>
        <v>0</v>
      </c>
      <c r="E343" s="26">
        <f>IFERROR(__xludf.DUMMYFUNCTION("""COMPUTED_VALUE"""),0.0)</f>
        <v>0</v>
      </c>
      <c r="F343" s="26">
        <f>IFERROR(__xludf.DUMMYFUNCTION("""COMPUTED_VALUE"""),0.0)</f>
        <v>0</v>
      </c>
      <c r="G343" s="26">
        <f>IFERROR(__xludf.DUMMYFUNCTION("""COMPUTED_VALUE"""),0.0)</f>
        <v>0</v>
      </c>
      <c r="H343" s="26">
        <f>IFERROR(__xludf.DUMMYFUNCTION("""COMPUTED_VALUE"""),0.0)</f>
        <v>0</v>
      </c>
      <c r="I343" s="26">
        <f>IFERROR(__xludf.DUMMYFUNCTION("""COMPUTED_VALUE"""),0.0)</f>
        <v>0</v>
      </c>
      <c r="J343" s="26">
        <f>IFERROR(__xludf.DUMMYFUNCTION("""COMPUTED_VALUE"""),0.0)</f>
        <v>0</v>
      </c>
      <c r="K343" s="26">
        <f>IFERROR(__xludf.DUMMYFUNCTION("""COMPUTED_VALUE"""),0.0)</f>
        <v>0</v>
      </c>
      <c r="L343" s="26">
        <f>IFERROR(__xludf.DUMMYFUNCTION("""COMPUTED_VALUE"""),0.0)</f>
        <v>0</v>
      </c>
      <c r="M343" s="26"/>
      <c r="N343" s="26"/>
      <c r="O343" s="26"/>
      <c r="P343" s="26"/>
      <c r="Q343" s="26"/>
      <c r="R343" s="26">
        <f>IFERROR(__xludf.DUMMYFUNCTION("""COMPUTED_VALUE"""),122.0)</f>
        <v>122</v>
      </c>
      <c r="S343" s="26">
        <f>IFERROR(__xludf.DUMMYFUNCTION("""COMPUTED_VALUE"""),53924.0)</f>
        <v>53924</v>
      </c>
      <c r="T343" s="26">
        <f>IFERROR(__xludf.DUMMYFUNCTION("""COMPUTED_VALUE"""),22570.0)</f>
        <v>22570</v>
      </c>
      <c r="U343" s="26">
        <f>IFERROR(__xludf.DUMMYFUNCTION("""COMPUTED_VALUE"""),30795.240000000005)</f>
        <v>30795.24</v>
      </c>
      <c r="V343" s="26">
        <f>IFERROR(__xludf.DUMMYFUNCTION("""COMPUTED_VALUE"""),0.0)</f>
        <v>0</v>
      </c>
      <c r="W343" s="26">
        <f>IFERROR(__xludf.DUMMYFUNCTION("""COMPUTED_VALUE"""),0.0)</f>
        <v>0</v>
      </c>
      <c r="X343" s="26">
        <f>IFERROR(__xludf.DUMMYFUNCTION("""COMPUTED_VALUE"""),8225.240000000007)</f>
        <v>8225.24</v>
      </c>
      <c r="Y343" s="26">
        <f>IFERROR(__xludf.DUMMYFUNCTION("""COMPUTED_VALUE"""),8225.240000000007)</f>
        <v>8225.24</v>
      </c>
      <c r="Z343" s="26">
        <f>IFERROR(__xludf.DUMMYFUNCTION("""COMPUTED_VALUE"""),88784.09999999974)</f>
        <v>88784.1</v>
      </c>
      <c r="AA343" s="26">
        <f>IFERROR(__xludf.DUMMYFUNCTION("""COMPUTED_VALUE"""),88784.09999999974)</f>
        <v>88784.1</v>
      </c>
      <c r="AB343" s="26">
        <f>IFERROR(__xludf.DUMMYFUNCTION("""COMPUTED_VALUE"""),64267.62000000043)</f>
        <v>64267.62</v>
      </c>
      <c r="AC343" s="26">
        <f>IFERROR(__xludf.DUMMYFUNCTION("""COMPUTED_VALUE"""),61053.89999999966)</f>
        <v>61053.9</v>
      </c>
      <c r="AD343" s="26">
        <f>IFERROR(__xludf.DUMMYFUNCTION("""COMPUTED_VALUE"""),3213.7200000000053)</f>
        <v>3213.72</v>
      </c>
      <c r="AE343" s="26">
        <f>IFERROR(__xludf.DUMMYFUNCTION("""COMPUTED_VALUE"""),0.0)</f>
        <v>0</v>
      </c>
    </row>
    <row r="344">
      <c r="A344" s="26">
        <f>IFERROR(__xludf.DUMMYFUNCTION("""COMPUTED_VALUE"""),26.0)</f>
        <v>26</v>
      </c>
      <c r="B344" s="26">
        <f>IFERROR(__xludf.DUMMYFUNCTION("""COMPUTED_VALUE"""),0.0)</f>
        <v>0</v>
      </c>
      <c r="C344" s="26">
        <f>IFERROR(__xludf.DUMMYFUNCTION("""COMPUTED_VALUE"""),0.0)</f>
        <v>0</v>
      </c>
      <c r="D344" s="26">
        <f>IFERROR(__xludf.DUMMYFUNCTION("""COMPUTED_VALUE"""),0.0)</f>
        <v>0</v>
      </c>
      <c r="E344" s="26">
        <f>IFERROR(__xludf.DUMMYFUNCTION("""COMPUTED_VALUE"""),0.0)</f>
        <v>0</v>
      </c>
      <c r="F344" s="26">
        <f>IFERROR(__xludf.DUMMYFUNCTION("""COMPUTED_VALUE"""),0.0)</f>
        <v>0</v>
      </c>
      <c r="G344" s="26">
        <f>IFERROR(__xludf.DUMMYFUNCTION("""COMPUTED_VALUE"""),0.0)</f>
        <v>0</v>
      </c>
      <c r="H344" s="26">
        <f>IFERROR(__xludf.DUMMYFUNCTION("""COMPUTED_VALUE"""),0.0)</f>
        <v>0</v>
      </c>
      <c r="I344" s="26">
        <f>IFERROR(__xludf.DUMMYFUNCTION("""COMPUTED_VALUE"""),0.0)</f>
        <v>0</v>
      </c>
      <c r="J344" s="26">
        <f>IFERROR(__xludf.DUMMYFUNCTION("""COMPUTED_VALUE"""),0.0)</f>
        <v>0</v>
      </c>
      <c r="K344" s="26">
        <f>IFERROR(__xludf.DUMMYFUNCTION("""COMPUTED_VALUE"""),0.0)</f>
        <v>0</v>
      </c>
      <c r="L344" s="26">
        <f>IFERROR(__xludf.DUMMYFUNCTION("""COMPUTED_VALUE"""),0.0)</f>
        <v>0</v>
      </c>
      <c r="M344" s="26"/>
      <c r="N344" s="26"/>
      <c r="O344" s="26"/>
      <c r="P344" s="26"/>
      <c r="Q344" s="26"/>
      <c r="R344" s="26">
        <f>IFERROR(__xludf.DUMMYFUNCTION("""COMPUTED_VALUE"""),26.0)</f>
        <v>26</v>
      </c>
      <c r="S344" s="26">
        <f>IFERROR(__xludf.DUMMYFUNCTION("""COMPUTED_VALUE"""),10140.0)</f>
        <v>10140</v>
      </c>
      <c r="T344" s="26">
        <f>IFERROR(__xludf.DUMMYFUNCTION("""COMPUTED_VALUE"""),4160.0)</f>
        <v>4160</v>
      </c>
      <c r="U344" s="26">
        <f>IFERROR(__xludf.DUMMYFUNCTION("""COMPUTED_VALUE"""),5706.74)</f>
        <v>5706.74</v>
      </c>
      <c r="V344" s="26">
        <f>IFERROR(__xludf.DUMMYFUNCTION("""COMPUTED_VALUE"""),0.0)</f>
        <v>0</v>
      </c>
      <c r="W344" s="26">
        <f>IFERROR(__xludf.DUMMYFUNCTION("""COMPUTED_VALUE"""),0.0)</f>
        <v>0</v>
      </c>
      <c r="X344" s="26">
        <f>IFERROR(__xludf.DUMMYFUNCTION("""COMPUTED_VALUE"""),1546.74)</f>
        <v>1546.74</v>
      </c>
      <c r="Y344" s="26">
        <f>IFERROR(__xludf.DUMMYFUNCTION("""COMPUTED_VALUE"""),1546.74)</f>
        <v>1546.74</v>
      </c>
      <c r="Z344" s="26">
        <f>IFERROR(__xludf.DUMMYFUNCTION("""COMPUTED_VALUE"""),5928.520000000004)</f>
        <v>5928.52</v>
      </c>
      <c r="AA344" s="26">
        <f>IFERROR(__xludf.DUMMYFUNCTION("""COMPUTED_VALUE"""),5928.520000000004)</f>
        <v>5928.52</v>
      </c>
      <c r="AB344" s="26">
        <f>IFERROR(__xludf.DUMMYFUNCTION("""COMPUTED_VALUE"""),4433.260000000003)</f>
        <v>4433.26</v>
      </c>
      <c r="AC344" s="26">
        <f>IFERROR(__xludf.DUMMYFUNCTION("""COMPUTED_VALUE"""),4211.48)</f>
        <v>4211.48</v>
      </c>
      <c r="AD344" s="26">
        <f>IFERROR(__xludf.DUMMYFUNCTION("""COMPUTED_VALUE"""),221.78)</f>
        <v>221.78</v>
      </c>
      <c r="AE344" s="26">
        <f>IFERROR(__xludf.DUMMYFUNCTION("""COMPUTED_VALUE"""),0.0)</f>
        <v>0</v>
      </c>
    </row>
    <row r="345">
      <c r="A345" s="26">
        <f>IFERROR(__xludf.DUMMYFUNCTION("""COMPUTED_VALUE"""),35.0)</f>
        <v>35</v>
      </c>
      <c r="B345" s="26">
        <f>IFERROR(__xludf.DUMMYFUNCTION("""COMPUTED_VALUE"""),0.0)</f>
        <v>0</v>
      </c>
      <c r="C345" s="26">
        <f>IFERROR(__xludf.DUMMYFUNCTION("""COMPUTED_VALUE"""),0.0)</f>
        <v>0</v>
      </c>
      <c r="D345" s="26">
        <f>IFERROR(__xludf.DUMMYFUNCTION("""COMPUTED_VALUE"""),0.0)</f>
        <v>0</v>
      </c>
      <c r="E345" s="26">
        <f>IFERROR(__xludf.DUMMYFUNCTION("""COMPUTED_VALUE"""),0.0)</f>
        <v>0</v>
      </c>
      <c r="F345" s="26">
        <f>IFERROR(__xludf.DUMMYFUNCTION("""COMPUTED_VALUE"""),0.0)</f>
        <v>0</v>
      </c>
      <c r="G345" s="26">
        <f>IFERROR(__xludf.DUMMYFUNCTION("""COMPUTED_VALUE"""),0.0)</f>
        <v>0</v>
      </c>
      <c r="H345" s="26">
        <f>IFERROR(__xludf.DUMMYFUNCTION("""COMPUTED_VALUE"""),0.0)</f>
        <v>0</v>
      </c>
      <c r="I345" s="26">
        <f>IFERROR(__xludf.DUMMYFUNCTION("""COMPUTED_VALUE"""),0.0)</f>
        <v>0</v>
      </c>
      <c r="J345" s="26">
        <f>IFERROR(__xludf.DUMMYFUNCTION("""COMPUTED_VALUE"""),0.0)</f>
        <v>0</v>
      </c>
      <c r="K345" s="26">
        <f>IFERROR(__xludf.DUMMYFUNCTION("""COMPUTED_VALUE"""),0.0)</f>
        <v>0</v>
      </c>
      <c r="L345" s="26">
        <f>IFERROR(__xludf.DUMMYFUNCTION("""COMPUTED_VALUE"""),0.0)</f>
        <v>0</v>
      </c>
      <c r="M345" s="26"/>
      <c r="N345" s="26"/>
      <c r="O345" s="26"/>
      <c r="P345" s="26"/>
      <c r="Q345" s="26"/>
      <c r="R345" s="26">
        <f>IFERROR(__xludf.DUMMYFUNCTION("""COMPUTED_VALUE"""),35.0)</f>
        <v>35</v>
      </c>
      <c r="S345" s="26">
        <f>IFERROR(__xludf.DUMMYFUNCTION("""COMPUTED_VALUE"""),15470.0)</f>
        <v>15470</v>
      </c>
      <c r="T345" s="26">
        <f>IFERROR(__xludf.DUMMYFUNCTION("""COMPUTED_VALUE"""),6475.0)</f>
        <v>6475</v>
      </c>
      <c r="U345" s="26">
        <f>IFERROR(__xludf.DUMMYFUNCTION("""COMPUTED_VALUE"""),8834.7)</f>
        <v>8834.7</v>
      </c>
      <c r="V345" s="26">
        <f>IFERROR(__xludf.DUMMYFUNCTION("""COMPUTED_VALUE"""),0.0)</f>
        <v>0</v>
      </c>
      <c r="W345" s="26">
        <f>IFERROR(__xludf.DUMMYFUNCTION("""COMPUTED_VALUE"""),0.0)</f>
        <v>0</v>
      </c>
      <c r="X345" s="26">
        <f>IFERROR(__xludf.DUMMYFUNCTION("""COMPUTED_VALUE"""),2359.700000000001)</f>
        <v>2359.7</v>
      </c>
      <c r="Y345" s="26">
        <f>IFERROR(__xludf.DUMMYFUNCTION("""COMPUTED_VALUE"""),2359.700000000001)</f>
        <v>2359.7</v>
      </c>
      <c r="Z345" s="26">
        <f>IFERROR(__xludf.DUMMYFUNCTION("""COMPUTED_VALUE"""),15470.0)</f>
        <v>15470</v>
      </c>
      <c r="AA345" s="26">
        <f>IFERROR(__xludf.DUMMYFUNCTION("""COMPUTED_VALUE"""),9166.499999999995)</f>
        <v>9166.5</v>
      </c>
      <c r="AB345" s="26">
        <f>IFERROR(__xludf.DUMMYFUNCTION("""COMPUTED_VALUE"""),6635.299999999998)</f>
        <v>6635.3</v>
      </c>
      <c r="AC345" s="26">
        <f>IFERROR(__xludf.DUMMYFUNCTION("""COMPUTED_VALUE"""),0.0)</f>
        <v>0</v>
      </c>
      <c r="AD345" s="26">
        <f>IFERROR(__xludf.DUMMYFUNCTION("""COMPUTED_VALUE"""),331.8)</f>
        <v>331.8</v>
      </c>
      <c r="AE345" s="26">
        <f>IFERROR(__xludf.DUMMYFUNCTION("""COMPUTED_VALUE"""),6303.500000000003)</f>
        <v>6303.5</v>
      </c>
    </row>
    <row r="346">
      <c r="A346" s="26">
        <f>IFERROR(__xludf.DUMMYFUNCTION("""COMPUTED_VALUE"""),113.0)</f>
        <v>113</v>
      </c>
      <c r="B346" s="26">
        <f>IFERROR(__xludf.DUMMYFUNCTION("""COMPUTED_VALUE"""),0.0)</f>
        <v>0</v>
      </c>
      <c r="C346" s="26">
        <f>IFERROR(__xludf.DUMMYFUNCTION("""COMPUTED_VALUE"""),0.0)</f>
        <v>0</v>
      </c>
      <c r="D346" s="26">
        <f>IFERROR(__xludf.DUMMYFUNCTION("""COMPUTED_VALUE"""),0.0)</f>
        <v>0</v>
      </c>
      <c r="E346" s="26">
        <f>IFERROR(__xludf.DUMMYFUNCTION("""COMPUTED_VALUE"""),0.0)</f>
        <v>0</v>
      </c>
      <c r="F346" s="26">
        <f>IFERROR(__xludf.DUMMYFUNCTION("""COMPUTED_VALUE"""),0.0)</f>
        <v>0</v>
      </c>
      <c r="G346" s="26">
        <f>IFERROR(__xludf.DUMMYFUNCTION("""COMPUTED_VALUE"""),0.0)</f>
        <v>0</v>
      </c>
      <c r="H346" s="26">
        <f>IFERROR(__xludf.DUMMYFUNCTION("""COMPUTED_VALUE"""),0.0)</f>
        <v>0</v>
      </c>
      <c r="I346" s="26">
        <f>IFERROR(__xludf.DUMMYFUNCTION("""COMPUTED_VALUE"""),0.0)</f>
        <v>0</v>
      </c>
      <c r="J346" s="26">
        <f>IFERROR(__xludf.DUMMYFUNCTION("""COMPUTED_VALUE"""),0.0)</f>
        <v>0</v>
      </c>
      <c r="K346" s="26">
        <f>IFERROR(__xludf.DUMMYFUNCTION("""COMPUTED_VALUE"""),0.0)</f>
        <v>0</v>
      </c>
      <c r="L346" s="26">
        <f>IFERROR(__xludf.DUMMYFUNCTION("""COMPUTED_VALUE"""),0.0)</f>
        <v>0</v>
      </c>
      <c r="M346" s="26"/>
      <c r="N346" s="26"/>
      <c r="O346" s="26"/>
      <c r="P346" s="26"/>
      <c r="Q346" s="26"/>
      <c r="R346" s="26">
        <f>IFERROR(__xludf.DUMMYFUNCTION("""COMPUTED_VALUE"""),113.0)</f>
        <v>113</v>
      </c>
      <c r="S346" s="26">
        <f>IFERROR(__xludf.DUMMYFUNCTION("""COMPUTED_VALUE"""),49946.0)</f>
        <v>49946</v>
      </c>
      <c r="T346" s="26">
        <f>IFERROR(__xludf.DUMMYFUNCTION("""COMPUTED_VALUE"""),20905.0)</f>
        <v>20905</v>
      </c>
      <c r="U346" s="26">
        <f>IFERROR(__xludf.DUMMYFUNCTION("""COMPUTED_VALUE"""),28523.460000000006)</f>
        <v>28523.46</v>
      </c>
      <c r="V346" s="26">
        <f>IFERROR(__xludf.DUMMYFUNCTION("""COMPUTED_VALUE"""),0.0)</f>
        <v>0</v>
      </c>
      <c r="W346" s="26">
        <f>IFERROR(__xludf.DUMMYFUNCTION("""COMPUTED_VALUE"""),0.0)</f>
        <v>0</v>
      </c>
      <c r="X346" s="26">
        <f>IFERROR(__xludf.DUMMYFUNCTION("""COMPUTED_VALUE"""),7618.460000000006)</f>
        <v>7618.46</v>
      </c>
      <c r="Y346" s="26">
        <f>IFERROR(__xludf.DUMMYFUNCTION("""COMPUTED_VALUE"""),7618.460000000006)</f>
        <v>7618.46</v>
      </c>
      <c r="Z346" s="26">
        <f>IFERROR(__xludf.DUMMYFUNCTION("""COMPUTED_VALUE"""),0.0)</f>
        <v>0</v>
      </c>
      <c r="AA346" s="26">
        <f>IFERROR(__xludf.DUMMYFUNCTION("""COMPUTED_VALUE"""),0.0)</f>
        <v>0</v>
      </c>
      <c r="AB346" s="26">
        <f>IFERROR(__xludf.DUMMYFUNCTION("""COMPUTED_VALUE"""),0.0)</f>
        <v>0</v>
      </c>
      <c r="AC346" s="26">
        <f>IFERROR(__xludf.DUMMYFUNCTION("""COMPUTED_VALUE"""),0.0)</f>
        <v>0</v>
      </c>
      <c r="AD346" s="26">
        <f>IFERROR(__xludf.DUMMYFUNCTION("""COMPUTED_VALUE"""),0.0)</f>
        <v>0</v>
      </c>
      <c r="AE346" s="26">
        <f>IFERROR(__xludf.DUMMYFUNCTION("""COMPUTED_VALUE"""),0.0)</f>
        <v>0</v>
      </c>
    </row>
    <row r="347">
      <c r="A347" s="26">
        <f>IFERROR(__xludf.DUMMYFUNCTION("""COMPUTED_VALUE"""),25.0)</f>
        <v>25</v>
      </c>
      <c r="B347" s="26">
        <f>IFERROR(__xludf.DUMMYFUNCTION("""COMPUTED_VALUE"""),0.0)</f>
        <v>0</v>
      </c>
      <c r="C347" s="26">
        <f>IFERROR(__xludf.DUMMYFUNCTION("""COMPUTED_VALUE"""),0.0)</f>
        <v>0</v>
      </c>
      <c r="D347" s="26">
        <f>IFERROR(__xludf.DUMMYFUNCTION("""COMPUTED_VALUE"""),0.0)</f>
        <v>0</v>
      </c>
      <c r="E347" s="26">
        <f>IFERROR(__xludf.DUMMYFUNCTION("""COMPUTED_VALUE"""),0.0)</f>
        <v>0</v>
      </c>
      <c r="F347" s="26">
        <f>IFERROR(__xludf.DUMMYFUNCTION("""COMPUTED_VALUE"""),0.0)</f>
        <v>0</v>
      </c>
      <c r="G347" s="26">
        <f>IFERROR(__xludf.DUMMYFUNCTION("""COMPUTED_VALUE"""),0.0)</f>
        <v>0</v>
      </c>
      <c r="H347" s="26">
        <f>IFERROR(__xludf.DUMMYFUNCTION("""COMPUTED_VALUE"""),0.0)</f>
        <v>0</v>
      </c>
      <c r="I347" s="26">
        <f>IFERROR(__xludf.DUMMYFUNCTION("""COMPUTED_VALUE"""),0.0)</f>
        <v>0</v>
      </c>
      <c r="J347" s="26">
        <f>IFERROR(__xludf.DUMMYFUNCTION("""COMPUTED_VALUE"""),0.0)</f>
        <v>0</v>
      </c>
      <c r="K347" s="26">
        <f>IFERROR(__xludf.DUMMYFUNCTION("""COMPUTED_VALUE"""),0.0)</f>
        <v>0</v>
      </c>
      <c r="L347" s="26">
        <f>IFERROR(__xludf.DUMMYFUNCTION("""COMPUTED_VALUE"""),0.0)</f>
        <v>0</v>
      </c>
      <c r="M347" s="26"/>
      <c r="N347" s="26"/>
      <c r="O347" s="26"/>
      <c r="P347" s="26"/>
      <c r="Q347" s="26"/>
      <c r="R347" s="26">
        <f>IFERROR(__xludf.DUMMYFUNCTION("""COMPUTED_VALUE"""),25.0)</f>
        <v>25</v>
      </c>
      <c r="S347" s="26">
        <f>IFERROR(__xludf.DUMMYFUNCTION("""COMPUTED_VALUE"""),11050.0)</f>
        <v>11050</v>
      </c>
      <c r="T347" s="26">
        <f>IFERROR(__xludf.DUMMYFUNCTION("""COMPUTED_VALUE"""),4625.0)</f>
        <v>4625</v>
      </c>
      <c r="U347" s="26">
        <f>IFERROR(__xludf.DUMMYFUNCTION("""COMPUTED_VALUE"""),6310.5)</f>
        <v>6310.5</v>
      </c>
      <c r="V347" s="26">
        <f>IFERROR(__xludf.DUMMYFUNCTION("""COMPUTED_VALUE"""),0.0)</f>
        <v>0</v>
      </c>
      <c r="W347" s="26">
        <f>IFERROR(__xludf.DUMMYFUNCTION("""COMPUTED_VALUE"""),0.0)</f>
        <v>0</v>
      </c>
      <c r="X347" s="26">
        <f>IFERROR(__xludf.DUMMYFUNCTION("""COMPUTED_VALUE"""),1685.5000000000005)</f>
        <v>1685.5</v>
      </c>
      <c r="Y347" s="26">
        <f>IFERROR(__xludf.DUMMYFUNCTION("""COMPUTED_VALUE"""),1685.5000000000005)</f>
        <v>1685.5</v>
      </c>
      <c r="Z347" s="26">
        <f>IFERROR(__xludf.DUMMYFUNCTION("""COMPUTED_VALUE"""),0.0)</f>
        <v>0</v>
      </c>
      <c r="AA347" s="26">
        <f>IFERROR(__xludf.DUMMYFUNCTION("""COMPUTED_VALUE"""),0.0)</f>
        <v>0</v>
      </c>
      <c r="AB347" s="26">
        <f>IFERROR(__xludf.DUMMYFUNCTION("""COMPUTED_VALUE"""),0.0)</f>
        <v>0</v>
      </c>
      <c r="AC347" s="26">
        <f>IFERROR(__xludf.DUMMYFUNCTION("""COMPUTED_VALUE"""),0.0)</f>
        <v>0</v>
      </c>
      <c r="AD347" s="26">
        <f>IFERROR(__xludf.DUMMYFUNCTION("""COMPUTED_VALUE"""),0.0)</f>
        <v>0</v>
      </c>
      <c r="AE347" s="26">
        <f>IFERROR(__xludf.DUMMYFUNCTION("""COMPUTED_VALUE"""),0.0)</f>
        <v>0</v>
      </c>
    </row>
    <row r="348">
      <c r="A348" s="26">
        <f>IFERROR(__xludf.DUMMYFUNCTION("""COMPUTED_VALUE"""),38.0)</f>
        <v>38</v>
      </c>
      <c r="B348" s="26">
        <f>IFERROR(__xludf.DUMMYFUNCTION("""COMPUTED_VALUE"""),0.0)</f>
        <v>0</v>
      </c>
      <c r="C348" s="26">
        <f>IFERROR(__xludf.DUMMYFUNCTION("""COMPUTED_VALUE"""),0.0)</f>
        <v>0</v>
      </c>
      <c r="D348" s="26">
        <f>IFERROR(__xludf.DUMMYFUNCTION("""COMPUTED_VALUE"""),0.0)</f>
        <v>0</v>
      </c>
      <c r="E348" s="26">
        <f>IFERROR(__xludf.DUMMYFUNCTION("""COMPUTED_VALUE"""),0.0)</f>
        <v>0</v>
      </c>
      <c r="F348" s="26">
        <f>IFERROR(__xludf.DUMMYFUNCTION("""COMPUTED_VALUE"""),0.0)</f>
        <v>0</v>
      </c>
      <c r="G348" s="26">
        <f>IFERROR(__xludf.DUMMYFUNCTION("""COMPUTED_VALUE"""),0.0)</f>
        <v>0</v>
      </c>
      <c r="H348" s="26">
        <f>IFERROR(__xludf.DUMMYFUNCTION("""COMPUTED_VALUE"""),0.0)</f>
        <v>0</v>
      </c>
      <c r="I348" s="26">
        <f>IFERROR(__xludf.DUMMYFUNCTION("""COMPUTED_VALUE"""),0.0)</f>
        <v>0</v>
      </c>
      <c r="J348" s="26">
        <f>IFERROR(__xludf.DUMMYFUNCTION("""COMPUTED_VALUE"""),0.0)</f>
        <v>0</v>
      </c>
      <c r="K348" s="26">
        <f>IFERROR(__xludf.DUMMYFUNCTION("""COMPUTED_VALUE"""),0.0)</f>
        <v>0</v>
      </c>
      <c r="L348" s="26">
        <f>IFERROR(__xludf.DUMMYFUNCTION("""COMPUTED_VALUE"""),0.0)</f>
        <v>0</v>
      </c>
      <c r="M348" s="26"/>
      <c r="N348" s="26"/>
      <c r="O348" s="26"/>
      <c r="P348" s="26"/>
      <c r="Q348" s="26"/>
      <c r="R348" s="26">
        <f>IFERROR(__xludf.DUMMYFUNCTION("""COMPUTED_VALUE"""),38.0)</f>
        <v>38</v>
      </c>
      <c r="S348" s="26">
        <f>IFERROR(__xludf.DUMMYFUNCTION("""COMPUTED_VALUE"""),16796.0)</f>
        <v>16796</v>
      </c>
      <c r="T348" s="26">
        <f>IFERROR(__xludf.DUMMYFUNCTION("""COMPUTED_VALUE"""),7030.0)</f>
        <v>7030</v>
      </c>
      <c r="U348" s="26">
        <f>IFERROR(__xludf.DUMMYFUNCTION("""COMPUTED_VALUE"""),9591.960000000001)</f>
        <v>9591.96</v>
      </c>
      <c r="V348" s="26">
        <f>IFERROR(__xludf.DUMMYFUNCTION("""COMPUTED_VALUE"""),0.0)</f>
        <v>0</v>
      </c>
      <c r="W348" s="26">
        <f>IFERROR(__xludf.DUMMYFUNCTION("""COMPUTED_VALUE"""),0.0)</f>
        <v>0</v>
      </c>
      <c r="X348" s="26">
        <f>IFERROR(__xludf.DUMMYFUNCTION("""COMPUTED_VALUE"""),2561.9600000000014)</f>
        <v>2561.96</v>
      </c>
      <c r="Y348" s="26">
        <f>IFERROR(__xludf.DUMMYFUNCTION("""COMPUTED_VALUE"""),2561.9600000000014)</f>
        <v>2561.96</v>
      </c>
      <c r="Z348" s="26">
        <f>IFERROR(__xludf.DUMMYFUNCTION("""COMPUTED_VALUE"""),0.0)</f>
        <v>0</v>
      </c>
      <c r="AA348" s="26">
        <f>IFERROR(__xludf.DUMMYFUNCTION("""COMPUTED_VALUE"""),0.0)</f>
        <v>0</v>
      </c>
      <c r="AB348" s="26">
        <f>IFERROR(__xludf.DUMMYFUNCTION("""COMPUTED_VALUE"""),0.0)</f>
        <v>0</v>
      </c>
      <c r="AC348" s="26">
        <f>IFERROR(__xludf.DUMMYFUNCTION("""COMPUTED_VALUE"""),0.0)</f>
        <v>0</v>
      </c>
      <c r="AD348" s="26">
        <f>IFERROR(__xludf.DUMMYFUNCTION("""COMPUTED_VALUE"""),0.0)</f>
        <v>0</v>
      </c>
      <c r="AE348" s="26">
        <f>IFERROR(__xludf.DUMMYFUNCTION("""COMPUTED_VALUE"""),0.0)</f>
        <v>0</v>
      </c>
    </row>
    <row r="349">
      <c r="A349" s="26">
        <f>IFERROR(__xludf.DUMMYFUNCTION("""COMPUTED_VALUE"""),41.0)</f>
        <v>41</v>
      </c>
      <c r="B349" s="26">
        <f>IFERROR(__xludf.DUMMYFUNCTION("""COMPUTED_VALUE"""),0.0)</f>
        <v>0</v>
      </c>
      <c r="C349" s="26">
        <f>IFERROR(__xludf.DUMMYFUNCTION("""COMPUTED_VALUE"""),0.0)</f>
        <v>0</v>
      </c>
      <c r="D349" s="26">
        <f>IFERROR(__xludf.DUMMYFUNCTION("""COMPUTED_VALUE"""),0.0)</f>
        <v>0</v>
      </c>
      <c r="E349" s="26">
        <f>IFERROR(__xludf.DUMMYFUNCTION("""COMPUTED_VALUE"""),0.0)</f>
        <v>0</v>
      </c>
      <c r="F349" s="26">
        <f>IFERROR(__xludf.DUMMYFUNCTION("""COMPUTED_VALUE"""),0.0)</f>
        <v>0</v>
      </c>
      <c r="G349" s="26">
        <f>IFERROR(__xludf.DUMMYFUNCTION("""COMPUTED_VALUE"""),0.0)</f>
        <v>0</v>
      </c>
      <c r="H349" s="26">
        <f>IFERROR(__xludf.DUMMYFUNCTION("""COMPUTED_VALUE"""),0.0)</f>
        <v>0</v>
      </c>
      <c r="I349" s="26">
        <f>IFERROR(__xludf.DUMMYFUNCTION("""COMPUTED_VALUE"""),0.0)</f>
        <v>0</v>
      </c>
      <c r="J349" s="26">
        <f>IFERROR(__xludf.DUMMYFUNCTION("""COMPUTED_VALUE"""),0.0)</f>
        <v>0</v>
      </c>
      <c r="K349" s="26">
        <f>IFERROR(__xludf.DUMMYFUNCTION("""COMPUTED_VALUE"""),0.0)</f>
        <v>0</v>
      </c>
      <c r="L349" s="26">
        <f>IFERROR(__xludf.DUMMYFUNCTION("""COMPUTED_VALUE"""),0.0)</f>
        <v>0</v>
      </c>
      <c r="M349" s="26"/>
      <c r="N349" s="26"/>
      <c r="O349" s="26"/>
      <c r="P349" s="26"/>
      <c r="Q349" s="26"/>
      <c r="R349" s="26">
        <f>IFERROR(__xludf.DUMMYFUNCTION("""COMPUTED_VALUE"""),41.0)</f>
        <v>41</v>
      </c>
      <c r="S349" s="26">
        <f>IFERROR(__xludf.DUMMYFUNCTION("""COMPUTED_VALUE"""),18122.0)</f>
        <v>18122</v>
      </c>
      <c r="T349" s="26">
        <f>IFERROR(__xludf.DUMMYFUNCTION("""COMPUTED_VALUE"""),7585.0)</f>
        <v>7585</v>
      </c>
      <c r="U349" s="26">
        <f>IFERROR(__xludf.DUMMYFUNCTION("""COMPUTED_VALUE"""),10349.220000000001)</f>
        <v>10349.22</v>
      </c>
      <c r="V349" s="26">
        <f>IFERROR(__xludf.DUMMYFUNCTION("""COMPUTED_VALUE"""),0.0)</f>
        <v>0</v>
      </c>
      <c r="W349" s="26">
        <f>IFERROR(__xludf.DUMMYFUNCTION("""COMPUTED_VALUE"""),0.0)</f>
        <v>0</v>
      </c>
      <c r="X349" s="26">
        <f>IFERROR(__xludf.DUMMYFUNCTION("""COMPUTED_VALUE"""),2764.2200000000016)</f>
        <v>2764.22</v>
      </c>
      <c r="Y349" s="26">
        <f>IFERROR(__xludf.DUMMYFUNCTION("""COMPUTED_VALUE"""),2764.2200000000016)</f>
        <v>2764.22</v>
      </c>
      <c r="Z349" s="26">
        <f>IFERROR(__xludf.DUMMYFUNCTION("""COMPUTED_VALUE"""),0.0)</f>
        <v>0</v>
      </c>
      <c r="AA349" s="26">
        <f>IFERROR(__xludf.DUMMYFUNCTION("""COMPUTED_VALUE"""),0.0)</f>
        <v>0</v>
      </c>
      <c r="AB349" s="26">
        <f>IFERROR(__xludf.DUMMYFUNCTION("""COMPUTED_VALUE"""),0.0)</f>
        <v>0</v>
      </c>
      <c r="AC349" s="26">
        <f>IFERROR(__xludf.DUMMYFUNCTION("""COMPUTED_VALUE"""),0.0)</f>
        <v>0</v>
      </c>
      <c r="AD349" s="26">
        <f>IFERROR(__xludf.DUMMYFUNCTION("""COMPUTED_VALUE"""),0.0)</f>
        <v>0</v>
      </c>
      <c r="AE349" s="26">
        <f>IFERROR(__xludf.DUMMYFUNCTION("""COMPUTED_VALUE"""),0.0)</f>
        <v>0</v>
      </c>
    </row>
    <row r="350">
      <c r="A350" s="26">
        <f>IFERROR(__xludf.DUMMYFUNCTION("""COMPUTED_VALUE"""),21.0)</f>
        <v>21</v>
      </c>
      <c r="B350" s="26">
        <f>IFERROR(__xludf.DUMMYFUNCTION("""COMPUTED_VALUE"""),0.0)</f>
        <v>0</v>
      </c>
      <c r="C350" s="26">
        <f>IFERROR(__xludf.DUMMYFUNCTION("""COMPUTED_VALUE"""),0.0)</f>
        <v>0</v>
      </c>
      <c r="D350" s="26">
        <f>IFERROR(__xludf.DUMMYFUNCTION("""COMPUTED_VALUE"""),0.0)</f>
        <v>0</v>
      </c>
      <c r="E350" s="26">
        <f>IFERROR(__xludf.DUMMYFUNCTION("""COMPUTED_VALUE"""),0.0)</f>
        <v>0</v>
      </c>
      <c r="F350" s="26">
        <f>IFERROR(__xludf.DUMMYFUNCTION("""COMPUTED_VALUE"""),0.0)</f>
        <v>0</v>
      </c>
      <c r="G350" s="26">
        <f>IFERROR(__xludf.DUMMYFUNCTION("""COMPUTED_VALUE"""),0.0)</f>
        <v>0</v>
      </c>
      <c r="H350" s="26">
        <f>IFERROR(__xludf.DUMMYFUNCTION("""COMPUTED_VALUE"""),0.0)</f>
        <v>0</v>
      </c>
      <c r="I350" s="26">
        <f>IFERROR(__xludf.DUMMYFUNCTION("""COMPUTED_VALUE"""),0.0)</f>
        <v>0</v>
      </c>
      <c r="J350" s="26">
        <f>IFERROR(__xludf.DUMMYFUNCTION("""COMPUTED_VALUE"""),0.0)</f>
        <v>0</v>
      </c>
      <c r="K350" s="26">
        <f>IFERROR(__xludf.DUMMYFUNCTION("""COMPUTED_VALUE"""),0.0)</f>
        <v>0</v>
      </c>
      <c r="L350" s="26">
        <f>IFERROR(__xludf.DUMMYFUNCTION("""COMPUTED_VALUE"""),0.0)</f>
        <v>0</v>
      </c>
      <c r="M350" s="26"/>
      <c r="N350" s="26"/>
      <c r="O350" s="26"/>
      <c r="P350" s="26"/>
      <c r="Q350" s="26"/>
      <c r="R350" s="26">
        <f>IFERROR(__xludf.DUMMYFUNCTION("""COMPUTED_VALUE"""),21.0)</f>
        <v>21</v>
      </c>
      <c r="S350" s="26">
        <f>IFERROR(__xludf.DUMMYFUNCTION("""COMPUTED_VALUE"""),8190.0)</f>
        <v>8190</v>
      </c>
      <c r="T350" s="26">
        <f>IFERROR(__xludf.DUMMYFUNCTION("""COMPUTED_VALUE"""),3570.0)</f>
        <v>3570</v>
      </c>
      <c r="U350" s="26">
        <f>IFERROR(__xludf.DUMMYFUNCTION("""COMPUTED_VALUE"""),4819.29)</f>
        <v>4819.29</v>
      </c>
      <c r="V350" s="26">
        <f>IFERROR(__xludf.DUMMYFUNCTION("""COMPUTED_VALUE"""),0.0)</f>
        <v>0</v>
      </c>
      <c r="W350" s="26">
        <f>IFERROR(__xludf.DUMMYFUNCTION("""COMPUTED_VALUE"""),0.0)</f>
        <v>0</v>
      </c>
      <c r="X350" s="26">
        <f>IFERROR(__xludf.DUMMYFUNCTION("""COMPUTED_VALUE"""),1249.29)</f>
        <v>1249.29</v>
      </c>
      <c r="Y350" s="26">
        <f>IFERROR(__xludf.DUMMYFUNCTION("""COMPUTED_VALUE"""),1249.29)</f>
        <v>1249.29</v>
      </c>
      <c r="Z350" s="26">
        <f>IFERROR(__xludf.DUMMYFUNCTION("""COMPUTED_VALUE"""),4987.920000000002)</f>
        <v>4987.92</v>
      </c>
      <c r="AA350" s="26">
        <f>IFERROR(__xludf.DUMMYFUNCTION("""COMPUTED_VALUE"""),4987.920000000002)</f>
        <v>4987.92</v>
      </c>
      <c r="AB350" s="26">
        <f>IFERROR(__xludf.DUMMYFUNCTION("""COMPUTED_VALUE"""),3370.710000000002)</f>
        <v>3370.71</v>
      </c>
      <c r="AC350" s="26">
        <f>IFERROR(__xludf.DUMMYFUNCTION("""COMPUTED_VALUE"""),3202.08)</f>
        <v>3202.08</v>
      </c>
      <c r="AD350" s="26">
        <f>IFERROR(__xludf.DUMMYFUNCTION("""COMPUTED_VALUE"""),168.63)</f>
        <v>168.63</v>
      </c>
      <c r="AE350" s="26">
        <f>IFERROR(__xludf.DUMMYFUNCTION("""COMPUTED_VALUE"""),0.0)</f>
        <v>0</v>
      </c>
    </row>
    <row r="351">
      <c r="A351" s="26">
        <f>IFERROR(__xludf.DUMMYFUNCTION("""COMPUTED_VALUE"""),41.0)</f>
        <v>41</v>
      </c>
      <c r="B351" s="26">
        <f>IFERROR(__xludf.DUMMYFUNCTION("""COMPUTED_VALUE"""),0.0)</f>
        <v>0</v>
      </c>
      <c r="C351" s="26">
        <f>IFERROR(__xludf.DUMMYFUNCTION("""COMPUTED_VALUE"""),0.0)</f>
        <v>0</v>
      </c>
      <c r="D351" s="26">
        <f>IFERROR(__xludf.DUMMYFUNCTION("""COMPUTED_VALUE"""),0.0)</f>
        <v>0</v>
      </c>
      <c r="E351" s="26">
        <f>IFERROR(__xludf.DUMMYFUNCTION("""COMPUTED_VALUE"""),0.0)</f>
        <v>0</v>
      </c>
      <c r="F351" s="26">
        <f>IFERROR(__xludf.DUMMYFUNCTION("""COMPUTED_VALUE"""),0.0)</f>
        <v>0</v>
      </c>
      <c r="G351" s="26">
        <f>IFERROR(__xludf.DUMMYFUNCTION("""COMPUTED_VALUE"""),0.0)</f>
        <v>0</v>
      </c>
      <c r="H351" s="26">
        <f>IFERROR(__xludf.DUMMYFUNCTION("""COMPUTED_VALUE"""),0.0)</f>
        <v>0</v>
      </c>
      <c r="I351" s="26">
        <f>IFERROR(__xludf.DUMMYFUNCTION("""COMPUTED_VALUE"""),0.0)</f>
        <v>0</v>
      </c>
      <c r="J351" s="26">
        <f>IFERROR(__xludf.DUMMYFUNCTION("""COMPUTED_VALUE"""),0.0)</f>
        <v>0</v>
      </c>
      <c r="K351" s="26">
        <f>IFERROR(__xludf.DUMMYFUNCTION("""COMPUTED_VALUE"""),0.0)</f>
        <v>0</v>
      </c>
      <c r="L351" s="26">
        <f>IFERROR(__xludf.DUMMYFUNCTION("""COMPUTED_VALUE"""),0.0)</f>
        <v>0</v>
      </c>
      <c r="M351" s="26"/>
      <c r="N351" s="26"/>
      <c r="O351" s="26"/>
      <c r="P351" s="26"/>
      <c r="Q351" s="26"/>
      <c r="R351" s="26">
        <f>IFERROR(__xludf.DUMMYFUNCTION("""COMPUTED_VALUE"""),41.0)</f>
        <v>41</v>
      </c>
      <c r="S351" s="26">
        <f>IFERROR(__xludf.DUMMYFUNCTION("""COMPUTED_VALUE"""),18122.0)</f>
        <v>18122</v>
      </c>
      <c r="T351" s="26">
        <f>IFERROR(__xludf.DUMMYFUNCTION("""COMPUTED_VALUE"""),7175.0)</f>
        <v>7175</v>
      </c>
      <c r="U351" s="26">
        <f>IFERROR(__xludf.DUMMYFUNCTION("""COMPUTED_VALUE"""),9939.220000000001)</f>
        <v>9939.22</v>
      </c>
      <c r="V351" s="26">
        <f>IFERROR(__xludf.DUMMYFUNCTION("""COMPUTED_VALUE"""),0.0)</f>
        <v>0</v>
      </c>
      <c r="W351" s="26">
        <f>IFERROR(__xludf.DUMMYFUNCTION("""COMPUTED_VALUE"""),0.0)</f>
        <v>0</v>
      </c>
      <c r="X351" s="26">
        <f>IFERROR(__xludf.DUMMYFUNCTION("""COMPUTED_VALUE"""),2764.2200000000016)</f>
        <v>2764.22</v>
      </c>
      <c r="Y351" s="26">
        <f>IFERROR(__xludf.DUMMYFUNCTION("""COMPUTED_VALUE"""),2764.2200000000016)</f>
        <v>2764.22</v>
      </c>
      <c r="Z351" s="26">
        <f>IFERROR(__xludf.DUMMYFUNCTION("""COMPUTED_VALUE"""),0.0)</f>
        <v>0</v>
      </c>
      <c r="AA351" s="26">
        <f>IFERROR(__xludf.DUMMYFUNCTION("""COMPUTED_VALUE"""),0.0)</f>
        <v>0</v>
      </c>
      <c r="AB351" s="26">
        <f>IFERROR(__xludf.DUMMYFUNCTION("""COMPUTED_VALUE"""),0.0)</f>
        <v>0</v>
      </c>
      <c r="AC351" s="26">
        <f>IFERROR(__xludf.DUMMYFUNCTION("""COMPUTED_VALUE"""),0.0)</f>
        <v>0</v>
      </c>
      <c r="AD351" s="26">
        <f>IFERROR(__xludf.DUMMYFUNCTION("""COMPUTED_VALUE"""),0.0)</f>
        <v>0</v>
      </c>
      <c r="AE351" s="26">
        <f>IFERROR(__xludf.DUMMYFUNCTION("""COMPUTED_VALUE"""),0.0)</f>
        <v>0</v>
      </c>
    </row>
    <row r="352">
      <c r="A352" s="26">
        <f>IFERROR(__xludf.DUMMYFUNCTION("""COMPUTED_VALUE"""),0.0)</f>
        <v>0</v>
      </c>
      <c r="B352" s="26">
        <f>IFERROR(__xludf.DUMMYFUNCTION("""COMPUTED_VALUE"""),0.0)</f>
        <v>0</v>
      </c>
      <c r="C352" s="26">
        <f>IFERROR(__xludf.DUMMYFUNCTION("""COMPUTED_VALUE"""),0.0)</f>
        <v>0</v>
      </c>
      <c r="D352" s="26">
        <f>IFERROR(__xludf.DUMMYFUNCTION("""COMPUTED_VALUE"""),0.0)</f>
        <v>0</v>
      </c>
      <c r="E352" s="26">
        <f>IFERROR(__xludf.DUMMYFUNCTION("""COMPUTED_VALUE"""),0.0)</f>
        <v>0</v>
      </c>
      <c r="F352" s="26">
        <f>IFERROR(__xludf.DUMMYFUNCTION("""COMPUTED_VALUE"""),0.0)</f>
        <v>0</v>
      </c>
      <c r="G352" s="26">
        <f>IFERROR(__xludf.DUMMYFUNCTION("""COMPUTED_VALUE"""),0.0)</f>
        <v>0</v>
      </c>
      <c r="H352" s="26">
        <f>IFERROR(__xludf.DUMMYFUNCTION("""COMPUTED_VALUE"""),0.0)</f>
        <v>0</v>
      </c>
      <c r="I352" s="26">
        <f>IFERROR(__xludf.DUMMYFUNCTION("""COMPUTED_VALUE"""),0.0)</f>
        <v>0</v>
      </c>
      <c r="J352" s="26">
        <f>IFERROR(__xludf.DUMMYFUNCTION("""COMPUTED_VALUE"""),0.0)</f>
        <v>0</v>
      </c>
      <c r="K352" s="26">
        <f>IFERROR(__xludf.DUMMYFUNCTION("""COMPUTED_VALUE"""),0.0)</f>
        <v>0</v>
      </c>
      <c r="L352" s="26">
        <f>IFERROR(__xludf.DUMMYFUNCTION("""COMPUTED_VALUE"""),0.0)</f>
        <v>0</v>
      </c>
      <c r="M352" s="26"/>
      <c r="N352" s="26"/>
      <c r="O352" s="26"/>
      <c r="P352" s="26"/>
      <c r="Q352" s="26"/>
      <c r="R352" s="26">
        <f>IFERROR(__xludf.DUMMYFUNCTION("""COMPUTED_VALUE"""),0.0)</f>
        <v>0</v>
      </c>
      <c r="S352" s="26">
        <f>IFERROR(__xludf.DUMMYFUNCTION("""COMPUTED_VALUE"""),0.0)</f>
        <v>0</v>
      </c>
      <c r="T352" s="26">
        <f>IFERROR(__xludf.DUMMYFUNCTION("""COMPUTED_VALUE"""),0.0)</f>
        <v>0</v>
      </c>
      <c r="U352" s="26">
        <f>IFERROR(__xludf.DUMMYFUNCTION("""COMPUTED_VALUE"""),0.0)</f>
        <v>0</v>
      </c>
      <c r="V352" s="26">
        <f>IFERROR(__xludf.DUMMYFUNCTION("""COMPUTED_VALUE"""),0.0)</f>
        <v>0</v>
      </c>
      <c r="W352" s="26">
        <f>IFERROR(__xludf.DUMMYFUNCTION("""COMPUTED_VALUE"""),0.0)</f>
        <v>0</v>
      </c>
      <c r="X352" s="26">
        <f>IFERROR(__xludf.DUMMYFUNCTION("""COMPUTED_VALUE"""),0.0)</f>
        <v>0</v>
      </c>
      <c r="Y352" s="26">
        <f>IFERROR(__xludf.DUMMYFUNCTION("""COMPUTED_VALUE"""),0.0)</f>
        <v>0</v>
      </c>
      <c r="Z352" s="26">
        <f>IFERROR(__xludf.DUMMYFUNCTION("""COMPUTED_VALUE"""),0.0)</f>
        <v>0</v>
      </c>
      <c r="AA352" s="26">
        <f>IFERROR(__xludf.DUMMYFUNCTION("""COMPUTED_VALUE"""),0.0)</f>
        <v>0</v>
      </c>
      <c r="AB352" s="26">
        <f>IFERROR(__xludf.DUMMYFUNCTION("""COMPUTED_VALUE"""),0.0)</f>
        <v>0</v>
      </c>
      <c r="AC352" s="26">
        <f>IFERROR(__xludf.DUMMYFUNCTION("""COMPUTED_VALUE"""),0.0)</f>
        <v>0</v>
      </c>
      <c r="AD352" s="26">
        <f>IFERROR(__xludf.DUMMYFUNCTION("""COMPUTED_VALUE"""),0.0)</f>
        <v>0</v>
      </c>
      <c r="AE352" s="26">
        <f>IFERROR(__xludf.DUMMYFUNCTION("""COMPUTED_VALUE"""),0.0)</f>
        <v>0</v>
      </c>
    </row>
    <row r="353">
      <c r="A353" s="26">
        <f>IFERROR(__xludf.DUMMYFUNCTION("""COMPUTED_VALUE"""),22.0)</f>
        <v>22</v>
      </c>
      <c r="B353" s="26">
        <f>IFERROR(__xludf.DUMMYFUNCTION("""COMPUTED_VALUE"""),0.0)</f>
        <v>0</v>
      </c>
      <c r="C353" s="26">
        <f>IFERROR(__xludf.DUMMYFUNCTION("""COMPUTED_VALUE"""),0.0)</f>
        <v>0</v>
      </c>
      <c r="D353" s="26">
        <f>IFERROR(__xludf.DUMMYFUNCTION("""COMPUTED_VALUE"""),0.0)</f>
        <v>0</v>
      </c>
      <c r="E353" s="26">
        <f>IFERROR(__xludf.DUMMYFUNCTION("""COMPUTED_VALUE"""),0.0)</f>
        <v>0</v>
      </c>
      <c r="F353" s="26">
        <f>IFERROR(__xludf.DUMMYFUNCTION("""COMPUTED_VALUE"""),0.0)</f>
        <v>0</v>
      </c>
      <c r="G353" s="26">
        <f>IFERROR(__xludf.DUMMYFUNCTION("""COMPUTED_VALUE"""),0.0)</f>
        <v>0</v>
      </c>
      <c r="H353" s="26">
        <f>IFERROR(__xludf.DUMMYFUNCTION("""COMPUTED_VALUE"""),0.0)</f>
        <v>0</v>
      </c>
      <c r="I353" s="26">
        <f>IFERROR(__xludf.DUMMYFUNCTION("""COMPUTED_VALUE"""),0.0)</f>
        <v>0</v>
      </c>
      <c r="J353" s="26">
        <f>IFERROR(__xludf.DUMMYFUNCTION("""COMPUTED_VALUE"""),0.0)</f>
        <v>0</v>
      </c>
      <c r="K353" s="26">
        <f>IFERROR(__xludf.DUMMYFUNCTION("""COMPUTED_VALUE"""),0.0)</f>
        <v>0</v>
      </c>
      <c r="L353" s="26">
        <f>IFERROR(__xludf.DUMMYFUNCTION("""COMPUTED_VALUE"""),0.0)</f>
        <v>0</v>
      </c>
      <c r="M353" s="26"/>
      <c r="N353" s="26"/>
      <c r="O353" s="26"/>
      <c r="P353" s="26"/>
      <c r="Q353" s="26"/>
      <c r="R353" s="26">
        <f>IFERROR(__xludf.DUMMYFUNCTION("""COMPUTED_VALUE"""),22.0)</f>
        <v>22</v>
      </c>
      <c r="S353" s="26">
        <f>IFERROR(__xludf.DUMMYFUNCTION("""COMPUTED_VALUE"""),9724.0)</f>
        <v>9724</v>
      </c>
      <c r="T353" s="26">
        <f>IFERROR(__xludf.DUMMYFUNCTION("""COMPUTED_VALUE"""),3850.0)</f>
        <v>3850</v>
      </c>
      <c r="U353" s="26">
        <f>IFERROR(__xludf.DUMMYFUNCTION("""COMPUTED_VALUE"""),5333.24)</f>
        <v>5333.24</v>
      </c>
      <c r="V353" s="26">
        <f>IFERROR(__xludf.DUMMYFUNCTION("""COMPUTED_VALUE"""),0.0)</f>
        <v>0</v>
      </c>
      <c r="W353" s="26">
        <f>IFERROR(__xludf.DUMMYFUNCTION("""COMPUTED_VALUE"""),0.0)</f>
        <v>0</v>
      </c>
      <c r="X353" s="26">
        <f>IFERROR(__xludf.DUMMYFUNCTION("""COMPUTED_VALUE"""),1483.2400000000002)</f>
        <v>1483.24</v>
      </c>
      <c r="Y353" s="26">
        <f>IFERROR(__xludf.DUMMYFUNCTION("""COMPUTED_VALUE"""),1483.2400000000002)</f>
        <v>1483.24</v>
      </c>
      <c r="Z353" s="26">
        <f>IFERROR(__xludf.DUMMYFUNCTION("""COMPUTED_VALUE"""),0.0)</f>
        <v>0</v>
      </c>
      <c r="AA353" s="26">
        <f>IFERROR(__xludf.DUMMYFUNCTION("""COMPUTED_VALUE"""),0.0)</f>
        <v>0</v>
      </c>
      <c r="AB353" s="26">
        <f>IFERROR(__xludf.DUMMYFUNCTION("""COMPUTED_VALUE"""),0.0)</f>
        <v>0</v>
      </c>
      <c r="AC353" s="26">
        <f>IFERROR(__xludf.DUMMYFUNCTION("""COMPUTED_VALUE"""),0.0)</f>
        <v>0</v>
      </c>
      <c r="AD353" s="26">
        <f>IFERROR(__xludf.DUMMYFUNCTION("""COMPUTED_VALUE"""),0.0)</f>
        <v>0</v>
      </c>
      <c r="AE353" s="26">
        <f>IFERROR(__xludf.DUMMYFUNCTION("""COMPUTED_VALUE"""),0.0)</f>
        <v>0</v>
      </c>
    </row>
    <row r="354">
      <c r="A354" s="26">
        <f>IFERROR(__xludf.DUMMYFUNCTION("""COMPUTED_VALUE"""),28.0)</f>
        <v>28</v>
      </c>
      <c r="B354" s="26">
        <f>IFERROR(__xludf.DUMMYFUNCTION("""COMPUTED_VALUE"""),0.0)</f>
        <v>0</v>
      </c>
      <c r="C354" s="26">
        <f>IFERROR(__xludf.DUMMYFUNCTION("""COMPUTED_VALUE"""),0.0)</f>
        <v>0</v>
      </c>
      <c r="D354" s="26">
        <f>IFERROR(__xludf.DUMMYFUNCTION("""COMPUTED_VALUE"""),0.0)</f>
        <v>0</v>
      </c>
      <c r="E354" s="26">
        <f>IFERROR(__xludf.DUMMYFUNCTION("""COMPUTED_VALUE"""),0.0)</f>
        <v>0</v>
      </c>
      <c r="F354" s="26">
        <f>IFERROR(__xludf.DUMMYFUNCTION("""COMPUTED_VALUE"""),0.0)</f>
        <v>0</v>
      </c>
      <c r="G354" s="26">
        <f>IFERROR(__xludf.DUMMYFUNCTION("""COMPUTED_VALUE"""),0.0)</f>
        <v>0</v>
      </c>
      <c r="H354" s="26">
        <f>IFERROR(__xludf.DUMMYFUNCTION("""COMPUTED_VALUE"""),0.0)</f>
        <v>0</v>
      </c>
      <c r="I354" s="26">
        <f>IFERROR(__xludf.DUMMYFUNCTION("""COMPUTED_VALUE"""),0.0)</f>
        <v>0</v>
      </c>
      <c r="J354" s="26">
        <f>IFERROR(__xludf.DUMMYFUNCTION("""COMPUTED_VALUE"""),0.0)</f>
        <v>0</v>
      </c>
      <c r="K354" s="26">
        <f>IFERROR(__xludf.DUMMYFUNCTION("""COMPUTED_VALUE"""),0.0)</f>
        <v>0</v>
      </c>
      <c r="L354" s="26">
        <f>IFERROR(__xludf.DUMMYFUNCTION("""COMPUTED_VALUE"""),0.0)</f>
        <v>0</v>
      </c>
      <c r="M354" s="26"/>
      <c r="N354" s="26"/>
      <c r="O354" s="26"/>
      <c r="P354" s="26"/>
      <c r="Q354" s="26"/>
      <c r="R354" s="26">
        <f>IFERROR(__xludf.DUMMYFUNCTION("""COMPUTED_VALUE"""),28.0)</f>
        <v>28</v>
      </c>
      <c r="S354" s="26">
        <f>IFERROR(__xludf.DUMMYFUNCTION("""COMPUTED_VALUE"""),12376.0)</f>
        <v>12376</v>
      </c>
      <c r="T354" s="26">
        <f>IFERROR(__xludf.DUMMYFUNCTION("""COMPUTED_VALUE"""),4900.0)</f>
        <v>4900</v>
      </c>
      <c r="U354" s="26">
        <f>IFERROR(__xludf.DUMMYFUNCTION("""COMPUTED_VALUE"""),6787.76)</f>
        <v>6787.76</v>
      </c>
      <c r="V354" s="26">
        <f>IFERROR(__xludf.DUMMYFUNCTION("""COMPUTED_VALUE"""),0.0)</f>
        <v>0</v>
      </c>
      <c r="W354" s="26">
        <f>IFERROR(__xludf.DUMMYFUNCTION("""COMPUTED_VALUE"""),0.0)</f>
        <v>0</v>
      </c>
      <c r="X354" s="26">
        <f>IFERROR(__xludf.DUMMYFUNCTION("""COMPUTED_VALUE"""),1887.7600000000007)</f>
        <v>1887.76</v>
      </c>
      <c r="Y354" s="26">
        <f>IFERROR(__xludf.DUMMYFUNCTION("""COMPUTED_VALUE"""),1887.7600000000007)</f>
        <v>1887.76</v>
      </c>
      <c r="Z354" s="26">
        <f>IFERROR(__xludf.DUMMYFUNCTION("""COMPUTED_VALUE"""),0.0)</f>
        <v>0</v>
      </c>
      <c r="AA354" s="26">
        <f>IFERROR(__xludf.DUMMYFUNCTION("""COMPUTED_VALUE"""),0.0)</f>
        <v>0</v>
      </c>
      <c r="AB354" s="26">
        <f>IFERROR(__xludf.DUMMYFUNCTION("""COMPUTED_VALUE"""),0.0)</f>
        <v>0</v>
      </c>
      <c r="AC354" s="26">
        <f>IFERROR(__xludf.DUMMYFUNCTION("""COMPUTED_VALUE"""),0.0)</f>
        <v>0</v>
      </c>
      <c r="AD354" s="26">
        <f>IFERROR(__xludf.DUMMYFUNCTION("""COMPUTED_VALUE"""),0.0)</f>
        <v>0</v>
      </c>
      <c r="AE354" s="26">
        <f>IFERROR(__xludf.DUMMYFUNCTION("""COMPUTED_VALUE"""),0.0)</f>
        <v>0</v>
      </c>
    </row>
    <row r="355">
      <c r="A355" s="26">
        <f>IFERROR(__xludf.DUMMYFUNCTION("""COMPUTED_VALUE"""),29.0)</f>
        <v>29</v>
      </c>
      <c r="B355" s="26">
        <f>IFERROR(__xludf.DUMMYFUNCTION("""COMPUTED_VALUE"""),0.0)</f>
        <v>0</v>
      </c>
      <c r="C355" s="26">
        <f>IFERROR(__xludf.DUMMYFUNCTION("""COMPUTED_VALUE"""),0.0)</f>
        <v>0</v>
      </c>
      <c r="D355" s="26">
        <f>IFERROR(__xludf.DUMMYFUNCTION("""COMPUTED_VALUE"""),0.0)</f>
        <v>0</v>
      </c>
      <c r="E355" s="26">
        <f>IFERROR(__xludf.DUMMYFUNCTION("""COMPUTED_VALUE"""),0.0)</f>
        <v>0</v>
      </c>
      <c r="F355" s="26">
        <f>IFERROR(__xludf.DUMMYFUNCTION("""COMPUTED_VALUE"""),0.0)</f>
        <v>0</v>
      </c>
      <c r="G355" s="26">
        <f>IFERROR(__xludf.DUMMYFUNCTION("""COMPUTED_VALUE"""),0.0)</f>
        <v>0</v>
      </c>
      <c r="H355" s="26">
        <f>IFERROR(__xludf.DUMMYFUNCTION("""COMPUTED_VALUE"""),0.0)</f>
        <v>0</v>
      </c>
      <c r="I355" s="26">
        <f>IFERROR(__xludf.DUMMYFUNCTION("""COMPUTED_VALUE"""),0.0)</f>
        <v>0</v>
      </c>
      <c r="J355" s="26">
        <f>IFERROR(__xludf.DUMMYFUNCTION("""COMPUTED_VALUE"""),0.0)</f>
        <v>0</v>
      </c>
      <c r="K355" s="26">
        <f>IFERROR(__xludf.DUMMYFUNCTION("""COMPUTED_VALUE"""),0.0)</f>
        <v>0</v>
      </c>
      <c r="L355" s="26">
        <f>IFERROR(__xludf.DUMMYFUNCTION("""COMPUTED_VALUE"""),0.0)</f>
        <v>0</v>
      </c>
      <c r="M355" s="26"/>
      <c r="N355" s="26"/>
      <c r="O355" s="26"/>
      <c r="P355" s="26"/>
      <c r="Q355" s="26"/>
      <c r="R355" s="26">
        <f>IFERROR(__xludf.DUMMYFUNCTION("""COMPUTED_VALUE"""),29.0)</f>
        <v>29</v>
      </c>
      <c r="S355" s="26">
        <f>IFERROR(__xludf.DUMMYFUNCTION("""COMPUTED_VALUE"""),12818.0)</f>
        <v>12818</v>
      </c>
      <c r="T355" s="26">
        <f>IFERROR(__xludf.DUMMYFUNCTION("""COMPUTED_VALUE"""),5075.0)</f>
        <v>5075</v>
      </c>
      <c r="U355" s="26">
        <f>IFERROR(__xludf.DUMMYFUNCTION("""COMPUTED_VALUE"""),7030.18)</f>
        <v>7030.18</v>
      </c>
      <c r="V355" s="26">
        <f>IFERROR(__xludf.DUMMYFUNCTION("""COMPUTED_VALUE"""),0.0)</f>
        <v>0</v>
      </c>
      <c r="W355" s="26">
        <f>IFERROR(__xludf.DUMMYFUNCTION("""COMPUTED_VALUE"""),0.0)</f>
        <v>0</v>
      </c>
      <c r="X355" s="26">
        <f>IFERROR(__xludf.DUMMYFUNCTION("""COMPUTED_VALUE"""),1955.1800000000007)</f>
        <v>1955.18</v>
      </c>
      <c r="Y355" s="26">
        <f>IFERROR(__xludf.DUMMYFUNCTION("""COMPUTED_VALUE"""),1955.1800000000007)</f>
        <v>1955.18</v>
      </c>
      <c r="Z355" s="26">
        <f>IFERROR(__xludf.DUMMYFUNCTION("""COMPUTED_VALUE"""),0.0)</f>
        <v>0</v>
      </c>
      <c r="AA355" s="26">
        <f>IFERROR(__xludf.DUMMYFUNCTION("""COMPUTED_VALUE"""),0.0)</f>
        <v>0</v>
      </c>
      <c r="AB355" s="26">
        <f>IFERROR(__xludf.DUMMYFUNCTION("""COMPUTED_VALUE"""),0.0)</f>
        <v>0</v>
      </c>
      <c r="AC355" s="26">
        <f>IFERROR(__xludf.DUMMYFUNCTION("""COMPUTED_VALUE"""),0.0)</f>
        <v>0</v>
      </c>
      <c r="AD355" s="26">
        <f>IFERROR(__xludf.DUMMYFUNCTION("""COMPUTED_VALUE"""),0.0)</f>
        <v>0</v>
      </c>
      <c r="AE355" s="26">
        <f>IFERROR(__xludf.DUMMYFUNCTION("""COMPUTED_VALUE"""),0.0)</f>
        <v>0</v>
      </c>
    </row>
    <row r="356">
      <c r="A356" s="26">
        <f>IFERROR(__xludf.DUMMYFUNCTION("""COMPUTED_VALUE"""),0.0)</f>
        <v>0</v>
      </c>
      <c r="B356" s="26">
        <f>IFERROR(__xludf.DUMMYFUNCTION("""COMPUTED_VALUE"""),0.0)</f>
        <v>0</v>
      </c>
      <c r="C356" s="26">
        <f>IFERROR(__xludf.DUMMYFUNCTION("""COMPUTED_VALUE"""),0.0)</f>
        <v>0</v>
      </c>
      <c r="D356" s="26">
        <f>IFERROR(__xludf.DUMMYFUNCTION("""COMPUTED_VALUE"""),0.0)</f>
        <v>0</v>
      </c>
      <c r="E356" s="26">
        <f>IFERROR(__xludf.DUMMYFUNCTION("""COMPUTED_VALUE"""),0.0)</f>
        <v>0</v>
      </c>
      <c r="F356" s="26">
        <f>IFERROR(__xludf.DUMMYFUNCTION("""COMPUTED_VALUE"""),0.0)</f>
        <v>0</v>
      </c>
      <c r="G356" s="26">
        <f>IFERROR(__xludf.DUMMYFUNCTION("""COMPUTED_VALUE"""),0.0)</f>
        <v>0</v>
      </c>
      <c r="H356" s="26">
        <f>IFERROR(__xludf.DUMMYFUNCTION("""COMPUTED_VALUE"""),0.0)</f>
        <v>0</v>
      </c>
      <c r="I356" s="26">
        <f>IFERROR(__xludf.DUMMYFUNCTION("""COMPUTED_VALUE"""),0.0)</f>
        <v>0</v>
      </c>
      <c r="J356" s="26">
        <f>IFERROR(__xludf.DUMMYFUNCTION("""COMPUTED_VALUE"""),0.0)</f>
        <v>0</v>
      </c>
      <c r="K356" s="26">
        <f>IFERROR(__xludf.DUMMYFUNCTION("""COMPUTED_VALUE"""),0.0)</f>
        <v>0</v>
      </c>
      <c r="L356" s="26">
        <f>IFERROR(__xludf.DUMMYFUNCTION("""COMPUTED_VALUE"""),0.0)</f>
        <v>0</v>
      </c>
      <c r="M356" s="26"/>
      <c r="N356" s="26"/>
      <c r="O356" s="26"/>
      <c r="P356" s="26"/>
      <c r="Q356" s="26"/>
      <c r="R356" s="26">
        <f>IFERROR(__xludf.DUMMYFUNCTION("""COMPUTED_VALUE"""),0.0)</f>
        <v>0</v>
      </c>
      <c r="S356" s="26">
        <f>IFERROR(__xludf.DUMMYFUNCTION("""COMPUTED_VALUE"""),0.0)</f>
        <v>0</v>
      </c>
      <c r="T356" s="26">
        <f>IFERROR(__xludf.DUMMYFUNCTION("""COMPUTED_VALUE"""),0.0)</f>
        <v>0</v>
      </c>
      <c r="U356" s="26">
        <f>IFERROR(__xludf.DUMMYFUNCTION("""COMPUTED_VALUE"""),0.0)</f>
        <v>0</v>
      </c>
      <c r="V356" s="26">
        <f>IFERROR(__xludf.DUMMYFUNCTION("""COMPUTED_VALUE"""),0.0)</f>
        <v>0</v>
      </c>
      <c r="W356" s="26">
        <f>IFERROR(__xludf.DUMMYFUNCTION("""COMPUTED_VALUE"""),0.0)</f>
        <v>0</v>
      </c>
      <c r="X356" s="26">
        <f>IFERROR(__xludf.DUMMYFUNCTION("""COMPUTED_VALUE"""),0.0)</f>
        <v>0</v>
      </c>
      <c r="Y356" s="26">
        <f>IFERROR(__xludf.DUMMYFUNCTION("""COMPUTED_VALUE"""),0.0)</f>
        <v>0</v>
      </c>
      <c r="Z356" s="26">
        <f>IFERROR(__xludf.DUMMYFUNCTION("""COMPUTED_VALUE"""),0.0)</f>
        <v>0</v>
      </c>
      <c r="AA356" s="26">
        <f>IFERROR(__xludf.DUMMYFUNCTION("""COMPUTED_VALUE"""),0.0)</f>
        <v>0</v>
      </c>
      <c r="AB356" s="26">
        <f>IFERROR(__xludf.DUMMYFUNCTION("""COMPUTED_VALUE"""),0.0)</f>
        <v>0</v>
      </c>
      <c r="AC356" s="26">
        <f>IFERROR(__xludf.DUMMYFUNCTION("""COMPUTED_VALUE"""),0.0)</f>
        <v>0</v>
      </c>
      <c r="AD356" s="26">
        <f>IFERROR(__xludf.DUMMYFUNCTION("""COMPUTED_VALUE"""),0.0)</f>
        <v>0</v>
      </c>
      <c r="AE356" s="26">
        <f>IFERROR(__xludf.DUMMYFUNCTION("""COMPUTED_VALUE"""),0.0)</f>
        <v>0</v>
      </c>
    </row>
    <row r="357">
      <c r="A357" s="26">
        <f>IFERROR(__xludf.DUMMYFUNCTION("""COMPUTED_VALUE"""),94.0)</f>
        <v>94</v>
      </c>
      <c r="B357" s="26">
        <f>IFERROR(__xludf.DUMMYFUNCTION("""COMPUTED_VALUE"""),0.0)</f>
        <v>0</v>
      </c>
      <c r="C357" s="26">
        <f>IFERROR(__xludf.DUMMYFUNCTION("""COMPUTED_VALUE"""),0.0)</f>
        <v>0</v>
      </c>
      <c r="D357" s="26">
        <f>IFERROR(__xludf.DUMMYFUNCTION("""COMPUTED_VALUE"""),0.0)</f>
        <v>0</v>
      </c>
      <c r="E357" s="26">
        <f>IFERROR(__xludf.DUMMYFUNCTION("""COMPUTED_VALUE"""),0.0)</f>
        <v>0</v>
      </c>
      <c r="F357" s="26">
        <f>IFERROR(__xludf.DUMMYFUNCTION("""COMPUTED_VALUE"""),0.0)</f>
        <v>0</v>
      </c>
      <c r="G357" s="26">
        <f>IFERROR(__xludf.DUMMYFUNCTION("""COMPUTED_VALUE"""),0.0)</f>
        <v>0</v>
      </c>
      <c r="H357" s="26">
        <f>IFERROR(__xludf.DUMMYFUNCTION("""COMPUTED_VALUE"""),0.0)</f>
        <v>0</v>
      </c>
      <c r="I357" s="26">
        <f>IFERROR(__xludf.DUMMYFUNCTION("""COMPUTED_VALUE"""),0.0)</f>
        <v>0</v>
      </c>
      <c r="J357" s="26">
        <f>IFERROR(__xludf.DUMMYFUNCTION("""COMPUTED_VALUE"""),0.0)</f>
        <v>0</v>
      </c>
      <c r="K357" s="26">
        <f>IFERROR(__xludf.DUMMYFUNCTION("""COMPUTED_VALUE"""),0.0)</f>
        <v>0</v>
      </c>
      <c r="L357" s="26">
        <f>IFERROR(__xludf.DUMMYFUNCTION("""COMPUTED_VALUE"""),0.0)</f>
        <v>0</v>
      </c>
      <c r="M357" s="26"/>
      <c r="N357" s="26"/>
      <c r="O357" s="26"/>
      <c r="P357" s="26"/>
      <c r="Q357" s="26"/>
      <c r="R357" s="26">
        <f>IFERROR(__xludf.DUMMYFUNCTION("""COMPUTED_VALUE"""),94.0)</f>
        <v>94</v>
      </c>
      <c r="S357" s="26">
        <f>IFERROR(__xludf.DUMMYFUNCTION("""COMPUTED_VALUE"""),36660.0)</f>
        <v>36660</v>
      </c>
      <c r="T357" s="26">
        <f>IFERROR(__xludf.DUMMYFUNCTION("""COMPUTED_VALUE"""),15040.0)</f>
        <v>15040</v>
      </c>
      <c r="U357" s="26">
        <f>IFERROR(__xludf.DUMMYFUNCTION("""COMPUTED_VALUE"""),20632.059999999987)</f>
        <v>20632.06</v>
      </c>
      <c r="V357" s="26">
        <f>IFERROR(__xludf.DUMMYFUNCTION("""COMPUTED_VALUE"""),0.0)</f>
        <v>0</v>
      </c>
      <c r="W357" s="26">
        <f>IFERROR(__xludf.DUMMYFUNCTION("""COMPUTED_VALUE"""),0.0)</f>
        <v>0</v>
      </c>
      <c r="X357" s="26">
        <f>IFERROR(__xludf.DUMMYFUNCTION("""COMPUTED_VALUE"""),5592.059999999988)</f>
        <v>5592.06</v>
      </c>
      <c r="Y357" s="26">
        <f>IFERROR(__xludf.DUMMYFUNCTION("""COMPUTED_VALUE"""),5592.059999999988)</f>
        <v>5592.06</v>
      </c>
      <c r="Z357" s="26">
        <f>IFERROR(__xludf.DUMMYFUNCTION("""COMPUTED_VALUE"""),21433.880000000034)</f>
        <v>21433.88</v>
      </c>
      <c r="AA357" s="26">
        <f>IFERROR(__xludf.DUMMYFUNCTION("""COMPUTED_VALUE"""),21433.880000000034)</f>
        <v>21433.88</v>
      </c>
      <c r="AB357" s="26">
        <f>IFERROR(__xludf.DUMMYFUNCTION("""COMPUTED_VALUE"""),16027.940000000017)</f>
        <v>16027.94</v>
      </c>
      <c r="AC357" s="26">
        <f>IFERROR(__xludf.DUMMYFUNCTION("""COMPUTED_VALUE"""),15226.11999999997)</f>
        <v>15226.12</v>
      </c>
      <c r="AD357" s="26">
        <f>IFERROR(__xludf.DUMMYFUNCTION("""COMPUTED_VALUE"""),801.8199999999983)</f>
        <v>801.82</v>
      </c>
      <c r="AE357" s="26">
        <f>IFERROR(__xludf.DUMMYFUNCTION("""COMPUTED_VALUE"""),0.0)</f>
        <v>0</v>
      </c>
    </row>
    <row r="358">
      <c r="A358" s="26">
        <f>IFERROR(__xludf.DUMMYFUNCTION("""COMPUTED_VALUE"""),0.0)</f>
        <v>0</v>
      </c>
      <c r="B358" s="26">
        <f>IFERROR(__xludf.DUMMYFUNCTION("""COMPUTED_VALUE"""),0.0)</f>
        <v>0</v>
      </c>
      <c r="C358" s="26">
        <f>IFERROR(__xludf.DUMMYFUNCTION("""COMPUTED_VALUE"""),300.0)</f>
        <v>300</v>
      </c>
      <c r="D358" s="26">
        <f>IFERROR(__xludf.DUMMYFUNCTION("""COMPUTED_VALUE"""),0.0)</f>
        <v>0</v>
      </c>
      <c r="E358" s="26">
        <f>IFERROR(__xludf.DUMMYFUNCTION("""COMPUTED_VALUE"""),0.0)</f>
        <v>0</v>
      </c>
      <c r="F358" s="26">
        <f>IFERROR(__xludf.DUMMYFUNCTION("""COMPUTED_VALUE"""),0.0)</f>
        <v>0</v>
      </c>
      <c r="G358" s="26">
        <f>IFERROR(__xludf.DUMMYFUNCTION("""COMPUTED_VALUE"""),0.0)</f>
        <v>0</v>
      </c>
      <c r="H358" s="26">
        <f>IFERROR(__xludf.DUMMYFUNCTION("""COMPUTED_VALUE"""),0.0)</f>
        <v>0</v>
      </c>
      <c r="I358" s="26">
        <f>IFERROR(__xludf.DUMMYFUNCTION("""COMPUTED_VALUE"""),0.0)</f>
        <v>0</v>
      </c>
      <c r="J358" s="26">
        <f>IFERROR(__xludf.DUMMYFUNCTION("""COMPUTED_VALUE"""),0.0)</f>
        <v>0</v>
      </c>
      <c r="K358" s="26">
        <f>IFERROR(__xludf.DUMMYFUNCTION("""COMPUTED_VALUE"""),0.0)</f>
        <v>0</v>
      </c>
      <c r="L358" s="26">
        <f>IFERROR(__xludf.DUMMYFUNCTION("""COMPUTED_VALUE"""),0.0)</f>
        <v>0</v>
      </c>
      <c r="M358" s="26"/>
      <c r="N358" s="26"/>
      <c r="O358" s="26"/>
      <c r="P358" s="26"/>
      <c r="Q358" s="26"/>
      <c r="R358" s="26">
        <f>IFERROR(__xludf.DUMMYFUNCTION("""COMPUTED_VALUE"""),300.0)</f>
        <v>300</v>
      </c>
      <c r="S358" s="26">
        <f>IFERROR(__xludf.DUMMYFUNCTION("""COMPUTED_VALUE"""),132600.0)</f>
        <v>132600</v>
      </c>
      <c r="T358" s="26">
        <f>IFERROR(__xludf.DUMMYFUNCTION("""COMPUTED_VALUE"""),45000.0)</f>
        <v>45000</v>
      </c>
      <c r="U358" s="26">
        <f>IFERROR(__xludf.DUMMYFUNCTION("""COMPUTED_VALUE"""),65225.99999999991)</f>
        <v>65226</v>
      </c>
      <c r="V358" s="26">
        <f>IFERROR(__xludf.DUMMYFUNCTION("""COMPUTED_VALUE"""),0.0)</f>
        <v>0</v>
      </c>
      <c r="W358" s="26">
        <f>IFERROR(__xludf.DUMMYFUNCTION("""COMPUTED_VALUE"""),0.0)</f>
        <v>0</v>
      </c>
      <c r="X358" s="26">
        <f>IFERROR(__xludf.DUMMYFUNCTION("""COMPUTED_VALUE"""),20225.999999999916)</f>
        <v>20226</v>
      </c>
      <c r="Y358" s="26">
        <f>IFERROR(__xludf.DUMMYFUNCTION("""COMPUTED_VALUE"""),20225.999999999916)</f>
        <v>20226</v>
      </c>
      <c r="Z358" s="26">
        <f>IFERROR(__xludf.DUMMYFUNCTION("""COMPUTED_VALUE"""),68595.00000000022)</f>
        <v>68595</v>
      </c>
      <c r="AA358" s="26">
        <f>IFERROR(__xludf.DUMMYFUNCTION("""COMPUTED_VALUE"""),68595.00000000022)</f>
        <v>68595</v>
      </c>
      <c r="AB358" s="26">
        <f>IFERROR(__xludf.DUMMYFUNCTION("""COMPUTED_VALUE"""),67374.0000000004)</f>
        <v>67374</v>
      </c>
      <c r="AC358" s="26">
        <f>IFERROR(__xludf.DUMMYFUNCTION("""COMPUTED_VALUE"""),64004.999999999694)</f>
        <v>64005</v>
      </c>
      <c r="AD358" s="26">
        <f>IFERROR(__xludf.DUMMYFUNCTION("""COMPUTED_VALUE"""),3369.0000000000045)</f>
        <v>3369</v>
      </c>
      <c r="AE358" s="26">
        <f>IFERROR(__xludf.DUMMYFUNCTION("""COMPUTED_VALUE"""),0.0)</f>
        <v>0</v>
      </c>
    </row>
    <row r="359">
      <c r="A359" s="26">
        <f>IFERROR(__xludf.DUMMYFUNCTION("""COMPUTED_VALUE"""),29.0)</f>
        <v>29</v>
      </c>
      <c r="B359" s="26">
        <f>IFERROR(__xludf.DUMMYFUNCTION("""COMPUTED_VALUE"""),0.0)</f>
        <v>0</v>
      </c>
      <c r="C359" s="26">
        <f>IFERROR(__xludf.DUMMYFUNCTION("""COMPUTED_VALUE"""),0.0)</f>
        <v>0</v>
      </c>
      <c r="D359" s="26">
        <f>IFERROR(__xludf.DUMMYFUNCTION("""COMPUTED_VALUE"""),0.0)</f>
        <v>0</v>
      </c>
      <c r="E359" s="26">
        <f>IFERROR(__xludf.DUMMYFUNCTION("""COMPUTED_VALUE"""),0.0)</f>
        <v>0</v>
      </c>
      <c r="F359" s="26">
        <f>IFERROR(__xludf.DUMMYFUNCTION("""COMPUTED_VALUE"""),0.0)</f>
        <v>0</v>
      </c>
      <c r="G359" s="26">
        <f>IFERROR(__xludf.DUMMYFUNCTION("""COMPUTED_VALUE"""),0.0)</f>
        <v>0</v>
      </c>
      <c r="H359" s="26">
        <f>IFERROR(__xludf.DUMMYFUNCTION("""COMPUTED_VALUE"""),0.0)</f>
        <v>0</v>
      </c>
      <c r="I359" s="26">
        <f>IFERROR(__xludf.DUMMYFUNCTION("""COMPUTED_VALUE"""),0.0)</f>
        <v>0</v>
      </c>
      <c r="J359" s="26">
        <f>IFERROR(__xludf.DUMMYFUNCTION("""COMPUTED_VALUE"""),0.0)</f>
        <v>0</v>
      </c>
      <c r="K359" s="26">
        <f>IFERROR(__xludf.DUMMYFUNCTION("""COMPUTED_VALUE"""),0.0)</f>
        <v>0</v>
      </c>
      <c r="L359" s="26">
        <f>IFERROR(__xludf.DUMMYFUNCTION("""COMPUTED_VALUE"""),0.0)</f>
        <v>0</v>
      </c>
      <c r="M359" s="26"/>
      <c r="N359" s="26"/>
      <c r="O359" s="26"/>
      <c r="P359" s="26"/>
      <c r="Q359" s="26"/>
      <c r="R359" s="26">
        <f>IFERROR(__xludf.DUMMYFUNCTION("""COMPUTED_VALUE"""),29.0)</f>
        <v>29</v>
      </c>
      <c r="S359" s="26">
        <f>IFERROR(__xludf.DUMMYFUNCTION("""COMPUTED_VALUE"""),12818.0)</f>
        <v>12818</v>
      </c>
      <c r="T359" s="26">
        <f>IFERROR(__xludf.DUMMYFUNCTION("""COMPUTED_VALUE"""),5075.0)</f>
        <v>5075</v>
      </c>
      <c r="U359" s="26">
        <f>IFERROR(__xludf.DUMMYFUNCTION("""COMPUTED_VALUE"""),7030.18)</f>
        <v>7030.18</v>
      </c>
      <c r="V359" s="26">
        <f>IFERROR(__xludf.DUMMYFUNCTION("""COMPUTED_VALUE"""),0.0)</f>
        <v>0</v>
      </c>
      <c r="W359" s="26">
        <f>IFERROR(__xludf.DUMMYFUNCTION("""COMPUTED_VALUE"""),0.0)</f>
        <v>0</v>
      </c>
      <c r="X359" s="26">
        <f>IFERROR(__xludf.DUMMYFUNCTION("""COMPUTED_VALUE"""),1955.1800000000007)</f>
        <v>1955.18</v>
      </c>
      <c r="Y359" s="26">
        <f>IFERROR(__xludf.DUMMYFUNCTION("""COMPUTED_VALUE"""),1955.1800000000007)</f>
        <v>1955.18</v>
      </c>
      <c r="Z359" s="26">
        <f>IFERROR(__xludf.DUMMYFUNCTION("""COMPUTED_VALUE"""),0.0)</f>
        <v>0</v>
      </c>
      <c r="AA359" s="26">
        <f>IFERROR(__xludf.DUMMYFUNCTION("""COMPUTED_VALUE"""),0.0)</f>
        <v>0</v>
      </c>
      <c r="AB359" s="26">
        <f>IFERROR(__xludf.DUMMYFUNCTION("""COMPUTED_VALUE"""),0.0)</f>
        <v>0</v>
      </c>
      <c r="AC359" s="26">
        <f>IFERROR(__xludf.DUMMYFUNCTION("""COMPUTED_VALUE"""),0.0)</f>
        <v>0</v>
      </c>
      <c r="AD359" s="26">
        <f>IFERROR(__xludf.DUMMYFUNCTION("""COMPUTED_VALUE"""),0.0)</f>
        <v>0</v>
      </c>
      <c r="AE359" s="26">
        <f>IFERROR(__xludf.DUMMYFUNCTION("""COMPUTED_VALUE"""),0.0)</f>
        <v>0</v>
      </c>
    </row>
    <row r="360">
      <c r="A360" s="26">
        <f>IFERROR(__xludf.DUMMYFUNCTION("""COMPUTED_VALUE"""),23.0)</f>
        <v>23</v>
      </c>
      <c r="B360" s="26">
        <f>IFERROR(__xludf.DUMMYFUNCTION("""COMPUTED_VALUE"""),0.0)</f>
        <v>0</v>
      </c>
      <c r="C360" s="26">
        <f>IFERROR(__xludf.DUMMYFUNCTION("""COMPUTED_VALUE"""),0.0)</f>
        <v>0</v>
      </c>
      <c r="D360" s="26">
        <f>IFERROR(__xludf.DUMMYFUNCTION("""COMPUTED_VALUE"""),0.0)</f>
        <v>0</v>
      </c>
      <c r="E360" s="26">
        <f>IFERROR(__xludf.DUMMYFUNCTION("""COMPUTED_VALUE"""),0.0)</f>
        <v>0</v>
      </c>
      <c r="F360" s="26">
        <f>IFERROR(__xludf.DUMMYFUNCTION("""COMPUTED_VALUE"""),0.0)</f>
        <v>0</v>
      </c>
      <c r="G360" s="26">
        <f>IFERROR(__xludf.DUMMYFUNCTION("""COMPUTED_VALUE"""),0.0)</f>
        <v>0</v>
      </c>
      <c r="H360" s="26">
        <f>IFERROR(__xludf.DUMMYFUNCTION("""COMPUTED_VALUE"""),0.0)</f>
        <v>0</v>
      </c>
      <c r="I360" s="26">
        <f>IFERROR(__xludf.DUMMYFUNCTION("""COMPUTED_VALUE"""),0.0)</f>
        <v>0</v>
      </c>
      <c r="J360" s="26">
        <f>IFERROR(__xludf.DUMMYFUNCTION("""COMPUTED_VALUE"""),0.0)</f>
        <v>0</v>
      </c>
      <c r="K360" s="26">
        <f>IFERROR(__xludf.DUMMYFUNCTION("""COMPUTED_VALUE"""),0.0)</f>
        <v>0</v>
      </c>
      <c r="L360" s="26"/>
      <c r="M360" s="26"/>
      <c r="N360" s="26"/>
      <c r="O360" s="26"/>
      <c r="P360" s="26"/>
      <c r="Q360" s="26"/>
      <c r="R360" s="26">
        <f>IFERROR(__xludf.DUMMYFUNCTION("""COMPUTED_VALUE"""),23.0)</f>
        <v>23</v>
      </c>
      <c r="S360" s="26">
        <f>IFERROR(__xludf.DUMMYFUNCTION("""COMPUTED_VALUE"""),10166.0)</f>
        <v>10166</v>
      </c>
      <c r="T360" s="26">
        <f>IFERROR(__xludf.DUMMYFUNCTION("""COMPUTED_VALUE"""),4025.0)</f>
        <v>4025</v>
      </c>
      <c r="U360" s="26">
        <f>IFERROR(__xludf.DUMMYFUNCTION("""COMPUTED_VALUE"""),5575.66)</f>
        <v>5575.66</v>
      </c>
      <c r="V360" s="26">
        <f>IFERROR(__xludf.DUMMYFUNCTION("""COMPUTED_VALUE"""),0.0)</f>
        <v>0</v>
      </c>
      <c r="W360" s="26">
        <f>IFERROR(__xludf.DUMMYFUNCTION("""COMPUTED_VALUE"""),0.0)</f>
        <v>0</v>
      </c>
      <c r="X360" s="26">
        <f>IFERROR(__xludf.DUMMYFUNCTION("""COMPUTED_VALUE"""),1550.6600000000003)</f>
        <v>1550.66</v>
      </c>
      <c r="Y360" s="26">
        <f>IFERROR(__xludf.DUMMYFUNCTION("""COMPUTED_VALUE"""),1550.6600000000003)</f>
        <v>1550.66</v>
      </c>
      <c r="Z360" s="26">
        <f>IFERROR(__xludf.DUMMYFUNCTION("""COMPUTED_VALUE"""),0.0)</f>
        <v>0</v>
      </c>
      <c r="AA360" s="26">
        <f>IFERROR(__xludf.DUMMYFUNCTION("""COMPUTED_VALUE"""),0.0)</f>
        <v>0</v>
      </c>
      <c r="AB360" s="26">
        <f>IFERROR(__xludf.DUMMYFUNCTION("""COMPUTED_VALUE"""),0.0)</f>
        <v>0</v>
      </c>
      <c r="AC360" s="26">
        <f>IFERROR(__xludf.DUMMYFUNCTION("""COMPUTED_VALUE"""),0.0)</f>
        <v>0</v>
      </c>
      <c r="AD360" s="26">
        <f>IFERROR(__xludf.DUMMYFUNCTION("""COMPUTED_VALUE"""),0.0)</f>
        <v>0</v>
      </c>
      <c r="AE360" s="26">
        <f>IFERROR(__xludf.DUMMYFUNCTION("""COMPUTED_VALUE"""),0.0)</f>
        <v>0</v>
      </c>
    </row>
    <row r="361">
      <c r="A361" s="26">
        <f>IFERROR(__xludf.DUMMYFUNCTION("""COMPUTED_VALUE"""),0.0)</f>
        <v>0</v>
      </c>
      <c r="B361" s="26">
        <f>IFERROR(__xludf.DUMMYFUNCTION("""COMPUTED_VALUE"""),0.0)</f>
        <v>0</v>
      </c>
      <c r="C361" s="26">
        <f>IFERROR(__xludf.DUMMYFUNCTION("""COMPUTED_VALUE"""),0.0)</f>
        <v>0</v>
      </c>
      <c r="D361" s="26">
        <f>IFERROR(__xludf.DUMMYFUNCTION("""COMPUTED_VALUE"""),0.0)</f>
        <v>0</v>
      </c>
      <c r="E361" s="26">
        <f>IFERROR(__xludf.DUMMYFUNCTION("""COMPUTED_VALUE"""),23.0)</f>
        <v>23</v>
      </c>
      <c r="F361" s="26">
        <f>IFERROR(__xludf.DUMMYFUNCTION("""COMPUTED_VALUE"""),0.0)</f>
        <v>0</v>
      </c>
      <c r="G361" s="26">
        <f>IFERROR(__xludf.DUMMYFUNCTION("""COMPUTED_VALUE"""),0.0)</f>
        <v>0</v>
      </c>
      <c r="H361" s="26">
        <f>IFERROR(__xludf.DUMMYFUNCTION("""COMPUTED_VALUE"""),0.0)</f>
        <v>0</v>
      </c>
      <c r="I361" s="26">
        <f>IFERROR(__xludf.DUMMYFUNCTION("""COMPUTED_VALUE"""),0.0)</f>
        <v>0</v>
      </c>
      <c r="J361" s="26">
        <f>IFERROR(__xludf.DUMMYFUNCTION("""COMPUTED_VALUE"""),0.0)</f>
        <v>0</v>
      </c>
      <c r="K361" s="26">
        <f>IFERROR(__xludf.DUMMYFUNCTION("""COMPUTED_VALUE"""),0.0)</f>
        <v>0</v>
      </c>
      <c r="L361" s="26"/>
      <c r="M361" s="26"/>
      <c r="N361" s="26"/>
      <c r="O361" s="26"/>
      <c r="P361" s="26"/>
      <c r="Q361" s="26"/>
      <c r="R361" s="26">
        <f>IFERROR(__xludf.DUMMYFUNCTION("""COMPUTED_VALUE"""),23.0)</f>
        <v>23</v>
      </c>
      <c r="S361" s="26">
        <f>IFERROR(__xludf.DUMMYFUNCTION("""COMPUTED_VALUE"""),29900.0)</f>
        <v>29900</v>
      </c>
      <c r="T361" s="26">
        <f>IFERROR(__xludf.DUMMYFUNCTION("""COMPUTED_VALUE"""),5750.0)</f>
        <v>5750</v>
      </c>
      <c r="U361" s="26">
        <f>IFERROR(__xludf.DUMMYFUNCTION("""COMPUTED_VALUE"""),10311.130000000001)</f>
        <v>10311.13</v>
      </c>
      <c r="V361" s="26">
        <f>IFERROR(__xludf.DUMMYFUNCTION("""COMPUTED_VALUE"""),0.0)</f>
        <v>0</v>
      </c>
      <c r="W361" s="26">
        <f>IFERROR(__xludf.DUMMYFUNCTION("""COMPUTED_VALUE"""),0.0)</f>
        <v>0</v>
      </c>
      <c r="X361" s="26">
        <f>IFERROR(__xludf.DUMMYFUNCTION("""COMPUTED_VALUE"""),4561.13)</f>
        <v>4561.13</v>
      </c>
      <c r="Y361" s="26">
        <f>IFERROR(__xludf.DUMMYFUNCTION("""COMPUTED_VALUE"""),4561.13)</f>
        <v>4561.13</v>
      </c>
      <c r="Z361" s="26">
        <f>IFERROR(__xludf.DUMMYFUNCTION("""COMPUTED_VALUE"""),0.0)</f>
        <v>0</v>
      </c>
      <c r="AA361" s="26">
        <f>IFERROR(__xludf.DUMMYFUNCTION("""COMPUTED_VALUE"""),0.0)</f>
        <v>0</v>
      </c>
      <c r="AB361" s="26">
        <f>IFERROR(__xludf.DUMMYFUNCTION("""COMPUTED_VALUE"""),0.0)</f>
        <v>0</v>
      </c>
      <c r="AC361" s="26">
        <f>IFERROR(__xludf.DUMMYFUNCTION("""COMPUTED_VALUE"""),0.0)</f>
        <v>0</v>
      </c>
      <c r="AD361" s="26">
        <f>IFERROR(__xludf.DUMMYFUNCTION("""COMPUTED_VALUE"""),0.0)</f>
        <v>0</v>
      </c>
      <c r="AE361" s="26">
        <f>IFERROR(__xludf.DUMMYFUNCTION("""COMPUTED_VALUE"""),0.0)</f>
        <v>0</v>
      </c>
    </row>
    <row r="362">
      <c r="A362" s="26">
        <f>IFERROR(__xludf.DUMMYFUNCTION("""COMPUTED_VALUE"""),0.0)</f>
        <v>0</v>
      </c>
      <c r="B362" s="26">
        <f>IFERROR(__xludf.DUMMYFUNCTION("""COMPUTED_VALUE"""),0.0)</f>
        <v>0</v>
      </c>
      <c r="C362" s="26">
        <f>IFERROR(__xludf.DUMMYFUNCTION("""COMPUTED_VALUE"""),0.0)</f>
        <v>0</v>
      </c>
      <c r="D362" s="26">
        <f>IFERROR(__xludf.DUMMYFUNCTION("""COMPUTED_VALUE"""),0.0)</f>
        <v>0</v>
      </c>
      <c r="E362" s="26">
        <f>IFERROR(__xludf.DUMMYFUNCTION("""COMPUTED_VALUE"""),0.0)</f>
        <v>0</v>
      </c>
      <c r="F362" s="26">
        <f>IFERROR(__xludf.DUMMYFUNCTION("""COMPUTED_VALUE"""),0.0)</f>
        <v>0</v>
      </c>
      <c r="G362" s="26">
        <f>IFERROR(__xludf.DUMMYFUNCTION("""COMPUTED_VALUE"""),0.0)</f>
        <v>0</v>
      </c>
      <c r="H362" s="26">
        <f>IFERROR(__xludf.DUMMYFUNCTION("""COMPUTED_VALUE"""),0.0)</f>
        <v>0</v>
      </c>
      <c r="I362" s="26">
        <f>IFERROR(__xludf.DUMMYFUNCTION("""COMPUTED_VALUE"""),0.0)</f>
        <v>0</v>
      </c>
      <c r="J362" s="26">
        <f>IFERROR(__xludf.DUMMYFUNCTION("""COMPUTED_VALUE"""),0.0)</f>
        <v>0</v>
      </c>
      <c r="K362" s="26">
        <f>IFERROR(__xludf.DUMMYFUNCTION("""COMPUTED_VALUE"""),0.0)</f>
        <v>0</v>
      </c>
      <c r="L362" s="26"/>
      <c r="M362" s="26"/>
      <c r="N362" s="26"/>
      <c r="O362" s="26"/>
      <c r="P362" s="26"/>
      <c r="Q362" s="26"/>
      <c r="R362" s="26">
        <f>IFERROR(__xludf.DUMMYFUNCTION("""COMPUTED_VALUE"""),0.0)</f>
        <v>0</v>
      </c>
      <c r="S362" s="26">
        <f>IFERROR(__xludf.DUMMYFUNCTION("""COMPUTED_VALUE"""),0.0)</f>
        <v>0</v>
      </c>
      <c r="T362" s="26">
        <f>IFERROR(__xludf.DUMMYFUNCTION("""COMPUTED_VALUE"""),0.0)</f>
        <v>0</v>
      </c>
      <c r="U362" s="26">
        <f>IFERROR(__xludf.DUMMYFUNCTION("""COMPUTED_VALUE"""),0.0)</f>
        <v>0</v>
      </c>
      <c r="V362" s="26">
        <f>IFERROR(__xludf.DUMMYFUNCTION("""COMPUTED_VALUE"""),0.0)</f>
        <v>0</v>
      </c>
      <c r="W362" s="26">
        <f>IFERROR(__xludf.DUMMYFUNCTION("""COMPUTED_VALUE"""),0.0)</f>
        <v>0</v>
      </c>
      <c r="X362" s="26">
        <f>IFERROR(__xludf.DUMMYFUNCTION("""COMPUTED_VALUE"""),0.0)</f>
        <v>0</v>
      </c>
      <c r="Y362" s="26">
        <f>IFERROR(__xludf.DUMMYFUNCTION("""COMPUTED_VALUE"""),0.0)</f>
        <v>0</v>
      </c>
      <c r="Z362" s="26">
        <f>IFERROR(__xludf.DUMMYFUNCTION("""COMPUTED_VALUE"""),0.0)</f>
        <v>0</v>
      </c>
      <c r="AA362" s="26">
        <f>IFERROR(__xludf.DUMMYFUNCTION("""COMPUTED_VALUE"""),0.0)</f>
        <v>0</v>
      </c>
      <c r="AB362" s="26">
        <f>IFERROR(__xludf.DUMMYFUNCTION("""COMPUTED_VALUE"""),0.0)</f>
        <v>0</v>
      </c>
      <c r="AC362" s="26">
        <f>IFERROR(__xludf.DUMMYFUNCTION("""COMPUTED_VALUE"""),0.0)</f>
        <v>0</v>
      </c>
      <c r="AD362" s="26">
        <f>IFERROR(__xludf.DUMMYFUNCTION("""COMPUTED_VALUE"""),0.0)</f>
        <v>0</v>
      </c>
      <c r="AE362" s="26">
        <f>IFERROR(__xludf.DUMMYFUNCTION("""COMPUTED_VALUE"""),0.0)</f>
        <v>0</v>
      </c>
    </row>
    <row r="363">
      <c r="A363" s="26">
        <f>IFERROR(__xludf.DUMMYFUNCTION("""COMPUTED_VALUE"""),0.0)</f>
        <v>0</v>
      </c>
      <c r="B363" s="26">
        <f>IFERROR(__xludf.DUMMYFUNCTION("""COMPUTED_VALUE"""),0.0)</f>
        <v>0</v>
      </c>
      <c r="C363" s="26">
        <f>IFERROR(__xludf.DUMMYFUNCTION("""COMPUTED_VALUE"""),0.0)</f>
        <v>0</v>
      </c>
      <c r="D363" s="26">
        <f>IFERROR(__xludf.DUMMYFUNCTION("""COMPUTED_VALUE"""),0.0)</f>
        <v>0</v>
      </c>
      <c r="E363" s="26">
        <f>IFERROR(__xludf.DUMMYFUNCTION("""COMPUTED_VALUE"""),0.0)</f>
        <v>0</v>
      </c>
      <c r="F363" s="26">
        <f>IFERROR(__xludf.DUMMYFUNCTION("""COMPUTED_VALUE"""),0.0)</f>
        <v>0</v>
      </c>
      <c r="G363" s="26">
        <f>IFERROR(__xludf.DUMMYFUNCTION("""COMPUTED_VALUE"""),0.0)</f>
        <v>0</v>
      </c>
      <c r="H363" s="26">
        <f>IFERROR(__xludf.DUMMYFUNCTION("""COMPUTED_VALUE"""),0.0)</f>
        <v>0</v>
      </c>
      <c r="I363" s="26">
        <f>IFERROR(__xludf.DUMMYFUNCTION("""COMPUTED_VALUE"""),0.0)</f>
        <v>0</v>
      </c>
      <c r="J363" s="26">
        <f>IFERROR(__xludf.DUMMYFUNCTION("""COMPUTED_VALUE"""),0.0)</f>
        <v>0</v>
      </c>
      <c r="K363" s="26">
        <f>IFERROR(__xludf.DUMMYFUNCTION("""COMPUTED_VALUE"""),0.0)</f>
        <v>0</v>
      </c>
      <c r="L363" s="26"/>
      <c r="M363" s="26"/>
      <c r="N363" s="26"/>
      <c r="O363" s="26"/>
      <c r="P363" s="26"/>
      <c r="Q363" s="26"/>
      <c r="R363" s="26">
        <f>IFERROR(__xludf.DUMMYFUNCTION("""COMPUTED_VALUE"""),0.0)</f>
        <v>0</v>
      </c>
      <c r="S363" s="26">
        <f>IFERROR(__xludf.DUMMYFUNCTION("""COMPUTED_VALUE"""),0.0)</f>
        <v>0</v>
      </c>
      <c r="T363" s="26">
        <f>IFERROR(__xludf.DUMMYFUNCTION("""COMPUTED_VALUE"""),0.0)</f>
        <v>0</v>
      </c>
      <c r="U363" s="26">
        <f>IFERROR(__xludf.DUMMYFUNCTION("""COMPUTED_VALUE"""),0.0)</f>
        <v>0</v>
      </c>
      <c r="V363" s="26">
        <f>IFERROR(__xludf.DUMMYFUNCTION("""COMPUTED_VALUE"""),0.0)</f>
        <v>0</v>
      </c>
      <c r="W363" s="26">
        <f>IFERROR(__xludf.DUMMYFUNCTION("""COMPUTED_VALUE"""),0.0)</f>
        <v>0</v>
      </c>
      <c r="X363" s="26">
        <f>IFERROR(__xludf.DUMMYFUNCTION("""COMPUTED_VALUE"""),0.0)</f>
        <v>0</v>
      </c>
      <c r="Y363" s="26">
        <f>IFERROR(__xludf.DUMMYFUNCTION("""COMPUTED_VALUE"""),0.0)</f>
        <v>0</v>
      </c>
      <c r="Z363" s="26">
        <f>IFERROR(__xludf.DUMMYFUNCTION("""COMPUTED_VALUE"""),0.0)</f>
        <v>0</v>
      </c>
      <c r="AA363" s="26">
        <f>IFERROR(__xludf.DUMMYFUNCTION("""COMPUTED_VALUE"""),0.0)</f>
        <v>0</v>
      </c>
      <c r="AB363" s="26">
        <f>IFERROR(__xludf.DUMMYFUNCTION("""COMPUTED_VALUE"""),0.0)</f>
        <v>0</v>
      </c>
      <c r="AC363" s="26">
        <f>IFERROR(__xludf.DUMMYFUNCTION("""COMPUTED_VALUE"""),0.0)</f>
        <v>0</v>
      </c>
      <c r="AD363" s="26">
        <f>IFERROR(__xludf.DUMMYFUNCTION("""COMPUTED_VALUE"""),0.0)</f>
        <v>0</v>
      </c>
      <c r="AE363" s="26">
        <f>IFERROR(__xludf.DUMMYFUNCTION("""COMPUTED_VALUE"""),0.0)</f>
        <v>0</v>
      </c>
    </row>
    <row r="364">
      <c r="A364" s="26">
        <f>IFERROR(__xludf.DUMMYFUNCTION("""COMPUTED_VALUE"""),0.0)</f>
        <v>0</v>
      </c>
      <c r="B364" s="26">
        <f>IFERROR(__xludf.DUMMYFUNCTION("""COMPUTED_VALUE"""),0.0)</f>
        <v>0</v>
      </c>
      <c r="C364" s="26">
        <f>IFERROR(__xludf.DUMMYFUNCTION("""COMPUTED_VALUE"""),0.0)</f>
        <v>0</v>
      </c>
      <c r="D364" s="26">
        <f>IFERROR(__xludf.DUMMYFUNCTION("""COMPUTED_VALUE"""),0.0)</f>
        <v>0</v>
      </c>
      <c r="E364" s="26">
        <f>IFERROR(__xludf.DUMMYFUNCTION("""COMPUTED_VALUE"""),0.0)</f>
        <v>0</v>
      </c>
      <c r="F364" s="26">
        <f>IFERROR(__xludf.DUMMYFUNCTION("""COMPUTED_VALUE"""),0.0)</f>
        <v>0</v>
      </c>
      <c r="G364" s="26">
        <f>IFERROR(__xludf.DUMMYFUNCTION("""COMPUTED_VALUE"""),0.0)</f>
        <v>0</v>
      </c>
      <c r="H364" s="26">
        <f>IFERROR(__xludf.DUMMYFUNCTION("""COMPUTED_VALUE"""),0.0)</f>
        <v>0</v>
      </c>
      <c r="I364" s="26">
        <f>IFERROR(__xludf.DUMMYFUNCTION("""COMPUTED_VALUE"""),0.0)</f>
        <v>0</v>
      </c>
      <c r="J364" s="26">
        <f>IFERROR(__xludf.DUMMYFUNCTION("""COMPUTED_VALUE"""),0.0)</f>
        <v>0</v>
      </c>
      <c r="K364" s="26">
        <f>IFERROR(__xludf.DUMMYFUNCTION("""COMPUTED_VALUE"""),0.0)</f>
        <v>0</v>
      </c>
      <c r="L364" s="26"/>
      <c r="M364" s="26"/>
      <c r="N364" s="26"/>
      <c r="O364" s="26"/>
      <c r="P364" s="26"/>
      <c r="Q364" s="26"/>
      <c r="R364" s="26">
        <f>IFERROR(__xludf.DUMMYFUNCTION("""COMPUTED_VALUE"""),0.0)</f>
        <v>0</v>
      </c>
      <c r="S364" s="26">
        <f>IFERROR(__xludf.DUMMYFUNCTION("""COMPUTED_VALUE"""),0.0)</f>
        <v>0</v>
      </c>
      <c r="T364" s="26">
        <f>IFERROR(__xludf.DUMMYFUNCTION("""COMPUTED_VALUE"""),0.0)</f>
        <v>0</v>
      </c>
      <c r="U364" s="26">
        <f>IFERROR(__xludf.DUMMYFUNCTION("""COMPUTED_VALUE"""),0.0)</f>
        <v>0</v>
      </c>
      <c r="V364" s="26">
        <f>IFERROR(__xludf.DUMMYFUNCTION("""COMPUTED_VALUE"""),0.0)</f>
        <v>0</v>
      </c>
      <c r="W364" s="26">
        <f>IFERROR(__xludf.DUMMYFUNCTION("""COMPUTED_VALUE"""),0.0)</f>
        <v>0</v>
      </c>
      <c r="X364" s="26">
        <f>IFERROR(__xludf.DUMMYFUNCTION("""COMPUTED_VALUE"""),0.0)</f>
        <v>0</v>
      </c>
      <c r="Y364" s="26">
        <f>IFERROR(__xludf.DUMMYFUNCTION("""COMPUTED_VALUE"""),0.0)</f>
        <v>0</v>
      </c>
      <c r="Z364" s="26">
        <f>IFERROR(__xludf.DUMMYFUNCTION("""COMPUTED_VALUE"""),0.0)</f>
        <v>0</v>
      </c>
      <c r="AA364" s="26">
        <f>IFERROR(__xludf.DUMMYFUNCTION("""COMPUTED_VALUE"""),0.0)</f>
        <v>0</v>
      </c>
      <c r="AB364" s="26">
        <f>IFERROR(__xludf.DUMMYFUNCTION("""COMPUTED_VALUE"""),0.0)</f>
        <v>0</v>
      </c>
      <c r="AC364" s="26">
        <f>IFERROR(__xludf.DUMMYFUNCTION("""COMPUTED_VALUE"""),0.0)</f>
        <v>0</v>
      </c>
      <c r="AD364" s="26">
        <f>IFERROR(__xludf.DUMMYFUNCTION("""COMPUTED_VALUE"""),0.0)</f>
        <v>0</v>
      </c>
      <c r="AE364" s="26">
        <f>IFERROR(__xludf.DUMMYFUNCTION("""COMPUTED_VALUE"""),0.0)</f>
        <v>0</v>
      </c>
    </row>
    <row r="365">
      <c r="A365" s="26">
        <f>IFERROR(__xludf.DUMMYFUNCTION("""COMPUTED_VALUE"""),0.0)</f>
        <v>0</v>
      </c>
      <c r="B365" s="26">
        <f>IFERROR(__xludf.DUMMYFUNCTION("""COMPUTED_VALUE"""),0.0)</f>
        <v>0</v>
      </c>
      <c r="C365" s="26">
        <f>IFERROR(__xludf.DUMMYFUNCTION("""COMPUTED_VALUE"""),0.0)</f>
        <v>0</v>
      </c>
      <c r="D365" s="26">
        <f>IFERROR(__xludf.DUMMYFUNCTION("""COMPUTED_VALUE"""),0.0)</f>
        <v>0</v>
      </c>
      <c r="E365" s="26">
        <f>IFERROR(__xludf.DUMMYFUNCTION("""COMPUTED_VALUE"""),0.0)</f>
        <v>0</v>
      </c>
      <c r="F365" s="26">
        <f>IFERROR(__xludf.DUMMYFUNCTION("""COMPUTED_VALUE"""),0.0)</f>
        <v>0</v>
      </c>
      <c r="G365" s="26">
        <f>IFERROR(__xludf.DUMMYFUNCTION("""COMPUTED_VALUE"""),0.0)</f>
        <v>0</v>
      </c>
      <c r="H365" s="26">
        <f>IFERROR(__xludf.DUMMYFUNCTION("""COMPUTED_VALUE"""),0.0)</f>
        <v>0</v>
      </c>
      <c r="I365" s="26">
        <f>IFERROR(__xludf.DUMMYFUNCTION("""COMPUTED_VALUE"""),0.0)</f>
        <v>0</v>
      </c>
      <c r="J365" s="26">
        <f>IFERROR(__xludf.DUMMYFUNCTION("""COMPUTED_VALUE"""),0.0)</f>
        <v>0</v>
      </c>
      <c r="K365" s="26">
        <f>IFERROR(__xludf.DUMMYFUNCTION("""COMPUTED_VALUE"""),0.0)</f>
        <v>0</v>
      </c>
      <c r="L365" s="26"/>
      <c r="M365" s="26"/>
      <c r="N365" s="26"/>
      <c r="O365" s="26"/>
      <c r="P365" s="26"/>
      <c r="Q365" s="26"/>
      <c r="R365" s="26">
        <f>IFERROR(__xludf.DUMMYFUNCTION("""COMPUTED_VALUE"""),0.0)</f>
        <v>0</v>
      </c>
      <c r="S365" s="26">
        <f>IFERROR(__xludf.DUMMYFUNCTION("""COMPUTED_VALUE"""),0.0)</f>
        <v>0</v>
      </c>
      <c r="T365" s="26">
        <f>IFERROR(__xludf.DUMMYFUNCTION("""COMPUTED_VALUE"""),0.0)</f>
        <v>0</v>
      </c>
      <c r="U365" s="26">
        <f>IFERROR(__xludf.DUMMYFUNCTION("""COMPUTED_VALUE"""),0.0)</f>
        <v>0</v>
      </c>
      <c r="V365" s="26">
        <f>IFERROR(__xludf.DUMMYFUNCTION("""COMPUTED_VALUE"""),0.0)</f>
        <v>0</v>
      </c>
      <c r="W365" s="26">
        <f>IFERROR(__xludf.DUMMYFUNCTION("""COMPUTED_VALUE"""),0.0)</f>
        <v>0</v>
      </c>
      <c r="X365" s="26">
        <f>IFERROR(__xludf.DUMMYFUNCTION("""COMPUTED_VALUE"""),0.0)</f>
        <v>0</v>
      </c>
      <c r="Y365" s="26">
        <f>IFERROR(__xludf.DUMMYFUNCTION("""COMPUTED_VALUE"""),0.0)</f>
        <v>0</v>
      </c>
      <c r="Z365" s="26">
        <f>IFERROR(__xludf.DUMMYFUNCTION("""COMPUTED_VALUE"""),0.0)</f>
        <v>0</v>
      </c>
      <c r="AA365" s="26">
        <f>IFERROR(__xludf.DUMMYFUNCTION("""COMPUTED_VALUE"""),0.0)</f>
        <v>0</v>
      </c>
      <c r="AB365" s="26">
        <f>IFERROR(__xludf.DUMMYFUNCTION("""COMPUTED_VALUE"""),0.0)</f>
        <v>0</v>
      </c>
      <c r="AC365" s="26">
        <f>IFERROR(__xludf.DUMMYFUNCTION("""COMPUTED_VALUE"""),0.0)</f>
        <v>0</v>
      </c>
      <c r="AD365" s="26">
        <f>IFERROR(__xludf.DUMMYFUNCTION("""COMPUTED_VALUE"""),0.0)</f>
        <v>0</v>
      </c>
      <c r="AE365" s="26">
        <f>IFERROR(__xludf.DUMMYFUNCTION("""COMPUTED_VALUE"""),0.0)</f>
        <v>0</v>
      </c>
    </row>
    <row r="366">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row>
    <row r="367">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row>
    <row r="368">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row>
    <row r="369">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row>
    <row r="370">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row>
    <row r="37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row>
    <row r="37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row>
    <row r="37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row>
    <row r="374">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row>
    <row r="37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row>
    <row r="376">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row>
    <row r="377">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row>
    <row r="378">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row>
    <row r="379">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row>
    <row r="380">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row>
    <row r="38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row>
    <row r="38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row>
    <row r="38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row>
    <row r="384">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row>
    <row r="38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row>
    <row r="386">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row>
    <row r="387">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row>
    <row r="388">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row>
    <row r="389">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row>
    <row r="390">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row>
    <row r="39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row>
    <row r="39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row>
    <row r="39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row>
    <row r="394">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row>
    <row r="39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row>
    <row r="396">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row>
    <row r="397">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row>
    <row r="398">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row>
    <row r="399">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row>
    <row r="400">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row>
    <row r="40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row>
    <row r="4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row>
    <row r="4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row>
    <row r="404">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row>
    <row r="40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row>
    <row r="406">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row>
    <row r="407">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row>
    <row r="40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row>
    <row r="409">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row>
    <row r="410">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row>
    <row r="41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row>
    <row r="41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row>
    <row r="41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row>
    <row r="414">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row>
    <row r="41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row>
    <row r="416">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row>
    <row r="417">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row>
    <row r="41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row>
    <row r="419">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row>
    <row r="420">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row>
    <row r="42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row>
    <row r="42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row>
    <row r="42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row>
    <row r="424">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row>
    <row r="4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row>
    <row r="426">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row>
    <row r="427">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row>
    <row r="42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row>
    <row r="429">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row>
    <row r="430">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row>
    <row r="43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row>
    <row r="43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row>
    <row r="43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row>
    <row r="434">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row>
    <row r="43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row>
    <row r="436">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row>
    <row r="437">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row>
    <row r="43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row>
    <row r="439">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row>
    <row r="440">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row>
    <row r="44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row>
    <row r="44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row>
    <row r="44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row>
    <row r="444">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row>
    <row r="44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row>
    <row r="446">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row>
    <row r="447">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row>
    <row r="44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row>
    <row r="449">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row>
    <row r="450">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row>
    <row r="45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row>
    <row r="45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row>
    <row r="45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row>
    <row r="454">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row>
    <row r="45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row>
    <row r="456">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row>
    <row r="457">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row>
    <row r="45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row>
    <row r="459">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row>
    <row r="460">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row>
    <row r="46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row>
    <row r="46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row>
    <row r="46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row>
    <row r="464">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row>
    <row r="46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row>
    <row r="466">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row>
    <row r="467">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row>
    <row r="46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row>
    <row r="469">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row>
    <row r="470">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row>
    <row r="47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row>
    <row r="47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row>
    <row r="47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row>
    <row r="474">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row>
    <row r="47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row>
    <row r="476">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row>
    <row r="477">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row>
    <row r="4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row>
    <row r="479">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row>
    <row r="480">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row>
    <row r="48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row>
    <row r="48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row>
    <row r="48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row>
    <row r="484">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row>
    <row r="48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row>
    <row r="486">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row>
    <row r="487">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row>
    <row r="48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row>
    <row r="489">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row>
    <row r="490">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row>
    <row r="49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row>
    <row r="49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row>
    <row r="49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row>
    <row r="494">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row>
    <row r="49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row>
    <row r="496">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row>
    <row r="497">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row>
    <row r="498">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row>
    <row r="499">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row>
    <row r="500">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row>
    <row r="50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row>
    <row r="5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row>
    <row r="5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row>
    <row r="504">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row>
    <row r="50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row>
    <row r="506">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row>
    <row r="507">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row>
    <row r="508">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row>
    <row r="509">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row>
    <row r="510">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row>
    <row r="51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row>
    <row r="51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row>
    <row r="51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row>
    <row r="514">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row>
    <row r="51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row>
    <row r="516">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row>
    <row r="517">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row>
    <row r="518">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row>
    <row r="519">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row>
    <row r="520">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row>
    <row r="52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row>
    <row r="52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row>
    <row r="52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row>
    <row r="524">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row>
    <row r="5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row>
    <row r="526">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row>
    <row r="527">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row>
    <row r="528">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row>
    <row r="529">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row>
    <row r="530">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row>
    <row r="53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row>
    <row r="53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row>
    <row r="53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row>
    <row r="534">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row>
    <row r="53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row>
    <row r="536">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row>
    <row r="537">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row>
    <row r="538">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row>
    <row r="539">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row>
    <row r="540">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row>
    <row r="54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row>
    <row r="54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row>
    <row r="54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row>
    <row r="544">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row>
    <row r="54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row>
    <row r="546">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row>
    <row r="547">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row>
    <row r="548">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row>
    <row r="549">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row>
    <row r="550">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row>
    <row r="55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row>
    <row r="55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row>
    <row r="55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row>
    <row r="554">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row>
    <row r="55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row>
    <row r="556">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row>
    <row r="557">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row>
    <row r="558">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row>
    <row r="559">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row>
    <row r="560">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row>
    <row r="56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row>
    <row r="56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row>
    <row r="56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row>
    <row r="564">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row>
    <row r="56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row>
    <row r="566">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row>
    <row r="567">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row>
    <row r="568">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row>
    <row r="569">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row>
    <row r="570">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row>
    <row r="57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row>
    <row r="57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row>
    <row r="57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row>
    <row r="574">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row>
    <row r="57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row>
    <row r="576">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row>
    <row r="577">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row>
    <row r="578">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row>
    <row r="579">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row>
    <row r="580">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row>
    <row r="58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row>
    <row r="58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row>
    <row r="58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row>
    <row r="584">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row>
    <row r="58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row>
    <row r="58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row>
    <row r="587">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row>
    <row r="588">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row>
    <row r="589">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row>
    <row r="590">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row>
    <row r="59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row>
    <row r="59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row>
    <row r="59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row>
    <row r="594">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row>
    <row r="59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row>
    <row r="59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row>
    <row r="597">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row>
    <row r="598">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row>
    <row r="599">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row>
    <row r="600">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row>
    <row r="60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row>
    <row r="6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row>
    <row r="6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row>
    <row r="604">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row>
    <row r="60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row>
    <row r="60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row>
    <row r="607">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row>
    <row r="608">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row>
    <row r="609">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row>
    <row r="610">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row>
    <row r="61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row>
    <row r="61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row>
    <row r="61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row>
    <row r="614">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row>
    <row r="61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row>
    <row r="61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row>
    <row r="617">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row>
    <row r="618">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row>
    <row r="619">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row>
    <row r="620">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row>
    <row r="62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row>
    <row r="62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row>
    <row r="62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row>
    <row r="624">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row>
    <row r="6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row>
    <row r="6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row>
    <row r="627">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row>
    <row r="628">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row>
    <row r="629">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row>
    <row r="630">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row>
    <row r="63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row>
    <row r="63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row>
    <row r="63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row>
    <row r="634">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row>
    <row r="63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row>
    <row r="63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row>
    <row r="637">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row>
    <row r="638">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row>
    <row r="639">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row>
    <row r="640">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row>
    <row r="64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row>
    <row r="64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row>
    <row r="64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row>
    <row r="644">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row>
    <row r="64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row>
    <row r="64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row>
    <row r="647">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row>
    <row r="648">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row>
    <row r="649">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row>
    <row r="650">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row>
    <row r="65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row>
    <row r="65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row>
    <row r="65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row>
    <row r="654">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row>
    <row r="65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row>
    <row r="65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row>
    <row r="657">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row>
    <row r="658">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row>
    <row r="659">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row>
    <row r="660">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row>
    <row r="66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row>
    <row r="66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row>
    <row r="66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row>
    <row r="664">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row>
    <row r="66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row>
    <row r="66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row>
    <row r="667">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row>
    <row r="668">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row>
    <row r="669">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row>
    <row r="670">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row>
    <row r="67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row>
    <row r="67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row>
    <row r="67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row>
    <row r="674">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row>
    <row r="67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row>
    <row r="67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row>
    <row r="677">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row>
    <row r="678">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row>
    <row r="679">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row>
    <row r="680">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row>
    <row r="68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row>
    <row r="68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row>
    <row r="68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row>
    <row r="684">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row>
    <row r="68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row>
    <row r="68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row>
    <row r="687">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row>
    <row r="688">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row>
    <row r="689">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row>
    <row r="690">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row>
    <row r="69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row>
    <row r="69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row>
    <row r="69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row>
    <row r="694">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row>
    <row r="69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row>
    <row r="69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row>
    <row r="697">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row>
    <row r="698">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row>
    <row r="699">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row>
    <row r="700">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row>
    <row r="70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row>
    <row r="7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row>
    <row r="7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row>
    <row r="704">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row>
    <row r="70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row>
    <row r="70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row>
    <row r="707">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row>
    <row r="708">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row>
    <row r="709">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row>
    <row r="710">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row>
    <row r="71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row>
    <row r="71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row>
    <row r="71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row>
    <row r="714">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row>
    <row r="71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row>
    <row r="71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row>
    <row r="717">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row>
    <row r="718">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row>
    <row r="719">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row>
    <row r="720">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row>
    <row r="72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row>
    <row r="72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row>
    <row r="72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row>
    <row r="724">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row>
    <row r="7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row>
    <row r="7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row>
    <row r="727">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row>
    <row r="728">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row>
    <row r="729">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row>
    <row r="730">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row>
    <row r="73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row>
    <row r="73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row>
    <row r="73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row>
    <row r="734">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row>
    <row r="73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row>
    <row r="73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row>
    <row r="737">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row>
    <row r="738">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row>
    <row r="739">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row>
    <row r="740">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row>
    <row r="74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row>
    <row r="74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row>
    <row r="74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row>
    <row r="744">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row>
    <row r="74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row>
    <row r="74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row>
    <row r="747">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row>
    <row r="748">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row>
    <row r="749">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row>
    <row r="750">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row>
    <row r="75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row>
    <row r="75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row>
    <row r="75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row>
    <row r="754">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row>
    <row r="75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row>
    <row r="75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row>
    <row r="757">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row>
    <row r="758">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row>
    <row r="759">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row>
    <row r="760">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row>
    <row r="76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row>
    <row r="76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row>
    <row r="76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row>
    <row r="764">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row>
    <row r="76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row>
    <row r="76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row>
    <row r="767">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row>
    <row r="768">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row>
    <row r="769">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row>
    <row r="770">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row>
    <row r="77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row>
    <row r="77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row>
    <row r="77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row>
    <row r="774">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row>
    <row r="77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row>
    <row r="77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row>
    <row r="777">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row>
    <row r="778">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row>
    <row r="779">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row>
    <row r="780">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row>
    <row r="78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row>
    <row r="78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row>
    <row r="78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row>
    <row r="784">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row>
    <row r="78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row>
    <row r="78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row>
    <row r="787">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row>
    <row r="788">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row>
    <row r="789">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row>
    <row r="790">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row>
    <row r="79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row>
    <row r="79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row>
    <row r="79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row>
    <row r="794">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row>
    <row r="79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row>
    <row r="79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row>
    <row r="797">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row>
    <row r="798">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row>
    <row r="799">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row>
    <row r="800">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row>
    <row r="80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row>
    <row r="8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row>
    <row r="8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row>
    <row r="804">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row>
    <row r="80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row>
    <row r="80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row>
    <row r="807">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row>
    <row r="808">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row>
    <row r="809">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row>
    <row r="810">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row>
    <row r="81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row>
    <row r="81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row>
    <row r="81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row>
    <row r="814">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row>
    <row r="81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row>
    <row r="81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row>
    <row r="817">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row>
    <row r="818">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row>
    <row r="819">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row>
    <row r="820">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row>
    <row r="82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row>
    <row r="82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row>
    <row r="82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row>
    <row r="824">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row>
    <row r="8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row>
    <row r="8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row>
    <row r="827">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row>
    <row r="828">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row>
    <row r="829">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row>
    <row r="830">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row>
    <row r="83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row>
    <row r="83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row>
    <row r="83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row>
    <row r="834">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row>
    <row r="83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row>
    <row r="83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row>
    <row r="837">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row>
    <row r="838">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row>
    <row r="839">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row>
    <row r="840">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row>
    <row r="84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row>
    <row r="84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row>
    <row r="84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row>
    <row r="844">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row>
    <row r="84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row>
    <row r="84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row>
    <row r="847">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row>
    <row r="848">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row>
    <row r="849">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row>
    <row r="850">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row>
    <row r="85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row>
    <row r="85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row>
    <row r="85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row>
    <row r="854">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row>
    <row r="85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row>
    <row r="85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row>
    <row r="857">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row>
    <row r="858">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row>
    <row r="859">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row>
    <row r="860">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row>
    <row r="86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row>
    <row r="86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row>
    <row r="86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row>
    <row r="864">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row>
    <row r="86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row>
    <row r="86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row>
    <row r="867">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row>
    <row r="868">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row>
    <row r="869">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row>
    <row r="870">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row>
    <row r="87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row>
    <row r="87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row>
    <row r="87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row>
    <row r="874">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row>
    <row r="87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row>
    <row r="87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row>
    <row r="877">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row>
    <row r="878">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row>
    <row r="879">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row>
    <row r="880">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row>
    <row r="88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row>
    <row r="88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row>
    <row r="88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row>
    <row r="884">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row>
    <row r="88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row>
    <row r="88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row>
    <row r="887">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row>
    <row r="888">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row>
    <row r="889">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row>
    <row r="890">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row>
    <row r="89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row>
    <row r="89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row>
    <row r="89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row>
    <row r="894">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row>
    <row r="89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row>
    <row r="89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row>
    <row r="897">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row>
    <row r="898">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row>
    <row r="899">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row>
    <row r="900">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row>
    <row r="90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row>
    <row r="9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row>
    <row r="9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row>
    <row r="904">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row>
    <row r="90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row>
    <row r="90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row>
    <row r="907">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row>
    <row r="908">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row>
    <row r="909">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row>
    <row r="910">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row>
    <row r="91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row>
    <row r="91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row>
    <row r="91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row>
    <row r="914">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row>
    <row r="91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row>
    <row r="91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row>
    <row r="917">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row>
    <row r="918">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row>
    <row r="919">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row>
    <row r="920">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row>
    <row r="92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row>
    <row r="92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row>
    <row r="92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row>
    <row r="924">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row>
    <row r="9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row>
    <row r="9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row>
    <row r="927">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row>
    <row r="928">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row>
    <row r="929">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row>
    <row r="930">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row>
    <row r="93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row>
    <row r="93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row>
    <row r="93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row>
    <row r="934">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row>
    <row r="93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row>
    <row r="93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row>
    <row r="937">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row>
    <row r="938">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row>
    <row r="939">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row>
    <row r="940">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row>
    <row r="94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row>
    <row r="94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row>
    <row r="94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row>
    <row r="944">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row>
    <row r="94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row>
    <row r="94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row>
    <row r="947">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row>
    <row r="948">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row>
    <row r="949">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row>
    <row r="950">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row>
    <row r="95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row>
    <row r="95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row>
    <row r="95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row>
    <row r="954">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row>
    <row r="95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row>
    <row r="95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row>
    <row r="957">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row>
    <row r="958">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row>
    <row r="959">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row>
    <row r="960">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row>
    <row r="96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row>
    <row r="96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row>
    <row r="96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row>
    <row r="964">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row>
    <row r="96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row>
    <row r="96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row>
    <row r="967">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row>
    <row r="968">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row>
    <row r="969">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row>
    <row r="970">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row>
    <row r="97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row>
    <row r="97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row>
    <row r="97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row>
    <row r="974">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row>
    <row r="97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row>
    <row r="97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row>
    <row r="977">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row>
    <row r="978">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row>
    <row r="979">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row>
    <row r="980">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row>
    <row r="98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row>
    <row r="98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row>
    <row r="98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row>
    <row r="984">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row>
    <row r="98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row>
    <row r="986">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row>
    <row r="987">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row>
    <row r="988">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row>
    <row r="989">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row>
    <row r="990">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row>
    <row r="99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row>
    <row r="99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row>
    <row r="99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row>
    <row r="994">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row>
    <row r="99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row>
    <row r="99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row>
    <row r="997">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row>
    <row r="998">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row>
    <row r="999">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row>
    <row r="1000">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2" width="14.63"/>
    <col customWidth="1" min="3" max="3" width="19.88"/>
    <col customWidth="1" min="4" max="4" width="26.38"/>
    <col customWidth="1" min="5" max="5" width="32.0"/>
    <col customWidth="1" min="6" max="6" width="26.75"/>
    <col customWidth="1" min="7" max="7" width="33.13"/>
    <col customWidth="1" min="8" max="8" width="31.13"/>
    <col customWidth="1" min="9" max="9" width="17.63"/>
    <col customWidth="1" min="10" max="11" width="26.88"/>
    <col customWidth="1" hidden="1" min="12" max="17" width="26.88"/>
    <col customWidth="1" min="18" max="31" width="26.88"/>
  </cols>
  <sheetData>
    <row r="1">
      <c r="A1" s="28" t="str">
        <f>IFERROR(__xludf.DUMMYFUNCTION("IMPORTRANGE(""1b-3XtXtNiPewC8Jbb5PF1kIMMblDxMNCtEk9pwxeXOs"", ""Balance Sheet!I:I"")"),"Total CPA Policies")</f>
        <v>Total CPA Policies</v>
      </c>
      <c r="B1" s="28" t="str">
        <f>IFERROR(__xludf.DUMMYFUNCTION("IMPORTRANGE(""1b-3XtXtNiPewC8Jbb5PF1kIMMblDxMNCtEk9pwxeXOs"", ""Balance Sheet!N:N"")"),"Total RSA Policies")</f>
        <v>Total RSA Policies</v>
      </c>
      <c r="C1" s="28" t="str">
        <f>IFERROR(__xludf.DUMMYFUNCTION("IMPORTRANGE(""1b-3XtXtNiPewC8Jbb5PF1kIMMblDxMNCtEk9pwxeXOs"", ""Balance Sheet!S:S"")"),"Total CPA + RSA Policies")</f>
        <v>Total CPA + RSA Policies</v>
      </c>
      <c r="D1" s="28" t="str">
        <f>IFERROR(__xludf.DUMMYFUNCTION("IMPORTRANGE(""1b-3XtXtNiPewC8Jbb5PF1kIMMblDxMNCtEk9pwxeXOs"", ""Balance Sheet!X:X"")"),"Total CPA + RSA + AHDC Policies")</f>
        <v>Total CPA + RSA + AHDC Policies</v>
      </c>
      <c r="E1" s="28" t="str">
        <f>IFERROR(__xludf.DUMMYFUNCTION("IMPORTRANGE(""1b-3XtXtNiPewC8Jbb5PF1kIMMblDxMNCtEk9pwxeXOs"", ""Balance Sheet!AC:AC"")"),"Total CPA + RSA + AHDC + DOC Policies")</f>
        <v>Total CPA + RSA + AHDC + DOC Policies</v>
      </c>
      <c r="F1" s="28" t="str">
        <f>IFERROR(__xludf.DUMMYFUNCTION("IMPORTRANGE(""1b-3XtXtNiPewC8Jbb5PF1kIMMblDxMNCtEk9pwxeXOs"", ""Balance Sheet!AH:AH"")"),"Total CPA + RSA : 5 Years Policies")</f>
        <v>Total CPA + RSA : 5 Years Policies</v>
      </c>
      <c r="G1" s="28" t="str">
        <f>IFERROR(__xludf.DUMMYFUNCTION("IMPORTRANGE(""1b-3XtXtNiPewC8Jbb5PF1kIMMblDxMNCtEk9pwxeXOs"", ""Balance Sheet!AM:AM"")"),"Total Assistance + CPA + AHDC2X Policies")</f>
        <v>Total Assistance + CPA + AHDC2X Policies</v>
      </c>
      <c r="H1" s="28" t="str">
        <f>IFERROR(__xludf.DUMMYFUNCTION("IMPORTRANGE(""1b-3XtXtNiPewC8Jbb5PF1kIMMblDxMNCtEk9pwxeXOs"", ""Balance Sheet!AR:AR"")"),"Total Assistance + CPA + AHDC Policies")</f>
        <v>Total Assistance + CPA + AHDC Policies</v>
      </c>
      <c r="I1" s="28" t="str">
        <f>IFERROR(__xludf.DUMMYFUNCTION("IMPORTRANGE(""1b-3XtXtNiPewC8Jbb5PF1kIMMblDxMNCtEk9pwxeXOs"", ""Balance Sheet!AW:AW"")"),"Total Assistance + CPA : 5 Years Policies")</f>
        <v>Total Assistance + CPA : 5 Years Policies</v>
      </c>
      <c r="J1" s="28" t="str">
        <f>IFERROR(__xludf.DUMMYFUNCTION("IMPORTRANGE(""1b-3XtXtNiPewC8Jbb5PF1kIMMblDxMNCtEk9pwxeXOs"", ""Balance Sheet!BB:BB"")"),"Total RSA + AHDC + DOC Policies")</f>
        <v>Total RSA + AHDC + DOC Policies</v>
      </c>
      <c r="K1" s="28" t="str">
        <f>IFERROR(__xludf.DUMMYFUNCTION("IMPORTRANGE(""1b-3XtXtNiPewC8Jbb5PF1kIMMblDxMNCtEk9pwxeXOs"", ""Balance Sheet!BG:BG"")"),"Total Assistance + AHDC Policies")</f>
        <v>Total Assistance + AHDC Policies</v>
      </c>
      <c r="L1" s="28" t="str">
        <f>IFERROR(__xludf.DUMMYFUNCTION("IMPORTRANGE(""1b-3XtXtNiPewC8Jbb5PF1kIMMblDxMNCtEk9pwxeXOs"", ""Balance Sheet!BL:BL"")"),"&lt;For Future Use&gt;")</f>
        <v>&lt;For Future Use&gt;</v>
      </c>
      <c r="M1" s="28" t="str">
        <f>IFERROR(__xludf.DUMMYFUNCTION("IMPORTRANGE(""1b-3XtXtNiPewC8Jbb5PF1kIMMblDxMNCtEk9pwxeXOs"", ""Balance Sheet!BQ:BQ"")"),"&lt;For Future Use&gt;")</f>
        <v>&lt;For Future Use&gt;</v>
      </c>
      <c r="N1" s="28" t="str">
        <f>IFERROR(__xludf.DUMMYFUNCTION("IMPORTRANGE(""1b-3XtXtNiPewC8Jbb5PF1kIMMblDxMNCtEk9pwxeXOs"", ""Balance Sheet!BV:BV"")"),"&lt;For Future Use&gt;")</f>
        <v>&lt;For Future Use&gt;</v>
      </c>
      <c r="O1" s="28" t="str">
        <f>IFERROR(__xludf.DUMMYFUNCTION("IMPORTRANGE(""1b-3XtXtNiPewC8Jbb5PF1kIMMblDxMNCtEk9pwxeXOs"", ""Balance Sheet!CA:CA"")"),"&lt;For Future Use&gt;")</f>
        <v>&lt;For Future Use&gt;</v>
      </c>
      <c r="P1" s="28" t="str">
        <f>IFERROR(__xludf.DUMMYFUNCTION("IMPORTRANGE(""1b-3XtXtNiPewC8Jbb5PF1kIMMblDxMNCtEk9pwxeXOs"", ""Balance Sheet!CF:CF"")"),"&lt;For Future Use&gt;")</f>
        <v>&lt;For Future Use&gt;</v>
      </c>
      <c r="Q1" s="28" t="str">
        <f>IFERROR(__xludf.DUMMYFUNCTION("IMPORTRANGE(""1b-3XtXtNiPewC8Jbb5PF1kIMMblDxMNCtEk9pwxeXOs"", ""Balance Sheet!CK:CK"")"),"&lt;For Future Use&gt;")</f>
        <v>&lt;For Future Use&gt;</v>
      </c>
      <c r="R1" s="28" t="str">
        <f>IFERROR(__xludf.DUMMYFUNCTION("IMPORTRANGE(""1b-3XtXtNiPewC8Jbb5PF1kIMMblDxMNCtEk9pwxeXOs"", ""Balance Sheet!CM:CN"")"),"Total Invoice Amount")</f>
        <v>Total Invoice Amount</v>
      </c>
      <c r="S1" s="28" t="str">
        <f>IFERROR(__xludf.DUMMYFUNCTION("""COMPUTED_VALUE"""),"Total Base Cost of Policies")</f>
        <v>Total Base Cost of Policies</v>
      </c>
      <c r="T1" s="28" t="str">
        <f>IFERROR(__xludf.DUMMYFUNCTION("IMPORTRANGE(""1b-3XtXtNiPewC8Jbb5PF1kIMMblDxMNCtEk9pwxeXOs"", ""Balance Sheet!CP:CR"")"),"Total CGST")</f>
        <v>Total CGST</v>
      </c>
      <c r="U1" s="28" t="str">
        <f>IFERROR(__xludf.DUMMYFUNCTION("""COMPUTED_VALUE"""),"Total SGST")</f>
        <v>Total SGST</v>
      </c>
      <c r="V1" s="28" t="str">
        <f>IFERROR(__xludf.DUMMYFUNCTION("""COMPUTED_VALUE"""),"Total IGST")</f>
        <v>Total IGST</v>
      </c>
      <c r="W1" s="28" t="str">
        <f>IFERROR(__xludf.DUMMYFUNCTION("IMPORTRANGE(""1b-3XtXtNiPewC8Jbb5PF1kIMMblDxMNCtEk9pwxeXOs"", ""Balance Sheet!CW:CX"")"),"Total Receivable")</f>
        <v>Total Receivable</v>
      </c>
      <c r="X1" s="28" t="str">
        <f>IFERROR(__xludf.DUMMYFUNCTION("""COMPUTED_VALUE"""),"Net Receivable")</f>
        <v>Net Receivable</v>
      </c>
      <c r="Y1" s="28" t="str">
        <f>IFERROR(__xludf.DUMMYFUNCTION("IMPORTRANGE(""1b-3XtXtNiPewC8Jbb5PF1kIMMblDxMNCtEk9pwxeXOs"", ""Balance Sheet!CZ:DC"")"),"Total Payout before TDS")</f>
        <v>Total Payout before TDS</v>
      </c>
      <c r="Z1" s="28" t="str">
        <f>IFERROR(__xludf.DUMMYFUNCTION("""COMPUTED_VALUE"""),"Payout Adjusted in Balance (Cut &amp; Pay)")</f>
        <v>Payout Adjusted in Balance (Cut &amp; Pay)</v>
      </c>
      <c r="AA1" s="28" t="str">
        <f>IFERROR(__xludf.DUMMYFUNCTION("""COMPUTED_VALUE"""),"TDS on Payout")</f>
        <v>TDS on Payout</v>
      </c>
      <c r="AB1" s="28" t="str">
        <f>IFERROR(__xludf.DUMMYFUNCTION("""COMPUTED_VALUE"""),"Net Payout after TDS")</f>
        <v>Net Payout after TDS</v>
      </c>
      <c r="AC1" s="28" t="str">
        <f>IFERROR(__xludf.DUMMYFUNCTION("IMPORTRANGE(""1b-3XtXtNiPewC8Jbb5PF1kIMMblDxMNCtEk9pwxeXOs"", ""Balance Sheet!DT:DV"")"),"FY20-21 Closing Balance")</f>
        <v>FY20-21 Closing Balance</v>
      </c>
      <c r="AD1" s="28" t="str">
        <f>IFERROR(__xludf.DUMMYFUNCTION("""COMPUTED_VALUE"""),"Total Amount Received")</f>
        <v>Total Amount Received</v>
      </c>
      <c r="AE1" s="28" t="str">
        <f>IFERROR(__xludf.DUMMYFUNCTION("""COMPUTED_VALUE"""),"Adjustments")</f>
        <v>Adjustments</v>
      </c>
    </row>
    <row r="2">
      <c r="A2" s="26">
        <f>IFERROR(__xludf.DUMMYFUNCTION("""COMPUTED_VALUE"""),1.0)</f>
        <v>1</v>
      </c>
      <c r="B2" s="26">
        <f>IFERROR(__xludf.DUMMYFUNCTION("""COMPUTED_VALUE"""),0.0)</f>
        <v>0</v>
      </c>
      <c r="C2" s="26">
        <f>IFERROR(__xludf.DUMMYFUNCTION("""COMPUTED_VALUE"""),0.0)</f>
        <v>0</v>
      </c>
      <c r="D2" s="26">
        <f>IFERROR(__xludf.DUMMYFUNCTION("""COMPUTED_VALUE"""),0.0)</f>
        <v>0</v>
      </c>
      <c r="E2" s="26">
        <f>IFERROR(__xludf.DUMMYFUNCTION("""COMPUTED_VALUE"""),0.0)</f>
        <v>0</v>
      </c>
      <c r="F2" s="26">
        <f>IFERROR(__xludf.DUMMYFUNCTION("""COMPUTED_VALUE"""),0.0)</f>
        <v>0</v>
      </c>
      <c r="G2" s="26">
        <f>IFERROR(__xludf.DUMMYFUNCTION("""COMPUTED_VALUE"""),0.0)</f>
        <v>0</v>
      </c>
      <c r="H2" s="26">
        <f>IFERROR(__xludf.DUMMYFUNCTION("""COMPUTED_VALUE"""),0.0)</f>
        <v>0</v>
      </c>
      <c r="I2" s="26">
        <f>IFERROR(__xludf.DUMMYFUNCTION("""COMPUTED_VALUE"""),0.0)</f>
        <v>0</v>
      </c>
      <c r="J2" s="26">
        <f>IFERROR(__xludf.DUMMYFUNCTION("""COMPUTED_VALUE"""),0.0)</f>
        <v>0</v>
      </c>
      <c r="K2" s="26">
        <f>IFERROR(__xludf.DUMMYFUNCTION("""COMPUTED_VALUE"""),0.0)</f>
        <v>0</v>
      </c>
      <c r="L2" s="26"/>
      <c r="M2" s="26"/>
      <c r="N2" s="26"/>
      <c r="O2" s="26"/>
      <c r="P2" s="26"/>
      <c r="Q2" s="26"/>
      <c r="R2" s="26">
        <f>IFERROR(__xludf.DUMMYFUNCTION("""COMPUTED_VALUE"""),390.0)</f>
        <v>390</v>
      </c>
      <c r="S2" s="26">
        <f>IFERROR(__xludf.DUMMYFUNCTION("""COMPUTED_VALUE"""),205.0)</f>
        <v>205</v>
      </c>
      <c r="T2" s="26">
        <f>IFERROR(__xludf.DUMMYFUNCTION("""COMPUTED_VALUE"""),0.0)</f>
        <v>0</v>
      </c>
      <c r="U2" s="26">
        <f>IFERROR(__xludf.DUMMYFUNCTION("""COMPUTED_VALUE"""),0.0)</f>
        <v>0</v>
      </c>
      <c r="V2" s="26">
        <f>IFERROR(__xludf.DUMMYFUNCTION("""COMPUTED_VALUE"""),59.49)</f>
        <v>59.49</v>
      </c>
      <c r="W2" s="26">
        <f>IFERROR(__xludf.DUMMYFUNCTION("""COMPUTED_VALUE"""),1090.77)</f>
        <v>1090.77</v>
      </c>
      <c r="X2" s="26">
        <f>IFERROR(__xludf.DUMMYFUNCTION("""COMPUTED_VALUE"""),1090.77)</f>
        <v>1090.77</v>
      </c>
      <c r="Y2" s="26">
        <f>IFERROR(__xludf.DUMMYFUNCTION("""COMPUTED_VALUE"""),714.99)</f>
        <v>714.99</v>
      </c>
      <c r="Z2" s="26">
        <f>IFERROR(__xludf.DUMMYFUNCTION("""COMPUTED_VALUE"""),679.23)</f>
        <v>679.23</v>
      </c>
      <c r="AA2" s="26">
        <f>IFERROR(__xludf.DUMMYFUNCTION("""COMPUTED_VALUE"""),35.76)</f>
        <v>35.76</v>
      </c>
      <c r="AB2" s="26">
        <f>IFERROR(__xludf.DUMMYFUNCTION("""COMPUTED_VALUE"""),0.0)</f>
        <v>0</v>
      </c>
      <c r="AC2" s="26">
        <f>IFERROR(__xludf.DUMMYFUNCTION("""COMPUTED_VALUE"""),0.0)</f>
        <v>0</v>
      </c>
      <c r="AD2" s="26">
        <f>IFERROR(__xludf.DUMMYFUNCTION("""COMPUTED_VALUE"""),0.0)</f>
        <v>0</v>
      </c>
      <c r="AE2" s="26">
        <f>IFERROR(__xludf.DUMMYFUNCTION("""COMPUTED_VALUE"""),0.0)</f>
        <v>0</v>
      </c>
    </row>
    <row r="3">
      <c r="A3" s="26">
        <f>IFERROR(__xludf.DUMMYFUNCTION("""COMPUTED_VALUE"""),0.0)</f>
        <v>0</v>
      </c>
      <c r="B3" s="26">
        <f>IFERROR(__xludf.DUMMYFUNCTION("""COMPUTED_VALUE"""),0.0)</f>
        <v>0</v>
      </c>
      <c r="C3" s="26">
        <f>IFERROR(__xludf.DUMMYFUNCTION("""COMPUTED_VALUE"""),0.0)</f>
        <v>0</v>
      </c>
      <c r="D3" s="26">
        <f>IFERROR(__xludf.DUMMYFUNCTION("""COMPUTED_VALUE"""),0.0)</f>
        <v>0</v>
      </c>
      <c r="E3" s="26">
        <f>IFERROR(__xludf.DUMMYFUNCTION("""COMPUTED_VALUE"""),0.0)</f>
        <v>0</v>
      </c>
      <c r="F3" s="26">
        <f>IFERROR(__xludf.DUMMYFUNCTION("""COMPUTED_VALUE"""),0.0)</f>
        <v>0</v>
      </c>
      <c r="G3" s="26">
        <f>IFERROR(__xludf.DUMMYFUNCTION("""COMPUTED_VALUE"""),0.0)</f>
        <v>0</v>
      </c>
      <c r="H3" s="26">
        <f>IFERROR(__xludf.DUMMYFUNCTION("""COMPUTED_VALUE"""),0.0)</f>
        <v>0</v>
      </c>
      <c r="I3" s="26">
        <f>IFERROR(__xludf.DUMMYFUNCTION("""COMPUTED_VALUE"""),0.0)</f>
        <v>0</v>
      </c>
      <c r="J3" s="26">
        <f>IFERROR(__xludf.DUMMYFUNCTION("""COMPUTED_VALUE"""),0.0)</f>
        <v>0</v>
      </c>
      <c r="K3" s="26">
        <f>IFERROR(__xludf.DUMMYFUNCTION("""COMPUTED_VALUE"""),0.0)</f>
        <v>0</v>
      </c>
      <c r="L3" s="26"/>
      <c r="M3" s="26"/>
      <c r="N3" s="26"/>
      <c r="O3" s="26"/>
      <c r="P3" s="26"/>
      <c r="Q3" s="26"/>
      <c r="R3" s="26">
        <f>IFERROR(__xludf.DUMMYFUNCTION("""COMPUTED_VALUE"""),0.0)</f>
        <v>0</v>
      </c>
      <c r="S3" s="26">
        <f>IFERROR(__xludf.DUMMYFUNCTION("""COMPUTED_VALUE"""),0.0)</f>
        <v>0</v>
      </c>
      <c r="T3" s="26">
        <f>IFERROR(__xludf.DUMMYFUNCTION("""COMPUTED_VALUE"""),0.0)</f>
        <v>0</v>
      </c>
      <c r="U3" s="26">
        <f>IFERROR(__xludf.DUMMYFUNCTION("""COMPUTED_VALUE"""),0.0)</f>
        <v>0</v>
      </c>
      <c r="V3" s="26">
        <f>IFERROR(__xludf.DUMMYFUNCTION("""COMPUTED_VALUE"""),0.0)</f>
        <v>0</v>
      </c>
      <c r="W3" s="26">
        <f>IFERROR(__xludf.DUMMYFUNCTION("""COMPUTED_VALUE"""),0.0)</f>
        <v>0</v>
      </c>
      <c r="X3" s="26">
        <f>IFERROR(__xludf.DUMMYFUNCTION("""COMPUTED_VALUE"""),0.0)</f>
        <v>0</v>
      </c>
      <c r="Y3" s="26">
        <f>IFERROR(__xludf.DUMMYFUNCTION("""COMPUTED_VALUE"""),0.0)</f>
        <v>0</v>
      </c>
      <c r="Z3" s="26">
        <f>IFERROR(__xludf.DUMMYFUNCTION("""COMPUTED_VALUE"""),0.0)</f>
        <v>0</v>
      </c>
      <c r="AA3" s="26">
        <f>IFERROR(__xludf.DUMMYFUNCTION("""COMPUTED_VALUE"""),0.0)</f>
        <v>0</v>
      </c>
      <c r="AB3" s="26">
        <f>IFERROR(__xludf.DUMMYFUNCTION("""COMPUTED_VALUE"""),0.0)</f>
        <v>0</v>
      </c>
      <c r="AC3" s="26">
        <f>IFERROR(__xludf.DUMMYFUNCTION("""COMPUTED_VALUE"""),0.0)</f>
        <v>0</v>
      </c>
      <c r="AD3" s="26">
        <f>IFERROR(__xludf.DUMMYFUNCTION("""COMPUTED_VALUE"""),0.0)</f>
        <v>0</v>
      </c>
      <c r="AE3" s="26">
        <f>IFERROR(__xludf.DUMMYFUNCTION("""COMPUTED_VALUE"""),0.0)</f>
        <v>0</v>
      </c>
    </row>
    <row r="4">
      <c r="A4" s="26">
        <f>IFERROR(__xludf.DUMMYFUNCTION("""COMPUTED_VALUE"""),4601.0)</f>
        <v>4601</v>
      </c>
      <c r="B4" s="26">
        <f>IFERROR(__xludf.DUMMYFUNCTION("""COMPUTED_VALUE"""),0.0)</f>
        <v>0</v>
      </c>
      <c r="C4" s="26">
        <f>IFERROR(__xludf.DUMMYFUNCTION("""COMPUTED_VALUE"""),0.0)</f>
        <v>0</v>
      </c>
      <c r="D4" s="26">
        <f>IFERROR(__xludf.DUMMYFUNCTION("""COMPUTED_VALUE"""),2.0)</f>
        <v>2</v>
      </c>
      <c r="E4" s="26">
        <f>IFERROR(__xludf.DUMMYFUNCTION("""COMPUTED_VALUE"""),155.0)</f>
        <v>155</v>
      </c>
      <c r="F4" s="26">
        <f>IFERROR(__xludf.DUMMYFUNCTION("""COMPUTED_VALUE"""),0.0)</f>
        <v>0</v>
      </c>
      <c r="G4" s="26">
        <f>IFERROR(__xludf.DUMMYFUNCTION("""COMPUTED_VALUE"""),0.0)</f>
        <v>0</v>
      </c>
      <c r="H4" s="26">
        <f>IFERROR(__xludf.DUMMYFUNCTION("""COMPUTED_VALUE"""),647.0)</f>
        <v>647</v>
      </c>
      <c r="I4" s="26">
        <f>IFERROR(__xludf.DUMMYFUNCTION("""COMPUTED_VALUE"""),0.0)</f>
        <v>0</v>
      </c>
      <c r="J4" s="26">
        <f>IFERROR(__xludf.DUMMYFUNCTION("""COMPUTED_VALUE"""),0.0)</f>
        <v>0</v>
      </c>
      <c r="K4" s="26">
        <f>IFERROR(__xludf.DUMMYFUNCTION("""COMPUTED_VALUE"""),0.0)</f>
        <v>0</v>
      </c>
      <c r="L4" s="26"/>
      <c r="M4" s="26"/>
      <c r="N4" s="26"/>
      <c r="O4" s="26"/>
      <c r="P4" s="26"/>
      <c r="Q4" s="26"/>
      <c r="R4" s="26">
        <f>IFERROR(__xludf.DUMMYFUNCTION("""COMPUTED_VALUE"""),3006042.0)</f>
        <v>3006042</v>
      </c>
      <c r="S4" s="26">
        <f>IFERROR(__xludf.DUMMYFUNCTION("""COMPUTED_VALUE"""),897555.0)</f>
        <v>897555</v>
      </c>
      <c r="T4" s="26">
        <f>IFERROR(__xludf.DUMMYFUNCTION("""COMPUTED_VALUE"""),380.59)</f>
        <v>380.59</v>
      </c>
      <c r="U4" s="26">
        <f>IFERROR(__xludf.DUMMYFUNCTION("""COMPUTED_VALUE"""),380.59)</f>
        <v>380.59</v>
      </c>
      <c r="V4" s="26">
        <f>IFERROR(__xludf.DUMMYFUNCTION("""COMPUTED_VALUE"""),457804.4500000009)</f>
        <v>457804.45</v>
      </c>
      <c r="W4" s="26">
        <f>IFERROR(__xludf.DUMMYFUNCTION("""COMPUTED_VALUE"""),4916744.0)</f>
        <v>4916744</v>
      </c>
      <c r="X4" s="26">
        <f>IFERROR(__xludf.DUMMYFUNCTION("""COMPUTED_VALUE"""),2306939.4600000456)</f>
        <v>2306939.46</v>
      </c>
      <c r="Y4" s="26">
        <f>IFERROR(__xludf.DUMMYFUNCTION("""COMPUTED_VALUE"""),2683608.210000015)</f>
        <v>2683608.21</v>
      </c>
      <c r="Z4" s="26">
        <f>IFERROR(__xludf.DUMMYFUNCTION("""COMPUTED_VALUE"""),0.0)</f>
        <v>0</v>
      </c>
      <c r="AA4" s="26">
        <f>IFERROR(__xludf.DUMMYFUNCTION("""COMPUTED_VALUE"""),98454.1799999999)</f>
        <v>98454.18</v>
      </c>
      <c r="AB4" s="26">
        <f>IFERROR(__xludf.DUMMYFUNCTION("""COMPUTED_VALUE"""),2609804.5400000094)</f>
        <v>2609804.54</v>
      </c>
      <c r="AC4" s="26">
        <f>IFERROR(__xludf.DUMMYFUNCTION("""COMPUTED_VALUE"""),-696110.0)</f>
        <v>-696110</v>
      </c>
      <c r="AD4" s="26">
        <f>IFERROR(__xludf.DUMMYFUNCTION("""COMPUTED_VALUE"""),4452594.0)</f>
        <v>4452594</v>
      </c>
      <c r="AE4" s="26">
        <f>IFERROR(__xludf.DUMMYFUNCTION("""COMPUTED_VALUE"""),0.0)</f>
        <v>0</v>
      </c>
    </row>
    <row r="5">
      <c r="A5" s="26">
        <f>IFERROR(__xludf.DUMMYFUNCTION("""COMPUTED_VALUE"""),0.0)</f>
        <v>0</v>
      </c>
      <c r="B5" s="26">
        <f>IFERROR(__xludf.DUMMYFUNCTION("""COMPUTED_VALUE"""),0.0)</f>
        <v>0</v>
      </c>
      <c r="C5" s="26">
        <f>IFERROR(__xludf.DUMMYFUNCTION("""COMPUTED_VALUE"""),0.0)</f>
        <v>0</v>
      </c>
      <c r="D5" s="26">
        <f>IFERROR(__xludf.DUMMYFUNCTION("""COMPUTED_VALUE"""),0.0)</f>
        <v>0</v>
      </c>
      <c r="E5" s="26">
        <f>IFERROR(__xludf.DUMMYFUNCTION("""COMPUTED_VALUE"""),0.0)</f>
        <v>0</v>
      </c>
      <c r="F5" s="26">
        <f>IFERROR(__xludf.DUMMYFUNCTION("""COMPUTED_VALUE"""),0.0)</f>
        <v>0</v>
      </c>
      <c r="G5" s="26">
        <f>IFERROR(__xludf.DUMMYFUNCTION("""COMPUTED_VALUE"""),0.0)</f>
        <v>0</v>
      </c>
      <c r="H5" s="26">
        <f>IFERROR(__xludf.DUMMYFUNCTION("""COMPUTED_VALUE"""),0.0)</f>
        <v>0</v>
      </c>
      <c r="I5" s="26">
        <f>IFERROR(__xludf.DUMMYFUNCTION("""COMPUTED_VALUE"""),0.0)</f>
        <v>0</v>
      </c>
      <c r="J5" s="26">
        <f>IFERROR(__xludf.DUMMYFUNCTION("""COMPUTED_VALUE"""),0.0)</f>
        <v>0</v>
      </c>
      <c r="K5" s="26">
        <f>IFERROR(__xludf.DUMMYFUNCTION("""COMPUTED_VALUE"""),0.0)</f>
        <v>0</v>
      </c>
      <c r="L5" s="26"/>
      <c r="M5" s="26"/>
      <c r="N5" s="26"/>
      <c r="O5" s="26"/>
      <c r="P5" s="26"/>
      <c r="Q5" s="26"/>
      <c r="R5" s="26">
        <f>IFERROR(__xludf.DUMMYFUNCTION("""COMPUTED_VALUE"""),0.0)</f>
        <v>0</v>
      </c>
      <c r="S5" s="26">
        <f>IFERROR(__xludf.DUMMYFUNCTION("""COMPUTED_VALUE"""),0.0)</f>
        <v>0</v>
      </c>
      <c r="T5" s="26">
        <f>IFERROR(__xludf.DUMMYFUNCTION("""COMPUTED_VALUE"""),0.0)</f>
        <v>0</v>
      </c>
      <c r="U5" s="26">
        <f>IFERROR(__xludf.DUMMYFUNCTION("""COMPUTED_VALUE"""),0.0)</f>
        <v>0</v>
      </c>
      <c r="V5" s="26">
        <f>IFERROR(__xludf.DUMMYFUNCTION("""COMPUTED_VALUE"""),0.0)</f>
        <v>0</v>
      </c>
      <c r="W5" s="26">
        <f>IFERROR(__xludf.DUMMYFUNCTION("""COMPUTED_VALUE"""),0.0)</f>
        <v>0</v>
      </c>
      <c r="X5" s="26">
        <f>IFERROR(__xludf.DUMMYFUNCTION("""COMPUTED_VALUE"""),0.0)</f>
        <v>0</v>
      </c>
      <c r="Y5" s="26">
        <f>IFERROR(__xludf.DUMMYFUNCTION("""COMPUTED_VALUE"""),0.0)</f>
        <v>0</v>
      </c>
      <c r="Z5" s="26">
        <f>IFERROR(__xludf.DUMMYFUNCTION("""COMPUTED_VALUE"""),0.0)</f>
        <v>0</v>
      </c>
      <c r="AA5" s="26">
        <f>IFERROR(__xludf.DUMMYFUNCTION("""COMPUTED_VALUE"""),0.0)</f>
        <v>0</v>
      </c>
      <c r="AB5" s="26">
        <f>IFERROR(__xludf.DUMMYFUNCTION("""COMPUTED_VALUE"""),0.0)</f>
        <v>0</v>
      </c>
      <c r="AC5" s="26">
        <f>IFERROR(__xludf.DUMMYFUNCTION("""COMPUTED_VALUE"""),0.0)</f>
        <v>0</v>
      </c>
      <c r="AD5" s="26">
        <f>IFERROR(__xludf.DUMMYFUNCTION("""COMPUTED_VALUE"""),0.0)</f>
        <v>0</v>
      </c>
      <c r="AE5" s="26">
        <f>IFERROR(__xludf.DUMMYFUNCTION("""COMPUTED_VALUE"""),0.0)</f>
        <v>0</v>
      </c>
    </row>
    <row r="6">
      <c r="A6" s="26">
        <f>IFERROR(__xludf.DUMMYFUNCTION("""COMPUTED_VALUE"""),0.0)</f>
        <v>0</v>
      </c>
      <c r="B6" s="26">
        <f>IFERROR(__xludf.DUMMYFUNCTION("""COMPUTED_VALUE"""),0.0)</f>
        <v>0</v>
      </c>
      <c r="C6" s="26">
        <f>IFERROR(__xludf.DUMMYFUNCTION("""COMPUTED_VALUE"""),0.0)</f>
        <v>0</v>
      </c>
      <c r="D6" s="26">
        <f>IFERROR(__xludf.DUMMYFUNCTION("""COMPUTED_VALUE"""),0.0)</f>
        <v>0</v>
      </c>
      <c r="E6" s="26">
        <f>IFERROR(__xludf.DUMMYFUNCTION("""COMPUTED_VALUE"""),0.0)</f>
        <v>0</v>
      </c>
      <c r="F6" s="26">
        <f>IFERROR(__xludf.DUMMYFUNCTION("""COMPUTED_VALUE"""),0.0)</f>
        <v>0</v>
      </c>
      <c r="G6" s="26">
        <f>IFERROR(__xludf.DUMMYFUNCTION("""COMPUTED_VALUE"""),0.0)</f>
        <v>0</v>
      </c>
      <c r="H6" s="26">
        <f>IFERROR(__xludf.DUMMYFUNCTION("""COMPUTED_VALUE"""),0.0)</f>
        <v>0</v>
      </c>
      <c r="I6" s="26">
        <f>IFERROR(__xludf.DUMMYFUNCTION("""COMPUTED_VALUE"""),0.0)</f>
        <v>0</v>
      </c>
      <c r="J6" s="26">
        <f>IFERROR(__xludf.DUMMYFUNCTION("""COMPUTED_VALUE"""),0.0)</f>
        <v>0</v>
      </c>
      <c r="K6" s="26">
        <f>IFERROR(__xludf.DUMMYFUNCTION("""COMPUTED_VALUE"""),0.0)</f>
        <v>0</v>
      </c>
      <c r="L6" s="26"/>
      <c r="M6" s="26"/>
      <c r="N6" s="26"/>
      <c r="O6" s="26"/>
      <c r="P6" s="26"/>
      <c r="Q6" s="26"/>
      <c r="R6" s="26">
        <f>IFERROR(__xludf.DUMMYFUNCTION("""COMPUTED_VALUE"""),0.0)</f>
        <v>0</v>
      </c>
      <c r="S6" s="26">
        <f>IFERROR(__xludf.DUMMYFUNCTION("""COMPUTED_VALUE"""),0.0)</f>
        <v>0</v>
      </c>
      <c r="T6" s="26">
        <f>IFERROR(__xludf.DUMMYFUNCTION("""COMPUTED_VALUE"""),0.0)</f>
        <v>0</v>
      </c>
      <c r="U6" s="26">
        <f>IFERROR(__xludf.DUMMYFUNCTION("""COMPUTED_VALUE"""),0.0)</f>
        <v>0</v>
      </c>
      <c r="V6" s="26">
        <f>IFERROR(__xludf.DUMMYFUNCTION("""COMPUTED_VALUE"""),0.0)</f>
        <v>0</v>
      </c>
      <c r="W6" s="26">
        <f>IFERROR(__xludf.DUMMYFUNCTION("""COMPUTED_VALUE"""),0.0)</f>
        <v>0</v>
      </c>
      <c r="X6" s="26">
        <f>IFERROR(__xludf.DUMMYFUNCTION("""COMPUTED_VALUE"""),0.0)</f>
        <v>0</v>
      </c>
      <c r="Y6" s="26">
        <f>IFERROR(__xludf.DUMMYFUNCTION("""COMPUTED_VALUE"""),0.0)</f>
        <v>0</v>
      </c>
      <c r="Z6" s="26">
        <f>IFERROR(__xludf.DUMMYFUNCTION("""COMPUTED_VALUE"""),0.0)</f>
        <v>0</v>
      </c>
      <c r="AA6" s="26">
        <f>IFERROR(__xludf.DUMMYFUNCTION("""COMPUTED_VALUE"""),0.0)</f>
        <v>0</v>
      </c>
      <c r="AB6" s="26">
        <f>IFERROR(__xludf.DUMMYFUNCTION("""COMPUTED_VALUE"""),0.0)</f>
        <v>0</v>
      </c>
      <c r="AC6" s="26">
        <f>IFERROR(__xludf.DUMMYFUNCTION("""COMPUTED_VALUE"""),-2068.0)</f>
        <v>-2068</v>
      </c>
      <c r="AD6" s="26">
        <f>IFERROR(__xludf.DUMMYFUNCTION("""COMPUTED_VALUE"""),-2068.0)</f>
        <v>-2068</v>
      </c>
      <c r="AE6" s="26">
        <f>IFERROR(__xludf.DUMMYFUNCTION("""COMPUTED_VALUE"""),0.0)</f>
        <v>0</v>
      </c>
    </row>
    <row r="7">
      <c r="A7" s="26">
        <f>IFERROR(__xludf.DUMMYFUNCTION("""COMPUTED_VALUE"""),1556.0)</f>
        <v>1556</v>
      </c>
      <c r="B7" s="26">
        <f>IFERROR(__xludf.DUMMYFUNCTION("""COMPUTED_VALUE"""),0.0)</f>
        <v>0</v>
      </c>
      <c r="C7" s="26">
        <f>IFERROR(__xludf.DUMMYFUNCTION("""COMPUTED_VALUE"""),0.0)</f>
        <v>0</v>
      </c>
      <c r="D7" s="26">
        <f>IFERROR(__xludf.DUMMYFUNCTION("""COMPUTED_VALUE"""),0.0)</f>
        <v>0</v>
      </c>
      <c r="E7" s="26">
        <f>IFERROR(__xludf.DUMMYFUNCTION("""COMPUTED_VALUE"""),3786.0)</f>
        <v>3786</v>
      </c>
      <c r="F7" s="26">
        <f>IFERROR(__xludf.DUMMYFUNCTION("""COMPUTED_VALUE"""),0.0)</f>
        <v>0</v>
      </c>
      <c r="G7" s="26">
        <f>IFERROR(__xludf.DUMMYFUNCTION("""COMPUTED_VALUE"""),0.0)</f>
        <v>0</v>
      </c>
      <c r="H7" s="26">
        <f>IFERROR(__xludf.DUMMYFUNCTION("""COMPUTED_VALUE"""),0.0)</f>
        <v>0</v>
      </c>
      <c r="I7" s="26">
        <f>IFERROR(__xludf.DUMMYFUNCTION("""COMPUTED_VALUE"""),0.0)</f>
        <v>0</v>
      </c>
      <c r="J7" s="26">
        <f>IFERROR(__xludf.DUMMYFUNCTION("""COMPUTED_VALUE"""),0.0)</f>
        <v>0</v>
      </c>
      <c r="K7" s="26">
        <f>IFERROR(__xludf.DUMMYFUNCTION("""COMPUTED_VALUE"""),0.0)</f>
        <v>0</v>
      </c>
      <c r="L7" s="26"/>
      <c r="M7" s="26"/>
      <c r="N7" s="26"/>
      <c r="O7" s="26"/>
      <c r="P7" s="26"/>
      <c r="Q7" s="26"/>
      <c r="R7" s="26">
        <f>IFERROR(__xludf.DUMMYFUNCTION("""COMPUTED_VALUE"""),7755052.0)</f>
        <v>7755052</v>
      </c>
      <c r="S7" s="26">
        <f>IFERROR(__xludf.DUMMYFUNCTION("""COMPUTED_VALUE"""),908140.0)</f>
        <v>908140</v>
      </c>
      <c r="T7" s="26">
        <f>IFERROR(__xludf.DUMMYFUNCTION("""COMPUTED_VALUE"""),215.83999999999997)</f>
        <v>215.84</v>
      </c>
      <c r="U7" s="26">
        <f>IFERROR(__xludf.DUMMYFUNCTION("""COMPUTED_VALUE"""),215.83999999999997)</f>
        <v>215.84</v>
      </c>
      <c r="V7" s="26">
        <f>IFERROR(__xludf.DUMMYFUNCTION("""COMPUTED_VALUE"""),1182535.6600000095)</f>
        <v>1182535.66</v>
      </c>
      <c r="W7" s="26">
        <f>IFERROR(__xludf.DUMMYFUNCTION("""COMPUTED_VALUE"""),1.4461236589999966E7)</f>
        <v>14461236.59</v>
      </c>
      <c r="X7" s="26">
        <f>IFERROR(__xludf.DUMMYFUNCTION("""COMPUTED_VALUE"""),5548867.389999996)</f>
        <v>5548867.39</v>
      </c>
      <c r="Y7" s="26">
        <f>IFERROR(__xludf.DUMMYFUNCTION("""COMPUTED_VALUE"""),9381437.760000072)</f>
        <v>9381437.76</v>
      </c>
      <c r="Z7" s="26">
        <f>IFERROR(__xludf.DUMMYFUNCTION("""COMPUTED_VALUE"""),3587674.4100000383)</f>
        <v>3587674.41</v>
      </c>
      <c r="AA7" s="26">
        <f>IFERROR(__xludf.DUMMYFUNCTION("""COMPUTED_VALUE"""),867700.9900000266)</f>
        <v>867700.99</v>
      </c>
      <c r="AB7" s="26">
        <f>IFERROR(__xludf.DUMMYFUNCTION("""COMPUTED_VALUE"""),8912369.2)</f>
        <v>8912369.2</v>
      </c>
      <c r="AC7" s="26">
        <f>IFERROR(__xludf.DUMMYFUNCTION("""COMPUTED_VALUE"""),-135209.0)</f>
        <v>-135209</v>
      </c>
      <c r="AD7" s="26">
        <f>IFERROR(__xludf.DUMMYFUNCTION("""COMPUTED_VALUE"""),9978149.0)</f>
        <v>9978149</v>
      </c>
      <c r="AE7" s="26">
        <f>IFERROR(__xludf.DUMMYFUNCTION("""COMPUTED_VALUE"""),0.0)</f>
        <v>0</v>
      </c>
    </row>
    <row r="8">
      <c r="A8" s="26">
        <f>IFERROR(__xludf.DUMMYFUNCTION("""COMPUTED_VALUE"""),0.0)</f>
        <v>0</v>
      </c>
      <c r="B8" s="26">
        <f>IFERROR(__xludf.DUMMYFUNCTION("""COMPUTED_VALUE"""),0.0)</f>
        <v>0</v>
      </c>
      <c r="C8" s="26">
        <f>IFERROR(__xludf.DUMMYFUNCTION("""COMPUTED_VALUE"""),0.0)</f>
        <v>0</v>
      </c>
      <c r="D8" s="26">
        <f>IFERROR(__xludf.DUMMYFUNCTION("""COMPUTED_VALUE"""),0.0)</f>
        <v>0</v>
      </c>
      <c r="E8" s="26">
        <f>IFERROR(__xludf.DUMMYFUNCTION("""COMPUTED_VALUE"""),509.0)</f>
        <v>509</v>
      </c>
      <c r="F8" s="26">
        <f>IFERROR(__xludf.DUMMYFUNCTION("""COMPUTED_VALUE"""),0.0)</f>
        <v>0</v>
      </c>
      <c r="G8" s="26">
        <f>IFERROR(__xludf.DUMMYFUNCTION("""COMPUTED_VALUE"""),0.0)</f>
        <v>0</v>
      </c>
      <c r="H8" s="26">
        <f>IFERROR(__xludf.DUMMYFUNCTION("""COMPUTED_VALUE"""),0.0)</f>
        <v>0</v>
      </c>
      <c r="I8" s="26">
        <f>IFERROR(__xludf.DUMMYFUNCTION("""COMPUTED_VALUE"""),0.0)</f>
        <v>0</v>
      </c>
      <c r="J8" s="26">
        <f>IFERROR(__xludf.DUMMYFUNCTION("""COMPUTED_VALUE"""),0.0)</f>
        <v>0</v>
      </c>
      <c r="K8" s="26">
        <f>IFERROR(__xludf.DUMMYFUNCTION("""COMPUTED_VALUE"""),0.0)</f>
        <v>0</v>
      </c>
      <c r="L8" s="26"/>
      <c r="M8" s="26"/>
      <c r="N8" s="26"/>
      <c r="O8" s="26"/>
      <c r="P8" s="26"/>
      <c r="Q8" s="26"/>
      <c r="R8" s="26">
        <f>IFERROR(__xludf.DUMMYFUNCTION("""COMPUTED_VALUE"""),286154.0)</f>
        <v>286154</v>
      </c>
      <c r="S8" s="26">
        <f>IFERROR(__xludf.DUMMYFUNCTION("""COMPUTED_VALUE"""),172220.0)</f>
        <v>172220</v>
      </c>
      <c r="T8" s="26">
        <f>IFERROR(__xludf.DUMMYFUNCTION("""COMPUTED_VALUE"""),54.0)</f>
        <v>54</v>
      </c>
      <c r="U8" s="26">
        <f>IFERROR(__xludf.DUMMYFUNCTION("""COMPUTED_VALUE"""),54.0)</f>
        <v>54</v>
      </c>
      <c r="V8" s="26">
        <f>IFERROR(__xludf.DUMMYFUNCTION("""COMPUTED_VALUE"""),43542.90999999999)</f>
        <v>43542.91</v>
      </c>
      <c r="W8" s="26">
        <f>IFERROR(__xludf.DUMMYFUNCTION("""COMPUTED_VALUE"""),326921.6100000001)</f>
        <v>326921.61</v>
      </c>
      <c r="X8" s="26">
        <f>IFERROR(__xludf.DUMMYFUNCTION("""COMPUTED_VALUE"""),326921.6100000001)</f>
        <v>326921.61</v>
      </c>
      <c r="Y8" s="26">
        <f>IFERROR(__xludf.DUMMYFUNCTION("""COMPUTED_VALUE"""),0.0)</f>
        <v>0</v>
      </c>
      <c r="Z8" s="26">
        <f>IFERROR(__xludf.DUMMYFUNCTION("""COMPUTED_VALUE"""),85915.78999999994)</f>
        <v>85915.79</v>
      </c>
      <c r="AA8" s="26">
        <f>IFERROR(__xludf.DUMMYFUNCTION("""COMPUTED_VALUE"""),9546.489999999994)</f>
        <v>9546.49</v>
      </c>
      <c r="AB8" s="26">
        <f>IFERROR(__xludf.DUMMYFUNCTION("""COMPUTED_VALUE"""),0.0)</f>
        <v>0</v>
      </c>
      <c r="AC8" s="26">
        <f>IFERROR(__xludf.DUMMYFUNCTION("""COMPUTED_VALUE"""),-114687.0)</f>
        <v>-114687</v>
      </c>
      <c r="AD8" s="26">
        <f>IFERROR(__xludf.DUMMYFUNCTION("""COMPUTED_VALUE"""),5532313.0)</f>
        <v>5532313</v>
      </c>
      <c r="AE8" s="26">
        <f>IFERROR(__xludf.DUMMYFUNCTION("""COMPUTED_VALUE"""),391609.11)</f>
        <v>391609.11</v>
      </c>
    </row>
    <row r="9">
      <c r="A9" s="26">
        <f>IFERROR(__xludf.DUMMYFUNCTION("""COMPUTED_VALUE"""),0.0)</f>
        <v>0</v>
      </c>
      <c r="B9" s="26">
        <f>IFERROR(__xludf.DUMMYFUNCTION("""COMPUTED_VALUE"""),0.0)</f>
        <v>0</v>
      </c>
      <c r="C9" s="26">
        <f>IFERROR(__xludf.DUMMYFUNCTION("""COMPUTED_VALUE"""),0.0)</f>
        <v>0</v>
      </c>
      <c r="D9" s="26">
        <f>IFERROR(__xludf.DUMMYFUNCTION("""COMPUTED_VALUE"""),0.0)</f>
        <v>0</v>
      </c>
      <c r="E9" s="26">
        <f>IFERROR(__xludf.DUMMYFUNCTION("""COMPUTED_VALUE"""),176.0)</f>
        <v>176</v>
      </c>
      <c r="F9" s="26">
        <f>IFERROR(__xludf.DUMMYFUNCTION("""COMPUTED_VALUE"""),0.0)</f>
        <v>0</v>
      </c>
      <c r="G9" s="26">
        <f>IFERROR(__xludf.DUMMYFUNCTION("""COMPUTED_VALUE"""),0.0)</f>
        <v>0</v>
      </c>
      <c r="H9" s="26">
        <f>IFERROR(__xludf.DUMMYFUNCTION("""COMPUTED_VALUE"""),0.0)</f>
        <v>0</v>
      </c>
      <c r="I9" s="26">
        <f>IFERROR(__xludf.DUMMYFUNCTION("""COMPUTED_VALUE"""),0.0)</f>
        <v>0</v>
      </c>
      <c r="J9" s="26">
        <f>IFERROR(__xludf.DUMMYFUNCTION("""COMPUTED_VALUE"""),2.0)</f>
        <v>2</v>
      </c>
      <c r="K9" s="26">
        <f>IFERROR(__xludf.DUMMYFUNCTION("""COMPUTED_VALUE"""),0.0)</f>
        <v>0</v>
      </c>
      <c r="L9" s="26"/>
      <c r="M9" s="26"/>
      <c r="N9" s="26"/>
      <c r="O9" s="26"/>
      <c r="P9" s="26"/>
      <c r="Q9" s="26"/>
      <c r="R9" s="26">
        <f>IFERROR(__xludf.DUMMYFUNCTION("""COMPUTED_VALUE"""),89559.4)</f>
        <v>89559.4</v>
      </c>
      <c r="S9" s="26">
        <f>IFERROR(__xludf.DUMMYFUNCTION("""COMPUTED_VALUE"""),58340.0)</f>
        <v>58340</v>
      </c>
      <c r="T9" s="26">
        <f>IFERROR(__xludf.DUMMYFUNCTION("""COMPUTED_VALUE"""),0.0)</f>
        <v>0</v>
      </c>
      <c r="U9" s="26">
        <f>IFERROR(__xludf.DUMMYFUNCTION("""COMPUTED_VALUE"""),0.0)</f>
        <v>0</v>
      </c>
      <c r="V9" s="26">
        <f>IFERROR(__xludf.DUMMYFUNCTION("""COMPUTED_VALUE"""),13661.509999999998)</f>
        <v>13661.51</v>
      </c>
      <c r="W9" s="26">
        <f>IFERROR(__xludf.DUMMYFUNCTION("""COMPUTED_VALUE"""),0.0)</f>
        <v>0</v>
      </c>
      <c r="X9" s="26">
        <f>IFERROR(__xludf.DUMMYFUNCTION("""COMPUTED_VALUE"""),0.0)</f>
        <v>0</v>
      </c>
      <c r="Y9" s="26">
        <f>IFERROR(__xludf.DUMMYFUNCTION("""COMPUTED_VALUE"""),0.0)</f>
        <v>0</v>
      </c>
      <c r="Z9" s="26">
        <f>IFERROR(__xludf.DUMMYFUNCTION("""COMPUTED_VALUE"""),0.0)</f>
        <v>0</v>
      </c>
      <c r="AA9" s="26">
        <f>IFERROR(__xludf.DUMMYFUNCTION("""COMPUTED_VALUE"""),0.0)</f>
        <v>0</v>
      </c>
      <c r="AB9" s="26">
        <f>IFERROR(__xludf.DUMMYFUNCTION("""COMPUTED_VALUE"""),0.0)</f>
        <v>0</v>
      </c>
      <c r="AC9" s="26">
        <f>IFERROR(__xludf.DUMMYFUNCTION("""COMPUTED_VALUE"""),0.0)</f>
        <v>0</v>
      </c>
      <c r="AD9" s="26">
        <f>IFERROR(__xludf.DUMMYFUNCTION("""COMPUTED_VALUE"""),0.0)</f>
        <v>0</v>
      </c>
      <c r="AE9" s="26">
        <f>IFERROR(__xludf.DUMMYFUNCTION("""COMPUTED_VALUE"""),0.0)</f>
        <v>0</v>
      </c>
    </row>
    <row r="10">
      <c r="A10" s="26">
        <f>IFERROR(__xludf.DUMMYFUNCTION("""COMPUTED_VALUE"""),0.0)</f>
        <v>0</v>
      </c>
      <c r="B10" s="26">
        <f>IFERROR(__xludf.DUMMYFUNCTION("""COMPUTED_VALUE"""),0.0)</f>
        <v>0</v>
      </c>
      <c r="C10" s="26">
        <f>IFERROR(__xludf.DUMMYFUNCTION("""COMPUTED_VALUE"""),0.0)</f>
        <v>0</v>
      </c>
      <c r="D10" s="26">
        <f>IFERROR(__xludf.DUMMYFUNCTION("""COMPUTED_VALUE"""),0.0)</f>
        <v>0</v>
      </c>
      <c r="E10" s="26">
        <f>IFERROR(__xludf.DUMMYFUNCTION("""COMPUTED_VALUE"""),53.0)</f>
        <v>53</v>
      </c>
      <c r="F10" s="26">
        <f>IFERROR(__xludf.DUMMYFUNCTION("""COMPUTED_VALUE"""),0.0)</f>
        <v>0</v>
      </c>
      <c r="G10" s="26">
        <f>IFERROR(__xludf.DUMMYFUNCTION("""COMPUTED_VALUE"""),0.0)</f>
        <v>0</v>
      </c>
      <c r="H10" s="26">
        <f>IFERROR(__xludf.DUMMYFUNCTION("""COMPUTED_VALUE"""),0.0)</f>
        <v>0</v>
      </c>
      <c r="I10" s="26">
        <f>IFERROR(__xludf.DUMMYFUNCTION("""COMPUTED_VALUE"""),0.0)</f>
        <v>0</v>
      </c>
      <c r="J10" s="26">
        <f>IFERROR(__xludf.DUMMYFUNCTION("""COMPUTED_VALUE"""),0.0)</f>
        <v>0</v>
      </c>
      <c r="K10" s="26">
        <f>IFERROR(__xludf.DUMMYFUNCTION("""COMPUTED_VALUE"""),0.0)</f>
        <v>0</v>
      </c>
      <c r="L10" s="26"/>
      <c r="M10" s="26"/>
      <c r="N10" s="26"/>
      <c r="O10" s="26"/>
      <c r="P10" s="26"/>
      <c r="Q10" s="26"/>
      <c r="R10" s="26">
        <f>IFERROR(__xludf.DUMMYFUNCTION("""COMPUTED_VALUE"""),22105.0)</f>
        <v>22105</v>
      </c>
      <c r="S10" s="26">
        <f>IFERROR(__xludf.DUMMYFUNCTION("""COMPUTED_VALUE"""),16540.0)</f>
        <v>16540</v>
      </c>
      <c r="T10" s="26">
        <f>IFERROR(__xludf.DUMMYFUNCTION("""COMPUTED_VALUE"""),0.0)</f>
        <v>0</v>
      </c>
      <c r="U10" s="26">
        <f>IFERROR(__xludf.DUMMYFUNCTION("""COMPUTED_VALUE"""),0.0)</f>
        <v>0</v>
      </c>
      <c r="V10" s="26">
        <f>IFERROR(__xludf.DUMMYFUNCTION("""COMPUTED_VALUE"""),3371.95)</f>
        <v>3371.95</v>
      </c>
      <c r="W10" s="26">
        <f>IFERROR(__xludf.DUMMYFUNCTION("""COMPUTED_VALUE"""),0.0)</f>
        <v>0</v>
      </c>
      <c r="X10" s="26">
        <f>IFERROR(__xludf.DUMMYFUNCTION("""COMPUTED_VALUE"""),0.0)</f>
        <v>0</v>
      </c>
      <c r="Y10" s="26">
        <f>IFERROR(__xludf.DUMMYFUNCTION("""COMPUTED_VALUE"""),0.0)</f>
        <v>0</v>
      </c>
      <c r="Z10" s="26">
        <f>IFERROR(__xludf.DUMMYFUNCTION("""COMPUTED_VALUE"""),0.0)</f>
        <v>0</v>
      </c>
      <c r="AA10" s="26">
        <f>IFERROR(__xludf.DUMMYFUNCTION("""COMPUTED_VALUE"""),0.0)</f>
        <v>0</v>
      </c>
      <c r="AB10" s="26">
        <f>IFERROR(__xludf.DUMMYFUNCTION("""COMPUTED_VALUE"""),0.0)</f>
        <v>0</v>
      </c>
      <c r="AC10" s="26">
        <f>IFERROR(__xludf.DUMMYFUNCTION("""COMPUTED_VALUE"""),0.0)</f>
        <v>0</v>
      </c>
      <c r="AD10" s="26">
        <f>IFERROR(__xludf.DUMMYFUNCTION("""COMPUTED_VALUE"""),0.0)</f>
        <v>0</v>
      </c>
      <c r="AE10" s="26">
        <f>IFERROR(__xludf.DUMMYFUNCTION("""COMPUTED_VALUE"""),0.0)</f>
        <v>0</v>
      </c>
    </row>
    <row r="11">
      <c r="A11" s="26">
        <f>IFERROR(__xludf.DUMMYFUNCTION("""COMPUTED_VALUE"""),0.0)</f>
        <v>0</v>
      </c>
      <c r="B11" s="26">
        <f>IFERROR(__xludf.DUMMYFUNCTION("""COMPUTED_VALUE"""),0.0)</f>
        <v>0</v>
      </c>
      <c r="C11" s="26">
        <f>IFERROR(__xludf.DUMMYFUNCTION("""COMPUTED_VALUE"""),0.0)</f>
        <v>0</v>
      </c>
      <c r="D11" s="26">
        <f>IFERROR(__xludf.DUMMYFUNCTION("""COMPUTED_VALUE"""),0.0)</f>
        <v>0</v>
      </c>
      <c r="E11" s="26">
        <f>IFERROR(__xludf.DUMMYFUNCTION("""COMPUTED_VALUE"""),19.0)</f>
        <v>19</v>
      </c>
      <c r="F11" s="26">
        <f>IFERROR(__xludf.DUMMYFUNCTION("""COMPUTED_VALUE"""),0.0)</f>
        <v>0</v>
      </c>
      <c r="G11" s="26">
        <f>IFERROR(__xludf.DUMMYFUNCTION("""COMPUTED_VALUE"""),0.0)</f>
        <v>0</v>
      </c>
      <c r="H11" s="26">
        <f>IFERROR(__xludf.DUMMYFUNCTION("""COMPUTED_VALUE"""),0.0)</f>
        <v>0</v>
      </c>
      <c r="I11" s="26">
        <f>IFERROR(__xludf.DUMMYFUNCTION("""COMPUTED_VALUE"""),0.0)</f>
        <v>0</v>
      </c>
      <c r="J11" s="26">
        <f>IFERROR(__xludf.DUMMYFUNCTION("""COMPUTED_VALUE"""),0.0)</f>
        <v>0</v>
      </c>
      <c r="K11" s="26">
        <f>IFERROR(__xludf.DUMMYFUNCTION("""COMPUTED_VALUE"""),0.0)</f>
        <v>0</v>
      </c>
      <c r="L11" s="26"/>
      <c r="M11" s="26"/>
      <c r="N11" s="26"/>
      <c r="O11" s="26"/>
      <c r="P11" s="26"/>
      <c r="Q11" s="26"/>
      <c r="R11" s="26">
        <f>IFERROR(__xludf.DUMMYFUNCTION("""COMPUTED_VALUE"""),15019.0)</f>
        <v>15019</v>
      </c>
      <c r="S11" s="26">
        <f>IFERROR(__xludf.DUMMYFUNCTION("""COMPUTED_VALUE"""),7300.0)</f>
        <v>7300</v>
      </c>
      <c r="T11" s="26">
        <f>IFERROR(__xludf.DUMMYFUNCTION("""COMPUTED_VALUE"""),0.0)</f>
        <v>0</v>
      </c>
      <c r="U11" s="26">
        <f>IFERROR(__xludf.DUMMYFUNCTION("""COMPUTED_VALUE"""),0.0)</f>
        <v>0</v>
      </c>
      <c r="V11" s="26">
        <f>IFERROR(__xludf.DUMMYFUNCTION("""COMPUTED_VALUE"""),2291.0499999999997)</f>
        <v>2291.05</v>
      </c>
      <c r="W11" s="26">
        <f>IFERROR(__xludf.DUMMYFUNCTION("""COMPUTED_VALUE"""),0.0)</f>
        <v>0</v>
      </c>
      <c r="X11" s="26">
        <f>IFERROR(__xludf.DUMMYFUNCTION("""COMPUTED_VALUE"""),0.0)</f>
        <v>0</v>
      </c>
      <c r="Y11" s="26">
        <f>IFERROR(__xludf.DUMMYFUNCTION("""COMPUTED_VALUE"""),0.0)</f>
        <v>0</v>
      </c>
      <c r="Z11" s="26">
        <f>IFERROR(__xludf.DUMMYFUNCTION("""COMPUTED_VALUE"""),0.0)</f>
        <v>0</v>
      </c>
      <c r="AA11" s="26">
        <f>IFERROR(__xludf.DUMMYFUNCTION("""COMPUTED_VALUE"""),0.0)</f>
        <v>0</v>
      </c>
      <c r="AB11" s="26">
        <f>IFERROR(__xludf.DUMMYFUNCTION("""COMPUTED_VALUE"""),0.0)</f>
        <v>0</v>
      </c>
      <c r="AC11" s="26">
        <f>IFERROR(__xludf.DUMMYFUNCTION("""COMPUTED_VALUE"""),0.0)</f>
        <v>0</v>
      </c>
      <c r="AD11" s="26">
        <f>IFERROR(__xludf.DUMMYFUNCTION("""COMPUTED_VALUE"""),0.0)</f>
        <v>0</v>
      </c>
      <c r="AE11" s="26">
        <f>IFERROR(__xludf.DUMMYFUNCTION("""COMPUTED_VALUE"""),0.0)</f>
        <v>0</v>
      </c>
    </row>
    <row r="12">
      <c r="A12" s="26">
        <f>IFERROR(__xludf.DUMMYFUNCTION("""COMPUTED_VALUE"""),0.0)</f>
        <v>0</v>
      </c>
      <c r="B12" s="26">
        <f>IFERROR(__xludf.DUMMYFUNCTION("""COMPUTED_VALUE"""),0.0)</f>
        <v>0</v>
      </c>
      <c r="C12" s="26">
        <f>IFERROR(__xludf.DUMMYFUNCTION("""COMPUTED_VALUE"""),0.0)</f>
        <v>0</v>
      </c>
      <c r="D12" s="26">
        <f>IFERROR(__xludf.DUMMYFUNCTION("""COMPUTED_VALUE"""),0.0)</f>
        <v>0</v>
      </c>
      <c r="E12" s="26">
        <f>IFERROR(__xludf.DUMMYFUNCTION("""COMPUTED_VALUE"""),0.0)</f>
        <v>0</v>
      </c>
      <c r="F12" s="26">
        <f>IFERROR(__xludf.DUMMYFUNCTION("""COMPUTED_VALUE"""),0.0)</f>
        <v>0</v>
      </c>
      <c r="G12" s="26">
        <f>IFERROR(__xludf.DUMMYFUNCTION("""COMPUTED_VALUE"""),0.0)</f>
        <v>0</v>
      </c>
      <c r="H12" s="26">
        <f>IFERROR(__xludf.DUMMYFUNCTION("""COMPUTED_VALUE"""),0.0)</f>
        <v>0</v>
      </c>
      <c r="I12" s="26">
        <f>IFERROR(__xludf.DUMMYFUNCTION("""COMPUTED_VALUE"""),0.0)</f>
        <v>0</v>
      </c>
      <c r="J12" s="26">
        <f>IFERROR(__xludf.DUMMYFUNCTION("""COMPUTED_VALUE"""),0.0)</f>
        <v>0</v>
      </c>
      <c r="K12" s="26">
        <f>IFERROR(__xludf.DUMMYFUNCTION("""COMPUTED_VALUE"""),0.0)</f>
        <v>0</v>
      </c>
      <c r="L12" s="26"/>
      <c r="M12" s="26"/>
      <c r="N12" s="26"/>
      <c r="O12" s="26"/>
      <c r="P12" s="26"/>
      <c r="Q12" s="26"/>
      <c r="R12" s="26">
        <f>IFERROR(__xludf.DUMMYFUNCTION("""COMPUTED_VALUE"""),0.0)</f>
        <v>0</v>
      </c>
      <c r="S12" s="26">
        <f>IFERROR(__xludf.DUMMYFUNCTION("""COMPUTED_VALUE"""),0.0)</f>
        <v>0</v>
      </c>
      <c r="T12" s="26">
        <f>IFERROR(__xludf.DUMMYFUNCTION("""COMPUTED_VALUE"""),0.0)</f>
        <v>0</v>
      </c>
      <c r="U12" s="26">
        <f>IFERROR(__xludf.DUMMYFUNCTION("""COMPUTED_VALUE"""),0.0)</f>
        <v>0</v>
      </c>
      <c r="V12" s="26">
        <f>IFERROR(__xludf.DUMMYFUNCTION("""COMPUTED_VALUE"""),0.0)</f>
        <v>0</v>
      </c>
      <c r="W12" s="26">
        <f>IFERROR(__xludf.DUMMYFUNCTION("""COMPUTED_VALUE"""),0.0)</f>
        <v>0</v>
      </c>
      <c r="X12" s="26">
        <f>IFERROR(__xludf.DUMMYFUNCTION("""COMPUTED_VALUE"""),0.0)</f>
        <v>0</v>
      </c>
      <c r="Y12" s="26">
        <f>IFERROR(__xludf.DUMMYFUNCTION("""COMPUTED_VALUE"""),0.0)</f>
        <v>0</v>
      </c>
      <c r="Z12" s="26">
        <f>IFERROR(__xludf.DUMMYFUNCTION("""COMPUTED_VALUE"""),0.0)</f>
        <v>0</v>
      </c>
      <c r="AA12" s="26">
        <f>IFERROR(__xludf.DUMMYFUNCTION("""COMPUTED_VALUE"""),0.0)</f>
        <v>0</v>
      </c>
      <c r="AB12" s="26">
        <f>IFERROR(__xludf.DUMMYFUNCTION("""COMPUTED_VALUE"""),0.0)</f>
        <v>0</v>
      </c>
      <c r="AC12" s="26">
        <f>IFERROR(__xludf.DUMMYFUNCTION("""COMPUTED_VALUE"""),0.0)</f>
        <v>0</v>
      </c>
      <c r="AD12" s="26">
        <f>IFERROR(__xludf.DUMMYFUNCTION("""COMPUTED_VALUE"""),0.0)</f>
        <v>0</v>
      </c>
      <c r="AE12" s="26">
        <f>IFERROR(__xludf.DUMMYFUNCTION("""COMPUTED_VALUE"""),0.0)</f>
        <v>0</v>
      </c>
    </row>
    <row r="13">
      <c r="A13" s="26">
        <f>IFERROR(__xludf.DUMMYFUNCTION("""COMPUTED_VALUE"""),0.0)</f>
        <v>0</v>
      </c>
      <c r="B13" s="26">
        <f>IFERROR(__xludf.DUMMYFUNCTION("""COMPUTED_VALUE"""),0.0)</f>
        <v>0</v>
      </c>
      <c r="C13" s="26">
        <f>IFERROR(__xludf.DUMMYFUNCTION("""COMPUTED_VALUE"""),0.0)</f>
        <v>0</v>
      </c>
      <c r="D13" s="26">
        <f>IFERROR(__xludf.DUMMYFUNCTION("""COMPUTED_VALUE"""),0.0)</f>
        <v>0</v>
      </c>
      <c r="E13" s="26">
        <f>IFERROR(__xludf.DUMMYFUNCTION("""COMPUTED_VALUE"""),0.0)</f>
        <v>0</v>
      </c>
      <c r="F13" s="26">
        <f>IFERROR(__xludf.DUMMYFUNCTION("""COMPUTED_VALUE"""),0.0)</f>
        <v>0</v>
      </c>
      <c r="G13" s="26">
        <f>IFERROR(__xludf.DUMMYFUNCTION("""COMPUTED_VALUE"""),0.0)</f>
        <v>0</v>
      </c>
      <c r="H13" s="26">
        <f>IFERROR(__xludf.DUMMYFUNCTION("""COMPUTED_VALUE"""),0.0)</f>
        <v>0</v>
      </c>
      <c r="I13" s="26">
        <f>IFERROR(__xludf.DUMMYFUNCTION("""COMPUTED_VALUE"""),0.0)</f>
        <v>0</v>
      </c>
      <c r="J13" s="26">
        <f>IFERROR(__xludf.DUMMYFUNCTION("""COMPUTED_VALUE"""),0.0)</f>
        <v>0</v>
      </c>
      <c r="K13" s="26">
        <f>IFERROR(__xludf.DUMMYFUNCTION("""COMPUTED_VALUE"""),0.0)</f>
        <v>0</v>
      </c>
      <c r="L13" s="26"/>
      <c r="M13" s="26"/>
      <c r="N13" s="26"/>
      <c r="O13" s="26"/>
      <c r="P13" s="26"/>
      <c r="Q13" s="26"/>
      <c r="R13" s="26">
        <f>IFERROR(__xludf.DUMMYFUNCTION("""COMPUTED_VALUE"""),0.0)</f>
        <v>0</v>
      </c>
      <c r="S13" s="26">
        <f>IFERROR(__xludf.DUMMYFUNCTION("""COMPUTED_VALUE"""),0.0)</f>
        <v>0</v>
      </c>
      <c r="T13" s="26">
        <f>IFERROR(__xludf.DUMMYFUNCTION("""COMPUTED_VALUE"""),0.0)</f>
        <v>0</v>
      </c>
      <c r="U13" s="26">
        <f>IFERROR(__xludf.DUMMYFUNCTION("""COMPUTED_VALUE"""),0.0)</f>
        <v>0</v>
      </c>
      <c r="V13" s="26">
        <f>IFERROR(__xludf.DUMMYFUNCTION("""COMPUTED_VALUE"""),0.0)</f>
        <v>0</v>
      </c>
      <c r="W13" s="26">
        <f>IFERROR(__xludf.DUMMYFUNCTION("""COMPUTED_VALUE"""),0.0)</f>
        <v>0</v>
      </c>
      <c r="X13" s="26">
        <f>IFERROR(__xludf.DUMMYFUNCTION("""COMPUTED_VALUE"""),0.0)</f>
        <v>0</v>
      </c>
      <c r="Y13" s="26">
        <f>IFERROR(__xludf.DUMMYFUNCTION("""COMPUTED_VALUE"""),0.0)</f>
        <v>0</v>
      </c>
      <c r="Z13" s="26">
        <f>IFERROR(__xludf.DUMMYFUNCTION("""COMPUTED_VALUE"""),0.0)</f>
        <v>0</v>
      </c>
      <c r="AA13" s="26">
        <f>IFERROR(__xludf.DUMMYFUNCTION("""COMPUTED_VALUE"""),0.0)</f>
        <v>0</v>
      </c>
      <c r="AB13" s="26">
        <f>IFERROR(__xludf.DUMMYFUNCTION("""COMPUTED_VALUE"""),0.0)</f>
        <v>0</v>
      </c>
      <c r="AC13" s="26">
        <f>IFERROR(__xludf.DUMMYFUNCTION("""COMPUTED_VALUE"""),19360.0)</f>
        <v>19360</v>
      </c>
      <c r="AD13" s="26">
        <f>IFERROR(__xludf.DUMMYFUNCTION("""COMPUTED_VALUE"""),19360.0)</f>
        <v>19360</v>
      </c>
      <c r="AE13" s="26">
        <f>IFERROR(__xludf.DUMMYFUNCTION("""COMPUTED_VALUE"""),0.0)</f>
        <v>0</v>
      </c>
    </row>
    <row r="14">
      <c r="A14" s="26">
        <f>IFERROR(__xludf.DUMMYFUNCTION("""COMPUTED_VALUE"""),0.0)</f>
        <v>0</v>
      </c>
      <c r="B14" s="26">
        <f>IFERROR(__xludf.DUMMYFUNCTION("""COMPUTED_VALUE"""),0.0)</f>
        <v>0</v>
      </c>
      <c r="C14" s="26">
        <f>IFERROR(__xludf.DUMMYFUNCTION("""COMPUTED_VALUE"""),0.0)</f>
        <v>0</v>
      </c>
      <c r="D14" s="26">
        <f>IFERROR(__xludf.DUMMYFUNCTION("""COMPUTED_VALUE"""),0.0)</f>
        <v>0</v>
      </c>
      <c r="E14" s="26">
        <f>IFERROR(__xludf.DUMMYFUNCTION("""COMPUTED_VALUE"""),0.0)</f>
        <v>0</v>
      </c>
      <c r="F14" s="26">
        <f>IFERROR(__xludf.DUMMYFUNCTION("""COMPUTED_VALUE"""),0.0)</f>
        <v>0</v>
      </c>
      <c r="G14" s="26">
        <f>IFERROR(__xludf.DUMMYFUNCTION("""COMPUTED_VALUE"""),0.0)</f>
        <v>0</v>
      </c>
      <c r="H14" s="26">
        <f>IFERROR(__xludf.DUMMYFUNCTION("""COMPUTED_VALUE"""),0.0)</f>
        <v>0</v>
      </c>
      <c r="I14" s="26">
        <f>IFERROR(__xludf.DUMMYFUNCTION("""COMPUTED_VALUE"""),0.0)</f>
        <v>0</v>
      </c>
      <c r="J14" s="26">
        <f>IFERROR(__xludf.DUMMYFUNCTION("""COMPUTED_VALUE"""),0.0)</f>
        <v>0</v>
      </c>
      <c r="K14" s="26">
        <f>IFERROR(__xludf.DUMMYFUNCTION("""COMPUTED_VALUE"""),0.0)</f>
        <v>0</v>
      </c>
      <c r="L14" s="26"/>
      <c r="M14" s="26"/>
      <c r="N14" s="26"/>
      <c r="O14" s="26"/>
      <c r="P14" s="26"/>
      <c r="Q14" s="26"/>
      <c r="R14" s="26">
        <f>IFERROR(__xludf.DUMMYFUNCTION("""COMPUTED_VALUE"""),0.0)</f>
        <v>0</v>
      </c>
      <c r="S14" s="26">
        <f>IFERROR(__xludf.DUMMYFUNCTION("""COMPUTED_VALUE"""),0.0)</f>
        <v>0</v>
      </c>
      <c r="T14" s="26">
        <f>IFERROR(__xludf.DUMMYFUNCTION("""COMPUTED_VALUE"""),0.0)</f>
        <v>0</v>
      </c>
      <c r="U14" s="26">
        <f>IFERROR(__xludf.DUMMYFUNCTION("""COMPUTED_VALUE"""),0.0)</f>
        <v>0</v>
      </c>
      <c r="V14" s="26">
        <f>IFERROR(__xludf.DUMMYFUNCTION("""COMPUTED_VALUE"""),0.0)</f>
        <v>0</v>
      </c>
      <c r="W14" s="26">
        <f>IFERROR(__xludf.DUMMYFUNCTION("""COMPUTED_VALUE"""),0.0)</f>
        <v>0</v>
      </c>
      <c r="X14" s="26">
        <f>IFERROR(__xludf.DUMMYFUNCTION("""COMPUTED_VALUE"""),0.0)</f>
        <v>0</v>
      </c>
      <c r="Y14" s="26">
        <f>IFERROR(__xludf.DUMMYFUNCTION("""COMPUTED_VALUE"""),0.0)</f>
        <v>0</v>
      </c>
      <c r="Z14" s="26">
        <f>IFERROR(__xludf.DUMMYFUNCTION("""COMPUTED_VALUE"""),0.0)</f>
        <v>0</v>
      </c>
      <c r="AA14" s="26">
        <f>IFERROR(__xludf.DUMMYFUNCTION("""COMPUTED_VALUE"""),0.0)</f>
        <v>0</v>
      </c>
      <c r="AB14" s="26">
        <f>IFERROR(__xludf.DUMMYFUNCTION("""COMPUTED_VALUE"""),0.0)</f>
        <v>0</v>
      </c>
      <c r="AC14" s="26">
        <f>IFERROR(__xludf.DUMMYFUNCTION("""COMPUTED_VALUE"""),0.0)</f>
        <v>0</v>
      </c>
      <c r="AD14" s="26">
        <f>IFERROR(__xludf.DUMMYFUNCTION("""COMPUTED_VALUE"""),0.0)</f>
        <v>0</v>
      </c>
      <c r="AE14" s="26">
        <f>IFERROR(__xludf.DUMMYFUNCTION("""COMPUTED_VALUE"""),0.0)</f>
        <v>0</v>
      </c>
    </row>
    <row r="15">
      <c r="A15" s="26">
        <f>IFERROR(__xludf.DUMMYFUNCTION("""COMPUTED_VALUE"""),0.0)</f>
        <v>0</v>
      </c>
      <c r="B15" s="26">
        <f>IFERROR(__xludf.DUMMYFUNCTION("""COMPUTED_VALUE"""),0.0)</f>
        <v>0</v>
      </c>
      <c r="C15" s="26">
        <f>IFERROR(__xludf.DUMMYFUNCTION("""COMPUTED_VALUE"""),0.0)</f>
        <v>0</v>
      </c>
      <c r="D15" s="26">
        <f>IFERROR(__xludf.DUMMYFUNCTION("""COMPUTED_VALUE"""),0.0)</f>
        <v>0</v>
      </c>
      <c r="E15" s="26">
        <f>IFERROR(__xludf.DUMMYFUNCTION("""COMPUTED_VALUE"""),0.0)</f>
        <v>0</v>
      </c>
      <c r="F15" s="26">
        <f>IFERROR(__xludf.DUMMYFUNCTION("""COMPUTED_VALUE"""),0.0)</f>
        <v>0</v>
      </c>
      <c r="G15" s="26">
        <f>IFERROR(__xludf.DUMMYFUNCTION("""COMPUTED_VALUE"""),0.0)</f>
        <v>0</v>
      </c>
      <c r="H15" s="26">
        <f>IFERROR(__xludf.DUMMYFUNCTION("""COMPUTED_VALUE"""),0.0)</f>
        <v>0</v>
      </c>
      <c r="I15" s="26">
        <f>IFERROR(__xludf.DUMMYFUNCTION("""COMPUTED_VALUE"""),0.0)</f>
        <v>0</v>
      </c>
      <c r="J15" s="26">
        <f>IFERROR(__xludf.DUMMYFUNCTION("""COMPUTED_VALUE"""),0.0)</f>
        <v>0</v>
      </c>
      <c r="K15" s="26">
        <f>IFERROR(__xludf.DUMMYFUNCTION("""COMPUTED_VALUE"""),0.0)</f>
        <v>0</v>
      </c>
      <c r="L15" s="26"/>
      <c r="M15" s="26"/>
      <c r="N15" s="26"/>
      <c r="O15" s="26"/>
      <c r="P15" s="26"/>
      <c r="Q15" s="26"/>
      <c r="R15" s="26">
        <f>IFERROR(__xludf.DUMMYFUNCTION("""COMPUTED_VALUE"""),0.0)</f>
        <v>0</v>
      </c>
      <c r="S15" s="26">
        <f>IFERROR(__xludf.DUMMYFUNCTION("""COMPUTED_VALUE"""),0.0)</f>
        <v>0</v>
      </c>
      <c r="T15" s="26">
        <f>IFERROR(__xludf.DUMMYFUNCTION("""COMPUTED_VALUE"""),0.0)</f>
        <v>0</v>
      </c>
      <c r="U15" s="26">
        <f>IFERROR(__xludf.DUMMYFUNCTION("""COMPUTED_VALUE"""),0.0)</f>
        <v>0</v>
      </c>
      <c r="V15" s="26">
        <f>IFERROR(__xludf.DUMMYFUNCTION("""COMPUTED_VALUE"""),0.0)</f>
        <v>0</v>
      </c>
      <c r="W15" s="26">
        <f>IFERROR(__xludf.DUMMYFUNCTION("""COMPUTED_VALUE"""),0.0)</f>
        <v>0</v>
      </c>
      <c r="X15" s="26">
        <f>IFERROR(__xludf.DUMMYFUNCTION("""COMPUTED_VALUE"""),0.0)</f>
        <v>0</v>
      </c>
      <c r="Y15" s="26">
        <f>IFERROR(__xludf.DUMMYFUNCTION("""COMPUTED_VALUE"""),0.0)</f>
        <v>0</v>
      </c>
      <c r="Z15" s="26">
        <f>IFERROR(__xludf.DUMMYFUNCTION("""COMPUTED_VALUE"""),0.0)</f>
        <v>0</v>
      </c>
      <c r="AA15" s="26">
        <f>IFERROR(__xludf.DUMMYFUNCTION("""COMPUTED_VALUE"""),0.0)</f>
        <v>0</v>
      </c>
      <c r="AB15" s="26">
        <f>IFERROR(__xludf.DUMMYFUNCTION("""COMPUTED_VALUE"""),0.0)</f>
        <v>0</v>
      </c>
      <c r="AC15" s="26">
        <f>IFERROR(__xludf.DUMMYFUNCTION("""COMPUTED_VALUE"""),-484.0)</f>
        <v>-484</v>
      </c>
      <c r="AD15" s="26">
        <f>IFERROR(__xludf.DUMMYFUNCTION("""COMPUTED_VALUE"""),-484.0)</f>
        <v>-484</v>
      </c>
      <c r="AE15" s="26">
        <f>IFERROR(__xludf.DUMMYFUNCTION("""COMPUTED_VALUE"""),484.0)</f>
        <v>484</v>
      </c>
    </row>
    <row r="16">
      <c r="A16" s="26">
        <f>IFERROR(__xludf.DUMMYFUNCTION("""COMPUTED_VALUE"""),12.0)</f>
        <v>12</v>
      </c>
      <c r="B16" s="26">
        <f>IFERROR(__xludf.DUMMYFUNCTION("""COMPUTED_VALUE"""),0.0)</f>
        <v>0</v>
      </c>
      <c r="C16" s="26">
        <f>IFERROR(__xludf.DUMMYFUNCTION("""COMPUTED_VALUE"""),0.0)</f>
        <v>0</v>
      </c>
      <c r="D16" s="26">
        <f>IFERROR(__xludf.DUMMYFUNCTION("""COMPUTED_VALUE"""),0.0)</f>
        <v>0</v>
      </c>
      <c r="E16" s="26">
        <f>IFERROR(__xludf.DUMMYFUNCTION("""COMPUTED_VALUE"""),0.0)</f>
        <v>0</v>
      </c>
      <c r="F16" s="26">
        <f>IFERROR(__xludf.DUMMYFUNCTION("""COMPUTED_VALUE"""),0.0)</f>
        <v>0</v>
      </c>
      <c r="G16" s="26">
        <f>IFERROR(__xludf.DUMMYFUNCTION("""COMPUTED_VALUE"""),0.0)</f>
        <v>0</v>
      </c>
      <c r="H16" s="26">
        <f>IFERROR(__xludf.DUMMYFUNCTION("""COMPUTED_VALUE"""),0.0)</f>
        <v>0</v>
      </c>
      <c r="I16" s="26">
        <f>IFERROR(__xludf.DUMMYFUNCTION("""COMPUTED_VALUE"""),0.0)</f>
        <v>0</v>
      </c>
      <c r="J16" s="26">
        <f>IFERROR(__xludf.DUMMYFUNCTION("""COMPUTED_VALUE"""),0.0)</f>
        <v>0</v>
      </c>
      <c r="K16" s="26">
        <f>IFERROR(__xludf.DUMMYFUNCTION("""COMPUTED_VALUE"""),0.0)</f>
        <v>0</v>
      </c>
      <c r="L16" s="26"/>
      <c r="M16" s="26"/>
      <c r="N16" s="26"/>
      <c r="O16" s="26"/>
      <c r="P16" s="26"/>
      <c r="Q16" s="26"/>
      <c r="R16" s="26">
        <f>IFERROR(__xludf.DUMMYFUNCTION("""COMPUTED_VALUE"""),2407.1999999999994)</f>
        <v>2407.2</v>
      </c>
      <c r="S16" s="26">
        <f>IFERROR(__xludf.DUMMYFUNCTION("""COMPUTED_VALUE"""),2040.0)</f>
        <v>2040</v>
      </c>
      <c r="T16" s="26">
        <f>IFERROR(__xludf.DUMMYFUNCTION("""COMPUTED_VALUE"""),0.0)</f>
        <v>0</v>
      </c>
      <c r="U16" s="26">
        <f>IFERROR(__xludf.DUMMYFUNCTION("""COMPUTED_VALUE"""),0.0)</f>
        <v>0</v>
      </c>
      <c r="V16" s="26">
        <f>IFERROR(__xludf.DUMMYFUNCTION("""COMPUTED_VALUE"""),367.20000000000005)</f>
        <v>367.2</v>
      </c>
      <c r="W16" s="26">
        <f>IFERROR(__xludf.DUMMYFUNCTION("""COMPUTED_VALUE"""),2407.1999999999994)</f>
        <v>2407.2</v>
      </c>
      <c r="X16" s="26">
        <f>IFERROR(__xludf.DUMMYFUNCTION("""COMPUTED_VALUE"""),2407.1999999999994)</f>
        <v>2407.2</v>
      </c>
      <c r="Y16" s="26">
        <f>IFERROR(__xludf.DUMMYFUNCTION("""COMPUTED_VALUE"""),166.19)</f>
        <v>166.19</v>
      </c>
      <c r="Z16" s="26">
        <f>IFERROR(__xludf.DUMMYFUNCTION("""COMPUTED_VALUE"""),0.0)</f>
        <v>0</v>
      </c>
      <c r="AA16" s="26">
        <f>IFERROR(__xludf.DUMMYFUNCTION("""COMPUTED_VALUE"""),3.39)</f>
        <v>3.39</v>
      </c>
      <c r="AB16" s="26">
        <f>IFERROR(__xludf.DUMMYFUNCTION("""COMPUTED_VALUE"""),166.19)</f>
        <v>166.19</v>
      </c>
      <c r="AC16" s="26">
        <f>IFERROR(__xludf.DUMMYFUNCTION("""COMPUTED_VALUE"""),0.0)</f>
        <v>0</v>
      </c>
      <c r="AD16" s="26">
        <f>IFERROR(__xludf.DUMMYFUNCTION("""COMPUTED_VALUE"""),2405.0)</f>
        <v>2405</v>
      </c>
      <c r="AE16" s="26">
        <f>IFERROR(__xludf.DUMMYFUNCTION("""COMPUTED_VALUE"""),2.2)</f>
        <v>2.2</v>
      </c>
    </row>
    <row r="17">
      <c r="A17" s="26">
        <f>IFERROR(__xludf.DUMMYFUNCTION("""COMPUTED_VALUE"""),0.0)</f>
        <v>0</v>
      </c>
      <c r="B17" s="26">
        <f>IFERROR(__xludf.DUMMYFUNCTION("""COMPUTED_VALUE"""),0.0)</f>
        <v>0</v>
      </c>
      <c r="C17" s="26">
        <f>IFERROR(__xludf.DUMMYFUNCTION("""COMPUTED_VALUE"""),0.0)</f>
        <v>0</v>
      </c>
      <c r="D17" s="26">
        <f>IFERROR(__xludf.DUMMYFUNCTION("""COMPUTED_VALUE"""),0.0)</f>
        <v>0</v>
      </c>
      <c r="E17" s="26">
        <f>IFERROR(__xludf.DUMMYFUNCTION("""COMPUTED_VALUE"""),0.0)</f>
        <v>0</v>
      </c>
      <c r="F17" s="26">
        <f>IFERROR(__xludf.DUMMYFUNCTION("""COMPUTED_VALUE"""),0.0)</f>
        <v>0</v>
      </c>
      <c r="G17" s="26">
        <f>IFERROR(__xludf.DUMMYFUNCTION("""COMPUTED_VALUE"""),0.0)</f>
        <v>0</v>
      </c>
      <c r="H17" s="26">
        <f>IFERROR(__xludf.DUMMYFUNCTION("""COMPUTED_VALUE"""),0.0)</f>
        <v>0</v>
      </c>
      <c r="I17" s="26">
        <f>IFERROR(__xludf.DUMMYFUNCTION("""COMPUTED_VALUE"""),0.0)</f>
        <v>0</v>
      </c>
      <c r="J17" s="26">
        <f>IFERROR(__xludf.DUMMYFUNCTION("""COMPUTED_VALUE"""),0.0)</f>
        <v>0</v>
      </c>
      <c r="K17" s="26">
        <f>IFERROR(__xludf.DUMMYFUNCTION("""COMPUTED_VALUE"""),0.0)</f>
        <v>0</v>
      </c>
      <c r="L17" s="26"/>
      <c r="M17" s="26"/>
      <c r="N17" s="26"/>
      <c r="O17" s="26"/>
      <c r="P17" s="26"/>
      <c r="Q17" s="26"/>
      <c r="R17" s="26">
        <f>IFERROR(__xludf.DUMMYFUNCTION("""COMPUTED_VALUE"""),0.0)</f>
        <v>0</v>
      </c>
      <c r="S17" s="26">
        <f>IFERROR(__xludf.DUMMYFUNCTION("""COMPUTED_VALUE"""),0.0)</f>
        <v>0</v>
      </c>
      <c r="T17" s="26">
        <f>IFERROR(__xludf.DUMMYFUNCTION("""COMPUTED_VALUE"""),0.0)</f>
        <v>0</v>
      </c>
      <c r="U17" s="26">
        <f>IFERROR(__xludf.DUMMYFUNCTION("""COMPUTED_VALUE"""),0.0)</f>
        <v>0</v>
      </c>
      <c r="V17" s="26">
        <f>IFERROR(__xludf.DUMMYFUNCTION("""COMPUTED_VALUE"""),0.0)</f>
        <v>0</v>
      </c>
      <c r="W17" s="26">
        <f>IFERROR(__xludf.DUMMYFUNCTION("""COMPUTED_VALUE"""),0.0)</f>
        <v>0</v>
      </c>
      <c r="X17" s="26">
        <f>IFERROR(__xludf.DUMMYFUNCTION("""COMPUTED_VALUE"""),0.0)</f>
        <v>0</v>
      </c>
      <c r="Y17" s="26">
        <f>IFERROR(__xludf.DUMMYFUNCTION("""COMPUTED_VALUE"""),0.0)</f>
        <v>0</v>
      </c>
      <c r="Z17" s="26">
        <f>IFERROR(__xludf.DUMMYFUNCTION("""COMPUTED_VALUE"""),0.0)</f>
        <v>0</v>
      </c>
      <c r="AA17" s="26">
        <f>IFERROR(__xludf.DUMMYFUNCTION("""COMPUTED_VALUE"""),0.0)</f>
        <v>0</v>
      </c>
      <c r="AB17" s="26">
        <f>IFERROR(__xludf.DUMMYFUNCTION("""COMPUTED_VALUE"""),0.0)</f>
        <v>0</v>
      </c>
      <c r="AC17" s="26">
        <f>IFERROR(__xludf.DUMMYFUNCTION("""COMPUTED_VALUE"""),1936.0)</f>
        <v>1936</v>
      </c>
      <c r="AD17" s="26">
        <f>IFERROR(__xludf.DUMMYFUNCTION("""COMPUTED_VALUE"""),1936.0)</f>
        <v>1936</v>
      </c>
      <c r="AE17" s="26">
        <f>IFERROR(__xludf.DUMMYFUNCTION("""COMPUTED_VALUE"""),0.0)</f>
        <v>0</v>
      </c>
    </row>
    <row r="18">
      <c r="A18" s="26">
        <f>IFERROR(__xludf.DUMMYFUNCTION("""COMPUTED_VALUE"""),0.0)</f>
        <v>0</v>
      </c>
      <c r="B18" s="26">
        <f>IFERROR(__xludf.DUMMYFUNCTION("""COMPUTED_VALUE"""),0.0)</f>
        <v>0</v>
      </c>
      <c r="C18" s="26">
        <f>IFERROR(__xludf.DUMMYFUNCTION("""COMPUTED_VALUE"""),0.0)</f>
        <v>0</v>
      </c>
      <c r="D18" s="26">
        <f>IFERROR(__xludf.DUMMYFUNCTION("""COMPUTED_VALUE"""),0.0)</f>
        <v>0</v>
      </c>
      <c r="E18" s="26">
        <f>IFERROR(__xludf.DUMMYFUNCTION("""COMPUTED_VALUE"""),0.0)</f>
        <v>0</v>
      </c>
      <c r="F18" s="26">
        <f>IFERROR(__xludf.DUMMYFUNCTION("""COMPUTED_VALUE"""),0.0)</f>
        <v>0</v>
      </c>
      <c r="G18" s="26">
        <f>IFERROR(__xludf.DUMMYFUNCTION("""COMPUTED_VALUE"""),0.0)</f>
        <v>0</v>
      </c>
      <c r="H18" s="26">
        <f>IFERROR(__xludf.DUMMYFUNCTION("""COMPUTED_VALUE"""),0.0)</f>
        <v>0</v>
      </c>
      <c r="I18" s="26">
        <f>IFERROR(__xludf.DUMMYFUNCTION("""COMPUTED_VALUE"""),0.0)</f>
        <v>0</v>
      </c>
      <c r="J18" s="26">
        <f>IFERROR(__xludf.DUMMYFUNCTION("""COMPUTED_VALUE"""),0.0)</f>
        <v>0</v>
      </c>
      <c r="K18" s="26">
        <f>IFERROR(__xludf.DUMMYFUNCTION("""COMPUTED_VALUE"""),0.0)</f>
        <v>0</v>
      </c>
      <c r="L18" s="26"/>
      <c r="M18" s="26"/>
      <c r="N18" s="26"/>
      <c r="O18" s="26"/>
      <c r="P18" s="26"/>
      <c r="Q18" s="26"/>
      <c r="R18" s="26">
        <f>IFERROR(__xludf.DUMMYFUNCTION("""COMPUTED_VALUE"""),0.0)</f>
        <v>0</v>
      </c>
      <c r="S18" s="26">
        <f>IFERROR(__xludf.DUMMYFUNCTION("""COMPUTED_VALUE"""),0.0)</f>
        <v>0</v>
      </c>
      <c r="T18" s="26">
        <f>IFERROR(__xludf.DUMMYFUNCTION("""COMPUTED_VALUE"""),0.0)</f>
        <v>0</v>
      </c>
      <c r="U18" s="26">
        <f>IFERROR(__xludf.DUMMYFUNCTION("""COMPUTED_VALUE"""),0.0)</f>
        <v>0</v>
      </c>
      <c r="V18" s="26">
        <f>IFERROR(__xludf.DUMMYFUNCTION("""COMPUTED_VALUE"""),0.0)</f>
        <v>0</v>
      </c>
      <c r="W18" s="26">
        <f>IFERROR(__xludf.DUMMYFUNCTION("""COMPUTED_VALUE"""),0.0)</f>
        <v>0</v>
      </c>
      <c r="X18" s="26">
        <f>IFERROR(__xludf.DUMMYFUNCTION("""COMPUTED_VALUE"""),0.0)</f>
        <v>0</v>
      </c>
      <c r="Y18" s="26">
        <f>IFERROR(__xludf.DUMMYFUNCTION("""COMPUTED_VALUE"""),0.0)</f>
        <v>0</v>
      </c>
      <c r="Z18" s="26">
        <f>IFERROR(__xludf.DUMMYFUNCTION("""COMPUTED_VALUE"""),0.0)</f>
        <v>0</v>
      </c>
      <c r="AA18" s="26">
        <f>IFERROR(__xludf.DUMMYFUNCTION("""COMPUTED_VALUE"""),0.0)</f>
        <v>0</v>
      </c>
      <c r="AB18" s="26">
        <f>IFERROR(__xludf.DUMMYFUNCTION("""COMPUTED_VALUE"""),0.0)</f>
        <v>0</v>
      </c>
      <c r="AC18" s="26">
        <f>IFERROR(__xludf.DUMMYFUNCTION("""COMPUTED_VALUE"""),-3376.0)</f>
        <v>-3376</v>
      </c>
      <c r="AD18" s="26">
        <f>IFERROR(__xludf.DUMMYFUNCTION("""COMPUTED_VALUE"""),-3376.0)</f>
        <v>-3376</v>
      </c>
      <c r="AE18" s="26">
        <f>IFERROR(__xludf.DUMMYFUNCTION("""COMPUTED_VALUE"""),0.0)</f>
        <v>0</v>
      </c>
    </row>
    <row r="19">
      <c r="A19" s="26">
        <f>IFERROR(__xludf.DUMMYFUNCTION("""COMPUTED_VALUE"""),0.0)</f>
        <v>0</v>
      </c>
      <c r="B19" s="26">
        <f>IFERROR(__xludf.DUMMYFUNCTION("""COMPUTED_VALUE"""),0.0)</f>
        <v>0</v>
      </c>
      <c r="C19" s="26">
        <f>IFERROR(__xludf.DUMMYFUNCTION("""COMPUTED_VALUE"""),0.0)</f>
        <v>0</v>
      </c>
      <c r="D19" s="26">
        <f>IFERROR(__xludf.DUMMYFUNCTION("""COMPUTED_VALUE"""),0.0)</f>
        <v>0</v>
      </c>
      <c r="E19" s="26">
        <f>IFERROR(__xludf.DUMMYFUNCTION("""COMPUTED_VALUE"""),812.0)</f>
        <v>812</v>
      </c>
      <c r="F19" s="26">
        <f>IFERROR(__xludf.DUMMYFUNCTION("""COMPUTED_VALUE"""),0.0)</f>
        <v>0</v>
      </c>
      <c r="G19" s="26">
        <f>IFERROR(__xludf.DUMMYFUNCTION("""COMPUTED_VALUE"""),0.0)</f>
        <v>0</v>
      </c>
      <c r="H19" s="26">
        <f>IFERROR(__xludf.DUMMYFUNCTION("""COMPUTED_VALUE"""),0.0)</f>
        <v>0</v>
      </c>
      <c r="I19" s="26">
        <f>IFERROR(__xludf.DUMMYFUNCTION("""COMPUTED_VALUE"""),0.0)</f>
        <v>0</v>
      </c>
      <c r="J19" s="26">
        <f>IFERROR(__xludf.DUMMYFUNCTION("""COMPUTED_VALUE"""),0.0)</f>
        <v>0</v>
      </c>
      <c r="K19" s="26">
        <f>IFERROR(__xludf.DUMMYFUNCTION("""COMPUTED_VALUE"""),0.0)</f>
        <v>0</v>
      </c>
      <c r="L19" s="26"/>
      <c r="M19" s="26"/>
      <c r="N19" s="26"/>
      <c r="O19" s="26"/>
      <c r="P19" s="26"/>
      <c r="Q19" s="26"/>
      <c r="R19" s="26">
        <f>IFERROR(__xludf.DUMMYFUNCTION("""COMPUTED_VALUE"""),1164576.0)</f>
        <v>1164576</v>
      </c>
      <c r="S19" s="26">
        <f>IFERROR(__xludf.DUMMYFUNCTION("""COMPUTED_VALUE"""),324800.0)</f>
        <v>324800</v>
      </c>
      <c r="T19" s="26">
        <f>IFERROR(__xludf.DUMMYFUNCTION("""COMPUTED_VALUE"""),0.0)</f>
        <v>0</v>
      </c>
      <c r="U19" s="26">
        <f>IFERROR(__xludf.DUMMYFUNCTION("""COMPUTED_VALUE"""),0.0)</f>
        <v>0</v>
      </c>
      <c r="V19" s="26">
        <f>IFERROR(__xludf.DUMMYFUNCTION("""COMPUTED_VALUE"""),177647.7000000007)</f>
        <v>177647.7</v>
      </c>
      <c r="W19" s="26">
        <f>IFERROR(__xludf.DUMMYFUNCTION("""COMPUTED_VALUE"""),1164576.0)</f>
        <v>1164576</v>
      </c>
      <c r="X19" s="26">
        <f>IFERROR(__xludf.DUMMYFUNCTION("""COMPUTED_VALUE"""),522870.0600000009)</f>
        <v>522870.06</v>
      </c>
      <c r="Y19" s="26">
        <f>IFERROR(__xludf.DUMMYFUNCTION("""COMPUTED_VALUE"""),653672.4299999978)</f>
        <v>653672.43</v>
      </c>
      <c r="Z19" s="26">
        <f>IFERROR(__xludf.DUMMYFUNCTION("""COMPUTED_VALUE"""),0.0)</f>
        <v>0</v>
      </c>
      <c r="AA19" s="26">
        <f>IFERROR(__xludf.DUMMYFUNCTION("""COMPUTED_VALUE"""),20423.16000000004)</f>
        <v>20423.16</v>
      </c>
      <c r="AB19" s="26">
        <f>IFERROR(__xludf.DUMMYFUNCTION("""COMPUTED_VALUE"""),641705.9399999983)</f>
        <v>641705.94</v>
      </c>
      <c r="AC19" s="26">
        <f>IFERROR(__xludf.DUMMYFUNCTION("""COMPUTED_VALUE"""),-132970.0)</f>
        <v>-132970</v>
      </c>
      <c r="AD19" s="26">
        <f>IFERROR(__xludf.DUMMYFUNCTION("""COMPUTED_VALUE"""),1223881.0)</f>
        <v>1223881</v>
      </c>
      <c r="AE19" s="26">
        <f>IFERROR(__xludf.DUMMYFUNCTION("""COMPUTED_VALUE"""),-59305.0)</f>
        <v>-59305</v>
      </c>
    </row>
    <row r="20">
      <c r="A20" s="26">
        <f>IFERROR(__xludf.DUMMYFUNCTION("""COMPUTED_VALUE"""),0.0)</f>
        <v>0</v>
      </c>
      <c r="B20" s="26">
        <f>IFERROR(__xludf.DUMMYFUNCTION("""COMPUTED_VALUE"""),0.0)</f>
        <v>0</v>
      </c>
      <c r="C20" s="26">
        <f>IFERROR(__xludf.DUMMYFUNCTION("""COMPUTED_VALUE"""),0.0)</f>
        <v>0</v>
      </c>
      <c r="D20" s="26">
        <f>IFERROR(__xludf.DUMMYFUNCTION("""COMPUTED_VALUE"""),0.0)</f>
        <v>0</v>
      </c>
      <c r="E20" s="26">
        <f>IFERROR(__xludf.DUMMYFUNCTION("""COMPUTED_VALUE"""),0.0)</f>
        <v>0</v>
      </c>
      <c r="F20" s="26">
        <f>IFERROR(__xludf.DUMMYFUNCTION("""COMPUTED_VALUE"""),0.0)</f>
        <v>0</v>
      </c>
      <c r="G20" s="26">
        <f>IFERROR(__xludf.DUMMYFUNCTION("""COMPUTED_VALUE"""),0.0)</f>
        <v>0</v>
      </c>
      <c r="H20" s="26">
        <f>IFERROR(__xludf.DUMMYFUNCTION("""COMPUTED_VALUE"""),0.0)</f>
        <v>0</v>
      </c>
      <c r="I20" s="26">
        <f>IFERROR(__xludf.DUMMYFUNCTION("""COMPUTED_VALUE"""),0.0)</f>
        <v>0</v>
      </c>
      <c r="J20" s="26">
        <f>IFERROR(__xludf.DUMMYFUNCTION("""COMPUTED_VALUE"""),0.0)</f>
        <v>0</v>
      </c>
      <c r="K20" s="26">
        <f>IFERROR(__xludf.DUMMYFUNCTION("""COMPUTED_VALUE"""),0.0)</f>
        <v>0</v>
      </c>
      <c r="L20" s="26"/>
      <c r="M20" s="26"/>
      <c r="N20" s="26"/>
      <c r="O20" s="26"/>
      <c r="P20" s="26"/>
      <c r="Q20" s="26"/>
      <c r="R20" s="26">
        <f>IFERROR(__xludf.DUMMYFUNCTION("""COMPUTED_VALUE"""),0.0)</f>
        <v>0</v>
      </c>
      <c r="S20" s="26">
        <f>IFERROR(__xludf.DUMMYFUNCTION("""COMPUTED_VALUE"""),0.0)</f>
        <v>0</v>
      </c>
      <c r="T20" s="26">
        <f>IFERROR(__xludf.DUMMYFUNCTION("""COMPUTED_VALUE"""),0.0)</f>
        <v>0</v>
      </c>
      <c r="U20" s="26">
        <f>IFERROR(__xludf.DUMMYFUNCTION("""COMPUTED_VALUE"""),0.0)</f>
        <v>0</v>
      </c>
      <c r="V20" s="26">
        <f>IFERROR(__xludf.DUMMYFUNCTION("""COMPUTED_VALUE"""),0.0)</f>
        <v>0</v>
      </c>
      <c r="W20" s="26">
        <f>IFERROR(__xludf.DUMMYFUNCTION("""COMPUTED_VALUE"""),0.0)</f>
        <v>0</v>
      </c>
      <c r="X20" s="26">
        <f>IFERROR(__xludf.DUMMYFUNCTION("""COMPUTED_VALUE"""),0.0)</f>
        <v>0</v>
      </c>
      <c r="Y20" s="26">
        <f>IFERROR(__xludf.DUMMYFUNCTION("""COMPUTED_VALUE"""),0.0)</f>
        <v>0</v>
      </c>
      <c r="Z20" s="26">
        <f>IFERROR(__xludf.DUMMYFUNCTION("""COMPUTED_VALUE"""),0.0)</f>
        <v>0</v>
      </c>
      <c r="AA20" s="26">
        <f>IFERROR(__xludf.DUMMYFUNCTION("""COMPUTED_VALUE"""),0.0)</f>
        <v>0</v>
      </c>
      <c r="AB20" s="26">
        <f>IFERROR(__xludf.DUMMYFUNCTION("""COMPUTED_VALUE"""),0.0)</f>
        <v>0</v>
      </c>
      <c r="AC20" s="26">
        <f>IFERROR(__xludf.DUMMYFUNCTION("""COMPUTED_VALUE"""),-578043.0)</f>
        <v>-578043</v>
      </c>
      <c r="AD20" s="26">
        <f>IFERROR(__xludf.DUMMYFUNCTION("""COMPUTED_VALUE"""),6039.0)</f>
        <v>6039</v>
      </c>
      <c r="AE20" s="26">
        <f>IFERROR(__xludf.DUMMYFUNCTION("""COMPUTED_VALUE"""),0.0)</f>
        <v>0</v>
      </c>
    </row>
    <row r="21">
      <c r="A21" s="26">
        <f>IFERROR(__xludf.DUMMYFUNCTION("""COMPUTED_VALUE"""),0.0)</f>
        <v>0</v>
      </c>
      <c r="B21" s="26">
        <f>IFERROR(__xludf.DUMMYFUNCTION("""COMPUTED_VALUE"""),0.0)</f>
        <v>0</v>
      </c>
      <c r="C21" s="26">
        <f>IFERROR(__xludf.DUMMYFUNCTION("""COMPUTED_VALUE"""),0.0)</f>
        <v>0</v>
      </c>
      <c r="D21" s="26">
        <f>IFERROR(__xludf.DUMMYFUNCTION("""COMPUTED_VALUE"""),0.0)</f>
        <v>0</v>
      </c>
      <c r="E21" s="26">
        <f>IFERROR(__xludf.DUMMYFUNCTION("""COMPUTED_VALUE"""),0.0)</f>
        <v>0</v>
      </c>
      <c r="F21" s="26">
        <f>IFERROR(__xludf.DUMMYFUNCTION("""COMPUTED_VALUE"""),0.0)</f>
        <v>0</v>
      </c>
      <c r="G21" s="26">
        <f>IFERROR(__xludf.DUMMYFUNCTION("""COMPUTED_VALUE"""),0.0)</f>
        <v>0</v>
      </c>
      <c r="H21" s="26">
        <f>IFERROR(__xludf.DUMMYFUNCTION("""COMPUTED_VALUE"""),0.0)</f>
        <v>0</v>
      </c>
      <c r="I21" s="26">
        <f>IFERROR(__xludf.DUMMYFUNCTION("""COMPUTED_VALUE"""),0.0)</f>
        <v>0</v>
      </c>
      <c r="J21" s="26">
        <f>IFERROR(__xludf.DUMMYFUNCTION("""COMPUTED_VALUE"""),0.0)</f>
        <v>0</v>
      </c>
      <c r="K21" s="26">
        <f>IFERROR(__xludf.DUMMYFUNCTION("""COMPUTED_VALUE"""),0.0)</f>
        <v>0</v>
      </c>
      <c r="L21" s="26"/>
      <c r="M21" s="26"/>
      <c r="N21" s="26"/>
      <c r="O21" s="26"/>
      <c r="P21" s="26"/>
      <c r="Q21" s="26"/>
      <c r="R21" s="26">
        <f>IFERROR(__xludf.DUMMYFUNCTION("""COMPUTED_VALUE"""),0.0)</f>
        <v>0</v>
      </c>
      <c r="S21" s="26">
        <f>IFERROR(__xludf.DUMMYFUNCTION("""COMPUTED_VALUE"""),0.0)</f>
        <v>0</v>
      </c>
      <c r="T21" s="26">
        <f>IFERROR(__xludf.DUMMYFUNCTION("""COMPUTED_VALUE"""),0.0)</f>
        <v>0</v>
      </c>
      <c r="U21" s="26">
        <f>IFERROR(__xludf.DUMMYFUNCTION("""COMPUTED_VALUE"""),0.0)</f>
        <v>0</v>
      </c>
      <c r="V21" s="26">
        <f>IFERROR(__xludf.DUMMYFUNCTION("""COMPUTED_VALUE"""),0.0)</f>
        <v>0</v>
      </c>
      <c r="W21" s="26">
        <f>IFERROR(__xludf.DUMMYFUNCTION("""COMPUTED_VALUE"""),0.0)</f>
        <v>0</v>
      </c>
      <c r="X21" s="26">
        <f>IFERROR(__xludf.DUMMYFUNCTION("""COMPUTED_VALUE"""),0.0)</f>
        <v>0</v>
      </c>
      <c r="Y21" s="26">
        <f>IFERROR(__xludf.DUMMYFUNCTION("""COMPUTED_VALUE"""),0.0)</f>
        <v>0</v>
      </c>
      <c r="Z21" s="26">
        <f>IFERROR(__xludf.DUMMYFUNCTION("""COMPUTED_VALUE"""),0.0)</f>
        <v>0</v>
      </c>
      <c r="AA21" s="26">
        <f>IFERROR(__xludf.DUMMYFUNCTION("""COMPUTED_VALUE"""),0.0)</f>
        <v>0</v>
      </c>
      <c r="AB21" s="26">
        <f>IFERROR(__xludf.DUMMYFUNCTION("""COMPUTED_VALUE"""),0.0)</f>
        <v>0</v>
      </c>
      <c r="AC21" s="26">
        <f>IFERROR(__xludf.DUMMYFUNCTION("""COMPUTED_VALUE"""),0.0)</f>
        <v>0</v>
      </c>
      <c r="AD21" s="26">
        <f>IFERROR(__xludf.DUMMYFUNCTION("""COMPUTED_VALUE"""),0.0)</f>
        <v>0</v>
      </c>
      <c r="AE21" s="26">
        <f>IFERROR(__xludf.DUMMYFUNCTION("""COMPUTED_VALUE"""),0.0)</f>
        <v>0</v>
      </c>
    </row>
    <row r="22">
      <c r="A22" s="26">
        <f>IFERROR(__xludf.DUMMYFUNCTION("""COMPUTED_VALUE"""),0.0)</f>
        <v>0</v>
      </c>
      <c r="B22" s="26">
        <f>IFERROR(__xludf.DUMMYFUNCTION("""COMPUTED_VALUE"""),0.0)</f>
        <v>0</v>
      </c>
      <c r="C22" s="26">
        <f>IFERROR(__xludf.DUMMYFUNCTION("""COMPUTED_VALUE"""),0.0)</f>
        <v>0</v>
      </c>
      <c r="D22" s="26">
        <f>IFERROR(__xludf.DUMMYFUNCTION("""COMPUTED_VALUE"""),0.0)</f>
        <v>0</v>
      </c>
      <c r="E22" s="26">
        <f>IFERROR(__xludf.DUMMYFUNCTION("""COMPUTED_VALUE"""),0.0)</f>
        <v>0</v>
      </c>
      <c r="F22" s="26">
        <f>IFERROR(__xludf.DUMMYFUNCTION("""COMPUTED_VALUE"""),0.0)</f>
        <v>0</v>
      </c>
      <c r="G22" s="26">
        <f>IFERROR(__xludf.DUMMYFUNCTION("""COMPUTED_VALUE"""),0.0)</f>
        <v>0</v>
      </c>
      <c r="H22" s="26">
        <f>IFERROR(__xludf.DUMMYFUNCTION("""COMPUTED_VALUE"""),0.0)</f>
        <v>0</v>
      </c>
      <c r="I22" s="26">
        <f>IFERROR(__xludf.DUMMYFUNCTION("""COMPUTED_VALUE"""),0.0)</f>
        <v>0</v>
      </c>
      <c r="J22" s="26">
        <f>IFERROR(__xludf.DUMMYFUNCTION("""COMPUTED_VALUE"""),0.0)</f>
        <v>0</v>
      </c>
      <c r="K22" s="26">
        <f>IFERROR(__xludf.DUMMYFUNCTION("""COMPUTED_VALUE"""),0.0)</f>
        <v>0</v>
      </c>
      <c r="L22" s="26"/>
      <c r="M22" s="26"/>
      <c r="N22" s="26"/>
      <c r="O22" s="26"/>
      <c r="P22" s="26"/>
      <c r="Q22" s="26"/>
      <c r="R22" s="26">
        <f>IFERROR(__xludf.DUMMYFUNCTION("""COMPUTED_VALUE"""),0.0)</f>
        <v>0</v>
      </c>
      <c r="S22" s="26">
        <f>IFERROR(__xludf.DUMMYFUNCTION("""COMPUTED_VALUE"""),0.0)</f>
        <v>0</v>
      </c>
      <c r="T22" s="26">
        <f>IFERROR(__xludf.DUMMYFUNCTION("""COMPUTED_VALUE"""),0.0)</f>
        <v>0</v>
      </c>
      <c r="U22" s="26">
        <f>IFERROR(__xludf.DUMMYFUNCTION("""COMPUTED_VALUE"""),0.0)</f>
        <v>0</v>
      </c>
      <c r="V22" s="26">
        <f>IFERROR(__xludf.DUMMYFUNCTION("""COMPUTED_VALUE"""),0.0)</f>
        <v>0</v>
      </c>
      <c r="W22" s="26">
        <f>IFERROR(__xludf.DUMMYFUNCTION("""COMPUTED_VALUE"""),0.0)</f>
        <v>0</v>
      </c>
      <c r="X22" s="26">
        <f>IFERROR(__xludf.DUMMYFUNCTION("""COMPUTED_VALUE"""),0.0)</f>
        <v>0</v>
      </c>
      <c r="Y22" s="26">
        <f>IFERROR(__xludf.DUMMYFUNCTION("""COMPUTED_VALUE"""),0.0)</f>
        <v>0</v>
      </c>
      <c r="Z22" s="26">
        <f>IFERROR(__xludf.DUMMYFUNCTION("""COMPUTED_VALUE"""),0.0)</f>
        <v>0</v>
      </c>
      <c r="AA22" s="26">
        <f>IFERROR(__xludf.DUMMYFUNCTION("""COMPUTED_VALUE"""),0.0)</f>
        <v>0</v>
      </c>
      <c r="AB22" s="26">
        <f>IFERROR(__xludf.DUMMYFUNCTION("""COMPUTED_VALUE"""),0.0)</f>
        <v>0</v>
      </c>
      <c r="AC22" s="26">
        <f>IFERROR(__xludf.DUMMYFUNCTION("""COMPUTED_VALUE"""),0.0)</f>
        <v>0</v>
      </c>
      <c r="AD22" s="26">
        <f>IFERROR(__xludf.DUMMYFUNCTION("""COMPUTED_VALUE"""),0.0)</f>
        <v>0</v>
      </c>
      <c r="AE22" s="26">
        <f>IFERROR(__xludf.DUMMYFUNCTION("""COMPUTED_VALUE"""),0.0)</f>
        <v>0</v>
      </c>
    </row>
    <row r="23">
      <c r="A23" s="26">
        <f>IFERROR(__xludf.DUMMYFUNCTION("""COMPUTED_VALUE"""),2423.0)</f>
        <v>2423</v>
      </c>
      <c r="B23" s="26">
        <f>IFERROR(__xludf.DUMMYFUNCTION("""COMPUTED_VALUE"""),0.0)</f>
        <v>0</v>
      </c>
      <c r="C23" s="26">
        <f>IFERROR(__xludf.DUMMYFUNCTION("""COMPUTED_VALUE"""),19.0)</f>
        <v>19</v>
      </c>
      <c r="D23" s="26">
        <f>IFERROR(__xludf.DUMMYFUNCTION("""COMPUTED_VALUE"""),0.0)</f>
        <v>0</v>
      </c>
      <c r="E23" s="26">
        <f>IFERROR(__xludf.DUMMYFUNCTION("""COMPUTED_VALUE"""),849.0)</f>
        <v>849</v>
      </c>
      <c r="F23" s="26">
        <f>IFERROR(__xludf.DUMMYFUNCTION("""COMPUTED_VALUE"""),0.0)</f>
        <v>0</v>
      </c>
      <c r="G23" s="26">
        <f>IFERROR(__xludf.DUMMYFUNCTION("""COMPUTED_VALUE"""),0.0)</f>
        <v>0</v>
      </c>
      <c r="H23" s="26">
        <f>IFERROR(__xludf.DUMMYFUNCTION("""COMPUTED_VALUE"""),0.0)</f>
        <v>0</v>
      </c>
      <c r="I23" s="26">
        <f>IFERROR(__xludf.DUMMYFUNCTION("""COMPUTED_VALUE"""),0.0)</f>
        <v>0</v>
      </c>
      <c r="J23" s="26">
        <f>IFERROR(__xludf.DUMMYFUNCTION("""COMPUTED_VALUE"""),0.0)</f>
        <v>0</v>
      </c>
      <c r="K23" s="26">
        <f>IFERROR(__xludf.DUMMYFUNCTION("""COMPUTED_VALUE"""),0.0)</f>
        <v>0</v>
      </c>
      <c r="L23" s="26"/>
      <c r="M23" s="26"/>
      <c r="N23" s="26"/>
      <c r="O23" s="26"/>
      <c r="P23" s="26"/>
      <c r="Q23" s="26"/>
      <c r="R23" s="26">
        <f>IFERROR(__xludf.DUMMYFUNCTION("""COMPUTED_VALUE"""),2106992.0)</f>
        <v>2106992</v>
      </c>
      <c r="S23" s="26">
        <f>IFERROR(__xludf.DUMMYFUNCTION("""COMPUTED_VALUE"""),879420.0)</f>
        <v>879420</v>
      </c>
      <c r="T23" s="26">
        <f>IFERROR(__xludf.DUMMYFUNCTION("""COMPUTED_VALUE"""),0.0)</f>
        <v>0</v>
      </c>
      <c r="U23" s="26">
        <f>IFERROR(__xludf.DUMMYFUNCTION("""COMPUTED_VALUE"""),0.0)</f>
        <v>0</v>
      </c>
      <c r="V23" s="26">
        <f>IFERROR(__xludf.DUMMYFUNCTION("""COMPUTED_VALUE"""),321403.3100000005)</f>
        <v>321403.31</v>
      </c>
      <c r="W23" s="26">
        <f>IFERROR(__xludf.DUMMYFUNCTION("""COMPUTED_VALUE"""),2106602.0)</f>
        <v>2106602</v>
      </c>
      <c r="X23" s="26">
        <f>IFERROR(__xludf.DUMMYFUNCTION("""COMPUTED_VALUE"""),1241284.5999999978)</f>
        <v>1241284.6</v>
      </c>
      <c r="Y23" s="26">
        <f>IFERROR(__xludf.DUMMYFUNCTION("""COMPUTED_VALUE"""),902930.0700000009)</f>
        <v>902930.07</v>
      </c>
      <c r="Z23" s="26">
        <f>IFERROR(__xludf.DUMMYFUNCTION("""COMPUTED_VALUE"""),0.0)</f>
        <v>0</v>
      </c>
      <c r="AA23" s="26">
        <f>IFERROR(__xludf.DUMMYFUNCTION("""COMPUTED_VALUE"""),40693.100000000144)</f>
        <v>40693.1</v>
      </c>
      <c r="AB23" s="26">
        <f>IFERROR(__xludf.DUMMYFUNCTION("""COMPUTED_VALUE"""),865317.4000000041)</f>
        <v>865317.4</v>
      </c>
      <c r="AC23" s="26">
        <f>IFERROR(__xludf.DUMMYFUNCTION("""COMPUTED_VALUE"""),-20210.0)</f>
        <v>-20210</v>
      </c>
      <c r="AD23" s="26">
        <f>IFERROR(__xludf.DUMMYFUNCTION("""COMPUTED_VALUE"""),1905702.0)</f>
        <v>1905702</v>
      </c>
      <c r="AE23" s="26">
        <f>IFERROR(__xludf.DUMMYFUNCTION("""COMPUTED_VALUE"""),0.0)</f>
        <v>0</v>
      </c>
    </row>
    <row r="24">
      <c r="A24" s="26">
        <f>IFERROR(__xludf.DUMMYFUNCTION("""COMPUTED_VALUE"""),910.0)</f>
        <v>910</v>
      </c>
      <c r="B24" s="26">
        <f>IFERROR(__xludf.DUMMYFUNCTION("""COMPUTED_VALUE"""),0.0)</f>
        <v>0</v>
      </c>
      <c r="C24" s="26">
        <f>IFERROR(__xludf.DUMMYFUNCTION("""COMPUTED_VALUE"""),0.0)</f>
        <v>0</v>
      </c>
      <c r="D24" s="26">
        <f>IFERROR(__xludf.DUMMYFUNCTION("""COMPUTED_VALUE"""),0.0)</f>
        <v>0</v>
      </c>
      <c r="E24" s="26">
        <f>IFERROR(__xludf.DUMMYFUNCTION("""COMPUTED_VALUE"""),2731.0)</f>
        <v>2731</v>
      </c>
      <c r="F24" s="26">
        <f>IFERROR(__xludf.DUMMYFUNCTION("""COMPUTED_VALUE"""),0.0)</f>
        <v>0</v>
      </c>
      <c r="G24" s="26">
        <f>IFERROR(__xludf.DUMMYFUNCTION("""COMPUTED_VALUE"""),0.0)</f>
        <v>0</v>
      </c>
      <c r="H24" s="26">
        <f>IFERROR(__xludf.DUMMYFUNCTION("""COMPUTED_VALUE"""),0.0)</f>
        <v>0</v>
      </c>
      <c r="I24" s="26">
        <f>IFERROR(__xludf.DUMMYFUNCTION("""COMPUTED_VALUE"""),0.0)</f>
        <v>0</v>
      </c>
      <c r="J24" s="26">
        <f>IFERROR(__xludf.DUMMYFUNCTION("""COMPUTED_VALUE"""),0.0)</f>
        <v>0</v>
      </c>
      <c r="K24" s="26">
        <f>IFERROR(__xludf.DUMMYFUNCTION("""COMPUTED_VALUE"""),0.0)</f>
        <v>0</v>
      </c>
      <c r="L24" s="26"/>
      <c r="M24" s="26"/>
      <c r="N24" s="26"/>
      <c r="O24" s="26"/>
      <c r="P24" s="26"/>
      <c r="Q24" s="26"/>
      <c r="R24" s="26">
        <f>IFERROR(__xludf.DUMMYFUNCTION("""COMPUTED_VALUE"""),5464444.0)</f>
        <v>5464444</v>
      </c>
      <c r="S24" s="26">
        <f>IFERROR(__xludf.DUMMYFUNCTION("""COMPUTED_VALUE"""),971975.0)</f>
        <v>971975</v>
      </c>
      <c r="T24" s="26">
        <f>IFERROR(__xludf.DUMMYFUNCTION("""COMPUTED_VALUE"""),33.71)</f>
        <v>33.71</v>
      </c>
      <c r="U24" s="26">
        <f>IFERROR(__xludf.DUMMYFUNCTION("""COMPUTED_VALUE"""),33.71)</f>
        <v>33.71</v>
      </c>
      <c r="V24" s="26">
        <f>IFERROR(__xludf.DUMMYFUNCTION("""COMPUTED_VALUE"""),833487.4899999978)</f>
        <v>833487.49</v>
      </c>
      <c r="W24" s="26">
        <f>IFERROR(__xludf.DUMMYFUNCTION("""COMPUTED_VALUE"""),7343944.0)</f>
        <v>7343944</v>
      </c>
      <c r="X24" s="26">
        <f>IFERROR(__xludf.DUMMYFUNCTION("""COMPUTED_VALUE"""),2503822.3699999964)</f>
        <v>2503822.37</v>
      </c>
      <c r="Y24" s="26">
        <f>IFERROR(__xludf.DUMMYFUNCTION("""COMPUTED_VALUE"""),5041463.180000006)</f>
        <v>5041463.18</v>
      </c>
      <c r="Z24" s="26">
        <f>IFERROR(__xludf.DUMMYFUNCTION("""COMPUTED_VALUE"""),0.0)</f>
        <v>0</v>
      </c>
      <c r="AA24" s="26">
        <f>IFERROR(__xludf.DUMMYFUNCTION("""COMPUTED_VALUE"""),222050.24000000034)</f>
        <v>222050.24</v>
      </c>
      <c r="AB24" s="26">
        <f>IFERROR(__xludf.DUMMYFUNCTION("""COMPUTED_VALUE"""),4840121.630000002)</f>
        <v>4840121.63</v>
      </c>
      <c r="AC24" s="26">
        <f>IFERROR(__xludf.DUMMYFUNCTION("""COMPUTED_VALUE"""),-96151.0)</f>
        <v>-96151</v>
      </c>
      <c r="AD24" s="26">
        <f>IFERROR(__xludf.DUMMYFUNCTION("""COMPUTED_VALUE"""),7437312.0)</f>
        <v>7437312</v>
      </c>
      <c r="AE24" s="26">
        <f>IFERROR(__xludf.DUMMYFUNCTION("""COMPUTED_VALUE"""),0.0)</f>
        <v>0</v>
      </c>
    </row>
    <row r="25">
      <c r="A25" s="26">
        <f>IFERROR(__xludf.DUMMYFUNCTION("""COMPUTED_VALUE"""),0.0)</f>
        <v>0</v>
      </c>
      <c r="B25" s="26">
        <f>IFERROR(__xludf.DUMMYFUNCTION("""COMPUTED_VALUE"""),0.0)</f>
        <v>0</v>
      </c>
      <c r="C25" s="26">
        <f>IFERROR(__xludf.DUMMYFUNCTION("""COMPUTED_VALUE"""),0.0)</f>
        <v>0</v>
      </c>
      <c r="D25" s="26">
        <f>IFERROR(__xludf.DUMMYFUNCTION("""COMPUTED_VALUE"""),0.0)</f>
        <v>0</v>
      </c>
      <c r="E25" s="26">
        <f>IFERROR(__xludf.DUMMYFUNCTION("""COMPUTED_VALUE"""),0.0)</f>
        <v>0</v>
      </c>
      <c r="F25" s="26">
        <f>IFERROR(__xludf.DUMMYFUNCTION("""COMPUTED_VALUE"""),0.0)</f>
        <v>0</v>
      </c>
      <c r="G25" s="26">
        <f>IFERROR(__xludf.DUMMYFUNCTION("""COMPUTED_VALUE"""),0.0)</f>
        <v>0</v>
      </c>
      <c r="H25" s="26">
        <f>IFERROR(__xludf.DUMMYFUNCTION("""COMPUTED_VALUE"""),0.0)</f>
        <v>0</v>
      </c>
      <c r="I25" s="26">
        <f>IFERROR(__xludf.DUMMYFUNCTION("""COMPUTED_VALUE"""),0.0)</f>
        <v>0</v>
      </c>
      <c r="J25" s="26">
        <f>IFERROR(__xludf.DUMMYFUNCTION("""COMPUTED_VALUE"""),0.0)</f>
        <v>0</v>
      </c>
      <c r="K25" s="26">
        <f>IFERROR(__xludf.DUMMYFUNCTION("""COMPUTED_VALUE"""),0.0)</f>
        <v>0</v>
      </c>
      <c r="L25" s="26"/>
      <c r="M25" s="26"/>
      <c r="N25" s="26"/>
      <c r="O25" s="26"/>
      <c r="P25" s="26"/>
      <c r="Q25" s="26"/>
      <c r="R25" s="26">
        <f>IFERROR(__xludf.DUMMYFUNCTION("""COMPUTED_VALUE"""),0.0)</f>
        <v>0</v>
      </c>
      <c r="S25" s="26">
        <f>IFERROR(__xludf.DUMMYFUNCTION("""COMPUTED_VALUE"""),0.0)</f>
        <v>0</v>
      </c>
      <c r="T25" s="26">
        <f>IFERROR(__xludf.DUMMYFUNCTION("""COMPUTED_VALUE"""),0.0)</f>
        <v>0</v>
      </c>
      <c r="U25" s="26">
        <f>IFERROR(__xludf.DUMMYFUNCTION("""COMPUTED_VALUE"""),0.0)</f>
        <v>0</v>
      </c>
      <c r="V25" s="26">
        <f>IFERROR(__xludf.DUMMYFUNCTION("""COMPUTED_VALUE"""),0.0)</f>
        <v>0</v>
      </c>
      <c r="W25" s="26">
        <f>IFERROR(__xludf.DUMMYFUNCTION("""COMPUTED_VALUE"""),0.0)</f>
        <v>0</v>
      </c>
      <c r="X25" s="26">
        <f>IFERROR(__xludf.DUMMYFUNCTION("""COMPUTED_VALUE"""),0.0)</f>
        <v>0</v>
      </c>
      <c r="Y25" s="26">
        <f>IFERROR(__xludf.DUMMYFUNCTION("""COMPUTED_VALUE"""),0.0)</f>
        <v>0</v>
      </c>
      <c r="Z25" s="26">
        <f>IFERROR(__xludf.DUMMYFUNCTION("""COMPUTED_VALUE"""),0.0)</f>
        <v>0</v>
      </c>
      <c r="AA25" s="26">
        <f>IFERROR(__xludf.DUMMYFUNCTION("""COMPUTED_VALUE"""),0.0)</f>
        <v>0</v>
      </c>
      <c r="AB25" s="26">
        <f>IFERROR(__xludf.DUMMYFUNCTION("""COMPUTED_VALUE"""),0.0)</f>
        <v>0</v>
      </c>
      <c r="AC25" s="26">
        <f>IFERROR(__xludf.DUMMYFUNCTION("""COMPUTED_VALUE"""),0.0)</f>
        <v>0</v>
      </c>
      <c r="AD25" s="26">
        <f>IFERROR(__xludf.DUMMYFUNCTION("""COMPUTED_VALUE"""),0.0)</f>
        <v>0</v>
      </c>
      <c r="AE25" s="26">
        <f>IFERROR(__xludf.DUMMYFUNCTION("""COMPUTED_VALUE"""),0.0)</f>
        <v>0</v>
      </c>
    </row>
    <row r="26">
      <c r="A26" s="26">
        <f>IFERROR(__xludf.DUMMYFUNCTION("""COMPUTED_VALUE"""),0.0)</f>
        <v>0</v>
      </c>
      <c r="B26" s="26">
        <f>IFERROR(__xludf.DUMMYFUNCTION("""COMPUTED_VALUE"""),0.0)</f>
        <v>0</v>
      </c>
      <c r="C26" s="26">
        <f>IFERROR(__xludf.DUMMYFUNCTION("""COMPUTED_VALUE"""),0.0)</f>
        <v>0</v>
      </c>
      <c r="D26" s="26">
        <f>IFERROR(__xludf.DUMMYFUNCTION("""COMPUTED_VALUE"""),0.0)</f>
        <v>0</v>
      </c>
      <c r="E26" s="26">
        <f>IFERROR(__xludf.DUMMYFUNCTION("""COMPUTED_VALUE"""),2255.0)</f>
        <v>2255</v>
      </c>
      <c r="F26" s="26">
        <f>IFERROR(__xludf.DUMMYFUNCTION("""COMPUTED_VALUE"""),0.0)</f>
        <v>0</v>
      </c>
      <c r="G26" s="26">
        <f>IFERROR(__xludf.DUMMYFUNCTION("""COMPUTED_VALUE"""),0.0)</f>
        <v>0</v>
      </c>
      <c r="H26" s="26">
        <f>IFERROR(__xludf.DUMMYFUNCTION("""COMPUTED_VALUE"""),0.0)</f>
        <v>0</v>
      </c>
      <c r="I26" s="26">
        <f>IFERROR(__xludf.DUMMYFUNCTION("""COMPUTED_VALUE"""),0.0)</f>
        <v>0</v>
      </c>
      <c r="J26" s="26">
        <f>IFERROR(__xludf.DUMMYFUNCTION("""COMPUTED_VALUE"""),0.0)</f>
        <v>0</v>
      </c>
      <c r="K26" s="26">
        <f>IFERROR(__xludf.DUMMYFUNCTION("""COMPUTED_VALUE"""),0.0)</f>
        <v>0</v>
      </c>
      <c r="L26" s="26"/>
      <c r="M26" s="26"/>
      <c r="N26" s="26"/>
      <c r="O26" s="26"/>
      <c r="P26" s="26"/>
      <c r="Q26" s="26"/>
      <c r="R26" s="26">
        <f>IFERROR(__xludf.DUMMYFUNCTION("""COMPUTED_VALUE"""),3364850.0)</f>
        <v>3364850</v>
      </c>
      <c r="S26" s="26">
        <f>IFERROR(__xludf.DUMMYFUNCTION("""COMPUTED_VALUE"""),1037300.0)</f>
        <v>1037300</v>
      </c>
      <c r="T26" s="26">
        <f>IFERROR(__xludf.DUMMYFUNCTION("""COMPUTED_VALUE"""),0.0)</f>
        <v>0</v>
      </c>
      <c r="U26" s="26">
        <f>IFERROR(__xludf.DUMMYFUNCTION("""COMPUTED_VALUE"""),0.0)</f>
        <v>0</v>
      </c>
      <c r="V26" s="26">
        <f>IFERROR(__xludf.DUMMYFUNCTION("""COMPUTED_VALUE"""),513286.3499999983)</f>
        <v>513286.35</v>
      </c>
      <c r="W26" s="26">
        <f>IFERROR(__xludf.DUMMYFUNCTION("""COMPUTED_VALUE"""),2646846.159999997)</f>
        <v>2646846.16</v>
      </c>
      <c r="X26" s="26">
        <f>IFERROR(__xludf.DUMMYFUNCTION("""COMPUTED_VALUE"""),1625927.289999999)</f>
        <v>1625927.29</v>
      </c>
      <c r="Y26" s="26">
        <f>IFERROR(__xludf.DUMMYFUNCTION("""COMPUTED_VALUE"""),1804015.0999999968)</f>
        <v>1804015.1</v>
      </c>
      <c r="Z26" s="26">
        <f>IFERROR(__xludf.DUMMYFUNCTION("""COMPUTED_VALUE"""),718003.8400000031)</f>
        <v>718003.84</v>
      </c>
      <c r="AA26" s="26">
        <f>IFERROR(__xludf.DUMMYFUNCTION("""COMPUTED_VALUE"""),75340.93999999986)</f>
        <v>75340.94</v>
      </c>
      <c r="AB26" s="26">
        <f>IFERROR(__xludf.DUMMYFUNCTION("""COMPUTED_VALUE"""),1020918.8699999967)</f>
        <v>1020918.87</v>
      </c>
      <c r="AC26" s="26">
        <f>IFERROR(__xludf.DUMMYFUNCTION("""COMPUTED_VALUE"""),-143368.0)</f>
        <v>-143368</v>
      </c>
      <c r="AD26" s="26">
        <f>IFERROR(__xludf.DUMMYFUNCTION("""COMPUTED_VALUE"""),2656632.0)</f>
        <v>2656632</v>
      </c>
      <c r="AE26" s="26">
        <f>IFERROR(__xludf.DUMMYFUNCTION("""COMPUTED_VALUE"""),0.0)</f>
        <v>0</v>
      </c>
    </row>
    <row r="27">
      <c r="A27" s="26">
        <f>IFERROR(__xludf.DUMMYFUNCTION("""COMPUTED_VALUE"""),531.0)</f>
        <v>531</v>
      </c>
      <c r="B27" s="26">
        <f>IFERROR(__xludf.DUMMYFUNCTION("""COMPUTED_VALUE"""),0.0)</f>
        <v>0</v>
      </c>
      <c r="C27" s="26">
        <f>IFERROR(__xludf.DUMMYFUNCTION("""COMPUTED_VALUE"""),0.0)</f>
        <v>0</v>
      </c>
      <c r="D27" s="26">
        <f>IFERROR(__xludf.DUMMYFUNCTION("""COMPUTED_VALUE"""),0.0)</f>
        <v>0</v>
      </c>
      <c r="E27" s="26">
        <f>IFERROR(__xludf.DUMMYFUNCTION("""COMPUTED_VALUE"""),0.0)</f>
        <v>0</v>
      </c>
      <c r="F27" s="26">
        <f>IFERROR(__xludf.DUMMYFUNCTION("""COMPUTED_VALUE"""),0.0)</f>
        <v>0</v>
      </c>
      <c r="G27" s="26">
        <f>IFERROR(__xludf.DUMMYFUNCTION("""COMPUTED_VALUE"""),0.0)</f>
        <v>0</v>
      </c>
      <c r="H27" s="26">
        <f>IFERROR(__xludf.DUMMYFUNCTION("""COMPUTED_VALUE"""),528.0)</f>
        <v>528</v>
      </c>
      <c r="I27" s="26">
        <f>IFERROR(__xludf.DUMMYFUNCTION("""COMPUTED_VALUE"""),0.0)</f>
        <v>0</v>
      </c>
      <c r="J27" s="26">
        <f>IFERROR(__xludf.DUMMYFUNCTION("""COMPUTED_VALUE"""),0.0)</f>
        <v>0</v>
      </c>
      <c r="K27" s="26">
        <f>IFERROR(__xludf.DUMMYFUNCTION("""COMPUTED_VALUE"""),0.0)</f>
        <v>0</v>
      </c>
      <c r="L27" s="26"/>
      <c r="M27" s="26"/>
      <c r="N27" s="26"/>
      <c r="O27" s="26"/>
      <c r="P27" s="26"/>
      <c r="Q27" s="26"/>
      <c r="R27" s="26">
        <f>IFERROR(__xludf.DUMMYFUNCTION("""COMPUTED_VALUE"""),782362.0)</f>
        <v>782362</v>
      </c>
      <c r="S27" s="26">
        <f>IFERROR(__xludf.DUMMYFUNCTION("""COMPUTED_VALUE"""),261975.0)</f>
        <v>261975</v>
      </c>
      <c r="T27" s="26">
        <f>IFERROR(__xludf.DUMMYFUNCTION("""COMPUTED_VALUE"""),37.37)</f>
        <v>37.37</v>
      </c>
      <c r="U27" s="26">
        <f>IFERROR(__xludf.DUMMYFUNCTION("""COMPUTED_VALUE"""),37.37)</f>
        <v>37.37</v>
      </c>
      <c r="V27" s="26">
        <f>IFERROR(__xludf.DUMMYFUNCTION("""COMPUTED_VALUE"""),119272.42999999982)</f>
        <v>119272.43</v>
      </c>
      <c r="W27" s="26">
        <f>IFERROR(__xludf.DUMMYFUNCTION("""COMPUTED_VALUE"""),1689764.0)</f>
        <v>1689764</v>
      </c>
      <c r="X27" s="26">
        <f>IFERROR(__xludf.DUMMYFUNCTION("""COMPUTED_VALUE"""),941331.970000006)</f>
        <v>941331.97</v>
      </c>
      <c r="Y27" s="26">
        <f>IFERROR(__xludf.DUMMYFUNCTION("""COMPUTED_VALUE"""),769305.9699999967)</f>
        <v>769305.97</v>
      </c>
      <c r="Z27" s="26">
        <f>IFERROR(__xludf.DUMMYFUNCTION("""COMPUTED_VALUE"""),0.0)</f>
        <v>0</v>
      </c>
      <c r="AA27" s="26">
        <f>IFERROR(__xludf.DUMMYFUNCTION("""COMPUTED_VALUE"""),28054.630000000143)</f>
        <v>28054.63</v>
      </c>
      <c r="AB27" s="26">
        <f>IFERROR(__xludf.DUMMYFUNCTION("""COMPUTED_VALUE"""),748432.0299999986)</f>
        <v>748432.03</v>
      </c>
      <c r="AC27" s="26">
        <f>IFERROR(__xludf.DUMMYFUNCTION("""COMPUTED_VALUE"""),93590.0)</f>
        <v>93590</v>
      </c>
      <c r="AD27" s="26">
        <f>IFERROR(__xludf.DUMMYFUNCTION("""COMPUTED_VALUE"""),1692590.0)</f>
        <v>1692590</v>
      </c>
      <c r="AE27" s="26">
        <f>IFERROR(__xludf.DUMMYFUNCTION("""COMPUTED_VALUE"""),0.0)</f>
        <v>0</v>
      </c>
    </row>
    <row r="28">
      <c r="A28" s="26">
        <f>IFERROR(__xludf.DUMMYFUNCTION("""COMPUTED_VALUE"""),0.0)</f>
        <v>0</v>
      </c>
      <c r="B28" s="26">
        <f>IFERROR(__xludf.DUMMYFUNCTION("""COMPUTED_VALUE"""),0.0)</f>
        <v>0</v>
      </c>
      <c r="C28" s="26">
        <f>IFERROR(__xludf.DUMMYFUNCTION("""COMPUTED_VALUE"""),0.0)</f>
        <v>0</v>
      </c>
      <c r="D28" s="26">
        <f>IFERROR(__xludf.DUMMYFUNCTION("""COMPUTED_VALUE"""),0.0)</f>
        <v>0</v>
      </c>
      <c r="E28" s="26">
        <f>IFERROR(__xludf.DUMMYFUNCTION("""COMPUTED_VALUE"""),0.0)</f>
        <v>0</v>
      </c>
      <c r="F28" s="26">
        <f>IFERROR(__xludf.DUMMYFUNCTION("""COMPUTED_VALUE"""),0.0)</f>
        <v>0</v>
      </c>
      <c r="G28" s="26">
        <f>IFERROR(__xludf.DUMMYFUNCTION("""COMPUTED_VALUE"""),0.0)</f>
        <v>0</v>
      </c>
      <c r="H28" s="26">
        <f>IFERROR(__xludf.DUMMYFUNCTION("""COMPUTED_VALUE"""),0.0)</f>
        <v>0</v>
      </c>
      <c r="I28" s="26">
        <f>IFERROR(__xludf.DUMMYFUNCTION("""COMPUTED_VALUE"""),0.0)</f>
        <v>0</v>
      </c>
      <c r="J28" s="26">
        <f>IFERROR(__xludf.DUMMYFUNCTION("""COMPUTED_VALUE"""),0.0)</f>
        <v>0</v>
      </c>
      <c r="K28" s="26">
        <f>IFERROR(__xludf.DUMMYFUNCTION("""COMPUTED_VALUE"""),0.0)</f>
        <v>0</v>
      </c>
      <c r="L28" s="26"/>
      <c r="M28" s="26"/>
      <c r="N28" s="26"/>
      <c r="O28" s="26"/>
      <c r="P28" s="26"/>
      <c r="Q28" s="26"/>
      <c r="R28" s="26">
        <f>IFERROR(__xludf.DUMMYFUNCTION("""COMPUTED_VALUE"""),0.0)</f>
        <v>0</v>
      </c>
      <c r="S28" s="26">
        <f>IFERROR(__xludf.DUMMYFUNCTION("""COMPUTED_VALUE"""),0.0)</f>
        <v>0</v>
      </c>
      <c r="T28" s="26">
        <f>IFERROR(__xludf.DUMMYFUNCTION("""COMPUTED_VALUE"""),0.0)</f>
        <v>0</v>
      </c>
      <c r="U28" s="26">
        <f>IFERROR(__xludf.DUMMYFUNCTION("""COMPUTED_VALUE"""),0.0)</f>
        <v>0</v>
      </c>
      <c r="V28" s="26">
        <f>IFERROR(__xludf.DUMMYFUNCTION("""COMPUTED_VALUE"""),0.0)</f>
        <v>0</v>
      </c>
      <c r="W28" s="26">
        <f>IFERROR(__xludf.DUMMYFUNCTION("""COMPUTED_VALUE"""),0.0)</f>
        <v>0</v>
      </c>
      <c r="X28" s="26">
        <f>IFERROR(__xludf.DUMMYFUNCTION("""COMPUTED_VALUE"""),0.0)</f>
        <v>0</v>
      </c>
      <c r="Y28" s="26">
        <f>IFERROR(__xludf.DUMMYFUNCTION("""COMPUTED_VALUE"""),0.0)</f>
        <v>0</v>
      </c>
      <c r="Z28" s="26">
        <f>IFERROR(__xludf.DUMMYFUNCTION("""COMPUTED_VALUE"""),0.0)</f>
        <v>0</v>
      </c>
      <c r="AA28" s="26">
        <f>IFERROR(__xludf.DUMMYFUNCTION("""COMPUTED_VALUE"""),0.0)</f>
        <v>0</v>
      </c>
      <c r="AB28" s="26">
        <f>IFERROR(__xludf.DUMMYFUNCTION("""COMPUTED_VALUE"""),0.0)</f>
        <v>0</v>
      </c>
      <c r="AC28" s="26">
        <f>IFERROR(__xludf.DUMMYFUNCTION("""COMPUTED_VALUE"""),0.0)</f>
        <v>0</v>
      </c>
      <c r="AD28" s="26">
        <f>IFERROR(__xludf.DUMMYFUNCTION("""COMPUTED_VALUE"""),0.0)</f>
        <v>0</v>
      </c>
      <c r="AE28" s="26">
        <f>IFERROR(__xludf.DUMMYFUNCTION("""COMPUTED_VALUE"""),0.0)</f>
        <v>0</v>
      </c>
    </row>
    <row r="29">
      <c r="A29" s="26">
        <f>IFERROR(__xludf.DUMMYFUNCTION("""COMPUTED_VALUE"""),308.0)</f>
        <v>308</v>
      </c>
      <c r="B29" s="26">
        <f>IFERROR(__xludf.DUMMYFUNCTION("""COMPUTED_VALUE"""),0.0)</f>
        <v>0</v>
      </c>
      <c r="C29" s="26">
        <f>IFERROR(__xludf.DUMMYFUNCTION("""COMPUTED_VALUE"""),0.0)</f>
        <v>0</v>
      </c>
      <c r="D29" s="26">
        <f>IFERROR(__xludf.DUMMYFUNCTION("""COMPUTED_VALUE"""),0.0)</f>
        <v>0</v>
      </c>
      <c r="E29" s="26">
        <f>IFERROR(__xludf.DUMMYFUNCTION("""COMPUTED_VALUE"""),0.0)</f>
        <v>0</v>
      </c>
      <c r="F29" s="26">
        <f>IFERROR(__xludf.DUMMYFUNCTION("""COMPUTED_VALUE"""),0.0)</f>
        <v>0</v>
      </c>
      <c r="G29" s="26">
        <f>IFERROR(__xludf.DUMMYFUNCTION("""COMPUTED_VALUE"""),0.0)</f>
        <v>0</v>
      </c>
      <c r="H29" s="26">
        <f>IFERROR(__xludf.DUMMYFUNCTION("""COMPUTED_VALUE"""),92.0)</f>
        <v>92</v>
      </c>
      <c r="I29" s="26">
        <f>IFERROR(__xludf.DUMMYFUNCTION("""COMPUTED_VALUE"""),0.0)</f>
        <v>0</v>
      </c>
      <c r="J29" s="26">
        <f>IFERROR(__xludf.DUMMYFUNCTION("""COMPUTED_VALUE"""),0.0)</f>
        <v>0</v>
      </c>
      <c r="K29" s="26">
        <f>IFERROR(__xludf.DUMMYFUNCTION("""COMPUTED_VALUE"""),0.0)</f>
        <v>0</v>
      </c>
      <c r="L29" s="26"/>
      <c r="M29" s="26"/>
      <c r="N29" s="26"/>
      <c r="O29" s="26"/>
      <c r="P29" s="26"/>
      <c r="Q29" s="26"/>
      <c r="R29" s="26">
        <f>IFERROR(__xludf.DUMMYFUNCTION("""COMPUTED_VALUE"""),225300.0)</f>
        <v>225300</v>
      </c>
      <c r="S29" s="26">
        <f>IFERROR(__xludf.DUMMYFUNCTION("""COMPUTED_VALUE"""),67270.0)</f>
        <v>67270</v>
      </c>
      <c r="T29" s="26">
        <f>IFERROR(__xludf.DUMMYFUNCTION("""COMPUTED_VALUE"""),151.02)</f>
        <v>151.02</v>
      </c>
      <c r="U29" s="26">
        <f>IFERROR(__xludf.DUMMYFUNCTION("""COMPUTED_VALUE"""),151.02)</f>
        <v>151.02</v>
      </c>
      <c r="V29" s="26">
        <f>IFERROR(__xludf.DUMMYFUNCTION("""COMPUTED_VALUE"""),34066.38000000001)</f>
        <v>34066.38</v>
      </c>
      <c r="W29" s="26">
        <f>IFERROR(__xludf.DUMMYFUNCTION("""COMPUTED_VALUE"""),0.0)</f>
        <v>0</v>
      </c>
      <c r="X29" s="26">
        <f>IFERROR(__xludf.DUMMYFUNCTION("""COMPUTED_VALUE"""),0.0)</f>
        <v>0</v>
      </c>
      <c r="Y29" s="26">
        <f>IFERROR(__xludf.DUMMYFUNCTION("""COMPUTED_VALUE"""),0.0)</f>
        <v>0</v>
      </c>
      <c r="Z29" s="26">
        <f>IFERROR(__xludf.DUMMYFUNCTION("""COMPUTED_VALUE"""),0.0)</f>
        <v>0</v>
      </c>
      <c r="AA29" s="26">
        <f>IFERROR(__xludf.DUMMYFUNCTION("""COMPUTED_VALUE"""),0.0)</f>
        <v>0</v>
      </c>
      <c r="AB29" s="26">
        <f>IFERROR(__xludf.DUMMYFUNCTION("""COMPUTED_VALUE"""),0.0)</f>
        <v>0</v>
      </c>
      <c r="AC29" s="26">
        <f>IFERROR(__xludf.DUMMYFUNCTION("""COMPUTED_VALUE"""),0.0)</f>
        <v>0</v>
      </c>
      <c r="AD29" s="26">
        <f>IFERROR(__xludf.DUMMYFUNCTION("""COMPUTED_VALUE"""),0.0)</f>
        <v>0</v>
      </c>
      <c r="AE29" s="26">
        <f>IFERROR(__xludf.DUMMYFUNCTION("""COMPUTED_VALUE"""),0.0)</f>
        <v>0</v>
      </c>
    </row>
    <row r="30">
      <c r="A30" s="26">
        <f>IFERROR(__xludf.DUMMYFUNCTION("""COMPUTED_VALUE"""),473.0)</f>
        <v>473</v>
      </c>
      <c r="B30" s="26">
        <f>IFERROR(__xludf.DUMMYFUNCTION("""COMPUTED_VALUE"""),0.0)</f>
        <v>0</v>
      </c>
      <c r="C30" s="26">
        <f>IFERROR(__xludf.DUMMYFUNCTION("""COMPUTED_VALUE"""),70.0)</f>
        <v>70</v>
      </c>
      <c r="D30" s="26">
        <f>IFERROR(__xludf.DUMMYFUNCTION("""COMPUTED_VALUE"""),0.0)</f>
        <v>0</v>
      </c>
      <c r="E30" s="26">
        <f>IFERROR(__xludf.DUMMYFUNCTION("""COMPUTED_VALUE"""),0.0)</f>
        <v>0</v>
      </c>
      <c r="F30" s="26">
        <f>IFERROR(__xludf.DUMMYFUNCTION("""COMPUTED_VALUE"""),0.0)</f>
        <v>0</v>
      </c>
      <c r="G30" s="26">
        <f>IFERROR(__xludf.DUMMYFUNCTION("""COMPUTED_VALUE"""),0.0)</f>
        <v>0</v>
      </c>
      <c r="H30" s="26">
        <f>IFERROR(__xludf.DUMMYFUNCTION("""COMPUTED_VALUE"""),43.0)</f>
        <v>43</v>
      </c>
      <c r="I30" s="26">
        <f>IFERROR(__xludf.DUMMYFUNCTION("""COMPUTED_VALUE"""),0.0)</f>
        <v>0</v>
      </c>
      <c r="J30" s="26">
        <f>IFERROR(__xludf.DUMMYFUNCTION("""COMPUTED_VALUE"""),0.0)</f>
        <v>0</v>
      </c>
      <c r="K30" s="26">
        <f>IFERROR(__xludf.DUMMYFUNCTION("""COMPUTED_VALUE"""),0.0)</f>
        <v>0</v>
      </c>
      <c r="L30" s="26"/>
      <c r="M30" s="26"/>
      <c r="N30" s="26"/>
      <c r="O30" s="26"/>
      <c r="P30" s="26"/>
      <c r="Q30" s="26"/>
      <c r="R30" s="26">
        <f>IFERROR(__xludf.DUMMYFUNCTION("""COMPUTED_VALUE"""),280040.0)</f>
        <v>280040</v>
      </c>
      <c r="S30" s="26">
        <f>IFERROR(__xludf.DUMMYFUNCTION("""COMPUTED_VALUE"""),97580.0)</f>
        <v>97580</v>
      </c>
      <c r="T30" s="26">
        <f>IFERROR(__xludf.DUMMYFUNCTION("""COMPUTED_VALUE"""),0.0)</f>
        <v>0</v>
      </c>
      <c r="U30" s="26">
        <f>IFERROR(__xludf.DUMMYFUNCTION("""COMPUTED_VALUE"""),0.0)</f>
        <v>0</v>
      </c>
      <c r="V30" s="26">
        <f>IFERROR(__xludf.DUMMYFUNCTION("""COMPUTED_VALUE"""),42717.34999999996)</f>
        <v>42717.35</v>
      </c>
      <c r="W30" s="26">
        <f>IFERROR(__xludf.DUMMYFUNCTION("""COMPUTED_VALUE"""),0.0)</f>
        <v>0</v>
      </c>
      <c r="X30" s="26">
        <f>IFERROR(__xludf.DUMMYFUNCTION("""COMPUTED_VALUE"""),0.0)</f>
        <v>0</v>
      </c>
      <c r="Y30" s="26">
        <f>IFERROR(__xludf.DUMMYFUNCTION("""COMPUTED_VALUE"""),0.0)</f>
        <v>0</v>
      </c>
      <c r="Z30" s="26">
        <f>IFERROR(__xludf.DUMMYFUNCTION("""COMPUTED_VALUE"""),0.0)</f>
        <v>0</v>
      </c>
      <c r="AA30" s="26">
        <f>IFERROR(__xludf.DUMMYFUNCTION("""COMPUTED_VALUE"""),0.0)</f>
        <v>0</v>
      </c>
      <c r="AB30" s="26">
        <f>IFERROR(__xludf.DUMMYFUNCTION("""COMPUTED_VALUE"""),0.0)</f>
        <v>0</v>
      </c>
      <c r="AC30" s="26">
        <f>IFERROR(__xludf.DUMMYFUNCTION("""COMPUTED_VALUE"""),0.0)</f>
        <v>0</v>
      </c>
      <c r="AD30" s="26">
        <f>IFERROR(__xludf.DUMMYFUNCTION("""COMPUTED_VALUE"""),0.0)</f>
        <v>0</v>
      </c>
      <c r="AE30" s="26">
        <f>IFERROR(__xludf.DUMMYFUNCTION("""COMPUTED_VALUE"""),0.0)</f>
        <v>0</v>
      </c>
    </row>
    <row r="31">
      <c r="A31" s="26">
        <f>IFERROR(__xludf.DUMMYFUNCTION("""COMPUTED_VALUE"""),289.0)</f>
        <v>289</v>
      </c>
      <c r="B31" s="26">
        <f>IFERROR(__xludf.DUMMYFUNCTION("""COMPUTED_VALUE"""),0.0)</f>
        <v>0</v>
      </c>
      <c r="C31" s="26">
        <f>IFERROR(__xludf.DUMMYFUNCTION("""COMPUTED_VALUE"""),63.0)</f>
        <v>63</v>
      </c>
      <c r="D31" s="26">
        <f>IFERROR(__xludf.DUMMYFUNCTION("""COMPUTED_VALUE"""),0.0)</f>
        <v>0</v>
      </c>
      <c r="E31" s="26">
        <f>IFERROR(__xludf.DUMMYFUNCTION("""COMPUTED_VALUE"""),0.0)</f>
        <v>0</v>
      </c>
      <c r="F31" s="26">
        <f>IFERROR(__xludf.DUMMYFUNCTION("""COMPUTED_VALUE"""),0.0)</f>
        <v>0</v>
      </c>
      <c r="G31" s="26">
        <f>IFERROR(__xludf.DUMMYFUNCTION("""COMPUTED_VALUE"""),0.0)</f>
        <v>0</v>
      </c>
      <c r="H31" s="26">
        <f>IFERROR(__xludf.DUMMYFUNCTION("""COMPUTED_VALUE"""),95.0)</f>
        <v>95</v>
      </c>
      <c r="I31" s="26">
        <f>IFERROR(__xludf.DUMMYFUNCTION("""COMPUTED_VALUE"""),0.0)</f>
        <v>0</v>
      </c>
      <c r="J31" s="26">
        <f>IFERROR(__xludf.DUMMYFUNCTION("""COMPUTED_VALUE"""),0.0)</f>
        <v>0</v>
      </c>
      <c r="K31" s="26">
        <f>IFERROR(__xludf.DUMMYFUNCTION("""COMPUTED_VALUE"""),0.0)</f>
        <v>0</v>
      </c>
      <c r="L31" s="26"/>
      <c r="M31" s="26"/>
      <c r="N31" s="26"/>
      <c r="O31" s="26"/>
      <c r="P31" s="26"/>
      <c r="Q31" s="26"/>
      <c r="R31" s="26">
        <f>IFERROR(__xludf.DUMMYFUNCTION("""COMPUTED_VALUE"""),275930.0)</f>
        <v>275930</v>
      </c>
      <c r="S31" s="26">
        <f>IFERROR(__xludf.DUMMYFUNCTION("""COMPUTED_VALUE"""),74470.0)</f>
        <v>74470</v>
      </c>
      <c r="T31" s="26">
        <f>IFERROR(__xludf.DUMMYFUNCTION("""COMPUTED_VALUE"""),75.51)</f>
        <v>75.51</v>
      </c>
      <c r="U31" s="26">
        <f>IFERROR(__xludf.DUMMYFUNCTION("""COMPUTED_VALUE"""),75.51)</f>
        <v>75.51</v>
      </c>
      <c r="V31" s="26">
        <f>IFERROR(__xludf.DUMMYFUNCTION("""COMPUTED_VALUE"""),41941.06000000003)</f>
        <v>41941.06</v>
      </c>
      <c r="W31" s="26">
        <f>IFERROR(__xludf.DUMMYFUNCTION("""COMPUTED_VALUE"""),0.0)</f>
        <v>0</v>
      </c>
      <c r="X31" s="26">
        <f>IFERROR(__xludf.DUMMYFUNCTION("""COMPUTED_VALUE"""),0.0)</f>
        <v>0</v>
      </c>
      <c r="Y31" s="26">
        <f>IFERROR(__xludf.DUMMYFUNCTION("""COMPUTED_VALUE"""),0.0)</f>
        <v>0</v>
      </c>
      <c r="Z31" s="26">
        <f>IFERROR(__xludf.DUMMYFUNCTION("""COMPUTED_VALUE"""),0.0)</f>
        <v>0</v>
      </c>
      <c r="AA31" s="26">
        <f>IFERROR(__xludf.DUMMYFUNCTION("""COMPUTED_VALUE"""),0.0)</f>
        <v>0</v>
      </c>
      <c r="AB31" s="26">
        <f>IFERROR(__xludf.DUMMYFUNCTION("""COMPUTED_VALUE"""),0.0)</f>
        <v>0</v>
      </c>
      <c r="AC31" s="26">
        <f>IFERROR(__xludf.DUMMYFUNCTION("""COMPUTED_VALUE"""),0.0)</f>
        <v>0</v>
      </c>
      <c r="AD31" s="26">
        <f>IFERROR(__xludf.DUMMYFUNCTION("""COMPUTED_VALUE"""),0.0)</f>
        <v>0</v>
      </c>
      <c r="AE31" s="26">
        <f>IFERROR(__xludf.DUMMYFUNCTION("""COMPUTED_VALUE"""),0.0)</f>
        <v>0</v>
      </c>
    </row>
    <row r="32">
      <c r="A32" s="26">
        <f>IFERROR(__xludf.DUMMYFUNCTION("""COMPUTED_VALUE"""),316.0)</f>
        <v>316</v>
      </c>
      <c r="B32" s="26">
        <f>IFERROR(__xludf.DUMMYFUNCTION("""COMPUTED_VALUE"""),0.0)</f>
        <v>0</v>
      </c>
      <c r="C32" s="45">
        <f>IFERROR(__xludf.DUMMYFUNCTION("""COMPUTED_VALUE"""),0.0)</f>
        <v>0</v>
      </c>
      <c r="D32" s="26">
        <f>IFERROR(__xludf.DUMMYFUNCTION("""COMPUTED_VALUE"""),0.0)</f>
        <v>0</v>
      </c>
      <c r="E32" s="26">
        <f>IFERROR(__xludf.DUMMYFUNCTION("""COMPUTED_VALUE"""),0.0)</f>
        <v>0</v>
      </c>
      <c r="F32" s="26">
        <f>IFERROR(__xludf.DUMMYFUNCTION("""COMPUTED_VALUE"""),0.0)</f>
        <v>0</v>
      </c>
      <c r="G32" s="26">
        <f>IFERROR(__xludf.DUMMYFUNCTION("""COMPUTED_VALUE"""),0.0)</f>
        <v>0</v>
      </c>
      <c r="H32" s="26">
        <f>IFERROR(__xludf.DUMMYFUNCTION("""COMPUTED_VALUE"""),74.0)</f>
        <v>74</v>
      </c>
      <c r="I32" s="26">
        <f>IFERROR(__xludf.DUMMYFUNCTION("""COMPUTED_VALUE"""),0.0)</f>
        <v>0</v>
      </c>
      <c r="J32" s="26">
        <f>IFERROR(__xludf.DUMMYFUNCTION("""COMPUTED_VALUE"""),0.0)</f>
        <v>0</v>
      </c>
      <c r="K32" s="26">
        <f>IFERROR(__xludf.DUMMYFUNCTION("""COMPUTED_VALUE"""),0.0)</f>
        <v>0</v>
      </c>
      <c r="L32" s="26"/>
      <c r="M32" s="26"/>
      <c r="N32" s="26"/>
      <c r="O32" s="26"/>
      <c r="P32" s="26"/>
      <c r="Q32" s="26"/>
      <c r="R32" s="26">
        <f>IFERROR(__xludf.DUMMYFUNCTION("""COMPUTED_VALUE"""),228100.0)</f>
        <v>228100</v>
      </c>
      <c r="S32" s="26">
        <f>IFERROR(__xludf.DUMMYFUNCTION("""COMPUTED_VALUE"""),65180.0)</f>
        <v>65180</v>
      </c>
      <c r="T32" s="26">
        <f>IFERROR(__xludf.DUMMYFUNCTION("""COMPUTED_VALUE"""),0.0)</f>
        <v>0</v>
      </c>
      <c r="U32" s="26">
        <f>IFERROR(__xludf.DUMMYFUNCTION("""COMPUTED_VALUE"""),0.0)</f>
        <v>0</v>
      </c>
      <c r="V32" s="26">
        <f>IFERROR(__xludf.DUMMYFUNCTION("""COMPUTED_VALUE"""),34796.48000000002)</f>
        <v>34796.48</v>
      </c>
      <c r="W32" s="26">
        <f>IFERROR(__xludf.DUMMYFUNCTION("""COMPUTED_VALUE"""),0.0)</f>
        <v>0</v>
      </c>
      <c r="X32" s="26">
        <f>IFERROR(__xludf.DUMMYFUNCTION("""COMPUTED_VALUE"""),0.0)</f>
        <v>0</v>
      </c>
      <c r="Y32" s="26">
        <f>IFERROR(__xludf.DUMMYFUNCTION("""COMPUTED_VALUE"""),0.0)</f>
        <v>0</v>
      </c>
      <c r="Z32" s="26">
        <f>IFERROR(__xludf.DUMMYFUNCTION("""COMPUTED_VALUE"""),0.0)</f>
        <v>0</v>
      </c>
      <c r="AA32" s="26">
        <f>IFERROR(__xludf.DUMMYFUNCTION("""COMPUTED_VALUE"""),0.0)</f>
        <v>0</v>
      </c>
      <c r="AB32" s="26">
        <f>IFERROR(__xludf.DUMMYFUNCTION("""COMPUTED_VALUE"""),0.0)</f>
        <v>0</v>
      </c>
      <c r="AC32" s="26">
        <f>IFERROR(__xludf.DUMMYFUNCTION("""COMPUTED_VALUE"""),0.0)</f>
        <v>0</v>
      </c>
      <c r="AD32" s="26">
        <f>IFERROR(__xludf.DUMMYFUNCTION("""COMPUTED_VALUE"""),0.0)</f>
        <v>0</v>
      </c>
      <c r="AE32" s="26">
        <f>IFERROR(__xludf.DUMMYFUNCTION("""COMPUTED_VALUE"""),0.0)</f>
        <v>0</v>
      </c>
    </row>
    <row r="33">
      <c r="A33" s="26">
        <f>IFERROR(__xludf.DUMMYFUNCTION("""COMPUTED_VALUE"""),453.0)</f>
        <v>453</v>
      </c>
      <c r="B33" s="26">
        <f>IFERROR(__xludf.DUMMYFUNCTION("""COMPUTED_VALUE"""),0.0)</f>
        <v>0</v>
      </c>
      <c r="C33" s="26">
        <f>IFERROR(__xludf.DUMMYFUNCTION("""COMPUTED_VALUE"""),47.0)</f>
        <v>47</v>
      </c>
      <c r="D33" s="26">
        <f>IFERROR(__xludf.DUMMYFUNCTION("""COMPUTED_VALUE"""),0.0)</f>
        <v>0</v>
      </c>
      <c r="E33" s="26">
        <f>IFERROR(__xludf.DUMMYFUNCTION("""COMPUTED_VALUE"""),0.0)</f>
        <v>0</v>
      </c>
      <c r="F33" s="26">
        <f>IFERROR(__xludf.DUMMYFUNCTION("""COMPUTED_VALUE"""),0.0)</f>
        <v>0</v>
      </c>
      <c r="G33" s="26">
        <f>IFERROR(__xludf.DUMMYFUNCTION("""COMPUTED_VALUE"""),0.0)</f>
        <v>0</v>
      </c>
      <c r="H33" s="26">
        <f>IFERROR(__xludf.DUMMYFUNCTION("""COMPUTED_VALUE"""),103.0)</f>
        <v>103</v>
      </c>
      <c r="I33" s="26">
        <f>IFERROR(__xludf.DUMMYFUNCTION("""COMPUTED_VALUE"""),0.0)</f>
        <v>0</v>
      </c>
      <c r="J33" s="26">
        <f>IFERROR(__xludf.DUMMYFUNCTION("""COMPUTED_VALUE"""),0.0)</f>
        <v>0</v>
      </c>
      <c r="K33" s="26">
        <f>IFERROR(__xludf.DUMMYFUNCTION("""COMPUTED_VALUE"""),0.0)</f>
        <v>0</v>
      </c>
      <c r="L33" s="26"/>
      <c r="M33" s="26"/>
      <c r="N33" s="26"/>
      <c r="O33" s="26"/>
      <c r="P33" s="26"/>
      <c r="Q33" s="26"/>
      <c r="R33" s="26">
        <f>IFERROR(__xludf.DUMMYFUNCTION("""COMPUTED_VALUE"""),354702.0)</f>
        <v>354702</v>
      </c>
      <c r="S33" s="26">
        <f>IFERROR(__xludf.DUMMYFUNCTION("""COMPUTED_VALUE"""),100580.0)</f>
        <v>100580</v>
      </c>
      <c r="T33" s="26">
        <f>IFERROR(__xludf.DUMMYFUNCTION("""COMPUTED_VALUE"""),74.74)</f>
        <v>74.74</v>
      </c>
      <c r="U33" s="26">
        <f>IFERROR(__xludf.DUMMYFUNCTION("""COMPUTED_VALUE"""),74.74)</f>
        <v>74.74</v>
      </c>
      <c r="V33" s="26">
        <f>IFERROR(__xludf.DUMMYFUNCTION("""COMPUTED_VALUE"""),53959.44000000003)</f>
        <v>53959.44</v>
      </c>
      <c r="W33" s="26">
        <f>IFERROR(__xludf.DUMMYFUNCTION("""COMPUTED_VALUE"""),0.0)</f>
        <v>0</v>
      </c>
      <c r="X33" s="26">
        <f>IFERROR(__xludf.DUMMYFUNCTION("""COMPUTED_VALUE"""),0.0)</f>
        <v>0</v>
      </c>
      <c r="Y33" s="26">
        <f>IFERROR(__xludf.DUMMYFUNCTION("""COMPUTED_VALUE"""),0.0)</f>
        <v>0</v>
      </c>
      <c r="Z33" s="26">
        <f>IFERROR(__xludf.DUMMYFUNCTION("""COMPUTED_VALUE"""),0.0)</f>
        <v>0</v>
      </c>
      <c r="AA33" s="26">
        <f>IFERROR(__xludf.DUMMYFUNCTION("""COMPUTED_VALUE"""),0.0)</f>
        <v>0</v>
      </c>
      <c r="AB33" s="26">
        <f>IFERROR(__xludf.DUMMYFUNCTION("""COMPUTED_VALUE"""),0.0)</f>
        <v>0</v>
      </c>
      <c r="AC33" s="26">
        <f>IFERROR(__xludf.DUMMYFUNCTION("""COMPUTED_VALUE"""),0.0)</f>
        <v>0</v>
      </c>
      <c r="AD33" s="26">
        <f>IFERROR(__xludf.DUMMYFUNCTION("""COMPUTED_VALUE"""),0.0)</f>
        <v>0</v>
      </c>
      <c r="AE33" s="26">
        <f>IFERROR(__xludf.DUMMYFUNCTION("""COMPUTED_VALUE"""),0.0)</f>
        <v>0</v>
      </c>
    </row>
    <row r="34">
      <c r="A34" s="26">
        <f>IFERROR(__xludf.DUMMYFUNCTION("""COMPUTED_VALUE"""),204.0)</f>
        <v>204</v>
      </c>
      <c r="B34" s="26">
        <f>IFERROR(__xludf.DUMMYFUNCTION("""COMPUTED_VALUE"""),0.0)</f>
        <v>0</v>
      </c>
      <c r="C34" s="26">
        <f>IFERROR(__xludf.DUMMYFUNCTION("""COMPUTED_VALUE"""),76.0)</f>
        <v>76</v>
      </c>
      <c r="D34" s="26">
        <f>IFERROR(__xludf.DUMMYFUNCTION("""COMPUTED_VALUE"""),0.0)</f>
        <v>0</v>
      </c>
      <c r="E34" s="26">
        <f>IFERROR(__xludf.DUMMYFUNCTION("""COMPUTED_VALUE"""),0.0)</f>
        <v>0</v>
      </c>
      <c r="F34" s="26">
        <f>IFERROR(__xludf.DUMMYFUNCTION("""COMPUTED_VALUE"""),0.0)</f>
        <v>0</v>
      </c>
      <c r="G34" s="26">
        <f>IFERROR(__xludf.DUMMYFUNCTION("""COMPUTED_VALUE"""),0.0)</f>
        <v>0</v>
      </c>
      <c r="H34" s="26">
        <f>IFERROR(__xludf.DUMMYFUNCTION("""COMPUTED_VALUE"""),57.0)</f>
        <v>57</v>
      </c>
      <c r="I34" s="26">
        <f>IFERROR(__xludf.DUMMYFUNCTION("""COMPUTED_VALUE"""),0.0)</f>
        <v>0</v>
      </c>
      <c r="J34" s="26">
        <f>IFERROR(__xludf.DUMMYFUNCTION("""COMPUTED_VALUE"""),0.0)</f>
        <v>0</v>
      </c>
      <c r="K34" s="26">
        <f>IFERROR(__xludf.DUMMYFUNCTION("""COMPUTED_VALUE"""),0.0)</f>
        <v>0</v>
      </c>
      <c r="L34" s="26"/>
      <c r="M34" s="26"/>
      <c r="N34" s="26"/>
      <c r="O34" s="26"/>
      <c r="P34" s="26"/>
      <c r="Q34" s="26"/>
      <c r="R34" s="26">
        <f>IFERROR(__xludf.DUMMYFUNCTION("""COMPUTED_VALUE"""),208530.0)</f>
        <v>208530</v>
      </c>
      <c r="S34" s="26">
        <f>IFERROR(__xludf.DUMMYFUNCTION("""COMPUTED_VALUE"""),55760.0)</f>
        <v>55760</v>
      </c>
      <c r="T34" s="26">
        <f>IFERROR(__xludf.DUMMYFUNCTION("""COMPUTED_VALUE"""),0.0)</f>
        <v>0</v>
      </c>
      <c r="U34" s="26">
        <f>IFERROR(__xludf.DUMMYFUNCTION("""COMPUTED_VALUE"""),0.0)</f>
        <v>0</v>
      </c>
      <c r="V34" s="26">
        <f>IFERROR(__xludf.DUMMYFUNCTION("""COMPUTED_VALUE"""),31810.360000000015)</f>
        <v>31810.36</v>
      </c>
      <c r="W34" s="26">
        <f>IFERROR(__xludf.DUMMYFUNCTION("""COMPUTED_VALUE"""),0.0)</f>
        <v>0</v>
      </c>
      <c r="X34" s="26">
        <f>IFERROR(__xludf.DUMMYFUNCTION("""COMPUTED_VALUE"""),0.0)</f>
        <v>0</v>
      </c>
      <c r="Y34" s="26">
        <f>IFERROR(__xludf.DUMMYFUNCTION("""COMPUTED_VALUE"""),0.0)</f>
        <v>0</v>
      </c>
      <c r="Z34" s="26">
        <f>IFERROR(__xludf.DUMMYFUNCTION("""COMPUTED_VALUE"""),0.0)</f>
        <v>0</v>
      </c>
      <c r="AA34" s="26">
        <f>IFERROR(__xludf.DUMMYFUNCTION("""COMPUTED_VALUE"""),0.0)</f>
        <v>0</v>
      </c>
      <c r="AB34" s="26">
        <f>IFERROR(__xludf.DUMMYFUNCTION("""COMPUTED_VALUE"""),0.0)</f>
        <v>0</v>
      </c>
      <c r="AC34" s="26">
        <f>IFERROR(__xludf.DUMMYFUNCTION("""COMPUTED_VALUE"""),0.0)</f>
        <v>0</v>
      </c>
      <c r="AD34" s="26">
        <f>IFERROR(__xludf.DUMMYFUNCTION("""COMPUTED_VALUE"""),0.0)</f>
        <v>0</v>
      </c>
      <c r="AE34" s="26">
        <f>IFERROR(__xludf.DUMMYFUNCTION("""COMPUTED_VALUE"""),0.0)</f>
        <v>0</v>
      </c>
    </row>
    <row r="35">
      <c r="A35" s="26">
        <f>IFERROR(__xludf.DUMMYFUNCTION("""COMPUTED_VALUE"""),0.0)</f>
        <v>0</v>
      </c>
      <c r="B35" s="26">
        <f>IFERROR(__xludf.DUMMYFUNCTION("""COMPUTED_VALUE"""),0.0)</f>
        <v>0</v>
      </c>
      <c r="C35" s="26">
        <f>IFERROR(__xludf.DUMMYFUNCTION("""COMPUTED_VALUE"""),0.0)</f>
        <v>0</v>
      </c>
      <c r="D35" s="26">
        <f>IFERROR(__xludf.DUMMYFUNCTION("""COMPUTED_VALUE"""),0.0)</f>
        <v>0</v>
      </c>
      <c r="E35" s="26">
        <f>IFERROR(__xludf.DUMMYFUNCTION("""COMPUTED_VALUE"""),0.0)</f>
        <v>0</v>
      </c>
      <c r="F35" s="26">
        <f>IFERROR(__xludf.DUMMYFUNCTION("""COMPUTED_VALUE"""),0.0)</f>
        <v>0</v>
      </c>
      <c r="G35" s="26">
        <f>IFERROR(__xludf.DUMMYFUNCTION("""COMPUTED_VALUE"""),0.0)</f>
        <v>0</v>
      </c>
      <c r="H35" s="26">
        <f>IFERROR(__xludf.DUMMYFUNCTION("""COMPUTED_VALUE"""),0.0)</f>
        <v>0</v>
      </c>
      <c r="I35" s="26">
        <f>IFERROR(__xludf.DUMMYFUNCTION("""COMPUTED_VALUE"""),0.0)</f>
        <v>0</v>
      </c>
      <c r="J35" s="26">
        <f>IFERROR(__xludf.DUMMYFUNCTION("""COMPUTED_VALUE"""),0.0)</f>
        <v>0</v>
      </c>
      <c r="K35" s="26">
        <f>IFERROR(__xludf.DUMMYFUNCTION("""COMPUTED_VALUE"""),0.0)</f>
        <v>0</v>
      </c>
      <c r="L35" s="26"/>
      <c r="M35" s="26"/>
      <c r="N35" s="26"/>
      <c r="O35" s="26"/>
      <c r="P35" s="26"/>
      <c r="Q35" s="26"/>
      <c r="R35" s="26">
        <f>IFERROR(__xludf.DUMMYFUNCTION("""COMPUTED_VALUE"""),0.0)</f>
        <v>0</v>
      </c>
      <c r="S35" s="26">
        <f>IFERROR(__xludf.DUMMYFUNCTION("""COMPUTED_VALUE"""),0.0)</f>
        <v>0</v>
      </c>
      <c r="T35" s="26">
        <f>IFERROR(__xludf.DUMMYFUNCTION("""COMPUTED_VALUE"""),0.0)</f>
        <v>0</v>
      </c>
      <c r="U35" s="26">
        <f>IFERROR(__xludf.DUMMYFUNCTION("""COMPUTED_VALUE"""),0.0)</f>
        <v>0</v>
      </c>
      <c r="V35" s="26">
        <f>IFERROR(__xludf.DUMMYFUNCTION("""COMPUTED_VALUE"""),0.0)</f>
        <v>0</v>
      </c>
      <c r="W35" s="26">
        <f>IFERROR(__xludf.DUMMYFUNCTION("""COMPUTED_VALUE"""),0.0)</f>
        <v>0</v>
      </c>
      <c r="X35" s="26">
        <f>IFERROR(__xludf.DUMMYFUNCTION("""COMPUTED_VALUE"""),0.0)</f>
        <v>0</v>
      </c>
      <c r="Y35" s="26">
        <f>IFERROR(__xludf.DUMMYFUNCTION("""COMPUTED_VALUE"""),0.0)</f>
        <v>0</v>
      </c>
      <c r="Z35" s="26">
        <f>IFERROR(__xludf.DUMMYFUNCTION("""COMPUTED_VALUE"""),0.0)</f>
        <v>0</v>
      </c>
      <c r="AA35" s="26">
        <f>IFERROR(__xludf.DUMMYFUNCTION("""COMPUTED_VALUE"""),0.0)</f>
        <v>0</v>
      </c>
      <c r="AB35" s="26">
        <f>IFERROR(__xludf.DUMMYFUNCTION("""COMPUTED_VALUE"""),0.0)</f>
        <v>0</v>
      </c>
      <c r="AC35" s="26">
        <f>IFERROR(__xludf.DUMMYFUNCTION("""COMPUTED_VALUE"""),0.0)</f>
        <v>0</v>
      </c>
      <c r="AD35" s="26">
        <f>IFERROR(__xludf.DUMMYFUNCTION("""COMPUTED_VALUE"""),0.0)</f>
        <v>0</v>
      </c>
      <c r="AE35" s="26">
        <f>IFERROR(__xludf.DUMMYFUNCTION("""COMPUTED_VALUE"""),0.0)</f>
        <v>0</v>
      </c>
    </row>
    <row r="36">
      <c r="A36" s="26">
        <f>IFERROR(__xludf.DUMMYFUNCTION("""COMPUTED_VALUE"""),2033.0)</f>
        <v>2033</v>
      </c>
      <c r="B36" s="26">
        <f>IFERROR(__xludf.DUMMYFUNCTION("""COMPUTED_VALUE"""),9.0)</f>
        <v>9</v>
      </c>
      <c r="C36" s="26">
        <f>IFERROR(__xludf.DUMMYFUNCTION("""COMPUTED_VALUE"""),179.0)</f>
        <v>179</v>
      </c>
      <c r="D36" s="26">
        <f>IFERROR(__xludf.DUMMYFUNCTION("""COMPUTED_VALUE"""),0.0)</f>
        <v>0</v>
      </c>
      <c r="E36" s="26">
        <f>IFERROR(__xludf.DUMMYFUNCTION("""COMPUTED_VALUE"""),1823.0)</f>
        <v>1823</v>
      </c>
      <c r="F36" s="26">
        <f>IFERROR(__xludf.DUMMYFUNCTION("""COMPUTED_VALUE"""),0.0)</f>
        <v>0</v>
      </c>
      <c r="G36" s="26">
        <f>IFERROR(__xludf.DUMMYFUNCTION("""COMPUTED_VALUE"""),0.0)</f>
        <v>0</v>
      </c>
      <c r="H36" s="26">
        <f>IFERROR(__xludf.DUMMYFUNCTION("""COMPUTED_VALUE"""),0.0)</f>
        <v>0</v>
      </c>
      <c r="I36" s="26">
        <f>IFERROR(__xludf.DUMMYFUNCTION("""COMPUTED_VALUE"""),0.0)</f>
        <v>0</v>
      </c>
      <c r="J36" s="26">
        <f>IFERROR(__xludf.DUMMYFUNCTION("""COMPUTED_VALUE"""),0.0)</f>
        <v>0</v>
      </c>
      <c r="K36" s="26">
        <f>IFERROR(__xludf.DUMMYFUNCTION("""COMPUTED_VALUE"""),0.0)</f>
        <v>0</v>
      </c>
      <c r="L36" s="26"/>
      <c r="M36" s="26"/>
      <c r="N36" s="26"/>
      <c r="O36" s="26"/>
      <c r="P36" s="26"/>
      <c r="Q36" s="26"/>
      <c r="R36" s="26">
        <f>IFERROR(__xludf.DUMMYFUNCTION("""COMPUTED_VALUE"""),897269.9999999941)</f>
        <v>897270</v>
      </c>
      <c r="S36" s="26">
        <f>IFERROR(__xludf.DUMMYFUNCTION("""COMPUTED_VALUE"""),748475.0)</f>
        <v>748475</v>
      </c>
      <c r="T36" s="26">
        <f>IFERROR(__xludf.DUMMYFUNCTION("""COMPUTED_VALUE"""),13.95)</f>
        <v>13.95</v>
      </c>
      <c r="U36" s="26">
        <f>IFERROR(__xludf.DUMMYFUNCTION("""COMPUTED_VALUE"""),13.95)</f>
        <v>13.95</v>
      </c>
      <c r="V36" s="26">
        <f>IFERROR(__xludf.DUMMYFUNCTION("""COMPUTED_VALUE"""),136843.65000000034)</f>
        <v>136843.65</v>
      </c>
      <c r="W36" s="26">
        <f>IFERROR(__xludf.DUMMYFUNCTION("""COMPUTED_VALUE"""),1429105.509999982)</f>
        <v>1429105.51</v>
      </c>
      <c r="X36" s="26">
        <f>IFERROR(__xludf.DUMMYFUNCTION("""COMPUTED_VALUE"""),1429105.509999982)</f>
        <v>1429105.51</v>
      </c>
      <c r="Y36" s="26">
        <f>IFERROR(__xludf.DUMMYFUNCTION("""COMPUTED_VALUE"""),706583.6099999981)</f>
        <v>706583.61</v>
      </c>
      <c r="Z36" s="26">
        <f>IFERROR(__xludf.DUMMYFUNCTION("""COMPUTED_VALUE"""),681985.4900000009)</f>
        <v>681985.49</v>
      </c>
      <c r="AA36" s="26">
        <f>IFERROR(__xludf.DUMMYFUNCTION("""COMPUTED_VALUE"""),36521.56999999995)</f>
        <v>36521.57</v>
      </c>
      <c r="AB36" s="26">
        <f>IFERROR(__xludf.DUMMYFUNCTION("""COMPUTED_VALUE"""),0.0)</f>
        <v>0</v>
      </c>
      <c r="AC36" s="26">
        <f>IFERROR(__xludf.DUMMYFUNCTION("""COMPUTED_VALUE"""),-8783.0)</f>
        <v>-8783</v>
      </c>
      <c r="AD36" s="26">
        <f>IFERROR(__xludf.DUMMYFUNCTION("""COMPUTED_VALUE"""),1441217.0)</f>
        <v>1441217</v>
      </c>
      <c r="AE36" s="26">
        <f>IFERROR(__xludf.DUMMYFUNCTION("""COMPUTED_VALUE"""),0.0)</f>
        <v>0</v>
      </c>
    </row>
    <row r="37">
      <c r="A37" s="26">
        <f>IFERROR(__xludf.DUMMYFUNCTION("""COMPUTED_VALUE"""),0.0)</f>
        <v>0</v>
      </c>
      <c r="B37" s="26">
        <f>IFERROR(__xludf.DUMMYFUNCTION("""COMPUTED_VALUE"""),0.0)</f>
        <v>0</v>
      </c>
      <c r="C37" s="26">
        <f>IFERROR(__xludf.DUMMYFUNCTION("""COMPUTED_VALUE"""),0.0)</f>
        <v>0</v>
      </c>
      <c r="D37" s="26">
        <f>IFERROR(__xludf.DUMMYFUNCTION("""COMPUTED_VALUE"""),0.0)</f>
        <v>0</v>
      </c>
      <c r="E37" s="26">
        <f>IFERROR(__xludf.DUMMYFUNCTION("""COMPUTED_VALUE"""),10.0)</f>
        <v>10</v>
      </c>
      <c r="F37" s="26">
        <f>IFERROR(__xludf.DUMMYFUNCTION("""COMPUTED_VALUE"""),0.0)</f>
        <v>0</v>
      </c>
      <c r="G37" s="26">
        <f>IFERROR(__xludf.DUMMYFUNCTION("""COMPUTED_VALUE"""),0.0)</f>
        <v>0</v>
      </c>
      <c r="H37" s="26">
        <f>IFERROR(__xludf.DUMMYFUNCTION("""COMPUTED_VALUE"""),0.0)</f>
        <v>0</v>
      </c>
      <c r="I37" s="26">
        <f>IFERROR(__xludf.DUMMYFUNCTION("""COMPUTED_VALUE"""),0.0)</f>
        <v>0</v>
      </c>
      <c r="J37" s="26">
        <f>IFERROR(__xludf.DUMMYFUNCTION("""COMPUTED_VALUE"""),0.0)</f>
        <v>0</v>
      </c>
      <c r="K37" s="26">
        <f>IFERROR(__xludf.DUMMYFUNCTION("""COMPUTED_VALUE"""),0.0)</f>
        <v>0</v>
      </c>
      <c r="L37" s="26"/>
      <c r="M37" s="26"/>
      <c r="N37" s="26"/>
      <c r="O37" s="26"/>
      <c r="P37" s="26"/>
      <c r="Q37" s="26"/>
      <c r="R37" s="26">
        <f>IFERROR(__xludf.DUMMYFUNCTION("""COMPUTED_VALUE"""),15900.0)</f>
        <v>15900</v>
      </c>
      <c r="S37" s="26">
        <f>IFERROR(__xludf.DUMMYFUNCTION("""COMPUTED_VALUE"""),4600.0)</f>
        <v>4600</v>
      </c>
      <c r="T37" s="26">
        <f>IFERROR(__xludf.DUMMYFUNCTION("""COMPUTED_VALUE"""),0.0)</f>
        <v>0</v>
      </c>
      <c r="U37" s="26">
        <f>IFERROR(__xludf.DUMMYFUNCTION("""COMPUTED_VALUE"""),0.0)</f>
        <v>0</v>
      </c>
      <c r="V37" s="26">
        <f>IFERROR(__xludf.DUMMYFUNCTION("""COMPUTED_VALUE"""),2425.4)</f>
        <v>2425.4</v>
      </c>
      <c r="W37" s="26">
        <f>IFERROR(__xludf.DUMMYFUNCTION("""COMPUTED_VALUE"""),0.0)</f>
        <v>0</v>
      </c>
      <c r="X37" s="26">
        <f>IFERROR(__xludf.DUMMYFUNCTION("""COMPUTED_VALUE"""),0.0)</f>
        <v>0</v>
      </c>
      <c r="Y37" s="26">
        <f>IFERROR(__xludf.DUMMYFUNCTION("""COMPUTED_VALUE"""),0.0)</f>
        <v>0</v>
      </c>
      <c r="Z37" s="26">
        <f>IFERROR(__xludf.DUMMYFUNCTION("""COMPUTED_VALUE"""),0.0)</f>
        <v>0</v>
      </c>
      <c r="AA37" s="26">
        <f>IFERROR(__xludf.DUMMYFUNCTION("""COMPUTED_VALUE"""),0.0)</f>
        <v>0</v>
      </c>
      <c r="AB37" s="26">
        <f>IFERROR(__xludf.DUMMYFUNCTION("""COMPUTED_VALUE"""),0.0)</f>
        <v>0</v>
      </c>
      <c r="AC37" s="26">
        <f>IFERROR(__xludf.DUMMYFUNCTION("""COMPUTED_VALUE"""),0.0)</f>
        <v>0</v>
      </c>
      <c r="AD37" s="26">
        <f>IFERROR(__xludf.DUMMYFUNCTION("""COMPUTED_VALUE"""),0.0)</f>
        <v>0</v>
      </c>
      <c r="AE37" s="26">
        <f>IFERROR(__xludf.DUMMYFUNCTION("""COMPUTED_VALUE"""),0.0)</f>
        <v>0</v>
      </c>
    </row>
    <row r="38">
      <c r="A38" s="26">
        <f>IFERROR(__xludf.DUMMYFUNCTION("""COMPUTED_VALUE"""),0.0)</f>
        <v>0</v>
      </c>
      <c r="B38" s="26">
        <f>IFERROR(__xludf.DUMMYFUNCTION("""COMPUTED_VALUE"""),1.0)</f>
        <v>1</v>
      </c>
      <c r="C38" s="26">
        <f>IFERROR(__xludf.DUMMYFUNCTION("""COMPUTED_VALUE"""),0.0)</f>
        <v>0</v>
      </c>
      <c r="D38" s="26">
        <f>IFERROR(__xludf.DUMMYFUNCTION("""COMPUTED_VALUE"""),0.0)</f>
        <v>0</v>
      </c>
      <c r="E38" s="26">
        <f>IFERROR(__xludf.DUMMYFUNCTION("""COMPUTED_VALUE"""),0.0)</f>
        <v>0</v>
      </c>
      <c r="F38" s="26">
        <f>IFERROR(__xludf.DUMMYFUNCTION("""COMPUTED_VALUE"""),0.0)</f>
        <v>0</v>
      </c>
      <c r="G38" s="26">
        <f>IFERROR(__xludf.DUMMYFUNCTION("""COMPUTED_VALUE"""),0.0)</f>
        <v>0</v>
      </c>
      <c r="H38" s="26">
        <f>IFERROR(__xludf.DUMMYFUNCTION("""COMPUTED_VALUE"""),0.0)</f>
        <v>0</v>
      </c>
      <c r="I38" s="26">
        <f>IFERROR(__xludf.DUMMYFUNCTION("""COMPUTED_VALUE"""),0.0)</f>
        <v>0</v>
      </c>
      <c r="J38" s="26">
        <f>IFERROR(__xludf.DUMMYFUNCTION("""COMPUTED_VALUE"""),0.0)</f>
        <v>0</v>
      </c>
      <c r="K38" s="26">
        <f>IFERROR(__xludf.DUMMYFUNCTION("""COMPUTED_VALUE"""),0.0)</f>
        <v>0</v>
      </c>
      <c r="L38" s="26"/>
      <c r="M38" s="26"/>
      <c r="N38" s="26"/>
      <c r="O38" s="26"/>
      <c r="P38" s="26"/>
      <c r="Q38" s="26"/>
      <c r="R38" s="26">
        <f>IFERROR(__xludf.DUMMYFUNCTION("""COMPUTED_VALUE"""),300.0)</f>
        <v>300</v>
      </c>
      <c r="S38" s="26">
        <f>IFERROR(__xludf.DUMMYFUNCTION("""COMPUTED_VALUE"""),205.0)</f>
        <v>205</v>
      </c>
      <c r="T38" s="26">
        <f>IFERROR(__xludf.DUMMYFUNCTION("""COMPUTED_VALUE"""),0.0)</f>
        <v>0</v>
      </c>
      <c r="U38" s="26">
        <f>IFERROR(__xludf.DUMMYFUNCTION("""COMPUTED_VALUE"""),0.0)</f>
        <v>0</v>
      </c>
      <c r="V38" s="26">
        <f>IFERROR(__xludf.DUMMYFUNCTION("""COMPUTED_VALUE"""),45.76)</f>
        <v>45.76</v>
      </c>
      <c r="W38" s="26">
        <f>IFERROR(__xludf.DUMMYFUNCTION("""COMPUTED_VALUE"""),0.0)</f>
        <v>0</v>
      </c>
      <c r="X38" s="26">
        <f>IFERROR(__xludf.DUMMYFUNCTION("""COMPUTED_VALUE"""),0.0)</f>
        <v>0</v>
      </c>
      <c r="Y38" s="26">
        <f>IFERROR(__xludf.DUMMYFUNCTION("""COMPUTED_VALUE"""),0.0)</f>
        <v>0</v>
      </c>
      <c r="Z38" s="26">
        <f>IFERROR(__xludf.DUMMYFUNCTION("""COMPUTED_VALUE"""),0.0)</f>
        <v>0</v>
      </c>
      <c r="AA38" s="26">
        <f>IFERROR(__xludf.DUMMYFUNCTION("""COMPUTED_VALUE"""),0.0)</f>
        <v>0</v>
      </c>
      <c r="AB38" s="26">
        <f>IFERROR(__xludf.DUMMYFUNCTION("""COMPUTED_VALUE"""),0.0)</f>
        <v>0</v>
      </c>
      <c r="AC38" s="26">
        <f>IFERROR(__xludf.DUMMYFUNCTION("""COMPUTED_VALUE"""),0.0)</f>
        <v>0</v>
      </c>
      <c r="AD38" s="26">
        <f>IFERROR(__xludf.DUMMYFUNCTION("""COMPUTED_VALUE"""),0.0)</f>
        <v>0</v>
      </c>
      <c r="AE38" s="26">
        <f>IFERROR(__xludf.DUMMYFUNCTION("""COMPUTED_VALUE"""),0.0)</f>
        <v>0</v>
      </c>
    </row>
    <row r="39">
      <c r="A39" s="26">
        <f>IFERROR(__xludf.DUMMYFUNCTION("""COMPUTED_VALUE"""),0.0)</f>
        <v>0</v>
      </c>
      <c r="B39" s="26">
        <f>IFERROR(__xludf.DUMMYFUNCTION("""COMPUTED_VALUE"""),0.0)</f>
        <v>0</v>
      </c>
      <c r="C39" s="26">
        <f>IFERROR(__xludf.DUMMYFUNCTION("""COMPUTED_VALUE"""),0.0)</f>
        <v>0</v>
      </c>
      <c r="D39" s="26">
        <f>IFERROR(__xludf.DUMMYFUNCTION("""COMPUTED_VALUE"""),0.0)</f>
        <v>0</v>
      </c>
      <c r="E39" s="26">
        <f>IFERROR(__xludf.DUMMYFUNCTION("""COMPUTED_VALUE"""),0.0)</f>
        <v>0</v>
      </c>
      <c r="F39" s="26">
        <f>IFERROR(__xludf.DUMMYFUNCTION("""COMPUTED_VALUE"""),0.0)</f>
        <v>0</v>
      </c>
      <c r="G39" s="26">
        <f>IFERROR(__xludf.DUMMYFUNCTION("""COMPUTED_VALUE"""),0.0)</f>
        <v>0</v>
      </c>
      <c r="H39" s="26">
        <f>IFERROR(__xludf.DUMMYFUNCTION("""COMPUTED_VALUE"""),0.0)</f>
        <v>0</v>
      </c>
      <c r="I39" s="26">
        <f>IFERROR(__xludf.DUMMYFUNCTION("""COMPUTED_VALUE"""),0.0)</f>
        <v>0</v>
      </c>
      <c r="J39" s="26">
        <f>IFERROR(__xludf.DUMMYFUNCTION("""COMPUTED_VALUE"""),0.0)</f>
        <v>0</v>
      </c>
      <c r="K39" s="26">
        <f>IFERROR(__xludf.DUMMYFUNCTION("""COMPUTED_VALUE"""),0.0)</f>
        <v>0</v>
      </c>
      <c r="L39" s="26"/>
      <c r="M39" s="26"/>
      <c r="N39" s="26"/>
      <c r="O39" s="26"/>
      <c r="P39" s="26"/>
      <c r="Q39" s="26"/>
      <c r="R39" s="26">
        <f>IFERROR(__xludf.DUMMYFUNCTION("""COMPUTED_VALUE"""),0.0)</f>
        <v>0</v>
      </c>
      <c r="S39" s="26">
        <f>IFERROR(__xludf.DUMMYFUNCTION("""COMPUTED_VALUE"""),0.0)</f>
        <v>0</v>
      </c>
      <c r="T39" s="26">
        <f>IFERROR(__xludf.DUMMYFUNCTION("""COMPUTED_VALUE"""),0.0)</f>
        <v>0</v>
      </c>
      <c r="U39" s="26">
        <f>IFERROR(__xludf.DUMMYFUNCTION("""COMPUTED_VALUE"""),0.0)</f>
        <v>0</v>
      </c>
      <c r="V39" s="26">
        <f>IFERROR(__xludf.DUMMYFUNCTION("""COMPUTED_VALUE"""),0.0)</f>
        <v>0</v>
      </c>
      <c r="W39" s="26">
        <f>IFERROR(__xludf.DUMMYFUNCTION("""COMPUTED_VALUE"""),0.0)</f>
        <v>0</v>
      </c>
      <c r="X39" s="26">
        <f>IFERROR(__xludf.DUMMYFUNCTION("""COMPUTED_VALUE"""),0.0)</f>
        <v>0</v>
      </c>
      <c r="Y39" s="26">
        <f>IFERROR(__xludf.DUMMYFUNCTION("""COMPUTED_VALUE"""),0.0)</f>
        <v>0</v>
      </c>
      <c r="Z39" s="26">
        <f>IFERROR(__xludf.DUMMYFUNCTION("""COMPUTED_VALUE"""),0.0)</f>
        <v>0</v>
      </c>
      <c r="AA39" s="26">
        <f>IFERROR(__xludf.DUMMYFUNCTION("""COMPUTED_VALUE"""),0.0)</f>
        <v>0</v>
      </c>
      <c r="AB39" s="26">
        <f>IFERROR(__xludf.DUMMYFUNCTION("""COMPUTED_VALUE"""),0.0)</f>
        <v>0</v>
      </c>
      <c r="AC39" s="26">
        <f>IFERROR(__xludf.DUMMYFUNCTION("""COMPUTED_VALUE"""),0.0)</f>
        <v>0</v>
      </c>
      <c r="AD39" s="26">
        <f>IFERROR(__xludf.DUMMYFUNCTION("""COMPUTED_VALUE"""),0.0)</f>
        <v>0</v>
      </c>
      <c r="AE39" s="26">
        <f>IFERROR(__xludf.DUMMYFUNCTION("""COMPUTED_VALUE"""),0.0)</f>
        <v>0</v>
      </c>
    </row>
    <row r="40">
      <c r="A40" s="26">
        <f>IFERROR(__xludf.DUMMYFUNCTION("""COMPUTED_VALUE"""),0.0)</f>
        <v>0</v>
      </c>
      <c r="B40" s="26">
        <f>IFERROR(__xludf.DUMMYFUNCTION("""COMPUTED_VALUE"""),0.0)</f>
        <v>0</v>
      </c>
      <c r="C40" s="26">
        <f>IFERROR(__xludf.DUMMYFUNCTION("""COMPUTED_VALUE"""),0.0)</f>
        <v>0</v>
      </c>
      <c r="D40" s="26">
        <f>IFERROR(__xludf.DUMMYFUNCTION("""COMPUTED_VALUE"""),0.0)</f>
        <v>0</v>
      </c>
      <c r="E40" s="26">
        <f>IFERROR(__xludf.DUMMYFUNCTION("""COMPUTED_VALUE"""),0.0)</f>
        <v>0</v>
      </c>
      <c r="F40" s="26">
        <f>IFERROR(__xludf.DUMMYFUNCTION("""COMPUTED_VALUE"""),0.0)</f>
        <v>0</v>
      </c>
      <c r="G40" s="26">
        <f>IFERROR(__xludf.DUMMYFUNCTION("""COMPUTED_VALUE"""),0.0)</f>
        <v>0</v>
      </c>
      <c r="H40" s="26">
        <f>IFERROR(__xludf.DUMMYFUNCTION("""COMPUTED_VALUE"""),0.0)</f>
        <v>0</v>
      </c>
      <c r="I40" s="26">
        <f>IFERROR(__xludf.DUMMYFUNCTION("""COMPUTED_VALUE"""),0.0)</f>
        <v>0</v>
      </c>
      <c r="J40" s="26">
        <f>IFERROR(__xludf.DUMMYFUNCTION("""COMPUTED_VALUE"""),0.0)</f>
        <v>0</v>
      </c>
      <c r="K40" s="26">
        <f>IFERROR(__xludf.DUMMYFUNCTION("""COMPUTED_VALUE"""),0.0)</f>
        <v>0</v>
      </c>
      <c r="L40" s="26"/>
      <c r="M40" s="26"/>
      <c r="N40" s="26"/>
      <c r="O40" s="26"/>
      <c r="P40" s="26"/>
      <c r="Q40" s="26"/>
      <c r="R40" s="26">
        <f>IFERROR(__xludf.DUMMYFUNCTION("""COMPUTED_VALUE"""),0.0)</f>
        <v>0</v>
      </c>
      <c r="S40" s="26">
        <f>IFERROR(__xludf.DUMMYFUNCTION("""COMPUTED_VALUE"""),0.0)</f>
        <v>0</v>
      </c>
      <c r="T40" s="26">
        <f>IFERROR(__xludf.DUMMYFUNCTION("""COMPUTED_VALUE"""),0.0)</f>
        <v>0</v>
      </c>
      <c r="U40" s="26">
        <f>IFERROR(__xludf.DUMMYFUNCTION("""COMPUTED_VALUE"""),0.0)</f>
        <v>0</v>
      </c>
      <c r="V40" s="26">
        <f>IFERROR(__xludf.DUMMYFUNCTION("""COMPUTED_VALUE"""),0.0)</f>
        <v>0</v>
      </c>
      <c r="W40" s="26">
        <f>IFERROR(__xludf.DUMMYFUNCTION("""COMPUTED_VALUE"""),0.0)</f>
        <v>0</v>
      </c>
      <c r="X40" s="26">
        <f>IFERROR(__xludf.DUMMYFUNCTION("""COMPUTED_VALUE"""),0.0)</f>
        <v>0</v>
      </c>
      <c r="Y40" s="26">
        <f>IFERROR(__xludf.DUMMYFUNCTION("""COMPUTED_VALUE"""),0.0)</f>
        <v>0</v>
      </c>
      <c r="Z40" s="26">
        <f>IFERROR(__xludf.DUMMYFUNCTION("""COMPUTED_VALUE"""),0.0)</f>
        <v>0</v>
      </c>
      <c r="AA40" s="26">
        <f>IFERROR(__xludf.DUMMYFUNCTION("""COMPUTED_VALUE"""),0.0)</f>
        <v>0</v>
      </c>
      <c r="AB40" s="26">
        <f>IFERROR(__xludf.DUMMYFUNCTION("""COMPUTED_VALUE"""),0.0)</f>
        <v>0</v>
      </c>
      <c r="AC40" s="26">
        <f>IFERROR(__xludf.DUMMYFUNCTION("""COMPUTED_VALUE"""),0.0)</f>
        <v>0</v>
      </c>
      <c r="AD40" s="26">
        <f>IFERROR(__xludf.DUMMYFUNCTION("""COMPUTED_VALUE"""),0.0)</f>
        <v>0</v>
      </c>
      <c r="AE40" s="26">
        <f>IFERROR(__xludf.DUMMYFUNCTION("""COMPUTED_VALUE"""),0.0)</f>
        <v>0</v>
      </c>
    </row>
    <row r="41">
      <c r="A41" s="26">
        <f>IFERROR(__xludf.DUMMYFUNCTION("""COMPUTED_VALUE"""),0.0)</f>
        <v>0</v>
      </c>
      <c r="B41" s="26">
        <f>IFERROR(__xludf.DUMMYFUNCTION("""COMPUTED_VALUE"""),0.0)</f>
        <v>0</v>
      </c>
      <c r="C41" s="26">
        <f>IFERROR(__xludf.DUMMYFUNCTION("""COMPUTED_VALUE"""),0.0)</f>
        <v>0</v>
      </c>
      <c r="D41" s="26">
        <f>IFERROR(__xludf.DUMMYFUNCTION("""COMPUTED_VALUE"""),0.0)</f>
        <v>0</v>
      </c>
      <c r="E41" s="26">
        <f>IFERROR(__xludf.DUMMYFUNCTION("""COMPUTED_VALUE"""),0.0)</f>
        <v>0</v>
      </c>
      <c r="F41" s="26">
        <f>IFERROR(__xludf.DUMMYFUNCTION("""COMPUTED_VALUE"""),0.0)</f>
        <v>0</v>
      </c>
      <c r="G41" s="26">
        <f>IFERROR(__xludf.DUMMYFUNCTION("""COMPUTED_VALUE"""),0.0)</f>
        <v>0</v>
      </c>
      <c r="H41" s="26">
        <f>IFERROR(__xludf.DUMMYFUNCTION("""COMPUTED_VALUE"""),0.0)</f>
        <v>0</v>
      </c>
      <c r="I41" s="26">
        <f>IFERROR(__xludf.DUMMYFUNCTION("""COMPUTED_VALUE"""),0.0)</f>
        <v>0</v>
      </c>
      <c r="J41" s="26">
        <f>IFERROR(__xludf.DUMMYFUNCTION("""COMPUTED_VALUE"""),0.0)</f>
        <v>0</v>
      </c>
      <c r="K41" s="26">
        <f>IFERROR(__xludf.DUMMYFUNCTION("""COMPUTED_VALUE"""),0.0)</f>
        <v>0</v>
      </c>
      <c r="L41" s="26"/>
      <c r="M41" s="26"/>
      <c r="N41" s="26"/>
      <c r="O41" s="26"/>
      <c r="P41" s="26"/>
      <c r="Q41" s="26"/>
      <c r="R41" s="26">
        <f>IFERROR(__xludf.DUMMYFUNCTION("""COMPUTED_VALUE"""),0.0)</f>
        <v>0</v>
      </c>
      <c r="S41" s="26">
        <f>IFERROR(__xludf.DUMMYFUNCTION("""COMPUTED_VALUE"""),0.0)</f>
        <v>0</v>
      </c>
      <c r="T41" s="26">
        <f>IFERROR(__xludf.DUMMYFUNCTION("""COMPUTED_VALUE"""),0.0)</f>
        <v>0</v>
      </c>
      <c r="U41" s="26">
        <f>IFERROR(__xludf.DUMMYFUNCTION("""COMPUTED_VALUE"""),0.0)</f>
        <v>0</v>
      </c>
      <c r="V41" s="26">
        <f>IFERROR(__xludf.DUMMYFUNCTION("""COMPUTED_VALUE"""),0.0)</f>
        <v>0</v>
      </c>
      <c r="W41" s="26">
        <f>IFERROR(__xludf.DUMMYFUNCTION("""COMPUTED_VALUE"""),0.0)</f>
        <v>0</v>
      </c>
      <c r="X41" s="26">
        <f>IFERROR(__xludf.DUMMYFUNCTION("""COMPUTED_VALUE"""),0.0)</f>
        <v>0</v>
      </c>
      <c r="Y41" s="26">
        <f>IFERROR(__xludf.DUMMYFUNCTION("""COMPUTED_VALUE"""),0.0)</f>
        <v>0</v>
      </c>
      <c r="Z41" s="26">
        <f>IFERROR(__xludf.DUMMYFUNCTION("""COMPUTED_VALUE"""),0.0)</f>
        <v>0</v>
      </c>
      <c r="AA41" s="26">
        <f>IFERROR(__xludf.DUMMYFUNCTION("""COMPUTED_VALUE"""),0.0)</f>
        <v>0</v>
      </c>
      <c r="AB41" s="26">
        <f>IFERROR(__xludf.DUMMYFUNCTION("""COMPUTED_VALUE"""),0.0)</f>
        <v>0</v>
      </c>
      <c r="AC41" s="26">
        <f>IFERROR(__xludf.DUMMYFUNCTION("""COMPUTED_VALUE"""),0.0)</f>
        <v>0</v>
      </c>
      <c r="AD41" s="26">
        <f>IFERROR(__xludf.DUMMYFUNCTION("""COMPUTED_VALUE"""),0.0)</f>
        <v>0</v>
      </c>
      <c r="AE41" s="26">
        <f>IFERROR(__xludf.DUMMYFUNCTION("""COMPUTED_VALUE"""),0.0)</f>
        <v>0</v>
      </c>
    </row>
    <row r="42">
      <c r="A42" s="26">
        <f>IFERROR(__xludf.DUMMYFUNCTION("""COMPUTED_VALUE"""),0.0)</f>
        <v>0</v>
      </c>
      <c r="B42" s="26">
        <f>IFERROR(__xludf.DUMMYFUNCTION("""COMPUTED_VALUE"""),0.0)</f>
        <v>0</v>
      </c>
      <c r="C42" s="26">
        <f>IFERROR(__xludf.DUMMYFUNCTION("""COMPUTED_VALUE"""),0.0)</f>
        <v>0</v>
      </c>
      <c r="D42" s="26">
        <f>IFERROR(__xludf.DUMMYFUNCTION("""COMPUTED_VALUE"""),0.0)</f>
        <v>0</v>
      </c>
      <c r="E42" s="26">
        <f>IFERROR(__xludf.DUMMYFUNCTION("""COMPUTED_VALUE"""),0.0)</f>
        <v>0</v>
      </c>
      <c r="F42" s="26">
        <f>IFERROR(__xludf.DUMMYFUNCTION("""COMPUTED_VALUE"""),0.0)</f>
        <v>0</v>
      </c>
      <c r="G42" s="26">
        <f>IFERROR(__xludf.DUMMYFUNCTION("""COMPUTED_VALUE"""),0.0)</f>
        <v>0</v>
      </c>
      <c r="H42" s="26">
        <f>IFERROR(__xludf.DUMMYFUNCTION("""COMPUTED_VALUE"""),0.0)</f>
        <v>0</v>
      </c>
      <c r="I42" s="26">
        <f>IFERROR(__xludf.DUMMYFUNCTION("""COMPUTED_VALUE"""),0.0)</f>
        <v>0</v>
      </c>
      <c r="J42" s="26">
        <f>IFERROR(__xludf.DUMMYFUNCTION("""COMPUTED_VALUE"""),0.0)</f>
        <v>0</v>
      </c>
      <c r="K42" s="26">
        <f>IFERROR(__xludf.DUMMYFUNCTION("""COMPUTED_VALUE"""),0.0)</f>
        <v>0</v>
      </c>
      <c r="L42" s="26"/>
      <c r="M42" s="26"/>
      <c r="N42" s="26"/>
      <c r="O42" s="26"/>
      <c r="P42" s="26"/>
      <c r="Q42" s="26"/>
      <c r="R42" s="26">
        <f>IFERROR(__xludf.DUMMYFUNCTION("""COMPUTED_VALUE"""),0.0)</f>
        <v>0</v>
      </c>
      <c r="S42" s="26">
        <f>IFERROR(__xludf.DUMMYFUNCTION("""COMPUTED_VALUE"""),0.0)</f>
        <v>0</v>
      </c>
      <c r="T42" s="26">
        <f>IFERROR(__xludf.DUMMYFUNCTION("""COMPUTED_VALUE"""),0.0)</f>
        <v>0</v>
      </c>
      <c r="U42" s="26">
        <f>IFERROR(__xludf.DUMMYFUNCTION("""COMPUTED_VALUE"""),0.0)</f>
        <v>0</v>
      </c>
      <c r="V42" s="26">
        <f>IFERROR(__xludf.DUMMYFUNCTION("""COMPUTED_VALUE"""),0.0)</f>
        <v>0</v>
      </c>
      <c r="W42" s="26">
        <f>IFERROR(__xludf.DUMMYFUNCTION("""COMPUTED_VALUE"""),0.0)</f>
        <v>0</v>
      </c>
      <c r="X42" s="26">
        <f>IFERROR(__xludf.DUMMYFUNCTION("""COMPUTED_VALUE"""),0.0)</f>
        <v>0</v>
      </c>
      <c r="Y42" s="26">
        <f>IFERROR(__xludf.DUMMYFUNCTION("""COMPUTED_VALUE"""),0.0)</f>
        <v>0</v>
      </c>
      <c r="Z42" s="26">
        <f>IFERROR(__xludf.DUMMYFUNCTION("""COMPUTED_VALUE"""),0.0)</f>
        <v>0</v>
      </c>
      <c r="AA42" s="26">
        <f>IFERROR(__xludf.DUMMYFUNCTION("""COMPUTED_VALUE"""),0.0)</f>
        <v>0</v>
      </c>
      <c r="AB42" s="26">
        <f>IFERROR(__xludf.DUMMYFUNCTION("""COMPUTED_VALUE"""),0.0)</f>
        <v>0</v>
      </c>
      <c r="AC42" s="26">
        <f>IFERROR(__xludf.DUMMYFUNCTION("""COMPUTED_VALUE"""),0.0)</f>
        <v>0</v>
      </c>
      <c r="AD42" s="26">
        <f>IFERROR(__xludf.DUMMYFUNCTION("""COMPUTED_VALUE"""),0.0)</f>
        <v>0</v>
      </c>
      <c r="AE42" s="26">
        <f>IFERROR(__xludf.DUMMYFUNCTION("""COMPUTED_VALUE"""),0.0)</f>
        <v>0</v>
      </c>
    </row>
    <row r="43">
      <c r="A43" s="26">
        <f>IFERROR(__xludf.DUMMYFUNCTION("""COMPUTED_VALUE"""),0.0)</f>
        <v>0</v>
      </c>
      <c r="B43" s="26">
        <f>IFERROR(__xludf.DUMMYFUNCTION("""COMPUTED_VALUE"""),0.0)</f>
        <v>0</v>
      </c>
      <c r="C43" s="26">
        <f>IFERROR(__xludf.DUMMYFUNCTION("""COMPUTED_VALUE"""),0.0)</f>
        <v>0</v>
      </c>
      <c r="D43" s="26">
        <f>IFERROR(__xludf.DUMMYFUNCTION("""COMPUTED_VALUE"""),0.0)</f>
        <v>0</v>
      </c>
      <c r="E43" s="26">
        <f>IFERROR(__xludf.DUMMYFUNCTION("""COMPUTED_VALUE"""),0.0)</f>
        <v>0</v>
      </c>
      <c r="F43" s="26">
        <f>IFERROR(__xludf.DUMMYFUNCTION("""COMPUTED_VALUE"""),0.0)</f>
        <v>0</v>
      </c>
      <c r="G43" s="26">
        <f>IFERROR(__xludf.DUMMYFUNCTION("""COMPUTED_VALUE"""),0.0)</f>
        <v>0</v>
      </c>
      <c r="H43" s="26">
        <f>IFERROR(__xludf.DUMMYFUNCTION("""COMPUTED_VALUE"""),0.0)</f>
        <v>0</v>
      </c>
      <c r="I43" s="26">
        <f>IFERROR(__xludf.DUMMYFUNCTION("""COMPUTED_VALUE"""),0.0)</f>
        <v>0</v>
      </c>
      <c r="J43" s="26">
        <f>IFERROR(__xludf.DUMMYFUNCTION("""COMPUTED_VALUE"""),0.0)</f>
        <v>0</v>
      </c>
      <c r="K43" s="26">
        <f>IFERROR(__xludf.DUMMYFUNCTION("""COMPUTED_VALUE"""),0.0)</f>
        <v>0</v>
      </c>
      <c r="L43" s="26"/>
      <c r="M43" s="26"/>
      <c r="N43" s="26"/>
      <c r="O43" s="26"/>
      <c r="P43" s="26"/>
      <c r="Q43" s="26"/>
      <c r="R43" s="26">
        <f>IFERROR(__xludf.DUMMYFUNCTION("""COMPUTED_VALUE"""),0.0)</f>
        <v>0</v>
      </c>
      <c r="S43" s="26">
        <f>IFERROR(__xludf.DUMMYFUNCTION("""COMPUTED_VALUE"""),0.0)</f>
        <v>0</v>
      </c>
      <c r="T43" s="26">
        <f>IFERROR(__xludf.DUMMYFUNCTION("""COMPUTED_VALUE"""),0.0)</f>
        <v>0</v>
      </c>
      <c r="U43" s="26">
        <f>IFERROR(__xludf.DUMMYFUNCTION("""COMPUTED_VALUE"""),0.0)</f>
        <v>0</v>
      </c>
      <c r="V43" s="26">
        <f>IFERROR(__xludf.DUMMYFUNCTION("""COMPUTED_VALUE"""),0.0)</f>
        <v>0</v>
      </c>
      <c r="W43" s="26">
        <f>IFERROR(__xludf.DUMMYFUNCTION("""COMPUTED_VALUE"""),0.0)</f>
        <v>0</v>
      </c>
      <c r="X43" s="26">
        <f>IFERROR(__xludf.DUMMYFUNCTION("""COMPUTED_VALUE"""),0.0)</f>
        <v>0</v>
      </c>
      <c r="Y43" s="26">
        <f>IFERROR(__xludf.DUMMYFUNCTION("""COMPUTED_VALUE"""),0.0)</f>
        <v>0</v>
      </c>
      <c r="Z43" s="26">
        <f>IFERROR(__xludf.DUMMYFUNCTION("""COMPUTED_VALUE"""),0.0)</f>
        <v>0</v>
      </c>
      <c r="AA43" s="26">
        <f>IFERROR(__xludf.DUMMYFUNCTION("""COMPUTED_VALUE"""),0.0)</f>
        <v>0</v>
      </c>
      <c r="AB43" s="26">
        <f>IFERROR(__xludf.DUMMYFUNCTION("""COMPUTED_VALUE"""),0.0)</f>
        <v>0</v>
      </c>
      <c r="AC43" s="26">
        <f>IFERROR(__xludf.DUMMYFUNCTION("""COMPUTED_VALUE"""),0.0)</f>
        <v>0</v>
      </c>
      <c r="AD43" s="26">
        <f>IFERROR(__xludf.DUMMYFUNCTION("""COMPUTED_VALUE"""),0.0)</f>
        <v>0</v>
      </c>
      <c r="AE43" s="26">
        <f>IFERROR(__xludf.DUMMYFUNCTION("""COMPUTED_VALUE"""),0.0)</f>
        <v>0</v>
      </c>
    </row>
    <row r="44">
      <c r="A44" s="26">
        <f>IFERROR(__xludf.DUMMYFUNCTION("""COMPUTED_VALUE"""),1377.0)</f>
        <v>1377</v>
      </c>
      <c r="B44" s="26">
        <f>IFERROR(__xludf.DUMMYFUNCTION("""COMPUTED_VALUE"""),0.0)</f>
        <v>0</v>
      </c>
      <c r="C44" s="26">
        <f>IFERROR(__xludf.DUMMYFUNCTION("""COMPUTED_VALUE"""),0.0)</f>
        <v>0</v>
      </c>
      <c r="D44" s="26">
        <f>IFERROR(__xludf.DUMMYFUNCTION("""COMPUTED_VALUE"""),0.0)</f>
        <v>0</v>
      </c>
      <c r="E44" s="26">
        <f>IFERROR(__xludf.DUMMYFUNCTION("""COMPUTED_VALUE"""),1.0)</f>
        <v>1</v>
      </c>
      <c r="F44" s="26">
        <f>IFERROR(__xludf.DUMMYFUNCTION("""COMPUTED_VALUE"""),0.0)</f>
        <v>0</v>
      </c>
      <c r="G44" s="26">
        <f>IFERROR(__xludf.DUMMYFUNCTION("""COMPUTED_VALUE"""),0.0)</f>
        <v>0</v>
      </c>
      <c r="H44" s="26">
        <f>IFERROR(__xludf.DUMMYFUNCTION("""COMPUTED_VALUE"""),0.0)</f>
        <v>0</v>
      </c>
      <c r="I44" s="26">
        <f>IFERROR(__xludf.DUMMYFUNCTION("""COMPUTED_VALUE"""),0.0)</f>
        <v>0</v>
      </c>
      <c r="J44" s="26">
        <f>IFERROR(__xludf.DUMMYFUNCTION("""COMPUTED_VALUE"""),0.0)</f>
        <v>0</v>
      </c>
      <c r="K44" s="26">
        <f>IFERROR(__xludf.DUMMYFUNCTION("""COMPUTED_VALUE"""),0.0)</f>
        <v>0</v>
      </c>
      <c r="L44" s="26"/>
      <c r="M44" s="26"/>
      <c r="N44" s="26"/>
      <c r="O44" s="26"/>
      <c r="P44" s="26"/>
      <c r="Q44" s="26"/>
      <c r="R44" s="26">
        <f>IFERROR(__xludf.DUMMYFUNCTION("""COMPUTED_VALUE"""),638172.0)</f>
        <v>638172</v>
      </c>
      <c r="S44" s="26">
        <f>IFERROR(__xludf.DUMMYFUNCTION("""COMPUTED_VALUE"""),282745.0)</f>
        <v>282745</v>
      </c>
      <c r="T44" s="26">
        <f>IFERROR(__xludf.DUMMYFUNCTION("""COMPUTED_VALUE"""),74.74)</f>
        <v>74.74</v>
      </c>
      <c r="U44" s="26">
        <f>IFERROR(__xludf.DUMMYFUNCTION("""COMPUTED_VALUE"""),74.74)</f>
        <v>74.74</v>
      </c>
      <c r="V44" s="26">
        <f>IFERROR(__xludf.DUMMYFUNCTION("""COMPUTED_VALUE"""),97202.39999999997)</f>
        <v>97202.4</v>
      </c>
      <c r="W44" s="26">
        <f>IFERROR(__xludf.DUMMYFUNCTION("""COMPUTED_VALUE"""),0.0)</f>
        <v>0</v>
      </c>
      <c r="X44" s="26">
        <f>IFERROR(__xludf.DUMMYFUNCTION("""COMPUTED_VALUE"""),0.0)</f>
        <v>0</v>
      </c>
      <c r="Y44" s="26">
        <f>IFERROR(__xludf.DUMMYFUNCTION("""COMPUTED_VALUE"""),0.0)</f>
        <v>0</v>
      </c>
      <c r="Z44" s="26">
        <f>IFERROR(__xludf.DUMMYFUNCTION("""COMPUTED_VALUE"""),0.0)</f>
        <v>0</v>
      </c>
      <c r="AA44" s="26">
        <f>IFERROR(__xludf.DUMMYFUNCTION("""COMPUTED_VALUE"""),0.0)</f>
        <v>0</v>
      </c>
      <c r="AB44" s="26">
        <f>IFERROR(__xludf.DUMMYFUNCTION("""COMPUTED_VALUE"""),0.0)</f>
        <v>0</v>
      </c>
      <c r="AC44" s="26">
        <f>IFERROR(__xludf.DUMMYFUNCTION("""COMPUTED_VALUE"""),0.0)</f>
        <v>0</v>
      </c>
      <c r="AD44" s="26">
        <f>IFERROR(__xludf.DUMMYFUNCTION("""COMPUTED_VALUE"""),0.0)</f>
        <v>0</v>
      </c>
      <c r="AE44" s="26">
        <f>IFERROR(__xludf.DUMMYFUNCTION("""COMPUTED_VALUE"""),0.0)</f>
        <v>0</v>
      </c>
    </row>
    <row r="45">
      <c r="A45" s="26">
        <f>IFERROR(__xludf.DUMMYFUNCTION("""COMPUTED_VALUE"""),3.0)</f>
        <v>3</v>
      </c>
      <c r="B45" s="26">
        <f>IFERROR(__xludf.DUMMYFUNCTION("""COMPUTED_VALUE"""),0.0)</f>
        <v>0</v>
      </c>
      <c r="C45" s="26">
        <f>IFERROR(__xludf.DUMMYFUNCTION("""COMPUTED_VALUE"""),0.0)</f>
        <v>0</v>
      </c>
      <c r="D45" s="26">
        <f>IFERROR(__xludf.DUMMYFUNCTION("""COMPUTED_VALUE"""),0.0)</f>
        <v>0</v>
      </c>
      <c r="E45" s="26">
        <f>IFERROR(__xludf.DUMMYFUNCTION("""COMPUTED_VALUE"""),810.0)</f>
        <v>810</v>
      </c>
      <c r="F45" s="26">
        <f>IFERROR(__xludf.DUMMYFUNCTION("""COMPUTED_VALUE"""),0.0)</f>
        <v>0</v>
      </c>
      <c r="G45" s="26">
        <f>IFERROR(__xludf.DUMMYFUNCTION("""COMPUTED_VALUE"""),0.0)</f>
        <v>0</v>
      </c>
      <c r="H45" s="26">
        <f>IFERROR(__xludf.DUMMYFUNCTION("""COMPUTED_VALUE"""),0.0)</f>
        <v>0</v>
      </c>
      <c r="I45" s="26">
        <f>IFERROR(__xludf.DUMMYFUNCTION("""COMPUTED_VALUE"""),0.0)</f>
        <v>0</v>
      </c>
      <c r="J45" s="26">
        <f>IFERROR(__xludf.DUMMYFUNCTION("""COMPUTED_VALUE"""),3208.0)</f>
        <v>3208</v>
      </c>
      <c r="K45" s="26">
        <f>IFERROR(__xludf.DUMMYFUNCTION("""COMPUTED_VALUE"""),0.0)</f>
        <v>0</v>
      </c>
      <c r="L45" s="26"/>
      <c r="M45" s="26"/>
      <c r="N45" s="26"/>
      <c r="O45" s="26"/>
      <c r="P45" s="26"/>
      <c r="Q45" s="26"/>
      <c r="R45" s="26">
        <f>IFERROR(__xludf.DUMMYFUNCTION("""COMPUTED_VALUE"""),4687436.000000002)</f>
        <v>4687436</v>
      </c>
      <c r="S45" s="26">
        <f>IFERROR(__xludf.DUMMYFUNCTION("""COMPUTED_VALUE"""),1138073.0)</f>
        <v>1138073</v>
      </c>
      <c r="T45" s="26">
        <f>IFERROR(__xludf.DUMMYFUNCTION("""COMPUTED_VALUE"""),0.0)</f>
        <v>0</v>
      </c>
      <c r="U45" s="26">
        <f>IFERROR(__xludf.DUMMYFUNCTION("""COMPUTED_VALUE"""),0.0)</f>
        <v>0</v>
      </c>
      <c r="V45" s="26">
        <f>IFERROR(__xludf.DUMMYFUNCTION("""COMPUTED_VALUE"""),715027.1699999986)</f>
        <v>715027.17</v>
      </c>
      <c r="W45" s="26">
        <f>IFERROR(__xludf.DUMMYFUNCTION("""COMPUTED_VALUE"""),4686317.000000002)</f>
        <v>4686317</v>
      </c>
      <c r="X45" s="26">
        <f>IFERROR(__xludf.DUMMYFUNCTION("""COMPUTED_VALUE"""),1977219.3600000055)</f>
        <v>1977219.36</v>
      </c>
      <c r="Y45" s="26">
        <f>IFERROR(__xludf.DUMMYFUNCTION("""COMPUTED_VALUE"""),2822177.9799999995)</f>
        <v>2822177.98</v>
      </c>
      <c r="Z45" s="26">
        <f>IFERROR(__xludf.DUMMYFUNCTION("""COMPUTED_VALUE"""),0.0)</f>
        <v>0</v>
      </c>
      <c r="AA45" s="26">
        <f>IFERROR(__xludf.DUMMYFUNCTION("""COMPUTED_VALUE"""),124522.56999999953)</f>
        <v>124522.57</v>
      </c>
      <c r="AB45" s="26">
        <f>IFERROR(__xludf.DUMMYFUNCTION("""COMPUTED_VALUE"""),2709097.6399999894)</f>
        <v>2709097.64</v>
      </c>
      <c r="AC45" s="26">
        <f>IFERROR(__xludf.DUMMYFUNCTION("""COMPUTED_VALUE"""),-2855.0)</f>
        <v>-2855</v>
      </c>
      <c r="AD45" s="26">
        <f>IFERROR(__xludf.DUMMYFUNCTION("""COMPUTED_VALUE"""),4674834.0)</f>
        <v>4674834</v>
      </c>
      <c r="AE45" s="26">
        <f>IFERROR(__xludf.DUMMYFUNCTION("""COMPUTED_VALUE"""),0.0)</f>
        <v>0</v>
      </c>
    </row>
    <row r="46">
      <c r="A46" s="26">
        <f>IFERROR(__xludf.DUMMYFUNCTION("""COMPUTED_VALUE"""),1498.0)</f>
        <v>1498</v>
      </c>
      <c r="B46" s="26">
        <f>IFERROR(__xludf.DUMMYFUNCTION("""COMPUTED_VALUE"""),85.0)</f>
        <v>85</v>
      </c>
      <c r="C46" s="26">
        <f>IFERROR(__xludf.DUMMYFUNCTION("""COMPUTED_VALUE"""),4.0)</f>
        <v>4</v>
      </c>
      <c r="D46" s="26">
        <f>IFERROR(__xludf.DUMMYFUNCTION("""COMPUTED_VALUE"""),0.0)</f>
        <v>0</v>
      </c>
      <c r="E46" s="26">
        <f>IFERROR(__xludf.DUMMYFUNCTION("""COMPUTED_VALUE"""),690.0)</f>
        <v>690</v>
      </c>
      <c r="F46" s="26">
        <f>IFERROR(__xludf.DUMMYFUNCTION("""COMPUTED_VALUE"""),0.0)</f>
        <v>0</v>
      </c>
      <c r="G46" s="26">
        <f>IFERROR(__xludf.DUMMYFUNCTION("""COMPUTED_VALUE"""),0.0)</f>
        <v>0</v>
      </c>
      <c r="H46" s="26">
        <f>IFERROR(__xludf.DUMMYFUNCTION("""COMPUTED_VALUE"""),0.0)</f>
        <v>0</v>
      </c>
      <c r="I46" s="26">
        <f>IFERROR(__xludf.DUMMYFUNCTION("""COMPUTED_VALUE"""),0.0)</f>
        <v>0</v>
      </c>
      <c r="J46" s="26">
        <f>IFERROR(__xludf.DUMMYFUNCTION("""COMPUTED_VALUE"""),0.0)</f>
        <v>0</v>
      </c>
      <c r="K46" s="26">
        <f>IFERROR(__xludf.DUMMYFUNCTION("""COMPUTED_VALUE"""),0.0)</f>
        <v>0</v>
      </c>
      <c r="L46" s="26"/>
      <c r="M46" s="26"/>
      <c r="N46" s="26"/>
      <c r="O46" s="26"/>
      <c r="P46" s="26"/>
      <c r="Q46" s="26"/>
      <c r="R46" s="26">
        <f>IFERROR(__xludf.DUMMYFUNCTION("""COMPUTED_VALUE"""),700476.9200000034)</f>
        <v>700476.92</v>
      </c>
      <c r="S46" s="26">
        <f>IFERROR(__xludf.DUMMYFUNCTION("""COMPUTED_VALUE"""),593624.5)</f>
        <v>593624.5</v>
      </c>
      <c r="T46" s="26">
        <f>IFERROR(__xludf.DUMMYFUNCTION("""COMPUTED_VALUE"""),185.09)</f>
        <v>185.09</v>
      </c>
      <c r="U46" s="26">
        <f>IFERROR(__xludf.DUMMYFUNCTION("""COMPUTED_VALUE"""),185.09)</f>
        <v>185.09</v>
      </c>
      <c r="V46" s="26">
        <f>IFERROR(__xludf.DUMMYFUNCTION("""COMPUTED_VALUE"""),106482.24000000121)</f>
        <v>106482.24</v>
      </c>
      <c r="W46" s="26">
        <f>IFERROR(__xludf.DUMMYFUNCTION("""COMPUTED_VALUE"""),931342.750000003)</f>
        <v>931342.75</v>
      </c>
      <c r="X46" s="26">
        <f>IFERROR(__xludf.DUMMYFUNCTION("""COMPUTED_VALUE"""),931342.750000003)</f>
        <v>931342.75</v>
      </c>
      <c r="Y46" s="26">
        <f>IFERROR(__xludf.DUMMYFUNCTION("""COMPUTED_VALUE"""),0.0)</f>
        <v>0</v>
      </c>
      <c r="Z46" s="26">
        <f>IFERROR(__xludf.DUMMYFUNCTION("""COMPUTED_VALUE"""),0.0)</f>
        <v>0</v>
      </c>
      <c r="AA46" s="26">
        <f>IFERROR(__xludf.DUMMYFUNCTION("""COMPUTED_VALUE"""),0.0)</f>
        <v>0</v>
      </c>
      <c r="AB46" s="26">
        <f>IFERROR(__xludf.DUMMYFUNCTION("""COMPUTED_VALUE"""),0.0)</f>
        <v>0</v>
      </c>
      <c r="AC46" s="26">
        <f>IFERROR(__xludf.DUMMYFUNCTION("""COMPUTED_VALUE"""),-203416.0)</f>
        <v>-203416</v>
      </c>
      <c r="AD46" s="26">
        <f>IFERROR(__xludf.DUMMYFUNCTION("""COMPUTED_VALUE"""),800000.0)</f>
        <v>800000</v>
      </c>
      <c r="AE46" s="26">
        <f>IFERROR(__xludf.DUMMYFUNCTION("""COMPUTED_VALUE"""),0.0)</f>
        <v>0</v>
      </c>
    </row>
    <row r="47">
      <c r="A47" s="26">
        <f>IFERROR(__xludf.DUMMYFUNCTION("""COMPUTED_VALUE"""),176.0)</f>
        <v>176</v>
      </c>
      <c r="B47" s="26">
        <f>IFERROR(__xludf.DUMMYFUNCTION("""COMPUTED_VALUE"""),0.0)</f>
        <v>0</v>
      </c>
      <c r="C47" s="26">
        <f>IFERROR(__xludf.DUMMYFUNCTION("""COMPUTED_VALUE"""),0.0)</f>
        <v>0</v>
      </c>
      <c r="D47" s="26">
        <f>IFERROR(__xludf.DUMMYFUNCTION("""COMPUTED_VALUE"""),0.0)</f>
        <v>0</v>
      </c>
      <c r="E47" s="26">
        <f>IFERROR(__xludf.DUMMYFUNCTION("""COMPUTED_VALUE"""),501.0)</f>
        <v>501</v>
      </c>
      <c r="F47" s="26">
        <f>IFERROR(__xludf.DUMMYFUNCTION("""COMPUTED_VALUE"""),0.0)</f>
        <v>0</v>
      </c>
      <c r="G47" s="26">
        <f>IFERROR(__xludf.DUMMYFUNCTION("""COMPUTED_VALUE"""),0.0)</f>
        <v>0</v>
      </c>
      <c r="H47" s="26">
        <f>IFERROR(__xludf.DUMMYFUNCTION("""COMPUTED_VALUE"""),0.0)</f>
        <v>0</v>
      </c>
      <c r="I47" s="26">
        <f>IFERROR(__xludf.DUMMYFUNCTION("""COMPUTED_VALUE"""),0.0)</f>
        <v>0</v>
      </c>
      <c r="J47" s="26">
        <f>IFERROR(__xludf.DUMMYFUNCTION("""COMPUTED_VALUE"""),61.0)</f>
        <v>61</v>
      </c>
      <c r="K47" s="26">
        <f>IFERROR(__xludf.DUMMYFUNCTION("""COMPUTED_VALUE"""),0.0)</f>
        <v>0</v>
      </c>
      <c r="L47" s="26"/>
      <c r="M47" s="26"/>
      <c r="N47" s="26"/>
      <c r="O47" s="26"/>
      <c r="P47" s="26"/>
      <c r="Q47" s="26"/>
      <c r="R47" s="26">
        <f>IFERROR(__xludf.DUMMYFUNCTION("""COMPUTED_VALUE"""),882430.0)</f>
        <v>882430</v>
      </c>
      <c r="S47" s="26">
        <f>IFERROR(__xludf.DUMMYFUNCTION("""COMPUTED_VALUE"""),284230.0)</f>
        <v>284230</v>
      </c>
      <c r="T47" s="26">
        <f>IFERROR(__xludf.DUMMYFUNCTION("""COMPUTED_VALUE"""),0.0)</f>
        <v>0</v>
      </c>
      <c r="U47" s="26">
        <f>IFERROR(__xludf.DUMMYFUNCTION("""COMPUTED_VALUE"""),0.0)</f>
        <v>0</v>
      </c>
      <c r="V47" s="26">
        <f>IFERROR(__xludf.DUMMYFUNCTION("""COMPUTED_VALUE"""),134608.84999999963)</f>
        <v>134608.85</v>
      </c>
      <c r="W47" s="26">
        <f>IFERROR(__xludf.DUMMYFUNCTION("""COMPUTED_VALUE"""),900370.0)</f>
        <v>900370</v>
      </c>
      <c r="X47" s="26">
        <f>IFERROR(__xludf.DUMMYFUNCTION("""COMPUTED_VALUE"""),443158.37000000157)</f>
        <v>443158.37</v>
      </c>
      <c r="Y47" s="26">
        <f>IFERROR(__xludf.DUMMYFUNCTION("""COMPUTED_VALUE"""),461823.9199999978)</f>
        <v>461823.92</v>
      </c>
      <c r="Z47" s="26">
        <f>IFERROR(__xludf.DUMMYFUNCTION("""COMPUTED_VALUE"""),0.0)</f>
        <v>0</v>
      </c>
      <c r="AA47" s="26">
        <f>IFERROR(__xludf.DUMMYFUNCTION("""COMPUTED_VALUE"""),12153.00000000009)</f>
        <v>12153</v>
      </c>
      <c r="AB47" s="26">
        <f>IFERROR(__xludf.DUMMYFUNCTION("""COMPUTED_VALUE"""),457211.62999999785)</f>
        <v>457211.63</v>
      </c>
      <c r="AC47" s="26">
        <f>IFERROR(__xludf.DUMMYFUNCTION("""COMPUTED_VALUE"""),-43990.0)</f>
        <v>-43990</v>
      </c>
      <c r="AD47" s="26">
        <f>IFERROR(__xludf.DUMMYFUNCTION("""COMPUTED_VALUE"""),956010.0)</f>
        <v>956010</v>
      </c>
      <c r="AE47" s="26">
        <f>IFERROR(__xludf.DUMMYFUNCTION("""COMPUTED_VALUE"""),11922.0)</f>
        <v>11922</v>
      </c>
    </row>
    <row r="48">
      <c r="A48" s="26">
        <f>IFERROR(__xludf.DUMMYFUNCTION("""COMPUTED_VALUE"""),16.0)</f>
        <v>16</v>
      </c>
      <c r="B48" s="26">
        <f>IFERROR(__xludf.DUMMYFUNCTION("""COMPUTED_VALUE"""),3.0)</f>
        <v>3</v>
      </c>
      <c r="C48" s="26">
        <f>IFERROR(__xludf.DUMMYFUNCTION("""COMPUTED_VALUE"""),1.0)</f>
        <v>1</v>
      </c>
      <c r="D48" s="26">
        <f>IFERROR(__xludf.DUMMYFUNCTION("""COMPUTED_VALUE"""),0.0)</f>
        <v>0</v>
      </c>
      <c r="E48" s="26">
        <f>IFERROR(__xludf.DUMMYFUNCTION("""COMPUTED_VALUE"""),2245.0)</f>
        <v>2245</v>
      </c>
      <c r="F48" s="26">
        <f>IFERROR(__xludf.DUMMYFUNCTION("""COMPUTED_VALUE"""),0.0)</f>
        <v>0</v>
      </c>
      <c r="G48" s="26">
        <f>IFERROR(__xludf.DUMMYFUNCTION("""COMPUTED_VALUE"""),0.0)</f>
        <v>0</v>
      </c>
      <c r="H48" s="26">
        <f>IFERROR(__xludf.DUMMYFUNCTION("""COMPUTED_VALUE"""),0.0)</f>
        <v>0</v>
      </c>
      <c r="I48" s="26">
        <f>IFERROR(__xludf.DUMMYFUNCTION("""COMPUTED_VALUE"""),0.0)</f>
        <v>0</v>
      </c>
      <c r="J48" s="26">
        <f>IFERROR(__xludf.DUMMYFUNCTION("""COMPUTED_VALUE"""),0.0)</f>
        <v>0</v>
      </c>
      <c r="K48" s="26">
        <f>IFERROR(__xludf.DUMMYFUNCTION("""COMPUTED_VALUE"""),0.0)</f>
        <v>0</v>
      </c>
      <c r="L48" s="26"/>
      <c r="M48" s="26"/>
      <c r="N48" s="26"/>
      <c r="O48" s="26"/>
      <c r="P48" s="26"/>
      <c r="Q48" s="26"/>
      <c r="R48" s="26">
        <f>IFERROR(__xludf.DUMMYFUNCTION("""COMPUTED_VALUE"""),3495911.8)</f>
        <v>3495911.8</v>
      </c>
      <c r="S48" s="26">
        <f>IFERROR(__xludf.DUMMYFUNCTION("""COMPUTED_VALUE"""),1036885.0)</f>
        <v>1036885</v>
      </c>
      <c r="T48" s="26">
        <f>IFERROR(__xludf.DUMMYFUNCTION("""COMPUTED_VALUE"""),0.0)</f>
        <v>0</v>
      </c>
      <c r="U48" s="26">
        <f>IFERROR(__xludf.DUMMYFUNCTION("""COMPUTED_VALUE"""),0.0)</f>
        <v>0</v>
      </c>
      <c r="V48" s="26">
        <f>IFERROR(__xludf.DUMMYFUNCTION("""COMPUTED_VALUE"""),533271.1800000018)</f>
        <v>533271.18</v>
      </c>
      <c r="W48" s="26">
        <f>IFERROR(__xludf.DUMMYFUNCTION("""COMPUTED_VALUE"""),3470660.92)</f>
        <v>3470660.92</v>
      </c>
      <c r="X48" s="26">
        <f>IFERROR(__xludf.DUMMYFUNCTION("""COMPUTED_VALUE"""),1645486.2100000062)</f>
        <v>1645486.21</v>
      </c>
      <c r="Y48" s="26">
        <f>IFERROR(__xludf.DUMMYFUNCTION("""COMPUTED_VALUE"""),1911784.5599999935)</f>
        <v>1911784.56</v>
      </c>
      <c r="Z48" s="26">
        <f>IFERROR(__xludf.DUMMYFUNCTION("""COMPUTED_VALUE"""),25250.88)</f>
        <v>25250.88</v>
      </c>
      <c r="AA48" s="26">
        <f>IFERROR(__xludf.DUMMYFUNCTION("""COMPUTED_VALUE"""),75330.04000000012)</f>
        <v>75330.04</v>
      </c>
      <c r="AB48" s="26">
        <f>IFERROR(__xludf.DUMMYFUNCTION("""COMPUTED_VALUE"""),1825174.7099999916)</f>
        <v>1825174.71</v>
      </c>
      <c r="AC48" s="26">
        <f>IFERROR(__xludf.DUMMYFUNCTION("""COMPUTED_VALUE"""),-192654.0)</f>
        <v>-192654</v>
      </c>
      <c r="AD48" s="26">
        <f>IFERROR(__xludf.DUMMYFUNCTION("""COMPUTED_VALUE"""),3603346.0)</f>
        <v>3603346</v>
      </c>
      <c r="AE48" s="26">
        <f>IFERROR(__xludf.DUMMYFUNCTION("""COMPUTED_VALUE"""),-150000.0)</f>
        <v>-150000</v>
      </c>
    </row>
    <row r="49">
      <c r="A49" s="26">
        <f>IFERROR(__xludf.DUMMYFUNCTION("""COMPUTED_VALUE"""),2.0)</f>
        <v>2</v>
      </c>
      <c r="B49" s="26">
        <f>IFERROR(__xludf.DUMMYFUNCTION("""COMPUTED_VALUE"""),0.0)</f>
        <v>0</v>
      </c>
      <c r="C49" s="26">
        <f>IFERROR(__xludf.DUMMYFUNCTION("""COMPUTED_VALUE"""),1.0)</f>
        <v>1</v>
      </c>
      <c r="D49" s="26">
        <f>IFERROR(__xludf.DUMMYFUNCTION("""COMPUTED_VALUE"""),0.0)</f>
        <v>0</v>
      </c>
      <c r="E49" s="26">
        <f>IFERROR(__xludf.DUMMYFUNCTION("""COMPUTED_VALUE"""),1324.0)</f>
        <v>1324</v>
      </c>
      <c r="F49" s="26">
        <f>IFERROR(__xludf.DUMMYFUNCTION("""COMPUTED_VALUE"""),0.0)</f>
        <v>0</v>
      </c>
      <c r="G49" s="26">
        <f>IFERROR(__xludf.DUMMYFUNCTION("""COMPUTED_VALUE"""),0.0)</f>
        <v>0</v>
      </c>
      <c r="H49" s="26">
        <f>IFERROR(__xludf.DUMMYFUNCTION("""COMPUTED_VALUE"""),0.0)</f>
        <v>0</v>
      </c>
      <c r="I49" s="26">
        <f>IFERROR(__xludf.DUMMYFUNCTION("""COMPUTED_VALUE"""),0.0)</f>
        <v>0</v>
      </c>
      <c r="J49" s="26">
        <f>IFERROR(__xludf.DUMMYFUNCTION("""COMPUTED_VALUE"""),0.0)</f>
        <v>0</v>
      </c>
      <c r="K49" s="26">
        <f>IFERROR(__xludf.DUMMYFUNCTION("""COMPUTED_VALUE"""),0.0)</f>
        <v>0</v>
      </c>
      <c r="L49" s="26"/>
      <c r="M49" s="26"/>
      <c r="N49" s="26"/>
      <c r="O49" s="26"/>
      <c r="P49" s="26"/>
      <c r="Q49" s="26"/>
      <c r="R49" s="26">
        <f>IFERROR(__xludf.DUMMYFUNCTION("""COMPUTED_VALUE"""),1927302.0)</f>
        <v>1927302</v>
      </c>
      <c r="S49" s="26">
        <f>IFERROR(__xludf.DUMMYFUNCTION("""COMPUTED_VALUE"""),545440.0)</f>
        <v>545440</v>
      </c>
      <c r="T49" s="26">
        <f>IFERROR(__xludf.DUMMYFUNCTION("""COMPUTED_VALUE"""),0.0)</f>
        <v>0</v>
      </c>
      <c r="U49" s="26">
        <f>IFERROR(__xludf.DUMMYFUNCTION("""COMPUTED_VALUE"""),0.0)</f>
        <v>0</v>
      </c>
      <c r="V49" s="26">
        <f>IFERROR(__xludf.DUMMYFUNCTION("""COMPUTED_VALUE"""),293997.2400000002)</f>
        <v>293997.24</v>
      </c>
      <c r="W49" s="26">
        <f>IFERROR(__xludf.DUMMYFUNCTION("""COMPUTED_VALUE"""),1927302.0)</f>
        <v>1927302</v>
      </c>
      <c r="X49" s="26">
        <f>IFERROR(__xludf.DUMMYFUNCTION("""COMPUTED_VALUE"""),885901.569999998)</f>
        <v>885901.57</v>
      </c>
      <c r="Y49" s="26">
        <f>IFERROR(__xludf.DUMMYFUNCTION("""COMPUTED_VALUE"""),1082577.2300000018)</f>
        <v>1082577.23</v>
      </c>
      <c r="Z49" s="26">
        <f>IFERROR(__xludf.DUMMYFUNCTION("""COMPUTED_VALUE"""),0.0)</f>
        <v>0</v>
      </c>
      <c r="AA49" s="26">
        <f>IFERROR(__xludf.DUMMYFUNCTION("""COMPUTED_VALUE"""),46464.3300000001)</f>
        <v>46464.33</v>
      </c>
      <c r="AB49" s="26">
        <f>IFERROR(__xludf.DUMMYFUNCTION("""COMPUTED_VALUE"""),1041400.4300000031)</f>
        <v>1041400.43</v>
      </c>
      <c r="AC49" s="26">
        <f>IFERROR(__xludf.DUMMYFUNCTION("""COMPUTED_VALUE"""),0.0)</f>
        <v>0</v>
      </c>
      <c r="AD49" s="26">
        <f>IFERROR(__xludf.DUMMYFUNCTION("""COMPUTED_VALUE"""),1766382.0)</f>
        <v>1766382</v>
      </c>
      <c r="AE49" s="26">
        <f>IFERROR(__xludf.DUMMYFUNCTION("""COMPUTED_VALUE"""),2506.5)</f>
        <v>2506.5</v>
      </c>
    </row>
    <row r="50">
      <c r="A50" s="26">
        <f>IFERROR(__xludf.DUMMYFUNCTION("""COMPUTED_VALUE"""),0.0)</f>
        <v>0</v>
      </c>
      <c r="B50" s="26">
        <f>IFERROR(__xludf.DUMMYFUNCTION("""COMPUTED_VALUE"""),0.0)</f>
        <v>0</v>
      </c>
      <c r="C50" s="26">
        <f>IFERROR(__xludf.DUMMYFUNCTION("""COMPUTED_VALUE"""),0.0)</f>
        <v>0</v>
      </c>
      <c r="D50" s="26">
        <f>IFERROR(__xludf.DUMMYFUNCTION("""COMPUTED_VALUE"""),0.0)</f>
        <v>0</v>
      </c>
      <c r="E50" s="26">
        <f>IFERROR(__xludf.DUMMYFUNCTION("""COMPUTED_VALUE"""),0.0)</f>
        <v>0</v>
      </c>
      <c r="F50" s="26">
        <f>IFERROR(__xludf.DUMMYFUNCTION("""COMPUTED_VALUE"""),0.0)</f>
        <v>0</v>
      </c>
      <c r="G50" s="26">
        <f>IFERROR(__xludf.DUMMYFUNCTION("""COMPUTED_VALUE"""),0.0)</f>
        <v>0</v>
      </c>
      <c r="H50" s="26">
        <f>IFERROR(__xludf.DUMMYFUNCTION("""COMPUTED_VALUE"""),0.0)</f>
        <v>0</v>
      </c>
      <c r="I50" s="26">
        <f>IFERROR(__xludf.DUMMYFUNCTION("""COMPUTED_VALUE"""),0.0)</f>
        <v>0</v>
      </c>
      <c r="J50" s="26">
        <f>IFERROR(__xludf.DUMMYFUNCTION("""COMPUTED_VALUE"""),0.0)</f>
        <v>0</v>
      </c>
      <c r="K50" s="26">
        <f>IFERROR(__xludf.DUMMYFUNCTION("""COMPUTED_VALUE"""),0.0)</f>
        <v>0</v>
      </c>
      <c r="L50" s="26"/>
      <c r="M50" s="26"/>
      <c r="N50" s="26"/>
      <c r="O50" s="26"/>
      <c r="P50" s="26"/>
      <c r="Q50" s="26"/>
      <c r="R50" s="26">
        <f>IFERROR(__xludf.DUMMYFUNCTION("""COMPUTED_VALUE"""),0.0)</f>
        <v>0</v>
      </c>
      <c r="S50" s="26">
        <f>IFERROR(__xludf.DUMMYFUNCTION("""COMPUTED_VALUE"""),0.0)</f>
        <v>0</v>
      </c>
      <c r="T50" s="26">
        <f>IFERROR(__xludf.DUMMYFUNCTION("""COMPUTED_VALUE"""),0.0)</f>
        <v>0</v>
      </c>
      <c r="U50" s="26">
        <f>IFERROR(__xludf.DUMMYFUNCTION("""COMPUTED_VALUE"""),0.0)</f>
        <v>0</v>
      </c>
      <c r="V50" s="26">
        <f>IFERROR(__xludf.DUMMYFUNCTION("""COMPUTED_VALUE"""),0.0)</f>
        <v>0</v>
      </c>
      <c r="W50" s="26">
        <f>IFERROR(__xludf.DUMMYFUNCTION("""COMPUTED_VALUE"""),0.0)</f>
        <v>0</v>
      </c>
      <c r="X50" s="26">
        <f>IFERROR(__xludf.DUMMYFUNCTION("""COMPUTED_VALUE"""),0.0)</f>
        <v>0</v>
      </c>
      <c r="Y50" s="26">
        <f>IFERROR(__xludf.DUMMYFUNCTION("""COMPUTED_VALUE"""),0.0)</f>
        <v>0</v>
      </c>
      <c r="Z50" s="26">
        <f>IFERROR(__xludf.DUMMYFUNCTION("""COMPUTED_VALUE"""),0.0)</f>
        <v>0</v>
      </c>
      <c r="AA50" s="26">
        <f>IFERROR(__xludf.DUMMYFUNCTION("""COMPUTED_VALUE"""),0.0)</f>
        <v>0</v>
      </c>
      <c r="AB50" s="26">
        <f>IFERROR(__xludf.DUMMYFUNCTION("""COMPUTED_VALUE"""),0.0)</f>
        <v>0</v>
      </c>
      <c r="AC50" s="26">
        <f>IFERROR(__xludf.DUMMYFUNCTION("""COMPUTED_VALUE"""),0.0)</f>
        <v>0</v>
      </c>
      <c r="AD50" s="26">
        <f>IFERROR(__xludf.DUMMYFUNCTION("""COMPUTED_VALUE"""),0.0)</f>
        <v>0</v>
      </c>
      <c r="AE50" s="26">
        <f>IFERROR(__xludf.DUMMYFUNCTION("""COMPUTED_VALUE"""),0.0)</f>
        <v>0</v>
      </c>
    </row>
    <row r="51">
      <c r="A51" s="26">
        <f>IFERROR(__xludf.DUMMYFUNCTION("""COMPUTED_VALUE"""),516.0)</f>
        <v>516</v>
      </c>
      <c r="B51" s="26">
        <f>IFERROR(__xludf.DUMMYFUNCTION("""COMPUTED_VALUE"""),0.0)</f>
        <v>0</v>
      </c>
      <c r="C51" s="26">
        <f>IFERROR(__xludf.DUMMYFUNCTION("""COMPUTED_VALUE"""),0.0)</f>
        <v>0</v>
      </c>
      <c r="D51" s="26">
        <f>IFERROR(__xludf.DUMMYFUNCTION("""COMPUTED_VALUE"""),0.0)</f>
        <v>0</v>
      </c>
      <c r="E51" s="26">
        <f>IFERROR(__xludf.DUMMYFUNCTION("""COMPUTED_VALUE"""),0.0)</f>
        <v>0</v>
      </c>
      <c r="F51" s="26">
        <f>IFERROR(__xludf.DUMMYFUNCTION("""COMPUTED_VALUE"""),0.0)</f>
        <v>0</v>
      </c>
      <c r="G51" s="26">
        <f>IFERROR(__xludf.DUMMYFUNCTION("""COMPUTED_VALUE"""),0.0)</f>
        <v>0</v>
      </c>
      <c r="H51" s="26">
        <f>IFERROR(__xludf.DUMMYFUNCTION("""COMPUTED_VALUE"""),89.0)</f>
        <v>89</v>
      </c>
      <c r="I51" s="26">
        <f>IFERROR(__xludf.DUMMYFUNCTION("""COMPUTED_VALUE"""),0.0)</f>
        <v>0</v>
      </c>
      <c r="J51" s="26">
        <f>IFERROR(__xludf.DUMMYFUNCTION("""COMPUTED_VALUE"""),0.0)</f>
        <v>0</v>
      </c>
      <c r="K51" s="26">
        <f>IFERROR(__xludf.DUMMYFUNCTION("""COMPUTED_VALUE"""),0.0)</f>
        <v>0</v>
      </c>
      <c r="L51" s="26"/>
      <c r="M51" s="26"/>
      <c r="N51" s="26"/>
      <c r="O51" s="26"/>
      <c r="P51" s="26"/>
      <c r="Q51" s="26"/>
      <c r="R51" s="26">
        <f>IFERROR(__xludf.DUMMYFUNCTION("""COMPUTED_VALUE"""),339350.0)</f>
        <v>339350</v>
      </c>
      <c r="S51" s="26">
        <f>IFERROR(__xludf.DUMMYFUNCTION("""COMPUTED_VALUE"""),100230.0)</f>
        <v>100230</v>
      </c>
      <c r="T51" s="26">
        <f>IFERROR(__xludf.DUMMYFUNCTION("""COMPUTED_VALUE"""),74.74)</f>
        <v>74.74</v>
      </c>
      <c r="U51" s="26">
        <f>IFERROR(__xludf.DUMMYFUNCTION("""COMPUTED_VALUE"""),74.74)</f>
        <v>74.74</v>
      </c>
      <c r="V51" s="26">
        <f>IFERROR(__xludf.DUMMYFUNCTION("""COMPUTED_VALUE"""),51618.120000000024)</f>
        <v>51618.12</v>
      </c>
      <c r="W51" s="26">
        <f>IFERROR(__xludf.DUMMYFUNCTION("""COMPUTED_VALUE"""),0.0)</f>
        <v>0</v>
      </c>
      <c r="X51" s="26">
        <f>IFERROR(__xludf.DUMMYFUNCTION("""COMPUTED_VALUE"""),0.0)</f>
        <v>0</v>
      </c>
      <c r="Y51" s="26">
        <f>IFERROR(__xludf.DUMMYFUNCTION("""COMPUTED_VALUE"""),0.0)</f>
        <v>0</v>
      </c>
      <c r="Z51" s="26">
        <f>IFERROR(__xludf.DUMMYFUNCTION("""COMPUTED_VALUE"""),0.0)</f>
        <v>0</v>
      </c>
      <c r="AA51" s="26">
        <f>IFERROR(__xludf.DUMMYFUNCTION("""COMPUTED_VALUE"""),0.0)</f>
        <v>0</v>
      </c>
      <c r="AB51" s="26">
        <f>IFERROR(__xludf.DUMMYFUNCTION("""COMPUTED_VALUE"""),0.0)</f>
        <v>0</v>
      </c>
      <c r="AC51" s="26">
        <f>IFERROR(__xludf.DUMMYFUNCTION("""COMPUTED_VALUE"""),0.0)</f>
        <v>0</v>
      </c>
      <c r="AD51" s="26">
        <f>IFERROR(__xludf.DUMMYFUNCTION("""COMPUTED_VALUE"""),0.0)</f>
        <v>0</v>
      </c>
      <c r="AE51" s="26">
        <f>IFERROR(__xludf.DUMMYFUNCTION("""COMPUTED_VALUE"""),0.0)</f>
        <v>0</v>
      </c>
    </row>
    <row r="52">
      <c r="A52" s="26">
        <f>IFERROR(__xludf.DUMMYFUNCTION("""COMPUTED_VALUE"""),0.0)</f>
        <v>0</v>
      </c>
      <c r="B52" s="26">
        <f>IFERROR(__xludf.DUMMYFUNCTION("""COMPUTED_VALUE"""),0.0)</f>
        <v>0</v>
      </c>
      <c r="C52" s="26">
        <f>IFERROR(__xludf.DUMMYFUNCTION("""COMPUTED_VALUE"""),0.0)</f>
        <v>0</v>
      </c>
      <c r="D52" s="26">
        <f>IFERROR(__xludf.DUMMYFUNCTION("""COMPUTED_VALUE"""),0.0)</f>
        <v>0</v>
      </c>
      <c r="E52" s="26">
        <f>IFERROR(__xludf.DUMMYFUNCTION("""COMPUTED_VALUE"""),0.0)</f>
        <v>0</v>
      </c>
      <c r="F52" s="26">
        <f>IFERROR(__xludf.DUMMYFUNCTION("""COMPUTED_VALUE"""),0.0)</f>
        <v>0</v>
      </c>
      <c r="G52" s="26">
        <f>IFERROR(__xludf.DUMMYFUNCTION("""COMPUTED_VALUE"""),0.0)</f>
        <v>0</v>
      </c>
      <c r="H52" s="26">
        <f>IFERROR(__xludf.DUMMYFUNCTION("""COMPUTED_VALUE"""),0.0)</f>
        <v>0</v>
      </c>
      <c r="I52" s="26">
        <f>IFERROR(__xludf.DUMMYFUNCTION("""COMPUTED_VALUE"""),0.0)</f>
        <v>0</v>
      </c>
      <c r="J52" s="26">
        <f>IFERROR(__xludf.DUMMYFUNCTION("""COMPUTED_VALUE"""),0.0)</f>
        <v>0</v>
      </c>
      <c r="K52" s="26">
        <f>IFERROR(__xludf.DUMMYFUNCTION("""COMPUTED_VALUE"""),0.0)</f>
        <v>0</v>
      </c>
      <c r="L52" s="26"/>
      <c r="M52" s="26"/>
      <c r="N52" s="26"/>
      <c r="O52" s="26"/>
      <c r="P52" s="26"/>
      <c r="Q52" s="26"/>
      <c r="R52" s="26">
        <f>IFERROR(__xludf.DUMMYFUNCTION("""COMPUTED_VALUE"""),0.0)</f>
        <v>0</v>
      </c>
      <c r="S52" s="26">
        <f>IFERROR(__xludf.DUMMYFUNCTION("""COMPUTED_VALUE"""),0.0)</f>
        <v>0</v>
      </c>
      <c r="T52" s="26">
        <f>IFERROR(__xludf.DUMMYFUNCTION("""COMPUTED_VALUE"""),0.0)</f>
        <v>0</v>
      </c>
      <c r="U52" s="26">
        <f>IFERROR(__xludf.DUMMYFUNCTION("""COMPUTED_VALUE"""),0.0)</f>
        <v>0</v>
      </c>
      <c r="V52" s="26">
        <f>IFERROR(__xludf.DUMMYFUNCTION("""COMPUTED_VALUE"""),0.0)</f>
        <v>0</v>
      </c>
      <c r="W52" s="26">
        <f>IFERROR(__xludf.DUMMYFUNCTION("""COMPUTED_VALUE"""),0.0)</f>
        <v>0</v>
      </c>
      <c r="X52" s="26">
        <f>IFERROR(__xludf.DUMMYFUNCTION("""COMPUTED_VALUE"""),0.0)</f>
        <v>0</v>
      </c>
      <c r="Y52" s="26">
        <f>IFERROR(__xludf.DUMMYFUNCTION("""COMPUTED_VALUE"""),0.0)</f>
        <v>0</v>
      </c>
      <c r="Z52" s="26">
        <f>IFERROR(__xludf.DUMMYFUNCTION("""COMPUTED_VALUE"""),0.0)</f>
        <v>0</v>
      </c>
      <c r="AA52" s="26">
        <f>IFERROR(__xludf.DUMMYFUNCTION("""COMPUTED_VALUE"""),0.0)</f>
        <v>0</v>
      </c>
      <c r="AB52" s="26">
        <f>IFERROR(__xludf.DUMMYFUNCTION("""COMPUTED_VALUE"""),0.0)</f>
        <v>0</v>
      </c>
      <c r="AC52" s="26">
        <f>IFERROR(__xludf.DUMMYFUNCTION("""COMPUTED_VALUE"""),0.0)</f>
        <v>0</v>
      </c>
      <c r="AD52" s="26">
        <f>IFERROR(__xludf.DUMMYFUNCTION("""COMPUTED_VALUE"""),0.0)</f>
        <v>0</v>
      </c>
      <c r="AE52" s="26">
        <f>IFERROR(__xludf.DUMMYFUNCTION("""COMPUTED_VALUE"""),0.0)</f>
        <v>0</v>
      </c>
    </row>
    <row r="53">
      <c r="A53" s="26">
        <f>IFERROR(__xludf.DUMMYFUNCTION("""COMPUTED_VALUE"""),1.0)</f>
        <v>1</v>
      </c>
      <c r="B53" s="26">
        <f>IFERROR(__xludf.DUMMYFUNCTION("""COMPUTED_VALUE"""),0.0)</f>
        <v>0</v>
      </c>
      <c r="C53" s="26">
        <f>IFERROR(__xludf.DUMMYFUNCTION("""COMPUTED_VALUE"""),0.0)</f>
        <v>0</v>
      </c>
      <c r="D53" s="26">
        <f>IFERROR(__xludf.DUMMYFUNCTION("""COMPUTED_VALUE"""),0.0)</f>
        <v>0</v>
      </c>
      <c r="E53" s="26">
        <f>IFERROR(__xludf.DUMMYFUNCTION("""COMPUTED_VALUE"""),0.0)</f>
        <v>0</v>
      </c>
      <c r="F53" s="26">
        <f>IFERROR(__xludf.DUMMYFUNCTION("""COMPUTED_VALUE"""),0.0)</f>
        <v>0</v>
      </c>
      <c r="G53" s="26">
        <f>IFERROR(__xludf.DUMMYFUNCTION("""COMPUTED_VALUE"""),0.0)</f>
        <v>0</v>
      </c>
      <c r="H53" s="26">
        <f>IFERROR(__xludf.DUMMYFUNCTION("""COMPUTED_VALUE"""),0.0)</f>
        <v>0</v>
      </c>
      <c r="I53" s="26">
        <f>IFERROR(__xludf.DUMMYFUNCTION("""COMPUTED_VALUE"""),0.0)</f>
        <v>0</v>
      </c>
      <c r="J53" s="26">
        <f>IFERROR(__xludf.DUMMYFUNCTION("""COMPUTED_VALUE"""),0.0)</f>
        <v>0</v>
      </c>
      <c r="K53" s="26">
        <f>IFERROR(__xludf.DUMMYFUNCTION("""COMPUTED_VALUE"""),0.0)</f>
        <v>0</v>
      </c>
      <c r="L53" s="26"/>
      <c r="M53" s="26"/>
      <c r="N53" s="26"/>
      <c r="O53" s="26"/>
      <c r="P53" s="26"/>
      <c r="Q53" s="26"/>
      <c r="R53" s="26">
        <f>IFERROR(__xludf.DUMMYFUNCTION("""COMPUTED_VALUE"""),442.0)</f>
        <v>442</v>
      </c>
      <c r="S53" s="26">
        <f>IFERROR(__xludf.DUMMYFUNCTION("""COMPUTED_VALUE"""),205.0)</f>
        <v>205</v>
      </c>
      <c r="T53" s="26">
        <f>IFERROR(__xludf.DUMMYFUNCTION("""COMPUTED_VALUE"""),0.0)</f>
        <v>0</v>
      </c>
      <c r="U53" s="26">
        <f>IFERROR(__xludf.DUMMYFUNCTION("""COMPUTED_VALUE"""),0.0)</f>
        <v>0</v>
      </c>
      <c r="V53" s="26">
        <f>IFERROR(__xludf.DUMMYFUNCTION("""COMPUTED_VALUE"""),67.42)</f>
        <v>67.42</v>
      </c>
      <c r="W53" s="26">
        <f>IFERROR(__xludf.DUMMYFUNCTION("""COMPUTED_VALUE"""),280.9)</f>
        <v>280.9</v>
      </c>
      <c r="X53" s="26">
        <f>IFERROR(__xludf.DUMMYFUNCTION("""COMPUTED_VALUE"""),280.9)</f>
        <v>280.9</v>
      </c>
      <c r="Y53" s="26">
        <f>IFERROR(__xludf.DUMMYFUNCTION("""COMPUTED_VALUE"""),169.58)</f>
        <v>169.58</v>
      </c>
      <c r="Z53" s="26">
        <f>IFERROR(__xludf.DUMMYFUNCTION("""COMPUTED_VALUE"""),161.1)</f>
        <v>161.1</v>
      </c>
      <c r="AA53" s="26">
        <f>IFERROR(__xludf.DUMMYFUNCTION("""COMPUTED_VALUE"""),8.48)</f>
        <v>8.48</v>
      </c>
      <c r="AB53" s="26">
        <f>IFERROR(__xludf.DUMMYFUNCTION("""COMPUTED_VALUE"""),0.0)</f>
        <v>0</v>
      </c>
      <c r="AC53" s="26">
        <f>IFERROR(__xludf.DUMMYFUNCTION("""COMPUTED_VALUE"""),-3499.0)</f>
        <v>-3499</v>
      </c>
      <c r="AD53" s="26">
        <f>IFERROR(__xludf.DUMMYFUNCTION("""COMPUTED_VALUE"""),281.0)</f>
        <v>281</v>
      </c>
      <c r="AE53" s="26">
        <f>IFERROR(__xludf.DUMMYFUNCTION("""COMPUTED_VALUE"""),0.0)</f>
        <v>0</v>
      </c>
    </row>
    <row r="54">
      <c r="A54" s="26">
        <f>IFERROR(__xludf.DUMMYFUNCTION("""COMPUTED_VALUE"""),0.0)</f>
        <v>0</v>
      </c>
      <c r="B54" s="26">
        <f>IFERROR(__xludf.DUMMYFUNCTION("""COMPUTED_VALUE"""),0.0)</f>
        <v>0</v>
      </c>
      <c r="C54" s="26">
        <f>IFERROR(__xludf.DUMMYFUNCTION("""COMPUTED_VALUE"""),0.0)</f>
        <v>0</v>
      </c>
      <c r="D54" s="26">
        <f>IFERROR(__xludf.DUMMYFUNCTION("""COMPUTED_VALUE"""),0.0)</f>
        <v>0</v>
      </c>
      <c r="E54" s="26">
        <f>IFERROR(__xludf.DUMMYFUNCTION("""COMPUTED_VALUE"""),5091.0)</f>
        <v>5091</v>
      </c>
      <c r="F54" s="26">
        <f>IFERROR(__xludf.DUMMYFUNCTION("""COMPUTED_VALUE"""),0.0)</f>
        <v>0</v>
      </c>
      <c r="G54" s="26">
        <f>IFERROR(__xludf.DUMMYFUNCTION("""COMPUTED_VALUE"""),0.0)</f>
        <v>0</v>
      </c>
      <c r="H54" s="26">
        <f>IFERROR(__xludf.DUMMYFUNCTION("""COMPUTED_VALUE"""),0.0)</f>
        <v>0</v>
      </c>
      <c r="I54" s="26">
        <f>IFERROR(__xludf.DUMMYFUNCTION("""COMPUTED_VALUE"""),0.0)</f>
        <v>0</v>
      </c>
      <c r="J54" s="26">
        <f>IFERROR(__xludf.DUMMYFUNCTION("""COMPUTED_VALUE"""),0.0)</f>
        <v>0</v>
      </c>
      <c r="K54" s="26">
        <f>IFERROR(__xludf.DUMMYFUNCTION("""COMPUTED_VALUE"""),0.0)</f>
        <v>0</v>
      </c>
      <c r="L54" s="26"/>
      <c r="M54" s="26"/>
      <c r="N54" s="26"/>
      <c r="O54" s="26"/>
      <c r="P54" s="26"/>
      <c r="Q54" s="26"/>
      <c r="R54" s="26">
        <f>IFERROR(__xludf.DUMMYFUNCTION("""COMPUTED_VALUE"""),2259759.0000000205)</f>
        <v>2259759</v>
      </c>
      <c r="S54" s="26">
        <f>IFERROR(__xludf.DUMMYFUNCTION("""COMPUTED_VALUE"""),1915050.0)</f>
        <v>1915050</v>
      </c>
      <c r="T54" s="26">
        <f>IFERROR(__xludf.DUMMYFUNCTION("""COMPUTED_VALUE"""),68.85)</f>
        <v>68.85</v>
      </c>
      <c r="U54" s="26">
        <f>IFERROR(__xludf.DUMMYFUNCTION("""COMPUTED_VALUE"""),68.85)</f>
        <v>68.85</v>
      </c>
      <c r="V54" s="26">
        <f>IFERROR(__xludf.DUMMYFUNCTION("""COMPUTED_VALUE"""),344571.2999999969)</f>
        <v>344571.3</v>
      </c>
      <c r="W54" s="26">
        <f>IFERROR(__xludf.DUMMYFUNCTION("""COMPUTED_VALUE"""),2259759.0000000205)</f>
        <v>2259759</v>
      </c>
      <c r="X54" s="26">
        <f>IFERROR(__xludf.DUMMYFUNCTION("""COMPUTED_VALUE"""),2259759.0000000205)</f>
        <v>2259759</v>
      </c>
      <c r="Y54" s="26">
        <f>IFERROR(__xludf.DUMMYFUNCTION("""COMPUTED_VALUE"""),0.0)</f>
        <v>0</v>
      </c>
      <c r="Z54" s="26">
        <f>IFERROR(__xludf.DUMMYFUNCTION("""COMPUTED_VALUE"""),0.0)</f>
        <v>0</v>
      </c>
      <c r="AA54" s="26">
        <f>IFERROR(__xludf.DUMMYFUNCTION("""COMPUTED_VALUE"""),0.0)</f>
        <v>0</v>
      </c>
      <c r="AB54" s="26">
        <f>IFERROR(__xludf.DUMMYFUNCTION("""COMPUTED_VALUE"""),0.0)</f>
        <v>0</v>
      </c>
      <c r="AC54" s="26">
        <f>IFERROR(__xludf.DUMMYFUNCTION("""COMPUTED_VALUE"""),-334400.0)</f>
        <v>-334400</v>
      </c>
      <c r="AD54" s="26">
        <f>IFERROR(__xludf.DUMMYFUNCTION("""COMPUTED_VALUE"""),2208863.0)</f>
        <v>2208863</v>
      </c>
      <c r="AE54" s="26">
        <f>IFERROR(__xludf.DUMMYFUNCTION("""COMPUTED_VALUE"""),50896.0)</f>
        <v>50896</v>
      </c>
    </row>
    <row r="55">
      <c r="A55" s="26">
        <f>IFERROR(__xludf.DUMMYFUNCTION("""COMPUTED_VALUE"""),821.0)</f>
        <v>821</v>
      </c>
      <c r="B55" s="26">
        <f>IFERROR(__xludf.DUMMYFUNCTION("""COMPUTED_VALUE"""),0.0)</f>
        <v>0</v>
      </c>
      <c r="C55" s="26">
        <f>IFERROR(__xludf.DUMMYFUNCTION("""COMPUTED_VALUE"""),1.0)</f>
        <v>1</v>
      </c>
      <c r="D55" s="26">
        <f>IFERROR(__xludf.DUMMYFUNCTION("""COMPUTED_VALUE"""),0.0)</f>
        <v>0</v>
      </c>
      <c r="E55" s="26">
        <f>IFERROR(__xludf.DUMMYFUNCTION("""COMPUTED_VALUE"""),2603.0)</f>
        <v>2603</v>
      </c>
      <c r="F55" s="26">
        <f>IFERROR(__xludf.DUMMYFUNCTION("""COMPUTED_VALUE"""),0.0)</f>
        <v>0</v>
      </c>
      <c r="G55" s="26">
        <f>IFERROR(__xludf.DUMMYFUNCTION("""COMPUTED_VALUE"""),0.0)</f>
        <v>0</v>
      </c>
      <c r="H55" s="26">
        <f>IFERROR(__xludf.DUMMYFUNCTION("""COMPUTED_VALUE"""),0.0)</f>
        <v>0</v>
      </c>
      <c r="I55" s="26">
        <f>IFERROR(__xludf.DUMMYFUNCTION("""COMPUTED_VALUE"""),0.0)</f>
        <v>0</v>
      </c>
      <c r="J55" s="26">
        <f>IFERROR(__xludf.DUMMYFUNCTION("""COMPUTED_VALUE"""),0.0)</f>
        <v>0</v>
      </c>
      <c r="K55" s="26">
        <f>IFERROR(__xludf.DUMMYFUNCTION("""COMPUTED_VALUE"""),0.0)</f>
        <v>0</v>
      </c>
      <c r="L55" s="26"/>
      <c r="M55" s="26"/>
      <c r="N55" s="26"/>
      <c r="O55" s="26"/>
      <c r="P55" s="26"/>
      <c r="Q55" s="26"/>
      <c r="R55" s="26">
        <f>IFERROR(__xludf.DUMMYFUNCTION("""COMPUTED_VALUE"""),940668.4599999966)</f>
        <v>940668.46</v>
      </c>
      <c r="S55" s="26">
        <f>IFERROR(__xludf.DUMMYFUNCTION("""COMPUTED_VALUE"""),797176.7199999997)</f>
        <v>797176.72</v>
      </c>
      <c r="T55" s="26">
        <f>IFERROR(__xludf.DUMMYFUNCTION("""COMPUTED_VALUE"""),0.0)</f>
        <v>0</v>
      </c>
      <c r="U55" s="26">
        <f>IFERROR(__xludf.DUMMYFUNCTION("""COMPUTED_VALUE"""),0.0)</f>
        <v>0</v>
      </c>
      <c r="V55" s="26">
        <f>IFERROR(__xludf.DUMMYFUNCTION("""COMPUTED_VALUE"""),143491.7400000007)</f>
        <v>143491.74</v>
      </c>
      <c r="W55" s="26">
        <f>IFERROR(__xludf.DUMMYFUNCTION("""COMPUTED_VALUE"""),1983184.6400000304)</f>
        <v>1983184.64</v>
      </c>
      <c r="X55" s="26">
        <f>IFERROR(__xludf.DUMMYFUNCTION("""COMPUTED_VALUE"""),1983184.6400000304)</f>
        <v>1983184.64</v>
      </c>
      <c r="Y55" s="26">
        <f>IFERROR(__xludf.DUMMYFUNCTION("""COMPUTED_VALUE"""),0.0)</f>
        <v>0</v>
      </c>
      <c r="Z55" s="26">
        <f>IFERROR(__xludf.DUMMYFUNCTION("""COMPUTED_VALUE"""),0.0)</f>
        <v>0</v>
      </c>
      <c r="AA55" s="26">
        <f>IFERROR(__xludf.DUMMYFUNCTION("""COMPUTED_VALUE"""),0.0)</f>
        <v>0</v>
      </c>
      <c r="AB55" s="26">
        <f>IFERROR(__xludf.DUMMYFUNCTION("""COMPUTED_VALUE"""),0.0)</f>
        <v>0</v>
      </c>
      <c r="AC55" s="26">
        <f>IFERROR(__xludf.DUMMYFUNCTION("""COMPUTED_VALUE"""),-87552.0)</f>
        <v>-87552</v>
      </c>
      <c r="AD55" s="26">
        <f>IFERROR(__xludf.DUMMYFUNCTION("""COMPUTED_VALUE"""),1780705.0)</f>
        <v>1780705</v>
      </c>
      <c r="AE55" s="26">
        <f>IFERROR(__xludf.DUMMYFUNCTION("""COMPUTED_VALUE"""),165270.0)</f>
        <v>165270</v>
      </c>
    </row>
    <row r="56">
      <c r="A56" s="26">
        <f>IFERROR(__xludf.DUMMYFUNCTION("""COMPUTED_VALUE"""),0.0)</f>
        <v>0</v>
      </c>
      <c r="B56" s="26">
        <f>IFERROR(__xludf.DUMMYFUNCTION("""COMPUTED_VALUE"""),0.0)</f>
        <v>0</v>
      </c>
      <c r="C56" s="26">
        <f>IFERROR(__xludf.DUMMYFUNCTION("""COMPUTED_VALUE"""),0.0)</f>
        <v>0</v>
      </c>
      <c r="D56" s="26">
        <f>IFERROR(__xludf.DUMMYFUNCTION("""COMPUTED_VALUE"""),0.0)</f>
        <v>0</v>
      </c>
      <c r="E56" s="26">
        <f>IFERROR(__xludf.DUMMYFUNCTION("""COMPUTED_VALUE"""),0.0)</f>
        <v>0</v>
      </c>
      <c r="F56" s="26">
        <f>IFERROR(__xludf.DUMMYFUNCTION("""COMPUTED_VALUE"""),0.0)</f>
        <v>0</v>
      </c>
      <c r="G56" s="26">
        <f>IFERROR(__xludf.DUMMYFUNCTION("""COMPUTED_VALUE"""),0.0)</f>
        <v>0</v>
      </c>
      <c r="H56" s="26">
        <f>IFERROR(__xludf.DUMMYFUNCTION("""COMPUTED_VALUE"""),0.0)</f>
        <v>0</v>
      </c>
      <c r="I56" s="26">
        <f>IFERROR(__xludf.DUMMYFUNCTION("""COMPUTED_VALUE"""),0.0)</f>
        <v>0</v>
      </c>
      <c r="J56" s="26">
        <f>IFERROR(__xludf.DUMMYFUNCTION("""COMPUTED_VALUE"""),0.0)</f>
        <v>0</v>
      </c>
      <c r="K56" s="26">
        <f>IFERROR(__xludf.DUMMYFUNCTION("""COMPUTED_VALUE"""),0.0)</f>
        <v>0</v>
      </c>
      <c r="L56" s="26"/>
      <c r="M56" s="26"/>
      <c r="N56" s="26"/>
      <c r="O56" s="26"/>
      <c r="P56" s="26"/>
      <c r="Q56" s="26"/>
      <c r="R56" s="26">
        <f>IFERROR(__xludf.DUMMYFUNCTION("""COMPUTED_VALUE"""),0.0)</f>
        <v>0</v>
      </c>
      <c r="S56" s="26">
        <f>IFERROR(__xludf.DUMMYFUNCTION("""COMPUTED_VALUE"""),0.0)</f>
        <v>0</v>
      </c>
      <c r="T56" s="26">
        <f>IFERROR(__xludf.DUMMYFUNCTION("""COMPUTED_VALUE"""),0.0)</f>
        <v>0</v>
      </c>
      <c r="U56" s="26">
        <f>IFERROR(__xludf.DUMMYFUNCTION("""COMPUTED_VALUE"""),0.0)</f>
        <v>0</v>
      </c>
      <c r="V56" s="26">
        <f>IFERROR(__xludf.DUMMYFUNCTION("""COMPUTED_VALUE"""),0.0)</f>
        <v>0</v>
      </c>
      <c r="W56" s="26">
        <f>IFERROR(__xludf.DUMMYFUNCTION("""COMPUTED_VALUE"""),0.0)</f>
        <v>0</v>
      </c>
      <c r="X56" s="26">
        <f>IFERROR(__xludf.DUMMYFUNCTION("""COMPUTED_VALUE"""),0.0)</f>
        <v>0</v>
      </c>
      <c r="Y56" s="26">
        <f>IFERROR(__xludf.DUMMYFUNCTION("""COMPUTED_VALUE"""),0.0)</f>
        <v>0</v>
      </c>
      <c r="Z56" s="26">
        <f>IFERROR(__xludf.DUMMYFUNCTION("""COMPUTED_VALUE"""),0.0)</f>
        <v>0</v>
      </c>
      <c r="AA56" s="26">
        <f>IFERROR(__xludf.DUMMYFUNCTION("""COMPUTED_VALUE"""),0.0)</f>
        <v>0</v>
      </c>
      <c r="AB56" s="26">
        <f>IFERROR(__xludf.DUMMYFUNCTION("""COMPUTED_VALUE"""),0.0)</f>
        <v>0</v>
      </c>
      <c r="AC56" s="26">
        <f>IFERROR(__xludf.DUMMYFUNCTION("""COMPUTED_VALUE"""),0.0)</f>
        <v>0</v>
      </c>
      <c r="AD56" s="26">
        <f>IFERROR(__xludf.DUMMYFUNCTION("""COMPUTED_VALUE"""),0.0)</f>
        <v>0</v>
      </c>
      <c r="AE56" s="26">
        <f>IFERROR(__xludf.DUMMYFUNCTION("""COMPUTED_VALUE"""),0.0)</f>
        <v>0</v>
      </c>
    </row>
    <row r="57">
      <c r="A57" s="26">
        <f>IFERROR(__xludf.DUMMYFUNCTION("""COMPUTED_VALUE"""),0.0)</f>
        <v>0</v>
      </c>
      <c r="B57" s="26">
        <f>IFERROR(__xludf.DUMMYFUNCTION("""COMPUTED_VALUE"""),0.0)</f>
        <v>0</v>
      </c>
      <c r="C57" s="26">
        <f>IFERROR(__xludf.DUMMYFUNCTION("""COMPUTED_VALUE"""),0.0)</f>
        <v>0</v>
      </c>
      <c r="D57" s="26">
        <f>IFERROR(__xludf.DUMMYFUNCTION("""COMPUTED_VALUE"""),0.0)</f>
        <v>0</v>
      </c>
      <c r="E57" s="26">
        <f>IFERROR(__xludf.DUMMYFUNCTION("""COMPUTED_VALUE"""),713.0)</f>
        <v>713</v>
      </c>
      <c r="F57" s="26">
        <f>IFERROR(__xludf.DUMMYFUNCTION("""COMPUTED_VALUE"""),0.0)</f>
        <v>0</v>
      </c>
      <c r="G57" s="26">
        <f>IFERROR(__xludf.DUMMYFUNCTION("""COMPUTED_VALUE"""),0.0)</f>
        <v>0</v>
      </c>
      <c r="H57" s="26">
        <f>IFERROR(__xludf.DUMMYFUNCTION("""COMPUTED_VALUE"""),0.0)</f>
        <v>0</v>
      </c>
      <c r="I57" s="26">
        <f>IFERROR(__xludf.DUMMYFUNCTION("""COMPUTED_VALUE"""),0.0)</f>
        <v>0</v>
      </c>
      <c r="J57" s="26">
        <f>IFERROR(__xludf.DUMMYFUNCTION("""COMPUTED_VALUE"""),0.0)</f>
        <v>0</v>
      </c>
      <c r="K57" s="26">
        <f>IFERROR(__xludf.DUMMYFUNCTION("""COMPUTED_VALUE"""),0.0)</f>
        <v>0</v>
      </c>
      <c r="L57" s="26"/>
      <c r="M57" s="26"/>
      <c r="N57" s="26"/>
      <c r="O57" s="26"/>
      <c r="P57" s="26"/>
      <c r="Q57" s="26"/>
      <c r="R57" s="26">
        <f>IFERROR(__xludf.DUMMYFUNCTION("""COMPUTED_VALUE"""),1319070.0)</f>
        <v>1319070</v>
      </c>
      <c r="S57" s="26">
        <f>IFERROR(__xludf.DUMMYFUNCTION("""COMPUTED_VALUE"""),121210.0)</f>
        <v>121210</v>
      </c>
      <c r="T57" s="26">
        <f>IFERROR(__xludf.DUMMYFUNCTION("""COMPUTED_VALUE"""),0.0)</f>
        <v>0</v>
      </c>
      <c r="U57" s="26">
        <f>IFERROR(__xludf.DUMMYFUNCTION("""COMPUTED_VALUE"""),0.0)</f>
        <v>0</v>
      </c>
      <c r="V57" s="26">
        <f>IFERROR(__xludf.DUMMYFUNCTION("""COMPUTED_VALUE"""),201211.6500000002)</f>
        <v>201211.65</v>
      </c>
      <c r="W57" s="26">
        <f>IFERROR(__xludf.DUMMYFUNCTION("""COMPUTED_VALUE"""),0.0)</f>
        <v>0</v>
      </c>
      <c r="X57" s="26">
        <f>IFERROR(__xludf.DUMMYFUNCTION("""COMPUTED_VALUE"""),0.0)</f>
        <v>0</v>
      </c>
      <c r="Y57" s="26">
        <f>IFERROR(__xludf.DUMMYFUNCTION("""COMPUTED_VALUE"""),0.0)</f>
        <v>0</v>
      </c>
      <c r="Z57" s="26">
        <f>IFERROR(__xludf.DUMMYFUNCTION("""COMPUTED_VALUE"""),0.0)</f>
        <v>0</v>
      </c>
      <c r="AA57" s="26">
        <f>IFERROR(__xludf.DUMMYFUNCTION("""COMPUTED_VALUE"""),0.0)</f>
        <v>0</v>
      </c>
      <c r="AB57" s="26">
        <f>IFERROR(__xludf.DUMMYFUNCTION("""COMPUTED_VALUE"""),0.0)</f>
        <v>0</v>
      </c>
      <c r="AC57" s="26">
        <f>IFERROR(__xludf.DUMMYFUNCTION("""COMPUTED_VALUE"""),0.0)</f>
        <v>0</v>
      </c>
      <c r="AD57" s="26">
        <f>IFERROR(__xludf.DUMMYFUNCTION("""COMPUTED_VALUE"""),0.0)</f>
        <v>0</v>
      </c>
      <c r="AE57" s="26">
        <f>IFERROR(__xludf.DUMMYFUNCTION("""COMPUTED_VALUE"""),0.0)</f>
        <v>0</v>
      </c>
    </row>
    <row r="58">
      <c r="A58" s="26">
        <f>IFERROR(__xludf.DUMMYFUNCTION("""COMPUTED_VALUE"""),5.0)</f>
        <v>5</v>
      </c>
      <c r="B58" s="26">
        <f>IFERROR(__xludf.DUMMYFUNCTION("""COMPUTED_VALUE"""),0.0)</f>
        <v>0</v>
      </c>
      <c r="C58" s="26">
        <f>IFERROR(__xludf.DUMMYFUNCTION("""COMPUTED_VALUE"""),0.0)</f>
        <v>0</v>
      </c>
      <c r="D58" s="26">
        <f>IFERROR(__xludf.DUMMYFUNCTION("""COMPUTED_VALUE"""),0.0)</f>
        <v>0</v>
      </c>
      <c r="E58" s="26">
        <f>IFERROR(__xludf.DUMMYFUNCTION("""COMPUTED_VALUE"""),2226.0)</f>
        <v>2226</v>
      </c>
      <c r="F58" s="26">
        <f>IFERROR(__xludf.DUMMYFUNCTION("""COMPUTED_VALUE"""),0.0)</f>
        <v>0</v>
      </c>
      <c r="G58" s="26">
        <f>IFERROR(__xludf.DUMMYFUNCTION("""COMPUTED_VALUE"""),0.0)</f>
        <v>0</v>
      </c>
      <c r="H58" s="26">
        <f>IFERROR(__xludf.DUMMYFUNCTION("""COMPUTED_VALUE"""),0.0)</f>
        <v>0</v>
      </c>
      <c r="I58" s="26">
        <f>IFERROR(__xludf.DUMMYFUNCTION("""COMPUTED_VALUE"""),0.0)</f>
        <v>0</v>
      </c>
      <c r="J58" s="26">
        <f>IFERROR(__xludf.DUMMYFUNCTION("""COMPUTED_VALUE"""),0.0)</f>
        <v>0</v>
      </c>
      <c r="K58" s="26">
        <f>IFERROR(__xludf.DUMMYFUNCTION("""COMPUTED_VALUE"""),0.0)</f>
        <v>0</v>
      </c>
      <c r="L58" s="26"/>
      <c r="M58" s="26"/>
      <c r="N58" s="26"/>
      <c r="O58" s="26"/>
      <c r="P58" s="26"/>
      <c r="Q58" s="26"/>
      <c r="R58" s="26">
        <f>IFERROR(__xludf.DUMMYFUNCTION("""COMPUTED_VALUE"""),2753612.1)</f>
        <v>2753612.1</v>
      </c>
      <c r="S58" s="26">
        <f>IFERROR(__xludf.DUMMYFUNCTION("""COMPUTED_VALUE"""),947075.0)</f>
        <v>947075</v>
      </c>
      <c r="T58" s="26">
        <f>IFERROR(__xludf.DUMMYFUNCTION("""COMPUTED_VALUE"""),38.25)</f>
        <v>38.25</v>
      </c>
      <c r="U58" s="26">
        <f>IFERROR(__xludf.DUMMYFUNCTION("""COMPUTED_VALUE"""),38.25)</f>
        <v>38.25</v>
      </c>
      <c r="V58" s="26">
        <f>IFERROR(__xludf.DUMMYFUNCTION("""COMPUTED_VALUE"""),419962.46000000247)</f>
        <v>419962.46</v>
      </c>
      <c r="W58" s="26">
        <f>IFERROR(__xludf.DUMMYFUNCTION("""COMPUTED_VALUE"""),1599433.610000001)</f>
        <v>1599433.61</v>
      </c>
      <c r="X58" s="26">
        <f>IFERROR(__xludf.DUMMYFUNCTION("""COMPUTED_VALUE"""),1436434.370000001)</f>
        <v>1436434.37</v>
      </c>
      <c r="Y58" s="26">
        <f>IFERROR(__xludf.DUMMYFUNCTION("""COMPUTED_VALUE"""),1386498.1399999901)</f>
        <v>1386498.14</v>
      </c>
      <c r="Z58" s="26">
        <f>IFERROR(__xludf.DUMMYFUNCTION("""COMPUTED_VALUE"""),1154178.4899999935)</f>
        <v>1154178.49</v>
      </c>
      <c r="AA58" s="26">
        <f>IFERROR(__xludf.DUMMYFUNCTION("""COMPUTED_VALUE"""),69320.41000000044)</f>
        <v>69320.41</v>
      </c>
      <c r="AB58" s="26">
        <f>IFERROR(__xludf.DUMMYFUNCTION("""COMPUTED_VALUE"""),162999.23999999953)</f>
        <v>162999.24</v>
      </c>
      <c r="AC58" s="26">
        <f>IFERROR(__xludf.DUMMYFUNCTION("""COMPUTED_VALUE"""),-66901.0)</f>
        <v>-66901</v>
      </c>
      <c r="AD58" s="26">
        <f>IFERROR(__xludf.DUMMYFUNCTION("""COMPUTED_VALUE"""),1363552.0)</f>
        <v>1363552</v>
      </c>
      <c r="AE58" s="26">
        <f>IFERROR(__xludf.DUMMYFUNCTION("""COMPUTED_VALUE"""),163000.0)</f>
        <v>163000</v>
      </c>
    </row>
    <row r="59">
      <c r="A59" s="26">
        <f>IFERROR(__xludf.DUMMYFUNCTION("""COMPUTED_VALUE"""),2.0)</f>
        <v>2</v>
      </c>
      <c r="B59" s="26">
        <f>IFERROR(__xludf.DUMMYFUNCTION("""COMPUTED_VALUE"""),0.0)</f>
        <v>0</v>
      </c>
      <c r="C59" s="26">
        <f>IFERROR(__xludf.DUMMYFUNCTION("""COMPUTED_VALUE"""),24.0)</f>
        <v>24</v>
      </c>
      <c r="D59" s="26">
        <f>IFERROR(__xludf.DUMMYFUNCTION("""COMPUTED_VALUE"""),0.0)</f>
        <v>0</v>
      </c>
      <c r="E59" s="26">
        <f>IFERROR(__xludf.DUMMYFUNCTION("""COMPUTED_VALUE"""),561.0)</f>
        <v>561</v>
      </c>
      <c r="F59" s="26">
        <f>IFERROR(__xludf.DUMMYFUNCTION("""COMPUTED_VALUE"""),0.0)</f>
        <v>0</v>
      </c>
      <c r="G59" s="26">
        <f>IFERROR(__xludf.DUMMYFUNCTION("""COMPUTED_VALUE"""),0.0)</f>
        <v>0</v>
      </c>
      <c r="H59" s="26">
        <f>IFERROR(__xludf.DUMMYFUNCTION("""COMPUTED_VALUE"""),0.0)</f>
        <v>0</v>
      </c>
      <c r="I59" s="26">
        <f>IFERROR(__xludf.DUMMYFUNCTION("""COMPUTED_VALUE"""),0.0)</f>
        <v>0</v>
      </c>
      <c r="J59" s="26">
        <f>IFERROR(__xludf.DUMMYFUNCTION("""COMPUTED_VALUE"""),0.0)</f>
        <v>0</v>
      </c>
      <c r="K59" s="26">
        <f>IFERROR(__xludf.DUMMYFUNCTION("""COMPUTED_VALUE"""),0.0)</f>
        <v>0</v>
      </c>
      <c r="L59" s="26"/>
      <c r="M59" s="26"/>
      <c r="N59" s="26"/>
      <c r="O59" s="26"/>
      <c r="P59" s="26"/>
      <c r="Q59" s="26"/>
      <c r="R59" s="26">
        <f>IFERROR(__xludf.DUMMYFUNCTION("""COMPUTED_VALUE"""),107362.30000000002)</f>
        <v>107362.3</v>
      </c>
      <c r="S59" s="26">
        <f>IFERROR(__xludf.DUMMYFUNCTION("""COMPUTED_VALUE"""),90985.0)</f>
        <v>90985</v>
      </c>
      <c r="T59" s="26">
        <f>IFERROR(__xludf.DUMMYFUNCTION("""COMPUTED_VALUE"""),0.0)</f>
        <v>0</v>
      </c>
      <c r="U59" s="26">
        <f>IFERROR(__xludf.DUMMYFUNCTION("""COMPUTED_VALUE"""),0.0)</f>
        <v>0</v>
      </c>
      <c r="V59" s="26">
        <f>IFERROR(__xludf.DUMMYFUNCTION("""COMPUTED_VALUE"""),16377.300000000028)</f>
        <v>16377.3</v>
      </c>
      <c r="W59" s="26">
        <f>IFERROR(__xludf.DUMMYFUNCTION("""COMPUTED_VALUE"""),0.0)</f>
        <v>0</v>
      </c>
      <c r="X59" s="26">
        <f>IFERROR(__xludf.DUMMYFUNCTION("""COMPUTED_VALUE"""),0.0)</f>
        <v>0</v>
      </c>
      <c r="Y59" s="26">
        <f>IFERROR(__xludf.DUMMYFUNCTION("""COMPUTED_VALUE"""),0.0)</f>
        <v>0</v>
      </c>
      <c r="Z59" s="26">
        <f>IFERROR(__xludf.DUMMYFUNCTION("""COMPUTED_VALUE"""),0.0)</f>
        <v>0</v>
      </c>
      <c r="AA59" s="26">
        <f>IFERROR(__xludf.DUMMYFUNCTION("""COMPUTED_VALUE"""),0.0)</f>
        <v>0</v>
      </c>
      <c r="AB59" s="26">
        <f>IFERROR(__xludf.DUMMYFUNCTION("""COMPUTED_VALUE"""),0.0)</f>
        <v>0</v>
      </c>
      <c r="AC59" s="26">
        <f>IFERROR(__xludf.DUMMYFUNCTION("""COMPUTED_VALUE"""),0.0)</f>
        <v>0</v>
      </c>
      <c r="AD59" s="26">
        <f>IFERROR(__xludf.DUMMYFUNCTION("""COMPUTED_VALUE"""),0.0)</f>
        <v>0</v>
      </c>
      <c r="AE59" s="26">
        <f>IFERROR(__xludf.DUMMYFUNCTION("""COMPUTED_VALUE"""),0.0)</f>
        <v>0</v>
      </c>
    </row>
    <row r="60">
      <c r="A60" s="26">
        <f>IFERROR(__xludf.DUMMYFUNCTION("""COMPUTED_VALUE"""),0.0)</f>
        <v>0</v>
      </c>
      <c r="B60" s="26">
        <f>IFERROR(__xludf.DUMMYFUNCTION("""COMPUTED_VALUE"""),0.0)</f>
        <v>0</v>
      </c>
      <c r="C60" s="26">
        <f>IFERROR(__xludf.DUMMYFUNCTION("""COMPUTED_VALUE"""),0.0)</f>
        <v>0</v>
      </c>
      <c r="D60" s="26">
        <f>IFERROR(__xludf.DUMMYFUNCTION("""COMPUTED_VALUE"""),0.0)</f>
        <v>0</v>
      </c>
      <c r="E60" s="26">
        <f>IFERROR(__xludf.DUMMYFUNCTION("""COMPUTED_VALUE"""),309.0)</f>
        <v>309</v>
      </c>
      <c r="F60" s="26">
        <f>IFERROR(__xludf.DUMMYFUNCTION("""COMPUTED_VALUE"""),0.0)</f>
        <v>0</v>
      </c>
      <c r="G60" s="26">
        <f>IFERROR(__xludf.DUMMYFUNCTION("""COMPUTED_VALUE"""),0.0)</f>
        <v>0</v>
      </c>
      <c r="H60" s="26">
        <f>IFERROR(__xludf.DUMMYFUNCTION("""COMPUTED_VALUE"""),0.0)</f>
        <v>0</v>
      </c>
      <c r="I60" s="26">
        <f>IFERROR(__xludf.DUMMYFUNCTION("""COMPUTED_VALUE"""),0.0)</f>
        <v>0</v>
      </c>
      <c r="J60" s="26">
        <f>IFERROR(__xludf.DUMMYFUNCTION("""COMPUTED_VALUE"""),0.0)</f>
        <v>0</v>
      </c>
      <c r="K60" s="26">
        <f>IFERROR(__xludf.DUMMYFUNCTION("""COMPUTED_VALUE"""),0.0)</f>
        <v>0</v>
      </c>
      <c r="L60" s="26"/>
      <c r="M60" s="26"/>
      <c r="N60" s="26"/>
      <c r="O60" s="26"/>
      <c r="P60" s="26"/>
      <c r="Q60" s="26"/>
      <c r="R60" s="26">
        <f>IFERROR(__xludf.DUMMYFUNCTION("""COMPUTED_VALUE"""),540750.0)</f>
        <v>540750</v>
      </c>
      <c r="S60" s="26">
        <f>IFERROR(__xludf.DUMMYFUNCTION("""COMPUTED_VALUE"""),53690.0)</f>
        <v>53690</v>
      </c>
      <c r="T60" s="26">
        <f>IFERROR(__xludf.DUMMYFUNCTION("""COMPUTED_VALUE"""),133.47)</f>
        <v>133.47</v>
      </c>
      <c r="U60" s="26">
        <f>IFERROR(__xludf.DUMMYFUNCTION("""COMPUTED_VALUE"""),133.47)</f>
        <v>133.47</v>
      </c>
      <c r="V60" s="26">
        <f>IFERROR(__xludf.DUMMYFUNCTION("""COMPUTED_VALUE"""),82220.60000000008)</f>
        <v>82220.6</v>
      </c>
      <c r="W60" s="26">
        <f>IFERROR(__xludf.DUMMYFUNCTION("""COMPUTED_VALUE"""),0.0)</f>
        <v>0</v>
      </c>
      <c r="X60" s="26">
        <f>IFERROR(__xludf.DUMMYFUNCTION("""COMPUTED_VALUE"""),0.0)</f>
        <v>0</v>
      </c>
      <c r="Y60" s="26">
        <f>IFERROR(__xludf.DUMMYFUNCTION("""COMPUTED_VALUE"""),0.0)</f>
        <v>0</v>
      </c>
      <c r="Z60" s="26">
        <f>IFERROR(__xludf.DUMMYFUNCTION("""COMPUTED_VALUE"""),0.0)</f>
        <v>0</v>
      </c>
      <c r="AA60" s="26">
        <f>IFERROR(__xludf.DUMMYFUNCTION("""COMPUTED_VALUE"""),0.0)</f>
        <v>0</v>
      </c>
      <c r="AB60" s="26">
        <f>IFERROR(__xludf.DUMMYFUNCTION("""COMPUTED_VALUE"""),0.0)</f>
        <v>0</v>
      </c>
      <c r="AC60" s="26">
        <f>IFERROR(__xludf.DUMMYFUNCTION("""COMPUTED_VALUE"""),0.0)</f>
        <v>0</v>
      </c>
      <c r="AD60" s="26">
        <f>IFERROR(__xludf.DUMMYFUNCTION("""COMPUTED_VALUE"""),0.0)</f>
        <v>0</v>
      </c>
      <c r="AE60" s="26">
        <f>IFERROR(__xludf.DUMMYFUNCTION("""COMPUTED_VALUE"""),0.0)</f>
        <v>0</v>
      </c>
    </row>
    <row r="61">
      <c r="A61" s="26">
        <f>IFERROR(__xludf.DUMMYFUNCTION("""COMPUTED_VALUE"""),101.0)</f>
        <v>101</v>
      </c>
      <c r="B61" s="26">
        <f>IFERROR(__xludf.DUMMYFUNCTION("""COMPUTED_VALUE"""),0.0)</f>
        <v>0</v>
      </c>
      <c r="C61" s="26">
        <f>IFERROR(__xludf.DUMMYFUNCTION("""COMPUTED_VALUE"""),1.0)</f>
        <v>1</v>
      </c>
      <c r="D61" s="26">
        <f>IFERROR(__xludf.DUMMYFUNCTION("""COMPUTED_VALUE"""),14.0)</f>
        <v>14</v>
      </c>
      <c r="E61" s="26">
        <f>IFERROR(__xludf.DUMMYFUNCTION("""COMPUTED_VALUE"""),120.0)</f>
        <v>120</v>
      </c>
      <c r="F61" s="26">
        <f>IFERROR(__xludf.DUMMYFUNCTION("""COMPUTED_VALUE"""),0.0)</f>
        <v>0</v>
      </c>
      <c r="G61" s="26">
        <f>IFERROR(__xludf.DUMMYFUNCTION("""COMPUTED_VALUE"""),0.0)</f>
        <v>0</v>
      </c>
      <c r="H61" s="26">
        <f>IFERROR(__xludf.DUMMYFUNCTION("""COMPUTED_VALUE"""),13.0)</f>
        <v>13</v>
      </c>
      <c r="I61" s="26">
        <f>IFERROR(__xludf.DUMMYFUNCTION("""COMPUTED_VALUE"""),0.0)</f>
        <v>0</v>
      </c>
      <c r="J61" s="26">
        <f>IFERROR(__xludf.DUMMYFUNCTION("""COMPUTED_VALUE"""),0.0)</f>
        <v>0</v>
      </c>
      <c r="K61" s="26">
        <f>IFERROR(__xludf.DUMMYFUNCTION("""COMPUTED_VALUE"""),0.0)</f>
        <v>0</v>
      </c>
      <c r="L61" s="26"/>
      <c r="M61" s="26"/>
      <c r="N61" s="26"/>
      <c r="O61" s="26"/>
      <c r="P61" s="26"/>
      <c r="Q61" s="26"/>
      <c r="R61" s="26">
        <f>IFERROR(__xludf.DUMMYFUNCTION("""COMPUTED_VALUE"""),94659.00999999998)</f>
        <v>94659.01</v>
      </c>
      <c r="S61" s="26">
        <f>IFERROR(__xludf.DUMMYFUNCTION("""COMPUTED_VALUE"""),80219.5)</f>
        <v>80219.5</v>
      </c>
      <c r="T61" s="26">
        <f>IFERROR(__xludf.DUMMYFUNCTION("""COMPUTED_VALUE"""),0.0)</f>
        <v>0</v>
      </c>
      <c r="U61" s="26">
        <f>IFERROR(__xludf.DUMMYFUNCTION("""COMPUTED_VALUE"""),0.0)</f>
        <v>0</v>
      </c>
      <c r="V61" s="26">
        <f>IFERROR(__xludf.DUMMYFUNCTION("""COMPUTED_VALUE"""),14439.51000000001)</f>
        <v>14439.51</v>
      </c>
      <c r="W61" s="26">
        <f>IFERROR(__xludf.DUMMYFUNCTION("""COMPUTED_VALUE"""),0.0)</f>
        <v>0</v>
      </c>
      <c r="X61" s="26">
        <f>IFERROR(__xludf.DUMMYFUNCTION("""COMPUTED_VALUE"""),0.0)</f>
        <v>0</v>
      </c>
      <c r="Y61" s="26">
        <f>IFERROR(__xludf.DUMMYFUNCTION("""COMPUTED_VALUE"""),0.0)</f>
        <v>0</v>
      </c>
      <c r="Z61" s="26">
        <f>IFERROR(__xludf.DUMMYFUNCTION("""COMPUTED_VALUE"""),0.0)</f>
        <v>0</v>
      </c>
      <c r="AA61" s="26">
        <f>IFERROR(__xludf.DUMMYFUNCTION("""COMPUTED_VALUE"""),0.0)</f>
        <v>0</v>
      </c>
      <c r="AB61" s="26">
        <f>IFERROR(__xludf.DUMMYFUNCTION("""COMPUTED_VALUE"""),0.0)</f>
        <v>0</v>
      </c>
      <c r="AC61" s="26">
        <f>IFERROR(__xludf.DUMMYFUNCTION("""COMPUTED_VALUE"""),0.0)</f>
        <v>0</v>
      </c>
      <c r="AD61" s="26">
        <f>IFERROR(__xludf.DUMMYFUNCTION("""COMPUTED_VALUE"""),0.0)</f>
        <v>0</v>
      </c>
      <c r="AE61" s="26">
        <f>IFERROR(__xludf.DUMMYFUNCTION("""COMPUTED_VALUE"""),0.0)</f>
        <v>0</v>
      </c>
    </row>
    <row r="62">
      <c r="A62" s="26">
        <f>IFERROR(__xludf.DUMMYFUNCTION("""COMPUTED_VALUE"""),0.0)</f>
        <v>0</v>
      </c>
      <c r="B62" s="26">
        <f>IFERROR(__xludf.DUMMYFUNCTION("""COMPUTED_VALUE"""),0.0)</f>
        <v>0</v>
      </c>
      <c r="C62" s="26">
        <f>IFERROR(__xludf.DUMMYFUNCTION("""COMPUTED_VALUE"""),0.0)</f>
        <v>0</v>
      </c>
      <c r="D62" s="26">
        <f>IFERROR(__xludf.DUMMYFUNCTION("""COMPUTED_VALUE"""),0.0)</f>
        <v>0</v>
      </c>
      <c r="E62" s="26">
        <f>IFERROR(__xludf.DUMMYFUNCTION("""COMPUTED_VALUE"""),233.0)</f>
        <v>233</v>
      </c>
      <c r="F62" s="26">
        <f>IFERROR(__xludf.DUMMYFUNCTION("""COMPUTED_VALUE"""),0.0)</f>
        <v>0</v>
      </c>
      <c r="G62" s="26">
        <f>IFERROR(__xludf.DUMMYFUNCTION("""COMPUTED_VALUE"""),0.0)</f>
        <v>0</v>
      </c>
      <c r="H62" s="26">
        <f>IFERROR(__xludf.DUMMYFUNCTION("""COMPUTED_VALUE"""),0.0)</f>
        <v>0</v>
      </c>
      <c r="I62" s="26">
        <f>IFERROR(__xludf.DUMMYFUNCTION("""COMPUTED_VALUE"""),0.0)</f>
        <v>0</v>
      </c>
      <c r="J62" s="26">
        <f>IFERROR(__xludf.DUMMYFUNCTION("""COMPUTED_VALUE"""),0.0)</f>
        <v>0</v>
      </c>
      <c r="K62" s="26">
        <f>IFERROR(__xludf.DUMMYFUNCTION("""COMPUTED_VALUE"""),0.0)</f>
        <v>0</v>
      </c>
      <c r="L62" s="26"/>
      <c r="M62" s="26"/>
      <c r="N62" s="26"/>
      <c r="O62" s="26"/>
      <c r="P62" s="26"/>
      <c r="Q62" s="26"/>
      <c r="R62" s="26">
        <f>IFERROR(__xludf.DUMMYFUNCTION("""COMPUTED_VALUE"""),407750.0)</f>
        <v>407750</v>
      </c>
      <c r="S62" s="26">
        <f>IFERROR(__xludf.DUMMYFUNCTION("""COMPUTED_VALUE"""),39610.0)</f>
        <v>39610</v>
      </c>
      <c r="T62" s="26">
        <f>IFERROR(__xludf.DUMMYFUNCTION("""COMPUTED_VALUE"""),0.0)</f>
        <v>0</v>
      </c>
      <c r="U62" s="26">
        <f>IFERROR(__xludf.DUMMYFUNCTION("""COMPUTED_VALUE"""),0.0)</f>
        <v>0</v>
      </c>
      <c r="V62" s="26">
        <f>IFERROR(__xludf.DUMMYFUNCTION("""COMPUTED_VALUE"""),62199.3500000001)</f>
        <v>62199.35</v>
      </c>
      <c r="W62" s="26">
        <f>IFERROR(__xludf.DUMMYFUNCTION("""COMPUTED_VALUE"""),0.0)</f>
        <v>0</v>
      </c>
      <c r="X62" s="26">
        <f>IFERROR(__xludf.DUMMYFUNCTION("""COMPUTED_VALUE"""),0.0)</f>
        <v>0</v>
      </c>
      <c r="Y62" s="26">
        <f>IFERROR(__xludf.DUMMYFUNCTION("""COMPUTED_VALUE"""),0.0)</f>
        <v>0</v>
      </c>
      <c r="Z62" s="26">
        <f>IFERROR(__xludf.DUMMYFUNCTION("""COMPUTED_VALUE"""),0.0)</f>
        <v>0</v>
      </c>
      <c r="AA62" s="26">
        <f>IFERROR(__xludf.DUMMYFUNCTION("""COMPUTED_VALUE"""),0.0)</f>
        <v>0</v>
      </c>
      <c r="AB62" s="26">
        <f>IFERROR(__xludf.DUMMYFUNCTION("""COMPUTED_VALUE"""),0.0)</f>
        <v>0</v>
      </c>
      <c r="AC62" s="26">
        <f>IFERROR(__xludf.DUMMYFUNCTION("""COMPUTED_VALUE"""),0.0)</f>
        <v>0</v>
      </c>
      <c r="AD62" s="26">
        <f>IFERROR(__xludf.DUMMYFUNCTION("""COMPUTED_VALUE"""),0.0)</f>
        <v>0</v>
      </c>
      <c r="AE62" s="26">
        <f>IFERROR(__xludf.DUMMYFUNCTION("""COMPUTED_VALUE"""),0.0)</f>
        <v>0</v>
      </c>
    </row>
    <row r="63">
      <c r="A63" s="26">
        <f>IFERROR(__xludf.DUMMYFUNCTION("""COMPUTED_VALUE"""),0.0)</f>
        <v>0</v>
      </c>
      <c r="B63" s="26">
        <f>IFERROR(__xludf.DUMMYFUNCTION("""COMPUTED_VALUE"""),0.0)</f>
        <v>0</v>
      </c>
      <c r="C63" s="26">
        <f>IFERROR(__xludf.DUMMYFUNCTION("""COMPUTED_VALUE"""),0.0)</f>
        <v>0</v>
      </c>
      <c r="D63" s="26">
        <f>IFERROR(__xludf.DUMMYFUNCTION("""COMPUTED_VALUE"""),0.0)</f>
        <v>0</v>
      </c>
      <c r="E63" s="26">
        <f>IFERROR(__xludf.DUMMYFUNCTION("""COMPUTED_VALUE"""),0.0)</f>
        <v>0</v>
      </c>
      <c r="F63" s="26">
        <f>IFERROR(__xludf.DUMMYFUNCTION("""COMPUTED_VALUE"""),0.0)</f>
        <v>0</v>
      </c>
      <c r="G63" s="26">
        <f>IFERROR(__xludf.DUMMYFUNCTION("""COMPUTED_VALUE"""),0.0)</f>
        <v>0</v>
      </c>
      <c r="H63" s="26">
        <f>IFERROR(__xludf.DUMMYFUNCTION("""COMPUTED_VALUE"""),0.0)</f>
        <v>0</v>
      </c>
      <c r="I63" s="26">
        <f>IFERROR(__xludf.DUMMYFUNCTION("""COMPUTED_VALUE"""),0.0)</f>
        <v>0</v>
      </c>
      <c r="J63" s="26">
        <f>IFERROR(__xludf.DUMMYFUNCTION("""COMPUTED_VALUE"""),0.0)</f>
        <v>0</v>
      </c>
      <c r="K63" s="26">
        <f>IFERROR(__xludf.DUMMYFUNCTION("""COMPUTED_VALUE"""),0.0)</f>
        <v>0</v>
      </c>
      <c r="L63" s="26"/>
      <c r="M63" s="26"/>
      <c r="N63" s="26"/>
      <c r="O63" s="26"/>
      <c r="P63" s="26"/>
      <c r="Q63" s="26"/>
      <c r="R63" s="26">
        <f>IFERROR(__xludf.DUMMYFUNCTION("""COMPUTED_VALUE"""),0.0)</f>
        <v>0</v>
      </c>
      <c r="S63" s="26">
        <f>IFERROR(__xludf.DUMMYFUNCTION("""COMPUTED_VALUE"""),0.0)</f>
        <v>0</v>
      </c>
      <c r="T63" s="26">
        <f>IFERROR(__xludf.DUMMYFUNCTION("""COMPUTED_VALUE"""),0.0)</f>
        <v>0</v>
      </c>
      <c r="U63" s="26">
        <f>IFERROR(__xludf.DUMMYFUNCTION("""COMPUTED_VALUE"""),0.0)</f>
        <v>0</v>
      </c>
      <c r="V63" s="26">
        <f>IFERROR(__xludf.DUMMYFUNCTION("""COMPUTED_VALUE"""),0.0)</f>
        <v>0</v>
      </c>
      <c r="W63" s="26">
        <f>IFERROR(__xludf.DUMMYFUNCTION("""COMPUTED_VALUE"""),0.0)</f>
        <v>0</v>
      </c>
      <c r="X63" s="26">
        <f>IFERROR(__xludf.DUMMYFUNCTION("""COMPUTED_VALUE"""),0.0)</f>
        <v>0</v>
      </c>
      <c r="Y63" s="26">
        <f>IFERROR(__xludf.DUMMYFUNCTION("""COMPUTED_VALUE"""),0.0)</f>
        <v>0</v>
      </c>
      <c r="Z63" s="26">
        <f>IFERROR(__xludf.DUMMYFUNCTION("""COMPUTED_VALUE"""),0.0)</f>
        <v>0</v>
      </c>
      <c r="AA63" s="26">
        <f>IFERROR(__xludf.DUMMYFUNCTION("""COMPUTED_VALUE"""),0.0)</f>
        <v>0</v>
      </c>
      <c r="AB63" s="26">
        <f>IFERROR(__xludf.DUMMYFUNCTION("""COMPUTED_VALUE"""),0.0)</f>
        <v>0</v>
      </c>
      <c r="AC63" s="26">
        <f>IFERROR(__xludf.DUMMYFUNCTION("""COMPUTED_VALUE"""),-16451.0)</f>
        <v>-16451</v>
      </c>
      <c r="AD63" s="26">
        <f>IFERROR(__xludf.DUMMYFUNCTION("""COMPUTED_VALUE"""),-16451.0)</f>
        <v>-16451</v>
      </c>
      <c r="AE63" s="26">
        <f>IFERROR(__xludf.DUMMYFUNCTION("""COMPUTED_VALUE"""),0.0)</f>
        <v>0</v>
      </c>
    </row>
    <row r="64">
      <c r="A64" s="26">
        <f>IFERROR(__xludf.DUMMYFUNCTION("""COMPUTED_VALUE"""),3.0)</f>
        <v>3</v>
      </c>
      <c r="B64" s="26">
        <f>IFERROR(__xludf.DUMMYFUNCTION("""COMPUTED_VALUE"""),0.0)</f>
        <v>0</v>
      </c>
      <c r="C64" s="26">
        <f>IFERROR(__xludf.DUMMYFUNCTION("""COMPUTED_VALUE"""),3.0)</f>
        <v>3</v>
      </c>
      <c r="D64" s="26">
        <f>IFERROR(__xludf.DUMMYFUNCTION("""COMPUTED_VALUE"""),0.0)</f>
        <v>0</v>
      </c>
      <c r="E64" s="26">
        <f>IFERROR(__xludf.DUMMYFUNCTION("""COMPUTED_VALUE"""),0.0)</f>
        <v>0</v>
      </c>
      <c r="F64" s="26">
        <f>IFERROR(__xludf.DUMMYFUNCTION("""COMPUTED_VALUE"""),0.0)</f>
        <v>0</v>
      </c>
      <c r="G64" s="26">
        <f>IFERROR(__xludf.DUMMYFUNCTION("""COMPUTED_VALUE"""),0.0)</f>
        <v>0</v>
      </c>
      <c r="H64" s="26">
        <f>IFERROR(__xludf.DUMMYFUNCTION("""COMPUTED_VALUE"""),0.0)</f>
        <v>0</v>
      </c>
      <c r="I64" s="26">
        <f>IFERROR(__xludf.DUMMYFUNCTION("""COMPUTED_VALUE"""),0.0)</f>
        <v>0</v>
      </c>
      <c r="J64" s="26">
        <f>IFERROR(__xludf.DUMMYFUNCTION("""COMPUTED_VALUE"""),0.0)</f>
        <v>0</v>
      </c>
      <c r="K64" s="26">
        <f>IFERROR(__xludf.DUMMYFUNCTION("""COMPUTED_VALUE"""),0.0)</f>
        <v>0</v>
      </c>
      <c r="L64" s="26"/>
      <c r="M64" s="26"/>
      <c r="N64" s="26"/>
      <c r="O64" s="26"/>
      <c r="P64" s="26"/>
      <c r="Q64" s="26"/>
      <c r="R64" s="26">
        <f>IFERROR(__xludf.DUMMYFUNCTION("""COMPUTED_VALUE"""),2652.0)</f>
        <v>2652</v>
      </c>
      <c r="S64" s="26">
        <f>IFERROR(__xludf.DUMMYFUNCTION("""COMPUTED_VALUE"""),1230.0)</f>
        <v>1230</v>
      </c>
      <c r="T64" s="26">
        <f>IFERROR(__xludf.DUMMYFUNCTION("""COMPUTED_VALUE"""),0.0)</f>
        <v>0</v>
      </c>
      <c r="U64" s="26">
        <f>IFERROR(__xludf.DUMMYFUNCTION("""COMPUTED_VALUE"""),0.0)</f>
        <v>0</v>
      </c>
      <c r="V64" s="26">
        <f>IFERROR(__xludf.DUMMYFUNCTION("""COMPUTED_VALUE"""),404.52000000000004)</f>
        <v>404.52</v>
      </c>
      <c r="W64" s="26">
        <f>IFERROR(__xludf.DUMMYFUNCTION("""COMPUTED_VALUE"""),1693.88)</f>
        <v>1693.88</v>
      </c>
      <c r="X64" s="26">
        <f>IFERROR(__xludf.DUMMYFUNCTION("""COMPUTED_VALUE"""),1693.88)</f>
        <v>1693.88</v>
      </c>
      <c r="Y64" s="26">
        <f>IFERROR(__xludf.DUMMYFUNCTION("""COMPUTED_VALUE"""),847.9000000000001)</f>
        <v>847.9</v>
      </c>
      <c r="Z64" s="26">
        <f>IFERROR(__xludf.DUMMYFUNCTION("""COMPUTED_VALUE"""),958.12)</f>
        <v>958.12</v>
      </c>
      <c r="AA64" s="26">
        <f>IFERROR(__xludf.DUMMYFUNCTION("""COMPUTED_VALUE"""),59.36000000000001)</f>
        <v>59.36</v>
      </c>
      <c r="AB64" s="26">
        <f>IFERROR(__xludf.DUMMYFUNCTION("""COMPUTED_VALUE"""),0.0)</f>
        <v>0</v>
      </c>
      <c r="AC64" s="26">
        <f>IFERROR(__xludf.DUMMYFUNCTION("""COMPUTED_VALUE"""),1881.0)</f>
        <v>1881</v>
      </c>
      <c r="AD64" s="26">
        <f>IFERROR(__xludf.DUMMYFUNCTION("""COMPUTED_VALUE"""),1881.0)</f>
        <v>1881</v>
      </c>
      <c r="AE64" s="26">
        <f>IFERROR(__xludf.DUMMYFUNCTION("""COMPUTED_VALUE"""),0.0)</f>
        <v>0</v>
      </c>
    </row>
    <row r="65">
      <c r="A65" s="26">
        <f>IFERROR(__xludf.DUMMYFUNCTION("""COMPUTED_VALUE"""),0.0)</f>
        <v>0</v>
      </c>
      <c r="B65" s="26">
        <f>IFERROR(__xludf.DUMMYFUNCTION("""COMPUTED_VALUE"""),0.0)</f>
        <v>0</v>
      </c>
      <c r="C65" s="26">
        <f>IFERROR(__xludf.DUMMYFUNCTION("""COMPUTED_VALUE"""),0.0)</f>
        <v>0</v>
      </c>
      <c r="D65" s="26">
        <f>IFERROR(__xludf.DUMMYFUNCTION("""COMPUTED_VALUE"""),0.0)</f>
        <v>0</v>
      </c>
      <c r="E65" s="26">
        <f>IFERROR(__xludf.DUMMYFUNCTION("""COMPUTED_VALUE"""),0.0)</f>
        <v>0</v>
      </c>
      <c r="F65" s="26">
        <f>IFERROR(__xludf.DUMMYFUNCTION("""COMPUTED_VALUE"""),0.0)</f>
        <v>0</v>
      </c>
      <c r="G65" s="26">
        <f>IFERROR(__xludf.DUMMYFUNCTION("""COMPUTED_VALUE"""),0.0)</f>
        <v>0</v>
      </c>
      <c r="H65" s="26">
        <f>IFERROR(__xludf.DUMMYFUNCTION("""COMPUTED_VALUE"""),0.0)</f>
        <v>0</v>
      </c>
      <c r="I65" s="26">
        <f>IFERROR(__xludf.DUMMYFUNCTION("""COMPUTED_VALUE"""),0.0)</f>
        <v>0</v>
      </c>
      <c r="J65" s="26">
        <f>IFERROR(__xludf.DUMMYFUNCTION("""COMPUTED_VALUE"""),0.0)</f>
        <v>0</v>
      </c>
      <c r="K65" s="26">
        <f>IFERROR(__xludf.DUMMYFUNCTION("""COMPUTED_VALUE"""),0.0)</f>
        <v>0</v>
      </c>
      <c r="L65" s="26"/>
      <c r="M65" s="26"/>
      <c r="N65" s="26"/>
      <c r="O65" s="26"/>
      <c r="P65" s="26"/>
      <c r="Q65" s="26"/>
      <c r="R65" s="26">
        <f>IFERROR(__xludf.DUMMYFUNCTION("""COMPUTED_VALUE"""),0.0)</f>
        <v>0</v>
      </c>
      <c r="S65" s="26">
        <f>IFERROR(__xludf.DUMMYFUNCTION("""COMPUTED_VALUE"""),0.0)</f>
        <v>0</v>
      </c>
      <c r="T65" s="26">
        <f>IFERROR(__xludf.DUMMYFUNCTION("""COMPUTED_VALUE"""),0.0)</f>
        <v>0</v>
      </c>
      <c r="U65" s="26">
        <f>IFERROR(__xludf.DUMMYFUNCTION("""COMPUTED_VALUE"""),0.0)</f>
        <v>0</v>
      </c>
      <c r="V65" s="26">
        <f>IFERROR(__xludf.DUMMYFUNCTION("""COMPUTED_VALUE"""),0.0)</f>
        <v>0</v>
      </c>
      <c r="W65" s="26">
        <f>IFERROR(__xludf.DUMMYFUNCTION("""COMPUTED_VALUE"""),0.0)</f>
        <v>0</v>
      </c>
      <c r="X65" s="26">
        <f>IFERROR(__xludf.DUMMYFUNCTION("""COMPUTED_VALUE"""),0.0)</f>
        <v>0</v>
      </c>
      <c r="Y65" s="26">
        <f>IFERROR(__xludf.DUMMYFUNCTION("""COMPUTED_VALUE"""),0.0)</f>
        <v>0</v>
      </c>
      <c r="Z65" s="26">
        <f>IFERROR(__xludf.DUMMYFUNCTION("""COMPUTED_VALUE"""),0.0)</f>
        <v>0</v>
      </c>
      <c r="AA65" s="26">
        <f>IFERROR(__xludf.DUMMYFUNCTION("""COMPUTED_VALUE"""),0.0)</f>
        <v>0</v>
      </c>
      <c r="AB65" s="26">
        <f>IFERROR(__xludf.DUMMYFUNCTION("""COMPUTED_VALUE"""),0.0)</f>
        <v>0</v>
      </c>
      <c r="AC65" s="26">
        <f>IFERROR(__xludf.DUMMYFUNCTION("""COMPUTED_VALUE"""),0.0)</f>
        <v>0</v>
      </c>
      <c r="AD65" s="26">
        <f>IFERROR(__xludf.DUMMYFUNCTION("""COMPUTED_VALUE"""),0.0)</f>
        <v>0</v>
      </c>
      <c r="AE65" s="26">
        <f>IFERROR(__xludf.DUMMYFUNCTION("""COMPUTED_VALUE"""),0.0)</f>
        <v>0</v>
      </c>
    </row>
    <row r="66">
      <c r="A66" s="26">
        <f>IFERROR(__xludf.DUMMYFUNCTION("""COMPUTED_VALUE"""),46.0)</f>
        <v>46</v>
      </c>
      <c r="B66" s="26">
        <f>IFERROR(__xludf.DUMMYFUNCTION("""COMPUTED_VALUE"""),0.0)</f>
        <v>0</v>
      </c>
      <c r="C66" s="26">
        <f>IFERROR(__xludf.DUMMYFUNCTION("""COMPUTED_VALUE"""),0.0)</f>
        <v>0</v>
      </c>
      <c r="D66" s="26">
        <f>IFERROR(__xludf.DUMMYFUNCTION("""COMPUTED_VALUE"""),0.0)</f>
        <v>0</v>
      </c>
      <c r="E66" s="26">
        <f>IFERROR(__xludf.DUMMYFUNCTION("""COMPUTED_VALUE"""),0.0)</f>
        <v>0</v>
      </c>
      <c r="F66" s="26">
        <f>IFERROR(__xludf.DUMMYFUNCTION("""COMPUTED_VALUE"""),0.0)</f>
        <v>0</v>
      </c>
      <c r="G66" s="26">
        <f>IFERROR(__xludf.DUMMYFUNCTION("""COMPUTED_VALUE"""),0.0)</f>
        <v>0</v>
      </c>
      <c r="H66" s="26">
        <f>IFERROR(__xludf.DUMMYFUNCTION("""COMPUTED_VALUE"""),0.0)</f>
        <v>0</v>
      </c>
      <c r="I66" s="26">
        <f>IFERROR(__xludf.DUMMYFUNCTION("""COMPUTED_VALUE"""),0.0)</f>
        <v>0</v>
      </c>
      <c r="J66" s="26">
        <f>IFERROR(__xludf.DUMMYFUNCTION("""COMPUTED_VALUE"""),0.0)</f>
        <v>0</v>
      </c>
      <c r="K66" s="26">
        <f>IFERROR(__xludf.DUMMYFUNCTION("""COMPUTED_VALUE"""),0.0)</f>
        <v>0</v>
      </c>
      <c r="L66" s="26"/>
      <c r="M66" s="26"/>
      <c r="N66" s="26"/>
      <c r="O66" s="26"/>
      <c r="P66" s="26"/>
      <c r="Q66" s="26"/>
      <c r="R66" s="26">
        <f>IFERROR(__xludf.DUMMYFUNCTION("""COMPUTED_VALUE"""),17940.0)</f>
        <v>17940</v>
      </c>
      <c r="S66" s="26">
        <f>IFERROR(__xludf.DUMMYFUNCTION("""COMPUTED_VALUE"""),9430.0)</f>
        <v>9430</v>
      </c>
      <c r="T66" s="26">
        <f>IFERROR(__xludf.DUMMYFUNCTION("""COMPUTED_VALUE"""),0.0)</f>
        <v>0</v>
      </c>
      <c r="U66" s="26">
        <f>IFERROR(__xludf.DUMMYFUNCTION("""COMPUTED_VALUE"""),0.0)</f>
        <v>0</v>
      </c>
      <c r="V66" s="26">
        <f>IFERROR(__xludf.DUMMYFUNCTION("""COMPUTED_VALUE"""),2736.5399999999977)</f>
        <v>2736.54</v>
      </c>
      <c r="W66" s="26">
        <f>IFERROR(__xludf.DUMMYFUNCTION("""COMPUTED_VALUE"""),0.0)</f>
        <v>0</v>
      </c>
      <c r="X66" s="26">
        <f>IFERROR(__xludf.DUMMYFUNCTION("""COMPUTED_VALUE"""),0.0)</f>
        <v>0</v>
      </c>
      <c r="Y66" s="26">
        <f>IFERROR(__xludf.DUMMYFUNCTION("""COMPUTED_VALUE"""),0.0)</f>
        <v>0</v>
      </c>
      <c r="Z66" s="26">
        <f>IFERROR(__xludf.DUMMYFUNCTION("""COMPUTED_VALUE"""),0.0)</f>
        <v>0</v>
      </c>
      <c r="AA66" s="26">
        <f>IFERROR(__xludf.DUMMYFUNCTION("""COMPUTED_VALUE"""),0.0)</f>
        <v>0</v>
      </c>
      <c r="AB66" s="26">
        <f>IFERROR(__xludf.DUMMYFUNCTION("""COMPUTED_VALUE"""),0.0)</f>
        <v>0</v>
      </c>
      <c r="AC66" s="26">
        <f>IFERROR(__xludf.DUMMYFUNCTION("""COMPUTED_VALUE"""),0.0)</f>
        <v>0</v>
      </c>
      <c r="AD66" s="26">
        <f>IFERROR(__xludf.DUMMYFUNCTION("""COMPUTED_VALUE"""),0.0)</f>
        <v>0</v>
      </c>
      <c r="AE66" s="26">
        <f>IFERROR(__xludf.DUMMYFUNCTION("""COMPUTED_VALUE"""),0.0)</f>
        <v>0</v>
      </c>
    </row>
    <row r="67">
      <c r="A67" s="26">
        <f>IFERROR(__xludf.DUMMYFUNCTION("""COMPUTED_VALUE"""),0.0)</f>
        <v>0</v>
      </c>
      <c r="B67" s="26">
        <f>IFERROR(__xludf.DUMMYFUNCTION("""COMPUTED_VALUE"""),0.0)</f>
        <v>0</v>
      </c>
      <c r="C67" s="26">
        <f>IFERROR(__xludf.DUMMYFUNCTION("""COMPUTED_VALUE"""),0.0)</f>
        <v>0</v>
      </c>
      <c r="D67" s="26">
        <f>IFERROR(__xludf.DUMMYFUNCTION("""COMPUTED_VALUE"""),0.0)</f>
        <v>0</v>
      </c>
      <c r="E67" s="26">
        <f>IFERROR(__xludf.DUMMYFUNCTION("""COMPUTED_VALUE"""),0.0)</f>
        <v>0</v>
      </c>
      <c r="F67" s="26">
        <f>IFERROR(__xludf.DUMMYFUNCTION("""COMPUTED_VALUE"""),0.0)</f>
        <v>0</v>
      </c>
      <c r="G67" s="26">
        <f>IFERROR(__xludf.DUMMYFUNCTION("""COMPUTED_VALUE"""),0.0)</f>
        <v>0</v>
      </c>
      <c r="H67" s="26">
        <f>IFERROR(__xludf.DUMMYFUNCTION("""COMPUTED_VALUE"""),0.0)</f>
        <v>0</v>
      </c>
      <c r="I67" s="26">
        <f>IFERROR(__xludf.DUMMYFUNCTION("""COMPUTED_VALUE"""),0.0)</f>
        <v>0</v>
      </c>
      <c r="J67" s="26">
        <f>IFERROR(__xludf.DUMMYFUNCTION("""COMPUTED_VALUE"""),0.0)</f>
        <v>0</v>
      </c>
      <c r="K67" s="26">
        <f>IFERROR(__xludf.DUMMYFUNCTION("""COMPUTED_VALUE"""),0.0)</f>
        <v>0</v>
      </c>
      <c r="L67" s="26"/>
      <c r="M67" s="26"/>
      <c r="N67" s="26"/>
      <c r="O67" s="26"/>
      <c r="P67" s="26"/>
      <c r="Q67" s="26"/>
      <c r="R67" s="26">
        <f>IFERROR(__xludf.DUMMYFUNCTION("""COMPUTED_VALUE"""),0.0)</f>
        <v>0</v>
      </c>
      <c r="S67" s="26">
        <f>IFERROR(__xludf.DUMMYFUNCTION("""COMPUTED_VALUE"""),0.0)</f>
        <v>0</v>
      </c>
      <c r="T67" s="26">
        <f>IFERROR(__xludf.DUMMYFUNCTION("""COMPUTED_VALUE"""),0.0)</f>
        <v>0</v>
      </c>
      <c r="U67" s="26">
        <f>IFERROR(__xludf.DUMMYFUNCTION("""COMPUTED_VALUE"""),0.0)</f>
        <v>0</v>
      </c>
      <c r="V67" s="26">
        <f>IFERROR(__xludf.DUMMYFUNCTION("""COMPUTED_VALUE"""),0.0)</f>
        <v>0</v>
      </c>
      <c r="W67" s="26">
        <f>IFERROR(__xludf.DUMMYFUNCTION("""COMPUTED_VALUE"""),0.0)</f>
        <v>0</v>
      </c>
      <c r="X67" s="26">
        <f>IFERROR(__xludf.DUMMYFUNCTION("""COMPUTED_VALUE"""),0.0)</f>
        <v>0</v>
      </c>
      <c r="Y67" s="26">
        <f>IFERROR(__xludf.DUMMYFUNCTION("""COMPUTED_VALUE"""),0.0)</f>
        <v>0</v>
      </c>
      <c r="Z67" s="26">
        <f>IFERROR(__xludf.DUMMYFUNCTION("""COMPUTED_VALUE"""),0.0)</f>
        <v>0</v>
      </c>
      <c r="AA67" s="26">
        <f>IFERROR(__xludf.DUMMYFUNCTION("""COMPUTED_VALUE"""),0.0)</f>
        <v>0</v>
      </c>
      <c r="AB67" s="26">
        <f>IFERROR(__xludf.DUMMYFUNCTION("""COMPUTED_VALUE"""),0.0)</f>
        <v>0</v>
      </c>
      <c r="AC67" s="26">
        <f>IFERROR(__xludf.DUMMYFUNCTION("""COMPUTED_VALUE"""),0.0)</f>
        <v>0</v>
      </c>
      <c r="AD67" s="26">
        <f>IFERROR(__xludf.DUMMYFUNCTION("""COMPUTED_VALUE"""),0.0)</f>
        <v>0</v>
      </c>
      <c r="AE67" s="26">
        <f>IFERROR(__xludf.DUMMYFUNCTION("""COMPUTED_VALUE"""),0.0)</f>
        <v>0</v>
      </c>
    </row>
    <row r="68">
      <c r="A68" s="26">
        <f>IFERROR(__xludf.DUMMYFUNCTION("""COMPUTED_VALUE"""),0.0)</f>
        <v>0</v>
      </c>
      <c r="B68" s="26">
        <f>IFERROR(__xludf.DUMMYFUNCTION("""COMPUTED_VALUE"""),0.0)</f>
        <v>0</v>
      </c>
      <c r="C68" s="26">
        <f>IFERROR(__xludf.DUMMYFUNCTION("""COMPUTED_VALUE"""),0.0)</f>
        <v>0</v>
      </c>
      <c r="D68" s="26">
        <f>IFERROR(__xludf.DUMMYFUNCTION("""COMPUTED_VALUE"""),0.0)</f>
        <v>0</v>
      </c>
      <c r="E68" s="26">
        <f>IFERROR(__xludf.DUMMYFUNCTION("""COMPUTED_VALUE"""),0.0)</f>
        <v>0</v>
      </c>
      <c r="F68" s="26">
        <f>IFERROR(__xludf.DUMMYFUNCTION("""COMPUTED_VALUE"""),0.0)</f>
        <v>0</v>
      </c>
      <c r="G68" s="26">
        <f>IFERROR(__xludf.DUMMYFUNCTION("""COMPUTED_VALUE"""),0.0)</f>
        <v>0</v>
      </c>
      <c r="H68" s="26">
        <f>IFERROR(__xludf.DUMMYFUNCTION("""COMPUTED_VALUE"""),0.0)</f>
        <v>0</v>
      </c>
      <c r="I68" s="26">
        <f>IFERROR(__xludf.DUMMYFUNCTION("""COMPUTED_VALUE"""),0.0)</f>
        <v>0</v>
      </c>
      <c r="J68" s="26">
        <f>IFERROR(__xludf.DUMMYFUNCTION("""COMPUTED_VALUE"""),0.0)</f>
        <v>0</v>
      </c>
      <c r="K68" s="26">
        <f>IFERROR(__xludf.DUMMYFUNCTION("""COMPUTED_VALUE"""),0.0)</f>
        <v>0</v>
      </c>
      <c r="L68" s="26"/>
      <c r="M68" s="26"/>
      <c r="N68" s="26"/>
      <c r="O68" s="26"/>
      <c r="P68" s="26"/>
      <c r="Q68" s="26"/>
      <c r="R68" s="26">
        <f>IFERROR(__xludf.DUMMYFUNCTION("""COMPUTED_VALUE"""),0.0)</f>
        <v>0</v>
      </c>
      <c r="S68" s="26">
        <f>IFERROR(__xludf.DUMMYFUNCTION("""COMPUTED_VALUE"""),0.0)</f>
        <v>0</v>
      </c>
      <c r="T68" s="26">
        <f>IFERROR(__xludf.DUMMYFUNCTION("""COMPUTED_VALUE"""),0.0)</f>
        <v>0</v>
      </c>
      <c r="U68" s="26">
        <f>IFERROR(__xludf.DUMMYFUNCTION("""COMPUTED_VALUE"""),0.0)</f>
        <v>0</v>
      </c>
      <c r="V68" s="26">
        <f>IFERROR(__xludf.DUMMYFUNCTION("""COMPUTED_VALUE"""),0.0)</f>
        <v>0</v>
      </c>
      <c r="W68" s="26">
        <f>IFERROR(__xludf.DUMMYFUNCTION("""COMPUTED_VALUE"""),0.0)</f>
        <v>0</v>
      </c>
      <c r="X68" s="26">
        <f>IFERROR(__xludf.DUMMYFUNCTION("""COMPUTED_VALUE"""),0.0)</f>
        <v>0</v>
      </c>
      <c r="Y68" s="26">
        <f>IFERROR(__xludf.DUMMYFUNCTION("""COMPUTED_VALUE"""),0.0)</f>
        <v>0</v>
      </c>
      <c r="Z68" s="26">
        <f>IFERROR(__xludf.DUMMYFUNCTION("""COMPUTED_VALUE"""),0.0)</f>
        <v>0</v>
      </c>
      <c r="AA68" s="26">
        <f>IFERROR(__xludf.DUMMYFUNCTION("""COMPUTED_VALUE"""),0.0)</f>
        <v>0</v>
      </c>
      <c r="AB68" s="26">
        <f>IFERROR(__xludf.DUMMYFUNCTION("""COMPUTED_VALUE"""),0.0)</f>
        <v>0</v>
      </c>
      <c r="AC68" s="26">
        <f>IFERROR(__xludf.DUMMYFUNCTION("""COMPUTED_VALUE"""),0.0)</f>
        <v>0</v>
      </c>
      <c r="AD68" s="26">
        <f>IFERROR(__xludf.DUMMYFUNCTION("""COMPUTED_VALUE"""),0.0)</f>
        <v>0</v>
      </c>
      <c r="AE68" s="26">
        <f>IFERROR(__xludf.DUMMYFUNCTION("""COMPUTED_VALUE"""),0.0)</f>
        <v>0</v>
      </c>
    </row>
    <row r="69">
      <c r="A69" s="26">
        <f>IFERROR(__xludf.DUMMYFUNCTION("""COMPUTED_VALUE"""),0.0)</f>
        <v>0</v>
      </c>
      <c r="B69" s="26">
        <f>IFERROR(__xludf.DUMMYFUNCTION("""COMPUTED_VALUE"""),0.0)</f>
        <v>0</v>
      </c>
      <c r="C69" s="26">
        <f>IFERROR(__xludf.DUMMYFUNCTION("""COMPUTED_VALUE"""),0.0)</f>
        <v>0</v>
      </c>
      <c r="D69" s="26">
        <f>IFERROR(__xludf.DUMMYFUNCTION("""COMPUTED_VALUE"""),0.0)</f>
        <v>0</v>
      </c>
      <c r="E69" s="26">
        <f>IFERROR(__xludf.DUMMYFUNCTION("""COMPUTED_VALUE"""),302.0)</f>
        <v>302</v>
      </c>
      <c r="F69" s="26">
        <f>IFERROR(__xludf.DUMMYFUNCTION("""COMPUTED_VALUE"""),0.0)</f>
        <v>0</v>
      </c>
      <c r="G69" s="26">
        <f>IFERROR(__xludf.DUMMYFUNCTION("""COMPUTED_VALUE"""),0.0)</f>
        <v>0</v>
      </c>
      <c r="H69" s="26">
        <f>IFERROR(__xludf.DUMMYFUNCTION("""COMPUTED_VALUE"""),0.0)</f>
        <v>0</v>
      </c>
      <c r="I69" s="26">
        <f>IFERROR(__xludf.DUMMYFUNCTION("""COMPUTED_VALUE"""),0.0)</f>
        <v>0</v>
      </c>
      <c r="J69" s="26">
        <f>IFERROR(__xludf.DUMMYFUNCTION("""COMPUTED_VALUE"""),0.0)</f>
        <v>0</v>
      </c>
      <c r="K69" s="26">
        <f>IFERROR(__xludf.DUMMYFUNCTION("""COMPUTED_VALUE"""),0.0)</f>
        <v>0</v>
      </c>
      <c r="L69" s="26"/>
      <c r="M69" s="26"/>
      <c r="N69" s="26"/>
      <c r="O69" s="26"/>
      <c r="P69" s="26"/>
      <c r="Q69" s="26"/>
      <c r="R69" s="26">
        <f>IFERROR(__xludf.DUMMYFUNCTION("""COMPUTED_VALUE"""),558700.0)</f>
        <v>558700</v>
      </c>
      <c r="S69" s="26">
        <f>IFERROR(__xludf.DUMMYFUNCTION("""COMPUTED_VALUE"""),51340.0)</f>
        <v>51340</v>
      </c>
      <c r="T69" s="26">
        <f>IFERROR(__xludf.DUMMYFUNCTION("""COMPUTED_VALUE"""),0.0)</f>
        <v>0</v>
      </c>
      <c r="U69" s="26">
        <f>IFERROR(__xludf.DUMMYFUNCTION("""COMPUTED_VALUE"""),0.0)</f>
        <v>0</v>
      </c>
      <c r="V69" s="26">
        <f>IFERROR(__xludf.DUMMYFUNCTION("""COMPUTED_VALUE"""),85224.39999999998)</f>
        <v>85224.4</v>
      </c>
      <c r="W69" s="26">
        <f>IFERROR(__xludf.DUMMYFUNCTION("""COMPUTED_VALUE"""),0.0)</f>
        <v>0</v>
      </c>
      <c r="X69" s="26">
        <f>IFERROR(__xludf.DUMMYFUNCTION("""COMPUTED_VALUE"""),0.0)</f>
        <v>0</v>
      </c>
      <c r="Y69" s="26">
        <f>IFERROR(__xludf.DUMMYFUNCTION("""COMPUTED_VALUE"""),0.0)</f>
        <v>0</v>
      </c>
      <c r="Z69" s="26">
        <f>IFERROR(__xludf.DUMMYFUNCTION("""COMPUTED_VALUE"""),0.0)</f>
        <v>0</v>
      </c>
      <c r="AA69" s="26">
        <f>IFERROR(__xludf.DUMMYFUNCTION("""COMPUTED_VALUE"""),0.0)</f>
        <v>0</v>
      </c>
      <c r="AB69" s="26">
        <f>IFERROR(__xludf.DUMMYFUNCTION("""COMPUTED_VALUE"""),0.0)</f>
        <v>0</v>
      </c>
      <c r="AC69" s="26">
        <f>IFERROR(__xludf.DUMMYFUNCTION("""COMPUTED_VALUE"""),0.0)</f>
        <v>0</v>
      </c>
      <c r="AD69" s="26">
        <f>IFERROR(__xludf.DUMMYFUNCTION("""COMPUTED_VALUE"""),0.0)</f>
        <v>0</v>
      </c>
      <c r="AE69" s="26">
        <f>IFERROR(__xludf.DUMMYFUNCTION("""COMPUTED_VALUE"""),0.0)</f>
        <v>0</v>
      </c>
    </row>
    <row r="70">
      <c r="A70" s="26">
        <f>IFERROR(__xludf.DUMMYFUNCTION("""COMPUTED_VALUE"""),0.0)</f>
        <v>0</v>
      </c>
      <c r="B70" s="26">
        <f>IFERROR(__xludf.DUMMYFUNCTION("""COMPUTED_VALUE"""),0.0)</f>
        <v>0</v>
      </c>
      <c r="C70" s="26">
        <f>IFERROR(__xludf.DUMMYFUNCTION("""COMPUTED_VALUE"""),0.0)</f>
        <v>0</v>
      </c>
      <c r="D70" s="26">
        <f>IFERROR(__xludf.DUMMYFUNCTION("""COMPUTED_VALUE"""),0.0)</f>
        <v>0</v>
      </c>
      <c r="E70" s="26">
        <f>IFERROR(__xludf.DUMMYFUNCTION("""COMPUTED_VALUE"""),242.0)</f>
        <v>242</v>
      </c>
      <c r="F70" s="26">
        <f>IFERROR(__xludf.DUMMYFUNCTION("""COMPUTED_VALUE"""),0.0)</f>
        <v>0</v>
      </c>
      <c r="G70" s="26">
        <f>IFERROR(__xludf.DUMMYFUNCTION("""COMPUTED_VALUE"""),0.0)</f>
        <v>0</v>
      </c>
      <c r="H70" s="26">
        <f>IFERROR(__xludf.DUMMYFUNCTION("""COMPUTED_VALUE"""),0.0)</f>
        <v>0</v>
      </c>
      <c r="I70" s="26">
        <f>IFERROR(__xludf.DUMMYFUNCTION("""COMPUTED_VALUE"""),0.0)</f>
        <v>0</v>
      </c>
      <c r="J70" s="26">
        <f>IFERROR(__xludf.DUMMYFUNCTION("""COMPUTED_VALUE"""),0.0)</f>
        <v>0</v>
      </c>
      <c r="K70" s="26">
        <f>IFERROR(__xludf.DUMMYFUNCTION("""COMPUTED_VALUE"""),0.0)</f>
        <v>0</v>
      </c>
      <c r="L70" s="26"/>
      <c r="M70" s="26"/>
      <c r="N70" s="26"/>
      <c r="O70" s="26"/>
      <c r="P70" s="26"/>
      <c r="Q70" s="26"/>
      <c r="R70" s="26">
        <f>IFERROR(__xludf.DUMMYFUNCTION("""COMPUTED_VALUE"""),447700.0)</f>
        <v>447700</v>
      </c>
      <c r="S70" s="26">
        <f>IFERROR(__xludf.DUMMYFUNCTION("""COMPUTED_VALUE"""),41140.0)</f>
        <v>41140</v>
      </c>
      <c r="T70" s="26">
        <f>IFERROR(__xludf.DUMMYFUNCTION("""COMPUTED_VALUE"""),0.0)</f>
        <v>0</v>
      </c>
      <c r="U70" s="26">
        <f>IFERROR(__xludf.DUMMYFUNCTION("""COMPUTED_VALUE"""),0.0)</f>
        <v>0</v>
      </c>
      <c r="V70" s="26">
        <f>IFERROR(__xludf.DUMMYFUNCTION("""COMPUTED_VALUE"""),68292.40000000005)</f>
        <v>68292.4</v>
      </c>
      <c r="W70" s="26">
        <f>IFERROR(__xludf.DUMMYFUNCTION("""COMPUTED_VALUE"""),0.0)</f>
        <v>0</v>
      </c>
      <c r="X70" s="26">
        <f>IFERROR(__xludf.DUMMYFUNCTION("""COMPUTED_VALUE"""),0.0)</f>
        <v>0</v>
      </c>
      <c r="Y70" s="26">
        <f>IFERROR(__xludf.DUMMYFUNCTION("""COMPUTED_VALUE"""),0.0)</f>
        <v>0</v>
      </c>
      <c r="Z70" s="26">
        <f>IFERROR(__xludf.DUMMYFUNCTION("""COMPUTED_VALUE"""),0.0)</f>
        <v>0</v>
      </c>
      <c r="AA70" s="26">
        <f>IFERROR(__xludf.DUMMYFUNCTION("""COMPUTED_VALUE"""),0.0)</f>
        <v>0</v>
      </c>
      <c r="AB70" s="26">
        <f>IFERROR(__xludf.DUMMYFUNCTION("""COMPUTED_VALUE"""),0.0)</f>
        <v>0</v>
      </c>
      <c r="AC70" s="26">
        <f>IFERROR(__xludf.DUMMYFUNCTION("""COMPUTED_VALUE"""),0.0)</f>
        <v>0</v>
      </c>
      <c r="AD70" s="26">
        <f>IFERROR(__xludf.DUMMYFUNCTION("""COMPUTED_VALUE"""),0.0)</f>
        <v>0</v>
      </c>
      <c r="AE70" s="26">
        <f>IFERROR(__xludf.DUMMYFUNCTION("""COMPUTED_VALUE"""),0.0)</f>
        <v>0</v>
      </c>
    </row>
    <row r="71">
      <c r="A71" s="26">
        <f>IFERROR(__xludf.DUMMYFUNCTION("""COMPUTED_VALUE"""),0.0)</f>
        <v>0</v>
      </c>
      <c r="B71" s="26">
        <f>IFERROR(__xludf.DUMMYFUNCTION("""COMPUTED_VALUE"""),0.0)</f>
        <v>0</v>
      </c>
      <c r="C71" s="26">
        <f>IFERROR(__xludf.DUMMYFUNCTION("""COMPUTED_VALUE"""),0.0)</f>
        <v>0</v>
      </c>
      <c r="D71" s="26">
        <f>IFERROR(__xludf.DUMMYFUNCTION("""COMPUTED_VALUE"""),0.0)</f>
        <v>0</v>
      </c>
      <c r="E71" s="26">
        <f>IFERROR(__xludf.DUMMYFUNCTION("""COMPUTED_VALUE"""),6.0)</f>
        <v>6</v>
      </c>
      <c r="F71" s="26">
        <f>IFERROR(__xludf.DUMMYFUNCTION("""COMPUTED_VALUE"""),0.0)</f>
        <v>0</v>
      </c>
      <c r="G71" s="26">
        <f>IFERROR(__xludf.DUMMYFUNCTION("""COMPUTED_VALUE"""),0.0)</f>
        <v>0</v>
      </c>
      <c r="H71" s="26">
        <f>IFERROR(__xludf.DUMMYFUNCTION("""COMPUTED_VALUE"""),0.0)</f>
        <v>0</v>
      </c>
      <c r="I71" s="26">
        <f>IFERROR(__xludf.DUMMYFUNCTION("""COMPUTED_VALUE"""),0.0)</f>
        <v>0</v>
      </c>
      <c r="J71" s="26">
        <f>IFERROR(__xludf.DUMMYFUNCTION("""COMPUTED_VALUE"""),0.0)</f>
        <v>0</v>
      </c>
      <c r="K71" s="26">
        <f>IFERROR(__xludf.DUMMYFUNCTION("""COMPUTED_VALUE"""),0.0)</f>
        <v>0</v>
      </c>
      <c r="L71" s="26"/>
      <c r="M71" s="26"/>
      <c r="N71" s="26"/>
      <c r="O71" s="26"/>
      <c r="P71" s="26"/>
      <c r="Q71" s="26"/>
      <c r="R71" s="26">
        <f>IFERROR(__xludf.DUMMYFUNCTION("""COMPUTED_VALUE"""),8662.0)</f>
        <v>8662</v>
      </c>
      <c r="S71" s="26">
        <f>IFERROR(__xludf.DUMMYFUNCTION("""COMPUTED_VALUE"""),2760.0)</f>
        <v>2760</v>
      </c>
      <c r="T71" s="26">
        <f>IFERROR(__xludf.DUMMYFUNCTION("""COMPUTED_VALUE"""),660.65)</f>
        <v>660.65</v>
      </c>
      <c r="U71" s="26">
        <f>IFERROR(__xludf.DUMMYFUNCTION("""COMPUTED_VALUE"""),660.65)</f>
        <v>660.65</v>
      </c>
      <c r="V71" s="26">
        <f>IFERROR(__xludf.DUMMYFUNCTION("""COMPUTED_VALUE"""),0.0)</f>
        <v>0</v>
      </c>
      <c r="W71" s="26">
        <f>IFERROR(__xludf.DUMMYFUNCTION("""COMPUTED_VALUE"""),8662.0)</f>
        <v>8662</v>
      </c>
      <c r="X71" s="26">
        <f>IFERROR(__xludf.DUMMYFUNCTION("""COMPUTED_VALUE"""),4172.92)</f>
        <v>4172.92</v>
      </c>
      <c r="Y71" s="26">
        <f>IFERROR(__xludf.DUMMYFUNCTION("""COMPUTED_VALUE"""),4489.08)</f>
        <v>4489.08</v>
      </c>
      <c r="Z71" s="26">
        <f>IFERROR(__xludf.DUMMYFUNCTION("""COMPUTED_VALUE"""),0.0)</f>
        <v>0</v>
      </c>
      <c r="AA71" s="26">
        <f>IFERROR(__xludf.DUMMYFUNCTION("""COMPUTED_VALUE"""),91.61999999999999)</f>
        <v>91.62</v>
      </c>
      <c r="AB71" s="26">
        <f>IFERROR(__xludf.DUMMYFUNCTION("""COMPUTED_VALUE"""),4489.08)</f>
        <v>4489.08</v>
      </c>
      <c r="AC71" s="26">
        <f>IFERROR(__xludf.DUMMYFUNCTION("""COMPUTED_VALUE"""),-11322.0)</f>
        <v>-11322</v>
      </c>
      <c r="AD71" s="26">
        <f>IFERROR(__xludf.DUMMYFUNCTION("""COMPUTED_VALUE"""),9996.0)</f>
        <v>9996</v>
      </c>
      <c r="AE71" s="26">
        <f>IFERROR(__xludf.DUMMYFUNCTION("""COMPUTED_VALUE"""),0.0)</f>
        <v>0</v>
      </c>
    </row>
    <row r="72">
      <c r="A72" s="26">
        <f>IFERROR(__xludf.DUMMYFUNCTION("""COMPUTED_VALUE"""),0.0)</f>
        <v>0</v>
      </c>
      <c r="B72" s="26">
        <f>IFERROR(__xludf.DUMMYFUNCTION("""COMPUTED_VALUE"""),0.0)</f>
        <v>0</v>
      </c>
      <c r="C72" s="26">
        <f>IFERROR(__xludf.DUMMYFUNCTION("""COMPUTED_VALUE"""),0.0)</f>
        <v>0</v>
      </c>
      <c r="D72" s="26">
        <f>IFERROR(__xludf.DUMMYFUNCTION("""COMPUTED_VALUE"""),0.0)</f>
        <v>0</v>
      </c>
      <c r="E72" s="26">
        <f>IFERROR(__xludf.DUMMYFUNCTION("""COMPUTED_VALUE"""),0.0)</f>
        <v>0</v>
      </c>
      <c r="F72" s="26">
        <f>IFERROR(__xludf.DUMMYFUNCTION("""COMPUTED_VALUE"""),0.0)</f>
        <v>0</v>
      </c>
      <c r="G72" s="26">
        <f>IFERROR(__xludf.DUMMYFUNCTION("""COMPUTED_VALUE"""),0.0)</f>
        <v>0</v>
      </c>
      <c r="H72" s="26">
        <f>IFERROR(__xludf.DUMMYFUNCTION("""COMPUTED_VALUE"""),0.0)</f>
        <v>0</v>
      </c>
      <c r="I72" s="26">
        <f>IFERROR(__xludf.DUMMYFUNCTION("""COMPUTED_VALUE"""),0.0)</f>
        <v>0</v>
      </c>
      <c r="J72" s="26">
        <f>IFERROR(__xludf.DUMMYFUNCTION("""COMPUTED_VALUE"""),0.0)</f>
        <v>0</v>
      </c>
      <c r="K72" s="26">
        <f>IFERROR(__xludf.DUMMYFUNCTION("""COMPUTED_VALUE"""),0.0)</f>
        <v>0</v>
      </c>
      <c r="L72" s="26"/>
      <c r="M72" s="26"/>
      <c r="N72" s="26"/>
      <c r="O72" s="26"/>
      <c r="P72" s="26"/>
      <c r="Q72" s="26"/>
      <c r="R72" s="26">
        <f>IFERROR(__xludf.DUMMYFUNCTION("""COMPUTED_VALUE"""),0.0)</f>
        <v>0</v>
      </c>
      <c r="S72" s="26">
        <f>IFERROR(__xludf.DUMMYFUNCTION("""COMPUTED_VALUE"""),0.0)</f>
        <v>0</v>
      </c>
      <c r="T72" s="26">
        <f>IFERROR(__xludf.DUMMYFUNCTION("""COMPUTED_VALUE"""),0.0)</f>
        <v>0</v>
      </c>
      <c r="U72" s="26">
        <f>IFERROR(__xludf.DUMMYFUNCTION("""COMPUTED_VALUE"""),0.0)</f>
        <v>0</v>
      </c>
      <c r="V72" s="26">
        <f>IFERROR(__xludf.DUMMYFUNCTION("""COMPUTED_VALUE"""),0.0)</f>
        <v>0</v>
      </c>
      <c r="W72" s="26">
        <f>IFERROR(__xludf.DUMMYFUNCTION("""COMPUTED_VALUE"""),0.0)</f>
        <v>0</v>
      </c>
      <c r="X72" s="26">
        <f>IFERROR(__xludf.DUMMYFUNCTION("""COMPUTED_VALUE"""),0.0)</f>
        <v>0</v>
      </c>
      <c r="Y72" s="26">
        <f>IFERROR(__xludf.DUMMYFUNCTION("""COMPUTED_VALUE"""),0.0)</f>
        <v>0</v>
      </c>
      <c r="Z72" s="26">
        <f>IFERROR(__xludf.DUMMYFUNCTION("""COMPUTED_VALUE"""),0.0)</f>
        <v>0</v>
      </c>
      <c r="AA72" s="26">
        <f>IFERROR(__xludf.DUMMYFUNCTION("""COMPUTED_VALUE"""),0.0)</f>
        <v>0</v>
      </c>
      <c r="AB72" s="26">
        <f>IFERROR(__xludf.DUMMYFUNCTION("""COMPUTED_VALUE"""),0.0)</f>
        <v>0</v>
      </c>
      <c r="AC72" s="26">
        <f>IFERROR(__xludf.DUMMYFUNCTION("""COMPUTED_VALUE"""),0.0)</f>
        <v>0</v>
      </c>
      <c r="AD72" s="26">
        <f>IFERROR(__xludf.DUMMYFUNCTION("""COMPUTED_VALUE"""),0.0)</f>
        <v>0</v>
      </c>
      <c r="AE72" s="26">
        <f>IFERROR(__xludf.DUMMYFUNCTION("""COMPUTED_VALUE"""),0.0)</f>
        <v>0</v>
      </c>
    </row>
    <row r="73">
      <c r="A73" s="26">
        <f>IFERROR(__xludf.DUMMYFUNCTION("""COMPUTED_VALUE"""),0.0)</f>
        <v>0</v>
      </c>
      <c r="B73" s="26">
        <f>IFERROR(__xludf.DUMMYFUNCTION("""COMPUTED_VALUE"""),0.0)</f>
        <v>0</v>
      </c>
      <c r="C73" s="26">
        <f>IFERROR(__xludf.DUMMYFUNCTION("""COMPUTED_VALUE"""),0.0)</f>
        <v>0</v>
      </c>
      <c r="D73" s="26">
        <f>IFERROR(__xludf.DUMMYFUNCTION("""COMPUTED_VALUE"""),0.0)</f>
        <v>0</v>
      </c>
      <c r="E73" s="26">
        <f>IFERROR(__xludf.DUMMYFUNCTION("""COMPUTED_VALUE"""),0.0)</f>
        <v>0</v>
      </c>
      <c r="F73" s="26">
        <f>IFERROR(__xludf.DUMMYFUNCTION("""COMPUTED_VALUE"""),0.0)</f>
        <v>0</v>
      </c>
      <c r="G73" s="26">
        <f>IFERROR(__xludf.DUMMYFUNCTION("""COMPUTED_VALUE"""),0.0)</f>
        <v>0</v>
      </c>
      <c r="H73" s="26">
        <f>IFERROR(__xludf.DUMMYFUNCTION("""COMPUTED_VALUE"""),0.0)</f>
        <v>0</v>
      </c>
      <c r="I73" s="26">
        <f>IFERROR(__xludf.DUMMYFUNCTION("""COMPUTED_VALUE"""),0.0)</f>
        <v>0</v>
      </c>
      <c r="J73" s="26">
        <f>IFERROR(__xludf.DUMMYFUNCTION("""COMPUTED_VALUE"""),0.0)</f>
        <v>0</v>
      </c>
      <c r="K73" s="26">
        <f>IFERROR(__xludf.DUMMYFUNCTION("""COMPUTED_VALUE"""),0.0)</f>
        <v>0</v>
      </c>
      <c r="L73" s="26"/>
      <c r="M73" s="26"/>
      <c r="N73" s="26"/>
      <c r="O73" s="26"/>
      <c r="P73" s="26"/>
      <c r="Q73" s="26"/>
      <c r="R73" s="26">
        <f>IFERROR(__xludf.DUMMYFUNCTION("""COMPUTED_VALUE"""),0.0)</f>
        <v>0</v>
      </c>
      <c r="S73" s="26">
        <f>IFERROR(__xludf.DUMMYFUNCTION("""COMPUTED_VALUE"""),0.0)</f>
        <v>0</v>
      </c>
      <c r="T73" s="26">
        <f>IFERROR(__xludf.DUMMYFUNCTION("""COMPUTED_VALUE"""),0.0)</f>
        <v>0</v>
      </c>
      <c r="U73" s="26">
        <f>IFERROR(__xludf.DUMMYFUNCTION("""COMPUTED_VALUE"""),0.0)</f>
        <v>0</v>
      </c>
      <c r="V73" s="26">
        <f>IFERROR(__xludf.DUMMYFUNCTION("""COMPUTED_VALUE"""),0.0)</f>
        <v>0</v>
      </c>
      <c r="W73" s="26">
        <f>IFERROR(__xludf.DUMMYFUNCTION("""COMPUTED_VALUE"""),0.0)</f>
        <v>0</v>
      </c>
      <c r="X73" s="26">
        <f>IFERROR(__xludf.DUMMYFUNCTION("""COMPUTED_VALUE"""),0.0)</f>
        <v>0</v>
      </c>
      <c r="Y73" s="26">
        <f>IFERROR(__xludf.DUMMYFUNCTION("""COMPUTED_VALUE"""),0.0)</f>
        <v>0</v>
      </c>
      <c r="Z73" s="26">
        <f>IFERROR(__xludf.DUMMYFUNCTION("""COMPUTED_VALUE"""),0.0)</f>
        <v>0</v>
      </c>
      <c r="AA73" s="26">
        <f>IFERROR(__xludf.DUMMYFUNCTION("""COMPUTED_VALUE"""),0.0)</f>
        <v>0</v>
      </c>
      <c r="AB73" s="26">
        <f>IFERROR(__xludf.DUMMYFUNCTION("""COMPUTED_VALUE"""),0.0)</f>
        <v>0</v>
      </c>
      <c r="AC73" s="26">
        <f>IFERROR(__xludf.DUMMYFUNCTION("""COMPUTED_VALUE"""),-291985.0)</f>
        <v>-291985</v>
      </c>
      <c r="AD73" s="26">
        <f>IFERROR(__xludf.DUMMYFUNCTION("""COMPUTED_VALUE"""),-197622.0)</f>
        <v>-197622</v>
      </c>
      <c r="AE73" s="26">
        <f>IFERROR(__xludf.DUMMYFUNCTION("""COMPUTED_VALUE"""),197622.0)</f>
        <v>197622</v>
      </c>
    </row>
    <row r="74">
      <c r="A74" s="26">
        <f>IFERROR(__xludf.DUMMYFUNCTION("""COMPUTED_VALUE"""),3.0)</f>
        <v>3</v>
      </c>
      <c r="B74" s="26">
        <f>IFERROR(__xludf.DUMMYFUNCTION("""COMPUTED_VALUE"""),0.0)</f>
        <v>0</v>
      </c>
      <c r="C74" s="26">
        <f>IFERROR(__xludf.DUMMYFUNCTION("""COMPUTED_VALUE"""),0.0)</f>
        <v>0</v>
      </c>
      <c r="D74" s="26">
        <f>IFERROR(__xludf.DUMMYFUNCTION("""COMPUTED_VALUE"""),0.0)</f>
        <v>0</v>
      </c>
      <c r="E74" s="26">
        <f>IFERROR(__xludf.DUMMYFUNCTION("""COMPUTED_VALUE"""),483.0)</f>
        <v>483</v>
      </c>
      <c r="F74" s="26">
        <f>IFERROR(__xludf.DUMMYFUNCTION("""COMPUTED_VALUE"""),0.0)</f>
        <v>0</v>
      </c>
      <c r="G74" s="26">
        <f>IFERROR(__xludf.DUMMYFUNCTION("""COMPUTED_VALUE"""),0.0)</f>
        <v>0</v>
      </c>
      <c r="H74" s="26">
        <f>IFERROR(__xludf.DUMMYFUNCTION("""COMPUTED_VALUE"""),0.0)</f>
        <v>0</v>
      </c>
      <c r="I74" s="26">
        <f>IFERROR(__xludf.DUMMYFUNCTION("""COMPUTED_VALUE"""),0.0)</f>
        <v>0</v>
      </c>
      <c r="J74" s="26">
        <f>IFERROR(__xludf.DUMMYFUNCTION("""COMPUTED_VALUE"""),0.0)</f>
        <v>0</v>
      </c>
      <c r="K74" s="26">
        <f>IFERROR(__xludf.DUMMYFUNCTION("""COMPUTED_VALUE"""),0.0)</f>
        <v>0</v>
      </c>
      <c r="L74" s="26"/>
      <c r="M74" s="26"/>
      <c r="N74" s="26"/>
      <c r="O74" s="26"/>
      <c r="P74" s="26"/>
      <c r="Q74" s="26"/>
      <c r="R74" s="26">
        <f>IFERROR(__xludf.DUMMYFUNCTION("""COMPUTED_VALUE"""),894207.0)</f>
        <v>894207</v>
      </c>
      <c r="S74" s="26">
        <f>IFERROR(__xludf.DUMMYFUNCTION("""COMPUTED_VALUE"""),82620.0)</f>
        <v>82620</v>
      </c>
      <c r="T74" s="26">
        <f>IFERROR(__xludf.DUMMYFUNCTION("""COMPUTED_VALUE"""),0.0)</f>
        <v>0</v>
      </c>
      <c r="U74" s="26">
        <f>IFERROR(__xludf.DUMMYFUNCTION("""COMPUTED_VALUE"""),0.0)</f>
        <v>0</v>
      </c>
      <c r="V74" s="26">
        <f>IFERROR(__xludf.DUMMYFUNCTION("""COMPUTED_VALUE"""),136402.83000000013)</f>
        <v>136402.83</v>
      </c>
      <c r="W74" s="26">
        <f>IFERROR(__xludf.DUMMYFUNCTION("""COMPUTED_VALUE"""),0.0)</f>
        <v>0</v>
      </c>
      <c r="X74" s="26">
        <f>IFERROR(__xludf.DUMMYFUNCTION("""COMPUTED_VALUE"""),0.0)</f>
        <v>0</v>
      </c>
      <c r="Y74" s="26">
        <f>IFERROR(__xludf.DUMMYFUNCTION("""COMPUTED_VALUE"""),0.0)</f>
        <v>0</v>
      </c>
      <c r="Z74" s="26">
        <f>IFERROR(__xludf.DUMMYFUNCTION("""COMPUTED_VALUE"""),0.0)</f>
        <v>0</v>
      </c>
      <c r="AA74" s="26">
        <f>IFERROR(__xludf.DUMMYFUNCTION("""COMPUTED_VALUE"""),0.0)</f>
        <v>0</v>
      </c>
      <c r="AB74" s="26">
        <f>IFERROR(__xludf.DUMMYFUNCTION("""COMPUTED_VALUE"""),0.0)</f>
        <v>0</v>
      </c>
      <c r="AC74" s="26">
        <f>IFERROR(__xludf.DUMMYFUNCTION("""COMPUTED_VALUE"""),0.0)</f>
        <v>0</v>
      </c>
      <c r="AD74" s="26">
        <f>IFERROR(__xludf.DUMMYFUNCTION("""COMPUTED_VALUE"""),0.0)</f>
        <v>0</v>
      </c>
      <c r="AE74" s="26">
        <f>IFERROR(__xludf.DUMMYFUNCTION("""COMPUTED_VALUE"""),0.0)</f>
        <v>0</v>
      </c>
    </row>
    <row r="75">
      <c r="A75" s="26">
        <f>IFERROR(__xludf.DUMMYFUNCTION("""COMPUTED_VALUE"""),0.0)</f>
        <v>0</v>
      </c>
      <c r="B75" s="26">
        <f>IFERROR(__xludf.DUMMYFUNCTION("""COMPUTED_VALUE"""),0.0)</f>
        <v>0</v>
      </c>
      <c r="C75" s="26">
        <f>IFERROR(__xludf.DUMMYFUNCTION("""COMPUTED_VALUE"""),432.0)</f>
        <v>432</v>
      </c>
      <c r="D75" s="26">
        <f>IFERROR(__xludf.DUMMYFUNCTION("""COMPUTED_VALUE"""),0.0)</f>
        <v>0</v>
      </c>
      <c r="E75" s="26">
        <f>IFERROR(__xludf.DUMMYFUNCTION("""COMPUTED_VALUE"""),0.0)</f>
        <v>0</v>
      </c>
      <c r="F75" s="26">
        <f>IFERROR(__xludf.DUMMYFUNCTION("""COMPUTED_VALUE"""),0.0)</f>
        <v>0</v>
      </c>
      <c r="G75" s="26">
        <f>IFERROR(__xludf.DUMMYFUNCTION("""COMPUTED_VALUE"""),0.0)</f>
        <v>0</v>
      </c>
      <c r="H75" s="26">
        <f>IFERROR(__xludf.DUMMYFUNCTION("""COMPUTED_VALUE"""),0.0)</f>
        <v>0</v>
      </c>
      <c r="I75" s="26">
        <f>IFERROR(__xludf.DUMMYFUNCTION("""COMPUTED_VALUE"""),0.0)</f>
        <v>0</v>
      </c>
      <c r="J75" s="26">
        <f>IFERROR(__xludf.DUMMYFUNCTION("""COMPUTED_VALUE"""),0.0)</f>
        <v>0</v>
      </c>
      <c r="K75" s="26">
        <f>IFERROR(__xludf.DUMMYFUNCTION("""COMPUTED_VALUE"""),0.0)</f>
        <v>0</v>
      </c>
      <c r="L75" s="26"/>
      <c r="M75" s="26"/>
      <c r="N75" s="26"/>
      <c r="O75" s="26"/>
      <c r="P75" s="26"/>
      <c r="Q75" s="26"/>
      <c r="R75" s="26">
        <f>IFERROR(__xludf.DUMMYFUNCTION("""COMPUTED_VALUE"""),190944.0)</f>
        <v>190944</v>
      </c>
      <c r="S75" s="26">
        <f>IFERROR(__xludf.DUMMYFUNCTION("""COMPUTED_VALUE"""),88560.0)</f>
        <v>88560</v>
      </c>
      <c r="T75" s="26">
        <f>IFERROR(__xludf.DUMMYFUNCTION("""COMPUTED_VALUE"""),0.0)</f>
        <v>0</v>
      </c>
      <c r="U75" s="26">
        <f>IFERROR(__xludf.DUMMYFUNCTION("""COMPUTED_VALUE"""),0.0)</f>
        <v>0</v>
      </c>
      <c r="V75" s="26">
        <f>IFERROR(__xludf.DUMMYFUNCTION("""COMPUTED_VALUE"""),29125.440000000017)</f>
        <v>29125.44</v>
      </c>
      <c r="W75" s="26">
        <f>IFERROR(__xludf.DUMMYFUNCTION("""COMPUTED_VALUE"""),161563.46000000002)</f>
        <v>161563.46</v>
      </c>
      <c r="X75" s="26">
        <f>IFERROR(__xludf.DUMMYFUNCTION("""COMPUTED_VALUE"""),121932.8600000001)</f>
        <v>121932.86</v>
      </c>
      <c r="Y75" s="26">
        <f>IFERROR(__xludf.DUMMYFUNCTION("""COMPUTED_VALUE"""),55791.82000000003)</f>
        <v>55791.82</v>
      </c>
      <c r="Z75" s="26">
        <f>IFERROR(__xludf.DUMMYFUNCTION("""COMPUTED_VALUE"""),28938.54000000005)</f>
        <v>28938.54</v>
      </c>
      <c r="AA75" s="26">
        <f>IFERROR(__xludf.DUMMYFUNCTION("""COMPUTED_VALUE"""),4519.840000000004)</f>
        <v>4519.84</v>
      </c>
      <c r="AB75" s="26">
        <f>IFERROR(__xludf.DUMMYFUNCTION("""COMPUTED_VALUE"""),39630.600000000006)</f>
        <v>39630.6</v>
      </c>
      <c r="AC75" s="26">
        <f>IFERROR(__xludf.DUMMYFUNCTION("""COMPUTED_VALUE"""),23185.0)</f>
        <v>23185</v>
      </c>
      <c r="AD75" s="26">
        <f>IFERROR(__xludf.DUMMYFUNCTION("""COMPUTED_VALUE"""),166185.0)</f>
        <v>166185</v>
      </c>
      <c r="AE75" s="26">
        <f>IFERROR(__xludf.DUMMYFUNCTION("""COMPUTED_VALUE"""),0.0)</f>
        <v>0</v>
      </c>
    </row>
    <row r="76">
      <c r="A76" s="26">
        <f>IFERROR(__xludf.DUMMYFUNCTION("""COMPUTED_VALUE"""),0.0)</f>
        <v>0</v>
      </c>
      <c r="B76" s="26">
        <f>IFERROR(__xludf.DUMMYFUNCTION("""COMPUTED_VALUE"""),0.0)</f>
        <v>0</v>
      </c>
      <c r="C76" s="26">
        <f>IFERROR(__xludf.DUMMYFUNCTION("""COMPUTED_VALUE"""),0.0)</f>
        <v>0</v>
      </c>
      <c r="D76" s="26">
        <f>IFERROR(__xludf.DUMMYFUNCTION("""COMPUTED_VALUE"""),0.0)</f>
        <v>0</v>
      </c>
      <c r="E76" s="26">
        <f>IFERROR(__xludf.DUMMYFUNCTION("""COMPUTED_VALUE"""),0.0)</f>
        <v>0</v>
      </c>
      <c r="F76" s="26">
        <f>IFERROR(__xludf.DUMMYFUNCTION("""COMPUTED_VALUE"""),0.0)</f>
        <v>0</v>
      </c>
      <c r="G76" s="26">
        <f>IFERROR(__xludf.DUMMYFUNCTION("""COMPUTED_VALUE"""),0.0)</f>
        <v>0</v>
      </c>
      <c r="H76" s="26">
        <f>IFERROR(__xludf.DUMMYFUNCTION("""COMPUTED_VALUE"""),0.0)</f>
        <v>0</v>
      </c>
      <c r="I76" s="26">
        <f>IFERROR(__xludf.DUMMYFUNCTION("""COMPUTED_VALUE"""),0.0)</f>
        <v>0</v>
      </c>
      <c r="J76" s="26">
        <f>IFERROR(__xludf.DUMMYFUNCTION("""COMPUTED_VALUE"""),0.0)</f>
        <v>0</v>
      </c>
      <c r="K76" s="26">
        <f>IFERROR(__xludf.DUMMYFUNCTION("""COMPUTED_VALUE"""),0.0)</f>
        <v>0</v>
      </c>
      <c r="L76" s="26"/>
      <c r="M76" s="26"/>
      <c r="N76" s="26"/>
      <c r="O76" s="26"/>
      <c r="P76" s="26"/>
      <c r="Q76" s="26"/>
      <c r="R76" s="26">
        <f>IFERROR(__xludf.DUMMYFUNCTION("""COMPUTED_VALUE"""),0.0)</f>
        <v>0</v>
      </c>
      <c r="S76" s="26">
        <f>IFERROR(__xludf.DUMMYFUNCTION("""COMPUTED_VALUE"""),0.0)</f>
        <v>0</v>
      </c>
      <c r="T76" s="26">
        <f>IFERROR(__xludf.DUMMYFUNCTION("""COMPUTED_VALUE"""),0.0)</f>
        <v>0</v>
      </c>
      <c r="U76" s="26">
        <f>IFERROR(__xludf.DUMMYFUNCTION("""COMPUTED_VALUE"""),0.0)</f>
        <v>0</v>
      </c>
      <c r="V76" s="26">
        <f>IFERROR(__xludf.DUMMYFUNCTION("""COMPUTED_VALUE"""),0.0)</f>
        <v>0</v>
      </c>
      <c r="W76" s="26">
        <f>IFERROR(__xludf.DUMMYFUNCTION("""COMPUTED_VALUE"""),0.0)</f>
        <v>0</v>
      </c>
      <c r="X76" s="26">
        <f>IFERROR(__xludf.DUMMYFUNCTION("""COMPUTED_VALUE"""),0.0)</f>
        <v>0</v>
      </c>
      <c r="Y76" s="26">
        <f>IFERROR(__xludf.DUMMYFUNCTION("""COMPUTED_VALUE"""),0.0)</f>
        <v>0</v>
      </c>
      <c r="Z76" s="26">
        <f>IFERROR(__xludf.DUMMYFUNCTION("""COMPUTED_VALUE"""),0.0)</f>
        <v>0</v>
      </c>
      <c r="AA76" s="26">
        <f>IFERROR(__xludf.DUMMYFUNCTION("""COMPUTED_VALUE"""),0.0)</f>
        <v>0</v>
      </c>
      <c r="AB76" s="26">
        <f>IFERROR(__xludf.DUMMYFUNCTION("""COMPUTED_VALUE"""),0.0)</f>
        <v>0</v>
      </c>
      <c r="AC76" s="26">
        <f>IFERROR(__xludf.DUMMYFUNCTION("""COMPUTED_VALUE"""),0.0)</f>
        <v>0</v>
      </c>
      <c r="AD76" s="26">
        <f>IFERROR(__xludf.DUMMYFUNCTION("""COMPUTED_VALUE"""),0.0)</f>
        <v>0</v>
      </c>
      <c r="AE76" s="26">
        <f>IFERROR(__xludf.DUMMYFUNCTION("""COMPUTED_VALUE"""),0.0)</f>
        <v>0</v>
      </c>
    </row>
    <row r="77">
      <c r="A77" s="26">
        <f>IFERROR(__xludf.DUMMYFUNCTION("""COMPUTED_VALUE"""),0.0)</f>
        <v>0</v>
      </c>
      <c r="B77" s="26">
        <f>IFERROR(__xludf.DUMMYFUNCTION("""COMPUTED_VALUE"""),0.0)</f>
        <v>0</v>
      </c>
      <c r="C77" s="26">
        <f>IFERROR(__xludf.DUMMYFUNCTION("""COMPUTED_VALUE"""),0.0)</f>
        <v>0</v>
      </c>
      <c r="D77" s="26">
        <f>IFERROR(__xludf.DUMMYFUNCTION("""COMPUTED_VALUE"""),0.0)</f>
        <v>0</v>
      </c>
      <c r="E77" s="26">
        <f>IFERROR(__xludf.DUMMYFUNCTION("""COMPUTED_VALUE"""),0.0)</f>
        <v>0</v>
      </c>
      <c r="F77" s="26">
        <f>IFERROR(__xludf.DUMMYFUNCTION("""COMPUTED_VALUE"""),0.0)</f>
        <v>0</v>
      </c>
      <c r="G77" s="26">
        <f>IFERROR(__xludf.DUMMYFUNCTION("""COMPUTED_VALUE"""),0.0)</f>
        <v>0</v>
      </c>
      <c r="H77" s="26">
        <f>IFERROR(__xludf.DUMMYFUNCTION("""COMPUTED_VALUE"""),0.0)</f>
        <v>0</v>
      </c>
      <c r="I77" s="26">
        <f>IFERROR(__xludf.DUMMYFUNCTION("""COMPUTED_VALUE"""),0.0)</f>
        <v>0</v>
      </c>
      <c r="J77" s="26">
        <f>IFERROR(__xludf.DUMMYFUNCTION("""COMPUTED_VALUE"""),0.0)</f>
        <v>0</v>
      </c>
      <c r="K77" s="26">
        <f>IFERROR(__xludf.DUMMYFUNCTION("""COMPUTED_VALUE"""),0.0)</f>
        <v>0</v>
      </c>
      <c r="L77" s="26"/>
      <c r="M77" s="26"/>
      <c r="N77" s="26"/>
      <c r="O77" s="26"/>
      <c r="P77" s="26"/>
      <c r="Q77" s="26"/>
      <c r="R77" s="26">
        <f>IFERROR(__xludf.DUMMYFUNCTION("""COMPUTED_VALUE"""),0.0)</f>
        <v>0</v>
      </c>
      <c r="S77" s="26">
        <f>IFERROR(__xludf.DUMMYFUNCTION("""COMPUTED_VALUE"""),0.0)</f>
        <v>0</v>
      </c>
      <c r="T77" s="26">
        <f>IFERROR(__xludf.DUMMYFUNCTION("""COMPUTED_VALUE"""),0.0)</f>
        <v>0</v>
      </c>
      <c r="U77" s="26">
        <f>IFERROR(__xludf.DUMMYFUNCTION("""COMPUTED_VALUE"""),0.0)</f>
        <v>0</v>
      </c>
      <c r="V77" s="26">
        <f>IFERROR(__xludf.DUMMYFUNCTION("""COMPUTED_VALUE"""),0.0)</f>
        <v>0</v>
      </c>
      <c r="W77" s="26">
        <f>IFERROR(__xludf.DUMMYFUNCTION("""COMPUTED_VALUE"""),0.0)</f>
        <v>0</v>
      </c>
      <c r="X77" s="26">
        <f>IFERROR(__xludf.DUMMYFUNCTION("""COMPUTED_VALUE"""),0.0)</f>
        <v>0</v>
      </c>
      <c r="Y77" s="26">
        <f>IFERROR(__xludf.DUMMYFUNCTION("""COMPUTED_VALUE"""),0.0)</f>
        <v>0</v>
      </c>
      <c r="Z77" s="26">
        <f>IFERROR(__xludf.DUMMYFUNCTION("""COMPUTED_VALUE"""),0.0)</f>
        <v>0</v>
      </c>
      <c r="AA77" s="26">
        <f>IFERROR(__xludf.DUMMYFUNCTION("""COMPUTED_VALUE"""),0.0)</f>
        <v>0</v>
      </c>
      <c r="AB77" s="26">
        <f>IFERROR(__xludf.DUMMYFUNCTION("""COMPUTED_VALUE"""),0.0)</f>
        <v>0</v>
      </c>
      <c r="AC77" s="26">
        <f>IFERROR(__xludf.DUMMYFUNCTION("""COMPUTED_VALUE"""),0.0)</f>
        <v>0</v>
      </c>
      <c r="AD77" s="26">
        <f>IFERROR(__xludf.DUMMYFUNCTION("""COMPUTED_VALUE"""),0.0)</f>
        <v>0</v>
      </c>
      <c r="AE77" s="26">
        <f>IFERROR(__xludf.DUMMYFUNCTION("""COMPUTED_VALUE"""),0.0)</f>
        <v>0</v>
      </c>
    </row>
    <row r="78">
      <c r="A78" s="26">
        <f>IFERROR(__xludf.DUMMYFUNCTION("""COMPUTED_VALUE"""),0.0)</f>
        <v>0</v>
      </c>
      <c r="B78" s="26">
        <f>IFERROR(__xludf.DUMMYFUNCTION("""COMPUTED_VALUE"""),0.0)</f>
        <v>0</v>
      </c>
      <c r="C78" s="26">
        <f>IFERROR(__xludf.DUMMYFUNCTION("""COMPUTED_VALUE"""),53.0)</f>
        <v>53</v>
      </c>
      <c r="D78" s="26">
        <f>IFERROR(__xludf.DUMMYFUNCTION("""COMPUTED_VALUE"""),0.0)</f>
        <v>0</v>
      </c>
      <c r="E78" s="26">
        <f>IFERROR(__xludf.DUMMYFUNCTION("""COMPUTED_VALUE"""),0.0)</f>
        <v>0</v>
      </c>
      <c r="F78" s="26">
        <f>IFERROR(__xludf.DUMMYFUNCTION("""COMPUTED_VALUE"""),0.0)</f>
        <v>0</v>
      </c>
      <c r="G78" s="26">
        <f>IFERROR(__xludf.DUMMYFUNCTION("""COMPUTED_VALUE"""),0.0)</f>
        <v>0</v>
      </c>
      <c r="H78" s="26">
        <f>IFERROR(__xludf.DUMMYFUNCTION("""COMPUTED_VALUE"""),0.0)</f>
        <v>0</v>
      </c>
      <c r="I78" s="26">
        <f>IFERROR(__xludf.DUMMYFUNCTION("""COMPUTED_VALUE"""),0.0)</f>
        <v>0</v>
      </c>
      <c r="J78" s="26">
        <f>IFERROR(__xludf.DUMMYFUNCTION("""COMPUTED_VALUE"""),0.0)</f>
        <v>0</v>
      </c>
      <c r="K78" s="26">
        <f>IFERROR(__xludf.DUMMYFUNCTION("""COMPUTED_VALUE"""),0.0)</f>
        <v>0</v>
      </c>
      <c r="L78" s="26"/>
      <c r="M78" s="26"/>
      <c r="N78" s="26"/>
      <c r="O78" s="26"/>
      <c r="P78" s="26"/>
      <c r="Q78" s="26"/>
      <c r="R78" s="26">
        <f>IFERROR(__xludf.DUMMYFUNCTION("""COMPUTED_VALUE"""),36570.0)</f>
        <v>36570</v>
      </c>
      <c r="S78" s="26">
        <f>IFERROR(__xludf.DUMMYFUNCTION("""COMPUTED_VALUE"""),15370.0)</f>
        <v>15370</v>
      </c>
      <c r="T78" s="26">
        <f>IFERROR(__xludf.DUMMYFUNCTION("""COMPUTED_VALUE"""),2789.3900000000035)</f>
        <v>2789.39</v>
      </c>
      <c r="U78" s="26">
        <f>IFERROR(__xludf.DUMMYFUNCTION("""COMPUTED_VALUE"""),2789.3900000000035)</f>
        <v>2789.39</v>
      </c>
      <c r="V78" s="26">
        <f>IFERROR(__xludf.DUMMYFUNCTION("""COMPUTED_VALUE"""),0.0)</f>
        <v>0</v>
      </c>
      <c r="W78" s="26">
        <f>IFERROR(__xludf.DUMMYFUNCTION("""COMPUTED_VALUE"""),36570.0)</f>
        <v>36570</v>
      </c>
      <c r="X78" s="26">
        <f>IFERROR(__xludf.DUMMYFUNCTION("""COMPUTED_VALUE"""),21260.950000000008)</f>
        <v>21260.95</v>
      </c>
      <c r="Y78" s="26">
        <f>IFERROR(__xludf.DUMMYFUNCTION("""COMPUTED_VALUE"""),15309.050000000012)</f>
        <v>15309.05</v>
      </c>
      <c r="Z78" s="26">
        <f>IFERROR(__xludf.DUMMYFUNCTION("""COMPUTED_VALUE"""),0.0)</f>
        <v>0</v>
      </c>
      <c r="AA78" s="26">
        <f>IFERROR(__xludf.DUMMYFUNCTION("""COMPUTED_VALUE"""),312.16999999999956)</f>
        <v>312.17</v>
      </c>
      <c r="AB78" s="26">
        <f>IFERROR(__xludf.DUMMYFUNCTION("""COMPUTED_VALUE"""),15309.050000000012)</f>
        <v>15309.05</v>
      </c>
      <c r="AC78" s="26">
        <f>IFERROR(__xludf.DUMMYFUNCTION("""COMPUTED_VALUE"""),-22620.0)</f>
        <v>-22620</v>
      </c>
      <c r="AD78" s="26">
        <f>IFERROR(__xludf.DUMMYFUNCTION("""COMPUTED_VALUE"""),36580.0)</f>
        <v>36580</v>
      </c>
      <c r="AE78" s="26">
        <f>IFERROR(__xludf.DUMMYFUNCTION("""COMPUTED_VALUE"""),0.0)</f>
        <v>0</v>
      </c>
    </row>
    <row r="79">
      <c r="A79" s="26">
        <f>IFERROR(__xludf.DUMMYFUNCTION("""COMPUTED_VALUE"""),0.0)</f>
        <v>0</v>
      </c>
      <c r="B79" s="26">
        <f>IFERROR(__xludf.DUMMYFUNCTION("""COMPUTED_VALUE"""),0.0)</f>
        <v>0</v>
      </c>
      <c r="C79" s="26">
        <f>IFERROR(__xludf.DUMMYFUNCTION("""COMPUTED_VALUE"""),0.0)</f>
        <v>0</v>
      </c>
      <c r="D79" s="26">
        <f>IFERROR(__xludf.DUMMYFUNCTION("""COMPUTED_VALUE"""),0.0)</f>
        <v>0</v>
      </c>
      <c r="E79" s="26">
        <f>IFERROR(__xludf.DUMMYFUNCTION("""COMPUTED_VALUE"""),0.0)</f>
        <v>0</v>
      </c>
      <c r="F79" s="26">
        <f>IFERROR(__xludf.DUMMYFUNCTION("""COMPUTED_VALUE"""),0.0)</f>
        <v>0</v>
      </c>
      <c r="G79" s="26">
        <f>IFERROR(__xludf.DUMMYFUNCTION("""COMPUTED_VALUE"""),0.0)</f>
        <v>0</v>
      </c>
      <c r="H79" s="26">
        <f>IFERROR(__xludf.DUMMYFUNCTION("""COMPUTED_VALUE"""),0.0)</f>
        <v>0</v>
      </c>
      <c r="I79" s="26">
        <f>IFERROR(__xludf.DUMMYFUNCTION("""COMPUTED_VALUE"""),0.0)</f>
        <v>0</v>
      </c>
      <c r="J79" s="26">
        <f>IFERROR(__xludf.DUMMYFUNCTION("""COMPUTED_VALUE"""),0.0)</f>
        <v>0</v>
      </c>
      <c r="K79" s="26">
        <f>IFERROR(__xludf.DUMMYFUNCTION("""COMPUTED_VALUE"""),0.0)</f>
        <v>0</v>
      </c>
      <c r="L79" s="26"/>
      <c r="M79" s="26"/>
      <c r="N79" s="26"/>
      <c r="O79" s="26"/>
      <c r="P79" s="26"/>
      <c r="Q79" s="26"/>
      <c r="R79" s="26">
        <f>IFERROR(__xludf.DUMMYFUNCTION("""COMPUTED_VALUE"""),0.0)</f>
        <v>0</v>
      </c>
      <c r="S79" s="26">
        <f>IFERROR(__xludf.DUMMYFUNCTION("""COMPUTED_VALUE"""),0.0)</f>
        <v>0</v>
      </c>
      <c r="T79" s="26">
        <f>IFERROR(__xludf.DUMMYFUNCTION("""COMPUTED_VALUE"""),0.0)</f>
        <v>0</v>
      </c>
      <c r="U79" s="26">
        <f>IFERROR(__xludf.DUMMYFUNCTION("""COMPUTED_VALUE"""),0.0)</f>
        <v>0</v>
      </c>
      <c r="V79" s="26">
        <f>IFERROR(__xludf.DUMMYFUNCTION("""COMPUTED_VALUE"""),0.0)</f>
        <v>0</v>
      </c>
      <c r="W79" s="26">
        <f>IFERROR(__xludf.DUMMYFUNCTION("""COMPUTED_VALUE"""),0.0)</f>
        <v>0</v>
      </c>
      <c r="X79" s="26">
        <f>IFERROR(__xludf.DUMMYFUNCTION("""COMPUTED_VALUE"""),0.0)</f>
        <v>0</v>
      </c>
      <c r="Y79" s="26">
        <f>IFERROR(__xludf.DUMMYFUNCTION("""COMPUTED_VALUE"""),0.0)</f>
        <v>0</v>
      </c>
      <c r="Z79" s="26">
        <f>IFERROR(__xludf.DUMMYFUNCTION("""COMPUTED_VALUE"""),0.0)</f>
        <v>0</v>
      </c>
      <c r="AA79" s="26">
        <f>IFERROR(__xludf.DUMMYFUNCTION("""COMPUTED_VALUE"""),0.0)</f>
        <v>0</v>
      </c>
      <c r="AB79" s="26">
        <f>IFERROR(__xludf.DUMMYFUNCTION("""COMPUTED_VALUE"""),0.0)</f>
        <v>0</v>
      </c>
      <c r="AC79" s="26">
        <f>IFERROR(__xludf.DUMMYFUNCTION("""COMPUTED_VALUE"""),-160231.0)</f>
        <v>-160231</v>
      </c>
      <c r="AD79" s="26">
        <f>IFERROR(__xludf.DUMMYFUNCTION("""COMPUTED_VALUE"""),0.0)</f>
        <v>0</v>
      </c>
      <c r="AE79" s="26">
        <f>IFERROR(__xludf.DUMMYFUNCTION("""COMPUTED_VALUE"""),0.0)</f>
        <v>0</v>
      </c>
    </row>
    <row r="80">
      <c r="A80" s="26">
        <f>IFERROR(__xludf.DUMMYFUNCTION("""COMPUTED_VALUE"""),0.0)</f>
        <v>0</v>
      </c>
      <c r="B80" s="26">
        <f>IFERROR(__xludf.DUMMYFUNCTION("""COMPUTED_VALUE"""),0.0)</f>
        <v>0</v>
      </c>
      <c r="C80" s="26">
        <f>IFERROR(__xludf.DUMMYFUNCTION("""COMPUTED_VALUE"""),0.0)</f>
        <v>0</v>
      </c>
      <c r="D80" s="26">
        <f>IFERROR(__xludf.DUMMYFUNCTION("""COMPUTED_VALUE"""),0.0)</f>
        <v>0</v>
      </c>
      <c r="E80" s="26">
        <f>IFERROR(__xludf.DUMMYFUNCTION("""COMPUTED_VALUE"""),0.0)</f>
        <v>0</v>
      </c>
      <c r="F80" s="26">
        <f>IFERROR(__xludf.DUMMYFUNCTION("""COMPUTED_VALUE"""),0.0)</f>
        <v>0</v>
      </c>
      <c r="G80" s="26">
        <f>IFERROR(__xludf.DUMMYFUNCTION("""COMPUTED_VALUE"""),0.0)</f>
        <v>0</v>
      </c>
      <c r="H80" s="26">
        <f>IFERROR(__xludf.DUMMYFUNCTION("""COMPUTED_VALUE"""),0.0)</f>
        <v>0</v>
      </c>
      <c r="I80" s="26">
        <f>IFERROR(__xludf.DUMMYFUNCTION("""COMPUTED_VALUE"""),0.0)</f>
        <v>0</v>
      </c>
      <c r="J80" s="26">
        <f>IFERROR(__xludf.DUMMYFUNCTION("""COMPUTED_VALUE"""),0.0)</f>
        <v>0</v>
      </c>
      <c r="K80" s="26">
        <f>IFERROR(__xludf.DUMMYFUNCTION("""COMPUTED_VALUE"""),0.0)</f>
        <v>0</v>
      </c>
      <c r="L80" s="26"/>
      <c r="M80" s="26"/>
      <c r="N80" s="26"/>
      <c r="O80" s="26"/>
      <c r="P80" s="26"/>
      <c r="Q80" s="26"/>
      <c r="R80" s="26">
        <f>IFERROR(__xludf.DUMMYFUNCTION("""COMPUTED_VALUE"""),0.0)</f>
        <v>0</v>
      </c>
      <c r="S80" s="26">
        <f>IFERROR(__xludf.DUMMYFUNCTION("""COMPUTED_VALUE"""),0.0)</f>
        <v>0</v>
      </c>
      <c r="T80" s="26">
        <f>IFERROR(__xludf.DUMMYFUNCTION("""COMPUTED_VALUE"""),0.0)</f>
        <v>0</v>
      </c>
      <c r="U80" s="26">
        <f>IFERROR(__xludf.DUMMYFUNCTION("""COMPUTED_VALUE"""),0.0)</f>
        <v>0</v>
      </c>
      <c r="V80" s="26">
        <f>IFERROR(__xludf.DUMMYFUNCTION("""COMPUTED_VALUE"""),0.0)</f>
        <v>0</v>
      </c>
      <c r="W80" s="26">
        <f>IFERROR(__xludf.DUMMYFUNCTION("""COMPUTED_VALUE"""),0.0)</f>
        <v>0</v>
      </c>
      <c r="X80" s="26">
        <f>IFERROR(__xludf.DUMMYFUNCTION("""COMPUTED_VALUE"""),0.0)</f>
        <v>0</v>
      </c>
      <c r="Y80" s="26">
        <f>IFERROR(__xludf.DUMMYFUNCTION("""COMPUTED_VALUE"""),0.0)</f>
        <v>0</v>
      </c>
      <c r="Z80" s="26">
        <f>IFERROR(__xludf.DUMMYFUNCTION("""COMPUTED_VALUE"""),0.0)</f>
        <v>0</v>
      </c>
      <c r="AA80" s="26">
        <f>IFERROR(__xludf.DUMMYFUNCTION("""COMPUTED_VALUE"""),0.0)</f>
        <v>0</v>
      </c>
      <c r="AB80" s="26">
        <f>IFERROR(__xludf.DUMMYFUNCTION("""COMPUTED_VALUE"""),0.0)</f>
        <v>0</v>
      </c>
      <c r="AC80" s="26">
        <f>IFERROR(__xludf.DUMMYFUNCTION("""COMPUTED_VALUE"""),-4410.0)</f>
        <v>-4410</v>
      </c>
      <c r="AD80" s="26">
        <f>IFERROR(__xludf.DUMMYFUNCTION("""COMPUTED_VALUE"""),0.0)</f>
        <v>0</v>
      </c>
      <c r="AE80" s="26">
        <f>IFERROR(__xludf.DUMMYFUNCTION("""COMPUTED_VALUE"""),0.0)</f>
        <v>0</v>
      </c>
    </row>
    <row r="81">
      <c r="A81" s="26">
        <f>IFERROR(__xludf.DUMMYFUNCTION("""COMPUTED_VALUE"""),0.0)</f>
        <v>0</v>
      </c>
      <c r="B81" s="26">
        <f>IFERROR(__xludf.DUMMYFUNCTION("""COMPUTED_VALUE"""),0.0)</f>
        <v>0</v>
      </c>
      <c r="C81" s="26">
        <f>IFERROR(__xludf.DUMMYFUNCTION("""COMPUTED_VALUE"""),0.0)</f>
        <v>0</v>
      </c>
      <c r="D81" s="26">
        <f>IFERROR(__xludf.DUMMYFUNCTION("""COMPUTED_VALUE"""),0.0)</f>
        <v>0</v>
      </c>
      <c r="E81" s="26">
        <f>IFERROR(__xludf.DUMMYFUNCTION("""COMPUTED_VALUE"""),0.0)</f>
        <v>0</v>
      </c>
      <c r="F81" s="26">
        <f>IFERROR(__xludf.DUMMYFUNCTION("""COMPUTED_VALUE"""),0.0)</f>
        <v>0</v>
      </c>
      <c r="G81" s="26">
        <f>IFERROR(__xludf.DUMMYFUNCTION("""COMPUTED_VALUE"""),0.0)</f>
        <v>0</v>
      </c>
      <c r="H81" s="26">
        <f>IFERROR(__xludf.DUMMYFUNCTION("""COMPUTED_VALUE"""),0.0)</f>
        <v>0</v>
      </c>
      <c r="I81" s="26">
        <f>IFERROR(__xludf.DUMMYFUNCTION("""COMPUTED_VALUE"""),0.0)</f>
        <v>0</v>
      </c>
      <c r="J81" s="26">
        <f>IFERROR(__xludf.DUMMYFUNCTION("""COMPUTED_VALUE"""),0.0)</f>
        <v>0</v>
      </c>
      <c r="K81" s="26">
        <f>IFERROR(__xludf.DUMMYFUNCTION("""COMPUTED_VALUE"""),0.0)</f>
        <v>0</v>
      </c>
      <c r="L81" s="26"/>
      <c r="M81" s="26"/>
      <c r="N81" s="26"/>
      <c r="O81" s="26"/>
      <c r="P81" s="26"/>
      <c r="Q81" s="26"/>
      <c r="R81" s="26">
        <f>IFERROR(__xludf.DUMMYFUNCTION("""COMPUTED_VALUE"""),0.0)</f>
        <v>0</v>
      </c>
      <c r="S81" s="26">
        <f>IFERROR(__xludf.DUMMYFUNCTION("""COMPUTED_VALUE"""),0.0)</f>
        <v>0</v>
      </c>
      <c r="T81" s="26">
        <f>IFERROR(__xludf.DUMMYFUNCTION("""COMPUTED_VALUE"""),0.0)</f>
        <v>0</v>
      </c>
      <c r="U81" s="26">
        <f>IFERROR(__xludf.DUMMYFUNCTION("""COMPUTED_VALUE"""),0.0)</f>
        <v>0</v>
      </c>
      <c r="V81" s="26">
        <f>IFERROR(__xludf.DUMMYFUNCTION("""COMPUTED_VALUE"""),0.0)</f>
        <v>0</v>
      </c>
      <c r="W81" s="26">
        <f>IFERROR(__xludf.DUMMYFUNCTION("""COMPUTED_VALUE"""),0.0)</f>
        <v>0</v>
      </c>
      <c r="X81" s="26">
        <f>IFERROR(__xludf.DUMMYFUNCTION("""COMPUTED_VALUE"""),0.0)</f>
        <v>0</v>
      </c>
      <c r="Y81" s="26">
        <f>IFERROR(__xludf.DUMMYFUNCTION("""COMPUTED_VALUE"""),0.0)</f>
        <v>0</v>
      </c>
      <c r="Z81" s="26">
        <f>IFERROR(__xludf.DUMMYFUNCTION("""COMPUTED_VALUE"""),0.0)</f>
        <v>0</v>
      </c>
      <c r="AA81" s="26">
        <f>IFERROR(__xludf.DUMMYFUNCTION("""COMPUTED_VALUE"""),0.0)</f>
        <v>0</v>
      </c>
      <c r="AB81" s="26">
        <f>IFERROR(__xludf.DUMMYFUNCTION("""COMPUTED_VALUE"""),0.0)</f>
        <v>0</v>
      </c>
      <c r="AC81" s="26">
        <f>IFERROR(__xludf.DUMMYFUNCTION("""COMPUTED_VALUE"""),0.0)</f>
        <v>0</v>
      </c>
      <c r="AD81" s="26">
        <f>IFERROR(__xludf.DUMMYFUNCTION("""COMPUTED_VALUE"""),0.0)</f>
        <v>0</v>
      </c>
      <c r="AE81" s="26">
        <f>IFERROR(__xludf.DUMMYFUNCTION("""COMPUTED_VALUE"""),0.0)</f>
        <v>0</v>
      </c>
    </row>
    <row r="82">
      <c r="A82" s="26">
        <f>IFERROR(__xludf.DUMMYFUNCTION("""COMPUTED_VALUE"""),0.0)</f>
        <v>0</v>
      </c>
      <c r="B82" s="26">
        <f>IFERROR(__xludf.DUMMYFUNCTION("""COMPUTED_VALUE"""),0.0)</f>
        <v>0</v>
      </c>
      <c r="C82" s="26">
        <f>IFERROR(__xludf.DUMMYFUNCTION("""COMPUTED_VALUE"""),0.0)</f>
        <v>0</v>
      </c>
      <c r="D82" s="26">
        <f>IFERROR(__xludf.DUMMYFUNCTION("""COMPUTED_VALUE"""),0.0)</f>
        <v>0</v>
      </c>
      <c r="E82" s="26">
        <f>IFERROR(__xludf.DUMMYFUNCTION("""COMPUTED_VALUE"""),0.0)</f>
        <v>0</v>
      </c>
      <c r="F82" s="26">
        <f>IFERROR(__xludf.DUMMYFUNCTION("""COMPUTED_VALUE"""),0.0)</f>
        <v>0</v>
      </c>
      <c r="G82" s="26">
        <f>IFERROR(__xludf.DUMMYFUNCTION("""COMPUTED_VALUE"""),0.0)</f>
        <v>0</v>
      </c>
      <c r="H82" s="26">
        <f>IFERROR(__xludf.DUMMYFUNCTION("""COMPUTED_VALUE"""),0.0)</f>
        <v>0</v>
      </c>
      <c r="I82" s="26">
        <f>IFERROR(__xludf.DUMMYFUNCTION("""COMPUTED_VALUE"""),0.0)</f>
        <v>0</v>
      </c>
      <c r="J82" s="26">
        <f>IFERROR(__xludf.DUMMYFUNCTION("""COMPUTED_VALUE"""),0.0)</f>
        <v>0</v>
      </c>
      <c r="K82" s="26">
        <f>IFERROR(__xludf.DUMMYFUNCTION("""COMPUTED_VALUE"""),0.0)</f>
        <v>0</v>
      </c>
      <c r="L82" s="26"/>
      <c r="M82" s="26"/>
      <c r="N82" s="26"/>
      <c r="O82" s="26"/>
      <c r="P82" s="26"/>
      <c r="Q82" s="26"/>
      <c r="R82" s="26">
        <f>IFERROR(__xludf.DUMMYFUNCTION("""COMPUTED_VALUE"""),0.0)</f>
        <v>0</v>
      </c>
      <c r="S82" s="26">
        <f>IFERROR(__xludf.DUMMYFUNCTION("""COMPUTED_VALUE"""),0.0)</f>
        <v>0</v>
      </c>
      <c r="T82" s="26">
        <f>IFERROR(__xludf.DUMMYFUNCTION("""COMPUTED_VALUE"""),0.0)</f>
        <v>0</v>
      </c>
      <c r="U82" s="26">
        <f>IFERROR(__xludf.DUMMYFUNCTION("""COMPUTED_VALUE"""),0.0)</f>
        <v>0</v>
      </c>
      <c r="V82" s="26">
        <f>IFERROR(__xludf.DUMMYFUNCTION("""COMPUTED_VALUE"""),0.0)</f>
        <v>0</v>
      </c>
      <c r="W82" s="26">
        <f>IFERROR(__xludf.DUMMYFUNCTION("""COMPUTED_VALUE"""),0.0)</f>
        <v>0</v>
      </c>
      <c r="X82" s="26">
        <f>IFERROR(__xludf.DUMMYFUNCTION("""COMPUTED_VALUE"""),0.0)</f>
        <v>0</v>
      </c>
      <c r="Y82" s="26">
        <f>IFERROR(__xludf.DUMMYFUNCTION("""COMPUTED_VALUE"""),0.0)</f>
        <v>0</v>
      </c>
      <c r="Z82" s="26">
        <f>IFERROR(__xludf.DUMMYFUNCTION("""COMPUTED_VALUE"""),0.0)</f>
        <v>0</v>
      </c>
      <c r="AA82" s="26">
        <f>IFERROR(__xludf.DUMMYFUNCTION("""COMPUTED_VALUE"""),0.0)</f>
        <v>0</v>
      </c>
      <c r="AB82" s="26">
        <f>IFERROR(__xludf.DUMMYFUNCTION("""COMPUTED_VALUE"""),0.0)</f>
        <v>0</v>
      </c>
      <c r="AC82" s="26">
        <f>IFERROR(__xludf.DUMMYFUNCTION("""COMPUTED_VALUE"""),0.0)</f>
        <v>0</v>
      </c>
      <c r="AD82" s="26">
        <f>IFERROR(__xludf.DUMMYFUNCTION("""COMPUTED_VALUE"""),0.0)</f>
        <v>0</v>
      </c>
      <c r="AE82" s="26">
        <f>IFERROR(__xludf.DUMMYFUNCTION("""COMPUTED_VALUE"""),0.0)</f>
        <v>0</v>
      </c>
    </row>
    <row r="83">
      <c r="A83" s="26">
        <f>IFERROR(__xludf.DUMMYFUNCTION("""COMPUTED_VALUE"""),0.0)</f>
        <v>0</v>
      </c>
      <c r="B83" s="26">
        <f>IFERROR(__xludf.DUMMYFUNCTION("""COMPUTED_VALUE"""),0.0)</f>
        <v>0</v>
      </c>
      <c r="C83" s="26">
        <f>IFERROR(__xludf.DUMMYFUNCTION("""COMPUTED_VALUE"""),0.0)</f>
        <v>0</v>
      </c>
      <c r="D83" s="26">
        <f>IFERROR(__xludf.DUMMYFUNCTION("""COMPUTED_VALUE"""),0.0)</f>
        <v>0</v>
      </c>
      <c r="E83" s="26">
        <f>IFERROR(__xludf.DUMMYFUNCTION("""COMPUTED_VALUE"""),0.0)</f>
        <v>0</v>
      </c>
      <c r="F83" s="26">
        <f>IFERROR(__xludf.DUMMYFUNCTION("""COMPUTED_VALUE"""),0.0)</f>
        <v>0</v>
      </c>
      <c r="G83" s="26">
        <f>IFERROR(__xludf.DUMMYFUNCTION("""COMPUTED_VALUE"""),0.0)</f>
        <v>0</v>
      </c>
      <c r="H83" s="26">
        <f>IFERROR(__xludf.DUMMYFUNCTION("""COMPUTED_VALUE"""),0.0)</f>
        <v>0</v>
      </c>
      <c r="I83" s="26">
        <f>IFERROR(__xludf.DUMMYFUNCTION("""COMPUTED_VALUE"""),0.0)</f>
        <v>0</v>
      </c>
      <c r="J83" s="26">
        <f>IFERROR(__xludf.DUMMYFUNCTION("""COMPUTED_VALUE"""),0.0)</f>
        <v>0</v>
      </c>
      <c r="K83" s="26">
        <f>IFERROR(__xludf.DUMMYFUNCTION("""COMPUTED_VALUE"""),0.0)</f>
        <v>0</v>
      </c>
      <c r="L83" s="26"/>
      <c r="M83" s="26"/>
      <c r="N83" s="26"/>
      <c r="O83" s="26"/>
      <c r="P83" s="26"/>
      <c r="Q83" s="26"/>
      <c r="R83" s="26">
        <f>IFERROR(__xludf.DUMMYFUNCTION("""COMPUTED_VALUE"""),0.0)</f>
        <v>0</v>
      </c>
      <c r="S83" s="26">
        <f>IFERROR(__xludf.DUMMYFUNCTION("""COMPUTED_VALUE"""),0.0)</f>
        <v>0</v>
      </c>
      <c r="T83" s="26">
        <f>IFERROR(__xludf.DUMMYFUNCTION("""COMPUTED_VALUE"""),0.0)</f>
        <v>0</v>
      </c>
      <c r="U83" s="26">
        <f>IFERROR(__xludf.DUMMYFUNCTION("""COMPUTED_VALUE"""),0.0)</f>
        <v>0</v>
      </c>
      <c r="V83" s="26">
        <f>IFERROR(__xludf.DUMMYFUNCTION("""COMPUTED_VALUE"""),0.0)</f>
        <v>0</v>
      </c>
      <c r="W83" s="26">
        <f>IFERROR(__xludf.DUMMYFUNCTION("""COMPUTED_VALUE"""),0.0)</f>
        <v>0</v>
      </c>
      <c r="X83" s="26">
        <f>IFERROR(__xludf.DUMMYFUNCTION("""COMPUTED_VALUE"""),0.0)</f>
        <v>0</v>
      </c>
      <c r="Y83" s="26">
        <f>IFERROR(__xludf.DUMMYFUNCTION("""COMPUTED_VALUE"""),0.0)</f>
        <v>0</v>
      </c>
      <c r="Z83" s="26">
        <f>IFERROR(__xludf.DUMMYFUNCTION("""COMPUTED_VALUE"""),0.0)</f>
        <v>0</v>
      </c>
      <c r="AA83" s="26">
        <f>IFERROR(__xludf.DUMMYFUNCTION("""COMPUTED_VALUE"""),0.0)</f>
        <v>0</v>
      </c>
      <c r="AB83" s="26">
        <f>IFERROR(__xludf.DUMMYFUNCTION("""COMPUTED_VALUE"""),0.0)</f>
        <v>0</v>
      </c>
      <c r="AC83" s="26">
        <f>IFERROR(__xludf.DUMMYFUNCTION("""COMPUTED_VALUE"""),0.0)</f>
        <v>0</v>
      </c>
      <c r="AD83" s="26">
        <f>IFERROR(__xludf.DUMMYFUNCTION("""COMPUTED_VALUE"""),0.0)</f>
        <v>0</v>
      </c>
      <c r="AE83" s="26">
        <f>IFERROR(__xludf.DUMMYFUNCTION("""COMPUTED_VALUE"""),0.0)</f>
        <v>0</v>
      </c>
    </row>
    <row r="84">
      <c r="A84" s="26">
        <f>IFERROR(__xludf.DUMMYFUNCTION("""COMPUTED_VALUE"""),0.0)</f>
        <v>0</v>
      </c>
      <c r="B84" s="26">
        <f>IFERROR(__xludf.DUMMYFUNCTION("""COMPUTED_VALUE"""),0.0)</f>
        <v>0</v>
      </c>
      <c r="C84" s="26">
        <f>IFERROR(__xludf.DUMMYFUNCTION("""COMPUTED_VALUE"""),0.0)</f>
        <v>0</v>
      </c>
      <c r="D84" s="26">
        <f>IFERROR(__xludf.DUMMYFUNCTION("""COMPUTED_VALUE"""),0.0)</f>
        <v>0</v>
      </c>
      <c r="E84" s="26">
        <f>IFERROR(__xludf.DUMMYFUNCTION("""COMPUTED_VALUE"""),0.0)</f>
        <v>0</v>
      </c>
      <c r="F84" s="26">
        <f>IFERROR(__xludf.DUMMYFUNCTION("""COMPUTED_VALUE"""),0.0)</f>
        <v>0</v>
      </c>
      <c r="G84" s="26">
        <f>IFERROR(__xludf.DUMMYFUNCTION("""COMPUTED_VALUE"""),0.0)</f>
        <v>0</v>
      </c>
      <c r="H84" s="26">
        <f>IFERROR(__xludf.DUMMYFUNCTION("""COMPUTED_VALUE"""),0.0)</f>
        <v>0</v>
      </c>
      <c r="I84" s="26">
        <f>IFERROR(__xludf.DUMMYFUNCTION("""COMPUTED_VALUE"""),0.0)</f>
        <v>0</v>
      </c>
      <c r="J84" s="26">
        <f>IFERROR(__xludf.DUMMYFUNCTION("""COMPUTED_VALUE"""),0.0)</f>
        <v>0</v>
      </c>
      <c r="K84" s="26">
        <f>IFERROR(__xludf.DUMMYFUNCTION("""COMPUTED_VALUE"""),0.0)</f>
        <v>0</v>
      </c>
      <c r="L84" s="26"/>
      <c r="M84" s="26"/>
      <c r="N84" s="26"/>
      <c r="O84" s="26"/>
      <c r="P84" s="26"/>
      <c r="Q84" s="26"/>
      <c r="R84" s="26">
        <f>IFERROR(__xludf.DUMMYFUNCTION("""COMPUTED_VALUE"""),0.0)</f>
        <v>0</v>
      </c>
      <c r="S84" s="26">
        <f>IFERROR(__xludf.DUMMYFUNCTION("""COMPUTED_VALUE"""),0.0)</f>
        <v>0</v>
      </c>
      <c r="T84" s="26">
        <f>IFERROR(__xludf.DUMMYFUNCTION("""COMPUTED_VALUE"""),0.0)</f>
        <v>0</v>
      </c>
      <c r="U84" s="26">
        <f>IFERROR(__xludf.DUMMYFUNCTION("""COMPUTED_VALUE"""),0.0)</f>
        <v>0</v>
      </c>
      <c r="V84" s="26">
        <f>IFERROR(__xludf.DUMMYFUNCTION("""COMPUTED_VALUE"""),0.0)</f>
        <v>0</v>
      </c>
      <c r="W84" s="26">
        <f>IFERROR(__xludf.DUMMYFUNCTION("""COMPUTED_VALUE"""),0.0)</f>
        <v>0</v>
      </c>
      <c r="X84" s="26">
        <f>IFERROR(__xludf.DUMMYFUNCTION("""COMPUTED_VALUE"""),0.0)</f>
        <v>0</v>
      </c>
      <c r="Y84" s="26">
        <f>IFERROR(__xludf.DUMMYFUNCTION("""COMPUTED_VALUE"""),0.0)</f>
        <v>0</v>
      </c>
      <c r="Z84" s="26">
        <f>IFERROR(__xludf.DUMMYFUNCTION("""COMPUTED_VALUE"""),0.0)</f>
        <v>0</v>
      </c>
      <c r="AA84" s="26">
        <f>IFERROR(__xludf.DUMMYFUNCTION("""COMPUTED_VALUE"""),0.0)</f>
        <v>0</v>
      </c>
      <c r="AB84" s="26">
        <f>IFERROR(__xludf.DUMMYFUNCTION("""COMPUTED_VALUE"""),0.0)</f>
        <v>0</v>
      </c>
      <c r="AC84" s="26">
        <f>IFERROR(__xludf.DUMMYFUNCTION("""COMPUTED_VALUE"""),0.0)</f>
        <v>0</v>
      </c>
      <c r="AD84" s="26">
        <f>IFERROR(__xludf.DUMMYFUNCTION("""COMPUTED_VALUE"""),0.0)</f>
        <v>0</v>
      </c>
      <c r="AE84" s="26">
        <f>IFERROR(__xludf.DUMMYFUNCTION("""COMPUTED_VALUE"""),0.0)</f>
        <v>0</v>
      </c>
    </row>
    <row r="85">
      <c r="A85" s="26">
        <f>IFERROR(__xludf.DUMMYFUNCTION("""COMPUTED_VALUE"""),0.0)</f>
        <v>0</v>
      </c>
      <c r="B85" s="26">
        <f>IFERROR(__xludf.DUMMYFUNCTION("""COMPUTED_VALUE"""),0.0)</f>
        <v>0</v>
      </c>
      <c r="C85" s="26">
        <f>IFERROR(__xludf.DUMMYFUNCTION("""COMPUTED_VALUE"""),0.0)</f>
        <v>0</v>
      </c>
      <c r="D85" s="26">
        <f>IFERROR(__xludf.DUMMYFUNCTION("""COMPUTED_VALUE"""),0.0)</f>
        <v>0</v>
      </c>
      <c r="E85" s="26">
        <f>IFERROR(__xludf.DUMMYFUNCTION("""COMPUTED_VALUE"""),0.0)</f>
        <v>0</v>
      </c>
      <c r="F85" s="26">
        <f>IFERROR(__xludf.DUMMYFUNCTION("""COMPUTED_VALUE"""),0.0)</f>
        <v>0</v>
      </c>
      <c r="G85" s="26">
        <f>IFERROR(__xludf.DUMMYFUNCTION("""COMPUTED_VALUE"""),0.0)</f>
        <v>0</v>
      </c>
      <c r="H85" s="26">
        <f>IFERROR(__xludf.DUMMYFUNCTION("""COMPUTED_VALUE"""),0.0)</f>
        <v>0</v>
      </c>
      <c r="I85" s="26">
        <f>IFERROR(__xludf.DUMMYFUNCTION("""COMPUTED_VALUE"""),0.0)</f>
        <v>0</v>
      </c>
      <c r="J85" s="26">
        <f>IFERROR(__xludf.DUMMYFUNCTION("""COMPUTED_VALUE"""),0.0)</f>
        <v>0</v>
      </c>
      <c r="K85" s="26">
        <f>IFERROR(__xludf.DUMMYFUNCTION("""COMPUTED_VALUE"""),0.0)</f>
        <v>0</v>
      </c>
      <c r="L85" s="26"/>
      <c r="M85" s="26"/>
      <c r="N85" s="26"/>
      <c r="O85" s="26"/>
      <c r="P85" s="26"/>
      <c r="Q85" s="26"/>
      <c r="R85" s="26">
        <f>IFERROR(__xludf.DUMMYFUNCTION("""COMPUTED_VALUE"""),0.0)</f>
        <v>0</v>
      </c>
      <c r="S85" s="26">
        <f>IFERROR(__xludf.DUMMYFUNCTION("""COMPUTED_VALUE"""),0.0)</f>
        <v>0</v>
      </c>
      <c r="T85" s="26">
        <f>IFERROR(__xludf.DUMMYFUNCTION("""COMPUTED_VALUE"""),0.0)</f>
        <v>0</v>
      </c>
      <c r="U85" s="26">
        <f>IFERROR(__xludf.DUMMYFUNCTION("""COMPUTED_VALUE"""),0.0)</f>
        <v>0</v>
      </c>
      <c r="V85" s="26">
        <f>IFERROR(__xludf.DUMMYFUNCTION("""COMPUTED_VALUE"""),0.0)</f>
        <v>0</v>
      </c>
      <c r="W85" s="26">
        <f>IFERROR(__xludf.DUMMYFUNCTION("""COMPUTED_VALUE"""),0.0)</f>
        <v>0</v>
      </c>
      <c r="X85" s="26">
        <f>IFERROR(__xludf.DUMMYFUNCTION("""COMPUTED_VALUE"""),0.0)</f>
        <v>0</v>
      </c>
      <c r="Y85" s="26">
        <f>IFERROR(__xludf.DUMMYFUNCTION("""COMPUTED_VALUE"""),0.0)</f>
        <v>0</v>
      </c>
      <c r="Z85" s="26">
        <f>IFERROR(__xludf.DUMMYFUNCTION("""COMPUTED_VALUE"""),0.0)</f>
        <v>0</v>
      </c>
      <c r="AA85" s="26">
        <f>IFERROR(__xludf.DUMMYFUNCTION("""COMPUTED_VALUE"""),0.0)</f>
        <v>0</v>
      </c>
      <c r="AB85" s="26">
        <f>IFERROR(__xludf.DUMMYFUNCTION("""COMPUTED_VALUE"""),0.0)</f>
        <v>0</v>
      </c>
      <c r="AC85" s="26">
        <f>IFERROR(__xludf.DUMMYFUNCTION("""COMPUTED_VALUE"""),-390.0)</f>
        <v>-390</v>
      </c>
      <c r="AD85" s="26">
        <f>IFERROR(__xludf.DUMMYFUNCTION("""COMPUTED_VALUE"""),-390.0)</f>
        <v>-390</v>
      </c>
      <c r="AE85" s="26">
        <f>IFERROR(__xludf.DUMMYFUNCTION("""COMPUTED_VALUE"""),390.0)</f>
        <v>390</v>
      </c>
    </row>
    <row r="86">
      <c r="A86" s="26">
        <f>IFERROR(__xludf.DUMMYFUNCTION("""COMPUTED_VALUE"""),0.0)</f>
        <v>0</v>
      </c>
      <c r="B86" s="26">
        <f>IFERROR(__xludf.DUMMYFUNCTION("""COMPUTED_VALUE"""),0.0)</f>
        <v>0</v>
      </c>
      <c r="C86" s="26">
        <f>IFERROR(__xludf.DUMMYFUNCTION("""COMPUTED_VALUE"""),0.0)</f>
        <v>0</v>
      </c>
      <c r="D86" s="26">
        <f>IFERROR(__xludf.DUMMYFUNCTION("""COMPUTED_VALUE"""),0.0)</f>
        <v>0</v>
      </c>
      <c r="E86" s="26">
        <f>IFERROR(__xludf.DUMMYFUNCTION("""COMPUTED_VALUE"""),0.0)</f>
        <v>0</v>
      </c>
      <c r="F86" s="26">
        <f>IFERROR(__xludf.DUMMYFUNCTION("""COMPUTED_VALUE"""),0.0)</f>
        <v>0</v>
      </c>
      <c r="G86" s="26">
        <f>IFERROR(__xludf.DUMMYFUNCTION("""COMPUTED_VALUE"""),0.0)</f>
        <v>0</v>
      </c>
      <c r="H86" s="26">
        <f>IFERROR(__xludf.DUMMYFUNCTION("""COMPUTED_VALUE"""),0.0)</f>
        <v>0</v>
      </c>
      <c r="I86" s="26">
        <f>IFERROR(__xludf.DUMMYFUNCTION("""COMPUTED_VALUE"""),0.0)</f>
        <v>0</v>
      </c>
      <c r="J86" s="26">
        <f>IFERROR(__xludf.DUMMYFUNCTION("""COMPUTED_VALUE"""),0.0)</f>
        <v>0</v>
      </c>
      <c r="K86" s="26">
        <f>IFERROR(__xludf.DUMMYFUNCTION("""COMPUTED_VALUE"""),0.0)</f>
        <v>0</v>
      </c>
      <c r="L86" s="26"/>
      <c r="M86" s="26"/>
      <c r="N86" s="26"/>
      <c r="O86" s="26"/>
      <c r="P86" s="26"/>
      <c r="Q86" s="26"/>
      <c r="R86" s="26">
        <f>IFERROR(__xludf.DUMMYFUNCTION("""COMPUTED_VALUE"""),0.0)</f>
        <v>0</v>
      </c>
      <c r="S86" s="26">
        <f>IFERROR(__xludf.DUMMYFUNCTION("""COMPUTED_VALUE"""),0.0)</f>
        <v>0</v>
      </c>
      <c r="T86" s="26">
        <f>IFERROR(__xludf.DUMMYFUNCTION("""COMPUTED_VALUE"""),0.0)</f>
        <v>0</v>
      </c>
      <c r="U86" s="26">
        <f>IFERROR(__xludf.DUMMYFUNCTION("""COMPUTED_VALUE"""),0.0)</f>
        <v>0</v>
      </c>
      <c r="V86" s="26">
        <f>IFERROR(__xludf.DUMMYFUNCTION("""COMPUTED_VALUE"""),0.0)</f>
        <v>0</v>
      </c>
      <c r="W86" s="26">
        <f>IFERROR(__xludf.DUMMYFUNCTION("""COMPUTED_VALUE"""),0.0)</f>
        <v>0</v>
      </c>
      <c r="X86" s="26">
        <f>IFERROR(__xludf.DUMMYFUNCTION("""COMPUTED_VALUE"""),0.0)</f>
        <v>0</v>
      </c>
      <c r="Y86" s="26">
        <f>IFERROR(__xludf.DUMMYFUNCTION("""COMPUTED_VALUE"""),0.0)</f>
        <v>0</v>
      </c>
      <c r="Z86" s="26">
        <f>IFERROR(__xludf.DUMMYFUNCTION("""COMPUTED_VALUE"""),0.0)</f>
        <v>0</v>
      </c>
      <c r="AA86" s="26">
        <f>IFERROR(__xludf.DUMMYFUNCTION("""COMPUTED_VALUE"""),0.0)</f>
        <v>0</v>
      </c>
      <c r="AB86" s="26">
        <f>IFERROR(__xludf.DUMMYFUNCTION("""COMPUTED_VALUE"""),0.0)</f>
        <v>0</v>
      </c>
      <c r="AC86" s="26">
        <f>IFERROR(__xludf.DUMMYFUNCTION("""COMPUTED_VALUE"""),0.0)</f>
        <v>0</v>
      </c>
      <c r="AD86" s="26">
        <f>IFERROR(__xludf.DUMMYFUNCTION("""COMPUTED_VALUE"""),0.0)</f>
        <v>0</v>
      </c>
      <c r="AE86" s="26">
        <f>IFERROR(__xludf.DUMMYFUNCTION("""COMPUTED_VALUE"""),0.0)</f>
        <v>0</v>
      </c>
    </row>
    <row r="87">
      <c r="A87" s="26">
        <f>IFERROR(__xludf.DUMMYFUNCTION("""COMPUTED_VALUE"""),0.0)</f>
        <v>0</v>
      </c>
      <c r="B87" s="26">
        <f>IFERROR(__xludf.DUMMYFUNCTION("""COMPUTED_VALUE"""),0.0)</f>
        <v>0</v>
      </c>
      <c r="C87" s="26">
        <f>IFERROR(__xludf.DUMMYFUNCTION("""COMPUTED_VALUE"""),0.0)</f>
        <v>0</v>
      </c>
      <c r="D87" s="26">
        <f>IFERROR(__xludf.DUMMYFUNCTION("""COMPUTED_VALUE"""),0.0)</f>
        <v>0</v>
      </c>
      <c r="E87" s="26">
        <f>IFERROR(__xludf.DUMMYFUNCTION("""COMPUTED_VALUE"""),0.0)</f>
        <v>0</v>
      </c>
      <c r="F87" s="26">
        <f>IFERROR(__xludf.DUMMYFUNCTION("""COMPUTED_VALUE"""),0.0)</f>
        <v>0</v>
      </c>
      <c r="G87" s="26">
        <f>IFERROR(__xludf.DUMMYFUNCTION("""COMPUTED_VALUE"""),0.0)</f>
        <v>0</v>
      </c>
      <c r="H87" s="26">
        <f>IFERROR(__xludf.DUMMYFUNCTION("""COMPUTED_VALUE"""),0.0)</f>
        <v>0</v>
      </c>
      <c r="I87" s="26">
        <f>IFERROR(__xludf.DUMMYFUNCTION("""COMPUTED_VALUE"""),0.0)</f>
        <v>0</v>
      </c>
      <c r="J87" s="26">
        <f>IFERROR(__xludf.DUMMYFUNCTION("""COMPUTED_VALUE"""),0.0)</f>
        <v>0</v>
      </c>
      <c r="K87" s="26">
        <f>IFERROR(__xludf.DUMMYFUNCTION("""COMPUTED_VALUE"""),0.0)</f>
        <v>0</v>
      </c>
      <c r="L87" s="26"/>
      <c r="M87" s="26"/>
      <c r="N87" s="26"/>
      <c r="O87" s="26"/>
      <c r="P87" s="26"/>
      <c r="Q87" s="26"/>
      <c r="R87" s="26">
        <f>IFERROR(__xludf.DUMMYFUNCTION("""COMPUTED_VALUE"""),0.0)</f>
        <v>0</v>
      </c>
      <c r="S87" s="26">
        <f>IFERROR(__xludf.DUMMYFUNCTION("""COMPUTED_VALUE"""),0.0)</f>
        <v>0</v>
      </c>
      <c r="T87" s="26">
        <f>IFERROR(__xludf.DUMMYFUNCTION("""COMPUTED_VALUE"""),0.0)</f>
        <v>0</v>
      </c>
      <c r="U87" s="26">
        <f>IFERROR(__xludf.DUMMYFUNCTION("""COMPUTED_VALUE"""),0.0)</f>
        <v>0</v>
      </c>
      <c r="V87" s="26">
        <f>IFERROR(__xludf.DUMMYFUNCTION("""COMPUTED_VALUE"""),0.0)</f>
        <v>0</v>
      </c>
      <c r="W87" s="26">
        <f>IFERROR(__xludf.DUMMYFUNCTION("""COMPUTED_VALUE"""),0.0)</f>
        <v>0</v>
      </c>
      <c r="X87" s="26">
        <f>IFERROR(__xludf.DUMMYFUNCTION("""COMPUTED_VALUE"""),0.0)</f>
        <v>0</v>
      </c>
      <c r="Y87" s="26">
        <f>IFERROR(__xludf.DUMMYFUNCTION("""COMPUTED_VALUE"""),0.0)</f>
        <v>0</v>
      </c>
      <c r="Z87" s="26">
        <f>IFERROR(__xludf.DUMMYFUNCTION("""COMPUTED_VALUE"""),0.0)</f>
        <v>0</v>
      </c>
      <c r="AA87" s="26">
        <f>IFERROR(__xludf.DUMMYFUNCTION("""COMPUTED_VALUE"""),0.0)</f>
        <v>0</v>
      </c>
      <c r="AB87" s="26">
        <f>IFERROR(__xludf.DUMMYFUNCTION("""COMPUTED_VALUE"""),0.0)</f>
        <v>0</v>
      </c>
      <c r="AC87" s="26">
        <f>IFERROR(__xludf.DUMMYFUNCTION("""COMPUTED_VALUE"""),0.0)</f>
        <v>0</v>
      </c>
      <c r="AD87" s="26">
        <f>IFERROR(__xludf.DUMMYFUNCTION("""COMPUTED_VALUE"""),0.0)</f>
        <v>0</v>
      </c>
      <c r="AE87" s="26">
        <f>IFERROR(__xludf.DUMMYFUNCTION("""COMPUTED_VALUE"""),0.0)</f>
        <v>0</v>
      </c>
    </row>
    <row r="88">
      <c r="A88" s="26">
        <f>IFERROR(__xludf.DUMMYFUNCTION("""COMPUTED_VALUE"""),0.0)</f>
        <v>0</v>
      </c>
      <c r="B88" s="26">
        <f>IFERROR(__xludf.DUMMYFUNCTION("""COMPUTED_VALUE"""),0.0)</f>
        <v>0</v>
      </c>
      <c r="C88" s="26">
        <f>IFERROR(__xludf.DUMMYFUNCTION("""COMPUTED_VALUE"""),0.0)</f>
        <v>0</v>
      </c>
      <c r="D88" s="26">
        <f>IFERROR(__xludf.DUMMYFUNCTION("""COMPUTED_VALUE"""),0.0)</f>
        <v>0</v>
      </c>
      <c r="E88" s="26">
        <f>IFERROR(__xludf.DUMMYFUNCTION("""COMPUTED_VALUE"""),0.0)</f>
        <v>0</v>
      </c>
      <c r="F88" s="26">
        <f>IFERROR(__xludf.DUMMYFUNCTION("""COMPUTED_VALUE"""),0.0)</f>
        <v>0</v>
      </c>
      <c r="G88" s="26">
        <f>IFERROR(__xludf.DUMMYFUNCTION("""COMPUTED_VALUE"""),0.0)</f>
        <v>0</v>
      </c>
      <c r="H88" s="26">
        <f>IFERROR(__xludf.DUMMYFUNCTION("""COMPUTED_VALUE"""),0.0)</f>
        <v>0</v>
      </c>
      <c r="I88" s="26">
        <f>IFERROR(__xludf.DUMMYFUNCTION("""COMPUTED_VALUE"""),0.0)</f>
        <v>0</v>
      </c>
      <c r="J88" s="26">
        <f>IFERROR(__xludf.DUMMYFUNCTION("""COMPUTED_VALUE"""),0.0)</f>
        <v>0</v>
      </c>
      <c r="K88" s="26">
        <f>IFERROR(__xludf.DUMMYFUNCTION("""COMPUTED_VALUE"""),0.0)</f>
        <v>0</v>
      </c>
      <c r="L88" s="26"/>
      <c r="M88" s="26"/>
      <c r="N88" s="26"/>
      <c r="O88" s="26"/>
      <c r="P88" s="26"/>
      <c r="Q88" s="26"/>
      <c r="R88" s="26">
        <f>IFERROR(__xludf.DUMMYFUNCTION("""COMPUTED_VALUE"""),0.0)</f>
        <v>0</v>
      </c>
      <c r="S88" s="26">
        <f>IFERROR(__xludf.DUMMYFUNCTION("""COMPUTED_VALUE"""),0.0)</f>
        <v>0</v>
      </c>
      <c r="T88" s="26">
        <f>IFERROR(__xludf.DUMMYFUNCTION("""COMPUTED_VALUE"""),0.0)</f>
        <v>0</v>
      </c>
      <c r="U88" s="26">
        <f>IFERROR(__xludf.DUMMYFUNCTION("""COMPUTED_VALUE"""),0.0)</f>
        <v>0</v>
      </c>
      <c r="V88" s="26">
        <f>IFERROR(__xludf.DUMMYFUNCTION("""COMPUTED_VALUE"""),0.0)</f>
        <v>0</v>
      </c>
      <c r="W88" s="26">
        <f>IFERROR(__xludf.DUMMYFUNCTION("""COMPUTED_VALUE"""),0.0)</f>
        <v>0</v>
      </c>
      <c r="X88" s="26">
        <f>IFERROR(__xludf.DUMMYFUNCTION("""COMPUTED_VALUE"""),0.0)</f>
        <v>0</v>
      </c>
      <c r="Y88" s="26">
        <f>IFERROR(__xludf.DUMMYFUNCTION("""COMPUTED_VALUE"""),0.0)</f>
        <v>0</v>
      </c>
      <c r="Z88" s="26">
        <f>IFERROR(__xludf.DUMMYFUNCTION("""COMPUTED_VALUE"""),0.0)</f>
        <v>0</v>
      </c>
      <c r="AA88" s="26">
        <f>IFERROR(__xludf.DUMMYFUNCTION("""COMPUTED_VALUE"""),0.0)</f>
        <v>0</v>
      </c>
      <c r="AB88" s="26">
        <f>IFERROR(__xludf.DUMMYFUNCTION("""COMPUTED_VALUE"""),0.0)</f>
        <v>0</v>
      </c>
      <c r="AC88" s="26">
        <f>IFERROR(__xludf.DUMMYFUNCTION("""COMPUTED_VALUE"""),0.0)</f>
        <v>0</v>
      </c>
      <c r="AD88" s="26">
        <f>IFERROR(__xludf.DUMMYFUNCTION("""COMPUTED_VALUE"""),0.0)</f>
        <v>0</v>
      </c>
      <c r="AE88" s="26">
        <f>IFERROR(__xludf.DUMMYFUNCTION("""COMPUTED_VALUE"""),0.0)</f>
        <v>0</v>
      </c>
    </row>
    <row r="89">
      <c r="A89" s="26">
        <f>IFERROR(__xludf.DUMMYFUNCTION("""COMPUTED_VALUE"""),0.0)</f>
        <v>0</v>
      </c>
      <c r="B89" s="26">
        <f>IFERROR(__xludf.DUMMYFUNCTION("""COMPUTED_VALUE"""),0.0)</f>
        <v>0</v>
      </c>
      <c r="C89" s="26">
        <f>IFERROR(__xludf.DUMMYFUNCTION("""COMPUTED_VALUE"""),0.0)</f>
        <v>0</v>
      </c>
      <c r="D89" s="26">
        <f>IFERROR(__xludf.DUMMYFUNCTION("""COMPUTED_VALUE"""),0.0)</f>
        <v>0</v>
      </c>
      <c r="E89" s="26">
        <f>IFERROR(__xludf.DUMMYFUNCTION("""COMPUTED_VALUE"""),0.0)</f>
        <v>0</v>
      </c>
      <c r="F89" s="26">
        <f>IFERROR(__xludf.DUMMYFUNCTION("""COMPUTED_VALUE"""),0.0)</f>
        <v>0</v>
      </c>
      <c r="G89" s="26">
        <f>IFERROR(__xludf.DUMMYFUNCTION("""COMPUTED_VALUE"""),0.0)</f>
        <v>0</v>
      </c>
      <c r="H89" s="26">
        <f>IFERROR(__xludf.DUMMYFUNCTION("""COMPUTED_VALUE"""),0.0)</f>
        <v>0</v>
      </c>
      <c r="I89" s="26">
        <f>IFERROR(__xludf.DUMMYFUNCTION("""COMPUTED_VALUE"""),0.0)</f>
        <v>0</v>
      </c>
      <c r="J89" s="26">
        <f>IFERROR(__xludf.DUMMYFUNCTION("""COMPUTED_VALUE"""),0.0)</f>
        <v>0</v>
      </c>
      <c r="K89" s="26">
        <f>IFERROR(__xludf.DUMMYFUNCTION("""COMPUTED_VALUE"""),0.0)</f>
        <v>0</v>
      </c>
      <c r="L89" s="26"/>
      <c r="M89" s="26"/>
      <c r="N89" s="26"/>
      <c r="O89" s="26"/>
      <c r="P89" s="26"/>
      <c r="Q89" s="26"/>
      <c r="R89" s="26">
        <f>IFERROR(__xludf.DUMMYFUNCTION("""COMPUTED_VALUE"""),0.0)</f>
        <v>0</v>
      </c>
      <c r="S89" s="26">
        <f>IFERROR(__xludf.DUMMYFUNCTION("""COMPUTED_VALUE"""),0.0)</f>
        <v>0</v>
      </c>
      <c r="T89" s="26">
        <f>IFERROR(__xludf.DUMMYFUNCTION("""COMPUTED_VALUE"""),0.0)</f>
        <v>0</v>
      </c>
      <c r="U89" s="26">
        <f>IFERROR(__xludf.DUMMYFUNCTION("""COMPUTED_VALUE"""),0.0)</f>
        <v>0</v>
      </c>
      <c r="V89" s="26">
        <f>IFERROR(__xludf.DUMMYFUNCTION("""COMPUTED_VALUE"""),0.0)</f>
        <v>0</v>
      </c>
      <c r="W89" s="26">
        <f>IFERROR(__xludf.DUMMYFUNCTION("""COMPUTED_VALUE"""),0.0)</f>
        <v>0</v>
      </c>
      <c r="X89" s="26">
        <f>IFERROR(__xludf.DUMMYFUNCTION("""COMPUTED_VALUE"""),0.0)</f>
        <v>0</v>
      </c>
      <c r="Y89" s="26">
        <f>IFERROR(__xludf.DUMMYFUNCTION("""COMPUTED_VALUE"""),0.0)</f>
        <v>0</v>
      </c>
      <c r="Z89" s="26">
        <f>IFERROR(__xludf.DUMMYFUNCTION("""COMPUTED_VALUE"""),0.0)</f>
        <v>0</v>
      </c>
      <c r="AA89" s="26">
        <f>IFERROR(__xludf.DUMMYFUNCTION("""COMPUTED_VALUE"""),0.0)</f>
        <v>0</v>
      </c>
      <c r="AB89" s="26">
        <f>IFERROR(__xludf.DUMMYFUNCTION("""COMPUTED_VALUE"""),0.0)</f>
        <v>0</v>
      </c>
      <c r="AC89" s="26">
        <f>IFERROR(__xludf.DUMMYFUNCTION("""COMPUTED_VALUE"""),0.0)</f>
        <v>0</v>
      </c>
      <c r="AD89" s="26">
        <f>IFERROR(__xludf.DUMMYFUNCTION("""COMPUTED_VALUE"""),0.0)</f>
        <v>0</v>
      </c>
      <c r="AE89" s="26">
        <f>IFERROR(__xludf.DUMMYFUNCTION("""COMPUTED_VALUE"""),0.0)</f>
        <v>0</v>
      </c>
    </row>
    <row r="90">
      <c r="A90" s="26">
        <f>IFERROR(__xludf.DUMMYFUNCTION("""COMPUTED_VALUE"""),0.0)</f>
        <v>0</v>
      </c>
      <c r="B90" s="26">
        <f>IFERROR(__xludf.DUMMYFUNCTION("""COMPUTED_VALUE"""),0.0)</f>
        <v>0</v>
      </c>
      <c r="C90" s="26">
        <f>IFERROR(__xludf.DUMMYFUNCTION("""COMPUTED_VALUE"""),0.0)</f>
        <v>0</v>
      </c>
      <c r="D90" s="26">
        <f>IFERROR(__xludf.DUMMYFUNCTION("""COMPUTED_VALUE"""),0.0)</f>
        <v>0</v>
      </c>
      <c r="E90" s="26">
        <f>IFERROR(__xludf.DUMMYFUNCTION("""COMPUTED_VALUE"""),0.0)</f>
        <v>0</v>
      </c>
      <c r="F90" s="26">
        <f>IFERROR(__xludf.DUMMYFUNCTION("""COMPUTED_VALUE"""),0.0)</f>
        <v>0</v>
      </c>
      <c r="G90" s="26">
        <f>IFERROR(__xludf.DUMMYFUNCTION("""COMPUTED_VALUE"""),0.0)</f>
        <v>0</v>
      </c>
      <c r="H90" s="26">
        <f>IFERROR(__xludf.DUMMYFUNCTION("""COMPUTED_VALUE"""),0.0)</f>
        <v>0</v>
      </c>
      <c r="I90" s="26">
        <f>IFERROR(__xludf.DUMMYFUNCTION("""COMPUTED_VALUE"""),0.0)</f>
        <v>0</v>
      </c>
      <c r="J90" s="26">
        <f>IFERROR(__xludf.DUMMYFUNCTION("""COMPUTED_VALUE"""),0.0)</f>
        <v>0</v>
      </c>
      <c r="K90" s="26">
        <f>IFERROR(__xludf.DUMMYFUNCTION("""COMPUTED_VALUE"""),0.0)</f>
        <v>0</v>
      </c>
      <c r="L90" s="26"/>
      <c r="M90" s="26"/>
      <c r="N90" s="26"/>
      <c r="O90" s="26"/>
      <c r="P90" s="26"/>
      <c r="Q90" s="26"/>
      <c r="R90" s="26">
        <f>IFERROR(__xludf.DUMMYFUNCTION("""COMPUTED_VALUE"""),0.0)</f>
        <v>0</v>
      </c>
      <c r="S90" s="26">
        <f>IFERROR(__xludf.DUMMYFUNCTION("""COMPUTED_VALUE"""),0.0)</f>
        <v>0</v>
      </c>
      <c r="T90" s="26">
        <f>IFERROR(__xludf.DUMMYFUNCTION("""COMPUTED_VALUE"""),0.0)</f>
        <v>0</v>
      </c>
      <c r="U90" s="26">
        <f>IFERROR(__xludf.DUMMYFUNCTION("""COMPUTED_VALUE"""),0.0)</f>
        <v>0</v>
      </c>
      <c r="V90" s="26">
        <f>IFERROR(__xludf.DUMMYFUNCTION("""COMPUTED_VALUE"""),0.0)</f>
        <v>0</v>
      </c>
      <c r="W90" s="26">
        <f>IFERROR(__xludf.DUMMYFUNCTION("""COMPUTED_VALUE"""),0.0)</f>
        <v>0</v>
      </c>
      <c r="X90" s="26">
        <f>IFERROR(__xludf.DUMMYFUNCTION("""COMPUTED_VALUE"""),0.0)</f>
        <v>0</v>
      </c>
      <c r="Y90" s="26">
        <f>IFERROR(__xludf.DUMMYFUNCTION("""COMPUTED_VALUE"""),0.0)</f>
        <v>0</v>
      </c>
      <c r="Z90" s="26">
        <f>IFERROR(__xludf.DUMMYFUNCTION("""COMPUTED_VALUE"""),0.0)</f>
        <v>0</v>
      </c>
      <c r="AA90" s="26">
        <f>IFERROR(__xludf.DUMMYFUNCTION("""COMPUTED_VALUE"""),0.0)</f>
        <v>0</v>
      </c>
      <c r="AB90" s="26">
        <f>IFERROR(__xludf.DUMMYFUNCTION("""COMPUTED_VALUE"""),0.0)</f>
        <v>0</v>
      </c>
      <c r="AC90" s="26">
        <f>IFERROR(__xludf.DUMMYFUNCTION("""COMPUTED_VALUE"""),0.0)</f>
        <v>0</v>
      </c>
      <c r="AD90" s="26">
        <f>IFERROR(__xludf.DUMMYFUNCTION("""COMPUTED_VALUE"""),0.0)</f>
        <v>0</v>
      </c>
      <c r="AE90" s="26">
        <f>IFERROR(__xludf.DUMMYFUNCTION("""COMPUTED_VALUE"""),0.0)</f>
        <v>0</v>
      </c>
    </row>
    <row r="91">
      <c r="A91" s="26">
        <f>IFERROR(__xludf.DUMMYFUNCTION("""COMPUTED_VALUE"""),0.0)</f>
        <v>0</v>
      </c>
      <c r="B91" s="26">
        <f>IFERROR(__xludf.DUMMYFUNCTION("""COMPUTED_VALUE"""),0.0)</f>
        <v>0</v>
      </c>
      <c r="C91" s="26">
        <f>IFERROR(__xludf.DUMMYFUNCTION("""COMPUTED_VALUE"""),0.0)</f>
        <v>0</v>
      </c>
      <c r="D91" s="26">
        <f>IFERROR(__xludf.DUMMYFUNCTION("""COMPUTED_VALUE"""),0.0)</f>
        <v>0</v>
      </c>
      <c r="E91" s="26">
        <f>IFERROR(__xludf.DUMMYFUNCTION("""COMPUTED_VALUE"""),0.0)</f>
        <v>0</v>
      </c>
      <c r="F91" s="26">
        <f>IFERROR(__xludf.DUMMYFUNCTION("""COMPUTED_VALUE"""),0.0)</f>
        <v>0</v>
      </c>
      <c r="G91" s="26">
        <f>IFERROR(__xludf.DUMMYFUNCTION("""COMPUTED_VALUE"""),0.0)</f>
        <v>0</v>
      </c>
      <c r="H91" s="26">
        <f>IFERROR(__xludf.DUMMYFUNCTION("""COMPUTED_VALUE"""),0.0)</f>
        <v>0</v>
      </c>
      <c r="I91" s="26">
        <f>IFERROR(__xludf.DUMMYFUNCTION("""COMPUTED_VALUE"""),0.0)</f>
        <v>0</v>
      </c>
      <c r="J91" s="26">
        <f>IFERROR(__xludf.DUMMYFUNCTION("""COMPUTED_VALUE"""),0.0)</f>
        <v>0</v>
      </c>
      <c r="K91" s="26">
        <f>IFERROR(__xludf.DUMMYFUNCTION("""COMPUTED_VALUE"""),0.0)</f>
        <v>0</v>
      </c>
      <c r="L91" s="26"/>
      <c r="M91" s="26"/>
      <c r="N91" s="26"/>
      <c r="O91" s="26"/>
      <c r="P91" s="26"/>
      <c r="Q91" s="26"/>
      <c r="R91" s="26">
        <f>IFERROR(__xludf.DUMMYFUNCTION("""COMPUTED_VALUE"""),0.0)</f>
        <v>0</v>
      </c>
      <c r="S91" s="26">
        <f>IFERROR(__xludf.DUMMYFUNCTION("""COMPUTED_VALUE"""),0.0)</f>
        <v>0</v>
      </c>
      <c r="T91" s="26">
        <f>IFERROR(__xludf.DUMMYFUNCTION("""COMPUTED_VALUE"""),0.0)</f>
        <v>0</v>
      </c>
      <c r="U91" s="26">
        <f>IFERROR(__xludf.DUMMYFUNCTION("""COMPUTED_VALUE"""),0.0)</f>
        <v>0</v>
      </c>
      <c r="V91" s="26">
        <f>IFERROR(__xludf.DUMMYFUNCTION("""COMPUTED_VALUE"""),0.0)</f>
        <v>0</v>
      </c>
      <c r="W91" s="26">
        <f>IFERROR(__xludf.DUMMYFUNCTION("""COMPUTED_VALUE"""),0.0)</f>
        <v>0</v>
      </c>
      <c r="X91" s="26">
        <f>IFERROR(__xludf.DUMMYFUNCTION("""COMPUTED_VALUE"""),0.0)</f>
        <v>0</v>
      </c>
      <c r="Y91" s="26">
        <f>IFERROR(__xludf.DUMMYFUNCTION("""COMPUTED_VALUE"""),0.0)</f>
        <v>0</v>
      </c>
      <c r="Z91" s="26">
        <f>IFERROR(__xludf.DUMMYFUNCTION("""COMPUTED_VALUE"""),0.0)</f>
        <v>0</v>
      </c>
      <c r="AA91" s="26">
        <f>IFERROR(__xludf.DUMMYFUNCTION("""COMPUTED_VALUE"""),0.0)</f>
        <v>0</v>
      </c>
      <c r="AB91" s="26">
        <f>IFERROR(__xludf.DUMMYFUNCTION("""COMPUTED_VALUE"""),0.0)</f>
        <v>0</v>
      </c>
      <c r="AC91" s="26">
        <f>IFERROR(__xludf.DUMMYFUNCTION("""COMPUTED_VALUE"""),0.0)</f>
        <v>0</v>
      </c>
      <c r="AD91" s="26">
        <f>IFERROR(__xludf.DUMMYFUNCTION("""COMPUTED_VALUE"""),0.0)</f>
        <v>0</v>
      </c>
      <c r="AE91" s="26">
        <f>IFERROR(__xludf.DUMMYFUNCTION("""COMPUTED_VALUE"""),0.0)</f>
        <v>0</v>
      </c>
    </row>
    <row r="92">
      <c r="A92" s="26">
        <f>IFERROR(__xludf.DUMMYFUNCTION("""COMPUTED_VALUE"""),0.0)</f>
        <v>0</v>
      </c>
      <c r="B92" s="26">
        <f>IFERROR(__xludf.DUMMYFUNCTION("""COMPUTED_VALUE"""),0.0)</f>
        <v>0</v>
      </c>
      <c r="C92" s="26">
        <f>IFERROR(__xludf.DUMMYFUNCTION("""COMPUTED_VALUE"""),0.0)</f>
        <v>0</v>
      </c>
      <c r="D92" s="26">
        <f>IFERROR(__xludf.DUMMYFUNCTION("""COMPUTED_VALUE"""),0.0)</f>
        <v>0</v>
      </c>
      <c r="E92" s="26">
        <f>IFERROR(__xludf.DUMMYFUNCTION("""COMPUTED_VALUE"""),0.0)</f>
        <v>0</v>
      </c>
      <c r="F92" s="26">
        <f>IFERROR(__xludf.DUMMYFUNCTION("""COMPUTED_VALUE"""),0.0)</f>
        <v>0</v>
      </c>
      <c r="G92" s="26">
        <f>IFERROR(__xludf.DUMMYFUNCTION("""COMPUTED_VALUE"""),0.0)</f>
        <v>0</v>
      </c>
      <c r="H92" s="26">
        <f>IFERROR(__xludf.DUMMYFUNCTION("""COMPUTED_VALUE"""),0.0)</f>
        <v>0</v>
      </c>
      <c r="I92" s="26">
        <f>IFERROR(__xludf.DUMMYFUNCTION("""COMPUTED_VALUE"""),0.0)</f>
        <v>0</v>
      </c>
      <c r="J92" s="26">
        <f>IFERROR(__xludf.DUMMYFUNCTION("""COMPUTED_VALUE"""),0.0)</f>
        <v>0</v>
      </c>
      <c r="K92" s="26">
        <f>IFERROR(__xludf.DUMMYFUNCTION("""COMPUTED_VALUE"""),0.0)</f>
        <v>0</v>
      </c>
      <c r="L92" s="26"/>
      <c r="M92" s="26"/>
      <c r="N92" s="26"/>
      <c r="O92" s="26"/>
      <c r="P92" s="26"/>
      <c r="Q92" s="26"/>
      <c r="R92" s="26">
        <f>IFERROR(__xludf.DUMMYFUNCTION("""COMPUTED_VALUE"""),0.0)</f>
        <v>0</v>
      </c>
      <c r="S92" s="26">
        <f>IFERROR(__xludf.DUMMYFUNCTION("""COMPUTED_VALUE"""),0.0)</f>
        <v>0</v>
      </c>
      <c r="T92" s="26">
        <f>IFERROR(__xludf.DUMMYFUNCTION("""COMPUTED_VALUE"""),0.0)</f>
        <v>0</v>
      </c>
      <c r="U92" s="26">
        <f>IFERROR(__xludf.DUMMYFUNCTION("""COMPUTED_VALUE"""),0.0)</f>
        <v>0</v>
      </c>
      <c r="V92" s="26">
        <f>IFERROR(__xludf.DUMMYFUNCTION("""COMPUTED_VALUE"""),0.0)</f>
        <v>0</v>
      </c>
      <c r="W92" s="26">
        <f>IFERROR(__xludf.DUMMYFUNCTION("""COMPUTED_VALUE"""),0.0)</f>
        <v>0</v>
      </c>
      <c r="X92" s="26">
        <f>IFERROR(__xludf.DUMMYFUNCTION("""COMPUTED_VALUE"""),0.0)</f>
        <v>0</v>
      </c>
      <c r="Y92" s="26">
        <f>IFERROR(__xludf.DUMMYFUNCTION("""COMPUTED_VALUE"""),0.0)</f>
        <v>0</v>
      </c>
      <c r="Z92" s="26">
        <f>IFERROR(__xludf.DUMMYFUNCTION("""COMPUTED_VALUE"""),0.0)</f>
        <v>0</v>
      </c>
      <c r="AA92" s="26">
        <f>IFERROR(__xludf.DUMMYFUNCTION("""COMPUTED_VALUE"""),0.0)</f>
        <v>0</v>
      </c>
      <c r="AB92" s="26">
        <f>IFERROR(__xludf.DUMMYFUNCTION("""COMPUTED_VALUE"""),0.0)</f>
        <v>0</v>
      </c>
      <c r="AC92" s="26">
        <f>IFERROR(__xludf.DUMMYFUNCTION("""COMPUTED_VALUE"""),0.0)</f>
        <v>0</v>
      </c>
      <c r="AD92" s="26">
        <f>IFERROR(__xludf.DUMMYFUNCTION("""COMPUTED_VALUE"""),0.0)</f>
        <v>0</v>
      </c>
      <c r="AE92" s="26">
        <f>IFERROR(__xludf.DUMMYFUNCTION("""COMPUTED_VALUE"""),0.0)</f>
        <v>0</v>
      </c>
    </row>
    <row r="93">
      <c r="A93" s="26">
        <f>IFERROR(__xludf.DUMMYFUNCTION("""COMPUTED_VALUE"""),0.0)</f>
        <v>0</v>
      </c>
      <c r="B93" s="26">
        <f>IFERROR(__xludf.DUMMYFUNCTION("""COMPUTED_VALUE"""),0.0)</f>
        <v>0</v>
      </c>
      <c r="C93" s="26">
        <f>IFERROR(__xludf.DUMMYFUNCTION("""COMPUTED_VALUE"""),0.0)</f>
        <v>0</v>
      </c>
      <c r="D93" s="26">
        <f>IFERROR(__xludf.DUMMYFUNCTION("""COMPUTED_VALUE"""),0.0)</f>
        <v>0</v>
      </c>
      <c r="E93" s="26">
        <f>IFERROR(__xludf.DUMMYFUNCTION("""COMPUTED_VALUE"""),0.0)</f>
        <v>0</v>
      </c>
      <c r="F93" s="26">
        <f>IFERROR(__xludf.DUMMYFUNCTION("""COMPUTED_VALUE"""),0.0)</f>
        <v>0</v>
      </c>
      <c r="G93" s="26">
        <f>IFERROR(__xludf.DUMMYFUNCTION("""COMPUTED_VALUE"""),0.0)</f>
        <v>0</v>
      </c>
      <c r="H93" s="26">
        <f>IFERROR(__xludf.DUMMYFUNCTION("""COMPUTED_VALUE"""),0.0)</f>
        <v>0</v>
      </c>
      <c r="I93" s="26">
        <f>IFERROR(__xludf.DUMMYFUNCTION("""COMPUTED_VALUE"""),0.0)</f>
        <v>0</v>
      </c>
      <c r="J93" s="26">
        <f>IFERROR(__xludf.DUMMYFUNCTION("""COMPUTED_VALUE"""),0.0)</f>
        <v>0</v>
      </c>
      <c r="K93" s="26">
        <f>IFERROR(__xludf.DUMMYFUNCTION("""COMPUTED_VALUE"""),0.0)</f>
        <v>0</v>
      </c>
      <c r="L93" s="26"/>
      <c r="M93" s="26"/>
      <c r="N93" s="26"/>
      <c r="O93" s="26"/>
      <c r="P93" s="26"/>
      <c r="Q93" s="26"/>
      <c r="R93" s="26">
        <f>IFERROR(__xludf.DUMMYFUNCTION("""COMPUTED_VALUE"""),0.0)</f>
        <v>0</v>
      </c>
      <c r="S93" s="26">
        <f>IFERROR(__xludf.DUMMYFUNCTION("""COMPUTED_VALUE"""),0.0)</f>
        <v>0</v>
      </c>
      <c r="T93" s="26">
        <f>IFERROR(__xludf.DUMMYFUNCTION("""COMPUTED_VALUE"""),0.0)</f>
        <v>0</v>
      </c>
      <c r="U93" s="26">
        <f>IFERROR(__xludf.DUMMYFUNCTION("""COMPUTED_VALUE"""),0.0)</f>
        <v>0</v>
      </c>
      <c r="V93" s="26">
        <f>IFERROR(__xludf.DUMMYFUNCTION("""COMPUTED_VALUE"""),0.0)</f>
        <v>0</v>
      </c>
      <c r="W93" s="26">
        <f>IFERROR(__xludf.DUMMYFUNCTION("""COMPUTED_VALUE"""),0.0)</f>
        <v>0</v>
      </c>
      <c r="X93" s="26">
        <f>IFERROR(__xludf.DUMMYFUNCTION("""COMPUTED_VALUE"""),0.0)</f>
        <v>0</v>
      </c>
      <c r="Y93" s="26">
        <f>IFERROR(__xludf.DUMMYFUNCTION("""COMPUTED_VALUE"""),0.0)</f>
        <v>0</v>
      </c>
      <c r="Z93" s="26">
        <f>IFERROR(__xludf.DUMMYFUNCTION("""COMPUTED_VALUE"""),0.0)</f>
        <v>0</v>
      </c>
      <c r="AA93" s="26">
        <f>IFERROR(__xludf.DUMMYFUNCTION("""COMPUTED_VALUE"""),0.0)</f>
        <v>0</v>
      </c>
      <c r="AB93" s="26">
        <f>IFERROR(__xludf.DUMMYFUNCTION("""COMPUTED_VALUE"""),0.0)</f>
        <v>0</v>
      </c>
      <c r="AC93" s="26">
        <f>IFERROR(__xludf.DUMMYFUNCTION("""COMPUTED_VALUE"""),0.0)</f>
        <v>0</v>
      </c>
      <c r="AD93" s="26">
        <f>IFERROR(__xludf.DUMMYFUNCTION("""COMPUTED_VALUE"""),0.0)</f>
        <v>0</v>
      </c>
      <c r="AE93" s="26">
        <f>IFERROR(__xludf.DUMMYFUNCTION("""COMPUTED_VALUE"""),0.0)</f>
        <v>0</v>
      </c>
    </row>
    <row r="94">
      <c r="A94" s="26">
        <f>IFERROR(__xludf.DUMMYFUNCTION("""COMPUTED_VALUE"""),0.0)</f>
        <v>0</v>
      </c>
      <c r="B94" s="26">
        <f>IFERROR(__xludf.DUMMYFUNCTION("""COMPUTED_VALUE"""),0.0)</f>
        <v>0</v>
      </c>
      <c r="C94" s="26">
        <f>IFERROR(__xludf.DUMMYFUNCTION("""COMPUTED_VALUE"""),0.0)</f>
        <v>0</v>
      </c>
      <c r="D94" s="26">
        <f>IFERROR(__xludf.DUMMYFUNCTION("""COMPUTED_VALUE"""),0.0)</f>
        <v>0</v>
      </c>
      <c r="E94" s="26">
        <f>IFERROR(__xludf.DUMMYFUNCTION("""COMPUTED_VALUE"""),0.0)</f>
        <v>0</v>
      </c>
      <c r="F94" s="26">
        <f>IFERROR(__xludf.DUMMYFUNCTION("""COMPUTED_VALUE"""),0.0)</f>
        <v>0</v>
      </c>
      <c r="G94" s="26">
        <f>IFERROR(__xludf.DUMMYFUNCTION("""COMPUTED_VALUE"""),0.0)</f>
        <v>0</v>
      </c>
      <c r="H94" s="26">
        <f>IFERROR(__xludf.DUMMYFUNCTION("""COMPUTED_VALUE"""),0.0)</f>
        <v>0</v>
      </c>
      <c r="I94" s="26">
        <f>IFERROR(__xludf.DUMMYFUNCTION("""COMPUTED_VALUE"""),0.0)</f>
        <v>0</v>
      </c>
      <c r="J94" s="26">
        <f>IFERROR(__xludf.DUMMYFUNCTION("""COMPUTED_VALUE"""),0.0)</f>
        <v>0</v>
      </c>
      <c r="K94" s="26">
        <f>IFERROR(__xludf.DUMMYFUNCTION("""COMPUTED_VALUE"""),0.0)</f>
        <v>0</v>
      </c>
      <c r="L94" s="26"/>
      <c r="M94" s="26"/>
      <c r="N94" s="26"/>
      <c r="O94" s="26"/>
      <c r="P94" s="26"/>
      <c r="Q94" s="26"/>
      <c r="R94" s="26">
        <f>IFERROR(__xludf.DUMMYFUNCTION("""COMPUTED_VALUE"""),0.0)</f>
        <v>0</v>
      </c>
      <c r="S94" s="26">
        <f>IFERROR(__xludf.DUMMYFUNCTION("""COMPUTED_VALUE"""),0.0)</f>
        <v>0</v>
      </c>
      <c r="T94" s="26">
        <f>IFERROR(__xludf.DUMMYFUNCTION("""COMPUTED_VALUE"""),0.0)</f>
        <v>0</v>
      </c>
      <c r="U94" s="26">
        <f>IFERROR(__xludf.DUMMYFUNCTION("""COMPUTED_VALUE"""),0.0)</f>
        <v>0</v>
      </c>
      <c r="V94" s="26">
        <f>IFERROR(__xludf.DUMMYFUNCTION("""COMPUTED_VALUE"""),0.0)</f>
        <v>0</v>
      </c>
      <c r="W94" s="26">
        <f>IFERROR(__xludf.DUMMYFUNCTION("""COMPUTED_VALUE"""),0.0)</f>
        <v>0</v>
      </c>
      <c r="X94" s="26">
        <f>IFERROR(__xludf.DUMMYFUNCTION("""COMPUTED_VALUE"""),0.0)</f>
        <v>0</v>
      </c>
      <c r="Y94" s="26">
        <f>IFERROR(__xludf.DUMMYFUNCTION("""COMPUTED_VALUE"""),0.0)</f>
        <v>0</v>
      </c>
      <c r="Z94" s="26">
        <f>IFERROR(__xludf.DUMMYFUNCTION("""COMPUTED_VALUE"""),0.0)</f>
        <v>0</v>
      </c>
      <c r="AA94" s="26">
        <f>IFERROR(__xludf.DUMMYFUNCTION("""COMPUTED_VALUE"""),0.0)</f>
        <v>0</v>
      </c>
      <c r="AB94" s="26">
        <f>IFERROR(__xludf.DUMMYFUNCTION("""COMPUTED_VALUE"""),0.0)</f>
        <v>0</v>
      </c>
      <c r="AC94" s="26">
        <f>IFERROR(__xludf.DUMMYFUNCTION("""COMPUTED_VALUE"""),-7514.0)</f>
        <v>-7514</v>
      </c>
      <c r="AD94" s="26">
        <f>IFERROR(__xludf.DUMMYFUNCTION("""COMPUTED_VALUE"""),-7514.0)</f>
        <v>-7514</v>
      </c>
      <c r="AE94" s="26">
        <f>IFERROR(__xludf.DUMMYFUNCTION("""COMPUTED_VALUE"""),0.0)</f>
        <v>0</v>
      </c>
    </row>
    <row r="95">
      <c r="A95" s="26">
        <f>IFERROR(__xludf.DUMMYFUNCTION("""COMPUTED_VALUE"""),0.0)</f>
        <v>0</v>
      </c>
      <c r="B95" s="26">
        <f>IFERROR(__xludf.DUMMYFUNCTION("""COMPUTED_VALUE"""),0.0)</f>
        <v>0</v>
      </c>
      <c r="C95" s="26">
        <f>IFERROR(__xludf.DUMMYFUNCTION("""COMPUTED_VALUE"""),0.0)</f>
        <v>0</v>
      </c>
      <c r="D95" s="26">
        <f>IFERROR(__xludf.DUMMYFUNCTION("""COMPUTED_VALUE"""),0.0)</f>
        <v>0</v>
      </c>
      <c r="E95" s="26">
        <f>IFERROR(__xludf.DUMMYFUNCTION("""COMPUTED_VALUE"""),0.0)</f>
        <v>0</v>
      </c>
      <c r="F95" s="26">
        <f>IFERROR(__xludf.DUMMYFUNCTION("""COMPUTED_VALUE"""),0.0)</f>
        <v>0</v>
      </c>
      <c r="G95" s="26">
        <f>IFERROR(__xludf.DUMMYFUNCTION("""COMPUTED_VALUE"""),0.0)</f>
        <v>0</v>
      </c>
      <c r="H95" s="26">
        <f>IFERROR(__xludf.DUMMYFUNCTION("""COMPUTED_VALUE"""),0.0)</f>
        <v>0</v>
      </c>
      <c r="I95" s="26">
        <f>IFERROR(__xludf.DUMMYFUNCTION("""COMPUTED_VALUE"""),0.0)</f>
        <v>0</v>
      </c>
      <c r="J95" s="26">
        <f>IFERROR(__xludf.DUMMYFUNCTION("""COMPUTED_VALUE"""),0.0)</f>
        <v>0</v>
      </c>
      <c r="K95" s="26">
        <f>IFERROR(__xludf.DUMMYFUNCTION("""COMPUTED_VALUE"""),0.0)</f>
        <v>0</v>
      </c>
      <c r="L95" s="26"/>
      <c r="M95" s="26"/>
      <c r="N95" s="26"/>
      <c r="O95" s="26"/>
      <c r="P95" s="26"/>
      <c r="Q95" s="26"/>
      <c r="R95" s="26">
        <f>IFERROR(__xludf.DUMMYFUNCTION("""COMPUTED_VALUE"""),0.0)</f>
        <v>0</v>
      </c>
      <c r="S95" s="26">
        <f>IFERROR(__xludf.DUMMYFUNCTION("""COMPUTED_VALUE"""),0.0)</f>
        <v>0</v>
      </c>
      <c r="T95" s="26">
        <f>IFERROR(__xludf.DUMMYFUNCTION("""COMPUTED_VALUE"""),0.0)</f>
        <v>0</v>
      </c>
      <c r="U95" s="26">
        <f>IFERROR(__xludf.DUMMYFUNCTION("""COMPUTED_VALUE"""),0.0)</f>
        <v>0</v>
      </c>
      <c r="V95" s="26">
        <f>IFERROR(__xludf.DUMMYFUNCTION("""COMPUTED_VALUE"""),0.0)</f>
        <v>0</v>
      </c>
      <c r="W95" s="26">
        <f>IFERROR(__xludf.DUMMYFUNCTION("""COMPUTED_VALUE"""),0.0)</f>
        <v>0</v>
      </c>
      <c r="X95" s="26">
        <f>IFERROR(__xludf.DUMMYFUNCTION("""COMPUTED_VALUE"""),0.0)</f>
        <v>0</v>
      </c>
      <c r="Y95" s="26">
        <f>IFERROR(__xludf.DUMMYFUNCTION("""COMPUTED_VALUE"""),0.0)</f>
        <v>0</v>
      </c>
      <c r="Z95" s="26">
        <f>IFERROR(__xludf.DUMMYFUNCTION("""COMPUTED_VALUE"""),0.0)</f>
        <v>0</v>
      </c>
      <c r="AA95" s="26">
        <f>IFERROR(__xludf.DUMMYFUNCTION("""COMPUTED_VALUE"""),0.0)</f>
        <v>0</v>
      </c>
      <c r="AB95" s="26">
        <f>IFERROR(__xludf.DUMMYFUNCTION("""COMPUTED_VALUE"""),0.0)</f>
        <v>0</v>
      </c>
      <c r="AC95" s="26">
        <f>IFERROR(__xludf.DUMMYFUNCTION("""COMPUTED_VALUE"""),0.0)</f>
        <v>0</v>
      </c>
      <c r="AD95" s="26">
        <f>IFERROR(__xludf.DUMMYFUNCTION("""COMPUTED_VALUE"""),0.0)</f>
        <v>0</v>
      </c>
      <c r="AE95" s="26">
        <f>IFERROR(__xludf.DUMMYFUNCTION("""COMPUTED_VALUE"""),0.0)</f>
        <v>0</v>
      </c>
    </row>
    <row r="96">
      <c r="A96" s="26">
        <f>IFERROR(__xludf.DUMMYFUNCTION("""COMPUTED_VALUE"""),0.0)</f>
        <v>0</v>
      </c>
      <c r="B96" s="26">
        <f>IFERROR(__xludf.DUMMYFUNCTION("""COMPUTED_VALUE"""),0.0)</f>
        <v>0</v>
      </c>
      <c r="C96" s="26">
        <f>IFERROR(__xludf.DUMMYFUNCTION("""COMPUTED_VALUE"""),0.0)</f>
        <v>0</v>
      </c>
      <c r="D96" s="26">
        <f>IFERROR(__xludf.DUMMYFUNCTION("""COMPUTED_VALUE"""),0.0)</f>
        <v>0</v>
      </c>
      <c r="E96" s="26">
        <f>IFERROR(__xludf.DUMMYFUNCTION("""COMPUTED_VALUE"""),0.0)</f>
        <v>0</v>
      </c>
      <c r="F96" s="26">
        <f>IFERROR(__xludf.DUMMYFUNCTION("""COMPUTED_VALUE"""),0.0)</f>
        <v>0</v>
      </c>
      <c r="G96" s="26">
        <f>IFERROR(__xludf.DUMMYFUNCTION("""COMPUTED_VALUE"""),0.0)</f>
        <v>0</v>
      </c>
      <c r="H96" s="26">
        <f>IFERROR(__xludf.DUMMYFUNCTION("""COMPUTED_VALUE"""),0.0)</f>
        <v>0</v>
      </c>
      <c r="I96" s="26">
        <f>IFERROR(__xludf.DUMMYFUNCTION("""COMPUTED_VALUE"""),0.0)</f>
        <v>0</v>
      </c>
      <c r="J96" s="26">
        <f>IFERROR(__xludf.DUMMYFUNCTION("""COMPUTED_VALUE"""),0.0)</f>
        <v>0</v>
      </c>
      <c r="K96" s="26">
        <f>IFERROR(__xludf.DUMMYFUNCTION("""COMPUTED_VALUE"""),0.0)</f>
        <v>0</v>
      </c>
      <c r="L96" s="26"/>
      <c r="M96" s="26"/>
      <c r="N96" s="26"/>
      <c r="O96" s="26"/>
      <c r="P96" s="26"/>
      <c r="Q96" s="26"/>
      <c r="R96" s="26">
        <f>IFERROR(__xludf.DUMMYFUNCTION("""COMPUTED_VALUE"""),0.0)</f>
        <v>0</v>
      </c>
      <c r="S96" s="26">
        <f>IFERROR(__xludf.DUMMYFUNCTION("""COMPUTED_VALUE"""),0.0)</f>
        <v>0</v>
      </c>
      <c r="T96" s="26">
        <f>IFERROR(__xludf.DUMMYFUNCTION("""COMPUTED_VALUE"""),0.0)</f>
        <v>0</v>
      </c>
      <c r="U96" s="26">
        <f>IFERROR(__xludf.DUMMYFUNCTION("""COMPUTED_VALUE"""),0.0)</f>
        <v>0</v>
      </c>
      <c r="V96" s="26">
        <f>IFERROR(__xludf.DUMMYFUNCTION("""COMPUTED_VALUE"""),0.0)</f>
        <v>0</v>
      </c>
      <c r="W96" s="26">
        <f>IFERROR(__xludf.DUMMYFUNCTION("""COMPUTED_VALUE"""),0.0)</f>
        <v>0</v>
      </c>
      <c r="X96" s="26">
        <f>IFERROR(__xludf.DUMMYFUNCTION("""COMPUTED_VALUE"""),0.0)</f>
        <v>0</v>
      </c>
      <c r="Y96" s="26">
        <f>IFERROR(__xludf.DUMMYFUNCTION("""COMPUTED_VALUE"""),0.0)</f>
        <v>0</v>
      </c>
      <c r="Z96" s="26">
        <f>IFERROR(__xludf.DUMMYFUNCTION("""COMPUTED_VALUE"""),0.0)</f>
        <v>0</v>
      </c>
      <c r="AA96" s="26">
        <f>IFERROR(__xludf.DUMMYFUNCTION("""COMPUTED_VALUE"""),0.0)</f>
        <v>0</v>
      </c>
      <c r="AB96" s="26">
        <f>IFERROR(__xludf.DUMMYFUNCTION("""COMPUTED_VALUE"""),0.0)</f>
        <v>0</v>
      </c>
      <c r="AC96" s="26">
        <f>IFERROR(__xludf.DUMMYFUNCTION("""COMPUTED_VALUE"""),-69831.0)</f>
        <v>-69831</v>
      </c>
      <c r="AD96" s="26">
        <f>IFERROR(__xludf.DUMMYFUNCTION("""COMPUTED_VALUE"""),-69831.0)</f>
        <v>-69831</v>
      </c>
      <c r="AE96" s="26">
        <f>IFERROR(__xludf.DUMMYFUNCTION("""COMPUTED_VALUE"""),0.0)</f>
        <v>0</v>
      </c>
    </row>
    <row r="97">
      <c r="A97" s="26">
        <f>IFERROR(__xludf.DUMMYFUNCTION("""COMPUTED_VALUE"""),0.0)</f>
        <v>0</v>
      </c>
      <c r="B97" s="26">
        <f>IFERROR(__xludf.DUMMYFUNCTION("""COMPUTED_VALUE"""),0.0)</f>
        <v>0</v>
      </c>
      <c r="C97" s="26">
        <f>IFERROR(__xludf.DUMMYFUNCTION("""COMPUTED_VALUE"""),0.0)</f>
        <v>0</v>
      </c>
      <c r="D97" s="26">
        <f>IFERROR(__xludf.DUMMYFUNCTION("""COMPUTED_VALUE"""),0.0)</f>
        <v>0</v>
      </c>
      <c r="E97" s="26">
        <f>IFERROR(__xludf.DUMMYFUNCTION("""COMPUTED_VALUE"""),0.0)</f>
        <v>0</v>
      </c>
      <c r="F97" s="26">
        <f>IFERROR(__xludf.DUMMYFUNCTION("""COMPUTED_VALUE"""),0.0)</f>
        <v>0</v>
      </c>
      <c r="G97" s="26">
        <f>IFERROR(__xludf.DUMMYFUNCTION("""COMPUTED_VALUE"""),0.0)</f>
        <v>0</v>
      </c>
      <c r="H97" s="26">
        <f>IFERROR(__xludf.DUMMYFUNCTION("""COMPUTED_VALUE"""),0.0)</f>
        <v>0</v>
      </c>
      <c r="I97" s="26">
        <f>IFERROR(__xludf.DUMMYFUNCTION("""COMPUTED_VALUE"""),0.0)</f>
        <v>0</v>
      </c>
      <c r="J97" s="26">
        <f>IFERROR(__xludf.DUMMYFUNCTION("""COMPUTED_VALUE"""),0.0)</f>
        <v>0</v>
      </c>
      <c r="K97" s="26">
        <f>IFERROR(__xludf.DUMMYFUNCTION("""COMPUTED_VALUE"""),0.0)</f>
        <v>0</v>
      </c>
      <c r="L97" s="26"/>
      <c r="M97" s="26"/>
      <c r="N97" s="26"/>
      <c r="O97" s="26"/>
      <c r="P97" s="26"/>
      <c r="Q97" s="26"/>
      <c r="R97" s="26">
        <f>IFERROR(__xludf.DUMMYFUNCTION("""COMPUTED_VALUE"""),0.0)</f>
        <v>0</v>
      </c>
      <c r="S97" s="26">
        <f>IFERROR(__xludf.DUMMYFUNCTION("""COMPUTED_VALUE"""),0.0)</f>
        <v>0</v>
      </c>
      <c r="T97" s="26">
        <f>IFERROR(__xludf.DUMMYFUNCTION("""COMPUTED_VALUE"""),0.0)</f>
        <v>0</v>
      </c>
      <c r="U97" s="26">
        <f>IFERROR(__xludf.DUMMYFUNCTION("""COMPUTED_VALUE"""),0.0)</f>
        <v>0</v>
      </c>
      <c r="V97" s="26">
        <f>IFERROR(__xludf.DUMMYFUNCTION("""COMPUTED_VALUE"""),0.0)</f>
        <v>0</v>
      </c>
      <c r="W97" s="26">
        <f>IFERROR(__xludf.DUMMYFUNCTION("""COMPUTED_VALUE"""),0.0)</f>
        <v>0</v>
      </c>
      <c r="X97" s="26">
        <f>IFERROR(__xludf.DUMMYFUNCTION("""COMPUTED_VALUE"""),0.0)</f>
        <v>0</v>
      </c>
      <c r="Y97" s="26">
        <f>IFERROR(__xludf.DUMMYFUNCTION("""COMPUTED_VALUE"""),0.0)</f>
        <v>0</v>
      </c>
      <c r="Z97" s="26">
        <f>IFERROR(__xludf.DUMMYFUNCTION("""COMPUTED_VALUE"""),0.0)</f>
        <v>0</v>
      </c>
      <c r="AA97" s="26">
        <f>IFERROR(__xludf.DUMMYFUNCTION("""COMPUTED_VALUE"""),0.0)</f>
        <v>0</v>
      </c>
      <c r="AB97" s="26">
        <f>IFERROR(__xludf.DUMMYFUNCTION("""COMPUTED_VALUE"""),0.0)</f>
        <v>0</v>
      </c>
      <c r="AC97" s="26">
        <f>IFERROR(__xludf.DUMMYFUNCTION("""COMPUTED_VALUE"""),1387.0)</f>
        <v>1387</v>
      </c>
      <c r="AD97" s="26">
        <f>IFERROR(__xludf.DUMMYFUNCTION("""COMPUTED_VALUE"""),1387.0)</f>
        <v>1387</v>
      </c>
      <c r="AE97" s="26">
        <f>IFERROR(__xludf.DUMMYFUNCTION("""COMPUTED_VALUE"""),0.0)</f>
        <v>0</v>
      </c>
    </row>
    <row r="98">
      <c r="A98" s="26">
        <f>IFERROR(__xludf.DUMMYFUNCTION("""COMPUTED_VALUE"""),0.0)</f>
        <v>0</v>
      </c>
      <c r="B98" s="26">
        <f>IFERROR(__xludf.DUMMYFUNCTION("""COMPUTED_VALUE"""),0.0)</f>
        <v>0</v>
      </c>
      <c r="C98" s="26">
        <f>IFERROR(__xludf.DUMMYFUNCTION("""COMPUTED_VALUE"""),0.0)</f>
        <v>0</v>
      </c>
      <c r="D98" s="26">
        <f>IFERROR(__xludf.DUMMYFUNCTION("""COMPUTED_VALUE"""),0.0)</f>
        <v>0</v>
      </c>
      <c r="E98" s="26">
        <f>IFERROR(__xludf.DUMMYFUNCTION("""COMPUTED_VALUE"""),0.0)</f>
        <v>0</v>
      </c>
      <c r="F98" s="26">
        <f>IFERROR(__xludf.DUMMYFUNCTION("""COMPUTED_VALUE"""),0.0)</f>
        <v>0</v>
      </c>
      <c r="G98" s="26">
        <f>IFERROR(__xludf.DUMMYFUNCTION("""COMPUTED_VALUE"""),0.0)</f>
        <v>0</v>
      </c>
      <c r="H98" s="26">
        <f>IFERROR(__xludf.DUMMYFUNCTION("""COMPUTED_VALUE"""),0.0)</f>
        <v>0</v>
      </c>
      <c r="I98" s="26">
        <f>IFERROR(__xludf.DUMMYFUNCTION("""COMPUTED_VALUE"""),0.0)</f>
        <v>0</v>
      </c>
      <c r="J98" s="26">
        <f>IFERROR(__xludf.DUMMYFUNCTION("""COMPUTED_VALUE"""),0.0)</f>
        <v>0</v>
      </c>
      <c r="K98" s="26">
        <f>IFERROR(__xludf.DUMMYFUNCTION("""COMPUTED_VALUE"""),0.0)</f>
        <v>0</v>
      </c>
      <c r="L98" s="26"/>
      <c r="M98" s="26"/>
      <c r="N98" s="26"/>
      <c r="O98" s="26"/>
      <c r="P98" s="26"/>
      <c r="Q98" s="26"/>
      <c r="R98" s="26">
        <f>IFERROR(__xludf.DUMMYFUNCTION("""COMPUTED_VALUE"""),0.0)</f>
        <v>0</v>
      </c>
      <c r="S98" s="26">
        <f>IFERROR(__xludf.DUMMYFUNCTION("""COMPUTED_VALUE"""),0.0)</f>
        <v>0</v>
      </c>
      <c r="T98" s="26">
        <f>IFERROR(__xludf.DUMMYFUNCTION("""COMPUTED_VALUE"""),0.0)</f>
        <v>0</v>
      </c>
      <c r="U98" s="26">
        <f>IFERROR(__xludf.DUMMYFUNCTION("""COMPUTED_VALUE"""),0.0)</f>
        <v>0</v>
      </c>
      <c r="V98" s="26">
        <f>IFERROR(__xludf.DUMMYFUNCTION("""COMPUTED_VALUE"""),0.0)</f>
        <v>0</v>
      </c>
      <c r="W98" s="26">
        <f>IFERROR(__xludf.DUMMYFUNCTION("""COMPUTED_VALUE"""),0.0)</f>
        <v>0</v>
      </c>
      <c r="X98" s="26">
        <f>IFERROR(__xludf.DUMMYFUNCTION("""COMPUTED_VALUE"""),0.0)</f>
        <v>0</v>
      </c>
      <c r="Y98" s="26">
        <f>IFERROR(__xludf.DUMMYFUNCTION("""COMPUTED_VALUE"""),0.0)</f>
        <v>0</v>
      </c>
      <c r="Z98" s="26">
        <f>IFERROR(__xludf.DUMMYFUNCTION("""COMPUTED_VALUE"""),0.0)</f>
        <v>0</v>
      </c>
      <c r="AA98" s="26">
        <f>IFERROR(__xludf.DUMMYFUNCTION("""COMPUTED_VALUE"""),0.0)</f>
        <v>0</v>
      </c>
      <c r="AB98" s="26">
        <f>IFERROR(__xludf.DUMMYFUNCTION("""COMPUTED_VALUE"""),0.0)</f>
        <v>0</v>
      </c>
      <c r="AC98" s="26">
        <f>IFERROR(__xludf.DUMMYFUNCTION("""COMPUTED_VALUE"""),0.0)</f>
        <v>0</v>
      </c>
      <c r="AD98" s="26">
        <f>IFERROR(__xludf.DUMMYFUNCTION("""COMPUTED_VALUE"""),0.0)</f>
        <v>0</v>
      </c>
      <c r="AE98" s="26">
        <f>IFERROR(__xludf.DUMMYFUNCTION("""COMPUTED_VALUE"""),0.0)</f>
        <v>0</v>
      </c>
    </row>
    <row r="99">
      <c r="A99" s="26">
        <f>IFERROR(__xludf.DUMMYFUNCTION("""COMPUTED_VALUE"""),1.0)</f>
        <v>1</v>
      </c>
      <c r="B99" s="26">
        <f>IFERROR(__xludf.DUMMYFUNCTION("""COMPUTED_VALUE"""),0.0)</f>
        <v>0</v>
      </c>
      <c r="C99" s="26">
        <f>IFERROR(__xludf.DUMMYFUNCTION("""COMPUTED_VALUE"""),0.0)</f>
        <v>0</v>
      </c>
      <c r="D99" s="26">
        <f>IFERROR(__xludf.DUMMYFUNCTION("""COMPUTED_VALUE"""),0.0)</f>
        <v>0</v>
      </c>
      <c r="E99" s="26">
        <f>IFERROR(__xludf.DUMMYFUNCTION("""COMPUTED_VALUE"""),0.0)</f>
        <v>0</v>
      </c>
      <c r="F99" s="26">
        <f>IFERROR(__xludf.DUMMYFUNCTION("""COMPUTED_VALUE"""),0.0)</f>
        <v>0</v>
      </c>
      <c r="G99" s="26">
        <f>IFERROR(__xludf.DUMMYFUNCTION("""COMPUTED_VALUE"""),0.0)</f>
        <v>0</v>
      </c>
      <c r="H99" s="26">
        <f>IFERROR(__xludf.DUMMYFUNCTION("""COMPUTED_VALUE"""),0.0)</f>
        <v>0</v>
      </c>
      <c r="I99" s="26">
        <f>IFERROR(__xludf.DUMMYFUNCTION("""COMPUTED_VALUE"""),0.0)</f>
        <v>0</v>
      </c>
      <c r="J99" s="26">
        <f>IFERROR(__xludf.DUMMYFUNCTION("""COMPUTED_VALUE"""),0.0)</f>
        <v>0</v>
      </c>
      <c r="K99" s="26">
        <f>IFERROR(__xludf.DUMMYFUNCTION("""COMPUTED_VALUE"""),0.0)</f>
        <v>0</v>
      </c>
      <c r="L99" s="26"/>
      <c r="M99" s="26"/>
      <c r="N99" s="26"/>
      <c r="O99" s="26"/>
      <c r="P99" s="26"/>
      <c r="Q99" s="26"/>
      <c r="R99" s="26">
        <f>IFERROR(__xludf.DUMMYFUNCTION("""COMPUTED_VALUE"""),390.0)</f>
        <v>390</v>
      </c>
      <c r="S99" s="26">
        <f>IFERROR(__xludf.DUMMYFUNCTION("""COMPUTED_VALUE"""),0.0)</f>
        <v>0</v>
      </c>
      <c r="T99" s="26">
        <f>IFERROR(__xludf.DUMMYFUNCTION("""COMPUTED_VALUE"""),29.75)</f>
        <v>29.75</v>
      </c>
      <c r="U99" s="26">
        <f>IFERROR(__xludf.DUMMYFUNCTION("""COMPUTED_VALUE"""),29.75)</f>
        <v>29.75</v>
      </c>
      <c r="V99" s="26">
        <f>IFERROR(__xludf.DUMMYFUNCTION("""COMPUTED_VALUE"""),0.0)</f>
        <v>0</v>
      </c>
      <c r="W99" s="26">
        <f>IFERROR(__xludf.DUMMYFUNCTION("""COMPUTED_VALUE"""),390.0)</f>
        <v>390</v>
      </c>
      <c r="X99" s="26">
        <f>IFERROR(__xludf.DUMMYFUNCTION("""COMPUTED_VALUE"""),66.11)</f>
        <v>66.11</v>
      </c>
      <c r="Y99" s="26">
        <f>IFERROR(__xludf.DUMMYFUNCTION("""COMPUTED_VALUE"""),323.89)</f>
        <v>323.89</v>
      </c>
      <c r="Z99" s="26">
        <f>IFERROR(__xludf.DUMMYFUNCTION("""COMPUTED_VALUE"""),0.0)</f>
        <v>0</v>
      </c>
      <c r="AA99" s="26">
        <f>IFERROR(__xludf.DUMMYFUNCTION("""COMPUTED_VALUE"""),6.61)</f>
        <v>6.61</v>
      </c>
      <c r="AB99" s="26">
        <f>IFERROR(__xludf.DUMMYFUNCTION("""COMPUTED_VALUE"""),323.89)</f>
        <v>323.89</v>
      </c>
      <c r="AC99" s="26">
        <f>IFERROR(__xludf.DUMMYFUNCTION("""COMPUTED_VALUE"""),-450.0)</f>
        <v>-450</v>
      </c>
      <c r="AD99" s="26">
        <f>IFERROR(__xludf.DUMMYFUNCTION("""COMPUTED_VALUE"""),-450.0)</f>
        <v>-450</v>
      </c>
      <c r="AE99" s="26">
        <f>IFERROR(__xludf.DUMMYFUNCTION("""COMPUTED_VALUE"""),840.0)</f>
        <v>840</v>
      </c>
    </row>
    <row r="100">
      <c r="A100" s="26">
        <f>IFERROR(__xludf.DUMMYFUNCTION("""COMPUTED_VALUE"""),0.0)</f>
        <v>0</v>
      </c>
      <c r="B100" s="26">
        <f>IFERROR(__xludf.DUMMYFUNCTION("""COMPUTED_VALUE"""),0.0)</f>
        <v>0</v>
      </c>
      <c r="C100" s="26">
        <f>IFERROR(__xludf.DUMMYFUNCTION("""COMPUTED_VALUE"""),0.0)</f>
        <v>0</v>
      </c>
      <c r="D100" s="26">
        <f>IFERROR(__xludf.DUMMYFUNCTION("""COMPUTED_VALUE"""),0.0)</f>
        <v>0</v>
      </c>
      <c r="E100" s="26">
        <f>IFERROR(__xludf.DUMMYFUNCTION("""COMPUTED_VALUE"""),0.0)</f>
        <v>0</v>
      </c>
      <c r="F100" s="26">
        <f>IFERROR(__xludf.DUMMYFUNCTION("""COMPUTED_VALUE"""),0.0)</f>
        <v>0</v>
      </c>
      <c r="G100" s="26">
        <f>IFERROR(__xludf.DUMMYFUNCTION("""COMPUTED_VALUE"""),0.0)</f>
        <v>0</v>
      </c>
      <c r="H100" s="26">
        <f>IFERROR(__xludf.DUMMYFUNCTION("""COMPUTED_VALUE"""),0.0)</f>
        <v>0</v>
      </c>
      <c r="I100" s="26">
        <f>IFERROR(__xludf.DUMMYFUNCTION("""COMPUTED_VALUE"""),0.0)</f>
        <v>0</v>
      </c>
      <c r="J100" s="26">
        <f>IFERROR(__xludf.DUMMYFUNCTION("""COMPUTED_VALUE"""),0.0)</f>
        <v>0</v>
      </c>
      <c r="K100" s="26">
        <f>IFERROR(__xludf.DUMMYFUNCTION("""COMPUTED_VALUE"""),0.0)</f>
        <v>0</v>
      </c>
      <c r="L100" s="26"/>
      <c r="M100" s="26"/>
      <c r="N100" s="26"/>
      <c r="O100" s="26"/>
      <c r="P100" s="26"/>
      <c r="Q100" s="26"/>
      <c r="R100" s="26">
        <f>IFERROR(__xludf.DUMMYFUNCTION("""COMPUTED_VALUE"""),0.0)</f>
        <v>0</v>
      </c>
      <c r="S100" s="26">
        <f>IFERROR(__xludf.DUMMYFUNCTION("""COMPUTED_VALUE"""),0.0)</f>
        <v>0</v>
      </c>
      <c r="T100" s="26">
        <f>IFERROR(__xludf.DUMMYFUNCTION("""COMPUTED_VALUE"""),0.0)</f>
        <v>0</v>
      </c>
      <c r="U100" s="26">
        <f>IFERROR(__xludf.DUMMYFUNCTION("""COMPUTED_VALUE"""),0.0)</f>
        <v>0</v>
      </c>
      <c r="V100" s="26">
        <f>IFERROR(__xludf.DUMMYFUNCTION("""COMPUTED_VALUE"""),0.0)</f>
        <v>0</v>
      </c>
      <c r="W100" s="26">
        <f>IFERROR(__xludf.DUMMYFUNCTION("""COMPUTED_VALUE"""),0.0)</f>
        <v>0</v>
      </c>
      <c r="X100" s="26">
        <f>IFERROR(__xludf.DUMMYFUNCTION("""COMPUTED_VALUE"""),0.0)</f>
        <v>0</v>
      </c>
      <c r="Y100" s="26">
        <f>IFERROR(__xludf.DUMMYFUNCTION("""COMPUTED_VALUE"""),0.0)</f>
        <v>0</v>
      </c>
      <c r="Z100" s="26">
        <f>IFERROR(__xludf.DUMMYFUNCTION("""COMPUTED_VALUE"""),0.0)</f>
        <v>0</v>
      </c>
      <c r="AA100" s="26">
        <f>IFERROR(__xludf.DUMMYFUNCTION("""COMPUTED_VALUE"""),0.0)</f>
        <v>0</v>
      </c>
      <c r="AB100" s="26">
        <f>IFERROR(__xludf.DUMMYFUNCTION("""COMPUTED_VALUE"""),0.0)</f>
        <v>0</v>
      </c>
      <c r="AC100" s="26">
        <f>IFERROR(__xludf.DUMMYFUNCTION("""COMPUTED_VALUE"""),0.0)</f>
        <v>0</v>
      </c>
      <c r="AD100" s="26">
        <f>IFERROR(__xludf.DUMMYFUNCTION("""COMPUTED_VALUE"""),0.0)</f>
        <v>0</v>
      </c>
      <c r="AE100" s="26">
        <f>IFERROR(__xludf.DUMMYFUNCTION("""COMPUTED_VALUE"""),0.0)</f>
        <v>0</v>
      </c>
    </row>
    <row r="101">
      <c r="A101" s="26">
        <f>IFERROR(__xludf.DUMMYFUNCTION("""COMPUTED_VALUE"""),0.0)</f>
        <v>0</v>
      </c>
      <c r="B101" s="26">
        <f>IFERROR(__xludf.DUMMYFUNCTION("""COMPUTED_VALUE"""),0.0)</f>
        <v>0</v>
      </c>
      <c r="C101" s="26">
        <f>IFERROR(__xludf.DUMMYFUNCTION("""COMPUTED_VALUE"""),0.0)</f>
        <v>0</v>
      </c>
      <c r="D101" s="26">
        <f>IFERROR(__xludf.DUMMYFUNCTION("""COMPUTED_VALUE"""),0.0)</f>
        <v>0</v>
      </c>
      <c r="E101" s="26">
        <f>IFERROR(__xludf.DUMMYFUNCTION("""COMPUTED_VALUE"""),0.0)</f>
        <v>0</v>
      </c>
      <c r="F101" s="26">
        <f>IFERROR(__xludf.DUMMYFUNCTION("""COMPUTED_VALUE"""),0.0)</f>
        <v>0</v>
      </c>
      <c r="G101" s="26">
        <f>IFERROR(__xludf.DUMMYFUNCTION("""COMPUTED_VALUE"""),0.0)</f>
        <v>0</v>
      </c>
      <c r="H101" s="26">
        <f>IFERROR(__xludf.DUMMYFUNCTION("""COMPUTED_VALUE"""),0.0)</f>
        <v>0</v>
      </c>
      <c r="I101" s="26">
        <f>IFERROR(__xludf.DUMMYFUNCTION("""COMPUTED_VALUE"""),0.0)</f>
        <v>0</v>
      </c>
      <c r="J101" s="26">
        <f>IFERROR(__xludf.DUMMYFUNCTION("""COMPUTED_VALUE"""),0.0)</f>
        <v>0</v>
      </c>
      <c r="K101" s="26">
        <f>IFERROR(__xludf.DUMMYFUNCTION("""COMPUTED_VALUE"""),0.0)</f>
        <v>0</v>
      </c>
      <c r="L101" s="26"/>
      <c r="M101" s="26"/>
      <c r="N101" s="26"/>
      <c r="O101" s="26"/>
      <c r="P101" s="26"/>
      <c r="Q101" s="26"/>
      <c r="R101" s="26">
        <f>IFERROR(__xludf.DUMMYFUNCTION("""COMPUTED_VALUE"""),0.0)</f>
        <v>0</v>
      </c>
      <c r="S101" s="26">
        <f>IFERROR(__xludf.DUMMYFUNCTION("""COMPUTED_VALUE"""),0.0)</f>
        <v>0</v>
      </c>
      <c r="T101" s="26">
        <f>IFERROR(__xludf.DUMMYFUNCTION("""COMPUTED_VALUE"""),0.0)</f>
        <v>0</v>
      </c>
      <c r="U101" s="26">
        <f>IFERROR(__xludf.DUMMYFUNCTION("""COMPUTED_VALUE"""),0.0)</f>
        <v>0</v>
      </c>
      <c r="V101" s="26">
        <f>IFERROR(__xludf.DUMMYFUNCTION("""COMPUTED_VALUE"""),0.0)</f>
        <v>0</v>
      </c>
      <c r="W101" s="26">
        <f>IFERROR(__xludf.DUMMYFUNCTION("""COMPUTED_VALUE"""),0.0)</f>
        <v>0</v>
      </c>
      <c r="X101" s="26">
        <f>IFERROR(__xludf.DUMMYFUNCTION("""COMPUTED_VALUE"""),0.0)</f>
        <v>0</v>
      </c>
      <c r="Y101" s="26">
        <f>IFERROR(__xludf.DUMMYFUNCTION("""COMPUTED_VALUE"""),0.0)</f>
        <v>0</v>
      </c>
      <c r="Z101" s="26">
        <f>IFERROR(__xludf.DUMMYFUNCTION("""COMPUTED_VALUE"""),0.0)</f>
        <v>0</v>
      </c>
      <c r="AA101" s="26">
        <f>IFERROR(__xludf.DUMMYFUNCTION("""COMPUTED_VALUE"""),0.0)</f>
        <v>0</v>
      </c>
      <c r="AB101" s="26">
        <f>IFERROR(__xludf.DUMMYFUNCTION("""COMPUTED_VALUE"""),0.0)</f>
        <v>0</v>
      </c>
      <c r="AC101" s="26">
        <f>IFERROR(__xludf.DUMMYFUNCTION("""COMPUTED_VALUE"""),0.0)</f>
        <v>0</v>
      </c>
      <c r="AD101" s="26">
        <f>IFERROR(__xludf.DUMMYFUNCTION("""COMPUTED_VALUE"""),0.0)</f>
        <v>0</v>
      </c>
      <c r="AE101" s="26">
        <f>IFERROR(__xludf.DUMMYFUNCTION("""COMPUTED_VALUE"""),0.0)</f>
        <v>0</v>
      </c>
    </row>
    <row r="102">
      <c r="A102" s="26">
        <f>IFERROR(__xludf.DUMMYFUNCTION("""COMPUTED_VALUE"""),0.0)</f>
        <v>0</v>
      </c>
      <c r="B102" s="26">
        <f>IFERROR(__xludf.DUMMYFUNCTION("""COMPUTED_VALUE"""),0.0)</f>
        <v>0</v>
      </c>
      <c r="C102" s="26">
        <f>IFERROR(__xludf.DUMMYFUNCTION("""COMPUTED_VALUE"""),0.0)</f>
        <v>0</v>
      </c>
      <c r="D102" s="26">
        <f>IFERROR(__xludf.DUMMYFUNCTION("""COMPUTED_VALUE"""),0.0)</f>
        <v>0</v>
      </c>
      <c r="E102" s="26">
        <f>IFERROR(__xludf.DUMMYFUNCTION("""COMPUTED_VALUE"""),0.0)</f>
        <v>0</v>
      </c>
      <c r="F102" s="26">
        <f>IFERROR(__xludf.DUMMYFUNCTION("""COMPUTED_VALUE"""),0.0)</f>
        <v>0</v>
      </c>
      <c r="G102" s="26">
        <f>IFERROR(__xludf.DUMMYFUNCTION("""COMPUTED_VALUE"""),0.0)</f>
        <v>0</v>
      </c>
      <c r="H102" s="26">
        <f>IFERROR(__xludf.DUMMYFUNCTION("""COMPUTED_VALUE"""),0.0)</f>
        <v>0</v>
      </c>
      <c r="I102" s="26">
        <f>IFERROR(__xludf.DUMMYFUNCTION("""COMPUTED_VALUE"""),0.0)</f>
        <v>0</v>
      </c>
      <c r="J102" s="26">
        <f>IFERROR(__xludf.DUMMYFUNCTION("""COMPUTED_VALUE"""),0.0)</f>
        <v>0</v>
      </c>
      <c r="K102" s="26">
        <f>IFERROR(__xludf.DUMMYFUNCTION("""COMPUTED_VALUE"""),0.0)</f>
        <v>0</v>
      </c>
      <c r="L102" s="26"/>
      <c r="M102" s="26"/>
      <c r="N102" s="26"/>
      <c r="O102" s="26"/>
      <c r="P102" s="26"/>
      <c r="Q102" s="26"/>
      <c r="R102" s="26">
        <f>IFERROR(__xludf.DUMMYFUNCTION("""COMPUTED_VALUE"""),0.0)</f>
        <v>0</v>
      </c>
      <c r="S102" s="26">
        <f>IFERROR(__xludf.DUMMYFUNCTION("""COMPUTED_VALUE"""),0.0)</f>
        <v>0</v>
      </c>
      <c r="T102" s="26">
        <f>IFERROR(__xludf.DUMMYFUNCTION("""COMPUTED_VALUE"""),0.0)</f>
        <v>0</v>
      </c>
      <c r="U102" s="26">
        <f>IFERROR(__xludf.DUMMYFUNCTION("""COMPUTED_VALUE"""),0.0)</f>
        <v>0</v>
      </c>
      <c r="V102" s="26">
        <f>IFERROR(__xludf.DUMMYFUNCTION("""COMPUTED_VALUE"""),0.0)</f>
        <v>0</v>
      </c>
      <c r="W102" s="26">
        <f>IFERROR(__xludf.DUMMYFUNCTION("""COMPUTED_VALUE"""),0.0)</f>
        <v>0</v>
      </c>
      <c r="X102" s="26">
        <f>IFERROR(__xludf.DUMMYFUNCTION("""COMPUTED_VALUE"""),0.0)</f>
        <v>0</v>
      </c>
      <c r="Y102" s="26">
        <f>IFERROR(__xludf.DUMMYFUNCTION("""COMPUTED_VALUE"""),0.0)</f>
        <v>0</v>
      </c>
      <c r="Z102" s="26">
        <f>IFERROR(__xludf.DUMMYFUNCTION("""COMPUTED_VALUE"""),0.0)</f>
        <v>0</v>
      </c>
      <c r="AA102" s="26">
        <f>IFERROR(__xludf.DUMMYFUNCTION("""COMPUTED_VALUE"""),0.0)</f>
        <v>0</v>
      </c>
      <c r="AB102" s="26">
        <f>IFERROR(__xludf.DUMMYFUNCTION("""COMPUTED_VALUE"""),0.0)</f>
        <v>0</v>
      </c>
      <c r="AC102" s="26">
        <f>IFERROR(__xludf.DUMMYFUNCTION("""COMPUTED_VALUE"""),0.0)</f>
        <v>0</v>
      </c>
      <c r="AD102" s="26">
        <f>IFERROR(__xludf.DUMMYFUNCTION("""COMPUTED_VALUE"""),0.0)</f>
        <v>0</v>
      </c>
      <c r="AE102" s="26">
        <f>IFERROR(__xludf.DUMMYFUNCTION("""COMPUTED_VALUE"""),0.0)</f>
        <v>0</v>
      </c>
    </row>
    <row r="103">
      <c r="A103" s="26">
        <f>IFERROR(__xludf.DUMMYFUNCTION("""COMPUTED_VALUE"""),0.0)</f>
        <v>0</v>
      </c>
      <c r="B103" s="26">
        <f>IFERROR(__xludf.DUMMYFUNCTION("""COMPUTED_VALUE"""),0.0)</f>
        <v>0</v>
      </c>
      <c r="C103" s="26">
        <f>IFERROR(__xludf.DUMMYFUNCTION("""COMPUTED_VALUE"""),0.0)</f>
        <v>0</v>
      </c>
      <c r="D103" s="26">
        <f>IFERROR(__xludf.DUMMYFUNCTION("""COMPUTED_VALUE"""),0.0)</f>
        <v>0</v>
      </c>
      <c r="E103" s="26">
        <f>IFERROR(__xludf.DUMMYFUNCTION("""COMPUTED_VALUE"""),0.0)</f>
        <v>0</v>
      </c>
      <c r="F103" s="26">
        <f>IFERROR(__xludf.DUMMYFUNCTION("""COMPUTED_VALUE"""),0.0)</f>
        <v>0</v>
      </c>
      <c r="G103" s="26">
        <f>IFERROR(__xludf.DUMMYFUNCTION("""COMPUTED_VALUE"""),0.0)</f>
        <v>0</v>
      </c>
      <c r="H103" s="26">
        <f>IFERROR(__xludf.DUMMYFUNCTION("""COMPUTED_VALUE"""),0.0)</f>
        <v>0</v>
      </c>
      <c r="I103" s="26">
        <f>IFERROR(__xludf.DUMMYFUNCTION("""COMPUTED_VALUE"""),0.0)</f>
        <v>0</v>
      </c>
      <c r="J103" s="26">
        <f>IFERROR(__xludf.DUMMYFUNCTION("""COMPUTED_VALUE"""),0.0)</f>
        <v>0</v>
      </c>
      <c r="K103" s="26">
        <f>IFERROR(__xludf.DUMMYFUNCTION("""COMPUTED_VALUE"""),0.0)</f>
        <v>0</v>
      </c>
      <c r="L103" s="26"/>
      <c r="M103" s="26"/>
      <c r="N103" s="26"/>
      <c r="O103" s="26"/>
      <c r="P103" s="26"/>
      <c r="Q103" s="26"/>
      <c r="R103" s="26">
        <f>IFERROR(__xludf.DUMMYFUNCTION("""COMPUTED_VALUE"""),0.0)</f>
        <v>0</v>
      </c>
      <c r="S103" s="26">
        <f>IFERROR(__xludf.DUMMYFUNCTION("""COMPUTED_VALUE"""),0.0)</f>
        <v>0</v>
      </c>
      <c r="T103" s="26">
        <f>IFERROR(__xludf.DUMMYFUNCTION("""COMPUTED_VALUE"""),0.0)</f>
        <v>0</v>
      </c>
      <c r="U103" s="26">
        <f>IFERROR(__xludf.DUMMYFUNCTION("""COMPUTED_VALUE"""),0.0)</f>
        <v>0</v>
      </c>
      <c r="V103" s="26">
        <f>IFERROR(__xludf.DUMMYFUNCTION("""COMPUTED_VALUE"""),0.0)</f>
        <v>0</v>
      </c>
      <c r="W103" s="26">
        <f>IFERROR(__xludf.DUMMYFUNCTION("""COMPUTED_VALUE"""),0.0)</f>
        <v>0</v>
      </c>
      <c r="X103" s="26">
        <f>IFERROR(__xludf.DUMMYFUNCTION("""COMPUTED_VALUE"""),0.0)</f>
        <v>0</v>
      </c>
      <c r="Y103" s="26">
        <f>IFERROR(__xludf.DUMMYFUNCTION("""COMPUTED_VALUE"""),0.0)</f>
        <v>0</v>
      </c>
      <c r="Z103" s="26">
        <f>IFERROR(__xludf.DUMMYFUNCTION("""COMPUTED_VALUE"""),0.0)</f>
        <v>0</v>
      </c>
      <c r="AA103" s="26">
        <f>IFERROR(__xludf.DUMMYFUNCTION("""COMPUTED_VALUE"""),0.0)</f>
        <v>0</v>
      </c>
      <c r="AB103" s="26">
        <f>IFERROR(__xludf.DUMMYFUNCTION("""COMPUTED_VALUE"""),0.0)</f>
        <v>0</v>
      </c>
      <c r="AC103" s="26">
        <f>IFERROR(__xludf.DUMMYFUNCTION("""COMPUTED_VALUE"""),0.0)</f>
        <v>0</v>
      </c>
      <c r="AD103" s="26">
        <f>IFERROR(__xludf.DUMMYFUNCTION("""COMPUTED_VALUE"""),0.0)</f>
        <v>0</v>
      </c>
      <c r="AE103" s="26">
        <f>IFERROR(__xludf.DUMMYFUNCTION("""COMPUTED_VALUE"""),0.0)</f>
        <v>0</v>
      </c>
    </row>
    <row r="104">
      <c r="A104" s="26">
        <f>IFERROR(__xludf.DUMMYFUNCTION("""COMPUTED_VALUE"""),0.0)</f>
        <v>0</v>
      </c>
      <c r="B104" s="26">
        <f>IFERROR(__xludf.DUMMYFUNCTION("""COMPUTED_VALUE"""),0.0)</f>
        <v>0</v>
      </c>
      <c r="C104" s="26">
        <f>IFERROR(__xludf.DUMMYFUNCTION("""COMPUTED_VALUE"""),0.0)</f>
        <v>0</v>
      </c>
      <c r="D104" s="26">
        <f>IFERROR(__xludf.DUMMYFUNCTION("""COMPUTED_VALUE"""),0.0)</f>
        <v>0</v>
      </c>
      <c r="E104" s="26">
        <f>IFERROR(__xludf.DUMMYFUNCTION("""COMPUTED_VALUE"""),0.0)</f>
        <v>0</v>
      </c>
      <c r="F104" s="26">
        <f>IFERROR(__xludf.DUMMYFUNCTION("""COMPUTED_VALUE"""),0.0)</f>
        <v>0</v>
      </c>
      <c r="G104" s="26">
        <f>IFERROR(__xludf.DUMMYFUNCTION("""COMPUTED_VALUE"""),0.0)</f>
        <v>0</v>
      </c>
      <c r="H104" s="26">
        <f>IFERROR(__xludf.DUMMYFUNCTION("""COMPUTED_VALUE"""),0.0)</f>
        <v>0</v>
      </c>
      <c r="I104" s="26">
        <f>IFERROR(__xludf.DUMMYFUNCTION("""COMPUTED_VALUE"""),0.0)</f>
        <v>0</v>
      </c>
      <c r="J104" s="26">
        <f>IFERROR(__xludf.DUMMYFUNCTION("""COMPUTED_VALUE"""),0.0)</f>
        <v>0</v>
      </c>
      <c r="K104" s="26">
        <f>IFERROR(__xludf.DUMMYFUNCTION("""COMPUTED_VALUE"""),0.0)</f>
        <v>0</v>
      </c>
      <c r="L104" s="26"/>
      <c r="M104" s="26"/>
      <c r="N104" s="26"/>
      <c r="O104" s="26"/>
      <c r="P104" s="26"/>
      <c r="Q104" s="26"/>
      <c r="R104" s="26">
        <f>IFERROR(__xludf.DUMMYFUNCTION("""COMPUTED_VALUE"""),0.0)</f>
        <v>0</v>
      </c>
      <c r="S104" s="26">
        <f>IFERROR(__xludf.DUMMYFUNCTION("""COMPUTED_VALUE"""),0.0)</f>
        <v>0</v>
      </c>
      <c r="T104" s="26">
        <f>IFERROR(__xludf.DUMMYFUNCTION("""COMPUTED_VALUE"""),0.0)</f>
        <v>0</v>
      </c>
      <c r="U104" s="26">
        <f>IFERROR(__xludf.DUMMYFUNCTION("""COMPUTED_VALUE"""),0.0)</f>
        <v>0</v>
      </c>
      <c r="V104" s="26">
        <f>IFERROR(__xludf.DUMMYFUNCTION("""COMPUTED_VALUE"""),0.0)</f>
        <v>0</v>
      </c>
      <c r="W104" s="26">
        <f>IFERROR(__xludf.DUMMYFUNCTION("""COMPUTED_VALUE"""),0.0)</f>
        <v>0</v>
      </c>
      <c r="X104" s="26">
        <f>IFERROR(__xludf.DUMMYFUNCTION("""COMPUTED_VALUE"""),0.0)</f>
        <v>0</v>
      </c>
      <c r="Y104" s="26">
        <f>IFERROR(__xludf.DUMMYFUNCTION("""COMPUTED_VALUE"""),0.0)</f>
        <v>0</v>
      </c>
      <c r="Z104" s="26">
        <f>IFERROR(__xludf.DUMMYFUNCTION("""COMPUTED_VALUE"""),0.0)</f>
        <v>0</v>
      </c>
      <c r="AA104" s="26">
        <f>IFERROR(__xludf.DUMMYFUNCTION("""COMPUTED_VALUE"""),0.0)</f>
        <v>0</v>
      </c>
      <c r="AB104" s="26">
        <f>IFERROR(__xludf.DUMMYFUNCTION("""COMPUTED_VALUE"""),0.0)</f>
        <v>0</v>
      </c>
      <c r="AC104" s="26">
        <f>IFERROR(__xludf.DUMMYFUNCTION("""COMPUTED_VALUE"""),0.0)</f>
        <v>0</v>
      </c>
      <c r="AD104" s="26">
        <f>IFERROR(__xludf.DUMMYFUNCTION("""COMPUTED_VALUE"""),0.0)</f>
        <v>0</v>
      </c>
      <c r="AE104" s="26">
        <f>IFERROR(__xludf.DUMMYFUNCTION("""COMPUTED_VALUE"""),0.0)</f>
        <v>0</v>
      </c>
    </row>
    <row r="105">
      <c r="A105" s="26">
        <f>IFERROR(__xludf.DUMMYFUNCTION("""COMPUTED_VALUE"""),0.0)</f>
        <v>0</v>
      </c>
      <c r="B105" s="26">
        <f>IFERROR(__xludf.DUMMYFUNCTION("""COMPUTED_VALUE"""),0.0)</f>
        <v>0</v>
      </c>
      <c r="C105" s="26">
        <f>IFERROR(__xludf.DUMMYFUNCTION("""COMPUTED_VALUE"""),0.0)</f>
        <v>0</v>
      </c>
      <c r="D105" s="26">
        <f>IFERROR(__xludf.DUMMYFUNCTION("""COMPUTED_VALUE"""),0.0)</f>
        <v>0</v>
      </c>
      <c r="E105" s="26">
        <f>IFERROR(__xludf.DUMMYFUNCTION("""COMPUTED_VALUE"""),0.0)</f>
        <v>0</v>
      </c>
      <c r="F105" s="26">
        <f>IFERROR(__xludf.DUMMYFUNCTION("""COMPUTED_VALUE"""),0.0)</f>
        <v>0</v>
      </c>
      <c r="G105" s="26">
        <f>IFERROR(__xludf.DUMMYFUNCTION("""COMPUTED_VALUE"""),0.0)</f>
        <v>0</v>
      </c>
      <c r="H105" s="26">
        <f>IFERROR(__xludf.DUMMYFUNCTION("""COMPUTED_VALUE"""),0.0)</f>
        <v>0</v>
      </c>
      <c r="I105" s="26">
        <f>IFERROR(__xludf.DUMMYFUNCTION("""COMPUTED_VALUE"""),0.0)</f>
        <v>0</v>
      </c>
      <c r="J105" s="26">
        <f>IFERROR(__xludf.DUMMYFUNCTION("""COMPUTED_VALUE"""),0.0)</f>
        <v>0</v>
      </c>
      <c r="K105" s="26">
        <f>IFERROR(__xludf.DUMMYFUNCTION("""COMPUTED_VALUE"""),0.0)</f>
        <v>0</v>
      </c>
      <c r="L105" s="26"/>
      <c r="M105" s="26"/>
      <c r="N105" s="26"/>
      <c r="O105" s="26"/>
      <c r="P105" s="26"/>
      <c r="Q105" s="26"/>
      <c r="R105" s="26">
        <f>IFERROR(__xludf.DUMMYFUNCTION("""COMPUTED_VALUE"""),0.0)</f>
        <v>0</v>
      </c>
      <c r="S105" s="26">
        <f>IFERROR(__xludf.DUMMYFUNCTION("""COMPUTED_VALUE"""),0.0)</f>
        <v>0</v>
      </c>
      <c r="T105" s="26">
        <f>IFERROR(__xludf.DUMMYFUNCTION("""COMPUTED_VALUE"""),0.0)</f>
        <v>0</v>
      </c>
      <c r="U105" s="26">
        <f>IFERROR(__xludf.DUMMYFUNCTION("""COMPUTED_VALUE"""),0.0)</f>
        <v>0</v>
      </c>
      <c r="V105" s="26">
        <f>IFERROR(__xludf.DUMMYFUNCTION("""COMPUTED_VALUE"""),0.0)</f>
        <v>0</v>
      </c>
      <c r="W105" s="26">
        <f>IFERROR(__xludf.DUMMYFUNCTION("""COMPUTED_VALUE"""),0.0)</f>
        <v>0</v>
      </c>
      <c r="X105" s="26">
        <f>IFERROR(__xludf.DUMMYFUNCTION("""COMPUTED_VALUE"""),0.0)</f>
        <v>0</v>
      </c>
      <c r="Y105" s="26">
        <f>IFERROR(__xludf.DUMMYFUNCTION("""COMPUTED_VALUE"""),0.0)</f>
        <v>0</v>
      </c>
      <c r="Z105" s="26">
        <f>IFERROR(__xludf.DUMMYFUNCTION("""COMPUTED_VALUE"""),0.0)</f>
        <v>0</v>
      </c>
      <c r="AA105" s="26">
        <f>IFERROR(__xludf.DUMMYFUNCTION("""COMPUTED_VALUE"""),0.0)</f>
        <v>0</v>
      </c>
      <c r="AB105" s="26">
        <f>IFERROR(__xludf.DUMMYFUNCTION("""COMPUTED_VALUE"""),0.0)</f>
        <v>0</v>
      </c>
      <c r="AC105" s="26">
        <f>IFERROR(__xludf.DUMMYFUNCTION("""COMPUTED_VALUE"""),0.0)</f>
        <v>0</v>
      </c>
      <c r="AD105" s="26">
        <f>IFERROR(__xludf.DUMMYFUNCTION("""COMPUTED_VALUE"""),0.0)</f>
        <v>0</v>
      </c>
      <c r="AE105" s="26">
        <f>IFERROR(__xludf.DUMMYFUNCTION("""COMPUTED_VALUE"""),0.0)</f>
        <v>0</v>
      </c>
    </row>
    <row r="106">
      <c r="A106" s="26">
        <f>IFERROR(__xludf.DUMMYFUNCTION("""COMPUTED_VALUE"""),0.0)</f>
        <v>0</v>
      </c>
      <c r="B106" s="26">
        <f>IFERROR(__xludf.DUMMYFUNCTION("""COMPUTED_VALUE"""),0.0)</f>
        <v>0</v>
      </c>
      <c r="C106" s="26">
        <f>IFERROR(__xludf.DUMMYFUNCTION("""COMPUTED_VALUE"""),0.0)</f>
        <v>0</v>
      </c>
      <c r="D106" s="26">
        <f>IFERROR(__xludf.DUMMYFUNCTION("""COMPUTED_VALUE"""),0.0)</f>
        <v>0</v>
      </c>
      <c r="E106" s="26">
        <f>IFERROR(__xludf.DUMMYFUNCTION("""COMPUTED_VALUE"""),0.0)</f>
        <v>0</v>
      </c>
      <c r="F106" s="26">
        <f>IFERROR(__xludf.DUMMYFUNCTION("""COMPUTED_VALUE"""),0.0)</f>
        <v>0</v>
      </c>
      <c r="G106" s="26">
        <f>IFERROR(__xludf.DUMMYFUNCTION("""COMPUTED_VALUE"""),0.0)</f>
        <v>0</v>
      </c>
      <c r="H106" s="26">
        <f>IFERROR(__xludf.DUMMYFUNCTION("""COMPUTED_VALUE"""),0.0)</f>
        <v>0</v>
      </c>
      <c r="I106" s="26">
        <f>IFERROR(__xludf.DUMMYFUNCTION("""COMPUTED_VALUE"""),0.0)</f>
        <v>0</v>
      </c>
      <c r="J106" s="26">
        <f>IFERROR(__xludf.DUMMYFUNCTION("""COMPUTED_VALUE"""),0.0)</f>
        <v>0</v>
      </c>
      <c r="K106" s="26">
        <f>IFERROR(__xludf.DUMMYFUNCTION("""COMPUTED_VALUE"""),0.0)</f>
        <v>0</v>
      </c>
      <c r="L106" s="26"/>
      <c r="M106" s="26"/>
      <c r="N106" s="26"/>
      <c r="O106" s="26"/>
      <c r="P106" s="26"/>
      <c r="Q106" s="26"/>
      <c r="R106" s="26">
        <f>IFERROR(__xludf.DUMMYFUNCTION("""COMPUTED_VALUE"""),0.0)</f>
        <v>0</v>
      </c>
      <c r="S106" s="26">
        <f>IFERROR(__xludf.DUMMYFUNCTION("""COMPUTED_VALUE"""),0.0)</f>
        <v>0</v>
      </c>
      <c r="T106" s="26">
        <f>IFERROR(__xludf.DUMMYFUNCTION("""COMPUTED_VALUE"""),0.0)</f>
        <v>0</v>
      </c>
      <c r="U106" s="26">
        <f>IFERROR(__xludf.DUMMYFUNCTION("""COMPUTED_VALUE"""),0.0)</f>
        <v>0</v>
      </c>
      <c r="V106" s="26">
        <f>IFERROR(__xludf.DUMMYFUNCTION("""COMPUTED_VALUE"""),0.0)</f>
        <v>0</v>
      </c>
      <c r="W106" s="26">
        <f>IFERROR(__xludf.DUMMYFUNCTION("""COMPUTED_VALUE"""),0.0)</f>
        <v>0</v>
      </c>
      <c r="X106" s="26">
        <f>IFERROR(__xludf.DUMMYFUNCTION("""COMPUTED_VALUE"""),0.0)</f>
        <v>0</v>
      </c>
      <c r="Y106" s="26">
        <f>IFERROR(__xludf.DUMMYFUNCTION("""COMPUTED_VALUE"""),0.0)</f>
        <v>0</v>
      </c>
      <c r="Z106" s="26">
        <f>IFERROR(__xludf.DUMMYFUNCTION("""COMPUTED_VALUE"""),0.0)</f>
        <v>0</v>
      </c>
      <c r="AA106" s="26">
        <f>IFERROR(__xludf.DUMMYFUNCTION("""COMPUTED_VALUE"""),0.0)</f>
        <v>0</v>
      </c>
      <c r="AB106" s="26">
        <f>IFERROR(__xludf.DUMMYFUNCTION("""COMPUTED_VALUE"""),0.0)</f>
        <v>0</v>
      </c>
      <c r="AC106" s="26">
        <f>IFERROR(__xludf.DUMMYFUNCTION("""COMPUTED_VALUE"""),0.0)</f>
        <v>0</v>
      </c>
      <c r="AD106" s="26">
        <f>IFERROR(__xludf.DUMMYFUNCTION("""COMPUTED_VALUE"""),0.0)</f>
        <v>0</v>
      </c>
      <c r="AE106" s="26">
        <f>IFERROR(__xludf.DUMMYFUNCTION("""COMPUTED_VALUE"""),0.0)</f>
        <v>0</v>
      </c>
    </row>
    <row r="107">
      <c r="A107" s="26">
        <f>IFERROR(__xludf.DUMMYFUNCTION("""COMPUTED_VALUE"""),0.0)</f>
        <v>0</v>
      </c>
      <c r="B107" s="26">
        <f>IFERROR(__xludf.DUMMYFUNCTION("""COMPUTED_VALUE"""),0.0)</f>
        <v>0</v>
      </c>
      <c r="C107" s="26">
        <f>IFERROR(__xludf.DUMMYFUNCTION("""COMPUTED_VALUE"""),0.0)</f>
        <v>0</v>
      </c>
      <c r="D107" s="26">
        <f>IFERROR(__xludf.DUMMYFUNCTION("""COMPUTED_VALUE"""),0.0)</f>
        <v>0</v>
      </c>
      <c r="E107" s="26">
        <f>IFERROR(__xludf.DUMMYFUNCTION("""COMPUTED_VALUE"""),0.0)</f>
        <v>0</v>
      </c>
      <c r="F107" s="26">
        <f>IFERROR(__xludf.DUMMYFUNCTION("""COMPUTED_VALUE"""),0.0)</f>
        <v>0</v>
      </c>
      <c r="G107" s="26">
        <f>IFERROR(__xludf.DUMMYFUNCTION("""COMPUTED_VALUE"""),0.0)</f>
        <v>0</v>
      </c>
      <c r="H107" s="26">
        <f>IFERROR(__xludf.DUMMYFUNCTION("""COMPUTED_VALUE"""),0.0)</f>
        <v>0</v>
      </c>
      <c r="I107" s="26">
        <f>IFERROR(__xludf.DUMMYFUNCTION("""COMPUTED_VALUE"""),0.0)</f>
        <v>0</v>
      </c>
      <c r="J107" s="26">
        <f>IFERROR(__xludf.DUMMYFUNCTION("""COMPUTED_VALUE"""),0.0)</f>
        <v>0</v>
      </c>
      <c r="K107" s="26">
        <f>IFERROR(__xludf.DUMMYFUNCTION("""COMPUTED_VALUE"""),0.0)</f>
        <v>0</v>
      </c>
      <c r="L107" s="26"/>
      <c r="M107" s="26"/>
      <c r="N107" s="26"/>
      <c r="O107" s="26"/>
      <c r="P107" s="26"/>
      <c r="Q107" s="26"/>
      <c r="R107" s="26">
        <f>IFERROR(__xludf.DUMMYFUNCTION("""COMPUTED_VALUE"""),0.0)</f>
        <v>0</v>
      </c>
      <c r="S107" s="26">
        <f>IFERROR(__xludf.DUMMYFUNCTION("""COMPUTED_VALUE"""),0.0)</f>
        <v>0</v>
      </c>
      <c r="T107" s="26">
        <f>IFERROR(__xludf.DUMMYFUNCTION("""COMPUTED_VALUE"""),0.0)</f>
        <v>0</v>
      </c>
      <c r="U107" s="26">
        <f>IFERROR(__xludf.DUMMYFUNCTION("""COMPUTED_VALUE"""),0.0)</f>
        <v>0</v>
      </c>
      <c r="V107" s="26">
        <f>IFERROR(__xludf.DUMMYFUNCTION("""COMPUTED_VALUE"""),0.0)</f>
        <v>0</v>
      </c>
      <c r="W107" s="26">
        <f>IFERROR(__xludf.DUMMYFUNCTION("""COMPUTED_VALUE"""),0.0)</f>
        <v>0</v>
      </c>
      <c r="X107" s="26">
        <f>IFERROR(__xludf.DUMMYFUNCTION("""COMPUTED_VALUE"""),0.0)</f>
        <v>0</v>
      </c>
      <c r="Y107" s="26">
        <f>IFERROR(__xludf.DUMMYFUNCTION("""COMPUTED_VALUE"""),0.0)</f>
        <v>0</v>
      </c>
      <c r="Z107" s="26">
        <f>IFERROR(__xludf.DUMMYFUNCTION("""COMPUTED_VALUE"""),0.0)</f>
        <v>0</v>
      </c>
      <c r="AA107" s="26">
        <f>IFERROR(__xludf.DUMMYFUNCTION("""COMPUTED_VALUE"""),0.0)</f>
        <v>0</v>
      </c>
      <c r="AB107" s="26">
        <f>IFERROR(__xludf.DUMMYFUNCTION("""COMPUTED_VALUE"""),0.0)</f>
        <v>0</v>
      </c>
      <c r="AC107" s="26">
        <f>IFERROR(__xludf.DUMMYFUNCTION("""COMPUTED_VALUE"""),0.0)</f>
        <v>0</v>
      </c>
      <c r="AD107" s="26">
        <f>IFERROR(__xludf.DUMMYFUNCTION("""COMPUTED_VALUE"""),0.0)</f>
        <v>0</v>
      </c>
      <c r="AE107" s="26">
        <f>IFERROR(__xludf.DUMMYFUNCTION("""COMPUTED_VALUE"""),0.0)</f>
        <v>0</v>
      </c>
    </row>
    <row r="108">
      <c r="A108" s="26">
        <f>IFERROR(__xludf.DUMMYFUNCTION("""COMPUTED_VALUE"""),0.0)</f>
        <v>0</v>
      </c>
      <c r="B108" s="26">
        <f>IFERROR(__xludf.DUMMYFUNCTION("""COMPUTED_VALUE"""),0.0)</f>
        <v>0</v>
      </c>
      <c r="C108" s="26">
        <f>IFERROR(__xludf.DUMMYFUNCTION("""COMPUTED_VALUE"""),0.0)</f>
        <v>0</v>
      </c>
      <c r="D108" s="26">
        <f>IFERROR(__xludf.DUMMYFUNCTION("""COMPUTED_VALUE"""),0.0)</f>
        <v>0</v>
      </c>
      <c r="E108" s="26">
        <f>IFERROR(__xludf.DUMMYFUNCTION("""COMPUTED_VALUE"""),0.0)</f>
        <v>0</v>
      </c>
      <c r="F108" s="26">
        <f>IFERROR(__xludf.DUMMYFUNCTION("""COMPUTED_VALUE"""),0.0)</f>
        <v>0</v>
      </c>
      <c r="G108" s="26">
        <f>IFERROR(__xludf.DUMMYFUNCTION("""COMPUTED_VALUE"""),0.0)</f>
        <v>0</v>
      </c>
      <c r="H108" s="26">
        <f>IFERROR(__xludf.DUMMYFUNCTION("""COMPUTED_VALUE"""),0.0)</f>
        <v>0</v>
      </c>
      <c r="I108" s="26">
        <f>IFERROR(__xludf.DUMMYFUNCTION("""COMPUTED_VALUE"""),0.0)</f>
        <v>0</v>
      </c>
      <c r="J108" s="26">
        <f>IFERROR(__xludf.DUMMYFUNCTION("""COMPUTED_VALUE"""),0.0)</f>
        <v>0</v>
      </c>
      <c r="K108" s="26">
        <f>IFERROR(__xludf.DUMMYFUNCTION("""COMPUTED_VALUE"""),0.0)</f>
        <v>0</v>
      </c>
      <c r="L108" s="26"/>
      <c r="M108" s="26"/>
      <c r="N108" s="26"/>
      <c r="O108" s="26"/>
      <c r="P108" s="26"/>
      <c r="Q108" s="26"/>
      <c r="R108" s="26">
        <f>IFERROR(__xludf.DUMMYFUNCTION("""COMPUTED_VALUE"""),0.0)</f>
        <v>0</v>
      </c>
      <c r="S108" s="26">
        <f>IFERROR(__xludf.DUMMYFUNCTION("""COMPUTED_VALUE"""),0.0)</f>
        <v>0</v>
      </c>
      <c r="T108" s="26">
        <f>IFERROR(__xludf.DUMMYFUNCTION("""COMPUTED_VALUE"""),0.0)</f>
        <v>0</v>
      </c>
      <c r="U108" s="26">
        <f>IFERROR(__xludf.DUMMYFUNCTION("""COMPUTED_VALUE"""),0.0)</f>
        <v>0</v>
      </c>
      <c r="V108" s="26">
        <f>IFERROR(__xludf.DUMMYFUNCTION("""COMPUTED_VALUE"""),0.0)</f>
        <v>0</v>
      </c>
      <c r="W108" s="26">
        <f>IFERROR(__xludf.DUMMYFUNCTION("""COMPUTED_VALUE"""),0.0)</f>
        <v>0</v>
      </c>
      <c r="X108" s="26">
        <f>IFERROR(__xludf.DUMMYFUNCTION("""COMPUTED_VALUE"""),0.0)</f>
        <v>0</v>
      </c>
      <c r="Y108" s="26">
        <f>IFERROR(__xludf.DUMMYFUNCTION("""COMPUTED_VALUE"""),0.0)</f>
        <v>0</v>
      </c>
      <c r="Z108" s="26">
        <f>IFERROR(__xludf.DUMMYFUNCTION("""COMPUTED_VALUE"""),0.0)</f>
        <v>0</v>
      </c>
      <c r="AA108" s="26">
        <f>IFERROR(__xludf.DUMMYFUNCTION("""COMPUTED_VALUE"""),0.0)</f>
        <v>0</v>
      </c>
      <c r="AB108" s="26">
        <f>IFERROR(__xludf.DUMMYFUNCTION("""COMPUTED_VALUE"""),0.0)</f>
        <v>0</v>
      </c>
      <c r="AC108" s="26">
        <f>IFERROR(__xludf.DUMMYFUNCTION("""COMPUTED_VALUE"""),0.0)</f>
        <v>0</v>
      </c>
      <c r="AD108" s="26">
        <f>IFERROR(__xludf.DUMMYFUNCTION("""COMPUTED_VALUE"""),0.0)</f>
        <v>0</v>
      </c>
      <c r="AE108" s="26">
        <f>IFERROR(__xludf.DUMMYFUNCTION("""COMPUTED_VALUE"""),0.0)</f>
        <v>0</v>
      </c>
    </row>
    <row r="109">
      <c r="A109" s="26">
        <f>IFERROR(__xludf.DUMMYFUNCTION("""COMPUTED_VALUE"""),0.0)</f>
        <v>0</v>
      </c>
      <c r="B109" s="26">
        <f>IFERROR(__xludf.DUMMYFUNCTION("""COMPUTED_VALUE"""),0.0)</f>
        <v>0</v>
      </c>
      <c r="C109" s="26">
        <f>IFERROR(__xludf.DUMMYFUNCTION("""COMPUTED_VALUE"""),0.0)</f>
        <v>0</v>
      </c>
      <c r="D109" s="26">
        <f>IFERROR(__xludf.DUMMYFUNCTION("""COMPUTED_VALUE"""),0.0)</f>
        <v>0</v>
      </c>
      <c r="E109" s="26">
        <f>IFERROR(__xludf.DUMMYFUNCTION("""COMPUTED_VALUE"""),0.0)</f>
        <v>0</v>
      </c>
      <c r="F109" s="26">
        <f>IFERROR(__xludf.DUMMYFUNCTION("""COMPUTED_VALUE"""),0.0)</f>
        <v>0</v>
      </c>
      <c r="G109" s="26">
        <f>IFERROR(__xludf.DUMMYFUNCTION("""COMPUTED_VALUE"""),0.0)</f>
        <v>0</v>
      </c>
      <c r="H109" s="26">
        <f>IFERROR(__xludf.DUMMYFUNCTION("""COMPUTED_VALUE"""),0.0)</f>
        <v>0</v>
      </c>
      <c r="I109" s="26">
        <f>IFERROR(__xludf.DUMMYFUNCTION("""COMPUTED_VALUE"""),0.0)</f>
        <v>0</v>
      </c>
      <c r="J109" s="26">
        <f>IFERROR(__xludf.DUMMYFUNCTION("""COMPUTED_VALUE"""),0.0)</f>
        <v>0</v>
      </c>
      <c r="K109" s="26">
        <f>IFERROR(__xludf.DUMMYFUNCTION("""COMPUTED_VALUE"""),0.0)</f>
        <v>0</v>
      </c>
      <c r="L109" s="26"/>
      <c r="M109" s="26"/>
      <c r="N109" s="26"/>
      <c r="O109" s="26"/>
      <c r="P109" s="26"/>
      <c r="Q109" s="26"/>
      <c r="R109" s="26">
        <f>IFERROR(__xludf.DUMMYFUNCTION("""COMPUTED_VALUE"""),0.0)</f>
        <v>0</v>
      </c>
      <c r="S109" s="26">
        <f>IFERROR(__xludf.DUMMYFUNCTION("""COMPUTED_VALUE"""),0.0)</f>
        <v>0</v>
      </c>
      <c r="T109" s="26">
        <f>IFERROR(__xludf.DUMMYFUNCTION("""COMPUTED_VALUE"""),0.0)</f>
        <v>0</v>
      </c>
      <c r="U109" s="26">
        <f>IFERROR(__xludf.DUMMYFUNCTION("""COMPUTED_VALUE"""),0.0)</f>
        <v>0</v>
      </c>
      <c r="V109" s="26">
        <f>IFERROR(__xludf.DUMMYFUNCTION("""COMPUTED_VALUE"""),0.0)</f>
        <v>0</v>
      </c>
      <c r="W109" s="26">
        <f>IFERROR(__xludf.DUMMYFUNCTION("""COMPUTED_VALUE"""),0.0)</f>
        <v>0</v>
      </c>
      <c r="X109" s="26">
        <f>IFERROR(__xludf.DUMMYFUNCTION("""COMPUTED_VALUE"""),0.0)</f>
        <v>0</v>
      </c>
      <c r="Y109" s="26">
        <f>IFERROR(__xludf.DUMMYFUNCTION("""COMPUTED_VALUE"""),0.0)</f>
        <v>0</v>
      </c>
      <c r="Z109" s="26">
        <f>IFERROR(__xludf.DUMMYFUNCTION("""COMPUTED_VALUE"""),0.0)</f>
        <v>0</v>
      </c>
      <c r="AA109" s="26">
        <f>IFERROR(__xludf.DUMMYFUNCTION("""COMPUTED_VALUE"""),0.0)</f>
        <v>0</v>
      </c>
      <c r="AB109" s="26">
        <f>IFERROR(__xludf.DUMMYFUNCTION("""COMPUTED_VALUE"""),0.0)</f>
        <v>0</v>
      </c>
      <c r="AC109" s="26">
        <f>IFERROR(__xludf.DUMMYFUNCTION("""COMPUTED_VALUE"""),0.0)</f>
        <v>0</v>
      </c>
      <c r="AD109" s="26">
        <f>IFERROR(__xludf.DUMMYFUNCTION("""COMPUTED_VALUE"""),0.0)</f>
        <v>0</v>
      </c>
      <c r="AE109" s="26">
        <f>IFERROR(__xludf.DUMMYFUNCTION("""COMPUTED_VALUE"""),0.0)</f>
        <v>0</v>
      </c>
    </row>
    <row r="110">
      <c r="A110" s="26">
        <f>IFERROR(__xludf.DUMMYFUNCTION("""COMPUTED_VALUE"""),0.0)</f>
        <v>0</v>
      </c>
      <c r="B110" s="26">
        <f>IFERROR(__xludf.DUMMYFUNCTION("""COMPUTED_VALUE"""),0.0)</f>
        <v>0</v>
      </c>
      <c r="C110" s="26">
        <f>IFERROR(__xludf.DUMMYFUNCTION("""COMPUTED_VALUE"""),0.0)</f>
        <v>0</v>
      </c>
      <c r="D110" s="26">
        <f>IFERROR(__xludf.DUMMYFUNCTION("""COMPUTED_VALUE"""),0.0)</f>
        <v>0</v>
      </c>
      <c r="E110" s="26">
        <f>IFERROR(__xludf.DUMMYFUNCTION("""COMPUTED_VALUE"""),0.0)</f>
        <v>0</v>
      </c>
      <c r="F110" s="26">
        <f>IFERROR(__xludf.DUMMYFUNCTION("""COMPUTED_VALUE"""),0.0)</f>
        <v>0</v>
      </c>
      <c r="G110" s="26">
        <f>IFERROR(__xludf.DUMMYFUNCTION("""COMPUTED_VALUE"""),0.0)</f>
        <v>0</v>
      </c>
      <c r="H110" s="26">
        <f>IFERROR(__xludf.DUMMYFUNCTION("""COMPUTED_VALUE"""),0.0)</f>
        <v>0</v>
      </c>
      <c r="I110" s="26">
        <f>IFERROR(__xludf.DUMMYFUNCTION("""COMPUTED_VALUE"""),0.0)</f>
        <v>0</v>
      </c>
      <c r="J110" s="26">
        <f>IFERROR(__xludf.DUMMYFUNCTION("""COMPUTED_VALUE"""),0.0)</f>
        <v>0</v>
      </c>
      <c r="K110" s="26">
        <f>IFERROR(__xludf.DUMMYFUNCTION("""COMPUTED_VALUE"""),0.0)</f>
        <v>0</v>
      </c>
      <c r="L110" s="26"/>
      <c r="M110" s="26"/>
      <c r="N110" s="26"/>
      <c r="O110" s="26"/>
      <c r="P110" s="26"/>
      <c r="Q110" s="26"/>
      <c r="R110" s="26">
        <f>IFERROR(__xludf.DUMMYFUNCTION("""COMPUTED_VALUE"""),0.0)</f>
        <v>0</v>
      </c>
      <c r="S110" s="26">
        <f>IFERROR(__xludf.DUMMYFUNCTION("""COMPUTED_VALUE"""),0.0)</f>
        <v>0</v>
      </c>
      <c r="T110" s="26">
        <f>IFERROR(__xludf.DUMMYFUNCTION("""COMPUTED_VALUE"""),0.0)</f>
        <v>0</v>
      </c>
      <c r="U110" s="26">
        <f>IFERROR(__xludf.DUMMYFUNCTION("""COMPUTED_VALUE"""),0.0)</f>
        <v>0</v>
      </c>
      <c r="V110" s="26">
        <f>IFERROR(__xludf.DUMMYFUNCTION("""COMPUTED_VALUE"""),0.0)</f>
        <v>0</v>
      </c>
      <c r="W110" s="26">
        <f>IFERROR(__xludf.DUMMYFUNCTION("""COMPUTED_VALUE"""),0.0)</f>
        <v>0</v>
      </c>
      <c r="X110" s="26">
        <f>IFERROR(__xludf.DUMMYFUNCTION("""COMPUTED_VALUE"""),0.0)</f>
        <v>0</v>
      </c>
      <c r="Y110" s="26">
        <f>IFERROR(__xludf.DUMMYFUNCTION("""COMPUTED_VALUE"""),0.0)</f>
        <v>0</v>
      </c>
      <c r="Z110" s="26">
        <f>IFERROR(__xludf.DUMMYFUNCTION("""COMPUTED_VALUE"""),0.0)</f>
        <v>0</v>
      </c>
      <c r="AA110" s="26">
        <f>IFERROR(__xludf.DUMMYFUNCTION("""COMPUTED_VALUE"""),0.0)</f>
        <v>0</v>
      </c>
      <c r="AB110" s="26">
        <f>IFERROR(__xludf.DUMMYFUNCTION("""COMPUTED_VALUE"""),0.0)</f>
        <v>0</v>
      </c>
      <c r="AC110" s="26">
        <f>IFERROR(__xludf.DUMMYFUNCTION("""COMPUTED_VALUE"""),-350.0)</f>
        <v>-350</v>
      </c>
      <c r="AD110" s="26">
        <f>IFERROR(__xludf.DUMMYFUNCTION("""COMPUTED_VALUE"""),-350.0)</f>
        <v>-350</v>
      </c>
      <c r="AE110" s="26">
        <f>IFERROR(__xludf.DUMMYFUNCTION("""COMPUTED_VALUE"""),350.0)</f>
        <v>350</v>
      </c>
    </row>
    <row r="111">
      <c r="A111" s="26">
        <f>IFERROR(__xludf.DUMMYFUNCTION("""COMPUTED_VALUE"""),0.0)</f>
        <v>0</v>
      </c>
      <c r="B111" s="26">
        <f>IFERROR(__xludf.DUMMYFUNCTION("""COMPUTED_VALUE"""),0.0)</f>
        <v>0</v>
      </c>
      <c r="C111" s="26">
        <f>IFERROR(__xludf.DUMMYFUNCTION("""COMPUTED_VALUE"""),1.0)</f>
        <v>1</v>
      </c>
      <c r="D111" s="26">
        <f>IFERROR(__xludf.DUMMYFUNCTION("""COMPUTED_VALUE"""),0.0)</f>
        <v>0</v>
      </c>
      <c r="E111" s="26">
        <f>IFERROR(__xludf.DUMMYFUNCTION("""COMPUTED_VALUE"""),0.0)</f>
        <v>0</v>
      </c>
      <c r="F111" s="26">
        <f>IFERROR(__xludf.DUMMYFUNCTION("""COMPUTED_VALUE"""),0.0)</f>
        <v>0</v>
      </c>
      <c r="G111" s="26">
        <f>IFERROR(__xludf.DUMMYFUNCTION("""COMPUTED_VALUE"""),0.0)</f>
        <v>0</v>
      </c>
      <c r="H111" s="26">
        <f>IFERROR(__xludf.DUMMYFUNCTION("""COMPUTED_VALUE"""),0.0)</f>
        <v>0</v>
      </c>
      <c r="I111" s="26">
        <f>IFERROR(__xludf.DUMMYFUNCTION("""COMPUTED_VALUE"""),0.0)</f>
        <v>0</v>
      </c>
      <c r="J111" s="26">
        <f>IFERROR(__xludf.DUMMYFUNCTION("""COMPUTED_VALUE"""),0.0)</f>
        <v>0</v>
      </c>
      <c r="K111" s="26">
        <f>IFERROR(__xludf.DUMMYFUNCTION("""COMPUTED_VALUE"""),0.0)</f>
        <v>0</v>
      </c>
      <c r="L111" s="26"/>
      <c r="M111" s="26"/>
      <c r="N111" s="26"/>
      <c r="O111" s="26"/>
      <c r="P111" s="26"/>
      <c r="Q111" s="26"/>
      <c r="R111" s="26">
        <f>IFERROR(__xludf.DUMMYFUNCTION("""COMPUTED_VALUE"""),442.0)</f>
        <v>442</v>
      </c>
      <c r="S111" s="26">
        <f>IFERROR(__xludf.DUMMYFUNCTION("""COMPUTED_VALUE"""),205.0)</f>
        <v>205</v>
      </c>
      <c r="T111" s="26">
        <f>IFERROR(__xludf.DUMMYFUNCTION("""COMPUTED_VALUE"""),0.0)</f>
        <v>0</v>
      </c>
      <c r="U111" s="26">
        <f>IFERROR(__xludf.DUMMYFUNCTION("""COMPUTED_VALUE"""),0.0)</f>
        <v>0</v>
      </c>
      <c r="V111" s="26">
        <f>IFERROR(__xludf.DUMMYFUNCTION("""COMPUTED_VALUE"""),67.42)</f>
        <v>67.42</v>
      </c>
      <c r="W111" s="26">
        <f>IFERROR(__xludf.DUMMYFUNCTION("""COMPUTED_VALUE"""),289.38)</f>
        <v>289.38</v>
      </c>
      <c r="X111" s="26">
        <f>IFERROR(__xludf.DUMMYFUNCTION("""COMPUTED_VALUE"""),289.38)</f>
        <v>289.38</v>
      </c>
      <c r="Y111" s="26">
        <f>IFERROR(__xludf.DUMMYFUNCTION("""COMPUTED_VALUE"""),0.0)</f>
        <v>0</v>
      </c>
      <c r="Z111" s="26">
        <f>IFERROR(__xludf.DUMMYFUNCTION("""COMPUTED_VALUE"""),152.62)</f>
        <v>152.62</v>
      </c>
      <c r="AA111" s="26">
        <f>IFERROR(__xludf.DUMMYFUNCTION("""COMPUTED_VALUE"""),16.96)</f>
        <v>16.96</v>
      </c>
      <c r="AB111" s="26">
        <f>IFERROR(__xludf.DUMMYFUNCTION("""COMPUTED_VALUE"""),0.0)</f>
        <v>0</v>
      </c>
      <c r="AC111" s="26">
        <f>IFERROR(__xludf.DUMMYFUNCTION("""COMPUTED_VALUE"""),150.0)</f>
        <v>150</v>
      </c>
      <c r="AD111" s="26">
        <f>IFERROR(__xludf.DUMMYFUNCTION("""COMPUTED_VALUE"""),150.0)</f>
        <v>150</v>
      </c>
      <c r="AE111" s="26">
        <f>IFERROR(__xludf.DUMMYFUNCTION("""COMPUTED_VALUE"""),139.38)</f>
        <v>139.38</v>
      </c>
    </row>
    <row r="112">
      <c r="A112" s="26">
        <f>IFERROR(__xludf.DUMMYFUNCTION("""COMPUTED_VALUE"""),0.0)</f>
        <v>0</v>
      </c>
      <c r="B112" s="26">
        <f>IFERROR(__xludf.DUMMYFUNCTION("""COMPUTED_VALUE"""),0.0)</f>
        <v>0</v>
      </c>
      <c r="C112" s="26">
        <f>IFERROR(__xludf.DUMMYFUNCTION("""COMPUTED_VALUE"""),0.0)</f>
        <v>0</v>
      </c>
      <c r="D112" s="26">
        <f>IFERROR(__xludf.DUMMYFUNCTION("""COMPUTED_VALUE"""),0.0)</f>
        <v>0</v>
      </c>
      <c r="E112" s="26">
        <f>IFERROR(__xludf.DUMMYFUNCTION("""COMPUTED_VALUE"""),625.0)</f>
        <v>625</v>
      </c>
      <c r="F112" s="26">
        <f>IFERROR(__xludf.DUMMYFUNCTION("""COMPUTED_VALUE"""),0.0)</f>
        <v>0</v>
      </c>
      <c r="G112" s="26">
        <f>IFERROR(__xludf.DUMMYFUNCTION("""COMPUTED_VALUE"""),0.0)</f>
        <v>0</v>
      </c>
      <c r="H112" s="26">
        <f>IFERROR(__xludf.DUMMYFUNCTION("""COMPUTED_VALUE"""),0.0)</f>
        <v>0</v>
      </c>
      <c r="I112" s="26">
        <f>IFERROR(__xludf.DUMMYFUNCTION("""COMPUTED_VALUE"""),0.0)</f>
        <v>0</v>
      </c>
      <c r="J112" s="26">
        <f>IFERROR(__xludf.DUMMYFUNCTION("""COMPUTED_VALUE"""),0.0)</f>
        <v>0</v>
      </c>
      <c r="K112" s="26">
        <f>IFERROR(__xludf.DUMMYFUNCTION("""COMPUTED_VALUE"""),0.0)</f>
        <v>0</v>
      </c>
      <c r="L112" s="26"/>
      <c r="M112" s="26"/>
      <c r="N112" s="26"/>
      <c r="O112" s="26"/>
      <c r="P112" s="26"/>
      <c r="Q112" s="26"/>
      <c r="R112" s="26">
        <f>IFERROR(__xludf.DUMMYFUNCTION("""COMPUTED_VALUE"""),1156250.0)</f>
        <v>1156250</v>
      </c>
      <c r="S112" s="26">
        <f>IFERROR(__xludf.DUMMYFUNCTION("""COMPUTED_VALUE"""),106250.0)</f>
        <v>106250</v>
      </c>
      <c r="T112" s="26">
        <f>IFERROR(__xludf.DUMMYFUNCTION("""COMPUTED_VALUE"""),0.0)</f>
        <v>0</v>
      </c>
      <c r="U112" s="26">
        <f>IFERROR(__xludf.DUMMYFUNCTION("""COMPUTED_VALUE"""),0.0)</f>
        <v>0</v>
      </c>
      <c r="V112" s="26">
        <f>IFERROR(__xludf.DUMMYFUNCTION("""COMPUTED_VALUE"""),176374.9999999997)</f>
        <v>176375</v>
      </c>
      <c r="W112" s="26">
        <f>IFERROR(__xludf.DUMMYFUNCTION("""COMPUTED_VALUE"""),0.0)</f>
        <v>0</v>
      </c>
      <c r="X112" s="26">
        <f>IFERROR(__xludf.DUMMYFUNCTION("""COMPUTED_VALUE"""),0.0)</f>
        <v>0</v>
      </c>
      <c r="Y112" s="26">
        <f>IFERROR(__xludf.DUMMYFUNCTION("""COMPUTED_VALUE"""),0.0)</f>
        <v>0</v>
      </c>
      <c r="Z112" s="26">
        <f>IFERROR(__xludf.DUMMYFUNCTION("""COMPUTED_VALUE"""),0.0)</f>
        <v>0</v>
      </c>
      <c r="AA112" s="26">
        <f>IFERROR(__xludf.DUMMYFUNCTION("""COMPUTED_VALUE"""),0.0)</f>
        <v>0</v>
      </c>
      <c r="AB112" s="26">
        <f>IFERROR(__xludf.DUMMYFUNCTION("""COMPUTED_VALUE"""),0.0)</f>
        <v>0</v>
      </c>
      <c r="AC112" s="26">
        <f>IFERROR(__xludf.DUMMYFUNCTION("""COMPUTED_VALUE"""),0.0)</f>
        <v>0</v>
      </c>
      <c r="AD112" s="26">
        <f>IFERROR(__xludf.DUMMYFUNCTION("""COMPUTED_VALUE"""),0.0)</f>
        <v>0</v>
      </c>
      <c r="AE112" s="26">
        <f>IFERROR(__xludf.DUMMYFUNCTION("""COMPUTED_VALUE"""),0.0)</f>
        <v>0</v>
      </c>
    </row>
    <row r="113">
      <c r="A113" s="26">
        <f>IFERROR(__xludf.DUMMYFUNCTION("""COMPUTED_VALUE"""),0.0)</f>
        <v>0</v>
      </c>
      <c r="B113" s="26">
        <f>IFERROR(__xludf.DUMMYFUNCTION("""COMPUTED_VALUE"""),0.0)</f>
        <v>0</v>
      </c>
      <c r="C113" s="26">
        <f>IFERROR(__xludf.DUMMYFUNCTION("""COMPUTED_VALUE"""),0.0)</f>
        <v>0</v>
      </c>
      <c r="D113" s="26">
        <f>IFERROR(__xludf.DUMMYFUNCTION("""COMPUTED_VALUE"""),0.0)</f>
        <v>0</v>
      </c>
      <c r="E113" s="26">
        <f>IFERROR(__xludf.DUMMYFUNCTION("""COMPUTED_VALUE"""),0.0)</f>
        <v>0</v>
      </c>
      <c r="F113" s="26">
        <f>IFERROR(__xludf.DUMMYFUNCTION("""COMPUTED_VALUE"""),0.0)</f>
        <v>0</v>
      </c>
      <c r="G113" s="26">
        <f>IFERROR(__xludf.DUMMYFUNCTION("""COMPUTED_VALUE"""),0.0)</f>
        <v>0</v>
      </c>
      <c r="H113" s="26">
        <f>IFERROR(__xludf.DUMMYFUNCTION("""COMPUTED_VALUE"""),0.0)</f>
        <v>0</v>
      </c>
      <c r="I113" s="26">
        <f>IFERROR(__xludf.DUMMYFUNCTION("""COMPUTED_VALUE"""),0.0)</f>
        <v>0</v>
      </c>
      <c r="J113" s="26">
        <f>IFERROR(__xludf.DUMMYFUNCTION("""COMPUTED_VALUE"""),0.0)</f>
        <v>0</v>
      </c>
      <c r="K113" s="26">
        <f>IFERROR(__xludf.DUMMYFUNCTION("""COMPUTED_VALUE"""),0.0)</f>
        <v>0</v>
      </c>
      <c r="L113" s="26"/>
      <c r="M113" s="26"/>
      <c r="N113" s="26"/>
      <c r="O113" s="26"/>
      <c r="P113" s="26"/>
      <c r="Q113" s="26"/>
      <c r="R113" s="26">
        <f>IFERROR(__xludf.DUMMYFUNCTION("""COMPUTED_VALUE"""),0.0)</f>
        <v>0</v>
      </c>
      <c r="S113" s="26">
        <f>IFERROR(__xludf.DUMMYFUNCTION("""COMPUTED_VALUE"""),0.0)</f>
        <v>0</v>
      </c>
      <c r="T113" s="26">
        <f>IFERROR(__xludf.DUMMYFUNCTION("""COMPUTED_VALUE"""),0.0)</f>
        <v>0</v>
      </c>
      <c r="U113" s="26">
        <f>IFERROR(__xludf.DUMMYFUNCTION("""COMPUTED_VALUE"""),0.0)</f>
        <v>0</v>
      </c>
      <c r="V113" s="26">
        <f>IFERROR(__xludf.DUMMYFUNCTION("""COMPUTED_VALUE"""),0.0)</f>
        <v>0</v>
      </c>
      <c r="W113" s="26">
        <f>IFERROR(__xludf.DUMMYFUNCTION("""COMPUTED_VALUE"""),0.0)</f>
        <v>0</v>
      </c>
      <c r="X113" s="26">
        <f>IFERROR(__xludf.DUMMYFUNCTION("""COMPUTED_VALUE"""),0.0)</f>
        <v>0</v>
      </c>
      <c r="Y113" s="26">
        <f>IFERROR(__xludf.DUMMYFUNCTION("""COMPUTED_VALUE"""),0.0)</f>
        <v>0</v>
      </c>
      <c r="Z113" s="26">
        <f>IFERROR(__xludf.DUMMYFUNCTION("""COMPUTED_VALUE"""),0.0)</f>
        <v>0</v>
      </c>
      <c r="AA113" s="26">
        <f>IFERROR(__xludf.DUMMYFUNCTION("""COMPUTED_VALUE"""),0.0)</f>
        <v>0</v>
      </c>
      <c r="AB113" s="26">
        <f>IFERROR(__xludf.DUMMYFUNCTION("""COMPUTED_VALUE"""),0.0)</f>
        <v>0</v>
      </c>
      <c r="AC113" s="26">
        <f>IFERROR(__xludf.DUMMYFUNCTION("""COMPUTED_VALUE"""),0.0)</f>
        <v>0</v>
      </c>
      <c r="AD113" s="26">
        <f>IFERROR(__xludf.DUMMYFUNCTION("""COMPUTED_VALUE"""),0.0)</f>
        <v>0</v>
      </c>
      <c r="AE113" s="26">
        <f>IFERROR(__xludf.DUMMYFUNCTION("""COMPUTED_VALUE"""),0.0)</f>
        <v>0</v>
      </c>
    </row>
    <row r="114">
      <c r="A114" s="26">
        <f>IFERROR(__xludf.DUMMYFUNCTION("""COMPUTED_VALUE"""),0.0)</f>
        <v>0</v>
      </c>
      <c r="B114" s="26">
        <f>IFERROR(__xludf.DUMMYFUNCTION("""COMPUTED_VALUE"""),0.0)</f>
        <v>0</v>
      </c>
      <c r="C114" s="26">
        <f>IFERROR(__xludf.DUMMYFUNCTION("""COMPUTED_VALUE"""),0.0)</f>
        <v>0</v>
      </c>
      <c r="D114" s="26">
        <f>IFERROR(__xludf.DUMMYFUNCTION("""COMPUTED_VALUE"""),0.0)</f>
        <v>0</v>
      </c>
      <c r="E114" s="26">
        <f>IFERROR(__xludf.DUMMYFUNCTION("""COMPUTED_VALUE"""),0.0)</f>
        <v>0</v>
      </c>
      <c r="F114" s="26">
        <f>IFERROR(__xludf.DUMMYFUNCTION("""COMPUTED_VALUE"""),0.0)</f>
        <v>0</v>
      </c>
      <c r="G114" s="26">
        <f>IFERROR(__xludf.DUMMYFUNCTION("""COMPUTED_VALUE"""),0.0)</f>
        <v>0</v>
      </c>
      <c r="H114" s="26">
        <f>IFERROR(__xludf.DUMMYFUNCTION("""COMPUTED_VALUE"""),0.0)</f>
        <v>0</v>
      </c>
      <c r="I114" s="26">
        <f>IFERROR(__xludf.DUMMYFUNCTION("""COMPUTED_VALUE"""),0.0)</f>
        <v>0</v>
      </c>
      <c r="J114" s="26">
        <f>IFERROR(__xludf.DUMMYFUNCTION("""COMPUTED_VALUE"""),0.0)</f>
        <v>0</v>
      </c>
      <c r="K114" s="26">
        <f>IFERROR(__xludf.DUMMYFUNCTION("""COMPUTED_VALUE"""),0.0)</f>
        <v>0</v>
      </c>
      <c r="L114" s="26"/>
      <c r="M114" s="26"/>
      <c r="N114" s="26"/>
      <c r="O114" s="26"/>
      <c r="P114" s="26"/>
      <c r="Q114" s="26"/>
      <c r="R114" s="26">
        <f>IFERROR(__xludf.DUMMYFUNCTION("""COMPUTED_VALUE"""),0.0)</f>
        <v>0</v>
      </c>
      <c r="S114" s="26">
        <f>IFERROR(__xludf.DUMMYFUNCTION("""COMPUTED_VALUE"""),0.0)</f>
        <v>0</v>
      </c>
      <c r="T114" s="26">
        <f>IFERROR(__xludf.DUMMYFUNCTION("""COMPUTED_VALUE"""),0.0)</f>
        <v>0</v>
      </c>
      <c r="U114" s="26">
        <f>IFERROR(__xludf.DUMMYFUNCTION("""COMPUTED_VALUE"""),0.0)</f>
        <v>0</v>
      </c>
      <c r="V114" s="26">
        <f>IFERROR(__xludf.DUMMYFUNCTION("""COMPUTED_VALUE"""),0.0)</f>
        <v>0</v>
      </c>
      <c r="W114" s="26">
        <f>IFERROR(__xludf.DUMMYFUNCTION("""COMPUTED_VALUE"""),0.0)</f>
        <v>0</v>
      </c>
      <c r="X114" s="26">
        <f>IFERROR(__xludf.DUMMYFUNCTION("""COMPUTED_VALUE"""),0.0)</f>
        <v>0</v>
      </c>
      <c r="Y114" s="26">
        <f>IFERROR(__xludf.DUMMYFUNCTION("""COMPUTED_VALUE"""),0.0)</f>
        <v>0</v>
      </c>
      <c r="Z114" s="26">
        <f>IFERROR(__xludf.DUMMYFUNCTION("""COMPUTED_VALUE"""),0.0)</f>
        <v>0</v>
      </c>
      <c r="AA114" s="26">
        <f>IFERROR(__xludf.DUMMYFUNCTION("""COMPUTED_VALUE"""),0.0)</f>
        <v>0</v>
      </c>
      <c r="AB114" s="26">
        <f>IFERROR(__xludf.DUMMYFUNCTION("""COMPUTED_VALUE"""),0.0)</f>
        <v>0</v>
      </c>
      <c r="AC114" s="26">
        <f>IFERROR(__xludf.DUMMYFUNCTION("""COMPUTED_VALUE"""),-767.0)</f>
        <v>-767</v>
      </c>
      <c r="AD114" s="26">
        <f>IFERROR(__xludf.DUMMYFUNCTION("""COMPUTED_VALUE"""),-767.0)</f>
        <v>-767</v>
      </c>
      <c r="AE114" s="26">
        <f>IFERROR(__xludf.DUMMYFUNCTION("""COMPUTED_VALUE"""),0.0)</f>
        <v>0</v>
      </c>
    </row>
    <row r="115">
      <c r="A115" s="26">
        <f>IFERROR(__xludf.DUMMYFUNCTION("""COMPUTED_VALUE"""),0.0)</f>
        <v>0</v>
      </c>
      <c r="B115" s="26">
        <f>IFERROR(__xludf.DUMMYFUNCTION("""COMPUTED_VALUE"""),0.0)</f>
        <v>0</v>
      </c>
      <c r="C115" s="26">
        <f>IFERROR(__xludf.DUMMYFUNCTION("""COMPUTED_VALUE"""),0.0)</f>
        <v>0</v>
      </c>
      <c r="D115" s="26">
        <f>IFERROR(__xludf.DUMMYFUNCTION("""COMPUTED_VALUE"""),0.0)</f>
        <v>0</v>
      </c>
      <c r="E115" s="26">
        <f>IFERROR(__xludf.DUMMYFUNCTION("""COMPUTED_VALUE"""),32.0)</f>
        <v>32</v>
      </c>
      <c r="F115" s="26">
        <f>IFERROR(__xludf.DUMMYFUNCTION("""COMPUTED_VALUE"""),0.0)</f>
        <v>0</v>
      </c>
      <c r="G115" s="26">
        <f>IFERROR(__xludf.DUMMYFUNCTION("""COMPUTED_VALUE"""),0.0)</f>
        <v>0</v>
      </c>
      <c r="H115" s="26">
        <f>IFERROR(__xludf.DUMMYFUNCTION("""COMPUTED_VALUE"""),0.0)</f>
        <v>0</v>
      </c>
      <c r="I115" s="26">
        <f>IFERROR(__xludf.DUMMYFUNCTION("""COMPUTED_VALUE"""),0.0)</f>
        <v>0</v>
      </c>
      <c r="J115" s="26">
        <f>IFERROR(__xludf.DUMMYFUNCTION("""COMPUTED_VALUE"""),0.0)</f>
        <v>0</v>
      </c>
      <c r="K115" s="26">
        <f>IFERROR(__xludf.DUMMYFUNCTION("""COMPUTED_VALUE"""),0.0)</f>
        <v>0</v>
      </c>
      <c r="L115" s="26"/>
      <c r="M115" s="26"/>
      <c r="N115" s="26"/>
      <c r="O115" s="26"/>
      <c r="P115" s="26"/>
      <c r="Q115" s="26"/>
      <c r="R115" s="26">
        <f>IFERROR(__xludf.DUMMYFUNCTION("""COMPUTED_VALUE"""),38400.0)</f>
        <v>38400</v>
      </c>
      <c r="S115" s="26">
        <f>IFERROR(__xludf.DUMMYFUNCTION("""COMPUTED_VALUE"""),14720.0)</f>
        <v>14720</v>
      </c>
      <c r="T115" s="26">
        <f>IFERROR(__xludf.DUMMYFUNCTION("""COMPUTED_VALUE"""),2745.900000000001)</f>
        <v>2745.9</v>
      </c>
      <c r="U115" s="26">
        <f>IFERROR(__xludf.DUMMYFUNCTION("""COMPUTED_VALUE"""),2745.900000000001)</f>
        <v>2745.9</v>
      </c>
      <c r="V115" s="26">
        <f>IFERROR(__xludf.DUMMYFUNCTION("""COMPUTED_VALUE"""),366.1)</f>
        <v>366.1</v>
      </c>
      <c r="W115" s="26">
        <f>IFERROR(__xludf.DUMMYFUNCTION("""COMPUTED_VALUE"""),38400.0)</f>
        <v>38400</v>
      </c>
      <c r="X115" s="26">
        <f>IFERROR(__xludf.DUMMYFUNCTION("""COMPUTED_VALUE"""),20934.38000000001)</f>
        <v>20934.38</v>
      </c>
      <c r="Y115" s="26">
        <f>IFERROR(__xludf.DUMMYFUNCTION("""COMPUTED_VALUE"""),17465.61999999999)</f>
        <v>17465.62</v>
      </c>
      <c r="Z115" s="26">
        <f>IFERROR(__xludf.DUMMYFUNCTION("""COMPUTED_VALUE"""),0.0)</f>
        <v>0</v>
      </c>
      <c r="AA115" s="26">
        <f>IFERROR(__xludf.DUMMYFUNCTION("""COMPUTED_VALUE"""),356.47999999999973)</f>
        <v>356.48</v>
      </c>
      <c r="AB115" s="26">
        <f>IFERROR(__xludf.DUMMYFUNCTION("""COMPUTED_VALUE"""),17465.61999999999)</f>
        <v>17465.62</v>
      </c>
      <c r="AC115" s="26">
        <f>IFERROR(__xludf.DUMMYFUNCTION("""COMPUTED_VALUE"""),-227552.0)</f>
        <v>-227552</v>
      </c>
      <c r="AD115" s="26">
        <f>IFERROR(__xludf.DUMMYFUNCTION("""COMPUTED_VALUE"""),37200.0)</f>
        <v>37200</v>
      </c>
      <c r="AE115" s="26">
        <f>IFERROR(__xludf.DUMMYFUNCTION("""COMPUTED_VALUE"""),1200.0)</f>
        <v>1200</v>
      </c>
    </row>
    <row r="116">
      <c r="A116" s="26">
        <f>IFERROR(__xludf.DUMMYFUNCTION("""COMPUTED_VALUE"""),0.0)</f>
        <v>0</v>
      </c>
      <c r="B116" s="26">
        <f>IFERROR(__xludf.DUMMYFUNCTION("""COMPUTED_VALUE"""),0.0)</f>
        <v>0</v>
      </c>
      <c r="C116" s="26">
        <f>IFERROR(__xludf.DUMMYFUNCTION("""COMPUTED_VALUE"""),0.0)</f>
        <v>0</v>
      </c>
      <c r="D116" s="26">
        <f>IFERROR(__xludf.DUMMYFUNCTION("""COMPUTED_VALUE"""),0.0)</f>
        <v>0</v>
      </c>
      <c r="E116" s="26">
        <f>IFERROR(__xludf.DUMMYFUNCTION("""COMPUTED_VALUE"""),0.0)</f>
        <v>0</v>
      </c>
      <c r="F116" s="26">
        <f>IFERROR(__xludf.DUMMYFUNCTION("""COMPUTED_VALUE"""),0.0)</f>
        <v>0</v>
      </c>
      <c r="G116" s="26">
        <f>IFERROR(__xludf.DUMMYFUNCTION("""COMPUTED_VALUE"""),0.0)</f>
        <v>0</v>
      </c>
      <c r="H116" s="26">
        <f>IFERROR(__xludf.DUMMYFUNCTION("""COMPUTED_VALUE"""),0.0)</f>
        <v>0</v>
      </c>
      <c r="I116" s="26">
        <f>IFERROR(__xludf.DUMMYFUNCTION("""COMPUTED_VALUE"""),0.0)</f>
        <v>0</v>
      </c>
      <c r="J116" s="26">
        <f>IFERROR(__xludf.DUMMYFUNCTION("""COMPUTED_VALUE"""),0.0)</f>
        <v>0</v>
      </c>
      <c r="K116" s="26">
        <f>IFERROR(__xludf.DUMMYFUNCTION("""COMPUTED_VALUE"""),0.0)</f>
        <v>0</v>
      </c>
      <c r="L116" s="26"/>
      <c r="M116" s="26"/>
      <c r="N116" s="26"/>
      <c r="O116" s="26"/>
      <c r="P116" s="26"/>
      <c r="Q116" s="26"/>
      <c r="R116" s="26">
        <f>IFERROR(__xludf.DUMMYFUNCTION("""COMPUTED_VALUE"""),0.0)</f>
        <v>0</v>
      </c>
      <c r="S116" s="26">
        <f>IFERROR(__xludf.DUMMYFUNCTION("""COMPUTED_VALUE"""),0.0)</f>
        <v>0</v>
      </c>
      <c r="T116" s="26">
        <f>IFERROR(__xludf.DUMMYFUNCTION("""COMPUTED_VALUE"""),0.0)</f>
        <v>0</v>
      </c>
      <c r="U116" s="26">
        <f>IFERROR(__xludf.DUMMYFUNCTION("""COMPUTED_VALUE"""),0.0)</f>
        <v>0</v>
      </c>
      <c r="V116" s="26">
        <f>IFERROR(__xludf.DUMMYFUNCTION("""COMPUTED_VALUE"""),0.0)</f>
        <v>0</v>
      </c>
      <c r="W116" s="26">
        <f>IFERROR(__xludf.DUMMYFUNCTION("""COMPUTED_VALUE"""),0.0)</f>
        <v>0</v>
      </c>
      <c r="X116" s="26">
        <f>IFERROR(__xludf.DUMMYFUNCTION("""COMPUTED_VALUE"""),0.0)</f>
        <v>0</v>
      </c>
      <c r="Y116" s="26">
        <f>IFERROR(__xludf.DUMMYFUNCTION("""COMPUTED_VALUE"""),0.0)</f>
        <v>0</v>
      </c>
      <c r="Z116" s="26">
        <f>IFERROR(__xludf.DUMMYFUNCTION("""COMPUTED_VALUE"""),0.0)</f>
        <v>0</v>
      </c>
      <c r="AA116" s="26">
        <f>IFERROR(__xludf.DUMMYFUNCTION("""COMPUTED_VALUE"""),0.0)</f>
        <v>0</v>
      </c>
      <c r="AB116" s="26">
        <f>IFERROR(__xludf.DUMMYFUNCTION("""COMPUTED_VALUE"""),0.0)</f>
        <v>0</v>
      </c>
      <c r="AC116" s="26">
        <f>IFERROR(__xludf.DUMMYFUNCTION("""COMPUTED_VALUE"""),0.0)</f>
        <v>0</v>
      </c>
      <c r="AD116" s="26">
        <f>IFERROR(__xludf.DUMMYFUNCTION("""COMPUTED_VALUE"""),0.0)</f>
        <v>0</v>
      </c>
      <c r="AE116" s="26">
        <f>IFERROR(__xludf.DUMMYFUNCTION("""COMPUTED_VALUE"""),0.0)</f>
        <v>0</v>
      </c>
    </row>
    <row r="117">
      <c r="A117" s="26">
        <f>IFERROR(__xludf.DUMMYFUNCTION("""COMPUTED_VALUE"""),0.0)</f>
        <v>0</v>
      </c>
      <c r="B117" s="26">
        <f>IFERROR(__xludf.DUMMYFUNCTION("""COMPUTED_VALUE"""),0.0)</f>
        <v>0</v>
      </c>
      <c r="C117" s="26">
        <f>IFERROR(__xludf.DUMMYFUNCTION("""COMPUTED_VALUE"""),0.0)</f>
        <v>0</v>
      </c>
      <c r="D117" s="26">
        <f>IFERROR(__xludf.DUMMYFUNCTION("""COMPUTED_VALUE"""),0.0)</f>
        <v>0</v>
      </c>
      <c r="E117" s="26">
        <f>IFERROR(__xludf.DUMMYFUNCTION("""COMPUTED_VALUE"""),0.0)</f>
        <v>0</v>
      </c>
      <c r="F117" s="26">
        <f>IFERROR(__xludf.DUMMYFUNCTION("""COMPUTED_VALUE"""),0.0)</f>
        <v>0</v>
      </c>
      <c r="G117" s="26">
        <f>IFERROR(__xludf.DUMMYFUNCTION("""COMPUTED_VALUE"""),0.0)</f>
        <v>0</v>
      </c>
      <c r="H117" s="26">
        <f>IFERROR(__xludf.DUMMYFUNCTION("""COMPUTED_VALUE"""),0.0)</f>
        <v>0</v>
      </c>
      <c r="I117" s="26">
        <f>IFERROR(__xludf.DUMMYFUNCTION("""COMPUTED_VALUE"""),0.0)</f>
        <v>0</v>
      </c>
      <c r="J117" s="26">
        <f>IFERROR(__xludf.DUMMYFUNCTION("""COMPUTED_VALUE"""),0.0)</f>
        <v>0</v>
      </c>
      <c r="K117" s="26">
        <f>IFERROR(__xludf.DUMMYFUNCTION("""COMPUTED_VALUE"""),0.0)</f>
        <v>0</v>
      </c>
      <c r="L117" s="26"/>
      <c r="M117" s="26"/>
      <c r="N117" s="26"/>
      <c r="O117" s="26"/>
      <c r="P117" s="26"/>
      <c r="Q117" s="26"/>
      <c r="R117" s="26">
        <f>IFERROR(__xludf.DUMMYFUNCTION("""COMPUTED_VALUE"""),0.0)</f>
        <v>0</v>
      </c>
      <c r="S117" s="26">
        <f>IFERROR(__xludf.DUMMYFUNCTION("""COMPUTED_VALUE"""),0.0)</f>
        <v>0</v>
      </c>
      <c r="T117" s="26">
        <f>IFERROR(__xludf.DUMMYFUNCTION("""COMPUTED_VALUE"""),0.0)</f>
        <v>0</v>
      </c>
      <c r="U117" s="26">
        <f>IFERROR(__xludf.DUMMYFUNCTION("""COMPUTED_VALUE"""),0.0)</f>
        <v>0</v>
      </c>
      <c r="V117" s="26">
        <f>IFERROR(__xludf.DUMMYFUNCTION("""COMPUTED_VALUE"""),0.0)</f>
        <v>0</v>
      </c>
      <c r="W117" s="26">
        <f>IFERROR(__xludf.DUMMYFUNCTION("""COMPUTED_VALUE"""),0.0)</f>
        <v>0</v>
      </c>
      <c r="X117" s="26">
        <f>IFERROR(__xludf.DUMMYFUNCTION("""COMPUTED_VALUE"""),0.0)</f>
        <v>0</v>
      </c>
      <c r="Y117" s="26">
        <f>IFERROR(__xludf.DUMMYFUNCTION("""COMPUTED_VALUE"""),0.0)</f>
        <v>0</v>
      </c>
      <c r="Z117" s="26">
        <f>IFERROR(__xludf.DUMMYFUNCTION("""COMPUTED_VALUE"""),0.0)</f>
        <v>0</v>
      </c>
      <c r="AA117" s="26">
        <f>IFERROR(__xludf.DUMMYFUNCTION("""COMPUTED_VALUE"""),0.0)</f>
        <v>0</v>
      </c>
      <c r="AB117" s="26">
        <f>IFERROR(__xludf.DUMMYFUNCTION("""COMPUTED_VALUE"""),0.0)</f>
        <v>0</v>
      </c>
      <c r="AC117" s="26">
        <f>IFERROR(__xludf.DUMMYFUNCTION("""COMPUTED_VALUE"""),-85028.0)</f>
        <v>-85028</v>
      </c>
      <c r="AD117" s="26">
        <f>IFERROR(__xludf.DUMMYFUNCTION("""COMPUTED_VALUE"""),-85028.0)</f>
        <v>-85028</v>
      </c>
      <c r="AE117" s="26">
        <f>IFERROR(__xludf.DUMMYFUNCTION("""COMPUTED_VALUE"""),0.0)</f>
        <v>0</v>
      </c>
    </row>
    <row r="118">
      <c r="A118" s="26">
        <f>IFERROR(__xludf.DUMMYFUNCTION("""COMPUTED_VALUE"""),0.0)</f>
        <v>0</v>
      </c>
      <c r="B118" s="26">
        <f>IFERROR(__xludf.DUMMYFUNCTION("""COMPUTED_VALUE"""),0.0)</f>
        <v>0</v>
      </c>
      <c r="C118" s="26">
        <f>IFERROR(__xludf.DUMMYFUNCTION("""COMPUTED_VALUE"""),0.0)</f>
        <v>0</v>
      </c>
      <c r="D118" s="26">
        <f>IFERROR(__xludf.DUMMYFUNCTION("""COMPUTED_VALUE"""),0.0)</f>
        <v>0</v>
      </c>
      <c r="E118" s="26">
        <f>IFERROR(__xludf.DUMMYFUNCTION("""COMPUTED_VALUE"""),4.0)</f>
        <v>4</v>
      </c>
      <c r="F118" s="26">
        <f>IFERROR(__xludf.DUMMYFUNCTION("""COMPUTED_VALUE"""),0.0)</f>
        <v>0</v>
      </c>
      <c r="G118" s="26">
        <f>IFERROR(__xludf.DUMMYFUNCTION("""COMPUTED_VALUE"""),0.0)</f>
        <v>0</v>
      </c>
      <c r="H118" s="26">
        <f>IFERROR(__xludf.DUMMYFUNCTION("""COMPUTED_VALUE"""),0.0)</f>
        <v>0</v>
      </c>
      <c r="I118" s="26">
        <f>IFERROR(__xludf.DUMMYFUNCTION("""COMPUTED_VALUE"""),0.0)</f>
        <v>0</v>
      </c>
      <c r="J118" s="26">
        <f>IFERROR(__xludf.DUMMYFUNCTION("""COMPUTED_VALUE"""),0.0)</f>
        <v>0</v>
      </c>
      <c r="K118" s="26">
        <f>IFERROR(__xludf.DUMMYFUNCTION("""COMPUTED_VALUE"""),0.0)</f>
        <v>0</v>
      </c>
      <c r="L118" s="26"/>
      <c r="M118" s="26"/>
      <c r="N118" s="26"/>
      <c r="O118" s="26"/>
      <c r="P118" s="26"/>
      <c r="Q118" s="26"/>
      <c r="R118" s="26">
        <f>IFERROR(__xludf.DUMMYFUNCTION("""COMPUTED_VALUE"""),2171.2)</f>
        <v>2171.2</v>
      </c>
      <c r="S118" s="26">
        <f>IFERROR(__xludf.DUMMYFUNCTION("""COMPUTED_VALUE"""),1840.0)</f>
        <v>1840</v>
      </c>
      <c r="T118" s="26">
        <f>IFERROR(__xludf.DUMMYFUNCTION("""COMPUTED_VALUE"""),0.0)</f>
        <v>0</v>
      </c>
      <c r="U118" s="26">
        <f>IFERROR(__xludf.DUMMYFUNCTION("""COMPUTED_VALUE"""),0.0)</f>
        <v>0</v>
      </c>
      <c r="V118" s="26">
        <f>IFERROR(__xludf.DUMMYFUNCTION("""COMPUTED_VALUE"""),331.2)</f>
        <v>331.2</v>
      </c>
      <c r="W118" s="26">
        <f>IFERROR(__xludf.DUMMYFUNCTION("""COMPUTED_VALUE"""),0.0)</f>
        <v>0</v>
      </c>
      <c r="X118" s="26">
        <f>IFERROR(__xludf.DUMMYFUNCTION("""COMPUTED_VALUE"""),0.0)</f>
        <v>0</v>
      </c>
      <c r="Y118" s="26">
        <f>IFERROR(__xludf.DUMMYFUNCTION("""COMPUTED_VALUE"""),0.0)</f>
        <v>0</v>
      </c>
      <c r="Z118" s="26">
        <f>IFERROR(__xludf.DUMMYFUNCTION("""COMPUTED_VALUE"""),0.0)</f>
        <v>0</v>
      </c>
      <c r="AA118" s="26">
        <f>IFERROR(__xludf.DUMMYFUNCTION("""COMPUTED_VALUE"""),0.0)</f>
        <v>0</v>
      </c>
      <c r="AB118" s="26">
        <f>IFERROR(__xludf.DUMMYFUNCTION("""COMPUTED_VALUE"""),0.0)</f>
        <v>0</v>
      </c>
      <c r="AC118" s="26">
        <f>IFERROR(__xludf.DUMMYFUNCTION("""COMPUTED_VALUE"""),0.0)</f>
        <v>0</v>
      </c>
      <c r="AD118" s="26">
        <f>IFERROR(__xludf.DUMMYFUNCTION("""COMPUTED_VALUE"""),0.0)</f>
        <v>0</v>
      </c>
      <c r="AE118" s="26">
        <f>IFERROR(__xludf.DUMMYFUNCTION("""COMPUTED_VALUE"""),0.0)</f>
        <v>0</v>
      </c>
    </row>
    <row r="119">
      <c r="A119" s="26">
        <f>IFERROR(__xludf.DUMMYFUNCTION("""COMPUTED_VALUE"""),0.0)</f>
        <v>0</v>
      </c>
      <c r="B119" s="26">
        <f>IFERROR(__xludf.DUMMYFUNCTION("""COMPUTED_VALUE"""),0.0)</f>
        <v>0</v>
      </c>
      <c r="C119" s="26">
        <f>IFERROR(__xludf.DUMMYFUNCTION("""COMPUTED_VALUE"""),0.0)</f>
        <v>0</v>
      </c>
      <c r="D119" s="26">
        <f>IFERROR(__xludf.DUMMYFUNCTION("""COMPUTED_VALUE"""),0.0)</f>
        <v>0</v>
      </c>
      <c r="E119" s="26">
        <f>IFERROR(__xludf.DUMMYFUNCTION("""COMPUTED_VALUE"""),0.0)</f>
        <v>0</v>
      </c>
      <c r="F119" s="26">
        <f>IFERROR(__xludf.DUMMYFUNCTION("""COMPUTED_VALUE"""),0.0)</f>
        <v>0</v>
      </c>
      <c r="G119" s="26">
        <f>IFERROR(__xludf.DUMMYFUNCTION("""COMPUTED_VALUE"""),0.0)</f>
        <v>0</v>
      </c>
      <c r="H119" s="26">
        <f>IFERROR(__xludf.DUMMYFUNCTION("""COMPUTED_VALUE"""),0.0)</f>
        <v>0</v>
      </c>
      <c r="I119" s="26">
        <f>IFERROR(__xludf.DUMMYFUNCTION("""COMPUTED_VALUE"""),0.0)</f>
        <v>0</v>
      </c>
      <c r="J119" s="26">
        <f>IFERROR(__xludf.DUMMYFUNCTION("""COMPUTED_VALUE"""),0.0)</f>
        <v>0</v>
      </c>
      <c r="K119" s="26">
        <f>IFERROR(__xludf.DUMMYFUNCTION("""COMPUTED_VALUE"""),0.0)</f>
        <v>0</v>
      </c>
      <c r="L119" s="26"/>
      <c r="M119" s="26"/>
      <c r="N119" s="26"/>
      <c r="O119" s="26"/>
      <c r="P119" s="26"/>
      <c r="Q119" s="26"/>
      <c r="R119" s="26">
        <f>IFERROR(__xludf.DUMMYFUNCTION("""COMPUTED_VALUE"""),0.0)</f>
        <v>0</v>
      </c>
      <c r="S119" s="26">
        <f>IFERROR(__xludf.DUMMYFUNCTION("""COMPUTED_VALUE"""),0.0)</f>
        <v>0</v>
      </c>
      <c r="T119" s="26">
        <f>IFERROR(__xludf.DUMMYFUNCTION("""COMPUTED_VALUE"""),0.0)</f>
        <v>0</v>
      </c>
      <c r="U119" s="26">
        <f>IFERROR(__xludf.DUMMYFUNCTION("""COMPUTED_VALUE"""),0.0)</f>
        <v>0</v>
      </c>
      <c r="V119" s="26">
        <f>IFERROR(__xludf.DUMMYFUNCTION("""COMPUTED_VALUE"""),0.0)</f>
        <v>0</v>
      </c>
      <c r="W119" s="26">
        <f>IFERROR(__xludf.DUMMYFUNCTION("""COMPUTED_VALUE"""),0.0)</f>
        <v>0</v>
      </c>
      <c r="X119" s="26">
        <f>IFERROR(__xludf.DUMMYFUNCTION("""COMPUTED_VALUE"""),0.0)</f>
        <v>0</v>
      </c>
      <c r="Y119" s="26">
        <f>IFERROR(__xludf.DUMMYFUNCTION("""COMPUTED_VALUE"""),0.0)</f>
        <v>0</v>
      </c>
      <c r="Z119" s="26">
        <f>IFERROR(__xludf.DUMMYFUNCTION("""COMPUTED_VALUE"""),0.0)</f>
        <v>0</v>
      </c>
      <c r="AA119" s="26">
        <f>IFERROR(__xludf.DUMMYFUNCTION("""COMPUTED_VALUE"""),0.0)</f>
        <v>0</v>
      </c>
      <c r="AB119" s="26">
        <f>IFERROR(__xludf.DUMMYFUNCTION("""COMPUTED_VALUE"""),0.0)</f>
        <v>0</v>
      </c>
      <c r="AC119" s="26">
        <f>IFERROR(__xludf.DUMMYFUNCTION("""COMPUTED_VALUE"""),-23358.0)</f>
        <v>-23358</v>
      </c>
      <c r="AD119" s="26">
        <f>IFERROR(__xludf.DUMMYFUNCTION("""COMPUTED_VALUE"""),-23358.0)</f>
        <v>-23358</v>
      </c>
      <c r="AE119" s="26">
        <f>IFERROR(__xludf.DUMMYFUNCTION("""COMPUTED_VALUE"""),23358.0)</f>
        <v>23358</v>
      </c>
    </row>
    <row r="120">
      <c r="A120" s="26">
        <f>IFERROR(__xludf.DUMMYFUNCTION("""COMPUTED_VALUE"""),0.0)</f>
        <v>0</v>
      </c>
      <c r="B120" s="26">
        <f>IFERROR(__xludf.DUMMYFUNCTION("""COMPUTED_VALUE"""),0.0)</f>
        <v>0</v>
      </c>
      <c r="C120" s="26">
        <f>IFERROR(__xludf.DUMMYFUNCTION("""COMPUTED_VALUE"""),0.0)</f>
        <v>0</v>
      </c>
      <c r="D120" s="26">
        <f>IFERROR(__xludf.DUMMYFUNCTION("""COMPUTED_VALUE"""),0.0)</f>
        <v>0</v>
      </c>
      <c r="E120" s="26">
        <f>IFERROR(__xludf.DUMMYFUNCTION("""COMPUTED_VALUE"""),0.0)</f>
        <v>0</v>
      </c>
      <c r="F120" s="26">
        <f>IFERROR(__xludf.DUMMYFUNCTION("""COMPUTED_VALUE"""),0.0)</f>
        <v>0</v>
      </c>
      <c r="G120" s="26">
        <f>IFERROR(__xludf.DUMMYFUNCTION("""COMPUTED_VALUE"""),0.0)</f>
        <v>0</v>
      </c>
      <c r="H120" s="26">
        <f>IFERROR(__xludf.DUMMYFUNCTION("""COMPUTED_VALUE"""),0.0)</f>
        <v>0</v>
      </c>
      <c r="I120" s="26">
        <f>IFERROR(__xludf.DUMMYFUNCTION("""COMPUTED_VALUE"""),0.0)</f>
        <v>0</v>
      </c>
      <c r="J120" s="26">
        <f>IFERROR(__xludf.DUMMYFUNCTION("""COMPUTED_VALUE"""),0.0)</f>
        <v>0</v>
      </c>
      <c r="K120" s="26">
        <f>IFERROR(__xludf.DUMMYFUNCTION("""COMPUTED_VALUE"""),0.0)</f>
        <v>0</v>
      </c>
      <c r="L120" s="26"/>
      <c r="M120" s="26"/>
      <c r="N120" s="26"/>
      <c r="O120" s="26"/>
      <c r="P120" s="26"/>
      <c r="Q120" s="26"/>
      <c r="R120" s="26">
        <f>IFERROR(__xludf.DUMMYFUNCTION("""COMPUTED_VALUE"""),0.0)</f>
        <v>0</v>
      </c>
      <c r="S120" s="26">
        <f>IFERROR(__xludf.DUMMYFUNCTION("""COMPUTED_VALUE"""),0.0)</f>
        <v>0</v>
      </c>
      <c r="T120" s="26">
        <f>IFERROR(__xludf.DUMMYFUNCTION("""COMPUTED_VALUE"""),0.0)</f>
        <v>0</v>
      </c>
      <c r="U120" s="26">
        <f>IFERROR(__xludf.DUMMYFUNCTION("""COMPUTED_VALUE"""),0.0)</f>
        <v>0</v>
      </c>
      <c r="V120" s="26">
        <f>IFERROR(__xludf.DUMMYFUNCTION("""COMPUTED_VALUE"""),0.0)</f>
        <v>0</v>
      </c>
      <c r="W120" s="26">
        <f>IFERROR(__xludf.DUMMYFUNCTION("""COMPUTED_VALUE"""),0.0)</f>
        <v>0</v>
      </c>
      <c r="X120" s="26">
        <f>IFERROR(__xludf.DUMMYFUNCTION("""COMPUTED_VALUE"""),0.0)</f>
        <v>0</v>
      </c>
      <c r="Y120" s="26">
        <f>IFERROR(__xludf.DUMMYFUNCTION("""COMPUTED_VALUE"""),0.0)</f>
        <v>0</v>
      </c>
      <c r="Z120" s="26">
        <f>IFERROR(__xludf.DUMMYFUNCTION("""COMPUTED_VALUE"""),0.0)</f>
        <v>0</v>
      </c>
      <c r="AA120" s="26">
        <f>IFERROR(__xludf.DUMMYFUNCTION("""COMPUTED_VALUE"""),0.0)</f>
        <v>0</v>
      </c>
      <c r="AB120" s="26">
        <f>IFERROR(__xludf.DUMMYFUNCTION("""COMPUTED_VALUE"""),0.0)</f>
        <v>0</v>
      </c>
      <c r="AC120" s="26">
        <f>IFERROR(__xludf.DUMMYFUNCTION("""COMPUTED_VALUE"""),0.0)</f>
        <v>0</v>
      </c>
      <c r="AD120" s="26">
        <f>IFERROR(__xludf.DUMMYFUNCTION("""COMPUTED_VALUE"""),0.0)</f>
        <v>0</v>
      </c>
      <c r="AE120" s="26">
        <f>IFERROR(__xludf.DUMMYFUNCTION("""COMPUTED_VALUE"""),0.0)</f>
        <v>0</v>
      </c>
    </row>
    <row r="121">
      <c r="A121" s="26">
        <f>IFERROR(__xludf.DUMMYFUNCTION("""COMPUTED_VALUE"""),714.0)</f>
        <v>714</v>
      </c>
      <c r="B121" s="26">
        <f>IFERROR(__xludf.DUMMYFUNCTION("""COMPUTED_VALUE"""),0.0)</f>
        <v>0</v>
      </c>
      <c r="C121" s="26">
        <f>IFERROR(__xludf.DUMMYFUNCTION("""COMPUTED_VALUE"""),0.0)</f>
        <v>0</v>
      </c>
      <c r="D121" s="26">
        <f>IFERROR(__xludf.DUMMYFUNCTION("""COMPUTED_VALUE"""),0.0)</f>
        <v>0</v>
      </c>
      <c r="E121" s="26">
        <f>IFERROR(__xludf.DUMMYFUNCTION("""COMPUTED_VALUE"""),3230.0)</f>
        <v>3230</v>
      </c>
      <c r="F121" s="26">
        <f>IFERROR(__xludf.DUMMYFUNCTION("""COMPUTED_VALUE"""),0.0)</f>
        <v>0</v>
      </c>
      <c r="G121" s="26">
        <f>IFERROR(__xludf.DUMMYFUNCTION("""COMPUTED_VALUE"""),0.0)</f>
        <v>0</v>
      </c>
      <c r="H121" s="26">
        <f>IFERROR(__xludf.DUMMYFUNCTION("""COMPUTED_VALUE"""),0.0)</f>
        <v>0</v>
      </c>
      <c r="I121" s="26">
        <f>IFERROR(__xludf.DUMMYFUNCTION("""COMPUTED_VALUE"""),0.0)</f>
        <v>0</v>
      </c>
      <c r="J121" s="26">
        <f>IFERROR(__xludf.DUMMYFUNCTION("""COMPUTED_VALUE"""),0.0)</f>
        <v>0</v>
      </c>
      <c r="K121" s="26">
        <f>IFERROR(__xludf.DUMMYFUNCTION("""COMPUTED_VALUE"""),0.0)</f>
        <v>0</v>
      </c>
      <c r="L121" s="26"/>
      <c r="M121" s="26"/>
      <c r="N121" s="26"/>
      <c r="O121" s="26"/>
      <c r="P121" s="26"/>
      <c r="Q121" s="26"/>
      <c r="R121" s="26">
        <f>IFERROR(__xludf.DUMMYFUNCTION("""COMPUTED_VALUE"""),3979781.0)</f>
        <v>3979781</v>
      </c>
      <c r="S121" s="26">
        <f>IFERROR(__xludf.DUMMYFUNCTION("""COMPUTED_VALUE"""),1551170.0)</f>
        <v>1551170</v>
      </c>
      <c r="T121" s="26">
        <f>IFERROR(__xludf.DUMMYFUNCTION("""COMPUTED_VALUE"""),161.08)</f>
        <v>161.08</v>
      </c>
      <c r="U121" s="26">
        <f>IFERROR(__xludf.DUMMYFUNCTION("""COMPUTED_VALUE"""),161.08)</f>
        <v>161.08</v>
      </c>
      <c r="V121" s="26">
        <f>IFERROR(__xludf.DUMMYFUNCTION("""COMPUTED_VALUE"""),606764.739999999)</f>
        <v>606764.74</v>
      </c>
      <c r="W121" s="26">
        <f>IFERROR(__xludf.DUMMYFUNCTION("""COMPUTED_VALUE"""),3979781.0)</f>
        <v>3979781</v>
      </c>
      <c r="X121" s="26">
        <f>IFERROR(__xludf.DUMMYFUNCTION("""COMPUTED_VALUE"""),2229413.500000002)</f>
        <v>2229413.5</v>
      </c>
      <c r="Y121" s="26">
        <f>IFERROR(__xludf.DUMMYFUNCTION("""COMPUTED_VALUE"""),1808243.1999999976)</f>
        <v>1808243.2</v>
      </c>
      <c r="Z121" s="26">
        <f>IFERROR(__xludf.DUMMYFUNCTION("""COMPUTED_VALUE"""),0.0)</f>
        <v>0</v>
      </c>
      <c r="AA121" s="26">
        <f>IFERROR(__xludf.DUMMYFUNCTION("""COMPUTED_VALUE"""),71159.08999999981)</f>
        <v>71159.09</v>
      </c>
      <c r="AB121" s="26">
        <f>IFERROR(__xludf.DUMMYFUNCTION("""COMPUTED_VALUE"""),1750367.4999999963)</f>
        <v>1750367.5</v>
      </c>
      <c r="AC121" s="26">
        <f>IFERROR(__xludf.DUMMYFUNCTION("""COMPUTED_VALUE"""),-150077.0)</f>
        <v>-150077</v>
      </c>
      <c r="AD121" s="26">
        <f>IFERROR(__xludf.DUMMYFUNCTION("""COMPUTED_VALUE"""),3987895.0)</f>
        <v>3987895</v>
      </c>
      <c r="AE121" s="26">
        <f>IFERROR(__xludf.DUMMYFUNCTION("""COMPUTED_VALUE"""),613.0)</f>
        <v>613</v>
      </c>
    </row>
    <row r="122">
      <c r="A122" s="26">
        <f>IFERROR(__xludf.DUMMYFUNCTION("""COMPUTED_VALUE"""),134.0)</f>
        <v>134</v>
      </c>
      <c r="B122" s="26">
        <f>IFERROR(__xludf.DUMMYFUNCTION("""COMPUTED_VALUE"""),1.0)</f>
        <v>1</v>
      </c>
      <c r="C122" s="26">
        <f>IFERROR(__xludf.DUMMYFUNCTION("""COMPUTED_VALUE"""),0.0)</f>
        <v>0</v>
      </c>
      <c r="D122" s="26">
        <f>IFERROR(__xludf.DUMMYFUNCTION("""COMPUTED_VALUE"""),0.0)</f>
        <v>0</v>
      </c>
      <c r="E122" s="26">
        <f>IFERROR(__xludf.DUMMYFUNCTION("""COMPUTED_VALUE"""),514.0)</f>
        <v>514</v>
      </c>
      <c r="F122" s="26">
        <f>IFERROR(__xludf.DUMMYFUNCTION("""COMPUTED_VALUE"""),0.0)</f>
        <v>0</v>
      </c>
      <c r="G122" s="26">
        <f>IFERROR(__xludf.DUMMYFUNCTION("""COMPUTED_VALUE"""),0.0)</f>
        <v>0</v>
      </c>
      <c r="H122" s="26">
        <f>IFERROR(__xludf.DUMMYFUNCTION("""COMPUTED_VALUE"""),0.0)</f>
        <v>0</v>
      </c>
      <c r="I122" s="26">
        <f>IFERROR(__xludf.DUMMYFUNCTION("""COMPUTED_VALUE"""),0.0)</f>
        <v>0</v>
      </c>
      <c r="J122" s="26">
        <f>IFERROR(__xludf.DUMMYFUNCTION("""COMPUTED_VALUE"""),0.0)</f>
        <v>0</v>
      </c>
      <c r="K122" s="26">
        <f>IFERROR(__xludf.DUMMYFUNCTION("""COMPUTED_VALUE"""),0.0)</f>
        <v>0</v>
      </c>
      <c r="L122" s="26"/>
      <c r="M122" s="26"/>
      <c r="N122" s="26"/>
      <c r="O122" s="26"/>
      <c r="P122" s="26"/>
      <c r="Q122" s="26"/>
      <c r="R122" s="26">
        <f>IFERROR(__xludf.DUMMYFUNCTION("""COMPUTED_VALUE"""),1015250.0)</f>
        <v>1015250</v>
      </c>
      <c r="S122" s="26">
        <f>IFERROR(__xludf.DUMMYFUNCTION("""COMPUTED_VALUE"""),110330.0)</f>
        <v>110330</v>
      </c>
      <c r="T122" s="26">
        <f>IFERROR(__xludf.DUMMYFUNCTION("""COMPUTED_VALUE"""),0.0)</f>
        <v>0</v>
      </c>
      <c r="U122" s="26">
        <f>IFERROR(__xludf.DUMMYFUNCTION("""COMPUTED_VALUE"""),0.0)</f>
        <v>0</v>
      </c>
      <c r="V122" s="26">
        <f>IFERROR(__xludf.DUMMYFUNCTION("""COMPUTED_VALUE"""),154867.37000000005)</f>
        <v>154867.37</v>
      </c>
      <c r="W122" s="26">
        <f>IFERROR(__xludf.DUMMYFUNCTION("""COMPUTED_VALUE"""),0.0)</f>
        <v>0</v>
      </c>
      <c r="X122" s="26">
        <f>IFERROR(__xludf.DUMMYFUNCTION("""COMPUTED_VALUE"""),0.0)</f>
        <v>0</v>
      </c>
      <c r="Y122" s="26">
        <f>IFERROR(__xludf.DUMMYFUNCTION("""COMPUTED_VALUE"""),0.0)</f>
        <v>0</v>
      </c>
      <c r="Z122" s="26">
        <f>IFERROR(__xludf.DUMMYFUNCTION("""COMPUTED_VALUE"""),0.0)</f>
        <v>0</v>
      </c>
      <c r="AA122" s="26">
        <f>IFERROR(__xludf.DUMMYFUNCTION("""COMPUTED_VALUE"""),0.0)</f>
        <v>0</v>
      </c>
      <c r="AB122" s="26">
        <f>IFERROR(__xludf.DUMMYFUNCTION("""COMPUTED_VALUE"""),0.0)</f>
        <v>0</v>
      </c>
      <c r="AC122" s="26">
        <f>IFERROR(__xludf.DUMMYFUNCTION("""COMPUTED_VALUE"""),0.0)</f>
        <v>0</v>
      </c>
      <c r="AD122" s="26">
        <f>IFERROR(__xludf.DUMMYFUNCTION("""COMPUTED_VALUE"""),0.0)</f>
        <v>0</v>
      </c>
      <c r="AE122" s="26">
        <f>IFERROR(__xludf.DUMMYFUNCTION("""COMPUTED_VALUE"""),0.0)</f>
        <v>0</v>
      </c>
    </row>
    <row r="123">
      <c r="A123" s="26">
        <f>IFERROR(__xludf.DUMMYFUNCTION("""COMPUTED_VALUE"""),41.0)</f>
        <v>41</v>
      </c>
      <c r="B123" s="26">
        <f>IFERROR(__xludf.DUMMYFUNCTION("""COMPUTED_VALUE"""),0.0)</f>
        <v>0</v>
      </c>
      <c r="C123" s="26">
        <f>IFERROR(__xludf.DUMMYFUNCTION("""COMPUTED_VALUE"""),0.0)</f>
        <v>0</v>
      </c>
      <c r="D123" s="26">
        <f>IFERROR(__xludf.DUMMYFUNCTION("""COMPUTED_VALUE"""),0.0)</f>
        <v>0</v>
      </c>
      <c r="E123" s="26">
        <f>IFERROR(__xludf.DUMMYFUNCTION("""COMPUTED_VALUE"""),202.0)</f>
        <v>202</v>
      </c>
      <c r="F123" s="26">
        <f>IFERROR(__xludf.DUMMYFUNCTION("""COMPUTED_VALUE"""),0.0)</f>
        <v>0</v>
      </c>
      <c r="G123" s="26">
        <f>IFERROR(__xludf.DUMMYFUNCTION("""COMPUTED_VALUE"""),0.0)</f>
        <v>0</v>
      </c>
      <c r="H123" s="26">
        <f>IFERROR(__xludf.DUMMYFUNCTION("""COMPUTED_VALUE"""),0.0)</f>
        <v>0</v>
      </c>
      <c r="I123" s="26">
        <f>IFERROR(__xludf.DUMMYFUNCTION("""COMPUTED_VALUE"""),0.0)</f>
        <v>0</v>
      </c>
      <c r="J123" s="26">
        <f>IFERROR(__xludf.DUMMYFUNCTION("""COMPUTED_VALUE"""),0.0)</f>
        <v>0</v>
      </c>
      <c r="K123" s="26">
        <f>IFERROR(__xludf.DUMMYFUNCTION("""COMPUTED_VALUE"""),0.0)</f>
        <v>0</v>
      </c>
      <c r="L123" s="26"/>
      <c r="M123" s="26"/>
      <c r="N123" s="26"/>
      <c r="O123" s="26"/>
      <c r="P123" s="26"/>
      <c r="Q123" s="26"/>
      <c r="R123" s="26">
        <f>IFERROR(__xludf.DUMMYFUNCTION("""COMPUTED_VALUE"""),393790.0)</f>
        <v>393790</v>
      </c>
      <c r="S123" s="26">
        <f>IFERROR(__xludf.DUMMYFUNCTION("""COMPUTED_VALUE"""),41310.0)</f>
        <v>41310</v>
      </c>
      <c r="T123" s="26">
        <f>IFERROR(__xludf.DUMMYFUNCTION("""COMPUTED_VALUE"""),0.0)</f>
        <v>0</v>
      </c>
      <c r="U123" s="26">
        <f>IFERROR(__xludf.DUMMYFUNCTION("""COMPUTED_VALUE"""),0.0)</f>
        <v>0</v>
      </c>
      <c r="V123" s="26">
        <f>IFERROR(__xludf.DUMMYFUNCTION("""COMPUTED_VALUE"""),60069.15000000003)</f>
        <v>60069.15</v>
      </c>
      <c r="W123" s="26">
        <f>IFERROR(__xludf.DUMMYFUNCTION("""COMPUTED_VALUE"""),0.0)</f>
        <v>0</v>
      </c>
      <c r="X123" s="26">
        <f>IFERROR(__xludf.DUMMYFUNCTION("""COMPUTED_VALUE"""),0.0)</f>
        <v>0</v>
      </c>
      <c r="Y123" s="26">
        <f>IFERROR(__xludf.DUMMYFUNCTION("""COMPUTED_VALUE"""),0.0)</f>
        <v>0</v>
      </c>
      <c r="Z123" s="26">
        <f>IFERROR(__xludf.DUMMYFUNCTION("""COMPUTED_VALUE"""),0.0)</f>
        <v>0</v>
      </c>
      <c r="AA123" s="26">
        <f>IFERROR(__xludf.DUMMYFUNCTION("""COMPUTED_VALUE"""),0.0)</f>
        <v>0</v>
      </c>
      <c r="AB123" s="26">
        <f>IFERROR(__xludf.DUMMYFUNCTION("""COMPUTED_VALUE"""),0.0)</f>
        <v>0</v>
      </c>
      <c r="AC123" s="26">
        <f>IFERROR(__xludf.DUMMYFUNCTION("""COMPUTED_VALUE"""),0.0)</f>
        <v>0</v>
      </c>
      <c r="AD123" s="26">
        <f>IFERROR(__xludf.DUMMYFUNCTION("""COMPUTED_VALUE"""),0.0)</f>
        <v>0</v>
      </c>
      <c r="AE123" s="26">
        <f>IFERROR(__xludf.DUMMYFUNCTION("""COMPUTED_VALUE"""),0.0)</f>
        <v>0</v>
      </c>
    </row>
    <row r="124">
      <c r="A124" s="26">
        <f>IFERROR(__xludf.DUMMYFUNCTION("""COMPUTED_VALUE"""),56.0)</f>
        <v>56</v>
      </c>
      <c r="B124" s="26">
        <f>IFERROR(__xludf.DUMMYFUNCTION("""COMPUTED_VALUE"""),0.0)</f>
        <v>0</v>
      </c>
      <c r="C124" s="26">
        <f>IFERROR(__xludf.DUMMYFUNCTION("""COMPUTED_VALUE"""),0.0)</f>
        <v>0</v>
      </c>
      <c r="D124" s="26">
        <f>IFERROR(__xludf.DUMMYFUNCTION("""COMPUTED_VALUE"""),0.0)</f>
        <v>0</v>
      </c>
      <c r="E124" s="26">
        <f>IFERROR(__xludf.DUMMYFUNCTION("""COMPUTED_VALUE"""),639.0)</f>
        <v>639</v>
      </c>
      <c r="F124" s="26">
        <f>IFERROR(__xludf.DUMMYFUNCTION("""COMPUTED_VALUE"""),0.0)</f>
        <v>0</v>
      </c>
      <c r="G124" s="26">
        <f>IFERROR(__xludf.DUMMYFUNCTION("""COMPUTED_VALUE"""),0.0)</f>
        <v>0</v>
      </c>
      <c r="H124" s="26">
        <f>IFERROR(__xludf.DUMMYFUNCTION("""COMPUTED_VALUE"""),0.0)</f>
        <v>0</v>
      </c>
      <c r="I124" s="26">
        <f>IFERROR(__xludf.DUMMYFUNCTION("""COMPUTED_VALUE"""),0.0)</f>
        <v>0</v>
      </c>
      <c r="J124" s="26">
        <f>IFERROR(__xludf.DUMMYFUNCTION("""COMPUTED_VALUE"""),0.0)</f>
        <v>0</v>
      </c>
      <c r="K124" s="26">
        <f>IFERROR(__xludf.DUMMYFUNCTION("""COMPUTED_VALUE"""),0.0)</f>
        <v>0</v>
      </c>
      <c r="L124" s="26"/>
      <c r="M124" s="26"/>
      <c r="N124" s="26"/>
      <c r="O124" s="26"/>
      <c r="P124" s="26"/>
      <c r="Q124" s="26"/>
      <c r="R124" s="26">
        <f>IFERROR(__xludf.DUMMYFUNCTION("""COMPUTED_VALUE"""),1204090.0)</f>
        <v>1204090</v>
      </c>
      <c r="S124" s="26">
        <f>IFERROR(__xludf.DUMMYFUNCTION("""COMPUTED_VALUE"""),118150.0)</f>
        <v>118150</v>
      </c>
      <c r="T124" s="26">
        <f>IFERROR(__xludf.DUMMYFUNCTION("""COMPUTED_VALUE"""),0.0)</f>
        <v>0</v>
      </c>
      <c r="U124" s="26">
        <f>IFERROR(__xludf.DUMMYFUNCTION("""COMPUTED_VALUE"""),0.0)</f>
        <v>0</v>
      </c>
      <c r="V124" s="26">
        <f>IFERROR(__xludf.DUMMYFUNCTION("""COMPUTED_VALUE"""),183672.49999999977)</f>
        <v>183672.5</v>
      </c>
      <c r="W124" s="26">
        <f>IFERROR(__xludf.DUMMYFUNCTION("""COMPUTED_VALUE"""),0.0)</f>
        <v>0</v>
      </c>
      <c r="X124" s="26">
        <f>IFERROR(__xludf.DUMMYFUNCTION("""COMPUTED_VALUE"""),0.0)</f>
        <v>0</v>
      </c>
      <c r="Y124" s="26">
        <f>IFERROR(__xludf.DUMMYFUNCTION("""COMPUTED_VALUE"""),0.0)</f>
        <v>0</v>
      </c>
      <c r="Z124" s="26">
        <f>IFERROR(__xludf.DUMMYFUNCTION("""COMPUTED_VALUE"""),0.0)</f>
        <v>0</v>
      </c>
      <c r="AA124" s="26">
        <f>IFERROR(__xludf.DUMMYFUNCTION("""COMPUTED_VALUE"""),0.0)</f>
        <v>0</v>
      </c>
      <c r="AB124" s="26">
        <f>IFERROR(__xludf.DUMMYFUNCTION("""COMPUTED_VALUE"""),0.0)</f>
        <v>0</v>
      </c>
      <c r="AC124" s="26">
        <f>IFERROR(__xludf.DUMMYFUNCTION("""COMPUTED_VALUE"""),0.0)</f>
        <v>0</v>
      </c>
      <c r="AD124" s="26">
        <f>IFERROR(__xludf.DUMMYFUNCTION("""COMPUTED_VALUE"""),0.0)</f>
        <v>0</v>
      </c>
      <c r="AE124" s="26">
        <f>IFERROR(__xludf.DUMMYFUNCTION("""COMPUTED_VALUE"""),0.0)</f>
        <v>0</v>
      </c>
    </row>
    <row r="125">
      <c r="A125" s="26">
        <f>IFERROR(__xludf.DUMMYFUNCTION("""COMPUTED_VALUE"""),332.0)</f>
        <v>332</v>
      </c>
      <c r="B125" s="26">
        <f>IFERROR(__xludf.DUMMYFUNCTION("""COMPUTED_VALUE"""),0.0)</f>
        <v>0</v>
      </c>
      <c r="C125" s="26">
        <f>IFERROR(__xludf.DUMMYFUNCTION("""COMPUTED_VALUE"""),1.0)</f>
        <v>1</v>
      </c>
      <c r="D125" s="26">
        <f>IFERROR(__xludf.DUMMYFUNCTION("""COMPUTED_VALUE"""),0.0)</f>
        <v>0</v>
      </c>
      <c r="E125" s="26">
        <f>IFERROR(__xludf.DUMMYFUNCTION("""COMPUTED_VALUE"""),1110.0)</f>
        <v>1110</v>
      </c>
      <c r="F125" s="26">
        <f>IFERROR(__xludf.DUMMYFUNCTION("""COMPUTED_VALUE"""),0.0)</f>
        <v>0</v>
      </c>
      <c r="G125" s="26">
        <f>IFERROR(__xludf.DUMMYFUNCTION("""COMPUTED_VALUE"""),0.0)</f>
        <v>0</v>
      </c>
      <c r="H125" s="26">
        <f>IFERROR(__xludf.DUMMYFUNCTION("""COMPUTED_VALUE"""),0.0)</f>
        <v>0</v>
      </c>
      <c r="I125" s="26">
        <f>IFERROR(__xludf.DUMMYFUNCTION("""COMPUTED_VALUE"""),0.0)</f>
        <v>0</v>
      </c>
      <c r="J125" s="26">
        <f>IFERROR(__xludf.DUMMYFUNCTION("""COMPUTED_VALUE"""),0.0)</f>
        <v>0</v>
      </c>
      <c r="K125" s="26">
        <f>IFERROR(__xludf.DUMMYFUNCTION("""COMPUTED_VALUE"""),0.0)</f>
        <v>0</v>
      </c>
      <c r="L125" s="26"/>
      <c r="M125" s="26"/>
      <c r="N125" s="26"/>
      <c r="O125" s="26"/>
      <c r="P125" s="26"/>
      <c r="Q125" s="26"/>
      <c r="R125" s="26">
        <f>IFERROR(__xludf.DUMMYFUNCTION("""COMPUTED_VALUE"""),2216172.0)</f>
        <v>2216172</v>
      </c>
      <c r="S125" s="26">
        <f>IFERROR(__xludf.DUMMYFUNCTION("""COMPUTED_VALUE"""),245310.0)</f>
        <v>245310</v>
      </c>
      <c r="T125" s="26">
        <f>IFERROR(__xludf.DUMMYFUNCTION("""COMPUTED_VALUE"""),0.0)</f>
        <v>0</v>
      </c>
      <c r="U125" s="26">
        <f>IFERROR(__xludf.DUMMYFUNCTION("""COMPUTED_VALUE"""),0.0)</f>
        <v>0</v>
      </c>
      <c r="V125" s="26">
        <f>IFERROR(__xludf.DUMMYFUNCTION("""COMPUTED_VALUE"""),338057.7799999991)</f>
        <v>338057.78</v>
      </c>
      <c r="W125" s="26">
        <f>IFERROR(__xludf.DUMMYFUNCTION("""COMPUTED_VALUE"""),0.0)</f>
        <v>0</v>
      </c>
      <c r="X125" s="26">
        <f>IFERROR(__xludf.DUMMYFUNCTION("""COMPUTED_VALUE"""),0.0)</f>
        <v>0</v>
      </c>
      <c r="Y125" s="26">
        <f>IFERROR(__xludf.DUMMYFUNCTION("""COMPUTED_VALUE"""),0.0)</f>
        <v>0</v>
      </c>
      <c r="Z125" s="26">
        <f>IFERROR(__xludf.DUMMYFUNCTION("""COMPUTED_VALUE"""),0.0)</f>
        <v>0</v>
      </c>
      <c r="AA125" s="26">
        <f>IFERROR(__xludf.DUMMYFUNCTION("""COMPUTED_VALUE"""),0.0)</f>
        <v>0</v>
      </c>
      <c r="AB125" s="26">
        <f>IFERROR(__xludf.DUMMYFUNCTION("""COMPUTED_VALUE"""),0.0)</f>
        <v>0</v>
      </c>
      <c r="AC125" s="26">
        <f>IFERROR(__xludf.DUMMYFUNCTION("""COMPUTED_VALUE"""),0.0)</f>
        <v>0</v>
      </c>
      <c r="AD125" s="26">
        <f>IFERROR(__xludf.DUMMYFUNCTION("""COMPUTED_VALUE"""),0.0)</f>
        <v>0</v>
      </c>
      <c r="AE125" s="26">
        <f>IFERROR(__xludf.DUMMYFUNCTION("""COMPUTED_VALUE"""),0.0)</f>
        <v>0</v>
      </c>
    </row>
    <row r="126">
      <c r="A126" s="26">
        <f>IFERROR(__xludf.DUMMYFUNCTION("""COMPUTED_VALUE"""),0.0)</f>
        <v>0</v>
      </c>
      <c r="B126" s="26">
        <f>IFERROR(__xludf.DUMMYFUNCTION("""COMPUTED_VALUE"""),0.0)</f>
        <v>0</v>
      </c>
      <c r="C126" s="26">
        <f>IFERROR(__xludf.DUMMYFUNCTION("""COMPUTED_VALUE"""),0.0)</f>
        <v>0</v>
      </c>
      <c r="D126" s="26">
        <f>IFERROR(__xludf.DUMMYFUNCTION("""COMPUTED_VALUE"""),0.0)</f>
        <v>0</v>
      </c>
      <c r="E126" s="26">
        <f>IFERROR(__xludf.DUMMYFUNCTION("""COMPUTED_VALUE"""),0.0)</f>
        <v>0</v>
      </c>
      <c r="F126" s="26">
        <f>IFERROR(__xludf.DUMMYFUNCTION("""COMPUTED_VALUE"""),0.0)</f>
        <v>0</v>
      </c>
      <c r="G126" s="26">
        <f>IFERROR(__xludf.DUMMYFUNCTION("""COMPUTED_VALUE"""),0.0)</f>
        <v>0</v>
      </c>
      <c r="H126" s="26">
        <f>IFERROR(__xludf.DUMMYFUNCTION("""COMPUTED_VALUE"""),0.0)</f>
        <v>0</v>
      </c>
      <c r="I126" s="26">
        <f>IFERROR(__xludf.DUMMYFUNCTION("""COMPUTED_VALUE"""),0.0)</f>
        <v>0</v>
      </c>
      <c r="J126" s="26">
        <f>IFERROR(__xludf.DUMMYFUNCTION("""COMPUTED_VALUE"""),0.0)</f>
        <v>0</v>
      </c>
      <c r="K126" s="26">
        <f>IFERROR(__xludf.DUMMYFUNCTION("""COMPUTED_VALUE"""),0.0)</f>
        <v>0</v>
      </c>
      <c r="L126" s="26"/>
      <c r="M126" s="26"/>
      <c r="N126" s="26"/>
      <c r="O126" s="26"/>
      <c r="P126" s="26"/>
      <c r="Q126" s="26"/>
      <c r="R126" s="26">
        <f>IFERROR(__xludf.DUMMYFUNCTION("""COMPUTED_VALUE"""),0.0)</f>
        <v>0</v>
      </c>
      <c r="S126" s="26">
        <f>IFERROR(__xludf.DUMMYFUNCTION("""COMPUTED_VALUE"""),0.0)</f>
        <v>0</v>
      </c>
      <c r="T126" s="26">
        <f>IFERROR(__xludf.DUMMYFUNCTION("""COMPUTED_VALUE"""),0.0)</f>
        <v>0</v>
      </c>
      <c r="U126" s="26">
        <f>IFERROR(__xludf.DUMMYFUNCTION("""COMPUTED_VALUE"""),0.0)</f>
        <v>0</v>
      </c>
      <c r="V126" s="26">
        <f>IFERROR(__xludf.DUMMYFUNCTION("""COMPUTED_VALUE"""),0.0)</f>
        <v>0</v>
      </c>
      <c r="W126" s="26">
        <f>IFERROR(__xludf.DUMMYFUNCTION("""COMPUTED_VALUE"""),0.0)</f>
        <v>0</v>
      </c>
      <c r="X126" s="26">
        <f>IFERROR(__xludf.DUMMYFUNCTION("""COMPUTED_VALUE"""),0.0)</f>
        <v>0</v>
      </c>
      <c r="Y126" s="26">
        <f>IFERROR(__xludf.DUMMYFUNCTION("""COMPUTED_VALUE"""),0.0)</f>
        <v>0</v>
      </c>
      <c r="Z126" s="26">
        <f>IFERROR(__xludf.DUMMYFUNCTION("""COMPUTED_VALUE"""),0.0)</f>
        <v>0</v>
      </c>
      <c r="AA126" s="26">
        <f>IFERROR(__xludf.DUMMYFUNCTION("""COMPUTED_VALUE"""),0.0)</f>
        <v>0</v>
      </c>
      <c r="AB126" s="26">
        <f>IFERROR(__xludf.DUMMYFUNCTION("""COMPUTED_VALUE"""),0.0)</f>
        <v>0</v>
      </c>
      <c r="AC126" s="26">
        <f>IFERROR(__xludf.DUMMYFUNCTION("""COMPUTED_VALUE"""),0.0)</f>
        <v>0</v>
      </c>
      <c r="AD126" s="26">
        <f>IFERROR(__xludf.DUMMYFUNCTION("""COMPUTED_VALUE"""),0.0)</f>
        <v>0</v>
      </c>
      <c r="AE126" s="26">
        <f>IFERROR(__xludf.DUMMYFUNCTION("""COMPUTED_VALUE"""),0.0)</f>
        <v>0</v>
      </c>
    </row>
    <row r="127">
      <c r="A127" s="26">
        <f>IFERROR(__xludf.DUMMYFUNCTION("""COMPUTED_VALUE"""),0.0)</f>
        <v>0</v>
      </c>
      <c r="B127" s="26">
        <f>IFERROR(__xludf.DUMMYFUNCTION("""COMPUTED_VALUE"""),0.0)</f>
        <v>0</v>
      </c>
      <c r="C127" s="26">
        <f>IFERROR(__xludf.DUMMYFUNCTION("""COMPUTED_VALUE"""),0.0)</f>
        <v>0</v>
      </c>
      <c r="D127" s="26">
        <f>IFERROR(__xludf.DUMMYFUNCTION("""COMPUTED_VALUE"""),0.0)</f>
        <v>0</v>
      </c>
      <c r="E127" s="26">
        <f>IFERROR(__xludf.DUMMYFUNCTION("""COMPUTED_VALUE"""),0.0)</f>
        <v>0</v>
      </c>
      <c r="F127" s="26">
        <f>IFERROR(__xludf.DUMMYFUNCTION("""COMPUTED_VALUE"""),0.0)</f>
        <v>0</v>
      </c>
      <c r="G127" s="26">
        <f>IFERROR(__xludf.DUMMYFUNCTION("""COMPUTED_VALUE"""),0.0)</f>
        <v>0</v>
      </c>
      <c r="H127" s="26">
        <f>IFERROR(__xludf.DUMMYFUNCTION("""COMPUTED_VALUE"""),0.0)</f>
        <v>0</v>
      </c>
      <c r="I127" s="26">
        <f>IFERROR(__xludf.DUMMYFUNCTION("""COMPUTED_VALUE"""),0.0)</f>
        <v>0</v>
      </c>
      <c r="J127" s="26">
        <f>IFERROR(__xludf.DUMMYFUNCTION("""COMPUTED_VALUE"""),0.0)</f>
        <v>0</v>
      </c>
      <c r="K127" s="26">
        <f>IFERROR(__xludf.DUMMYFUNCTION("""COMPUTED_VALUE"""),0.0)</f>
        <v>0</v>
      </c>
      <c r="L127" s="26"/>
      <c r="M127" s="26"/>
      <c r="N127" s="26"/>
      <c r="O127" s="26"/>
      <c r="P127" s="26"/>
      <c r="Q127" s="26"/>
      <c r="R127" s="26">
        <f>IFERROR(__xludf.DUMMYFUNCTION("""COMPUTED_VALUE"""),0.0)</f>
        <v>0</v>
      </c>
      <c r="S127" s="26">
        <f>IFERROR(__xludf.DUMMYFUNCTION("""COMPUTED_VALUE"""),0.0)</f>
        <v>0</v>
      </c>
      <c r="T127" s="26">
        <f>IFERROR(__xludf.DUMMYFUNCTION("""COMPUTED_VALUE"""),0.0)</f>
        <v>0</v>
      </c>
      <c r="U127" s="26">
        <f>IFERROR(__xludf.DUMMYFUNCTION("""COMPUTED_VALUE"""),0.0)</f>
        <v>0</v>
      </c>
      <c r="V127" s="26">
        <f>IFERROR(__xludf.DUMMYFUNCTION("""COMPUTED_VALUE"""),0.0)</f>
        <v>0</v>
      </c>
      <c r="W127" s="26">
        <f>IFERROR(__xludf.DUMMYFUNCTION("""COMPUTED_VALUE"""),0.0)</f>
        <v>0</v>
      </c>
      <c r="X127" s="26">
        <f>IFERROR(__xludf.DUMMYFUNCTION("""COMPUTED_VALUE"""),0.0)</f>
        <v>0</v>
      </c>
      <c r="Y127" s="26">
        <f>IFERROR(__xludf.DUMMYFUNCTION("""COMPUTED_VALUE"""),0.0)</f>
        <v>0</v>
      </c>
      <c r="Z127" s="26">
        <f>IFERROR(__xludf.DUMMYFUNCTION("""COMPUTED_VALUE"""),0.0)</f>
        <v>0</v>
      </c>
      <c r="AA127" s="26">
        <f>IFERROR(__xludf.DUMMYFUNCTION("""COMPUTED_VALUE"""),0.0)</f>
        <v>0</v>
      </c>
      <c r="AB127" s="26">
        <f>IFERROR(__xludf.DUMMYFUNCTION("""COMPUTED_VALUE"""),0.0)</f>
        <v>0</v>
      </c>
      <c r="AC127" s="26">
        <f>IFERROR(__xludf.DUMMYFUNCTION("""COMPUTED_VALUE"""),0.0)</f>
        <v>0</v>
      </c>
      <c r="AD127" s="26">
        <f>IFERROR(__xludf.DUMMYFUNCTION("""COMPUTED_VALUE"""),0.0)</f>
        <v>0</v>
      </c>
      <c r="AE127" s="26">
        <f>IFERROR(__xludf.DUMMYFUNCTION("""COMPUTED_VALUE"""),0.0)</f>
        <v>0</v>
      </c>
    </row>
    <row r="128">
      <c r="A128" s="26">
        <f>IFERROR(__xludf.DUMMYFUNCTION("""COMPUTED_VALUE"""),0.0)</f>
        <v>0</v>
      </c>
      <c r="B128" s="26">
        <f>IFERROR(__xludf.DUMMYFUNCTION("""COMPUTED_VALUE"""),0.0)</f>
        <v>0</v>
      </c>
      <c r="C128" s="26">
        <f>IFERROR(__xludf.DUMMYFUNCTION("""COMPUTED_VALUE"""),0.0)</f>
        <v>0</v>
      </c>
      <c r="D128" s="26">
        <f>IFERROR(__xludf.DUMMYFUNCTION("""COMPUTED_VALUE"""),0.0)</f>
        <v>0</v>
      </c>
      <c r="E128" s="26">
        <f>IFERROR(__xludf.DUMMYFUNCTION("""COMPUTED_VALUE"""),0.0)</f>
        <v>0</v>
      </c>
      <c r="F128" s="26">
        <f>IFERROR(__xludf.DUMMYFUNCTION("""COMPUTED_VALUE"""),0.0)</f>
        <v>0</v>
      </c>
      <c r="G128" s="26">
        <f>IFERROR(__xludf.DUMMYFUNCTION("""COMPUTED_VALUE"""),0.0)</f>
        <v>0</v>
      </c>
      <c r="H128" s="26">
        <f>IFERROR(__xludf.DUMMYFUNCTION("""COMPUTED_VALUE"""),0.0)</f>
        <v>0</v>
      </c>
      <c r="I128" s="26">
        <f>IFERROR(__xludf.DUMMYFUNCTION("""COMPUTED_VALUE"""),0.0)</f>
        <v>0</v>
      </c>
      <c r="J128" s="26">
        <f>IFERROR(__xludf.DUMMYFUNCTION("""COMPUTED_VALUE"""),0.0)</f>
        <v>0</v>
      </c>
      <c r="K128" s="26">
        <f>IFERROR(__xludf.DUMMYFUNCTION("""COMPUTED_VALUE"""),0.0)</f>
        <v>0</v>
      </c>
      <c r="L128" s="26"/>
      <c r="M128" s="26"/>
      <c r="N128" s="26"/>
      <c r="O128" s="26"/>
      <c r="P128" s="26"/>
      <c r="Q128" s="26"/>
      <c r="R128" s="26">
        <f>IFERROR(__xludf.DUMMYFUNCTION("""COMPUTED_VALUE"""),0.0)</f>
        <v>0</v>
      </c>
      <c r="S128" s="26">
        <f>IFERROR(__xludf.DUMMYFUNCTION("""COMPUTED_VALUE"""),0.0)</f>
        <v>0</v>
      </c>
      <c r="T128" s="26">
        <f>IFERROR(__xludf.DUMMYFUNCTION("""COMPUTED_VALUE"""),0.0)</f>
        <v>0</v>
      </c>
      <c r="U128" s="26">
        <f>IFERROR(__xludf.DUMMYFUNCTION("""COMPUTED_VALUE"""),0.0)</f>
        <v>0</v>
      </c>
      <c r="V128" s="26">
        <f>IFERROR(__xludf.DUMMYFUNCTION("""COMPUTED_VALUE"""),0.0)</f>
        <v>0</v>
      </c>
      <c r="W128" s="26">
        <f>IFERROR(__xludf.DUMMYFUNCTION("""COMPUTED_VALUE"""),0.0)</f>
        <v>0</v>
      </c>
      <c r="X128" s="26">
        <f>IFERROR(__xludf.DUMMYFUNCTION("""COMPUTED_VALUE"""),0.0)</f>
        <v>0</v>
      </c>
      <c r="Y128" s="26">
        <f>IFERROR(__xludf.DUMMYFUNCTION("""COMPUTED_VALUE"""),0.0)</f>
        <v>0</v>
      </c>
      <c r="Z128" s="26">
        <f>IFERROR(__xludf.DUMMYFUNCTION("""COMPUTED_VALUE"""),0.0)</f>
        <v>0</v>
      </c>
      <c r="AA128" s="26">
        <f>IFERROR(__xludf.DUMMYFUNCTION("""COMPUTED_VALUE"""),0.0)</f>
        <v>0</v>
      </c>
      <c r="AB128" s="26">
        <f>IFERROR(__xludf.DUMMYFUNCTION("""COMPUTED_VALUE"""),0.0)</f>
        <v>0</v>
      </c>
      <c r="AC128" s="26">
        <f>IFERROR(__xludf.DUMMYFUNCTION("""COMPUTED_VALUE"""),0.0)</f>
        <v>0</v>
      </c>
      <c r="AD128" s="26">
        <f>IFERROR(__xludf.DUMMYFUNCTION("""COMPUTED_VALUE"""),0.0)</f>
        <v>0</v>
      </c>
      <c r="AE128" s="26">
        <f>IFERROR(__xludf.DUMMYFUNCTION("""COMPUTED_VALUE"""),0.0)</f>
        <v>0</v>
      </c>
    </row>
    <row r="129">
      <c r="A129" s="26">
        <f>IFERROR(__xludf.DUMMYFUNCTION("""COMPUTED_VALUE"""),216.0)</f>
        <v>216</v>
      </c>
      <c r="B129" s="26">
        <f>IFERROR(__xludf.DUMMYFUNCTION("""COMPUTED_VALUE"""),25.0)</f>
        <v>25</v>
      </c>
      <c r="C129" s="26">
        <f>IFERROR(__xludf.DUMMYFUNCTION("""COMPUTED_VALUE"""),1.0)</f>
        <v>1</v>
      </c>
      <c r="D129" s="26">
        <f>IFERROR(__xludf.DUMMYFUNCTION("""COMPUTED_VALUE"""),0.0)</f>
        <v>0</v>
      </c>
      <c r="E129" s="26">
        <f>IFERROR(__xludf.DUMMYFUNCTION("""COMPUTED_VALUE"""),0.0)</f>
        <v>0</v>
      </c>
      <c r="F129" s="26">
        <f>IFERROR(__xludf.DUMMYFUNCTION("""COMPUTED_VALUE"""),0.0)</f>
        <v>0</v>
      </c>
      <c r="G129" s="26">
        <f>IFERROR(__xludf.DUMMYFUNCTION("""COMPUTED_VALUE"""),0.0)</f>
        <v>0</v>
      </c>
      <c r="H129" s="26">
        <f>IFERROR(__xludf.DUMMYFUNCTION("""COMPUTED_VALUE"""),0.0)</f>
        <v>0</v>
      </c>
      <c r="I129" s="26">
        <f>IFERROR(__xludf.DUMMYFUNCTION("""COMPUTED_VALUE"""),0.0)</f>
        <v>0</v>
      </c>
      <c r="J129" s="26">
        <f>IFERROR(__xludf.DUMMYFUNCTION("""COMPUTED_VALUE"""),0.0)</f>
        <v>0</v>
      </c>
      <c r="K129" s="26">
        <f>IFERROR(__xludf.DUMMYFUNCTION("""COMPUTED_VALUE"""),0.0)</f>
        <v>0</v>
      </c>
      <c r="L129" s="26"/>
      <c r="M129" s="26"/>
      <c r="N129" s="26"/>
      <c r="O129" s="26"/>
      <c r="P129" s="26"/>
      <c r="Q129" s="26"/>
      <c r="R129" s="26">
        <f>IFERROR(__xludf.DUMMYFUNCTION("""COMPUTED_VALUE"""),92430.0)</f>
        <v>92430</v>
      </c>
      <c r="S129" s="26">
        <f>IFERROR(__xludf.DUMMYFUNCTION("""COMPUTED_VALUE"""),49695.0)</f>
        <v>49695</v>
      </c>
      <c r="T129" s="26">
        <f>IFERROR(__xludf.DUMMYFUNCTION("""COMPUTED_VALUE"""),0.0)</f>
        <v>0</v>
      </c>
      <c r="U129" s="26">
        <f>IFERROR(__xludf.DUMMYFUNCTION("""COMPUTED_VALUE"""),0.0)</f>
        <v>0</v>
      </c>
      <c r="V129" s="26">
        <f>IFERROR(__xludf.DUMMYFUNCTION("""COMPUTED_VALUE"""),14099.089999999967)</f>
        <v>14099.09</v>
      </c>
      <c r="W129" s="26">
        <f>IFERROR(__xludf.DUMMYFUNCTION("""COMPUTED_VALUE"""),92430.0)</f>
        <v>92430</v>
      </c>
      <c r="X129" s="26">
        <f>IFERROR(__xludf.DUMMYFUNCTION("""COMPUTED_VALUE"""),64366.63999999995)</f>
        <v>64366.64</v>
      </c>
      <c r="Y129" s="26">
        <f>IFERROR(__xludf.DUMMYFUNCTION("""COMPUTED_VALUE"""),28063.35999999996)</f>
        <v>28063.36</v>
      </c>
      <c r="Z129" s="26">
        <f>IFERROR(__xludf.DUMMYFUNCTION("""COMPUTED_VALUE"""),0.0)</f>
        <v>0</v>
      </c>
      <c r="AA129" s="26">
        <f>IFERROR(__xludf.DUMMYFUNCTION("""COMPUTED_VALUE"""),572.559999999999)</f>
        <v>572.56</v>
      </c>
      <c r="AB129" s="26">
        <f>IFERROR(__xludf.DUMMYFUNCTION("""COMPUTED_VALUE"""),28063.35999999996)</f>
        <v>28063.36</v>
      </c>
      <c r="AC129" s="26">
        <f>IFERROR(__xludf.DUMMYFUNCTION("""COMPUTED_VALUE"""),2800.0)</f>
        <v>2800</v>
      </c>
      <c r="AD129" s="26">
        <f>IFERROR(__xludf.DUMMYFUNCTION("""COMPUTED_VALUE"""),75800.0)</f>
        <v>75800</v>
      </c>
      <c r="AE129" s="26">
        <f>IFERROR(__xludf.DUMMYFUNCTION("""COMPUTED_VALUE"""),0.0)</f>
        <v>0</v>
      </c>
    </row>
    <row r="130">
      <c r="A130" s="26">
        <f>IFERROR(__xludf.DUMMYFUNCTION("""COMPUTED_VALUE"""),38.0)</f>
        <v>38</v>
      </c>
      <c r="B130" s="26">
        <f>IFERROR(__xludf.DUMMYFUNCTION("""COMPUTED_VALUE"""),4.0)</f>
        <v>4</v>
      </c>
      <c r="C130" s="26">
        <f>IFERROR(__xludf.DUMMYFUNCTION("""COMPUTED_VALUE"""),11.0)</f>
        <v>11</v>
      </c>
      <c r="D130" s="26">
        <f>IFERROR(__xludf.DUMMYFUNCTION("""COMPUTED_VALUE"""),30.0)</f>
        <v>30</v>
      </c>
      <c r="E130" s="26">
        <f>IFERROR(__xludf.DUMMYFUNCTION("""COMPUTED_VALUE"""),2803.0)</f>
        <v>2803</v>
      </c>
      <c r="F130" s="26">
        <f>IFERROR(__xludf.DUMMYFUNCTION("""COMPUTED_VALUE"""),0.0)</f>
        <v>0</v>
      </c>
      <c r="G130" s="26">
        <f>IFERROR(__xludf.DUMMYFUNCTION("""COMPUTED_VALUE"""),0.0)</f>
        <v>0</v>
      </c>
      <c r="H130" s="26">
        <f>IFERROR(__xludf.DUMMYFUNCTION("""COMPUTED_VALUE"""),1.0)</f>
        <v>1</v>
      </c>
      <c r="I130" s="26">
        <f>IFERROR(__xludf.DUMMYFUNCTION("""COMPUTED_VALUE"""),0.0)</f>
        <v>0</v>
      </c>
      <c r="J130" s="26">
        <f>IFERROR(__xludf.DUMMYFUNCTION("""COMPUTED_VALUE"""),0.0)</f>
        <v>0</v>
      </c>
      <c r="K130" s="26">
        <f>IFERROR(__xludf.DUMMYFUNCTION("""COMPUTED_VALUE"""),0.0)</f>
        <v>0</v>
      </c>
      <c r="L130" s="26"/>
      <c r="M130" s="26"/>
      <c r="N130" s="26"/>
      <c r="O130" s="26"/>
      <c r="P130" s="26"/>
      <c r="Q130" s="26"/>
      <c r="R130" s="26">
        <f>IFERROR(__xludf.DUMMYFUNCTION("""COMPUTED_VALUE"""),5236439.0)</f>
        <v>5236439</v>
      </c>
      <c r="S130" s="26">
        <f>IFERROR(__xludf.DUMMYFUNCTION("""COMPUTED_VALUE"""),1312040.0)</f>
        <v>1312040</v>
      </c>
      <c r="T130" s="26">
        <f>IFERROR(__xludf.DUMMYFUNCTION("""COMPUTED_VALUE"""),0.0)</f>
        <v>0</v>
      </c>
      <c r="U130" s="26">
        <f>IFERROR(__xludf.DUMMYFUNCTION("""COMPUTED_VALUE"""),0.0)</f>
        <v>0</v>
      </c>
      <c r="V130" s="26">
        <f>IFERROR(__xludf.DUMMYFUNCTION("""COMPUTED_VALUE"""),798768.9499999995)</f>
        <v>798768.95</v>
      </c>
      <c r="W130" s="26">
        <f>IFERROR(__xludf.DUMMYFUNCTION("""COMPUTED_VALUE"""),2335140.579999985)</f>
        <v>2335140.58</v>
      </c>
      <c r="X130" s="26">
        <f>IFERROR(__xludf.DUMMYFUNCTION("""COMPUTED_VALUE"""),2335140.579999985)</f>
        <v>2335140.58</v>
      </c>
      <c r="Y130" s="26">
        <f>IFERROR(__xludf.DUMMYFUNCTION("""COMPUTED_VALUE"""),1764683.4000000046)</f>
        <v>1764683.4</v>
      </c>
      <c r="Z130" s="26">
        <f>IFERROR(__xludf.DUMMYFUNCTION("""COMPUTED_VALUE"""),2901298.420000011)</f>
        <v>2901298.42</v>
      </c>
      <c r="AA130" s="26">
        <f>IFERROR(__xludf.DUMMYFUNCTION("""COMPUTED_VALUE"""),224332.04000000135)</f>
        <v>224332.04</v>
      </c>
      <c r="AB130" s="26">
        <f>IFERROR(__xludf.DUMMYFUNCTION("""COMPUTED_VALUE"""),0.0)</f>
        <v>0</v>
      </c>
      <c r="AC130" s="26">
        <f>IFERROR(__xludf.DUMMYFUNCTION("""COMPUTED_VALUE"""),-311633.0)</f>
        <v>-311633</v>
      </c>
      <c r="AD130" s="26">
        <f>IFERROR(__xludf.DUMMYFUNCTION("""COMPUTED_VALUE"""),2138367.0)</f>
        <v>2138367</v>
      </c>
      <c r="AE130" s="26">
        <f>IFERROR(__xludf.DUMMYFUNCTION("""COMPUTED_VALUE"""),0.0)</f>
        <v>0</v>
      </c>
    </row>
    <row r="131">
      <c r="A131" s="26">
        <f>IFERROR(__xludf.DUMMYFUNCTION("""COMPUTED_VALUE"""),0.0)</f>
        <v>0</v>
      </c>
      <c r="B131" s="26">
        <f>IFERROR(__xludf.DUMMYFUNCTION("""COMPUTED_VALUE"""),0.0)</f>
        <v>0</v>
      </c>
      <c r="C131" s="26">
        <f>IFERROR(__xludf.DUMMYFUNCTION("""COMPUTED_VALUE"""),0.0)</f>
        <v>0</v>
      </c>
      <c r="D131" s="26">
        <f>IFERROR(__xludf.DUMMYFUNCTION("""COMPUTED_VALUE"""),0.0)</f>
        <v>0</v>
      </c>
      <c r="E131" s="26">
        <f>IFERROR(__xludf.DUMMYFUNCTION("""COMPUTED_VALUE"""),0.0)</f>
        <v>0</v>
      </c>
      <c r="F131" s="26">
        <f>IFERROR(__xludf.DUMMYFUNCTION("""COMPUTED_VALUE"""),0.0)</f>
        <v>0</v>
      </c>
      <c r="G131" s="26">
        <f>IFERROR(__xludf.DUMMYFUNCTION("""COMPUTED_VALUE"""),0.0)</f>
        <v>0</v>
      </c>
      <c r="H131" s="26">
        <f>IFERROR(__xludf.DUMMYFUNCTION("""COMPUTED_VALUE"""),0.0)</f>
        <v>0</v>
      </c>
      <c r="I131" s="26">
        <f>IFERROR(__xludf.DUMMYFUNCTION("""COMPUTED_VALUE"""),0.0)</f>
        <v>0</v>
      </c>
      <c r="J131" s="26">
        <f>IFERROR(__xludf.DUMMYFUNCTION("""COMPUTED_VALUE"""),0.0)</f>
        <v>0</v>
      </c>
      <c r="K131" s="26">
        <f>IFERROR(__xludf.DUMMYFUNCTION("""COMPUTED_VALUE"""),0.0)</f>
        <v>0</v>
      </c>
      <c r="L131" s="26"/>
      <c r="M131" s="26"/>
      <c r="N131" s="26"/>
      <c r="O131" s="26"/>
      <c r="P131" s="26"/>
      <c r="Q131" s="26"/>
      <c r="R131" s="26">
        <f>IFERROR(__xludf.DUMMYFUNCTION("""COMPUTED_VALUE"""),0.0)</f>
        <v>0</v>
      </c>
      <c r="S131" s="26">
        <f>IFERROR(__xludf.DUMMYFUNCTION("""COMPUTED_VALUE"""),0.0)</f>
        <v>0</v>
      </c>
      <c r="T131" s="26">
        <f>IFERROR(__xludf.DUMMYFUNCTION("""COMPUTED_VALUE"""),0.0)</f>
        <v>0</v>
      </c>
      <c r="U131" s="26">
        <f>IFERROR(__xludf.DUMMYFUNCTION("""COMPUTED_VALUE"""),0.0)</f>
        <v>0</v>
      </c>
      <c r="V131" s="26">
        <f>IFERROR(__xludf.DUMMYFUNCTION("""COMPUTED_VALUE"""),0.0)</f>
        <v>0</v>
      </c>
      <c r="W131" s="26">
        <f>IFERROR(__xludf.DUMMYFUNCTION("""COMPUTED_VALUE"""),0.0)</f>
        <v>0</v>
      </c>
      <c r="X131" s="26">
        <f>IFERROR(__xludf.DUMMYFUNCTION("""COMPUTED_VALUE"""),0.0)</f>
        <v>0</v>
      </c>
      <c r="Y131" s="26">
        <f>IFERROR(__xludf.DUMMYFUNCTION("""COMPUTED_VALUE"""),0.0)</f>
        <v>0</v>
      </c>
      <c r="Z131" s="26">
        <f>IFERROR(__xludf.DUMMYFUNCTION("""COMPUTED_VALUE"""),0.0)</f>
        <v>0</v>
      </c>
      <c r="AA131" s="26">
        <f>IFERROR(__xludf.DUMMYFUNCTION("""COMPUTED_VALUE"""),0.0)</f>
        <v>0</v>
      </c>
      <c r="AB131" s="26">
        <f>IFERROR(__xludf.DUMMYFUNCTION("""COMPUTED_VALUE"""),0.0)</f>
        <v>0</v>
      </c>
      <c r="AC131" s="26">
        <f>IFERROR(__xludf.DUMMYFUNCTION("""COMPUTED_VALUE"""),0.0)</f>
        <v>0</v>
      </c>
      <c r="AD131" s="26">
        <f>IFERROR(__xludf.DUMMYFUNCTION("""COMPUTED_VALUE"""),0.0)</f>
        <v>0</v>
      </c>
      <c r="AE131" s="26">
        <f>IFERROR(__xludf.DUMMYFUNCTION("""COMPUTED_VALUE"""),0.0)</f>
        <v>0</v>
      </c>
    </row>
    <row r="132">
      <c r="A132" s="26">
        <f>IFERROR(__xludf.DUMMYFUNCTION("""COMPUTED_VALUE"""),3.0)</f>
        <v>3</v>
      </c>
      <c r="B132" s="26">
        <f>IFERROR(__xludf.DUMMYFUNCTION("""COMPUTED_VALUE"""),0.0)</f>
        <v>0</v>
      </c>
      <c r="C132" s="26">
        <f>IFERROR(__xludf.DUMMYFUNCTION("""COMPUTED_VALUE"""),0.0)</f>
        <v>0</v>
      </c>
      <c r="D132" s="26">
        <f>IFERROR(__xludf.DUMMYFUNCTION("""COMPUTED_VALUE"""),0.0)</f>
        <v>0</v>
      </c>
      <c r="E132" s="26">
        <f>IFERROR(__xludf.DUMMYFUNCTION("""COMPUTED_VALUE"""),0.0)</f>
        <v>0</v>
      </c>
      <c r="F132" s="26">
        <f>IFERROR(__xludf.DUMMYFUNCTION("""COMPUTED_VALUE"""),0.0)</f>
        <v>0</v>
      </c>
      <c r="G132" s="26">
        <f>IFERROR(__xludf.DUMMYFUNCTION("""COMPUTED_VALUE"""),0.0)</f>
        <v>0</v>
      </c>
      <c r="H132" s="26">
        <f>IFERROR(__xludf.DUMMYFUNCTION("""COMPUTED_VALUE"""),0.0)</f>
        <v>0</v>
      </c>
      <c r="I132" s="26">
        <f>IFERROR(__xludf.DUMMYFUNCTION("""COMPUTED_VALUE"""),0.0)</f>
        <v>0</v>
      </c>
      <c r="J132" s="26">
        <f>IFERROR(__xludf.DUMMYFUNCTION("""COMPUTED_VALUE"""),0.0)</f>
        <v>0</v>
      </c>
      <c r="K132" s="26">
        <f>IFERROR(__xludf.DUMMYFUNCTION("""COMPUTED_VALUE"""),0.0)</f>
        <v>0</v>
      </c>
      <c r="L132" s="26"/>
      <c r="M132" s="26"/>
      <c r="N132" s="26"/>
      <c r="O132" s="26"/>
      <c r="P132" s="26"/>
      <c r="Q132" s="26"/>
      <c r="R132" s="26">
        <f>IFERROR(__xludf.DUMMYFUNCTION("""COMPUTED_VALUE"""),1170.0)</f>
        <v>1170</v>
      </c>
      <c r="S132" s="26">
        <f>IFERROR(__xludf.DUMMYFUNCTION("""COMPUTED_VALUE"""),615.0)</f>
        <v>615</v>
      </c>
      <c r="T132" s="26">
        <f>IFERROR(__xludf.DUMMYFUNCTION("""COMPUTED_VALUE"""),0.0)</f>
        <v>0</v>
      </c>
      <c r="U132" s="26">
        <f>IFERROR(__xludf.DUMMYFUNCTION("""COMPUTED_VALUE"""),0.0)</f>
        <v>0</v>
      </c>
      <c r="V132" s="26">
        <f>IFERROR(__xludf.DUMMYFUNCTION("""COMPUTED_VALUE"""),178.47)</f>
        <v>178.47</v>
      </c>
      <c r="W132" s="26">
        <f>IFERROR(__xludf.DUMMYFUNCTION("""COMPUTED_VALUE"""),824.85)</f>
        <v>824.85</v>
      </c>
      <c r="X132" s="26">
        <f>IFERROR(__xludf.DUMMYFUNCTION("""COMPUTED_VALUE"""),824.85)</f>
        <v>824.85</v>
      </c>
      <c r="Y132" s="26">
        <f>IFERROR(__xludf.DUMMYFUNCTION("""COMPUTED_VALUE"""),125.51)</f>
        <v>125.51</v>
      </c>
      <c r="Z132" s="26">
        <f>IFERROR(__xludf.DUMMYFUNCTION("""COMPUTED_VALUE"""),345.15)</f>
        <v>345.15</v>
      </c>
      <c r="AA132" s="26">
        <f>IFERROR(__xludf.DUMMYFUNCTION("""COMPUTED_VALUE"""),31.380000000000003)</f>
        <v>31.38</v>
      </c>
      <c r="AB132" s="26">
        <f>IFERROR(__xludf.DUMMYFUNCTION("""COMPUTED_VALUE"""),0.0)</f>
        <v>0</v>
      </c>
      <c r="AC132" s="26">
        <f>IFERROR(__xludf.DUMMYFUNCTION("""COMPUTED_VALUE"""),-2340.0)</f>
        <v>-2340</v>
      </c>
      <c r="AD132" s="26">
        <f>IFERROR(__xludf.DUMMYFUNCTION("""COMPUTED_VALUE"""),1554.0)</f>
        <v>1554</v>
      </c>
      <c r="AE132" s="26">
        <f>IFERROR(__xludf.DUMMYFUNCTION("""COMPUTED_VALUE"""),0.0)</f>
        <v>0</v>
      </c>
    </row>
    <row r="133">
      <c r="A133" s="26">
        <f>IFERROR(__xludf.DUMMYFUNCTION("""COMPUTED_VALUE"""),0.0)</f>
        <v>0</v>
      </c>
      <c r="B133" s="26">
        <f>IFERROR(__xludf.DUMMYFUNCTION("""COMPUTED_VALUE"""),0.0)</f>
        <v>0</v>
      </c>
      <c r="C133" s="26">
        <f>IFERROR(__xludf.DUMMYFUNCTION("""COMPUTED_VALUE"""),468.0)</f>
        <v>468</v>
      </c>
      <c r="D133" s="26">
        <f>IFERROR(__xludf.DUMMYFUNCTION("""COMPUTED_VALUE"""),0.0)</f>
        <v>0</v>
      </c>
      <c r="E133" s="26">
        <f>IFERROR(__xludf.DUMMYFUNCTION("""COMPUTED_VALUE"""),0.0)</f>
        <v>0</v>
      </c>
      <c r="F133" s="26">
        <f>IFERROR(__xludf.DUMMYFUNCTION("""COMPUTED_VALUE"""),0.0)</f>
        <v>0</v>
      </c>
      <c r="G133" s="26">
        <f>IFERROR(__xludf.DUMMYFUNCTION("""COMPUTED_VALUE"""),0.0)</f>
        <v>0</v>
      </c>
      <c r="H133" s="26">
        <f>IFERROR(__xludf.DUMMYFUNCTION("""COMPUTED_VALUE"""),0.0)</f>
        <v>0</v>
      </c>
      <c r="I133" s="26">
        <f>IFERROR(__xludf.DUMMYFUNCTION("""COMPUTED_VALUE"""),0.0)</f>
        <v>0</v>
      </c>
      <c r="J133" s="26">
        <f>IFERROR(__xludf.DUMMYFUNCTION("""COMPUTED_VALUE"""),0.0)</f>
        <v>0</v>
      </c>
      <c r="K133" s="26">
        <f>IFERROR(__xludf.DUMMYFUNCTION("""COMPUTED_VALUE"""),0.0)</f>
        <v>0</v>
      </c>
      <c r="L133" s="26"/>
      <c r="M133" s="26"/>
      <c r="N133" s="26"/>
      <c r="O133" s="26"/>
      <c r="P133" s="26"/>
      <c r="Q133" s="26"/>
      <c r="R133" s="26">
        <f>IFERROR(__xludf.DUMMYFUNCTION("""COMPUTED_VALUE"""),206856.0)</f>
        <v>206856</v>
      </c>
      <c r="S133" s="26">
        <f>IFERROR(__xludf.DUMMYFUNCTION("""COMPUTED_VALUE"""),95940.0)</f>
        <v>95940</v>
      </c>
      <c r="T133" s="26">
        <f>IFERROR(__xludf.DUMMYFUNCTION("""COMPUTED_VALUE"""),0.0)</f>
        <v>0</v>
      </c>
      <c r="U133" s="26">
        <f>IFERROR(__xludf.DUMMYFUNCTION("""COMPUTED_VALUE"""),0.0)</f>
        <v>0</v>
      </c>
      <c r="V133" s="26">
        <f>IFERROR(__xludf.DUMMYFUNCTION("""COMPUTED_VALUE"""),31552.56000000002)</f>
        <v>31552.56</v>
      </c>
      <c r="W133" s="26">
        <f>IFERROR(__xludf.DUMMYFUNCTION("""COMPUTED_VALUE"""),132317.68000000002)</f>
        <v>132317.68</v>
      </c>
      <c r="X133" s="26">
        <f>IFERROR(__xludf.DUMMYFUNCTION("""COMPUTED_VALUE"""),132317.68000000002)</f>
        <v>132317.68</v>
      </c>
      <c r="Y133" s="26">
        <f>IFERROR(__xludf.DUMMYFUNCTION("""COMPUTED_VALUE"""),62235.859999999986)</f>
        <v>62235.86</v>
      </c>
      <c r="Z133" s="26">
        <f>IFERROR(__xludf.DUMMYFUNCTION("""COMPUTED_VALUE"""),74538.3200000001)</f>
        <v>74538.32</v>
      </c>
      <c r="AA133" s="26">
        <f>IFERROR(__xludf.DUMMYFUNCTION("""COMPUTED_VALUE"""),4825.120000000004)</f>
        <v>4825.12</v>
      </c>
      <c r="AB133" s="26">
        <f>IFERROR(__xludf.DUMMYFUNCTION("""COMPUTED_VALUE"""),0.0)</f>
        <v>0</v>
      </c>
      <c r="AC133" s="26">
        <f>IFERROR(__xludf.DUMMYFUNCTION("""COMPUTED_VALUE"""),2430.0)</f>
        <v>2430</v>
      </c>
      <c r="AD133" s="26">
        <f>IFERROR(__xludf.DUMMYFUNCTION("""COMPUTED_VALUE"""),132430.0)</f>
        <v>132430</v>
      </c>
      <c r="AE133" s="26">
        <f>IFERROR(__xludf.DUMMYFUNCTION("""COMPUTED_VALUE"""),0.0)</f>
        <v>0</v>
      </c>
    </row>
    <row r="134">
      <c r="A134" s="26">
        <f>IFERROR(__xludf.DUMMYFUNCTION("""COMPUTED_VALUE"""),0.0)</f>
        <v>0</v>
      </c>
      <c r="B134" s="26">
        <f>IFERROR(__xludf.DUMMYFUNCTION("""COMPUTED_VALUE"""),0.0)</f>
        <v>0</v>
      </c>
      <c r="C134" s="26">
        <f>IFERROR(__xludf.DUMMYFUNCTION("""COMPUTED_VALUE"""),0.0)</f>
        <v>0</v>
      </c>
      <c r="D134" s="26">
        <f>IFERROR(__xludf.DUMMYFUNCTION("""COMPUTED_VALUE"""),0.0)</f>
        <v>0</v>
      </c>
      <c r="E134" s="26">
        <f>IFERROR(__xludf.DUMMYFUNCTION("""COMPUTED_VALUE"""),0.0)</f>
        <v>0</v>
      </c>
      <c r="F134" s="26">
        <f>IFERROR(__xludf.DUMMYFUNCTION("""COMPUTED_VALUE"""),0.0)</f>
        <v>0</v>
      </c>
      <c r="G134" s="26">
        <f>IFERROR(__xludf.DUMMYFUNCTION("""COMPUTED_VALUE"""),0.0)</f>
        <v>0</v>
      </c>
      <c r="H134" s="26">
        <f>IFERROR(__xludf.DUMMYFUNCTION("""COMPUTED_VALUE"""),0.0)</f>
        <v>0</v>
      </c>
      <c r="I134" s="26">
        <f>IFERROR(__xludf.DUMMYFUNCTION("""COMPUTED_VALUE"""),0.0)</f>
        <v>0</v>
      </c>
      <c r="J134" s="26">
        <f>IFERROR(__xludf.DUMMYFUNCTION("""COMPUTED_VALUE"""),0.0)</f>
        <v>0</v>
      </c>
      <c r="K134" s="26">
        <f>IFERROR(__xludf.DUMMYFUNCTION("""COMPUTED_VALUE"""),0.0)</f>
        <v>0</v>
      </c>
      <c r="L134" s="26"/>
      <c r="M134" s="26"/>
      <c r="N134" s="26"/>
      <c r="O134" s="26"/>
      <c r="P134" s="26"/>
      <c r="Q134" s="26"/>
      <c r="R134" s="26">
        <f>IFERROR(__xludf.DUMMYFUNCTION("""COMPUTED_VALUE"""),0.0)</f>
        <v>0</v>
      </c>
      <c r="S134" s="26">
        <f>IFERROR(__xludf.DUMMYFUNCTION("""COMPUTED_VALUE"""),0.0)</f>
        <v>0</v>
      </c>
      <c r="T134" s="26">
        <f>IFERROR(__xludf.DUMMYFUNCTION("""COMPUTED_VALUE"""),0.0)</f>
        <v>0</v>
      </c>
      <c r="U134" s="26">
        <f>IFERROR(__xludf.DUMMYFUNCTION("""COMPUTED_VALUE"""),0.0)</f>
        <v>0</v>
      </c>
      <c r="V134" s="26">
        <f>IFERROR(__xludf.DUMMYFUNCTION("""COMPUTED_VALUE"""),0.0)</f>
        <v>0</v>
      </c>
      <c r="W134" s="26">
        <f>IFERROR(__xludf.DUMMYFUNCTION("""COMPUTED_VALUE"""),0.0)</f>
        <v>0</v>
      </c>
      <c r="X134" s="26">
        <f>IFERROR(__xludf.DUMMYFUNCTION("""COMPUTED_VALUE"""),0.0)</f>
        <v>0</v>
      </c>
      <c r="Y134" s="26">
        <f>IFERROR(__xludf.DUMMYFUNCTION("""COMPUTED_VALUE"""),0.0)</f>
        <v>0</v>
      </c>
      <c r="Z134" s="26">
        <f>IFERROR(__xludf.DUMMYFUNCTION("""COMPUTED_VALUE"""),0.0)</f>
        <v>0</v>
      </c>
      <c r="AA134" s="26">
        <f>IFERROR(__xludf.DUMMYFUNCTION("""COMPUTED_VALUE"""),0.0)</f>
        <v>0</v>
      </c>
      <c r="AB134" s="26">
        <f>IFERROR(__xludf.DUMMYFUNCTION("""COMPUTED_VALUE"""),0.0)</f>
        <v>0</v>
      </c>
      <c r="AC134" s="26">
        <f>IFERROR(__xludf.DUMMYFUNCTION("""COMPUTED_VALUE"""),0.0)</f>
        <v>0</v>
      </c>
      <c r="AD134" s="26">
        <f>IFERROR(__xludf.DUMMYFUNCTION("""COMPUTED_VALUE"""),0.0)</f>
        <v>0</v>
      </c>
      <c r="AE134" s="26">
        <f>IFERROR(__xludf.DUMMYFUNCTION("""COMPUTED_VALUE"""),0.0)</f>
        <v>0</v>
      </c>
    </row>
    <row r="135">
      <c r="A135" s="26">
        <f>IFERROR(__xludf.DUMMYFUNCTION("""COMPUTED_VALUE"""),21.0)</f>
        <v>21</v>
      </c>
      <c r="B135" s="26">
        <f>IFERROR(__xludf.DUMMYFUNCTION("""COMPUTED_VALUE"""),0.0)</f>
        <v>0</v>
      </c>
      <c r="C135" s="26">
        <f>IFERROR(__xludf.DUMMYFUNCTION("""COMPUTED_VALUE"""),0.0)</f>
        <v>0</v>
      </c>
      <c r="D135" s="26">
        <f>IFERROR(__xludf.DUMMYFUNCTION("""COMPUTED_VALUE"""),0.0)</f>
        <v>0</v>
      </c>
      <c r="E135" s="26">
        <f>IFERROR(__xludf.DUMMYFUNCTION("""COMPUTED_VALUE"""),875.0)</f>
        <v>875</v>
      </c>
      <c r="F135" s="26">
        <f>IFERROR(__xludf.DUMMYFUNCTION("""COMPUTED_VALUE"""),0.0)</f>
        <v>0</v>
      </c>
      <c r="G135" s="26">
        <f>IFERROR(__xludf.DUMMYFUNCTION("""COMPUTED_VALUE"""),0.0)</f>
        <v>0</v>
      </c>
      <c r="H135" s="26">
        <f>IFERROR(__xludf.DUMMYFUNCTION("""COMPUTED_VALUE"""),0.0)</f>
        <v>0</v>
      </c>
      <c r="I135" s="26">
        <f>IFERROR(__xludf.DUMMYFUNCTION("""COMPUTED_VALUE"""),0.0)</f>
        <v>0</v>
      </c>
      <c r="J135" s="26">
        <f>IFERROR(__xludf.DUMMYFUNCTION("""COMPUTED_VALUE"""),0.0)</f>
        <v>0</v>
      </c>
      <c r="K135" s="26">
        <f>IFERROR(__xludf.DUMMYFUNCTION("""COMPUTED_VALUE"""),0.0)</f>
        <v>0</v>
      </c>
      <c r="L135" s="26"/>
      <c r="M135" s="26"/>
      <c r="N135" s="26"/>
      <c r="O135" s="26"/>
      <c r="P135" s="26"/>
      <c r="Q135" s="26"/>
      <c r="R135" s="26">
        <f>IFERROR(__xludf.DUMMYFUNCTION("""COMPUTED_VALUE"""),298671.899999999)</f>
        <v>298671.9</v>
      </c>
      <c r="S135" s="26">
        <f>IFERROR(__xludf.DUMMYFUNCTION("""COMPUTED_VALUE"""),253111.8)</f>
        <v>253111.8</v>
      </c>
      <c r="T135" s="26">
        <f>IFERROR(__xludf.DUMMYFUNCTION("""COMPUTED_VALUE"""),0.0)</f>
        <v>0</v>
      </c>
      <c r="U135" s="26">
        <f>IFERROR(__xludf.DUMMYFUNCTION("""COMPUTED_VALUE"""),0.0)</f>
        <v>0</v>
      </c>
      <c r="V135" s="26">
        <f>IFERROR(__xludf.DUMMYFUNCTION("""COMPUTED_VALUE"""),45560.09999999984)</f>
        <v>45560.1</v>
      </c>
      <c r="W135" s="26">
        <f>IFERROR(__xludf.DUMMYFUNCTION("""COMPUTED_VALUE"""),0.0)</f>
        <v>0</v>
      </c>
      <c r="X135" s="26">
        <f>IFERROR(__xludf.DUMMYFUNCTION("""COMPUTED_VALUE"""),0.0)</f>
        <v>0</v>
      </c>
      <c r="Y135" s="26">
        <f>IFERROR(__xludf.DUMMYFUNCTION("""COMPUTED_VALUE"""),0.0)</f>
        <v>0</v>
      </c>
      <c r="Z135" s="26">
        <f>IFERROR(__xludf.DUMMYFUNCTION("""COMPUTED_VALUE"""),0.0)</f>
        <v>0</v>
      </c>
      <c r="AA135" s="26">
        <f>IFERROR(__xludf.DUMMYFUNCTION("""COMPUTED_VALUE"""),0.0)</f>
        <v>0</v>
      </c>
      <c r="AB135" s="26">
        <f>IFERROR(__xludf.DUMMYFUNCTION("""COMPUTED_VALUE"""),0.0)</f>
        <v>0</v>
      </c>
      <c r="AC135" s="26">
        <f>IFERROR(__xludf.DUMMYFUNCTION("""COMPUTED_VALUE"""),0.0)</f>
        <v>0</v>
      </c>
      <c r="AD135" s="26">
        <f>IFERROR(__xludf.DUMMYFUNCTION("""COMPUTED_VALUE"""),0.0)</f>
        <v>0</v>
      </c>
      <c r="AE135" s="26">
        <f>IFERROR(__xludf.DUMMYFUNCTION("""COMPUTED_VALUE"""),0.0)</f>
        <v>0</v>
      </c>
    </row>
    <row r="136">
      <c r="A136" s="26">
        <f>IFERROR(__xludf.DUMMYFUNCTION("""COMPUTED_VALUE"""),0.0)</f>
        <v>0</v>
      </c>
      <c r="B136" s="26">
        <f>IFERROR(__xludf.DUMMYFUNCTION("""COMPUTED_VALUE"""),0.0)</f>
        <v>0</v>
      </c>
      <c r="C136" s="26">
        <f>IFERROR(__xludf.DUMMYFUNCTION("""COMPUTED_VALUE"""),0.0)</f>
        <v>0</v>
      </c>
      <c r="D136" s="26">
        <f>IFERROR(__xludf.DUMMYFUNCTION("""COMPUTED_VALUE"""),0.0)</f>
        <v>0</v>
      </c>
      <c r="E136" s="26">
        <f>IFERROR(__xludf.DUMMYFUNCTION("""COMPUTED_VALUE"""),0.0)</f>
        <v>0</v>
      </c>
      <c r="F136" s="26">
        <f>IFERROR(__xludf.DUMMYFUNCTION("""COMPUTED_VALUE"""),0.0)</f>
        <v>0</v>
      </c>
      <c r="G136" s="26">
        <f>IFERROR(__xludf.DUMMYFUNCTION("""COMPUTED_VALUE"""),0.0)</f>
        <v>0</v>
      </c>
      <c r="H136" s="26">
        <f>IFERROR(__xludf.DUMMYFUNCTION("""COMPUTED_VALUE"""),0.0)</f>
        <v>0</v>
      </c>
      <c r="I136" s="26">
        <f>IFERROR(__xludf.DUMMYFUNCTION("""COMPUTED_VALUE"""),0.0)</f>
        <v>0</v>
      </c>
      <c r="J136" s="26">
        <f>IFERROR(__xludf.DUMMYFUNCTION("""COMPUTED_VALUE"""),0.0)</f>
        <v>0</v>
      </c>
      <c r="K136" s="26">
        <f>IFERROR(__xludf.DUMMYFUNCTION("""COMPUTED_VALUE"""),0.0)</f>
        <v>0</v>
      </c>
      <c r="L136" s="26"/>
      <c r="M136" s="26"/>
      <c r="N136" s="26"/>
      <c r="O136" s="26"/>
      <c r="P136" s="26"/>
      <c r="Q136" s="26"/>
      <c r="R136" s="26">
        <f>IFERROR(__xludf.DUMMYFUNCTION("""COMPUTED_VALUE"""),0.0)</f>
        <v>0</v>
      </c>
      <c r="S136" s="26">
        <f>IFERROR(__xludf.DUMMYFUNCTION("""COMPUTED_VALUE"""),0.0)</f>
        <v>0</v>
      </c>
      <c r="T136" s="26">
        <f>IFERROR(__xludf.DUMMYFUNCTION("""COMPUTED_VALUE"""),0.0)</f>
        <v>0</v>
      </c>
      <c r="U136" s="26">
        <f>IFERROR(__xludf.DUMMYFUNCTION("""COMPUTED_VALUE"""),0.0)</f>
        <v>0</v>
      </c>
      <c r="V136" s="26">
        <f>IFERROR(__xludf.DUMMYFUNCTION("""COMPUTED_VALUE"""),0.0)</f>
        <v>0</v>
      </c>
      <c r="W136" s="26">
        <f>IFERROR(__xludf.DUMMYFUNCTION("""COMPUTED_VALUE"""),0.0)</f>
        <v>0</v>
      </c>
      <c r="X136" s="26">
        <f>IFERROR(__xludf.DUMMYFUNCTION("""COMPUTED_VALUE"""),0.0)</f>
        <v>0</v>
      </c>
      <c r="Y136" s="26">
        <f>IFERROR(__xludf.DUMMYFUNCTION("""COMPUTED_VALUE"""),0.0)</f>
        <v>0</v>
      </c>
      <c r="Z136" s="26">
        <f>IFERROR(__xludf.DUMMYFUNCTION("""COMPUTED_VALUE"""),0.0)</f>
        <v>0</v>
      </c>
      <c r="AA136" s="26">
        <f>IFERROR(__xludf.DUMMYFUNCTION("""COMPUTED_VALUE"""),0.0)</f>
        <v>0</v>
      </c>
      <c r="AB136" s="26">
        <f>IFERROR(__xludf.DUMMYFUNCTION("""COMPUTED_VALUE"""),0.0)</f>
        <v>0</v>
      </c>
      <c r="AC136" s="26">
        <f>IFERROR(__xludf.DUMMYFUNCTION("""COMPUTED_VALUE"""),0.0)</f>
        <v>0</v>
      </c>
      <c r="AD136" s="26">
        <f>IFERROR(__xludf.DUMMYFUNCTION("""COMPUTED_VALUE"""),0.0)</f>
        <v>0</v>
      </c>
      <c r="AE136" s="26">
        <f>IFERROR(__xludf.DUMMYFUNCTION("""COMPUTED_VALUE"""),0.0)</f>
        <v>0</v>
      </c>
    </row>
    <row r="137">
      <c r="A137" s="26">
        <f>IFERROR(__xludf.DUMMYFUNCTION("""COMPUTED_VALUE"""),9.0)</f>
        <v>9</v>
      </c>
      <c r="B137" s="26">
        <f>IFERROR(__xludf.DUMMYFUNCTION("""COMPUTED_VALUE"""),0.0)</f>
        <v>0</v>
      </c>
      <c r="C137" s="26">
        <f>IFERROR(__xludf.DUMMYFUNCTION("""COMPUTED_VALUE"""),0.0)</f>
        <v>0</v>
      </c>
      <c r="D137" s="26">
        <f>IFERROR(__xludf.DUMMYFUNCTION("""COMPUTED_VALUE"""),0.0)</f>
        <v>0</v>
      </c>
      <c r="E137" s="26">
        <f>IFERROR(__xludf.DUMMYFUNCTION("""COMPUTED_VALUE"""),265.0)</f>
        <v>265</v>
      </c>
      <c r="F137" s="26">
        <f>IFERROR(__xludf.DUMMYFUNCTION("""COMPUTED_VALUE"""),0.0)</f>
        <v>0</v>
      </c>
      <c r="G137" s="26">
        <f>IFERROR(__xludf.DUMMYFUNCTION("""COMPUTED_VALUE"""),0.0)</f>
        <v>0</v>
      </c>
      <c r="H137" s="26">
        <f>IFERROR(__xludf.DUMMYFUNCTION("""COMPUTED_VALUE"""),0.0)</f>
        <v>0</v>
      </c>
      <c r="I137" s="26">
        <f>IFERROR(__xludf.DUMMYFUNCTION("""COMPUTED_VALUE"""),0.0)</f>
        <v>0</v>
      </c>
      <c r="J137" s="26">
        <f>IFERROR(__xludf.DUMMYFUNCTION("""COMPUTED_VALUE"""),0.0)</f>
        <v>0</v>
      </c>
      <c r="K137" s="26">
        <f>IFERROR(__xludf.DUMMYFUNCTION("""COMPUTED_VALUE"""),0.0)</f>
        <v>0</v>
      </c>
      <c r="L137" s="26"/>
      <c r="M137" s="26"/>
      <c r="N137" s="26"/>
      <c r="O137" s="26"/>
      <c r="P137" s="26"/>
      <c r="Q137" s="26"/>
      <c r="R137" s="26">
        <f>IFERROR(__xludf.DUMMYFUNCTION("""COMPUTED_VALUE"""),63326.43999999999)</f>
        <v>63326.44</v>
      </c>
      <c r="S137" s="26">
        <f>IFERROR(__xludf.DUMMYFUNCTION("""COMPUTED_VALUE"""),53666.479999999996)</f>
        <v>53666.48</v>
      </c>
      <c r="T137" s="26">
        <f>IFERROR(__xludf.DUMMYFUNCTION("""COMPUTED_VALUE"""),0.0)</f>
        <v>0</v>
      </c>
      <c r="U137" s="26">
        <f>IFERROR(__xludf.DUMMYFUNCTION("""COMPUTED_VALUE"""),0.0)</f>
        <v>0</v>
      </c>
      <c r="V137" s="26">
        <f>IFERROR(__xludf.DUMMYFUNCTION("""COMPUTED_VALUE"""),9659.960000000003)</f>
        <v>9659.96</v>
      </c>
      <c r="W137" s="26">
        <f>IFERROR(__xludf.DUMMYFUNCTION("""COMPUTED_VALUE"""),0.0)</f>
        <v>0</v>
      </c>
      <c r="X137" s="26">
        <f>IFERROR(__xludf.DUMMYFUNCTION("""COMPUTED_VALUE"""),0.0)</f>
        <v>0</v>
      </c>
      <c r="Y137" s="26">
        <f>IFERROR(__xludf.DUMMYFUNCTION("""COMPUTED_VALUE"""),0.0)</f>
        <v>0</v>
      </c>
      <c r="Z137" s="26">
        <f>IFERROR(__xludf.DUMMYFUNCTION("""COMPUTED_VALUE"""),0.0)</f>
        <v>0</v>
      </c>
      <c r="AA137" s="26">
        <f>IFERROR(__xludf.DUMMYFUNCTION("""COMPUTED_VALUE"""),0.0)</f>
        <v>0</v>
      </c>
      <c r="AB137" s="26">
        <f>IFERROR(__xludf.DUMMYFUNCTION("""COMPUTED_VALUE"""),0.0)</f>
        <v>0</v>
      </c>
      <c r="AC137" s="26">
        <f>IFERROR(__xludf.DUMMYFUNCTION("""COMPUTED_VALUE"""),0.0)</f>
        <v>0</v>
      </c>
      <c r="AD137" s="26">
        <f>IFERROR(__xludf.DUMMYFUNCTION("""COMPUTED_VALUE"""),0.0)</f>
        <v>0</v>
      </c>
      <c r="AE137" s="26">
        <f>IFERROR(__xludf.DUMMYFUNCTION("""COMPUTED_VALUE"""),0.0)</f>
        <v>0</v>
      </c>
    </row>
    <row r="138">
      <c r="A138" s="26">
        <f>IFERROR(__xludf.DUMMYFUNCTION("""COMPUTED_VALUE"""),0.0)</f>
        <v>0</v>
      </c>
      <c r="B138" s="26">
        <f>IFERROR(__xludf.DUMMYFUNCTION("""COMPUTED_VALUE"""),0.0)</f>
        <v>0</v>
      </c>
      <c r="C138" s="26">
        <f>IFERROR(__xludf.DUMMYFUNCTION("""COMPUTED_VALUE"""),0.0)</f>
        <v>0</v>
      </c>
      <c r="D138" s="26">
        <f>IFERROR(__xludf.DUMMYFUNCTION("""COMPUTED_VALUE"""),0.0)</f>
        <v>0</v>
      </c>
      <c r="E138" s="26">
        <f>IFERROR(__xludf.DUMMYFUNCTION("""COMPUTED_VALUE"""),0.0)</f>
        <v>0</v>
      </c>
      <c r="F138" s="26">
        <f>IFERROR(__xludf.DUMMYFUNCTION("""COMPUTED_VALUE"""),0.0)</f>
        <v>0</v>
      </c>
      <c r="G138" s="26">
        <f>IFERROR(__xludf.DUMMYFUNCTION("""COMPUTED_VALUE"""),0.0)</f>
        <v>0</v>
      </c>
      <c r="H138" s="26">
        <f>IFERROR(__xludf.DUMMYFUNCTION("""COMPUTED_VALUE"""),0.0)</f>
        <v>0</v>
      </c>
      <c r="I138" s="26">
        <f>IFERROR(__xludf.DUMMYFUNCTION("""COMPUTED_VALUE"""),0.0)</f>
        <v>0</v>
      </c>
      <c r="J138" s="26">
        <f>IFERROR(__xludf.DUMMYFUNCTION("""COMPUTED_VALUE"""),0.0)</f>
        <v>0</v>
      </c>
      <c r="K138" s="26">
        <f>IFERROR(__xludf.DUMMYFUNCTION("""COMPUTED_VALUE"""),0.0)</f>
        <v>0</v>
      </c>
      <c r="L138" s="26"/>
      <c r="M138" s="26"/>
      <c r="N138" s="26"/>
      <c r="O138" s="26"/>
      <c r="P138" s="26"/>
      <c r="Q138" s="26"/>
      <c r="R138" s="26">
        <f>IFERROR(__xludf.DUMMYFUNCTION("""COMPUTED_VALUE"""),0.0)</f>
        <v>0</v>
      </c>
      <c r="S138" s="26">
        <f>IFERROR(__xludf.DUMMYFUNCTION("""COMPUTED_VALUE"""),0.0)</f>
        <v>0</v>
      </c>
      <c r="T138" s="26">
        <f>IFERROR(__xludf.DUMMYFUNCTION("""COMPUTED_VALUE"""),0.0)</f>
        <v>0</v>
      </c>
      <c r="U138" s="26">
        <f>IFERROR(__xludf.DUMMYFUNCTION("""COMPUTED_VALUE"""),0.0)</f>
        <v>0</v>
      </c>
      <c r="V138" s="26">
        <f>IFERROR(__xludf.DUMMYFUNCTION("""COMPUTED_VALUE"""),0.0)</f>
        <v>0</v>
      </c>
      <c r="W138" s="26">
        <f>IFERROR(__xludf.DUMMYFUNCTION("""COMPUTED_VALUE"""),0.0)</f>
        <v>0</v>
      </c>
      <c r="X138" s="26">
        <f>IFERROR(__xludf.DUMMYFUNCTION("""COMPUTED_VALUE"""),0.0)</f>
        <v>0</v>
      </c>
      <c r="Y138" s="26">
        <f>IFERROR(__xludf.DUMMYFUNCTION("""COMPUTED_VALUE"""),0.0)</f>
        <v>0</v>
      </c>
      <c r="Z138" s="26">
        <f>IFERROR(__xludf.DUMMYFUNCTION("""COMPUTED_VALUE"""),0.0)</f>
        <v>0</v>
      </c>
      <c r="AA138" s="26">
        <f>IFERROR(__xludf.DUMMYFUNCTION("""COMPUTED_VALUE"""),0.0)</f>
        <v>0</v>
      </c>
      <c r="AB138" s="26">
        <f>IFERROR(__xludf.DUMMYFUNCTION("""COMPUTED_VALUE"""),0.0)</f>
        <v>0</v>
      </c>
      <c r="AC138" s="26">
        <f>IFERROR(__xludf.DUMMYFUNCTION("""COMPUTED_VALUE"""),0.0)</f>
        <v>0</v>
      </c>
      <c r="AD138" s="26">
        <f>IFERROR(__xludf.DUMMYFUNCTION("""COMPUTED_VALUE"""),0.0)</f>
        <v>0</v>
      </c>
      <c r="AE138" s="26">
        <f>IFERROR(__xludf.DUMMYFUNCTION("""COMPUTED_VALUE"""),0.0)</f>
        <v>0</v>
      </c>
    </row>
    <row r="139">
      <c r="A139" s="26">
        <f>IFERROR(__xludf.DUMMYFUNCTION("""COMPUTED_VALUE"""),64.0)</f>
        <v>64</v>
      </c>
      <c r="B139" s="26">
        <f>IFERROR(__xludf.DUMMYFUNCTION("""COMPUTED_VALUE"""),0.0)</f>
        <v>0</v>
      </c>
      <c r="C139" s="26">
        <f>IFERROR(__xludf.DUMMYFUNCTION("""COMPUTED_VALUE"""),0.0)</f>
        <v>0</v>
      </c>
      <c r="D139" s="26">
        <f>IFERROR(__xludf.DUMMYFUNCTION("""COMPUTED_VALUE"""),0.0)</f>
        <v>0</v>
      </c>
      <c r="E139" s="26">
        <f>IFERROR(__xludf.DUMMYFUNCTION("""COMPUTED_VALUE"""),1555.0)</f>
        <v>1555</v>
      </c>
      <c r="F139" s="26">
        <f>IFERROR(__xludf.DUMMYFUNCTION("""COMPUTED_VALUE"""),0.0)</f>
        <v>0</v>
      </c>
      <c r="G139" s="26">
        <f>IFERROR(__xludf.DUMMYFUNCTION("""COMPUTED_VALUE"""),0.0)</f>
        <v>0</v>
      </c>
      <c r="H139" s="26">
        <f>IFERROR(__xludf.DUMMYFUNCTION("""COMPUTED_VALUE"""),0.0)</f>
        <v>0</v>
      </c>
      <c r="I139" s="26">
        <f>IFERROR(__xludf.DUMMYFUNCTION("""COMPUTED_VALUE"""),0.0)</f>
        <v>0</v>
      </c>
      <c r="J139" s="26">
        <f>IFERROR(__xludf.DUMMYFUNCTION("""COMPUTED_VALUE"""),0.0)</f>
        <v>0</v>
      </c>
      <c r="K139" s="26">
        <f>IFERROR(__xludf.DUMMYFUNCTION("""COMPUTED_VALUE"""),0.0)</f>
        <v>0</v>
      </c>
      <c r="L139" s="26"/>
      <c r="M139" s="26"/>
      <c r="N139" s="26"/>
      <c r="O139" s="26"/>
      <c r="P139" s="26"/>
      <c r="Q139" s="26"/>
      <c r="R139" s="26">
        <f>IFERROR(__xludf.DUMMYFUNCTION("""COMPUTED_VALUE"""),487537.1599999979)</f>
        <v>487537.16</v>
      </c>
      <c r="S139" s="26">
        <f>IFERROR(__xludf.DUMMYFUNCTION("""COMPUTED_VALUE"""),413167.1199999999)</f>
        <v>413167.12</v>
      </c>
      <c r="T139" s="26">
        <f>IFERROR(__xludf.DUMMYFUNCTION("""COMPUTED_VALUE"""),0.0)</f>
        <v>0</v>
      </c>
      <c r="U139" s="26">
        <f>IFERROR(__xludf.DUMMYFUNCTION("""COMPUTED_VALUE"""),0.0)</f>
        <v>0</v>
      </c>
      <c r="V139" s="26">
        <f>IFERROR(__xludf.DUMMYFUNCTION("""COMPUTED_VALUE"""),74370.04000000011)</f>
        <v>74370.04</v>
      </c>
      <c r="W139" s="26">
        <f>IFERROR(__xludf.DUMMYFUNCTION("""COMPUTED_VALUE"""),0.0)</f>
        <v>0</v>
      </c>
      <c r="X139" s="26">
        <f>IFERROR(__xludf.DUMMYFUNCTION("""COMPUTED_VALUE"""),0.0)</f>
        <v>0</v>
      </c>
      <c r="Y139" s="26">
        <f>IFERROR(__xludf.DUMMYFUNCTION("""COMPUTED_VALUE"""),0.0)</f>
        <v>0</v>
      </c>
      <c r="Z139" s="26">
        <f>IFERROR(__xludf.DUMMYFUNCTION("""COMPUTED_VALUE"""),0.0)</f>
        <v>0</v>
      </c>
      <c r="AA139" s="26">
        <f>IFERROR(__xludf.DUMMYFUNCTION("""COMPUTED_VALUE"""),0.0)</f>
        <v>0</v>
      </c>
      <c r="AB139" s="26">
        <f>IFERROR(__xludf.DUMMYFUNCTION("""COMPUTED_VALUE"""),0.0)</f>
        <v>0</v>
      </c>
      <c r="AC139" s="26">
        <f>IFERROR(__xludf.DUMMYFUNCTION("""COMPUTED_VALUE"""),0.0)</f>
        <v>0</v>
      </c>
      <c r="AD139" s="26">
        <f>IFERROR(__xludf.DUMMYFUNCTION("""COMPUTED_VALUE"""),0.0)</f>
        <v>0</v>
      </c>
      <c r="AE139" s="26">
        <f>IFERROR(__xludf.DUMMYFUNCTION("""COMPUTED_VALUE"""),0.0)</f>
        <v>0</v>
      </c>
    </row>
    <row r="140">
      <c r="A140" s="26">
        <f>IFERROR(__xludf.DUMMYFUNCTION("""COMPUTED_VALUE"""),63.0)</f>
        <v>63</v>
      </c>
      <c r="B140" s="26">
        <f>IFERROR(__xludf.DUMMYFUNCTION("""COMPUTED_VALUE"""),0.0)</f>
        <v>0</v>
      </c>
      <c r="C140" s="26">
        <f>IFERROR(__xludf.DUMMYFUNCTION("""COMPUTED_VALUE"""),2.0)</f>
        <v>2</v>
      </c>
      <c r="D140" s="26">
        <f>IFERROR(__xludf.DUMMYFUNCTION("""COMPUTED_VALUE"""),0.0)</f>
        <v>0</v>
      </c>
      <c r="E140" s="26">
        <f>IFERROR(__xludf.DUMMYFUNCTION("""COMPUTED_VALUE"""),560.0)</f>
        <v>560</v>
      </c>
      <c r="F140" s="26">
        <f>IFERROR(__xludf.DUMMYFUNCTION("""COMPUTED_VALUE"""),0.0)</f>
        <v>0</v>
      </c>
      <c r="G140" s="26">
        <f>IFERROR(__xludf.DUMMYFUNCTION("""COMPUTED_VALUE"""),0.0)</f>
        <v>0</v>
      </c>
      <c r="H140" s="26">
        <f>IFERROR(__xludf.DUMMYFUNCTION("""COMPUTED_VALUE"""),0.0)</f>
        <v>0</v>
      </c>
      <c r="I140" s="26">
        <f>IFERROR(__xludf.DUMMYFUNCTION("""COMPUTED_VALUE"""),0.0)</f>
        <v>0</v>
      </c>
      <c r="J140" s="26">
        <f>IFERROR(__xludf.DUMMYFUNCTION("""COMPUTED_VALUE"""),0.0)</f>
        <v>0</v>
      </c>
      <c r="K140" s="26">
        <f>IFERROR(__xludf.DUMMYFUNCTION("""COMPUTED_VALUE"""),0.0)</f>
        <v>0</v>
      </c>
      <c r="L140" s="26"/>
      <c r="M140" s="26"/>
      <c r="N140" s="26"/>
      <c r="O140" s="26"/>
      <c r="P140" s="26"/>
      <c r="Q140" s="26"/>
      <c r="R140" s="26">
        <f>IFERROR(__xludf.DUMMYFUNCTION("""COMPUTED_VALUE"""),184018.58000000037)</f>
        <v>184018.58</v>
      </c>
      <c r="S140" s="26">
        <f>IFERROR(__xludf.DUMMYFUNCTION("""COMPUTED_VALUE"""),155947.96000000002)</f>
        <v>155947.96</v>
      </c>
      <c r="T140" s="26">
        <f>IFERROR(__xludf.DUMMYFUNCTION("""COMPUTED_VALUE"""),0.0)</f>
        <v>0</v>
      </c>
      <c r="U140" s="26">
        <f>IFERROR(__xludf.DUMMYFUNCTION("""COMPUTED_VALUE"""),0.0)</f>
        <v>0</v>
      </c>
      <c r="V140" s="26">
        <f>IFERROR(__xludf.DUMMYFUNCTION("""COMPUTED_VALUE"""),28070.61999999995)</f>
        <v>28070.62</v>
      </c>
      <c r="W140" s="26">
        <f>IFERROR(__xludf.DUMMYFUNCTION("""COMPUTED_VALUE"""),0.0)</f>
        <v>0</v>
      </c>
      <c r="X140" s="26">
        <f>IFERROR(__xludf.DUMMYFUNCTION("""COMPUTED_VALUE"""),0.0)</f>
        <v>0</v>
      </c>
      <c r="Y140" s="26">
        <f>IFERROR(__xludf.DUMMYFUNCTION("""COMPUTED_VALUE"""),0.0)</f>
        <v>0</v>
      </c>
      <c r="Z140" s="26">
        <f>IFERROR(__xludf.DUMMYFUNCTION("""COMPUTED_VALUE"""),0.0)</f>
        <v>0</v>
      </c>
      <c r="AA140" s="26">
        <f>IFERROR(__xludf.DUMMYFUNCTION("""COMPUTED_VALUE"""),0.0)</f>
        <v>0</v>
      </c>
      <c r="AB140" s="26">
        <f>IFERROR(__xludf.DUMMYFUNCTION("""COMPUTED_VALUE"""),0.0)</f>
        <v>0</v>
      </c>
      <c r="AC140" s="26">
        <f>IFERROR(__xludf.DUMMYFUNCTION("""COMPUTED_VALUE"""),0.0)</f>
        <v>0</v>
      </c>
      <c r="AD140" s="26">
        <f>IFERROR(__xludf.DUMMYFUNCTION("""COMPUTED_VALUE"""),0.0)</f>
        <v>0</v>
      </c>
      <c r="AE140" s="26">
        <f>IFERROR(__xludf.DUMMYFUNCTION("""COMPUTED_VALUE"""),0.0)</f>
        <v>0</v>
      </c>
    </row>
    <row r="141">
      <c r="A141" s="26">
        <f>IFERROR(__xludf.DUMMYFUNCTION("""COMPUTED_VALUE"""),57.0)</f>
        <v>57</v>
      </c>
      <c r="B141" s="26">
        <f>IFERROR(__xludf.DUMMYFUNCTION("""COMPUTED_VALUE"""),0.0)</f>
        <v>0</v>
      </c>
      <c r="C141" s="26">
        <f>IFERROR(__xludf.DUMMYFUNCTION("""COMPUTED_VALUE"""),0.0)</f>
        <v>0</v>
      </c>
      <c r="D141" s="26">
        <f>IFERROR(__xludf.DUMMYFUNCTION("""COMPUTED_VALUE"""),0.0)</f>
        <v>0</v>
      </c>
      <c r="E141" s="26">
        <f>IFERROR(__xludf.DUMMYFUNCTION("""COMPUTED_VALUE"""),0.0)</f>
        <v>0</v>
      </c>
      <c r="F141" s="26">
        <f>IFERROR(__xludf.DUMMYFUNCTION("""COMPUTED_VALUE"""),0.0)</f>
        <v>0</v>
      </c>
      <c r="G141" s="26">
        <f>IFERROR(__xludf.DUMMYFUNCTION("""COMPUTED_VALUE"""),0.0)</f>
        <v>0</v>
      </c>
      <c r="H141" s="26">
        <f>IFERROR(__xludf.DUMMYFUNCTION("""COMPUTED_VALUE"""),0.0)</f>
        <v>0</v>
      </c>
      <c r="I141" s="26">
        <f>IFERROR(__xludf.DUMMYFUNCTION("""COMPUTED_VALUE"""),0.0)</f>
        <v>0</v>
      </c>
      <c r="J141" s="26">
        <f>IFERROR(__xludf.DUMMYFUNCTION("""COMPUTED_VALUE"""),0.0)</f>
        <v>0</v>
      </c>
      <c r="K141" s="26">
        <f>IFERROR(__xludf.DUMMYFUNCTION("""COMPUTED_VALUE"""),0.0)</f>
        <v>0</v>
      </c>
      <c r="L141" s="26"/>
      <c r="M141" s="26"/>
      <c r="N141" s="26"/>
      <c r="O141" s="26"/>
      <c r="P141" s="26"/>
      <c r="Q141" s="26"/>
      <c r="R141" s="26">
        <f>IFERROR(__xludf.DUMMYFUNCTION("""COMPUTED_VALUE"""),25570.0)</f>
        <v>25570</v>
      </c>
      <c r="S141" s="26">
        <f>IFERROR(__xludf.DUMMYFUNCTION("""COMPUTED_VALUE"""),11685.0)</f>
        <v>11685</v>
      </c>
      <c r="T141" s="26">
        <f>IFERROR(__xludf.DUMMYFUNCTION("""COMPUTED_VALUE"""),0.0)</f>
        <v>0</v>
      </c>
      <c r="U141" s="26">
        <f>IFERROR(__xludf.DUMMYFUNCTION("""COMPUTED_VALUE"""),0.0)</f>
        <v>0</v>
      </c>
      <c r="V141" s="26">
        <f>IFERROR(__xludf.DUMMYFUNCTION("""COMPUTED_VALUE"""),3900.380000000002)</f>
        <v>3900.38</v>
      </c>
      <c r="W141" s="26">
        <f>IFERROR(__xludf.DUMMYFUNCTION("""COMPUTED_VALUE"""),25570.0)</f>
        <v>25570</v>
      </c>
      <c r="X141" s="26">
        <f>IFERROR(__xludf.DUMMYFUNCTION("""COMPUTED_VALUE"""),15784.949999999993)</f>
        <v>15784.95</v>
      </c>
      <c r="Y141" s="26">
        <f>IFERROR(__xludf.DUMMYFUNCTION("""COMPUTED_VALUE"""),9785.05)</f>
        <v>9785.05</v>
      </c>
      <c r="Z141" s="26">
        <f>IFERROR(__xludf.DUMMYFUNCTION("""COMPUTED_VALUE"""),0.0)</f>
        <v>0</v>
      </c>
      <c r="AA141" s="26">
        <f>IFERROR(__xludf.DUMMYFUNCTION("""COMPUTED_VALUE"""),199.66999999999976)</f>
        <v>199.67</v>
      </c>
      <c r="AB141" s="26">
        <f>IFERROR(__xludf.DUMMYFUNCTION("""COMPUTED_VALUE"""),9785.05)</f>
        <v>9785.05</v>
      </c>
      <c r="AC141" s="26">
        <f>IFERROR(__xludf.DUMMYFUNCTION("""COMPUTED_VALUE"""),-38714.0)</f>
        <v>-38714</v>
      </c>
      <c r="AD141" s="26">
        <f>IFERROR(__xludf.DUMMYFUNCTION("""COMPUTED_VALUE"""),-3776.0)</f>
        <v>-3776</v>
      </c>
      <c r="AE141" s="26">
        <f>IFERROR(__xludf.DUMMYFUNCTION("""COMPUTED_VALUE"""),0.0)</f>
        <v>0</v>
      </c>
    </row>
    <row r="142">
      <c r="A142" s="26">
        <f>IFERROR(__xludf.DUMMYFUNCTION("""COMPUTED_VALUE"""),2.0)</f>
        <v>2</v>
      </c>
      <c r="B142" s="26">
        <f>IFERROR(__xludf.DUMMYFUNCTION("""COMPUTED_VALUE"""),0.0)</f>
        <v>0</v>
      </c>
      <c r="C142" s="26">
        <f>IFERROR(__xludf.DUMMYFUNCTION("""COMPUTED_VALUE"""),179.0)</f>
        <v>179</v>
      </c>
      <c r="D142" s="26">
        <f>IFERROR(__xludf.DUMMYFUNCTION("""COMPUTED_VALUE"""),0.0)</f>
        <v>0</v>
      </c>
      <c r="E142" s="26">
        <f>IFERROR(__xludf.DUMMYFUNCTION("""COMPUTED_VALUE"""),0.0)</f>
        <v>0</v>
      </c>
      <c r="F142" s="26">
        <f>IFERROR(__xludf.DUMMYFUNCTION("""COMPUTED_VALUE"""),0.0)</f>
        <v>0</v>
      </c>
      <c r="G142" s="26">
        <f>IFERROR(__xludf.DUMMYFUNCTION("""COMPUTED_VALUE"""),0.0)</f>
        <v>0</v>
      </c>
      <c r="H142" s="26">
        <f>IFERROR(__xludf.DUMMYFUNCTION("""COMPUTED_VALUE"""),0.0)</f>
        <v>0</v>
      </c>
      <c r="I142" s="26">
        <f>IFERROR(__xludf.DUMMYFUNCTION("""COMPUTED_VALUE"""),0.0)</f>
        <v>0</v>
      </c>
      <c r="J142" s="26">
        <f>IFERROR(__xludf.DUMMYFUNCTION("""COMPUTED_VALUE"""),0.0)</f>
        <v>0</v>
      </c>
      <c r="K142" s="26">
        <f>IFERROR(__xludf.DUMMYFUNCTION("""COMPUTED_VALUE"""),0.0)</f>
        <v>0</v>
      </c>
      <c r="L142" s="26"/>
      <c r="M142" s="26"/>
      <c r="N142" s="26"/>
      <c r="O142" s="26"/>
      <c r="P142" s="26"/>
      <c r="Q142" s="26"/>
      <c r="R142" s="26">
        <f>IFERROR(__xludf.DUMMYFUNCTION("""COMPUTED_VALUE"""),80002.0)</f>
        <v>80002</v>
      </c>
      <c r="S142" s="26">
        <f>IFERROR(__xludf.DUMMYFUNCTION("""COMPUTED_VALUE"""),37105.0)</f>
        <v>37105</v>
      </c>
      <c r="T142" s="26">
        <f>IFERROR(__xludf.DUMMYFUNCTION("""COMPUTED_VALUE"""),0.0)</f>
        <v>0</v>
      </c>
      <c r="U142" s="26">
        <f>IFERROR(__xludf.DUMMYFUNCTION("""COMPUTED_VALUE"""),0.0)</f>
        <v>0</v>
      </c>
      <c r="V142" s="26">
        <f>IFERROR(__xludf.DUMMYFUNCTION("""COMPUTED_VALUE"""),12203.02000000001)</f>
        <v>12203.02</v>
      </c>
      <c r="W142" s="26">
        <f>IFERROR(__xludf.DUMMYFUNCTION("""COMPUTED_VALUE"""),75538.31999999999)</f>
        <v>75538.32</v>
      </c>
      <c r="X142" s="26">
        <f>IFERROR(__xludf.DUMMYFUNCTION("""COMPUTED_VALUE"""),54288.139999999956)</f>
        <v>54288.14</v>
      </c>
      <c r="Y142" s="26">
        <f>IFERROR(__xludf.DUMMYFUNCTION("""COMPUTED_VALUE"""),21563.94000000001)</f>
        <v>21563.94</v>
      </c>
      <c r="Z142" s="26">
        <f>IFERROR(__xludf.DUMMYFUNCTION("""COMPUTED_VALUE"""),9767.680000000004)</f>
        <v>9767.68</v>
      </c>
      <c r="AA142" s="26">
        <f>IFERROR(__xludf.DUMMYFUNCTION("""COMPUTED_VALUE"""),1711.0800000000102)</f>
        <v>1711.08</v>
      </c>
      <c r="AB142" s="26">
        <f>IFERROR(__xludf.DUMMYFUNCTION("""COMPUTED_VALUE"""),21250.180000000015)</f>
        <v>21250.18</v>
      </c>
      <c r="AC142" s="26">
        <f>IFERROR(__xludf.DUMMYFUNCTION("""COMPUTED_VALUE"""),-26962.0)</f>
        <v>-26962</v>
      </c>
      <c r="AD142" s="26">
        <f>IFERROR(__xludf.DUMMYFUNCTION("""COMPUTED_VALUE"""),84864.0)</f>
        <v>84864</v>
      </c>
      <c r="AE142" s="26">
        <f>IFERROR(__xludf.DUMMYFUNCTION("""COMPUTED_VALUE"""),-9326.0)</f>
        <v>-9326</v>
      </c>
    </row>
    <row r="143">
      <c r="A143" s="26">
        <f>IFERROR(__xludf.DUMMYFUNCTION("""COMPUTED_VALUE"""),0.0)</f>
        <v>0</v>
      </c>
      <c r="B143" s="26">
        <f>IFERROR(__xludf.DUMMYFUNCTION("""COMPUTED_VALUE"""),0.0)</f>
        <v>0</v>
      </c>
      <c r="C143" s="26">
        <f>IFERROR(__xludf.DUMMYFUNCTION("""COMPUTED_VALUE"""),0.0)</f>
        <v>0</v>
      </c>
      <c r="D143" s="26">
        <f>IFERROR(__xludf.DUMMYFUNCTION("""COMPUTED_VALUE"""),0.0)</f>
        <v>0</v>
      </c>
      <c r="E143" s="26">
        <f>IFERROR(__xludf.DUMMYFUNCTION("""COMPUTED_VALUE"""),0.0)</f>
        <v>0</v>
      </c>
      <c r="F143" s="26">
        <f>IFERROR(__xludf.DUMMYFUNCTION("""COMPUTED_VALUE"""),0.0)</f>
        <v>0</v>
      </c>
      <c r="G143" s="26">
        <f>IFERROR(__xludf.DUMMYFUNCTION("""COMPUTED_VALUE"""),0.0)</f>
        <v>0</v>
      </c>
      <c r="H143" s="26">
        <f>IFERROR(__xludf.DUMMYFUNCTION("""COMPUTED_VALUE"""),0.0)</f>
        <v>0</v>
      </c>
      <c r="I143" s="26">
        <f>IFERROR(__xludf.DUMMYFUNCTION("""COMPUTED_VALUE"""),0.0)</f>
        <v>0</v>
      </c>
      <c r="J143" s="26">
        <f>IFERROR(__xludf.DUMMYFUNCTION("""COMPUTED_VALUE"""),0.0)</f>
        <v>0</v>
      </c>
      <c r="K143" s="26">
        <f>IFERROR(__xludf.DUMMYFUNCTION("""COMPUTED_VALUE"""),0.0)</f>
        <v>0</v>
      </c>
      <c r="L143" s="26"/>
      <c r="M143" s="26"/>
      <c r="N143" s="26"/>
      <c r="O143" s="26"/>
      <c r="P143" s="26"/>
      <c r="Q143" s="26"/>
      <c r="R143" s="26">
        <f>IFERROR(__xludf.DUMMYFUNCTION("""COMPUTED_VALUE"""),0.0)</f>
        <v>0</v>
      </c>
      <c r="S143" s="26">
        <f>IFERROR(__xludf.DUMMYFUNCTION("""COMPUTED_VALUE"""),0.0)</f>
        <v>0</v>
      </c>
      <c r="T143" s="26">
        <f>IFERROR(__xludf.DUMMYFUNCTION("""COMPUTED_VALUE"""),0.0)</f>
        <v>0</v>
      </c>
      <c r="U143" s="26">
        <f>IFERROR(__xludf.DUMMYFUNCTION("""COMPUTED_VALUE"""),0.0)</f>
        <v>0</v>
      </c>
      <c r="V143" s="26">
        <f>IFERROR(__xludf.DUMMYFUNCTION("""COMPUTED_VALUE"""),0.0)</f>
        <v>0</v>
      </c>
      <c r="W143" s="26">
        <f>IFERROR(__xludf.DUMMYFUNCTION("""COMPUTED_VALUE"""),0.0)</f>
        <v>0</v>
      </c>
      <c r="X143" s="26">
        <f>IFERROR(__xludf.DUMMYFUNCTION("""COMPUTED_VALUE"""),0.0)</f>
        <v>0</v>
      </c>
      <c r="Y143" s="26">
        <f>IFERROR(__xludf.DUMMYFUNCTION("""COMPUTED_VALUE"""),0.0)</f>
        <v>0</v>
      </c>
      <c r="Z143" s="26">
        <f>IFERROR(__xludf.DUMMYFUNCTION("""COMPUTED_VALUE"""),0.0)</f>
        <v>0</v>
      </c>
      <c r="AA143" s="26">
        <f>IFERROR(__xludf.DUMMYFUNCTION("""COMPUTED_VALUE"""),0.0)</f>
        <v>0</v>
      </c>
      <c r="AB143" s="26">
        <f>IFERROR(__xludf.DUMMYFUNCTION("""COMPUTED_VALUE"""),0.0)</f>
        <v>0</v>
      </c>
      <c r="AC143" s="26">
        <f>IFERROR(__xludf.DUMMYFUNCTION("""COMPUTED_VALUE"""),0.0)</f>
        <v>0</v>
      </c>
      <c r="AD143" s="26">
        <f>IFERROR(__xludf.DUMMYFUNCTION("""COMPUTED_VALUE"""),0.0)</f>
        <v>0</v>
      </c>
      <c r="AE143" s="26">
        <f>IFERROR(__xludf.DUMMYFUNCTION("""COMPUTED_VALUE"""),0.0)</f>
        <v>0</v>
      </c>
    </row>
    <row r="144">
      <c r="A144" s="26">
        <f>IFERROR(__xludf.DUMMYFUNCTION("""COMPUTED_VALUE"""),1.0)</f>
        <v>1</v>
      </c>
      <c r="B144" s="26">
        <f>IFERROR(__xludf.DUMMYFUNCTION("""COMPUTED_VALUE"""),0.0)</f>
        <v>0</v>
      </c>
      <c r="C144" s="26">
        <f>IFERROR(__xludf.DUMMYFUNCTION("""COMPUTED_VALUE"""),70.0)</f>
        <v>70</v>
      </c>
      <c r="D144" s="26">
        <f>IFERROR(__xludf.DUMMYFUNCTION("""COMPUTED_VALUE"""),0.0)</f>
        <v>0</v>
      </c>
      <c r="E144" s="26">
        <f>IFERROR(__xludf.DUMMYFUNCTION("""COMPUTED_VALUE"""),0.0)</f>
        <v>0</v>
      </c>
      <c r="F144" s="26">
        <f>IFERROR(__xludf.DUMMYFUNCTION("""COMPUTED_VALUE"""),0.0)</f>
        <v>0</v>
      </c>
      <c r="G144" s="26">
        <f>IFERROR(__xludf.DUMMYFUNCTION("""COMPUTED_VALUE"""),0.0)</f>
        <v>0</v>
      </c>
      <c r="H144" s="26">
        <f>IFERROR(__xludf.DUMMYFUNCTION("""COMPUTED_VALUE"""),0.0)</f>
        <v>0</v>
      </c>
      <c r="I144" s="26">
        <f>IFERROR(__xludf.DUMMYFUNCTION("""COMPUTED_VALUE"""),0.0)</f>
        <v>0</v>
      </c>
      <c r="J144" s="26">
        <f>IFERROR(__xludf.DUMMYFUNCTION("""COMPUTED_VALUE"""),0.0)</f>
        <v>0</v>
      </c>
      <c r="K144" s="26">
        <f>IFERROR(__xludf.DUMMYFUNCTION("""COMPUTED_VALUE"""),0.0)</f>
        <v>0</v>
      </c>
      <c r="L144" s="26"/>
      <c r="M144" s="26"/>
      <c r="N144" s="26"/>
      <c r="O144" s="26"/>
      <c r="P144" s="26"/>
      <c r="Q144" s="26"/>
      <c r="R144" s="26">
        <f>IFERROR(__xludf.DUMMYFUNCTION("""COMPUTED_VALUE"""),31382.0)</f>
        <v>31382</v>
      </c>
      <c r="S144" s="26">
        <f>IFERROR(__xludf.DUMMYFUNCTION("""COMPUTED_VALUE"""),14555.0)</f>
        <v>14555</v>
      </c>
      <c r="T144" s="26">
        <f>IFERROR(__xludf.DUMMYFUNCTION("""COMPUTED_VALUE"""),0.0)</f>
        <v>0</v>
      </c>
      <c r="U144" s="26">
        <f>IFERROR(__xludf.DUMMYFUNCTION("""COMPUTED_VALUE"""),0.0)</f>
        <v>0</v>
      </c>
      <c r="V144" s="26">
        <f>IFERROR(__xludf.DUMMYFUNCTION("""COMPUTED_VALUE"""),4786.820000000003)</f>
        <v>4786.82</v>
      </c>
      <c r="W144" s="26">
        <f>IFERROR(__xludf.DUMMYFUNCTION("""COMPUTED_VALUE"""),31382.0)</f>
        <v>31382</v>
      </c>
      <c r="X144" s="26">
        <f>IFERROR(__xludf.DUMMYFUNCTION("""COMPUTED_VALUE"""),19607.96)</f>
        <v>19607.96</v>
      </c>
      <c r="Y144" s="26">
        <f>IFERROR(__xludf.DUMMYFUNCTION("""COMPUTED_VALUE"""),11816.439999999999)</f>
        <v>11816.44</v>
      </c>
      <c r="Z144" s="26">
        <f>IFERROR(__xludf.DUMMYFUNCTION("""COMPUTED_VALUE"""),0.0)</f>
        <v>0</v>
      </c>
      <c r="AA144" s="26">
        <f>IFERROR(__xludf.DUMMYFUNCTION("""COMPUTED_VALUE"""),266.13999999999965)</f>
        <v>266.14</v>
      </c>
      <c r="AB144" s="26">
        <f>IFERROR(__xludf.DUMMYFUNCTION("""COMPUTED_VALUE"""),11774.039999999999)</f>
        <v>11774.04</v>
      </c>
      <c r="AC144" s="26">
        <f>IFERROR(__xludf.DUMMYFUNCTION("""COMPUTED_VALUE"""),-1326.0)</f>
        <v>-1326</v>
      </c>
      <c r="AD144" s="26">
        <f>IFERROR(__xludf.DUMMYFUNCTION("""COMPUTED_VALUE"""),31382.0)</f>
        <v>31382</v>
      </c>
      <c r="AE144" s="26">
        <f>IFERROR(__xludf.DUMMYFUNCTION("""COMPUTED_VALUE"""),0.0)</f>
        <v>0</v>
      </c>
    </row>
    <row r="145">
      <c r="A145" s="26">
        <f>IFERROR(__xludf.DUMMYFUNCTION("""COMPUTED_VALUE"""),0.0)</f>
        <v>0</v>
      </c>
      <c r="B145" s="26">
        <f>IFERROR(__xludf.DUMMYFUNCTION("""COMPUTED_VALUE"""),0.0)</f>
        <v>0</v>
      </c>
      <c r="C145" s="26">
        <f>IFERROR(__xludf.DUMMYFUNCTION("""COMPUTED_VALUE"""),0.0)</f>
        <v>0</v>
      </c>
      <c r="D145" s="26">
        <f>IFERROR(__xludf.DUMMYFUNCTION("""COMPUTED_VALUE"""),0.0)</f>
        <v>0</v>
      </c>
      <c r="E145" s="26">
        <f>IFERROR(__xludf.DUMMYFUNCTION("""COMPUTED_VALUE"""),965.0)</f>
        <v>965</v>
      </c>
      <c r="F145" s="26">
        <f>IFERROR(__xludf.DUMMYFUNCTION("""COMPUTED_VALUE"""),0.0)</f>
        <v>0</v>
      </c>
      <c r="G145" s="26">
        <f>IFERROR(__xludf.DUMMYFUNCTION("""COMPUTED_VALUE"""),0.0)</f>
        <v>0</v>
      </c>
      <c r="H145" s="26">
        <f>IFERROR(__xludf.DUMMYFUNCTION("""COMPUTED_VALUE"""),0.0)</f>
        <v>0</v>
      </c>
      <c r="I145" s="26">
        <f>IFERROR(__xludf.DUMMYFUNCTION("""COMPUTED_VALUE"""),0.0)</f>
        <v>0</v>
      </c>
      <c r="J145" s="26">
        <f>IFERROR(__xludf.DUMMYFUNCTION("""COMPUTED_VALUE"""),0.0)</f>
        <v>0</v>
      </c>
      <c r="K145" s="26">
        <f>IFERROR(__xludf.DUMMYFUNCTION("""COMPUTED_VALUE"""),0.0)</f>
        <v>0</v>
      </c>
      <c r="L145" s="26"/>
      <c r="M145" s="26"/>
      <c r="N145" s="26"/>
      <c r="O145" s="26"/>
      <c r="P145" s="26"/>
      <c r="Q145" s="26"/>
      <c r="R145" s="26">
        <f>IFERROR(__xludf.DUMMYFUNCTION("""COMPUTED_VALUE"""),1321954.0)</f>
        <v>1321954</v>
      </c>
      <c r="S145" s="26">
        <f>IFERROR(__xludf.DUMMYFUNCTION("""COMPUTED_VALUE"""),443900.0)</f>
        <v>443900</v>
      </c>
      <c r="T145" s="26">
        <f>IFERROR(__xludf.DUMMYFUNCTION("""COMPUTED_VALUE"""),0.0)</f>
        <v>0</v>
      </c>
      <c r="U145" s="26">
        <f>IFERROR(__xludf.DUMMYFUNCTION("""COMPUTED_VALUE"""),0.0)</f>
        <v>0</v>
      </c>
      <c r="V145" s="26">
        <f>IFERROR(__xludf.DUMMYFUNCTION("""COMPUTED_VALUE"""),201655.3999999994)</f>
        <v>201655.4</v>
      </c>
      <c r="W145" s="26">
        <f>IFERROR(__xludf.DUMMYFUNCTION("""COMPUTED_VALUE"""),1321954.0)</f>
        <v>1321954</v>
      </c>
      <c r="X145" s="26">
        <f>IFERROR(__xludf.DUMMYFUNCTION("""COMPUTED_VALUE"""),663924.8200000061)</f>
        <v>663924.82</v>
      </c>
      <c r="Y145" s="26">
        <f>IFERROR(__xludf.DUMMYFUNCTION("""COMPUTED_VALUE"""),666099.2499999942)</f>
        <v>666099.25</v>
      </c>
      <c r="Z145" s="26">
        <f>IFERROR(__xludf.DUMMYFUNCTION("""COMPUTED_VALUE"""),0.0)</f>
        <v>0</v>
      </c>
      <c r="AA145" s="26">
        <f>IFERROR(__xludf.DUMMYFUNCTION("""COMPUTED_VALUE"""),18369.419999999976)</f>
        <v>18369.42</v>
      </c>
      <c r="AB145" s="26">
        <f>IFERROR(__xludf.DUMMYFUNCTION("""COMPUTED_VALUE"""),658029.179999994)</f>
        <v>658029.18</v>
      </c>
      <c r="AC145" s="26">
        <f>IFERROR(__xludf.DUMMYFUNCTION("""COMPUTED_VALUE"""),27998.0)</f>
        <v>27998</v>
      </c>
      <c r="AD145" s="26">
        <f>IFERROR(__xludf.DUMMYFUNCTION("""COMPUTED_VALUE"""),1321954.0)</f>
        <v>1321954</v>
      </c>
      <c r="AE145" s="26">
        <f>IFERROR(__xludf.DUMMYFUNCTION("""COMPUTED_VALUE"""),0.0)</f>
        <v>0</v>
      </c>
    </row>
    <row r="146">
      <c r="A146" s="26">
        <f>IFERROR(__xludf.DUMMYFUNCTION("""COMPUTED_VALUE"""),0.0)</f>
        <v>0</v>
      </c>
      <c r="B146" s="26">
        <f>IFERROR(__xludf.DUMMYFUNCTION("""COMPUTED_VALUE"""),0.0)</f>
        <v>0</v>
      </c>
      <c r="C146" s="26">
        <f>IFERROR(__xludf.DUMMYFUNCTION("""COMPUTED_VALUE"""),0.0)</f>
        <v>0</v>
      </c>
      <c r="D146" s="26">
        <f>IFERROR(__xludf.DUMMYFUNCTION("""COMPUTED_VALUE"""),0.0)</f>
        <v>0</v>
      </c>
      <c r="E146" s="26">
        <f>IFERROR(__xludf.DUMMYFUNCTION("""COMPUTED_VALUE"""),0.0)</f>
        <v>0</v>
      </c>
      <c r="F146" s="26">
        <f>IFERROR(__xludf.DUMMYFUNCTION("""COMPUTED_VALUE"""),0.0)</f>
        <v>0</v>
      </c>
      <c r="G146" s="26">
        <f>IFERROR(__xludf.DUMMYFUNCTION("""COMPUTED_VALUE"""),0.0)</f>
        <v>0</v>
      </c>
      <c r="H146" s="26">
        <f>IFERROR(__xludf.DUMMYFUNCTION("""COMPUTED_VALUE"""),0.0)</f>
        <v>0</v>
      </c>
      <c r="I146" s="26">
        <f>IFERROR(__xludf.DUMMYFUNCTION("""COMPUTED_VALUE"""),0.0)</f>
        <v>0</v>
      </c>
      <c r="J146" s="26">
        <f>IFERROR(__xludf.DUMMYFUNCTION("""COMPUTED_VALUE"""),0.0)</f>
        <v>0</v>
      </c>
      <c r="K146" s="26">
        <f>IFERROR(__xludf.DUMMYFUNCTION("""COMPUTED_VALUE"""),0.0)</f>
        <v>0</v>
      </c>
      <c r="L146" s="26"/>
      <c r="M146" s="26"/>
      <c r="N146" s="26"/>
      <c r="O146" s="26"/>
      <c r="P146" s="26"/>
      <c r="Q146" s="26"/>
      <c r="R146" s="26">
        <f>IFERROR(__xludf.DUMMYFUNCTION("""COMPUTED_VALUE"""),0.0)</f>
        <v>0</v>
      </c>
      <c r="S146" s="26">
        <f>IFERROR(__xludf.DUMMYFUNCTION("""COMPUTED_VALUE"""),0.0)</f>
        <v>0</v>
      </c>
      <c r="T146" s="26">
        <f>IFERROR(__xludf.DUMMYFUNCTION("""COMPUTED_VALUE"""),0.0)</f>
        <v>0</v>
      </c>
      <c r="U146" s="26">
        <f>IFERROR(__xludf.DUMMYFUNCTION("""COMPUTED_VALUE"""),0.0)</f>
        <v>0</v>
      </c>
      <c r="V146" s="26">
        <f>IFERROR(__xludf.DUMMYFUNCTION("""COMPUTED_VALUE"""),0.0)</f>
        <v>0</v>
      </c>
      <c r="W146" s="26">
        <f>IFERROR(__xludf.DUMMYFUNCTION("""COMPUTED_VALUE"""),0.0)</f>
        <v>0</v>
      </c>
      <c r="X146" s="26">
        <f>IFERROR(__xludf.DUMMYFUNCTION("""COMPUTED_VALUE"""),0.0)</f>
        <v>0</v>
      </c>
      <c r="Y146" s="26">
        <f>IFERROR(__xludf.DUMMYFUNCTION("""COMPUTED_VALUE"""),0.0)</f>
        <v>0</v>
      </c>
      <c r="Z146" s="26">
        <f>IFERROR(__xludf.DUMMYFUNCTION("""COMPUTED_VALUE"""),0.0)</f>
        <v>0</v>
      </c>
      <c r="AA146" s="26">
        <f>IFERROR(__xludf.DUMMYFUNCTION("""COMPUTED_VALUE"""),0.0)</f>
        <v>0</v>
      </c>
      <c r="AB146" s="26">
        <f>IFERROR(__xludf.DUMMYFUNCTION("""COMPUTED_VALUE"""),0.0)</f>
        <v>0</v>
      </c>
      <c r="AC146" s="26">
        <f>IFERROR(__xludf.DUMMYFUNCTION("""COMPUTED_VALUE"""),0.0)</f>
        <v>0</v>
      </c>
      <c r="AD146" s="26">
        <f>IFERROR(__xludf.DUMMYFUNCTION("""COMPUTED_VALUE"""),0.0)</f>
        <v>0</v>
      </c>
      <c r="AE146" s="26">
        <f>IFERROR(__xludf.DUMMYFUNCTION("""COMPUTED_VALUE"""),0.0)</f>
        <v>0</v>
      </c>
    </row>
    <row r="147">
      <c r="A147" s="26">
        <f>IFERROR(__xludf.DUMMYFUNCTION("""COMPUTED_VALUE"""),4046.0)</f>
        <v>4046</v>
      </c>
      <c r="B147" s="26">
        <f>IFERROR(__xludf.DUMMYFUNCTION("""COMPUTED_VALUE"""),9.0)</f>
        <v>9</v>
      </c>
      <c r="C147" s="26">
        <f>IFERROR(__xludf.DUMMYFUNCTION("""COMPUTED_VALUE"""),0.0)</f>
        <v>0</v>
      </c>
      <c r="D147" s="26">
        <f>IFERROR(__xludf.DUMMYFUNCTION("""COMPUTED_VALUE"""),0.0)</f>
        <v>0</v>
      </c>
      <c r="E147" s="26">
        <f>IFERROR(__xludf.DUMMYFUNCTION("""COMPUTED_VALUE"""),0.0)</f>
        <v>0</v>
      </c>
      <c r="F147" s="26">
        <f>IFERROR(__xludf.DUMMYFUNCTION("""COMPUTED_VALUE"""),0.0)</f>
        <v>0</v>
      </c>
      <c r="G147" s="26">
        <f>IFERROR(__xludf.DUMMYFUNCTION("""COMPUTED_VALUE"""),0.0)</f>
        <v>0</v>
      </c>
      <c r="H147" s="26">
        <f>IFERROR(__xludf.DUMMYFUNCTION("""COMPUTED_VALUE"""),0.0)</f>
        <v>0</v>
      </c>
      <c r="I147" s="26">
        <f>IFERROR(__xludf.DUMMYFUNCTION("""COMPUTED_VALUE"""),0.0)</f>
        <v>0</v>
      </c>
      <c r="J147" s="26">
        <f>IFERROR(__xludf.DUMMYFUNCTION("""COMPUTED_VALUE"""),0.0)</f>
        <v>0</v>
      </c>
      <c r="K147" s="26">
        <f>IFERROR(__xludf.DUMMYFUNCTION("""COMPUTED_VALUE"""),0.0)</f>
        <v>0</v>
      </c>
      <c r="L147" s="26"/>
      <c r="M147" s="26"/>
      <c r="N147" s="26"/>
      <c r="O147" s="26"/>
      <c r="P147" s="26"/>
      <c r="Q147" s="26"/>
      <c r="R147" s="26">
        <f>IFERROR(__xludf.DUMMYFUNCTION("""COMPUTED_VALUE"""),1792050.0)</f>
        <v>1792050</v>
      </c>
      <c r="S147" s="26">
        <f>IFERROR(__xludf.DUMMYFUNCTION("""COMPUTED_VALUE"""),690795.0)</f>
        <v>690795</v>
      </c>
      <c r="T147" s="26">
        <f>IFERROR(__xludf.DUMMYFUNCTION("""COMPUTED_VALUE"""),101.13)</f>
        <v>101.13</v>
      </c>
      <c r="U147" s="26">
        <f>IFERROR(__xludf.DUMMYFUNCTION("""COMPUTED_VALUE"""),101.13)</f>
        <v>101.13</v>
      </c>
      <c r="V147" s="26">
        <f>IFERROR(__xludf.DUMMYFUNCTION("""COMPUTED_VALUE"""),273146.1899999962)</f>
        <v>273146.19</v>
      </c>
      <c r="W147" s="26">
        <f>IFERROR(__xludf.DUMMYFUNCTION("""COMPUTED_VALUE"""),1791166.0)</f>
        <v>1791166</v>
      </c>
      <c r="X147" s="26">
        <f>IFERROR(__xludf.DUMMYFUNCTION("""COMPUTED_VALUE"""),998465.0799999872)</f>
        <v>998465.08</v>
      </c>
      <c r="Y147" s="26">
        <f>IFERROR(__xludf.DUMMYFUNCTION("""COMPUTED_VALUE"""),823064.200000004)</f>
        <v>823064.2</v>
      </c>
      <c r="Z147" s="26">
        <f>IFERROR(__xludf.DUMMYFUNCTION("""COMPUTED_VALUE"""),0.0)</f>
        <v>0</v>
      </c>
      <c r="AA147" s="26">
        <f>IFERROR(__xludf.DUMMYFUNCTION("""COMPUTED_VALUE"""),34766.46999999971)</f>
        <v>34766.47</v>
      </c>
      <c r="AB147" s="26">
        <f>IFERROR(__xludf.DUMMYFUNCTION("""COMPUTED_VALUE"""),792700.920000003)</f>
        <v>792700.92</v>
      </c>
      <c r="AC147" s="26">
        <f>IFERROR(__xludf.DUMMYFUNCTION("""COMPUTED_VALUE"""),-86190.0)</f>
        <v>-86190</v>
      </c>
      <c r="AD147" s="26">
        <f>IFERROR(__xludf.DUMMYFUNCTION("""COMPUTED_VALUE"""),1655420.0)</f>
        <v>1655420</v>
      </c>
      <c r="AE147" s="26">
        <f>IFERROR(__xludf.DUMMYFUNCTION("""COMPUTED_VALUE"""),0.0)</f>
        <v>0</v>
      </c>
    </row>
    <row r="148">
      <c r="A148" s="26">
        <f>IFERROR(__xludf.DUMMYFUNCTION("""COMPUTED_VALUE"""),0.0)</f>
        <v>0</v>
      </c>
      <c r="B148" s="26">
        <f>IFERROR(__xludf.DUMMYFUNCTION("""COMPUTED_VALUE"""),0.0)</f>
        <v>0</v>
      </c>
      <c r="C148" s="26">
        <f>IFERROR(__xludf.DUMMYFUNCTION("""COMPUTED_VALUE"""),0.0)</f>
        <v>0</v>
      </c>
      <c r="D148" s="26">
        <f>IFERROR(__xludf.DUMMYFUNCTION("""COMPUTED_VALUE"""),0.0)</f>
        <v>0</v>
      </c>
      <c r="E148" s="26">
        <f>IFERROR(__xludf.DUMMYFUNCTION("""COMPUTED_VALUE"""),0.0)</f>
        <v>0</v>
      </c>
      <c r="F148" s="26">
        <f>IFERROR(__xludf.DUMMYFUNCTION("""COMPUTED_VALUE"""),0.0)</f>
        <v>0</v>
      </c>
      <c r="G148" s="26">
        <f>IFERROR(__xludf.DUMMYFUNCTION("""COMPUTED_VALUE"""),0.0)</f>
        <v>0</v>
      </c>
      <c r="H148" s="26">
        <f>IFERROR(__xludf.DUMMYFUNCTION("""COMPUTED_VALUE"""),0.0)</f>
        <v>0</v>
      </c>
      <c r="I148" s="26">
        <f>IFERROR(__xludf.DUMMYFUNCTION("""COMPUTED_VALUE"""),0.0)</f>
        <v>0</v>
      </c>
      <c r="J148" s="26">
        <f>IFERROR(__xludf.DUMMYFUNCTION("""COMPUTED_VALUE"""),0.0)</f>
        <v>0</v>
      </c>
      <c r="K148" s="26">
        <f>IFERROR(__xludf.DUMMYFUNCTION("""COMPUTED_VALUE"""),0.0)</f>
        <v>0</v>
      </c>
      <c r="L148" s="26"/>
      <c r="M148" s="26"/>
      <c r="N148" s="26"/>
      <c r="O148" s="26"/>
      <c r="P148" s="26"/>
      <c r="Q148" s="26"/>
      <c r="R148" s="26">
        <f>IFERROR(__xludf.DUMMYFUNCTION("""COMPUTED_VALUE"""),0.0)</f>
        <v>0</v>
      </c>
      <c r="S148" s="26">
        <f>IFERROR(__xludf.DUMMYFUNCTION("""COMPUTED_VALUE"""),0.0)</f>
        <v>0</v>
      </c>
      <c r="T148" s="26">
        <f>IFERROR(__xludf.DUMMYFUNCTION("""COMPUTED_VALUE"""),0.0)</f>
        <v>0</v>
      </c>
      <c r="U148" s="26">
        <f>IFERROR(__xludf.DUMMYFUNCTION("""COMPUTED_VALUE"""),0.0)</f>
        <v>0</v>
      </c>
      <c r="V148" s="26">
        <f>IFERROR(__xludf.DUMMYFUNCTION("""COMPUTED_VALUE"""),0.0)</f>
        <v>0</v>
      </c>
      <c r="W148" s="26">
        <f>IFERROR(__xludf.DUMMYFUNCTION("""COMPUTED_VALUE"""),0.0)</f>
        <v>0</v>
      </c>
      <c r="X148" s="26">
        <f>IFERROR(__xludf.DUMMYFUNCTION("""COMPUTED_VALUE"""),0.0)</f>
        <v>0</v>
      </c>
      <c r="Y148" s="26">
        <f>IFERROR(__xludf.DUMMYFUNCTION("""COMPUTED_VALUE"""),0.0)</f>
        <v>0</v>
      </c>
      <c r="Z148" s="26">
        <f>IFERROR(__xludf.DUMMYFUNCTION("""COMPUTED_VALUE"""),0.0)</f>
        <v>0</v>
      </c>
      <c r="AA148" s="26">
        <f>IFERROR(__xludf.DUMMYFUNCTION("""COMPUTED_VALUE"""),0.0)</f>
        <v>0</v>
      </c>
      <c r="AB148" s="26">
        <f>IFERROR(__xludf.DUMMYFUNCTION("""COMPUTED_VALUE"""),0.0)</f>
        <v>0</v>
      </c>
      <c r="AC148" s="26">
        <f>IFERROR(__xludf.DUMMYFUNCTION("""COMPUTED_VALUE"""),-442.0)</f>
        <v>-442</v>
      </c>
      <c r="AD148" s="26">
        <f>IFERROR(__xludf.DUMMYFUNCTION("""COMPUTED_VALUE"""),-442.0)</f>
        <v>-442</v>
      </c>
      <c r="AE148" s="26">
        <f>IFERROR(__xludf.DUMMYFUNCTION("""COMPUTED_VALUE"""),0.0)</f>
        <v>0</v>
      </c>
    </row>
    <row r="149">
      <c r="A149" s="26">
        <f>IFERROR(__xludf.DUMMYFUNCTION("""COMPUTED_VALUE"""),0.0)</f>
        <v>0</v>
      </c>
      <c r="B149" s="26">
        <f>IFERROR(__xludf.DUMMYFUNCTION("""COMPUTED_VALUE"""),0.0)</f>
        <v>0</v>
      </c>
      <c r="C149" s="26">
        <f>IFERROR(__xludf.DUMMYFUNCTION("""COMPUTED_VALUE"""),0.0)</f>
        <v>0</v>
      </c>
      <c r="D149" s="26">
        <f>IFERROR(__xludf.DUMMYFUNCTION("""COMPUTED_VALUE"""),0.0)</f>
        <v>0</v>
      </c>
      <c r="E149" s="26">
        <f>IFERROR(__xludf.DUMMYFUNCTION("""COMPUTED_VALUE"""),0.0)</f>
        <v>0</v>
      </c>
      <c r="F149" s="26">
        <f>IFERROR(__xludf.DUMMYFUNCTION("""COMPUTED_VALUE"""),0.0)</f>
        <v>0</v>
      </c>
      <c r="G149" s="26">
        <f>IFERROR(__xludf.DUMMYFUNCTION("""COMPUTED_VALUE"""),0.0)</f>
        <v>0</v>
      </c>
      <c r="H149" s="26">
        <f>IFERROR(__xludf.DUMMYFUNCTION("""COMPUTED_VALUE"""),0.0)</f>
        <v>0</v>
      </c>
      <c r="I149" s="26">
        <f>IFERROR(__xludf.DUMMYFUNCTION("""COMPUTED_VALUE"""),0.0)</f>
        <v>0</v>
      </c>
      <c r="J149" s="26">
        <f>IFERROR(__xludf.DUMMYFUNCTION("""COMPUTED_VALUE"""),0.0)</f>
        <v>0</v>
      </c>
      <c r="K149" s="26">
        <f>IFERROR(__xludf.DUMMYFUNCTION("""COMPUTED_VALUE"""),0.0)</f>
        <v>0</v>
      </c>
      <c r="L149" s="26"/>
      <c r="M149" s="26"/>
      <c r="N149" s="26"/>
      <c r="O149" s="26"/>
      <c r="P149" s="26"/>
      <c r="Q149" s="26"/>
      <c r="R149" s="26">
        <f>IFERROR(__xludf.DUMMYFUNCTION("""COMPUTED_VALUE"""),0.0)</f>
        <v>0</v>
      </c>
      <c r="S149" s="26">
        <f>IFERROR(__xludf.DUMMYFUNCTION("""COMPUTED_VALUE"""),0.0)</f>
        <v>0</v>
      </c>
      <c r="T149" s="26">
        <f>IFERROR(__xludf.DUMMYFUNCTION("""COMPUTED_VALUE"""),0.0)</f>
        <v>0</v>
      </c>
      <c r="U149" s="26">
        <f>IFERROR(__xludf.DUMMYFUNCTION("""COMPUTED_VALUE"""),0.0)</f>
        <v>0</v>
      </c>
      <c r="V149" s="26">
        <f>IFERROR(__xludf.DUMMYFUNCTION("""COMPUTED_VALUE"""),0.0)</f>
        <v>0</v>
      </c>
      <c r="W149" s="26">
        <f>IFERROR(__xludf.DUMMYFUNCTION("""COMPUTED_VALUE"""),0.0)</f>
        <v>0</v>
      </c>
      <c r="X149" s="26">
        <f>IFERROR(__xludf.DUMMYFUNCTION("""COMPUTED_VALUE"""),0.0)</f>
        <v>0</v>
      </c>
      <c r="Y149" s="26">
        <f>IFERROR(__xludf.DUMMYFUNCTION("""COMPUTED_VALUE"""),0.0)</f>
        <v>0</v>
      </c>
      <c r="Z149" s="26">
        <f>IFERROR(__xludf.DUMMYFUNCTION("""COMPUTED_VALUE"""),0.0)</f>
        <v>0</v>
      </c>
      <c r="AA149" s="26">
        <f>IFERROR(__xludf.DUMMYFUNCTION("""COMPUTED_VALUE"""),0.0)</f>
        <v>0</v>
      </c>
      <c r="AB149" s="26">
        <f>IFERROR(__xludf.DUMMYFUNCTION("""COMPUTED_VALUE"""),0.0)</f>
        <v>0</v>
      </c>
      <c r="AC149" s="26">
        <f>IFERROR(__xludf.DUMMYFUNCTION("""COMPUTED_VALUE"""),0.0)</f>
        <v>0</v>
      </c>
      <c r="AD149" s="26">
        <f>IFERROR(__xludf.DUMMYFUNCTION("""COMPUTED_VALUE"""),0.0)</f>
        <v>0</v>
      </c>
      <c r="AE149" s="26">
        <f>IFERROR(__xludf.DUMMYFUNCTION("""COMPUTED_VALUE"""),0.0)</f>
        <v>0</v>
      </c>
    </row>
    <row r="150">
      <c r="A150" s="26">
        <f>IFERROR(__xludf.DUMMYFUNCTION("""COMPUTED_VALUE"""),0.0)</f>
        <v>0</v>
      </c>
      <c r="B150" s="26">
        <f>IFERROR(__xludf.DUMMYFUNCTION("""COMPUTED_VALUE"""),0.0)</f>
        <v>0</v>
      </c>
      <c r="C150" s="26">
        <f>IFERROR(__xludf.DUMMYFUNCTION("""COMPUTED_VALUE"""),0.0)</f>
        <v>0</v>
      </c>
      <c r="D150" s="26">
        <f>IFERROR(__xludf.DUMMYFUNCTION("""COMPUTED_VALUE"""),0.0)</f>
        <v>0</v>
      </c>
      <c r="E150" s="26">
        <f>IFERROR(__xludf.DUMMYFUNCTION("""COMPUTED_VALUE"""),0.0)</f>
        <v>0</v>
      </c>
      <c r="F150" s="26">
        <f>IFERROR(__xludf.DUMMYFUNCTION("""COMPUTED_VALUE"""),0.0)</f>
        <v>0</v>
      </c>
      <c r="G150" s="26">
        <f>IFERROR(__xludf.DUMMYFUNCTION("""COMPUTED_VALUE"""),0.0)</f>
        <v>0</v>
      </c>
      <c r="H150" s="26">
        <f>IFERROR(__xludf.DUMMYFUNCTION("""COMPUTED_VALUE"""),0.0)</f>
        <v>0</v>
      </c>
      <c r="I150" s="26">
        <f>IFERROR(__xludf.DUMMYFUNCTION("""COMPUTED_VALUE"""),0.0)</f>
        <v>0</v>
      </c>
      <c r="J150" s="26">
        <f>IFERROR(__xludf.DUMMYFUNCTION("""COMPUTED_VALUE"""),0.0)</f>
        <v>0</v>
      </c>
      <c r="K150" s="26">
        <f>IFERROR(__xludf.DUMMYFUNCTION("""COMPUTED_VALUE"""),0.0)</f>
        <v>0</v>
      </c>
      <c r="L150" s="26"/>
      <c r="M150" s="26"/>
      <c r="N150" s="26"/>
      <c r="O150" s="26"/>
      <c r="P150" s="26"/>
      <c r="Q150" s="26"/>
      <c r="R150" s="26">
        <f>IFERROR(__xludf.DUMMYFUNCTION("""COMPUTED_VALUE"""),0.0)</f>
        <v>0</v>
      </c>
      <c r="S150" s="26">
        <f>IFERROR(__xludf.DUMMYFUNCTION("""COMPUTED_VALUE"""),0.0)</f>
        <v>0</v>
      </c>
      <c r="T150" s="26">
        <f>IFERROR(__xludf.DUMMYFUNCTION("""COMPUTED_VALUE"""),0.0)</f>
        <v>0</v>
      </c>
      <c r="U150" s="26">
        <f>IFERROR(__xludf.DUMMYFUNCTION("""COMPUTED_VALUE"""),0.0)</f>
        <v>0</v>
      </c>
      <c r="V150" s="26">
        <f>IFERROR(__xludf.DUMMYFUNCTION("""COMPUTED_VALUE"""),0.0)</f>
        <v>0</v>
      </c>
      <c r="W150" s="26">
        <f>IFERROR(__xludf.DUMMYFUNCTION("""COMPUTED_VALUE"""),0.0)</f>
        <v>0</v>
      </c>
      <c r="X150" s="26">
        <f>IFERROR(__xludf.DUMMYFUNCTION("""COMPUTED_VALUE"""),0.0)</f>
        <v>0</v>
      </c>
      <c r="Y150" s="26">
        <f>IFERROR(__xludf.DUMMYFUNCTION("""COMPUTED_VALUE"""),0.0)</f>
        <v>0</v>
      </c>
      <c r="Z150" s="26">
        <f>IFERROR(__xludf.DUMMYFUNCTION("""COMPUTED_VALUE"""),0.0)</f>
        <v>0</v>
      </c>
      <c r="AA150" s="26">
        <f>IFERROR(__xludf.DUMMYFUNCTION("""COMPUTED_VALUE"""),0.0)</f>
        <v>0</v>
      </c>
      <c r="AB150" s="26">
        <f>IFERROR(__xludf.DUMMYFUNCTION("""COMPUTED_VALUE"""),0.0)</f>
        <v>0</v>
      </c>
      <c r="AC150" s="26">
        <f>IFERROR(__xludf.DUMMYFUNCTION("""COMPUTED_VALUE"""),0.0)</f>
        <v>0</v>
      </c>
      <c r="AD150" s="26">
        <f>IFERROR(__xludf.DUMMYFUNCTION("""COMPUTED_VALUE"""),0.0)</f>
        <v>0</v>
      </c>
      <c r="AE150" s="26">
        <f>IFERROR(__xludf.DUMMYFUNCTION("""COMPUTED_VALUE"""),0.0)</f>
        <v>0</v>
      </c>
    </row>
    <row r="151">
      <c r="A151" s="26">
        <f>IFERROR(__xludf.DUMMYFUNCTION("""COMPUTED_VALUE"""),0.0)</f>
        <v>0</v>
      </c>
      <c r="B151" s="26">
        <f>IFERROR(__xludf.DUMMYFUNCTION("""COMPUTED_VALUE"""),0.0)</f>
        <v>0</v>
      </c>
      <c r="C151" s="26">
        <f>IFERROR(__xludf.DUMMYFUNCTION("""COMPUTED_VALUE"""),0.0)</f>
        <v>0</v>
      </c>
      <c r="D151" s="26">
        <f>IFERROR(__xludf.DUMMYFUNCTION("""COMPUTED_VALUE"""),0.0)</f>
        <v>0</v>
      </c>
      <c r="E151" s="26">
        <f>IFERROR(__xludf.DUMMYFUNCTION("""COMPUTED_VALUE"""),5480.0)</f>
        <v>5480</v>
      </c>
      <c r="F151" s="26">
        <f>IFERROR(__xludf.DUMMYFUNCTION("""COMPUTED_VALUE"""),0.0)</f>
        <v>0</v>
      </c>
      <c r="G151" s="26">
        <f>IFERROR(__xludf.DUMMYFUNCTION("""COMPUTED_VALUE"""),0.0)</f>
        <v>0</v>
      </c>
      <c r="H151" s="26">
        <f>IFERROR(__xludf.DUMMYFUNCTION("""COMPUTED_VALUE"""),0.0)</f>
        <v>0</v>
      </c>
      <c r="I151" s="26">
        <f>IFERROR(__xludf.DUMMYFUNCTION("""COMPUTED_VALUE"""),0.0)</f>
        <v>0</v>
      </c>
      <c r="J151" s="26">
        <f>IFERROR(__xludf.DUMMYFUNCTION("""COMPUTED_VALUE"""),0.0)</f>
        <v>0</v>
      </c>
      <c r="K151" s="26">
        <f>IFERROR(__xludf.DUMMYFUNCTION("""COMPUTED_VALUE"""),0.0)</f>
        <v>0</v>
      </c>
      <c r="L151" s="26"/>
      <c r="M151" s="26"/>
      <c r="N151" s="26"/>
      <c r="O151" s="26"/>
      <c r="P151" s="26"/>
      <c r="Q151" s="26"/>
      <c r="R151" s="26">
        <f>IFERROR(__xludf.DUMMYFUNCTION("""COMPUTED_VALUE"""),8331385.0)</f>
        <v>8331385</v>
      </c>
      <c r="S151" s="26">
        <f>IFERROR(__xludf.DUMMYFUNCTION("""COMPUTED_VALUE"""),2454500.0)</f>
        <v>2454500</v>
      </c>
      <c r="T151" s="26">
        <f>IFERROR(__xludf.DUMMYFUNCTION("""COMPUTED_VALUE"""),219.20999999999998)</f>
        <v>219.21</v>
      </c>
      <c r="U151" s="26">
        <f>IFERROR(__xludf.DUMMYFUNCTION("""COMPUTED_VALUE"""),219.20999999999998)</f>
        <v>219.21</v>
      </c>
      <c r="V151" s="26">
        <f>IFERROR(__xludf.DUMMYFUNCTION("""COMPUTED_VALUE"""),1270456.689999998)</f>
        <v>1270456.69</v>
      </c>
      <c r="W151" s="26">
        <f>IFERROR(__xludf.DUMMYFUNCTION("""COMPUTED_VALUE"""),8331385.0)</f>
        <v>8331385</v>
      </c>
      <c r="X151" s="26">
        <f>IFERROR(__xludf.DUMMYFUNCTION("""COMPUTED_VALUE"""),3914305.759999996)</f>
        <v>3914305.76</v>
      </c>
      <c r="Y151" s="26">
        <f>IFERROR(__xludf.DUMMYFUNCTION("""COMPUTED_VALUE"""),4578400.290000023)</f>
        <v>4578400.29</v>
      </c>
      <c r="Z151" s="26">
        <f>IFERROR(__xludf.DUMMYFUNCTION("""COMPUTED_VALUE"""),0.0)</f>
        <v>0</v>
      </c>
      <c r="AA151" s="26">
        <f>IFERROR(__xludf.DUMMYFUNCTION("""COMPUTED_VALUE"""),188910.7399999995)</f>
        <v>188910.74</v>
      </c>
      <c r="AB151" s="26">
        <f>IFERROR(__xludf.DUMMYFUNCTION("""COMPUTED_VALUE"""),4417079.240000024)</f>
        <v>4417079.24</v>
      </c>
      <c r="AC151" s="26">
        <f>IFERROR(__xludf.DUMMYFUNCTION("""COMPUTED_VALUE"""),-320192.0)</f>
        <v>-320192</v>
      </c>
      <c r="AD151" s="26">
        <f>IFERROR(__xludf.DUMMYFUNCTION("""COMPUTED_VALUE"""),7607521.0)</f>
        <v>7607521</v>
      </c>
      <c r="AE151" s="26">
        <f>IFERROR(__xludf.DUMMYFUNCTION("""COMPUTED_VALUE"""),0.0)</f>
        <v>0</v>
      </c>
    </row>
    <row r="152">
      <c r="A152" s="26">
        <f>IFERROR(__xludf.DUMMYFUNCTION("""COMPUTED_VALUE"""),305.0)</f>
        <v>305</v>
      </c>
      <c r="B152" s="26">
        <f>IFERROR(__xludf.DUMMYFUNCTION("""COMPUTED_VALUE"""),0.0)</f>
        <v>0</v>
      </c>
      <c r="C152" s="26">
        <f>IFERROR(__xludf.DUMMYFUNCTION("""COMPUTED_VALUE"""),0.0)</f>
        <v>0</v>
      </c>
      <c r="D152" s="26">
        <f>IFERROR(__xludf.DUMMYFUNCTION("""COMPUTED_VALUE"""),0.0)</f>
        <v>0</v>
      </c>
      <c r="E152" s="26">
        <f>IFERROR(__xludf.DUMMYFUNCTION("""COMPUTED_VALUE"""),407.0)</f>
        <v>407</v>
      </c>
      <c r="F152" s="26">
        <f>IFERROR(__xludf.DUMMYFUNCTION("""COMPUTED_VALUE"""),0.0)</f>
        <v>0</v>
      </c>
      <c r="G152" s="26">
        <f>IFERROR(__xludf.DUMMYFUNCTION("""COMPUTED_VALUE"""),0.0)</f>
        <v>0</v>
      </c>
      <c r="H152" s="26">
        <f>IFERROR(__xludf.DUMMYFUNCTION("""COMPUTED_VALUE"""),0.0)</f>
        <v>0</v>
      </c>
      <c r="I152" s="26">
        <f>IFERROR(__xludf.DUMMYFUNCTION("""COMPUTED_VALUE"""),0.0)</f>
        <v>0</v>
      </c>
      <c r="J152" s="26">
        <f>IFERROR(__xludf.DUMMYFUNCTION("""COMPUTED_VALUE"""),0.0)</f>
        <v>0</v>
      </c>
      <c r="K152" s="26">
        <f>IFERROR(__xludf.DUMMYFUNCTION("""COMPUTED_VALUE"""),0.0)</f>
        <v>0</v>
      </c>
      <c r="L152" s="26"/>
      <c r="M152" s="26"/>
      <c r="N152" s="26"/>
      <c r="O152" s="26"/>
      <c r="P152" s="26"/>
      <c r="Q152" s="26"/>
      <c r="R152" s="26">
        <f>IFERROR(__xludf.DUMMYFUNCTION("""COMPUTED_VALUE"""),762680.0)</f>
        <v>762680</v>
      </c>
      <c r="S152" s="26">
        <f>IFERROR(__xludf.DUMMYFUNCTION("""COMPUTED_VALUE"""),249745.0)</f>
        <v>249745</v>
      </c>
      <c r="T152" s="26">
        <f>IFERROR(__xludf.DUMMYFUNCTION("""COMPUTED_VALUE"""),180.76999999999998)</f>
        <v>180.77</v>
      </c>
      <c r="U152" s="26">
        <f>IFERROR(__xludf.DUMMYFUNCTION("""COMPUTED_VALUE"""),180.76999999999998)</f>
        <v>180.77</v>
      </c>
      <c r="V152" s="26">
        <f>IFERROR(__xludf.DUMMYFUNCTION("""COMPUTED_VALUE"""),115978.46999999965)</f>
        <v>115978.47</v>
      </c>
      <c r="W152" s="26">
        <f>IFERROR(__xludf.DUMMYFUNCTION("""COMPUTED_VALUE"""),762680.0)</f>
        <v>762680</v>
      </c>
      <c r="X152" s="26">
        <f>IFERROR(__xludf.DUMMYFUNCTION("""COMPUTED_VALUE"""),374630.4200000018)</f>
        <v>374630.42</v>
      </c>
      <c r="Y152" s="26">
        <f>IFERROR(__xludf.DUMMYFUNCTION("""COMPUTED_VALUE"""),389071.8499999989)</f>
        <v>389071.85</v>
      </c>
      <c r="Z152" s="26">
        <f>IFERROR(__xludf.DUMMYFUNCTION("""COMPUTED_VALUE"""),0.0)</f>
        <v>0</v>
      </c>
      <c r="AA152" s="26">
        <f>IFERROR(__xludf.DUMMYFUNCTION("""COMPUTED_VALUE"""),8545.680000000033)</f>
        <v>8545.68</v>
      </c>
      <c r="AB152" s="26">
        <f>IFERROR(__xludf.DUMMYFUNCTION("""COMPUTED_VALUE"""),388049.5799999989)</f>
        <v>388049.58</v>
      </c>
      <c r="AC152" s="26">
        <f>IFERROR(__xludf.DUMMYFUNCTION("""COMPUTED_VALUE"""),-3560.0)</f>
        <v>-3560</v>
      </c>
      <c r="AD152" s="26">
        <f>IFERROR(__xludf.DUMMYFUNCTION("""COMPUTED_VALUE"""),762680.0)</f>
        <v>762680</v>
      </c>
      <c r="AE152" s="26">
        <f>IFERROR(__xludf.DUMMYFUNCTION("""COMPUTED_VALUE"""),0.0)</f>
        <v>0</v>
      </c>
    </row>
    <row r="153">
      <c r="A153" s="26">
        <f>IFERROR(__xludf.DUMMYFUNCTION("""COMPUTED_VALUE"""),0.0)</f>
        <v>0</v>
      </c>
      <c r="B153" s="26">
        <f>IFERROR(__xludf.DUMMYFUNCTION("""COMPUTED_VALUE"""),0.0)</f>
        <v>0</v>
      </c>
      <c r="C153" s="26">
        <f>IFERROR(__xludf.DUMMYFUNCTION("""COMPUTED_VALUE"""),0.0)</f>
        <v>0</v>
      </c>
      <c r="D153" s="26">
        <f>IFERROR(__xludf.DUMMYFUNCTION("""COMPUTED_VALUE"""),0.0)</f>
        <v>0</v>
      </c>
      <c r="E153" s="26">
        <f>IFERROR(__xludf.DUMMYFUNCTION("""COMPUTED_VALUE"""),0.0)</f>
        <v>0</v>
      </c>
      <c r="F153" s="26">
        <f>IFERROR(__xludf.DUMMYFUNCTION("""COMPUTED_VALUE"""),0.0)</f>
        <v>0</v>
      </c>
      <c r="G153" s="26">
        <f>IFERROR(__xludf.DUMMYFUNCTION("""COMPUTED_VALUE"""),0.0)</f>
        <v>0</v>
      </c>
      <c r="H153" s="26">
        <f>IFERROR(__xludf.DUMMYFUNCTION("""COMPUTED_VALUE"""),0.0)</f>
        <v>0</v>
      </c>
      <c r="I153" s="26">
        <f>IFERROR(__xludf.DUMMYFUNCTION("""COMPUTED_VALUE"""),0.0)</f>
        <v>0</v>
      </c>
      <c r="J153" s="26">
        <f>IFERROR(__xludf.DUMMYFUNCTION("""COMPUTED_VALUE"""),0.0)</f>
        <v>0</v>
      </c>
      <c r="K153" s="26">
        <f>IFERROR(__xludf.DUMMYFUNCTION("""COMPUTED_VALUE"""),0.0)</f>
        <v>0</v>
      </c>
      <c r="L153" s="26"/>
      <c r="M153" s="26"/>
      <c r="N153" s="26"/>
      <c r="O153" s="26"/>
      <c r="P153" s="26"/>
      <c r="Q153" s="26"/>
      <c r="R153" s="26">
        <f>IFERROR(__xludf.DUMMYFUNCTION("""COMPUTED_VALUE"""),0.0)</f>
        <v>0</v>
      </c>
      <c r="S153" s="26">
        <f>IFERROR(__xludf.DUMMYFUNCTION("""COMPUTED_VALUE"""),0.0)</f>
        <v>0</v>
      </c>
      <c r="T153" s="26">
        <f>IFERROR(__xludf.DUMMYFUNCTION("""COMPUTED_VALUE"""),0.0)</f>
        <v>0</v>
      </c>
      <c r="U153" s="26">
        <f>IFERROR(__xludf.DUMMYFUNCTION("""COMPUTED_VALUE"""),0.0)</f>
        <v>0</v>
      </c>
      <c r="V153" s="26">
        <f>IFERROR(__xludf.DUMMYFUNCTION("""COMPUTED_VALUE"""),0.0)</f>
        <v>0</v>
      </c>
      <c r="W153" s="26">
        <f>IFERROR(__xludf.DUMMYFUNCTION("""COMPUTED_VALUE"""),0.0)</f>
        <v>0</v>
      </c>
      <c r="X153" s="26">
        <f>IFERROR(__xludf.DUMMYFUNCTION("""COMPUTED_VALUE"""),0.0)</f>
        <v>0</v>
      </c>
      <c r="Y153" s="26">
        <f>IFERROR(__xludf.DUMMYFUNCTION("""COMPUTED_VALUE"""),0.0)</f>
        <v>0</v>
      </c>
      <c r="Z153" s="26">
        <f>IFERROR(__xludf.DUMMYFUNCTION("""COMPUTED_VALUE"""),0.0)</f>
        <v>0</v>
      </c>
      <c r="AA153" s="26">
        <f>IFERROR(__xludf.DUMMYFUNCTION("""COMPUTED_VALUE"""),0.0)</f>
        <v>0</v>
      </c>
      <c r="AB153" s="26">
        <f>IFERROR(__xludf.DUMMYFUNCTION("""COMPUTED_VALUE"""),0.0)</f>
        <v>0</v>
      </c>
      <c r="AC153" s="26">
        <f>IFERROR(__xludf.DUMMYFUNCTION("""COMPUTED_VALUE"""),968.0)</f>
        <v>968</v>
      </c>
      <c r="AD153" s="26">
        <f>IFERROR(__xludf.DUMMYFUNCTION("""COMPUTED_VALUE"""),968.0)</f>
        <v>968</v>
      </c>
      <c r="AE153" s="26">
        <f>IFERROR(__xludf.DUMMYFUNCTION("""COMPUTED_VALUE"""),0.0)</f>
        <v>0</v>
      </c>
    </row>
    <row r="154">
      <c r="A154" s="26">
        <f>IFERROR(__xludf.DUMMYFUNCTION("""COMPUTED_VALUE"""),1.0)</f>
        <v>1</v>
      </c>
      <c r="B154" s="26">
        <f>IFERROR(__xludf.DUMMYFUNCTION("""COMPUTED_VALUE"""),0.0)</f>
        <v>0</v>
      </c>
      <c r="C154" s="26">
        <f>IFERROR(__xludf.DUMMYFUNCTION("""COMPUTED_VALUE"""),0.0)</f>
        <v>0</v>
      </c>
      <c r="D154" s="26">
        <f>IFERROR(__xludf.DUMMYFUNCTION("""COMPUTED_VALUE"""),0.0)</f>
        <v>0</v>
      </c>
      <c r="E154" s="26">
        <f>IFERROR(__xludf.DUMMYFUNCTION("""COMPUTED_VALUE"""),0.0)</f>
        <v>0</v>
      </c>
      <c r="F154" s="26">
        <f>IFERROR(__xludf.DUMMYFUNCTION("""COMPUTED_VALUE"""),0.0)</f>
        <v>0</v>
      </c>
      <c r="G154" s="26">
        <f>IFERROR(__xludf.DUMMYFUNCTION("""COMPUTED_VALUE"""),0.0)</f>
        <v>0</v>
      </c>
      <c r="H154" s="26">
        <f>IFERROR(__xludf.DUMMYFUNCTION("""COMPUTED_VALUE"""),0.0)</f>
        <v>0</v>
      </c>
      <c r="I154" s="26">
        <f>IFERROR(__xludf.DUMMYFUNCTION("""COMPUTED_VALUE"""),0.0)</f>
        <v>0</v>
      </c>
      <c r="J154" s="26">
        <f>IFERROR(__xludf.DUMMYFUNCTION("""COMPUTED_VALUE"""),0.0)</f>
        <v>0</v>
      </c>
      <c r="K154" s="26">
        <f>IFERROR(__xludf.DUMMYFUNCTION("""COMPUTED_VALUE"""),0.0)</f>
        <v>0</v>
      </c>
      <c r="L154" s="26"/>
      <c r="M154" s="26"/>
      <c r="N154" s="26"/>
      <c r="O154" s="26"/>
      <c r="P154" s="26"/>
      <c r="Q154" s="26"/>
      <c r="R154" s="26">
        <f>IFERROR(__xludf.DUMMYFUNCTION("""COMPUTED_VALUE"""),390.0)</f>
        <v>390</v>
      </c>
      <c r="S154" s="26">
        <f>IFERROR(__xludf.DUMMYFUNCTION("""COMPUTED_VALUE"""),205.0)</f>
        <v>205</v>
      </c>
      <c r="T154" s="26">
        <f>IFERROR(__xludf.DUMMYFUNCTION("""COMPUTED_VALUE"""),0.0)</f>
        <v>0</v>
      </c>
      <c r="U154" s="26">
        <f>IFERROR(__xludf.DUMMYFUNCTION("""COMPUTED_VALUE"""),0.0)</f>
        <v>0</v>
      </c>
      <c r="V154" s="26">
        <f>IFERROR(__xludf.DUMMYFUNCTION("""COMPUTED_VALUE"""),59.49)</f>
        <v>59.49</v>
      </c>
      <c r="W154" s="26">
        <f>IFERROR(__xludf.DUMMYFUNCTION("""COMPUTED_VALUE"""),277.04)</f>
        <v>277.04</v>
      </c>
      <c r="X154" s="26">
        <f>IFERROR(__xludf.DUMMYFUNCTION("""COMPUTED_VALUE"""),277.04)</f>
        <v>277.04</v>
      </c>
      <c r="Y154" s="26">
        <f>IFERROR(__xludf.DUMMYFUNCTION("""COMPUTED_VALUE"""),0.0)</f>
        <v>0</v>
      </c>
      <c r="Z154" s="26">
        <f>IFERROR(__xludf.DUMMYFUNCTION("""COMPUTED_VALUE"""),112.96)</f>
        <v>112.96</v>
      </c>
      <c r="AA154" s="26">
        <f>IFERROR(__xludf.DUMMYFUNCTION("""COMPUTED_VALUE"""),12.55)</f>
        <v>12.55</v>
      </c>
      <c r="AB154" s="26">
        <f>IFERROR(__xludf.DUMMYFUNCTION("""COMPUTED_VALUE"""),0.0)</f>
        <v>0</v>
      </c>
      <c r="AC154" s="26">
        <f>IFERROR(__xludf.DUMMYFUNCTION("""COMPUTED_VALUE"""),367.0)</f>
        <v>367</v>
      </c>
      <c r="AD154" s="26">
        <f>IFERROR(__xludf.DUMMYFUNCTION("""COMPUTED_VALUE"""),367.0)</f>
        <v>367</v>
      </c>
      <c r="AE154" s="26">
        <f>IFERROR(__xludf.DUMMYFUNCTION("""COMPUTED_VALUE"""),0.0)</f>
        <v>0</v>
      </c>
    </row>
    <row r="155">
      <c r="A155" s="26">
        <f>IFERROR(__xludf.DUMMYFUNCTION("""COMPUTED_VALUE"""),6051.0)</f>
        <v>6051</v>
      </c>
      <c r="B155" s="26">
        <f>IFERROR(__xludf.DUMMYFUNCTION("""COMPUTED_VALUE"""),4.0)</f>
        <v>4</v>
      </c>
      <c r="C155" s="26">
        <f>IFERROR(__xludf.DUMMYFUNCTION("""COMPUTED_VALUE"""),0.0)</f>
        <v>0</v>
      </c>
      <c r="D155" s="26">
        <f>IFERROR(__xludf.DUMMYFUNCTION("""COMPUTED_VALUE"""),0.0)</f>
        <v>0</v>
      </c>
      <c r="E155" s="26">
        <f>IFERROR(__xludf.DUMMYFUNCTION("""COMPUTED_VALUE"""),0.0)</f>
        <v>0</v>
      </c>
      <c r="F155" s="26">
        <f>IFERROR(__xludf.DUMMYFUNCTION("""COMPUTED_VALUE"""),0.0)</f>
        <v>0</v>
      </c>
      <c r="G155" s="26">
        <f>IFERROR(__xludf.DUMMYFUNCTION("""COMPUTED_VALUE"""),0.0)</f>
        <v>0</v>
      </c>
      <c r="H155" s="26">
        <f>IFERROR(__xludf.DUMMYFUNCTION("""COMPUTED_VALUE"""),0.0)</f>
        <v>0</v>
      </c>
      <c r="I155" s="26">
        <f>IFERROR(__xludf.DUMMYFUNCTION("""COMPUTED_VALUE"""),0.0)</f>
        <v>0</v>
      </c>
      <c r="J155" s="26">
        <f>IFERROR(__xludf.DUMMYFUNCTION("""COMPUTED_VALUE"""),0.0)</f>
        <v>0</v>
      </c>
      <c r="K155" s="26">
        <f>IFERROR(__xludf.DUMMYFUNCTION("""COMPUTED_VALUE"""),0.0)</f>
        <v>0</v>
      </c>
      <c r="L155" s="26"/>
      <c r="M155" s="26"/>
      <c r="N155" s="26"/>
      <c r="O155" s="26"/>
      <c r="P155" s="26"/>
      <c r="Q155" s="26"/>
      <c r="R155" s="26">
        <f>IFERROR(__xludf.DUMMYFUNCTION("""COMPUTED_VALUE"""),2670686.0)</f>
        <v>2670686</v>
      </c>
      <c r="S155" s="26">
        <f>IFERROR(__xludf.DUMMYFUNCTION("""COMPUTED_VALUE"""),1041165.0)</f>
        <v>1041165</v>
      </c>
      <c r="T155" s="26">
        <f>IFERROR(__xludf.DUMMYFUNCTION("""COMPUTED_VALUE"""),33.71)</f>
        <v>33.71</v>
      </c>
      <c r="U155" s="26">
        <f>IFERROR(__xludf.DUMMYFUNCTION("""COMPUTED_VALUE"""),33.71)</f>
        <v>33.71</v>
      </c>
      <c r="V155" s="26">
        <f>IFERROR(__xludf.DUMMYFUNCTION("""COMPUTED_VALUE"""),407303.0399999954)</f>
        <v>407303.04</v>
      </c>
      <c r="W155" s="26">
        <f>IFERROR(__xludf.DUMMYFUNCTION("""COMPUTED_VALUE"""),2670686.0)</f>
        <v>2670686</v>
      </c>
      <c r="X155" s="26">
        <f>IFERROR(__xludf.DUMMYFUNCTION("""COMPUTED_VALUE"""),1498370.7499999802)</f>
        <v>1498370.75</v>
      </c>
      <c r="Y155" s="26">
        <f>IFERROR(__xludf.DUMMYFUNCTION("""COMPUTED_VALUE"""),1214638.4500000153)</f>
        <v>1214638.45</v>
      </c>
      <c r="Z155" s="26">
        <f>IFERROR(__xludf.DUMMYFUNCTION("""COMPUTED_VALUE"""),0.0)</f>
        <v>0</v>
      </c>
      <c r="AA155" s="26">
        <f>IFERROR(__xludf.DUMMYFUNCTION("""COMPUTED_VALUE"""),49835.28999999938)</f>
        <v>49835.29</v>
      </c>
      <c r="AB155" s="26">
        <f>IFERROR(__xludf.DUMMYFUNCTION("""COMPUTED_VALUE"""),1172315.2500000242)</f>
        <v>1172315.25</v>
      </c>
      <c r="AC155" s="26">
        <f>IFERROR(__xludf.DUMMYFUNCTION("""COMPUTED_VALUE"""),-126854.0)</f>
        <v>-126854</v>
      </c>
      <c r="AD155" s="26">
        <f>IFERROR(__xludf.DUMMYFUNCTION("""COMPUTED_VALUE"""),2468302.0)</f>
        <v>2468302</v>
      </c>
      <c r="AE155" s="26">
        <f>IFERROR(__xludf.DUMMYFUNCTION("""COMPUTED_VALUE"""),0.0)</f>
        <v>0</v>
      </c>
    </row>
    <row r="156">
      <c r="A156" s="26">
        <f>IFERROR(__xludf.DUMMYFUNCTION("""COMPUTED_VALUE"""),6141.0)</f>
        <v>6141</v>
      </c>
      <c r="B156" s="26">
        <f>IFERROR(__xludf.DUMMYFUNCTION("""COMPUTED_VALUE"""),1.0)</f>
        <v>1</v>
      </c>
      <c r="C156" s="26">
        <f>IFERROR(__xludf.DUMMYFUNCTION("""COMPUTED_VALUE"""),0.0)</f>
        <v>0</v>
      </c>
      <c r="D156" s="26">
        <f>IFERROR(__xludf.DUMMYFUNCTION("""COMPUTED_VALUE"""),0.0)</f>
        <v>0</v>
      </c>
      <c r="E156" s="26">
        <f>IFERROR(__xludf.DUMMYFUNCTION("""COMPUTED_VALUE"""),0.0)</f>
        <v>0</v>
      </c>
      <c r="F156" s="26">
        <f>IFERROR(__xludf.DUMMYFUNCTION("""COMPUTED_VALUE"""),0.0)</f>
        <v>0</v>
      </c>
      <c r="G156" s="26">
        <f>IFERROR(__xludf.DUMMYFUNCTION("""COMPUTED_VALUE"""),0.0)</f>
        <v>0</v>
      </c>
      <c r="H156" s="26">
        <f>IFERROR(__xludf.DUMMYFUNCTION("""COMPUTED_VALUE"""),0.0)</f>
        <v>0</v>
      </c>
      <c r="I156" s="26">
        <f>IFERROR(__xludf.DUMMYFUNCTION("""COMPUTED_VALUE"""),0.0)</f>
        <v>0</v>
      </c>
      <c r="J156" s="26">
        <f>IFERROR(__xludf.DUMMYFUNCTION("""COMPUTED_VALUE"""),0.0)</f>
        <v>0</v>
      </c>
      <c r="K156" s="26">
        <f>IFERROR(__xludf.DUMMYFUNCTION("""COMPUTED_VALUE"""),0.0)</f>
        <v>0</v>
      </c>
      <c r="L156" s="26"/>
      <c r="M156" s="26"/>
      <c r="N156" s="26"/>
      <c r="O156" s="26"/>
      <c r="P156" s="26"/>
      <c r="Q156" s="26"/>
      <c r="R156" s="26">
        <f>IFERROR(__xludf.DUMMYFUNCTION("""COMPUTED_VALUE"""),2714396.0)</f>
        <v>2714396</v>
      </c>
      <c r="S156" s="26">
        <f>IFERROR(__xludf.DUMMYFUNCTION("""COMPUTED_VALUE"""),1088470.0)</f>
        <v>1088470</v>
      </c>
      <c r="T156" s="26">
        <f>IFERROR(__xludf.DUMMYFUNCTION("""COMPUTED_VALUE"""),0.0)</f>
        <v>0</v>
      </c>
      <c r="U156" s="26">
        <f>IFERROR(__xludf.DUMMYFUNCTION("""COMPUTED_VALUE"""),0.0)</f>
        <v>0</v>
      </c>
      <c r="V156" s="26">
        <f>IFERROR(__xludf.DUMMYFUNCTION("""COMPUTED_VALUE"""),414037.52999999875)</f>
        <v>414037.53</v>
      </c>
      <c r="W156" s="26">
        <f>IFERROR(__xludf.DUMMYFUNCTION("""COMPUTED_VALUE"""),2740535.2399999998)</f>
        <v>2740535.24</v>
      </c>
      <c r="X156" s="26">
        <f>IFERROR(__xludf.DUMMYFUNCTION("""COMPUTED_VALUE"""),1588216.4900000202)</f>
        <v>1588216.49</v>
      </c>
      <c r="Y156" s="26">
        <f>IFERROR(__xludf.DUMMYFUNCTION("""COMPUTED_VALUE"""),1193000.140000003)</f>
        <v>1193000.14</v>
      </c>
      <c r="Z156" s="26">
        <f>IFERROR(__xludf.DUMMYFUNCTION("""COMPUTED_VALUE"""),29110.75999999995)</f>
        <v>29110.76</v>
      </c>
      <c r="AA156" s="26">
        <f>IFERROR(__xludf.DUMMYFUNCTION("""COMPUTED_VALUE"""),51656.45999999944)</f>
        <v>51656.46</v>
      </c>
      <c r="AB156" s="26">
        <f>IFERROR(__xludf.DUMMYFUNCTION("""COMPUTED_VALUE"""),1152318.7500000116)</f>
        <v>1152318.75</v>
      </c>
      <c r="AC156" s="26">
        <f>IFERROR(__xludf.DUMMYFUNCTION("""COMPUTED_VALUE"""),-1326.0)</f>
        <v>-1326</v>
      </c>
      <c r="AD156" s="26">
        <f>IFERROR(__xludf.DUMMYFUNCTION("""COMPUTED_VALUE"""),2413206.0)</f>
        <v>2413206</v>
      </c>
      <c r="AE156" s="26">
        <f>IFERROR(__xludf.DUMMYFUNCTION("""COMPUTED_VALUE"""),-903824.76)</f>
        <v>-903824.76</v>
      </c>
    </row>
    <row r="157">
      <c r="A157" s="26">
        <f>IFERROR(__xludf.DUMMYFUNCTION("""COMPUTED_VALUE"""),0.0)</f>
        <v>0</v>
      </c>
      <c r="B157" s="26">
        <f>IFERROR(__xludf.DUMMYFUNCTION("""COMPUTED_VALUE"""),0.0)</f>
        <v>0</v>
      </c>
      <c r="C157" s="26">
        <f>IFERROR(__xludf.DUMMYFUNCTION("""COMPUTED_VALUE"""),0.0)</f>
        <v>0</v>
      </c>
      <c r="D157" s="26">
        <f>IFERROR(__xludf.DUMMYFUNCTION("""COMPUTED_VALUE"""),0.0)</f>
        <v>0</v>
      </c>
      <c r="E157" s="26">
        <f>IFERROR(__xludf.DUMMYFUNCTION("""COMPUTED_VALUE"""),0.0)</f>
        <v>0</v>
      </c>
      <c r="F157" s="26">
        <f>IFERROR(__xludf.DUMMYFUNCTION("""COMPUTED_VALUE"""),0.0)</f>
        <v>0</v>
      </c>
      <c r="G157" s="26">
        <f>IFERROR(__xludf.DUMMYFUNCTION("""COMPUTED_VALUE"""),0.0)</f>
        <v>0</v>
      </c>
      <c r="H157" s="26">
        <f>IFERROR(__xludf.DUMMYFUNCTION("""COMPUTED_VALUE"""),0.0)</f>
        <v>0</v>
      </c>
      <c r="I157" s="26">
        <f>IFERROR(__xludf.DUMMYFUNCTION("""COMPUTED_VALUE"""),0.0)</f>
        <v>0</v>
      </c>
      <c r="J157" s="26">
        <f>IFERROR(__xludf.DUMMYFUNCTION("""COMPUTED_VALUE"""),0.0)</f>
        <v>0</v>
      </c>
      <c r="K157" s="26">
        <f>IFERROR(__xludf.DUMMYFUNCTION("""COMPUTED_VALUE"""),0.0)</f>
        <v>0</v>
      </c>
      <c r="L157" s="26"/>
      <c r="M157" s="26"/>
      <c r="N157" s="26"/>
      <c r="O157" s="26"/>
      <c r="P157" s="26"/>
      <c r="Q157" s="26"/>
      <c r="R157" s="26">
        <f>IFERROR(__xludf.DUMMYFUNCTION("""COMPUTED_VALUE"""),0.0)</f>
        <v>0</v>
      </c>
      <c r="S157" s="26">
        <f>IFERROR(__xludf.DUMMYFUNCTION("""COMPUTED_VALUE"""),0.0)</f>
        <v>0</v>
      </c>
      <c r="T157" s="26">
        <f>IFERROR(__xludf.DUMMYFUNCTION("""COMPUTED_VALUE"""),0.0)</f>
        <v>0</v>
      </c>
      <c r="U157" s="26">
        <f>IFERROR(__xludf.DUMMYFUNCTION("""COMPUTED_VALUE"""),0.0)</f>
        <v>0</v>
      </c>
      <c r="V157" s="26">
        <f>IFERROR(__xludf.DUMMYFUNCTION("""COMPUTED_VALUE"""),0.0)</f>
        <v>0</v>
      </c>
      <c r="W157" s="26">
        <f>IFERROR(__xludf.DUMMYFUNCTION("""COMPUTED_VALUE"""),0.0)</f>
        <v>0</v>
      </c>
      <c r="X157" s="26">
        <f>IFERROR(__xludf.DUMMYFUNCTION("""COMPUTED_VALUE"""),0.0)</f>
        <v>0</v>
      </c>
      <c r="Y157" s="26">
        <f>IFERROR(__xludf.DUMMYFUNCTION("""COMPUTED_VALUE"""),0.0)</f>
        <v>0</v>
      </c>
      <c r="Z157" s="26">
        <f>IFERROR(__xludf.DUMMYFUNCTION("""COMPUTED_VALUE"""),0.0)</f>
        <v>0</v>
      </c>
      <c r="AA157" s="26">
        <f>IFERROR(__xludf.DUMMYFUNCTION("""COMPUTED_VALUE"""),0.0)</f>
        <v>0</v>
      </c>
      <c r="AB157" s="26">
        <f>IFERROR(__xludf.DUMMYFUNCTION("""COMPUTED_VALUE"""),0.0)</f>
        <v>0</v>
      </c>
      <c r="AC157" s="26">
        <f>IFERROR(__xludf.DUMMYFUNCTION("""COMPUTED_VALUE"""),-990.0)</f>
        <v>-990</v>
      </c>
      <c r="AD157" s="26">
        <f>IFERROR(__xludf.DUMMYFUNCTION("""COMPUTED_VALUE"""),-990.0)</f>
        <v>-990</v>
      </c>
      <c r="AE157" s="26">
        <f>IFERROR(__xludf.DUMMYFUNCTION("""COMPUTED_VALUE"""),0.0)</f>
        <v>0</v>
      </c>
    </row>
    <row r="158">
      <c r="A158" s="26">
        <f>IFERROR(__xludf.DUMMYFUNCTION("""COMPUTED_VALUE"""),2342.0)</f>
        <v>2342</v>
      </c>
      <c r="B158" s="26">
        <f>IFERROR(__xludf.DUMMYFUNCTION("""COMPUTED_VALUE"""),0.0)</f>
        <v>0</v>
      </c>
      <c r="C158" s="26">
        <f>IFERROR(__xludf.DUMMYFUNCTION("""COMPUTED_VALUE"""),0.0)</f>
        <v>0</v>
      </c>
      <c r="D158" s="26">
        <f>IFERROR(__xludf.DUMMYFUNCTION("""COMPUTED_VALUE"""),0.0)</f>
        <v>0</v>
      </c>
      <c r="E158" s="26">
        <f>IFERROR(__xludf.DUMMYFUNCTION("""COMPUTED_VALUE"""),0.0)</f>
        <v>0</v>
      </c>
      <c r="F158" s="26">
        <f>IFERROR(__xludf.DUMMYFUNCTION("""COMPUTED_VALUE"""),0.0)</f>
        <v>0</v>
      </c>
      <c r="G158" s="26">
        <f>IFERROR(__xludf.DUMMYFUNCTION("""COMPUTED_VALUE"""),0.0)</f>
        <v>0</v>
      </c>
      <c r="H158" s="26">
        <f>IFERROR(__xludf.DUMMYFUNCTION("""COMPUTED_VALUE"""),0.0)</f>
        <v>0</v>
      </c>
      <c r="I158" s="26">
        <f>IFERROR(__xludf.DUMMYFUNCTION("""COMPUTED_VALUE"""),0.0)</f>
        <v>0</v>
      </c>
      <c r="J158" s="26">
        <f>IFERROR(__xludf.DUMMYFUNCTION("""COMPUTED_VALUE"""),0.0)</f>
        <v>0</v>
      </c>
      <c r="K158" s="26">
        <f>IFERROR(__xludf.DUMMYFUNCTION("""COMPUTED_VALUE"""),0.0)</f>
        <v>0</v>
      </c>
      <c r="L158" s="26"/>
      <c r="M158" s="26"/>
      <c r="N158" s="26"/>
      <c r="O158" s="26"/>
      <c r="P158" s="26"/>
      <c r="Q158" s="26"/>
      <c r="R158" s="26">
        <f>IFERROR(__xludf.DUMMYFUNCTION("""COMPUTED_VALUE"""),914264.0)</f>
        <v>914264</v>
      </c>
      <c r="S158" s="26">
        <f>IFERROR(__xludf.DUMMYFUNCTION("""COMPUTED_VALUE"""),385635.0)</f>
        <v>385635</v>
      </c>
      <c r="T158" s="26">
        <f>IFERROR(__xludf.DUMMYFUNCTION("""COMPUTED_VALUE"""),0.0)</f>
        <v>0</v>
      </c>
      <c r="U158" s="26">
        <f>IFERROR(__xludf.DUMMYFUNCTION("""COMPUTED_VALUE"""),0.0)</f>
        <v>0</v>
      </c>
      <c r="V158" s="26">
        <f>IFERROR(__xludf.DUMMYFUNCTION("""COMPUTED_VALUE"""),139460.39000000016)</f>
        <v>139460.39</v>
      </c>
      <c r="W158" s="26">
        <f>IFERROR(__xludf.DUMMYFUNCTION("""COMPUTED_VALUE"""),871288.0799999993)</f>
        <v>871288.08</v>
      </c>
      <c r="X158" s="26">
        <f>IFERROR(__xludf.DUMMYFUNCTION("""COMPUTED_VALUE"""),546599.2599999985)</f>
        <v>546599.26</v>
      </c>
      <c r="Y158" s="26">
        <f>IFERROR(__xludf.DUMMYFUNCTION("""COMPUTED_VALUE"""),341605.54999999865)</f>
        <v>341605.55</v>
      </c>
      <c r="Z158" s="26">
        <f>IFERROR(__xludf.DUMMYFUNCTION("""COMPUTED_VALUE"""),42585.919999999736)</f>
        <v>42585.92</v>
      </c>
      <c r="AA158" s="26">
        <f>IFERROR(__xludf.DUMMYFUNCTION("""COMPUTED_VALUE"""),21718.36000000003)</f>
        <v>21718.36</v>
      </c>
      <c r="AB158" s="26">
        <f>IFERROR(__xludf.DUMMYFUNCTION("""COMPUTED_VALUE"""),324688.8199999997)</f>
        <v>324688.82</v>
      </c>
      <c r="AC158" s="26">
        <f>IFERROR(__xludf.DUMMYFUNCTION("""COMPUTED_VALUE"""),-32691.0)</f>
        <v>-32691</v>
      </c>
      <c r="AD158" s="26">
        <f>IFERROR(__xludf.DUMMYFUNCTION("""COMPUTED_VALUE"""),826659.0)</f>
        <v>826659</v>
      </c>
      <c r="AE158" s="26">
        <f>IFERROR(__xludf.DUMMYFUNCTION("""COMPUTED_VALUE"""),-55914.92)</f>
        <v>-55914.92</v>
      </c>
    </row>
    <row r="159">
      <c r="A159" s="26">
        <f>IFERROR(__xludf.DUMMYFUNCTION("""COMPUTED_VALUE"""),0.0)</f>
        <v>0</v>
      </c>
      <c r="B159" s="26">
        <f>IFERROR(__xludf.DUMMYFUNCTION("""COMPUTED_VALUE"""),0.0)</f>
        <v>0</v>
      </c>
      <c r="C159" s="26">
        <f>IFERROR(__xludf.DUMMYFUNCTION("""COMPUTED_VALUE"""),309.0)</f>
        <v>309</v>
      </c>
      <c r="D159" s="26">
        <f>IFERROR(__xludf.DUMMYFUNCTION("""COMPUTED_VALUE"""),0.0)</f>
        <v>0</v>
      </c>
      <c r="E159" s="26">
        <f>IFERROR(__xludf.DUMMYFUNCTION("""COMPUTED_VALUE"""),0.0)</f>
        <v>0</v>
      </c>
      <c r="F159" s="26">
        <f>IFERROR(__xludf.DUMMYFUNCTION("""COMPUTED_VALUE"""),0.0)</f>
        <v>0</v>
      </c>
      <c r="G159" s="26">
        <f>IFERROR(__xludf.DUMMYFUNCTION("""COMPUTED_VALUE"""),0.0)</f>
        <v>0</v>
      </c>
      <c r="H159" s="26">
        <f>IFERROR(__xludf.DUMMYFUNCTION("""COMPUTED_VALUE"""),0.0)</f>
        <v>0</v>
      </c>
      <c r="I159" s="26">
        <f>IFERROR(__xludf.DUMMYFUNCTION("""COMPUTED_VALUE"""),0.0)</f>
        <v>0</v>
      </c>
      <c r="J159" s="26">
        <f>IFERROR(__xludf.DUMMYFUNCTION("""COMPUTED_VALUE"""),0.0)</f>
        <v>0</v>
      </c>
      <c r="K159" s="26">
        <f>IFERROR(__xludf.DUMMYFUNCTION("""COMPUTED_VALUE"""),0.0)</f>
        <v>0</v>
      </c>
      <c r="L159" s="26"/>
      <c r="M159" s="26"/>
      <c r="N159" s="26"/>
      <c r="O159" s="26"/>
      <c r="P159" s="26"/>
      <c r="Q159" s="26"/>
      <c r="R159" s="26">
        <f>IFERROR(__xludf.DUMMYFUNCTION("""COMPUTED_VALUE"""),213210.0)</f>
        <v>213210</v>
      </c>
      <c r="S159" s="26">
        <f>IFERROR(__xludf.DUMMYFUNCTION("""COMPUTED_VALUE"""),77200.0)</f>
        <v>77200</v>
      </c>
      <c r="T159" s="26">
        <f>IFERROR(__xludf.DUMMYFUNCTION("""COMPUTED_VALUE"""),0.0)</f>
        <v>0</v>
      </c>
      <c r="U159" s="26">
        <f>IFERROR(__xludf.DUMMYFUNCTION("""COMPUTED_VALUE"""),0.0)</f>
        <v>0</v>
      </c>
      <c r="V159" s="26">
        <f>IFERROR(__xludf.DUMMYFUNCTION("""COMPUTED_VALUE"""),32522.25)</f>
        <v>32522.25</v>
      </c>
      <c r="W159" s="26">
        <f>IFERROR(__xludf.DUMMYFUNCTION("""COMPUTED_VALUE"""),213210.0)</f>
        <v>213210</v>
      </c>
      <c r="X159" s="26">
        <f>IFERROR(__xludf.DUMMYFUNCTION("""COMPUTED_VALUE"""),113454.8599999999)</f>
        <v>113454.86</v>
      </c>
      <c r="Y159" s="26">
        <f>IFERROR(__xludf.DUMMYFUNCTION("""COMPUTED_VALUE"""),102527.68000000008)</f>
        <v>102527.68</v>
      </c>
      <c r="Z159" s="26">
        <f>IFERROR(__xludf.DUMMYFUNCTION("""COMPUTED_VALUE"""),0.0)</f>
        <v>0</v>
      </c>
      <c r="AA159" s="26">
        <f>IFERROR(__xludf.DUMMYFUNCTION("""COMPUTED_VALUE"""),3734.23999999999)</f>
        <v>3734.24</v>
      </c>
      <c r="AB159" s="26">
        <f>IFERROR(__xludf.DUMMYFUNCTION("""COMPUTED_VALUE"""),99755.14000000013)</f>
        <v>99755.14</v>
      </c>
      <c r="AC159" s="26">
        <f>IFERROR(__xludf.DUMMYFUNCTION("""COMPUTED_VALUE"""),0.0)</f>
        <v>0</v>
      </c>
      <c r="AD159" s="26">
        <f>IFERROR(__xludf.DUMMYFUNCTION("""COMPUTED_VALUE"""),213210.0)</f>
        <v>213210</v>
      </c>
      <c r="AE159" s="26">
        <f>IFERROR(__xludf.DUMMYFUNCTION("""COMPUTED_VALUE"""),0.0)</f>
        <v>0</v>
      </c>
    </row>
    <row r="160">
      <c r="A160" s="26">
        <f>IFERROR(__xludf.DUMMYFUNCTION("""COMPUTED_VALUE"""),0.0)</f>
        <v>0</v>
      </c>
      <c r="B160" s="26">
        <f>IFERROR(__xludf.DUMMYFUNCTION("""COMPUTED_VALUE"""),0.0)</f>
        <v>0</v>
      </c>
      <c r="C160" s="26">
        <f>IFERROR(__xludf.DUMMYFUNCTION("""COMPUTED_VALUE"""),0.0)</f>
        <v>0</v>
      </c>
      <c r="D160" s="26">
        <f>IFERROR(__xludf.DUMMYFUNCTION("""COMPUTED_VALUE"""),0.0)</f>
        <v>0</v>
      </c>
      <c r="E160" s="26">
        <f>IFERROR(__xludf.DUMMYFUNCTION("""COMPUTED_VALUE"""),0.0)</f>
        <v>0</v>
      </c>
      <c r="F160" s="26">
        <f>IFERROR(__xludf.DUMMYFUNCTION("""COMPUTED_VALUE"""),0.0)</f>
        <v>0</v>
      </c>
      <c r="G160" s="26">
        <f>IFERROR(__xludf.DUMMYFUNCTION("""COMPUTED_VALUE"""),0.0)</f>
        <v>0</v>
      </c>
      <c r="H160" s="26">
        <f>IFERROR(__xludf.DUMMYFUNCTION("""COMPUTED_VALUE"""),0.0)</f>
        <v>0</v>
      </c>
      <c r="I160" s="26">
        <f>IFERROR(__xludf.DUMMYFUNCTION("""COMPUTED_VALUE"""),0.0)</f>
        <v>0</v>
      </c>
      <c r="J160" s="26">
        <f>IFERROR(__xludf.DUMMYFUNCTION("""COMPUTED_VALUE"""),0.0)</f>
        <v>0</v>
      </c>
      <c r="K160" s="26">
        <f>IFERROR(__xludf.DUMMYFUNCTION("""COMPUTED_VALUE"""),0.0)</f>
        <v>0</v>
      </c>
      <c r="L160" s="26"/>
      <c r="M160" s="26"/>
      <c r="N160" s="26"/>
      <c r="O160" s="26"/>
      <c r="P160" s="26"/>
      <c r="Q160" s="26"/>
      <c r="R160" s="26">
        <f>IFERROR(__xludf.DUMMYFUNCTION("""COMPUTED_VALUE"""),0.0)</f>
        <v>0</v>
      </c>
      <c r="S160" s="26">
        <f>IFERROR(__xludf.DUMMYFUNCTION("""COMPUTED_VALUE"""),0.0)</f>
        <v>0</v>
      </c>
      <c r="T160" s="26">
        <f>IFERROR(__xludf.DUMMYFUNCTION("""COMPUTED_VALUE"""),0.0)</f>
        <v>0</v>
      </c>
      <c r="U160" s="26">
        <f>IFERROR(__xludf.DUMMYFUNCTION("""COMPUTED_VALUE"""),0.0)</f>
        <v>0</v>
      </c>
      <c r="V160" s="26">
        <f>IFERROR(__xludf.DUMMYFUNCTION("""COMPUTED_VALUE"""),0.0)</f>
        <v>0</v>
      </c>
      <c r="W160" s="26">
        <f>IFERROR(__xludf.DUMMYFUNCTION("""COMPUTED_VALUE"""),0.0)</f>
        <v>0</v>
      </c>
      <c r="X160" s="26">
        <f>IFERROR(__xludf.DUMMYFUNCTION("""COMPUTED_VALUE"""),0.0)</f>
        <v>0</v>
      </c>
      <c r="Y160" s="26">
        <f>IFERROR(__xludf.DUMMYFUNCTION("""COMPUTED_VALUE"""),0.0)</f>
        <v>0</v>
      </c>
      <c r="Z160" s="26">
        <f>IFERROR(__xludf.DUMMYFUNCTION("""COMPUTED_VALUE"""),0.0)</f>
        <v>0</v>
      </c>
      <c r="AA160" s="26">
        <f>IFERROR(__xludf.DUMMYFUNCTION("""COMPUTED_VALUE"""),0.0)</f>
        <v>0</v>
      </c>
      <c r="AB160" s="26">
        <f>IFERROR(__xludf.DUMMYFUNCTION("""COMPUTED_VALUE"""),0.0)</f>
        <v>0</v>
      </c>
      <c r="AC160" s="26">
        <f>IFERROR(__xludf.DUMMYFUNCTION("""COMPUTED_VALUE"""),0.0)</f>
        <v>0</v>
      </c>
      <c r="AD160" s="26">
        <f>IFERROR(__xludf.DUMMYFUNCTION("""COMPUTED_VALUE"""),0.0)</f>
        <v>0</v>
      </c>
      <c r="AE160" s="26">
        <f>IFERROR(__xludf.DUMMYFUNCTION("""COMPUTED_VALUE"""),0.0)</f>
        <v>0</v>
      </c>
    </row>
    <row r="161">
      <c r="A161" s="26">
        <f>IFERROR(__xludf.DUMMYFUNCTION("""COMPUTED_VALUE"""),0.0)</f>
        <v>0</v>
      </c>
      <c r="B161" s="26">
        <f>IFERROR(__xludf.DUMMYFUNCTION("""COMPUTED_VALUE"""),1.0)</f>
        <v>1</v>
      </c>
      <c r="C161" s="26">
        <f>IFERROR(__xludf.DUMMYFUNCTION("""COMPUTED_VALUE"""),818.0)</f>
        <v>818</v>
      </c>
      <c r="D161" s="26">
        <f>IFERROR(__xludf.DUMMYFUNCTION("""COMPUTED_VALUE"""),0.0)</f>
        <v>0</v>
      </c>
      <c r="E161" s="26">
        <f>IFERROR(__xludf.DUMMYFUNCTION("""COMPUTED_VALUE"""),0.0)</f>
        <v>0</v>
      </c>
      <c r="F161" s="26">
        <f>IFERROR(__xludf.DUMMYFUNCTION("""COMPUTED_VALUE"""),0.0)</f>
        <v>0</v>
      </c>
      <c r="G161" s="26">
        <f>IFERROR(__xludf.DUMMYFUNCTION("""COMPUTED_VALUE"""),0.0)</f>
        <v>0</v>
      </c>
      <c r="H161" s="26">
        <f>IFERROR(__xludf.DUMMYFUNCTION("""COMPUTED_VALUE"""),0.0)</f>
        <v>0</v>
      </c>
      <c r="I161" s="26">
        <f>IFERROR(__xludf.DUMMYFUNCTION("""COMPUTED_VALUE"""),0.0)</f>
        <v>0</v>
      </c>
      <c r="J161" s="26">
        <f>IFERROR(__xludf.DUMMYFUNCTION("""COMPUTED_VALUE"""),0.0)</f>
        <v>0</v>
      </c>
      <c r="K161" s="26">
        <f>IFERROR(__xludf.DUMMYFUNCTION("""COMPUTED_VALUE"""),0.0)</f>
        <v>0</v>
      </c>
      <c r="L161" s="26"/>
      <c r="M161" s="26"/>
      <c r="N161" s="26"/>
      <c r="O161" s="26"/>
      <c r="P161" s="26"/>
      <c r="Q161" s="26"/>
      <c r="R161" s="26">
        <f>IFERROR(__xludf.DUMMYFUNCTION("""COMPUTED_VALUE"""),361946.0)</f>
        <v>361946</v>
      </c>
      <c r="S161" s="26">
        <f>IFERROR(__xludf.DUMMYFUNCTION("""COMPUTED_VALUE"""),175395.0)</f>
        <v>175395</v>
      </c>
      <c r="T161" s="26">
        <f>IFERROR(__xludf.DUMMYFUNCTION("""COMPUTED_VALUE"""),0.0)</f>
        <v>0</v>
      </c>
      <c r="U161" s="26">
        <f>IFERROR(__xludf.DUMMYFUNCTION("""COMPUTED_VALUE"""),0.0)</f>
        <v>0</v>
      </c>
      <c r="V161" s="26">
        <f>IFERROR(__xludf.DUMMYFUNCTION("""COMPUTED_VALUE"""),55209.05000000005)</f>
        <v>55209.05</v>
      </c>
      <c r="W161" s="26">
        <f>IFERROR(__xludf.DUMMYFUNCTION("""COMPUTED_VALUE"""),238963.12000000008)</f>
        <v>238963.12</v>
      </c>
      <c r="X161" s="26">
        <f>IFERROR(__xludf.DUMMYFUNCTION("""COMPUTED_VALUE"""),237768.9600000001)</f>
        <v>237768.96</v>
      </c>
      <c r="Y161" s="26">
        <f>IFERROR(__xludf.DUMMYFUNCTION("""COMPUTED_VALUE"""),95523.46000000008)</f>
        <v>95523.46</v>
      </c>
      <c r="Z161" s="26">
        <f>IFERROR(__xludf.DUMMYFUNCTION("""COMPUTED_VALUE"""),122982.87999999996)</f>
        <v>122982.88</v>
      </c>
      <c r="AA161" s="26">
        <f>IFERROR(__xludf.DUMMYFUNCTION("""COMPUTED_VALUE"""),8359.070000000014)</f>
        <v>8359.07</v>
      </c>
      <c r="AB161" s="26">
        <f>IFERROR(__xludf.DUMMYFUNCTION("""COMPUTED_VALUE"""),0.0)</f>
        <v>0</v>
      </c>
      <c r="AC161" s="26">
        <f>IFERROR(__xludf.DUMMYFUNCTION("""COMPUTED_VALUE"""),0.0)</f>
        <v>0</v>
      </c>
      <c r="AD161" s="26">
        <f>IFERROR(__xludf.DUMMYFUNCTION("""COMPUTED_VALUE"""),240000.0)</f>
        <v>240000</v>
      </c>
      <c r="AE161" s="26">
        <f>IFERROR(__xludf.DUMMYFUNCTION("""COMPUTED_VALUE"""),0.0)</f>
        <v>0</v>
      </c>
    </row>
    <row r="162">
      <c r="A162" s="26">
        <f>IFERROR(__xludf.DUMMYFUNCTION("""COMPUTED_VALUE"""),0.0)</f>
        <v>0</v>
      </c>
      <c r="B162" s="26">
        <f>IFERROR(__xludf.DUMMYFUNCTION("""COMPUTED_VALUE"""),3005.0)</f>
        <v>3005</v>
      </c>
      <c r="C162" s="26">
        <f>IFERROR(__xludf.DUMMYFUNCTION("""COMPUTED_VALUE"""),0.0)</f>
        <v>0</v>
      </c>
      <c r="D162" s="26">
        <f>IFERROR(__xludf.DUMMYFUNCTION("""COMPUTED_VALUE"""),0.0)</f>
        <v>0</v>
      </c>
      <c r="E162" s="26">
        <f>IFERROR(__xludf.DUMMYFUNCTION("""COMPUTED_VALUE"""),0.0)</f>
        <v>0</v>
      </c>
      <c r="F162" s="26">
        <f>IFERROR(__xludf.DUMMYFUNCTION("""COMPUTED_VALUE"""),0.0)</f>
        <v>0</v>
      </c>
      <c r="G162" s="26">
        <f>IFERROR(__xludf.DUMMYFUNCTION("""COMPUTED_VALUE"""),0.0)</f>
        <v>0</v>
      </c>
      <c r="H162" s="26">
        <f>IFERROR(__xludf.DUMMYFUNCTION("""COMPUTED_VALUE"""),0.0)</f>
        <v>0</v>
      </c>
      <c r="I162" s="26">
        <f>IFERROR(__xludf.DUMMYFUNCTION("""COMPUTED_VALUE"""),0.0)</f>
        <v>0</v>
      </c>
      <c r="J162" s="26">
        <f>IFERROR(__xludf.DUMMYFUNCTION("""COMPUTED_VALUE"""),0.0)</f>
        <v>0</v>
      </c>
      <c r="K162" s="26">
        <f>IFERROR(__xludf.DUMMYFUNCTION("""COMPUTED_VALUE"""),0.0)</f>
        <v>0</v>
      </c>
      <c r="L162" s="26"/>
      <c r="M162" s="26"/>
      <c r="N162" s="26"/>
      <c r="O162" s="26"/>
      <c r="P162" s="26"/>
      <c r="Q162" s="26"/>
      <c r="R162" s="26">
        <f>IFERROR(__xludf.DUMMYFUNCTION("""COMPUTED_VALUE"""),283672.00000000116)</f>
        <v>283672</v>
      </c>
      <c r="S162" s="26">
        <f>IFERROR(__xludf.DUMMYFUNCTION("""COMPUTED_VALUE"""),240400.0)</f>
        <v>240400</v>
      </c>
      <c r="T162" s="26">
        <f>IFERROR(__xludf.DUMMYFUNCTION("""COMPUTED_VALUE"""),0.0)</f>
        <v>0</v>
      </c>
      <c r="U162" s="26">
        <f>IFERROR(__xludf.DUMMYFUNCTION("""COMPUTED_VALUE"""),0.0)</f>
        <v>0</v>
      </c>
      <c r="V162" s="26">
        <f>IFERROR(__xludf.DUMMYFUNCTION("""COMPUTED_VALUE"""),43271.99999999982)</f>
        <v>43272</v>
      </c>
      <c r="W162" s="26">
        <f>IFERROR(__xludf.DUMMYFUNCTION("""COMPUTED_VALUE"""),283577.60000000114)</f>
        <v>283577.6</v>
      </c>
      <c r="X162" s="26">
        <f>IFERROR(__xludf.DUMMYFUNCTION("""COMPUTED_VALUE"""),283577.60000000114)</f>
        <v>283577.6</v>
      </c>
      <c r="Y162" s="26">
        <f>IFERROR(__xludf.DUMMYFUNCTION("""COMPUTED_VALUE"""),0.0)</f>
        <v>0</v>
      </c>
      <c r="Z162" s="26">
        <f>IFERROR(__xludf.DUMMYFUNCTION("""COMPUTED_VALUE"""),0.0)</f>
        <v>0</v>
      </c>
      <c r="AA162" s="26">
        <f>IFERROR(__xludf.DUMMYFUNCTION("""COMPUTED_VALUE"""),0.0)</f>
        <v>0</v>
      </c>
      <c r="AB162" s="26">
        <f>IFERROR(__xludf.DUMMYFUNCTION("""COMPUTED_VALUE"""),0.0)</f>
        <v>0</v>
      </c>
      <c r="AC162" s="26">
        <f>IFERROR(__xludf.DUMMYFUNCTION("""COMPUTED_VALUE"""),0.0)</f>
        <v>0</v>
      </c>
      <c r="AD162" s="26">
        <f>IFERROR(__xludf.DUMMYFUNCTION("""COMPUTED_VALUE"""),257900.6)</f>
        <v>257900.6</v>
      </c>
      <c r="AE162" s="26">
        <f>IFERROR(__xludf.DUMMYFUNCTION("""COMPUTED_VALUE"""),0.0)</f>
        <v>0</v>
      </c>
    </row>
    <row r="163">
      <c r="A163" s="26">
        <f>IFERROR(__xludf.DUMMYFUNCTION("""COMPUTED_VALUE"""),0.0)</f>
        <v>0</v>
      </c>
      <c r="B163" s="26">
        <f>IFERROR(__xludf.DUMMYFUNCTION("""COMPUTED_VALUE"""),64.0)</f>
        <v>64</v>
      </c>
      <c r="C163" s="26">
        <f>IFERROR(__xludf.DUMMYFUNCTION("""COMPUTED_VALUE"""),0.0)</f>
        <v>0</v>
      </c>
      <c r="D163" s="26">
        <f>IFERROR(__xludf.DUMMYFUNCTION("""COMPUTED_VALUE"""),0.0)</f>
        <v>0</v>
      </c>
      <c r="E163" s="26">
        <f>IFERROR(__xludf.DUMMYFUNCTION("""COMPUTED_VALUE"""),0.0)</f>
        <v>0</v>
      </c>
      <c r="F163" s="26">
        <f>IFERROR(__xludf.DUMMYFUNCTION("""COMPUTED_VALUE"""),0.0)</f>
        <v>0</v>
      </c>
      <c r="G163" s="26">
        <f>IFERROR(__xludf.DUMMYFUNCTION("""COMPUTED_VALUE"""),0.0)</f>
        <v>0</v>
      </c>
      <c r="H163" s="26">
        <f>IFERROR(__xludf.DUMMYFUNCTION("""COMPUTED_VALUE"""),0.0)</f>
        <v>0</v>
      </c>
      <c r="I163" s="26">
        <f>IFERROR(__xludf.DUMMYFUNCTION("""COMPUTED_VALUE"""),0.0)</f>
        <v>0</v>
      </c>
      <c r="J163" s="26">
        <f>IFERROR(__xludf.DUMMYFUNCTION("""COMPUTED_VALUE"""),0.0)</f>
        <v>0</v>
      </c>
      <c r="K163" s="26">
        <f>IFERROR(__xludf.DUMMYFUNCTION("""COMPUTED_VALUE"""),0.0)</f>
        <v>0</v>
      </c>
      <c r="L163" s="26"/>
      <c r="M163" s="26"/>
      <c r="N163" s="26"/>
      <c r="O163" s="26"/>
      <c r="P163" s="26"/>
      <c r="Q163" s="26"/>
      <c r="R163" s="26">
        <f>IFERROR(__xludf.DUMMYFUNCTION("""COMPUTED_VALUE"""),23454.0)</f>
        <v>23454</v>
      </c>
      <c r="S163" s="26">
        <f>IFERROR(__xludf.DUMMYFUNCTION("""COMPUTED_VALUE"""),10135.0)</f>
        <v>10135</v>
      </c>
      <c r="T163" s="26">
        <f>IFERROR(__xludf.DUMMYFUNCTION("""COMPUTED_VALUE"""),0.0)</f>
        <v>0</v>
      </c>
      <c r="U163" s="26">
        <f>IFERROR(__xludf.DUMMYFUNCTION("""COMPUTED_VALUE"""),0.0)</f>
        <v>0</v>
      </c>
      <c r="V163" s="26">
        <f>IFERROR(__xludf.DUMMYFUNCTION("""COMPUTED_VALUE"""),3577.69)</f>
        <v>3577.69</v>
      </c>
      <c r="W163" s="26">
        <f>IFERROR(__xludf.DUMMYFUNCTION("""COMPUTED_VALUE"""),23454.0)</f>
        <v>23454</v>
      </c>
      <c r="X163" s="26">
        <f>IFERROR(__xludf.DUMMYFUNCTION("""COMPUTED_VALUE"""),14135.96999999999)</f>
        <v>14135.97</v>
      </c>
      <c r="Y163" s="26">
        <f>IFERROR(__xludf.DUMMYFUNCTION("""COMPUTED_VALUE"""),9699.17)</f>
        <v>9699.17</v>
      </c>
      <c r="Z163" s="26">
        <f>IFERROR(__xludf.DUMMYFUNCTION("""COMPUTED_VALUE"""),0.0)</f>
        <v>0</v>
      </c>
      <c r="AA163" s="26">
        <f>IFERROR(__xludf.DUMMYFUNCTION("""COMPUTED_VALUE"""),423.28000000000003)</f>
        <v>423.28</v>
      </c>
      <c r="AB163" s="26">
        <f>IFERROR(__xludf.DUMMYFUNCTION("""COMPUTED_VALUE"""),9318.03)</f>
        <v>9318.03</v>
      </c>
      <c r="AC163" s="26">
        <f>IFERROR(__xludf.DUMMYFUNCTION("""COMPUTED_VALUE"""),0.0)</f>
        <v>0</v>
      </c>
      <c r="AD163" s="26">
        <f>IFERROR(__xludf.DUMMYFUNCTION("""COMPUTED_VALUE"""),5656.0)</f>
        <v>5656</v>
      </c>
      <c r="AE163" s="26">
        <f>IFERROR(__xludf.DUMMYFUNCTION("""COMPUTED_VALUE"""),10051.0)</f>
        <v>10051</v>
      </c>
    </row>
    <row r="164">
      <c r="A164" s="26">
        <f>IFERROR(__xludf.DUMMYFUNCTION("""COMPUTED_VALUE"""),0.0)</f>
        <v>0</v>
      </c>
      <c r="B164" s="26">
        <f>IFERROR(__xludf.DUMMYFUNCTION("""COMPUTED_VALUE"""),0.0)</f>
        <v>0</v>
      </c>
      <c r="C164" s="26">
        <f>IFERROR(__xludf.DUMMYFUNCTION("""COMPUTED_VALUE"""),0.0)</f>
        <v>0</v>
      </c>
      <c r="D164" s="26">
        <f>IFERROR(__xludf.DUMMYFUNCTION("""COMPUTED_VALUE"""),0.0)</f>
        <v>0</v>
      </c>
      <c r="E164" s="26">
        <f>IFERROR(__xludf.DUMMYFUNCTION("""COMPUTED_VALUE"""),0.0)</f>
        <v>0</v>
      </c>
      <c r="F164" s="26">
        <f>IFERROR(__xludf.DUMMYFUNCTION("""COMPUTED_VALUE"""),0.0)</f>
        <v>0</v>
      </c>
      <c r="G164" s="26">
        <f>IFERROR(__xludf.DUMMYFUNCTION("""COMPUTED_VALUE"""),0.0)</f>
        <v>0</v>
      </c>
      <c r="H164" s="26">
        <f>IFERROR(__xludf.DUMMYFUNCTION("""COMPUTED_VALUE"""),0.0)</f>
        <v>0</v>
      </c>
      <c r="I164" s="26">
        <f>IFERROR(__xludf.DUMMYFUNCTION("""COMPUTED_VALUE"""),0.0)</f>
        <v>0</v>
      </c>
      <c r="J164" s="26">
        <f>IFERROR(__xludf.DUMMYFUNCTION("""COMPUTED_VALUE"""),0.0)</f>
        <v>0</v>
      </c>
      <c r="K164" s="26">
        <f>IFERROR(__xludf.DUMMYFUNCTION("""COMPUTED_VALUE"""),0.0)</f>
        <v>0</v>
      </c>
      <c r="L164" s="26"/>
      <c r="M164" s="26"/>
      <c r="N164" s="26"/>
      <c r="O164" s="26"/>
      <c r="P164" s="26"/>
      <c r="Q164" s="26"/>
      <c r="R164" s="26">
        <f>IFERROR(__xludf.DUMMYFUNCTION("""COMPUTED_VALUE"""),0.0)</f>
        <v>0</v>
      </c>
      <c r="S164" s="26">
        <f>IFERROR(__xludf.DUMMYFUNCTION("""COMPUTED_VALUE"""),0.0)</f>
        <v>0</v>
      </c>
      <c r="T164" s="26">
        <f>IFERROR(__xludf.DUMMYFUNCTION("""COMPUTED_VALUE"""),0.0)</f>
        <v>0</v>
      </c>
      <c r="U164" s="26">
        <f>IFERROR(__xludf.DUMMYFUNCTION("""COMPUTED_VALUE"""),0.0)</f>
        <v>0</v>
      </c>
      <c r="V164" s="26">
        <f>IFERROR(__xludf.DUMMYFUNCTION("""COMPUTED_VALUE"""),0.0)</f>
        <v>0</v>
      </c>
      <c r="W164" s="26">
        <f>IFERROR(__xludf.DUMMYFUNCTION("""COMPUTED_VALUE"""),0.0)</f>
        <v>0</v>
      </c>
      <c r="X164" s="26">
        <f>IFERROR(__xludf.DUMMYFUNCTION("""COMPUTED_VALUE"""),0.0)</f>
        <v>0</v>
      </c>
      <c r="Y164" s="26">
        <f>IFERROR(__xludf.DUMMYFUNCTION("""COMPUTED_VALUE"""),0.0)</f>
        <v>0</v>
      </c>
      <c r="Z164" s="26">
        <f>IFERROR(__xludf.DUMMYFUNCTION("""COMPUTED_VALUE"""),0.0)</f>
        <v>0</v>
      </c>
      <c r="AA164" s="26">
        <f>IFERROR(__xludf.DUMMYFUNCTION("""COMPUTED_VALUE"""),0.0)</f>
        <v>0</v>
      </c>
      <c r="AB164" s="26">
        <f>IFERROR(__xludf.DUMMYFUNCTION("""COMPUTED_VALUE"""),0.0)</f>
        <v>0</v>
      </c>
      <c r="AC164" s="26">
        <f>IFERROR(__xludf.DUMMYFUNCTION("""COMPUTED_VALUE"""),0.0)</f>
        <v>0</v>
      </c>
      <c r="AD164" s="26">
        <f>IFERROR(__xludf.DUMMYFUNCTION("""COMPUTED_VALUE"""),0.0)</f>
        <v>0</v>
      </c>
      <c r="AE164" s="26">
        <f>IFERROR(__xludf.DUMMYFUNCTION("""COMPUTED_VALUE"""),0.0)</f>
        <v>0</v>
      </c>
    </row>
    <row r="165">
      <c r="A165" s="26">
        <f>IFERROR(__xludf.DUMMYFUNCTION("""COMPUTED_VALUE"""),0.0)</f>
        <v>0</v>
      </c>
      <c r="B165" s="26">
        <f>IFERROR(__xludf.DUMMYFUNCTION("""COMPUTED_VALUE"""),0.0)</f>
        <v>0</v>
      </c>
      <c r="C165" s="26">
        <f>IFERROR(__xludf.DUMMYFUNCTION("""COMPUTED_VALUE"""),0.0)</f>
        <v>0</v>
      </c>
      <c r="D165" s="26">
        <f>IFERROR(__xludf.DUMMYFUNCTION("""COMPUTED_VALUE"""),0.0)</f>
        <v>0</v>
      </c>
      <c r="E165" s="26">
        <f>IFERROR(__xludf.DUMMYFUNCTION("""COMPUTED_VALUE"""),0.0)</f>
        <v>0</v>
      </c>
      <c r="F165" s="26">
        <f>IFERROR(__xludf.DUMMYFUNCTION("""COMPUTED_VALUE"""),0.0)</f>
        <v>0</v>
      </c>
      <c r="G165" s="26">
        <f>IFERROR(__xludf.DUMMYFUNCTION("""COMPUTED_VALUE"""),0.0)</f>
        <v>0</v>
      </c>
      <c r="H165" s="26">
        <f>IFERROR(__xludf.DUMMYFUNCTION("""COMPUTED_VALUE"""),0.0)</f>
        <v>0</v>
      </c>
      <c r="I165" s="26">
        <f>IFERROR(__xludf.DUMMYFUNCTION("""COMPUTED_VALUE"""),0.0)</f>
        <v>0</v>
      </c>
      <c r="J165" s="26">
        <f>IFERROR(__xludf.DUMMYFUNCTION("""COMPUTED_VALUE"""),0.0)</f>
        <v>0</v>
      </c>
      <c r="K165" s="26">
        <f>IFERROR(__xludf.DUMMYFUNCTION("""COMPUTED_VALUE"""),0.0)</f>
        <v>0</v>
      </c>
      <c r="L165" s="26"/>
      <c r="M165" s="26"/>
      <c r="N165" s="26"/>
      <c r="O165" s="26"/>
      <c r="P165" s="26"/>
      <c r="Q165" s="26"/>
      <c r="R165" s="26">
        <f>IFERROR(__xludf.DUMMYFUNCTION("""COMPUTED_VALUE"""),0.0)</f>
        <v>0</v>
      </c>
      <c r="S165" s="26">
        <f>IFERROR(__xludf.DUMMYFUNCTION("""COMPUTED_VALUE"""),0.0)</f>
        <v>0</v>
      </c>
      <c r="T165" s="26">
        <f>IFERROR(__xludf.DUMMYFUNCTION("""COMPUTED_VALUE"""),0.0)</f>
        <v>0</v>
      </c>
      <c r="U165" s="26">
        <f>IFERROR(__xludf.DUMMYFUNCTION("""COMPUTED_VALUE"""),0.0)</f>
        <v>0</v>
      </c>
      <c r="V165" s="26">
        <f>IFERROR(__xludf.DUMMYFUNCTION("""COMPUTED_VALUE"""),0.0)</f>
        <v>0</v>
      </c>
      <c r="W165" s="26">
        <f>IFERROR(__xludf.DUMMYFUNCTION("""COMPUTED_VALUE"""),0.0)</f>
        <v>0</v>
      </c>
      <c r="X165" s="26">
        <f>IFERROR(__xludf.DUMMYFUNCTION("""COMPUTED_VALUE"""),0.0)</f>
        <v>0</v>
      </c>
      <c r="Y165" s="26">
        <f>IFERROR(__xludf.DUMMYFUNCTION("""COMPUTED_VALUE"""),0.0)</f>
        <v>0</v>
      </c>
      <c r="Z165" s="26">
        <f>IFERROR(__xludf.DUMMYFUNCTION("""COMPUTED_VALUE"""),0.0)</f>
        <v>0</v>
      </c>
      <c r="AA165" s="26">
        <f>IFERROR(__xludf.DUMMYFUNCTION("""COMPUTED_VALUE"""),0.0)</f>
        <v>0</v>
      </c>
      <c r="AB165" s="26">
        <f>IFERROR(__xludf.DUMMYFUNCTION("""COMPUTED_VALUE"""),0.0)</f>
        <v>0</v>
      </c>
      <c r="AC165" s="26">
        <f>IFERROR(__xludf.DUMMYFUNCTION("""COMPUTED_VALUE"""),0.0)</f>
        <v>0</v>
      </c>
      <c r="AD165" s="26">
        <f>IFERROR(__xludf.DUMMYFUNCTION("""COMPUTED_VALUE"""),0.0)</f>
        <v>0</v>
      </c>
      <c r="AE165" s="26">
        <f>IFERROR(__xludf.DUMMYFUNCTION("""COMPUTED_VALUE"""),0.0)</f>
        <v>0</v>
      </c>
    </row>
    <row r="166">
      <c r="A166" s="26">
        <f>IFERROR(__xludf.DUMMYFUNCTION("""COMPUTED_VALUE"""),0.0)</f>
        <v>0</v>
      </c>
      <c r="B166" s="26">
        <f>IFERROR(__xludf.DUMMYFUNCTION("""COMPUTED_VALUE"""),0.0)</f>
        <v>0</v>
      </c>
      <c r="C166" s="26">
        <f>IFERROR(__xludf.DUMMYFUNCTION("""COMPUTED_VALUE"""),0.0)</f>
        <v>0</v>
      </c>
      <c r="D166" s="26">
        <f>IFERROR(__xludf.DUMMYFUNCTION("""COMPUTED_VALUE"""),0.0)</f>
        <v>0</v>
      </c>
      <c r="E166" s="26">
        <f>IFERROR(__xludf.DUMMYFUNCTION("""COMPUTED_VALUE"""),0.0)</f>
        <v>0</v>
      </c>
      <c r="F166" s="26">
        <f>IFERROR(__xludf.DUMMYFUNCTION("""COMPUTED_VALUE"""),0.0)</f>
        <v>0</v>
      </c>
      <c r="G166" s="26">
        <f>IFERROR(__xludf.DUMMYFUNCTION("""COMPUTED_VALUE"""),0.0)</f>
        <v>0</v>
      </c>
      <c r="H166" s="26">
        <f>IFERROR(__xludf.DUMMYFUNCTION("""COMPUTED_VALUE"""),0.0)</f>
        <v>0</v>
      </c>
      <c r="I166" s="26">
        <f>IFERROR(__xludf.DUMMYFUNCTION("""COMPUTED_VALUE"""),0.0)</f>
        <v>0</v>
      </c>
      <c r="J166" s="26">
        <f>IFERROR(__xludf.DUMMYFUNCTION("""COMPUTED_VALUE"""),0.0)</f>
        <v>0</v>
      </c>
      <c r="K166" s="26">
        <f>IFERROR(__xludf.DUMMYFUNCTION("""COMPUTED_VALUE"""),0.0)</f>
        <v>0</v>
      </c>
      <c r="L166" s="26"/>
      <c r="M166" s="26"/>
      <c r="N166" s="26"/>
      <c r="O166" s="26"/>
      <c r="P166" s="26"/>
      <c r="Q166" s="26"/>
      <c r="R166" s="26">
        <f>IFERROR(__xludf.DUMMYFUNCTION("""COMPUTED_VALUE"""),0.0)</f>
        <v>0</v>
      </c>
      <c r="S166" s="26">
        <f>IFERROR(__xludf.DUMMYFUNCTION("""COMPUTED_VALUE"""),0.0)</f>
        <v>0</v>
      </c>
      <c r="T166" s="26">
        <f>IFERROR(__xludf.DUMMYFUNCTION("""COMPUTED_VALUE"""),0.0)</f>
        <v>0</v>
      </c>
      <c r="U166" s="26">
        <f>IFERROR(__xludf.DUMMYFUNCTION("""COMPUTED_VALUE"""),0.0)</f>
        <v>0</v>
      </c>
      <c r="V166" s="26">
        <f>IFERROR(__xludf.DUMMYFUNCTION("""COMPUTED_VALUE"""),0.0)</f>
        <v>0</v>
      </c>
      <c r="W166" s="26">
        <f>IFERROR(__xludf.DUMMYFUNCTION("""COMPUTED_VALUE"""),0.0)</f>
        <v>0</v>
      </c>
      <c r="X166" s="26">
        <f>IFERROR(__xludf.DUMMYFUNCTION("""COMPUTED_VALUE"""),0.0)</f>
        <v>0</v>
      </c>
      <c r="Y166" s="26">
        <f>IFERROR(__xludf.DUMMYFUNCTION("""COMPUTED_VALUE"""),0.0)</f>
        <v>0</v>
      </c>
      <c r="Z166" s="26">
        <f>IFERROR(__xludf.DUMMYFUNCTION("""COMPUTED_VALUE"""),0.0)</f>
        <v>0</v>
      </c>
      <c r="AA166" s="26">
        <f>IFERROR(__xludf.DUMMYFUNCTION("""COMPUTED_VALUE"""),0.0)</f>
        <v>0</v>
      </c>
      <c r="AB166" s="26">
        <f>IFERROR(__xludf.DUMMYFUNCTION("""COMPUTED_VALUE"""),0.0)</f>
        <v>0</v>
      </c>
      <c r="AC166" s="26">
        <f>IFERROR(__xludf.DUMMYFUNCTION("""COMPUTED_VALUE"""),0.0)</f>
        <v>0</v>
      </c>
      <c r="AD166" s="26">
        <f>IFERROR(__xludf.DUMMYFUNCTION("""COMPUTED_VALUE"""),0.0)</f>
        <v>0</v>
      </c>
      <c r="AE166" s="26">
        <f>IFERROR(__xludf.DUMMYFUNCTION("""COMPUTED_VALUE"""),0.0)</f>
        <v>0</v>
      </c>
    </row>
    <row r="167">
      <c r="A167" s="26">
        <f>IFERROR(__xludf.DUMMYFUNCTION("""COMPUTED_VALUE"""),129.0)</f>
        <v>129</v>
      </c>
      <c r="B167" s="26">
        <f>IFERROR(__xludf.DUMMYFUNCTION("""COMPUTED_VALUE"""),0.0)</f>
        <v>0</v>
      </c>
      <c r="C167" s="26">
        <f>IFERROR(__xludf.DUMMYFUNCTION("""COMPUTED_VALUE"""),3.0)</f>
        <v>3</v>
      </c>
      <c r="D167" s="26">
        <f>IFERROR(__xludf.DUMMYFUNCTION("""COMPUTED_VALUE"""),1.0)</f>
        <v>1</v>
      </c>
      <c r="E167" s="26">
        <f>IFERROR(__xludf.DUMMYFUNCTION("""COMPUTED_VALUE"""),135.0)</f>
        <v>135</v>
      </c>
      <c r="F167" s="26">
        <f>IFERROR(__xludf.DUMMYFUNCTION("""COMPUTED_VALUE"""),0.0)</f>
        <v>0</v>
      </c>
      <c r="G167" s="26">
        <f>IFERROR(__xludf.DUMMYFUNCTION("""COMPUTED_VALUE"""),0.0)</f>
        <v>0</v>
      </c>
      <c r="H167" s="26">
        <f>IFERROR(__xludf.DUMMYFUNCTION("""COMPUTED_VALUE"""),0.0)</f>
        <v>0</v>
      </c>
      <c r="I167" s="26">
        <f>IFERROR(__xludf.DUMMYFUNCTION("""COMPUTED_VALUE"""),0.0)</f>
        <v>0</v>
      </c>
      <c r="J167" s="26">
        <f>IFERROR(__xludf.DUMMYFUNCTION("""COMPUTED_VALUE"""),0.0)</f>
        <v>0</v>
      </c>
      <c r="K167" s="26">
        <f>IFERROR(__xludf.DUMMYFUNCTION("""COMPUTED_VALUE"""),0.0)</f>
        <v>0</v>
      </c>
      <c r="L167" s="26"/>
      <c r="M167" s="26"/>
      <c r="N167" s="26"/>
      <c r="O167" s="26"/>
      <c r="P167" s="26"/>
      <c r="Q167" s="26"/>
      <c r="R167" s="26">
        <f>IFERROR(__xludf.DUMMYFUNCTION("""COMPUTED_VALUE"""),105751.60000000008)</f>
        <v>105751.6</v>
      </c>
      <c r="S167" s="26">
        <f>IFERROR(__xludf.DUMMYFUNCTION("""COMPUTED_VALUE"""),89620.0)</f>
        <v>89620</v>
      </c>
      <c r="T167" s="26">
        <f>IFERROR(__xludf.DUMMYFUNCTION("""COMPUTED_VALUE"""),0.0)</f>
        <v>0</v>
      </c>
      <c r="U167" s="26">
        <f>IFERROR(__xludf.DUMMYFUNCTION("""COMPUTED_VALUE"""),0.0)</f>
        <v>0</v>
      </c>
      <c r="V167" s="26">
        <f>IFERROR(__xludf.DUMMYFUNCTION("""COMPUTED_VALUE"""),16131.60000000002)</f>
        <v>16131.6</v>
      </c>
      <c r="W167" s="26">
        <f>IFERROR(__xludf.DUMMYFUNCTION("""COMPUTED_VALUE"""),105751.60000000008)</f>
        <v>105751.6</v>
      </c>
      <c r="X167" s="26">
        <f>IFERROR(__xludf.DUMMYFUNCTION("""COMPUTED_VALUE"""),105751.60000000008)</f>
        <v>105751.6</v>
      </c>
      <c r="Y167" s="26">
        <f>IFERROR(__xludf.DUMMYFUNCTION("""COMPUTED_VALUE"""),0.0)</f>
        <v>0</v>
      </c>
      <c r="Z167" s="26">
        <f>IFERROR(__xludf.DUMMYFUNCTION("""COMPUTED_VALUE"""),0.0)</f>
        <v>0</v>
      </c>
      <c r="AA167" s="26">
        <f>IFERROR(__xludf.DUMMYFUNCTION("""COMPUTED_VALUE"""),0.0)</f>
        <v>0</v>
      </c>
      <c r="AB167" s="26">
        <f>IFERROR(__xludf.DUMMYFUNCTION("""COMPUTED_VALUE"""),0.0)</f>
        <v>0</v>
      </c>
      <c r="AC167" s="26">
        <f>IFERROR(__xludf.DUMMYFUNCTION("""COMPUTED_VALUE"""),0.0)</f>
        <v>0</v>
      </c>
      <c r="AD167" s="26">
        <f>IFERROR(__xludf.DUMMYFUNCTION("""COMPUTED_VALUE"""),130000.0)</f>
        <v>130000</v>
      </c>
      <c r="AE167" s="26">
        <f>IFERROR(__xludf.DUMMYFUNCTION("""COMPUTED_VALUE"""),0.0)</f>
        <v>0</v>
      </c>
    </row>
    <row r="168">
      <c r="A168" s="26">
        <f>IFERROR(__xludf.DUMMYFUNCTION("""COMPUTED_VALUE"""),0.0)</f>
        <v>0</v>
      </c>
      <c r="B168" s="26">
        <f>IFERROR(__xludf.DUMMYFUNCTION("""COMPUTED_VALUE"""),0.0)</f>
        <v>0</v>
      </c>
      <c r="C168" s="26">
        <f>IFERROR(__xludf.DUMMYFUNCTION("""COMPUTED_VALUE"""),0.0)</f>
        <v>0</v>
      </c>
      <c r="D168" s="26">
        <f>IFERROR(__xludf.DUMMYFUNCTION("""COMPUTED_VALUE"""),0.0)</f>
        <v>0</v>
      </c>
      <c r="E168" s="26">
        <f>IFERROR(__xludf.DUMMYFUNCTION("""COMPUTED_VALUE"""),0.0)</f>
        <v>0</v>
      </c>
      <c r="F168" s="26">
        <f>IFERROR(__xludf.DUMMYFUNCTION("""COMPUTED_VALUE"""),0.0)</f>
        <v>0</v>
      </c>
      <c r="G168" s="26">
        <f>IFERROR(__xludf.DUMMYFUNCTION("""COMPUTED_VALUE"""),0.0)</f>
        <v>0</v>
      </c>
      <c r="H168" s="26">
        <f>IFERROR(__xludf.DUMMYFUNCTION("""COMPUTED_VALUE"""),0.0)</f>
        <v>0</v>
      </c>
      <c r="I168" s="26">
        <f>IFERROR(__xludf.DUMMYFUNCTION("""COMPUTED_VALUE"""),0.0)</f>
        <v>0</v>
      </c>
      <c r="J168" s="26">
        <f>IFERROR(__xludf.DUMMYFUNCTION("""COMPUTED_VALUE"""),0.0)</f>
        <v>0</v>
      </c>
      <c r="K168" s="26">
        <f>IFERROR(__xludf.DUMMYFUNCTION("""COMPUTED_VALUE"""),0.0)</f>
        <v>0</v>
      </c>
      <c r="L168" s="26"/>
      <c r="M168" s="26"/>
      <c r="N168" s="26"/>
      <c r="O168" s="26"/>
      <c r="P168" s="26"/>
      <c r="Q168" s="26"/>
      <c r="R168" s="26">
        <f>IFERROR(__xludf.DUMMYFUNCTION("""COMPUTED_VALUE"""),0.0)</f>
        <v>0</v>
      </c>
      <c r="S168" s="26">
        <f>IFERROR(__xludf.DUMMYFUNCTION("""COMPUTED_VALUE"""),0.0)</f>
        <v>0</v>
      </c>
      <c r="T168" s="26">
        <f>IFERROR(__xludf.DUMMYFUNCTION("""COMPUTED_VALUE"""),0.0)</f>
        <v>0</v>
      </c>
      <c r="U168" s="26">
        <f>IFERROR(__xludf.DUMMYFUNCTION("""COMPUTED_VALUE"""),0.0)</f>
        <v>0</v>
      </c>
      <c r="V168" s="26">
        <f>IFERROR(__xludf.DUMMYFUNCTION("""COMPUTED_VALUE"""),0.0)</f>
        <v>0</v>
      </c>
      <c r="W168" s="26">
        <f>IFERROR(__xludf.DUMMYFUNCTION("""COMPUTED_VALUE"""),0.0)</f>
        <v>0</v>
      </c>
      <c r="X168" s="26">
        <f>IFERROR(__xludf.DUMMYFUNCTION("""COMPUTED_VALUE"""),0.0)</f>
        <v>0</v>
      </c>
      <c r="Y168" s="26">
        <f>IFERROR(__xludf.DUMMYFUNCTION("""COMPUTED_VALUE"""),0.0)</f>
        <v>0</v>
      </c>
      <c r="Z168" s="26">
        <f>IFERROR(__xludf.DUMMYFUNCTION("""COMPUTED_VALUE"""),0.0)</f>
        <v>0</v>
      </c>
      <c r="AA168" s="26">
        <f>IFERROR(__xludf.DUMMYFUNCTION("""COMPUTED_VALUE"""),0.0)</f>
        <v>0</v>
      </c>
      <c r="AB168" s="26">
        <f>IFERROR(__xludf.DUMMYFUNCTION("""COMPUTED_VALUE"""),0.0)</f>
        <v>0</v>
      </c>
      <c r="AC168" s="26">
        <f>IFERROR(__xludf.DUMMYFUNCTION("""COMPUTED_VALUE"""),0.0)</f>
        <v>0</v>
      </c>
      <c r="AD168" s="26">
        <f>IFERROR(__xludf.DUMMYFUNCTION("""COMPUTED_VALUE"""),0.0)</f>
        <v>0</v>
      </c>
      <c r="AE168" s="26">
        <f>IFERROR(__xludf.DUMMYFUNCTION("""COMPUTED_VALUE"""),0.0)</f>
        <v>0</v>
      </c>
    </row>
    <row r="169">
      <c r="A169" s="26">
        <f>IFERROR(__xludf.DUMMYFUNCTION("""COMPUTED_VALUE"""),3208.0)</f>
        <v>3208</v>
      </c>
      <c r="B169" s="26">
        <f>IFERROR(__xludf.DUMMYFUNCTION("""COMPUTED_VALUE"""),0.0)</f>
        <v>0</v>
      </c>
      <c r="C169" s="26">
        <f>IFERROR(__xludf.DUMMYFUNCTION("""COMPUTED_VALUE"""),0.0)</f>
        <v>0</v>
      </c>
      <c r="D169" s="26">
        <f>IFERROR(__xludf.DUMMYFUNCTION("""COMPUTED_VALUE"""),0.0)</f>
        <v>0</v>
      </c>
      <c r="E169" s="26">
        <f>IFERROR(__xludf.DUMMYFUNCTION("""COMPUTED_VALUE"""),0.0)</f>
        <v>0</v>
      </c>
      <c r="F169" s="26">
        <f>IFERROR(__xludf.DUMMYFUNCTION("""COMPUTED_VALUE"""),0.0)</f>
        <v>0</v>
      </c>
      <c r="G169" s="26">
        <f>IFERROR(__xludf.DUMMYFUNCTION("""COMPUTED_VALUE"""),0.0)</f>
        <v>0</v>
      </c>
      <c r="H169" s="26">
        <f>IFERROR(__xludf.DUMMYFUNCTION("""COMPUTED_VALUE"""),0.0)</f>
        <v>0</v>
      </c>
      <c r="I169" s="26">
        <f>IFERROR(__xludf.DUMMYFUNCTION("""COMPUTED_VALUE"""),0.0)</f>
        <v>0</v>
      </c>
      <c r="J169" s="26">
        <f>IFERROR(__xludf.DUMMYFUNCTION("""COMPUTED_VALUE"""),0.0)</f>
        <v>0</v>
      </c>
      <c r="K169" s="26">
        <f>IFERROR(__xludf.DUMMYFUNCTION("""COMPUTED_VALUE"""),0.0)</f>
        <v>0</v>
      </c>
      <c r="L169" s="26"/>
      <c r="M169" s="26"/>
      <c r="N169" s="26"/>
      <c r="O169" s="26"/>
      <c r="P169" s="26"/>
      <c r="Q169" s="26"/>
      <c r="R169" s="26">
        <f>IFERROR(__xludf.DUMMYFUNCTION("""COMPUTED_VALUE"""),1417884.0)</f>
        <v>1417884</v>
      </c>
      <c r="S169" s="26">
        <f>IFERROR(__xludf.DUMMYFUNCTION("""COMPUTED_VALUE"""),572365.0)</f>
        <v>572365</v>
      </c>
      <c r="T169" s="26">
        <f>IFERROR(__xludf.DUMMYFUNCTION("""COMPUTED_VALUE"""),0.0)</f>
        <v>0</v>
      </c>
      <c r="U169" s="26">
        <f>IFERROR(__xludf.DUMMYFUNCTION("""COMPUTED_VALUE"""),0.0)</f>
        <v>0</v>
      </c>
      <c r="V169" s="26">
        <f>IFERROR(__xludf.DUMMYFUNCTION("""COMPUTED_VALUE"""),216275.4299999975)</f>
        <v>216275.43</v>
      </c>
      <c r="W169" s="26">
        <f>IFERROR(__xludf.DUMMYFUNCTION("""COMPUTED_VALUE"""),1362634.0)</f>
        <v>1362634</v>
      </c>
      <c r="X169" s="26">
        <f>IFERROR(__xludf.DUMMYFUNCTION("""COMPUTED_VALUE"""),778946.3999999969)</f>
        <v>778946.4</v>
      </c>
      <c r="Y169" s="26">
        <f>IFERROR(__xludf.DUMMYFUNCTION("""COMPUTED_VALUE"""),604018.7500000043)</f>
        <v>604018.75</v>
      </c>
      <c r="Z169" s="26">
        <f>IFERROR(__xludf.DUMMYFUNCTION("""COMPUTED_VALUE"""),0.0)</f>
        <v>0</v>
      </c>
      <c r="AA169" s="26">
        <f>IFERROR(__xludf.DUMMYFUNCTION("""COMPUTED_VALUE"""),24358.46999999987)</f>
        <v>24358.47</v>
      </c>
      <c r="AB169" s="26">
        <f>IFERROR(__xludf.DUMMYFUNCTION("""COMPUTED_VALUE"""),583687.6000000027)</f>
        <v>583687.6</v>
      </c>
      <c r="AC169" s="26">
        <f>IFERROR(__xludf.DUMMYFUNCTION("""COMPUTED_VALUE"""),0.0)</f>
        <v>0</v>
      </c>
      <c r="AD169" s="26">
        <f>IFERROR(__xludf.DUMMYFUNCTION("""COMPUTED_VALUE"""),1206230.0)</f>
        <v>1206230</v>
      </c>
      <c r="AE169" s="26">
        <f>IFERROR(__xludf.DUMMYFUNCTION("""COMPUTED_VALUE"""),-625000.0)</f>
        <v>-625000</v>
      </c>
    </row>
    <row r="170">
      <c r="A170" s="26">
        <f>IFERROR(__xludf.DUMMYFUNCTION("""COMPUTED_VALUE"""),0.0)</f>
        <v>0</v>
      </c>
      <c r="B170" s="26">
        <f>IFERROR(__xludf.DUMMYFUNCTION("""COMPUTED_VALUE"""),0.0)</f>
        <v>0</v>
      </c>
      <c r="C170" s="26">
        <f>IFERROR(__xludf.DUMMYFUNCTION("""COMPUTED_VALUE"""),12.0)</f>
        <v>12</v>
      </c>
      <c r="D170" s="26">
        <f>IFERROR(__xludf.DUMMYFUNCTION("""COMPUTED_VALUE"""),0.0)</f>
        <v>0</v>
      </c>
      <c r="E170" s="26">
        <f>IFERROR(__xludf.DUMMYFUNCTION("""COMPUTED_VALUE"""),0.0)</f>
        <v>0</v>
      </c>
      <c r="F170" s="26">
        <f>IFERROR(__xludf.DUMMYFUNCTION("""COMPUTED_VALUE"""),0.0)</f>
        <v>0</v>
      </c>
      <c r="G170" s="26">
        <f>IFERROR(__xludf.DUMMYFUNCTION("""COMPUTED_VALUE"""),0.0)</f>
        <v>0</v>
      </c>
      <c r="H170" s="26">
        <f>IFERROR(__xludf.DUMMYFUNCTION("""COMPUTED_VALUE"""),0.0)</f>
        <v>0</v>
      </c>
      <c r="I170" s="26">
        <f>IFERROR(__xludf.DUMMYFUNCTION("""COMPUTED_VALUE"""),0.0)</f>
        <v>0</v>
      </c>
      <c r="J170" s="26">
        <f>IFERROR(__xludf.DUMMYFUNCTION("""COMPUTED_VALUE"""),0.0)</f>
        <v>0</v>
      </c>
      <c r="K170" s="26">
        <f>IFERROR(__xludf.DUMMYFUNCTION("""COMPUTED_VALUE"""),0.0)</f>
        <v>0</v>
      </c>
      <c r="L170" s="26"/>
      <c r="M170" s="26"/>
      <c r="N170" s="26"/>
      <c r="O170" s="26"/>
      <c r="P170" s="26"/>
      <c r="Q170" s="26"/>
      <c r="R170" s="26">
        <f>IFERROR(__xludf.DUMMYFUNCTION("""COMPUTED_VALUE"""),5304.0)</f>
        <v>5304</v>
      </c>
      <c r="S170" s="26">
        <f>IFERROR(__xludf.DUMMYFUNCTION("""COMPUTED_VALUE"""),2460.0)</f>
        <v>2460</v>
      </c>
      <c r="T170" s="26">
        <f>IFERROR(__xludf.DUMMYFUNCTION("""COMPUTED_VALUE"""),0.0)</f>
        <v>0</v>
      </c>
      <c r="U170" s="26">
        <f>IFERROR(__xludf.DUMMYFUNCTION("""COMPUTED_VALUE"""),0.0)</f>
        <v>0</v>
      </c>
      <c r="V170" s="26">
        <f>IFERROR(__xludf.DUMMYFUNCTION("""COMPUTED_VALUE"""),809.04)</f>
        <v>809.04</v>
      </c>
      <c r="W170" s="26">
        <f>IFERROR(__xludf.DUMMYFUNCTION("""COMPUTED_VALUE"""),0.0)</f>
        <v>0</v>
      </c>
      <c r="X170" s="26">
        <f>IFERROR(__xludf.DUMMYFUNCTION("""COMPUTED_VALUE"""),0.0)</f>
        <v>0</v>
      </c>
      <c r="Y170" s="26">
        <f>IFERROR(__xludf.DUMMYFUNCTION("""COMPUTED_VALUE"""),0.0)</f>
        <v>0</v>
      </c>
      <c r="Z170" s="26">
        <f>IFERROR(__xludf.DUMMYFUNCTION("""COMPUTED_VALUE"""),0.0)</f>
        <v>0</v>
      </c>
      <c r="AA170" s="26">
        <f>IFERROR(__xludf.DUMMYFUNCTION("""COMPUTED_VALUE"""),0.0)</f>
        <v>0</v>
      </c>
      <c r="AB170" s="26">
        <f>IFERROR(__xludf.DUMMYFUNCTION("""COMPUTED_VALUE"""),0.0)</f>
        <v>0</v>
      </c>
      <c r="AC170" s="26">
        <f>IFERROR(__xludf.DUMMYFUNCTION("""COMPUTED_VALUE"""),0.0)</f>
        <v>0</v>
      </c>
      <c r="AD170" s="26">
        <f>IFERROR(__xludf.DUMMYFUNCTION("""COMPUTED_VALUE"""),0.0)</f>
        <v>0</v>
      </c>
      <c r="AE170" s="26">
        <f>IFERROR(__xludf.DUMMYFUNCTION("""COMPUTED_VALUE"""),0.0)</f>
        <v>0</v>
      </c>
    </row>
    <row r="171">
      <c r="A171" s="26">
        <f>IFERROR(__xludf.DUMMYFUNCTION("""COMPUTED_VALUE"""),4553.0)</f>
        <v>4553</v>
      </c>
      <c r="B171" s="26">
        <f>IFERROR(__xludf.DUMMYFUNCTION("""COMPUTED_VALUE"""),0.0)</f>
        <v>0</v>
      </c>
      <c r="C171" s="26">
        <f>IFERROR(__xludf.DUMMYFUNCTION("""COMPUTED_VALUE"""),0.0)</f>
        <v>0</v>
      </c>
      <c r="D171" s="26">
        <f>IFERROR(__xludf.DUMMYFUNCTION("""COMPUTED_VALUE"""),0.0)</f>
        <v>0</v>
      </c>
      <c r="E171" s="26">
        <f>IFERROR(__xludf.DUMMYFUNCTION("""COMPUTED_VALUE"""),0.0)</f>
        <v>0</v>
      </c>
      <c r="F171" s="26">
        <f>IFERROR(__xludf.DUMMYFUNCTION("""COMPUTED_VALUE"""),0.0)</f>
        <v>0</v>
      </c>
      <c r="G171" s="26">
        <f>IFERROR(__xludf.DUMMYFUNCTION("""COMPUTED_VALUE"""),0.0)</f>
        <v>0</v>
      </c>
      <c r="H171" s="26">
        <f>IFERROR(__xludf.DUMMYFUNCTION("""COMPUTED_VALUE"""),0.0)</f>
        <v>0</v>
      </c>
      <c r="I171" s="26">
        <f>IFERROR(__xludf.DUMMYFUNCTION("""COMPUTED_VALUE"""),0.0)</f>
        <v>0</v>
      </c>
      <c r="J171" s="26">
        <f>IFERROR(__xludf.DUMMYFUNCTION("""COMPUTED_VALUE"""),0.0)</f>
        <v>0</v>
      </c>
      <c r="K171" s="26">
        <f>IFERROR(__xludf.DUMMYFUNCTION("""COMPUTED_VALUE"""),0.0)</f>
        <v>0</v>
      </c>
      <c r="L171" s="26"/>
      <c r="M171" s="26"/>
      <c r="N171" s="26"/>
      <c r="O171" s="26"/>
      <c r="P171" s="26"/>
      <c r="Q171" s="26"/>
      <c r="R171" s="26">
        <f>IFERROR(__xludf.DUMMYFUNCTION("""COMPUTED_VALUE"""),2012374.0)</f>
        <v>2012374</v>
      </c>
      <c r="S171" s="26">
        <f>IFERROR(__xludf.DUMMYFUNCTION("""COMPUTED_VALUE"""),773345.0)</f>
        <v>773345</v>
      </c>
      <c r="T171" s="26">
        <f>IFERROR(__xludf.DUMMYFUNCTION("""COMPUTED_VALUE"""),0.0)</f>
        <v>0</v>
      </c>
      <c r="U171" s="26">
        <f>IFERROR(__xludf.DUMMYFUNCTION("""COMPUTED_VALUE"""),0.0)</f>
        <v>0</v>
      </c>
      <c r="V171" s="26">
        <f>IFERROR(__xludf.DUMMYFUNCTION("""COMPUTED_VALUE"""),306955.32999999553)</f>
        <v>306955.33</v>
      </c>
      <c r="W171" s="26">
        <f>IFERROR(__xludf.DUMMYFUNCTION("""COMPUTED_VALUE"""),2012374.0)</f>
        <v>2012374</v>
      </c>
      <c r="X171" s="26">
        <f>IFERROR(__xludf.DUMMYFUNCTION("""COMPUTED_VALUE"""),1121833.8399999905)</f>
        <v>1121833.84</v>
      </c>
      <c r="Y171" s="26">
        <f>IFERROR(__xludf.DUMMYFUNCTION("""COMPUTED_VALUE"""),928693.8400000028)</f>
        <v>928693.84</v>
      </c>
      <c r="Z171" s="26">
        <f>IFERROR(__xludf.DUMMYFUNCTION("""COMPUTED_VALUE"""),0.0)</f>
        <v>0</v>
      </c>
      <c r="AA171" s="26">
        <f>IFERROR(__xludf.DUMMYFUNCTION("""COMPUTED_VALUE"""),41533.509999999624)</f>
        <v>41533.51</v>
      </c>
      <c r="AB171" s="26">
        <f>IFERROR(__xludf.DUMMYFUNCTION("""COMPUTED_VALUE"""),890540.1600000071)</f>
        <v>890540.16</v>
      </c>
      <c r="AC171" s="26">
        <f>IFERROR(__xludf.DUMMYFUNCTION("""COMPUTED_VALUE"""),0.0)</f>
        <v>0</v>
      </c>
      <c r="AD171" s="26">
        <f>IFERROR(__xludf.DUMMYFUNCTION("""COMPUTED_VALUE"""),2025836.0)</f>
        <v>2025836</v>
      </c>
      <c r="AE171" s="26">
        <f>IFERROR(__xludf.DUMMYFUNCTION("""COMPUTED_VALUE"""),0.0)</f>
        <v>0</v>
      </c>
    </row>
    <row r="172">
      <c r="A172" s="26">
        <f>IFERROR(__xludf.DUMMYFUNCTION("""COMPUTED_VALUE"""),0.0)</f>
        <v>0</v>
      </c>
      <c r="B172" s="26">
        <f>IFERROR(__xludf.DUMMYFUNCTION("""COMPUTED_VALUE"""),0.0)</f>
        <v>0</v>
      </c>
      <c r="C172" s="26">
        <f>IFERROR(__xludf.DUMMYFUNCTION("""COMPUTED_VALUE"""),0.0)</f>
        <v>0</v>
      </c>
      <c r="D172" s="26">
        <f>IFERROR(__xludf.DUMMYFUNCTION("""COMPUTED_VALUE"""),0.0)</f>
        <v>0</v>
      </c>
      <c r="E172" s="26">
        <f>IFERROR(__xludf.DUMMYFUNCTION("""COMPUTED_VALUE"""),0.0)</f>
        <v>0</v>
      </c>
      <c r="F172" s="26">
        <f>IFERROR(__xludf.DUMMYFUNCTION("""COMPUTED_VALUE"""),0.0)</f>
        <v>0</v>
      </c>
      <c r="G172" s="26">
        <f>IFERROR(__xludf.DUMMYFUNCTION("""COMPUTED_VALUE"""),0.0)</f>
        <v>0</v>
      </c>
      <c r="H172" s="26">
        <f>IFERROR(__xludf.DUMMYFUNCTION("""COMPUTED_VALUE"""),0.0)</f>
        <v>0</v>
      </c>
      <c r="I172" s="26">
        <f>IFERROR(__xludf.DUMMYFUNCTION("""COMPUTED_VALUE"""),0.0)</f>
        <v>0</v>
      </c>
      <c r="J172" s="26">
        <f>IFERROR(__xludf.DUMMYFUNCTION("""COMPUTED_VALUE"""),0.0)</f>
        <v>0</v>
      </c>
      <c r="K172" s="26">
        <f>IFERROR(__xludf.DUMMYFUNCTION("""COMPUTED_VALUE"""),0.0)</f>
        <v>0</v>
      </c>
      <c r="L172" s="26"/>
      <c r="M172" s="26"/>
      <c r="N172" s="26"/>
      <c r="O172" s="26"/>
      <c r="P172" s="26"/>
      <c r="Q172" s="26"/>
      <c r="R172" s="26">
        <f>IFERROR(__xludf.DUMMYFUNCTION("""COMPUTED_VALUE"""),0.0)</f>
        <v>0</v>
      </c>
      <c r="S172" s="26">
        <f>IFERROR(__xludf.DUMMYFUNCTION("""COMPUTED_VALUE"""),0.0)</f>
        <v>0</v>
      </c>
      <c r="T172" s="26">
        <f>IFERROR(__xludf.DUMMYFUNCTION("""COMPUTED_VALUE"""),0.0)</f>
        <v>0</v>
      </c>
      <c r="U172" s="26">
        <f>IFERROR(__xludf.DUMMYFUNCTION("""COMPUTED_VALUE"""),0.0)</f>
        <v>0</v>
      </c>
      <c r="V172" s="26">
        <f>IFERROR(__xludf.DUMMYFUNCTION("""COMPUTED_VALUE"""),0.0)</f>
        <v>0</v>
      </c>
      <c r="W172" s="26">
        <f>IFERROR(__xludf.DUMMYFUNCTION("""COMPUTED_VALUE"""),0.0)</f>
        <v>0</v>
      </c>
      <c r="X172" s="26">
        <f>IFERROR(__xludf.DUMMYFUNCTION("""COMPUTED_VALUE"""),0.0)</f>
        <v>0</v>
      </c>
      <c r="Y172" s="26">
        <f>IFERROR(__xludf.DUMMYFUNCTION("""COMPUTED_VALUE"""),0.0)</f>
        <v>0</v>
      </c>
      <c r="Z172" s="26">
        <f>IFERROR(__xludf.DUMMYFUNCTION("""COMPUTED_VALUE"""),0.0)</f>
        <v>0</v>
      </c>
      <c r="AA172" s="26">
        <f>IFERROR(__xludf.DUMMYFUNCTION("""COMPUTED_VALUE"""),0.0)</f>
        <v>0</v>
      </c>
      <c r="AB172" s="26">
        <f>IFERROR(__xludf.DUMMYFUNCTION("""COMPUTED_VALUE"""),0.0)</f>
        <v>0</v>
      </c>
      <c r="AC172" s="26">
        <f>IFERROR(__xludf.DUMMYFUNCTION("""COMPUTED_VALUE"""),0.0)</f>
        <v>0</v>
      </c>
      <c r="AD172" s="26">
        <f>IFERROR(__xludf.DUMMYFUNCTION("""COMPUTED_VALUE"""),0.0)</f>
        <v>0</v>
      </c>
      <c r="AE172" s="26">
        <f>IFERROR(__xludf.DUMMYFUNCTION("""COMPUTED_VALUE"""),0.0)</f>
        <v>0</v>
      </c>
    </row>
    <row r="173">
      <c r="A173" s="26">
        <f>IFERROR(__xludf.DUMMYFUNCTION("""COMPUTED_VALUE"""),4996.0)</f>
        <v>4996</v>
      </c>
      <c r="B173" s="26">
        <f>IFERROR(__xludf.DUMMYFUNCTION("""COMPUTED_VALUE"""),0.0)</f>
        <v>0</v>
      </c>
      <c r="C173" s="26">
        <f>IFERROR(__xludf.DUMMYFUNCTION("""COMPUTED_VALUE"""),0.0)</f>
        <v>0</v>
      </c>
      <c r="D173" s="26">
        <f>IFERROR(__xludf.DUMMYFUNCTION("""COMPUTED_VALUE"""),0.0)</f>
        <v>0</v>
      </c>
      <c r="E173" s="26">
        <f>IFERROR(__xludf.DUMMYFUNCTION("""COMPUTED_VALUE"""),0.0)</f>
        <v>0</v>
      </c>
      <c r="F173" s="26">
        <f>IFERROR(__xludf.DUMMYFUNCTION("""COMPUTED_VALUE"""),0.0)</f>
        <v>0</v>
      </c>
      <c r="G173" s="26">
        <f>IFERROR(__xludf.DUMMYFUNCTION("""COMPUTED_VALUE"""),0.0)</f>
        <v>0</v>
      </c>
      <c r="H173" s="26">
        <f>IFERROR(__xludf.DUMMYFUNCTION("""COMPUTED_VALUE"""),0.0)</f>
        <v>0</v>
      </c>
      <c r="I173" s="26">
        <f>IFERROR(__xludf.DUMMYFUNCTION("""COMPUTED_VALUE"""),0.0)</f>
        <v>0</v>
      </c>
      <c r="J173" s="26">
        <f>IFERROR(__xludf.DUMMYFUNCTION("""COMPUTED_VALUE"""),0.0)</f>
        <v>0</v>
      </c>
      <c r="K173" s="26">
        <f>IFERROR(__xludf.DUMMYFUNCTION("""COMPUTED_VALUE"""),0.0)</f>
        <v>0</v>
      </c>
      <c r="L173" s="26"/>
      <c r="M173" s="26"/>
      <c r="N173" s="26"/>
      <c r="O173" s="26"/>
      <c r="P173" s="26"/>
      <c r="Q173" s="26"/>
      <c r="R173" s="26">
        <f>IFERROR(__xludf.DUMMYFUNCTION("""COMPUTED_VALUE"""),2207968.0)</f>
        <v>2207968</v>
      </c>
      <c r="S173" s="26">
        <f>IFERROR(__xludf.DUMMYFUNCTION("""COMPUTED_VALUE"""),965706.0)</f>
        <v>965706</v>
      </c>
      <c r="T173" s="26">
        <f>IFERROR(__xludf.DUMMYFUNCTION("""COMPUTED_VALUE"""),0.0)</f>
        <v>0</v>
      </c>
      <c r="U173" s="26">
        <f>IFERROR(__xludf.DUMMYFUNCTION("""COMPUTED_VALUE"""),0.0)</f>
        <v>0</v>
      </c>
      <c r="V173" s="26">
        <f>IFERROR(__xludf.DUMMYFUNCTION("""COMPUTED_VALUE"""),336790.0699999948)</f>
        <v>336790.07</v>
      </c>
      <c r="W173" s="26">
        <f>IFERROR(__xludf.DUMMYFUNCTION("""COMPUTED_VALUE"""),5533576.0)</f>
        <v>5533576</v>
      </c>
      <c r="X173" s="26">
        <f>IFERROR(__xludf.DUMMYFUNCTION("""COMPUTED_VALUE"""),3368111.4799999846)</f>
        <v>3368111.48</v>
      </c>
      <c r="Y173" s="26">
        <f>IFERROR(__xludf.DUMMYFUNCTION("""COMPUTED_VALUE"""),2272319.9999999697)</f>
        <v>2272320</v>
      </c>
      <c r="Z173" s="26">
        <f>IFERROR(__xludf.DUMMYFUNCTION("""COMPUTED_VALUE"""),0.0)</f>
        <v>0</v>
      </c>
      <c r="AA173" s="26">
        <f>IFERROR(__xludf.DUMMYFUNCTION("""COMPUTED_VALUE"""),109618.3299999989)</f>
        <v>109618.33</v>
      </c>
      <c r="AB173" s="26">
        <f>IFERROR(__xludf.DUMMYFUNCTION("""COMPUTED_VALUE"""),2165464.520000052)</f>
        <v>2165464.52</v>
      </c>
      <c r="AC173" s="26">
        <f>IFERROR(__xludf.DUMMYFUNCTION("""COMPUTED_VALUE"""),0.0)</f>
        <v>0</v>
      </c>
      <c r="AD173" s="26">
        <f>IFERROR(__xludf.DUMMYFUNCTION("""COMPUTED_VALUE"""),4783454.0)</f>
        <v>4783454</v>
      </c>
      <c r="AE173" s="26">
        <f>IFERROR(__xludf.DUMMYFUNCTION("""COMPUTED_VALUE"""),0.0)</f>
        <v>0</v>
      </c>
    </row>
    <row r="174">
      <c r="A174" s="26">
        <f>IFERROR(__xludf.DUMMYFUNCTION("""COMPUTED_VALUE"""),1912.0)</f>
        <v>1912</v>
      </c>
      <c r="B174" s="26">
        <f>IFERROR(__xludf.DUMMYFUNCTION("""COMPUTED_VALUE"""),0.0)</f>
        <v>0</v>
      </c>
      <c r="C174" s="26">
        <f>IFERROR(__xludf.DUMMYFUNCTION("""COMPUTED_VALUE"""),74.0)</f>
        <v>74</v>
      </c>
      <c r="D174" s="26">
        <f>IFERROR(__xludf.DUMMYFUNCTION("""COMPUTED_VALUE"""),0.0)</f>
        <v>0</v>
      </c>
      <c r="E174" s="26">
        <f>IFERROR(__xludf.DUMMYFUNCTION("""COMPUTED_VALUE"""),0.0)</f>
        <v>0</v>
      </c>
      <c r="F174" s="26">
        <f>IFERROR(__xludf.DUMMYFUNCTION("""COMPUTED_VALUE"""),0.0)</f>
        <v>0</v>
      </c>
      <c r="G174" s="26">
        <f>IFERROR(__xludf.DUMMYFUNCTION("""COMPUTED_VALUE"""),0.0)</f>
        <v>0</v>
      </c>
      <c r="H174" s="26">
        <f>IFERROR(__xludf.DUMMYFUNCTION("""COMPUTED_VALUE"""),0.0)</f>
        <v>0</v>
      </c>
      <c r="I174" s="26">
        <f>IFERROR(__xludf.DUMMYFUNCTION("""COMPUTED_VALUE"""),0.0)</f>
        <v>0</v>
      </c>
      <c r="J174" s="26">
        <f>IFERROR(__xludf.DUMMYFUNCTION("""COMPUTED_VALUE"""),0.0)</f>
        <v>0</v>
      </c>
      <c r="K174" s="26">
        <f>IFERROR(__xludf.DUMMYFUNCTION("""COMPUTED_VALUE"""),0.0)</f>
        <v>0</v>
      </c>
      <c r="L174" s="26"/>
      <c r="M174" s="26"/>
      <c r="N174" s="26"/>
      <c r="O174" s="26"/>
      <c r="P174" s="26"/>
      <c r="Q174" s="26"/>
      <c r="R174" s="26">
        <f>IFERROR(__xludf.DUMMYFUNCTION("""COMPUTED_VALUE"""),796740.0)</f>
        <v>796740</v>
      </c>
      <c r="S174" s="26">
        <f>IFERROR(__xludf.DUMMYFUNCTION("""COMPUTED_VALUE"""),395860.0)</f>
        <v>395860</v>
      </c>
      <c r="T174" s="26">
        <f>IFERROR(__xludf.DUMMYFUNCTION("""COMPUTED_VALUE"""),0.0)</f>
        <v>0</v>
      </c>
      <c r="U174" s="26">
        <f>IFERROR(__xludf.DUMMYFUNCTION("""COMPUTED_VALUE"""),0.0)</f>
        <v>0</v>
      </c>
      <c r="V174" s="26">
        <f>IFERROR(__xludf.DUMMYFUNCTION("""COMPUTED_VALUE"""),121533.38000000009)</f>
        <v>121533.38</v>
      </c>
      <c r="W174" s="26">
        <f>IFERROR(__xludf.DUMMYFUNCTION("""COMPUTED_VALUE"""),796740.0)</f>
        <v>796740</v>
      </c>
      <c r="X174" s="26">
        <f>IFERROR(__xludf.DUMMYFUNCTION("""COMPUTED_VALUE"""),528964.2399999993)</f>
        <v>528964.24</v>
      </c>
      <c r="Y174" s="26">
        <f>IFERROR(__xludf.DUMMYFUNCTION("""COMPUTED_VALUE"""),277745.23999999964)</f>
        <v>277745.24</v>
      </c>
      <c r="Z174" s="26">
        <f>IFERROR(__xludf.DUMMYFUNCTION("""COMPUTED_VALUE"""),0.0)</f>
        <v>0</v>
      </c>
      <c r="AA174" s="26">
        <f>IFERROR(__xludf.DUMMYFUNCTION("""COMPUTED_VALUE"""),11570.859999999968)</f>
        <v>11570.86</v>
      </c>
      <c r="AB174" s="26">
        <f>IFERROR(__xludf.DUMMYFUNCTION("""COMPUTED_VALUE"""),267775.7599999998)</f>
        <v>267775.76</v>
      </c>
      <c r="AC174" s="26">
        <f>IFERROR(__xludf.DUMMYFUNCTION("""COMPUTED_VALUE"""),0.0)</f>
        <v>0</v>
      </c>
      <c r="AD174" s="26">
        <f>IFERROR(__xludf.DUMMYFUNCTION("""COMPUTED_VALUE"""),815000.0)</f>
        <v>815000</v>
      </c>
      <c r="AE174" s="26">
        <f>IFERROR(__xludf.DUMMYFUNCTION("""COMPUTED_VALUE"""),0.0)</f>
        <v>0</v>
      </c>
    </row>
    <row r="175">
      <c r="A175" s="26">
        <f>IFERROR(__xludf.DUMMYFUNCTION("""COMPUTED_VALUE"""),81.0)</f>
        <v>81</v>
      </c>
      <c r="B175" s="26">
        <f>IFERROR(__xludf.DUMMYFUNCTION("""COMPUTED_VALUE"""),5.0)</f>
        <v>5</v>
      </c>
      <c r="C175" s="26">
        <f>IFERROR(__xludf.DUMMYFUNCTION("""COMPUTED_VALUE"""),31.0)</f>
        <v>31</v>
      </c>
      <c r="D175" s="26">
        <f>IFERROR(__xludf.DUMMYFUNCTION("""COMPUTED_VALUE"""),0.0)</f>
        <v>0</v>
      </c>
      <c r="E175" s="26">
        <f>IFERROR(__xludf.DUMMYFUNCTION("""COMPUTED_VALUE"""),0.0)</f>
        <v>0</v>
      </c>
      <c r="F175" s="26">
        <f>IFERROR(__xludf.DUMMYFUNCTION("""COMPUTED_VALUE"""),0.0)</f>
        <v>0</v>
      </c>
      <c r="G175" s="26">
        <f>IFERROR(__xludf.DUMMYFUNCTION("""COMPUTED_VALUE"""),0.0)</f>
        <v>0</v>
      </c>
      <c r="H175" s="26">
        <f>IFERROR(__xludf.DUMMYFUNCTION("""COMPUTED_VALUE"""),0.0)</f>
        <v>0</v>
      </c>
      <c r="I175" s="26">
        <f>IFERROR(__xludf.DUMMYFUNCTION("""COMPUTED_VALUE"""),0.0)</f>
        <v>0</v>
      </c>
      <c r="J175" s="26">
        <f>IFERROR(__xludf.DUMMYFUNCTION("""COMPUTED_VALUE"""),0.0)</f>
        <v>0</v>
      </c>
      <c r="K175" s="26">
        <f>IFERROR(__xludf.DUMMYFUNCTION("""COMPUTED_VALUE"""),0.0)</f>
        <v>0</v>
      </c>
      <c r="L175" s="26"/>
      <c r="M175" s="26"/>
      <c r="N175" s="26"/>
      <c r="O175" s="26"/>
      <c r="P175" s="26"/>
      <c r="Q175" s="26"/>
      <c r="R175" s="26">
        <f>IFERROR(__xludf.DUMMYFUNCTION("""COMPUTED_VALUE"""),54533.0)</f>
        <v>54533</v>
      </c>
      <c r="S175" s="26">
        <f>IFERROR(__xludf.DUMMYFUNCTION("""COMPUTED_VALUE"""),26620.0)</f>
        <v>26620</v>
      </c>
      <c r="T175" s="26">
        <f>IFERROR(__xludf.DUMMYFUNCTION("""COMPUTED_VALUE"""),0.0)</f>
        <v>0</v>
      </c>
      <c r="U175" s="26">
        <f>IFERROR(__xludf.DUMMYFUNCTION("""COMPUTED_VALUE"""),0.0)</f>
        <v>0</v>
      </c>
      <c r="V175" s="26">
        <f>IFERROR(__xludf.DUMMYFUNCTION("""COMPUTED_VALUE"""),8318.329999999987)</f>
        <v>8318.33</v>
      </c>
      <c r="W175" s="26">
        <f>IFERROR(__xludf.DUMMYFUNCTION("""COMPUTED_VALUE"""),416355.4700000008)</f>
        <v>416355.47</v>
      </c>
      <c r="X175" s="26">
        <f>IFERROR(__xludf.DUMMYFUNCTION("""COMPUTED_VALUE"""),416355.4700000008)</f>
        <v>416355.47</v>
      </c>
      <c r="Y175" s="26">
        <f>IFERROR(__xludf.DUMMYFUNCTION("""COMPUTED_VALUE"""),215371.6100000001)</f>
        <v>215371.61</v>
      </c>
      <c r="Z175" s="26">
        <f>IFERROR(__xludf.DUMMYFUNCTION("""COMPUTED_VALUE"""),237459.5300000004)</f>
        <v>237459.53</v>
      </c>
      <c r="AA175" s="26">
        <f>IFERROR(__xludf.DUMMYFUNCTION("""COMPUTED_VALUE"""),14424.590000000018)</f>
        <v>14424.59</v>
      </c>
      <c r="AB175" s="26">
        <f>IFERROR(__xludf.DUMMYFUNCTION("""COMPUTED_VALUE"""),0.0)</f>
        <v>0</v>
      </c>
      <c r="AC175" s="26">
        <f>IFERROR(__xludf.DUMMYFUNCTION("""COMPUTED_VALUE"""),0.0)</f>
        <v>0</v>
      </c>
      <c r="AD175" s="26">
        <f>IFERROR(__xludf.DUMMYFUNCTION("""COMPUTED_VALUE"""),420862.0)</f>
        <v>420862</v>
      </c>
      <c r="AE175" s="26">
        <f>IFERROR(__xludf.DUMMYFUNCTION("""COMPUTED_VALUE"""),1768.5)</f>
        <v>1768.5</v>
      </c>
    </row>
    <row r="176">
      <c r="A176" s="26">
        <f>IFERROR(__xludf.DUMMYFUNCTION("""COMPUTED_VALUE"""),790.0)</f>
        <v>790</v>
      </c>
      <c r="B176" s="26">
        <f>IFERROR(__xludf.DUMMYFUNCTION("""COMPUTED_VALUE"""),0.0)</f>
        <v>0</v>
      </c>
      <c r="C176" s="26">
        <f>IFERROR(__xludf.DUMMYFUNCTION("""COMPUTED_VALUE"""),0.0)</f>
        <v>0</v>
      </c>
      <c r="D176" s="26">
        <f>IFERROR(__xludf.DUMMYFUNCTION("""COMPUTED_VALUE"""),0.0)</f>
        <v>0</v>
      </c>
      <c r="E176" s="26">
        <f>IFERROR(__xludf.DUMMYFUNCTION("""COMPUTED_VALUE"""),0.0)</f>
        <v>0</v>
      </c>
      <c r="F176" s="26">
        <f>IFERROR(__xludf.DUMMYFUNCTION("""COMPUTED_VALUE"""),0.0)</f>
        <v>0</v>
      </c>
      <c r="G176" s="26">
        <f>IFERROR(__xludf.DUMMYFUNCTION("""COMPUTED_VALUE"""),0.0)</f>
        <v>0</v>
      </c>
      <c r="H176" s="26">
        <f>IFERROR(__xludf.DUMMYFUNCTION("""COMPUTED_VALUE"""),0.0)</f>
        <v>0</v>
      </c>
      <c r="I176" s="26">
        <f>IFERROR(__xludf.DUMMYFUNCTION("""COMPUTED_VALUE"""),0.0)</f>
        <v>0</v>
      </c>
      <c r="J176" s="26">
        <f>IFERROR(__xludf.DUMMYFUNCTION("""COMPUTED_VALUE"""),0.0)</f>
        <v>0</v>
      </c>
      <c r="K176" s="26">
        <f>IFERROR(__xludf.DUMMYFUNCTION("""COMPUTED_VALUE"""),0.0)</f>
        <v>0</v>
      </c>
      <c r="L176" s="26"/>
      <c r="M176" s="26"/>
      <c r="N176" s="26"/>
      <c r="O176" s="26"/>
      <c r="P176" s="26"/>
      <c r="Q176" s="26"/>
      <c r="R176" s="26">
        <f>IFERROR(__xludf.DUMMYFUNCTION("""COMPUTED_VALUE"""),349180.0)</f>
        <v>349180</v>
      </c>
      <c r="S176" s="26">
        <f>IFERROR(__xludf.DUMMYFUNCTION("""COMPUTED_VALUE"""),153850.0)</f>
        <v>153850</v>
      </c>
      <c r="T176" s="26">
        <f>IFERROR(__xludf.DUMMYFUNCTION("""COMPUTED_VALUE"""),0.0)</f>
        <v>0</v>
      </c>
      <c r="U176" s="26">
        <f>IFERROR(__xludf.DUMMYFUNCTION("""COMPUTED_VALUE"""),0.0)</f>
        <v>0</v>
      </c>
      <c r="V176" s="26">
        <f>IFERROR(__xludf.DUMMYFUNCTION("""COMPUTED_VALUE"""),53261.79999999951)</f>
        <v>53261.8</v>
      </c>
      <c r="W176" s="26">
        <f>IFERROR(__xludf.DUMMYFUNCTION("""COMPUTED_VALUE"""),349180.0)</f>
        <v>349180</v>
      </c>
      <c r="X176" s="26">
        <f>IFERROR(__xludf.DUMMYFUNCTION("""COMPUTED_VALUE"""),212256.34999999884)</f>
        <v>212256.35</v>
      </c>
      <c r="Y176" s="26">
        <f>IFERROR(__xludf.DUMMYFUNCTION("""COMPUTED_VALUE"""),140763.05000000086)</f>
        <v>140763.05</v>
      </c>
      <c r="Z176" s="26">
        <f>IFERROR(__xludf.DUMMYFUNCTION("""COMPUTED_VALUE"""),0.0)</f>
        <v>0</v>
      </c>
      <c r="AA176" s="26">
        <f>IFERROR(__xludf.DUMMYFUNCTION("""COMPUTED_VALUE"""),5144.550000000011)</f>
        <v>5144.55</v>
      </c>
      <c r="AB176" s="26">
        <f>IFERROR(__xludf.DUMMYFUNCTION("""COMPUTED_VALUE"""),136923.65000000017)</f>
        <v>136923.65</v>
      </c>
      <c r="AC176" s="26">
        <f>IFERROR(__xludf.DUMMYFUNCTION("""COMPUTED_VALUE"""),0.0)</f>
        <v>0</v>
      </c>
      <c r="AD176" s="26">
        <f>IFERROR(__xludf.DUMMYFUNCTION("""COMPUTED_VALUE"""),349180.0)</f>
        <v>349180</v>
      </c>
      <c r="AE176" s="26">
        <f>IFERROR(__xludf.DUMMYFUNCTION("""COMPUTED_VALUE"""),0.0)</f>
        <v>0</v>
      </c>
    </row>
    <row r="177">
      <c r="A177" s="26">
        <f>IFERROR(__xludf.DUMMYFUNCTION("""COMPUTED_VALUE"""),5.0)</f>
        <v>5</v>
      </c>
      <c r="B177" s="26">
        <f>IFERROR(__xludf.DUMMYFUNCTION("""COMPUTED_VALUE"""),0.0)</f>
        <v>0</v>
      </c>
      <c r="C177" s="26">
        <f>IFERROR(__xludf.DUMMYFUNCTION("""COMPUTED_VALUE"""),334.0)</f>
        <v>334</v>
      </c>
      <c r="D177" s="26">
        <f>IFERROR(__xludf.DUMMYFUNCTION("""COMPUTED_VALUE"""),0.0)</f>
        <v>0</v>
      </c>
      <c r="E177" s="26">
        <f>IFERROR(__xludf.DUMMYFUNCTION("""COMPUTED_VALUE"""),0.0)</f>
        <v>0</v>
      </c>
      <c r="F177" s="26">
        <f>IFERROR(__xludf.DUMMYFUNCTION("""COMPUTED_VALUE"""),0.0)</f>
        <v>0</v>
      </c>
      <c r="G177" s="26">
        <f>IFERROR(__xludf.DUMMYFUNCTION("""COMPUTED_VALUE"""),0.0)</f>
        <v>0</v>
      </c>
      <c r="H177" s="26">
        <f>IFERROR(__xludf.DUMMYFUNCTION("""COMPUTED_VALUE"""),0.0)</f>
        <v>0</v>
      </c>
      <c r="I177" s="26">
        <f>IFERROR(__xludf.DUMMYFUNCTION("""COMPUTED_VALUE"""),0.0)</f>
        <v>0</v>
      </c>
      <c r="J177" s="26">
        <f>IFERROR(__xludf.DUMMYFUNCTION("""COMPUTED_VALUE"""),0.0)</f>
        <v>0</v>
      </c>
      <c r="K177" s="26">
        <f>IFERROR(__xludf.DUMMYFUNCTION("""COMPUTED_VALUE"""),0.0)</f>
        <v>0</v>
      </c>
      <c r="L177" s="26"/>
      <c r="M177" s="26"/>
      <c r="N177" s="26"/>
      <c r="O177" s="26"/>
      <c r="P177" s="26"/>
      <c r="Q177" s="26"/>
      <c r="R177" s="26">
        <f>IFERROR(__xludf.DUMMYFUNCTION("""COMPUTED_VALUE"""),149826.0)</f>
        <v>149826</v>
      </c>
      <c r="S177" s="26">
        <f>IFERROR(__xludf.DUMMYFUNCTION("""COMPUTED_VALUE"""),66340.0)</f>
        <v>66340</v>
      </c>
      <c r="T177" s="26">
        <f>IFERROR(__xludf.DUMMYFUNCTION("""COMPUTED_VALUE"""),0.0)</f>
        <v>0</v>
      </c>
      <c r="U177" s="26">
        <f>IFERROR(__xludf.DUMMYFUNCTION("""COMPUTED_VALUE"""),0.0)</f>
        <v>0</v>
      </c>
      <c r="V177" s="26">
        <f>IFERROR(__xludf.DUMMYFUNCTION("""COMPUTED_VALUE"""),22853.560000000016)</f>
        <v>22853.56</v>
      </c>
      <c r="W177" s="26">
        <f>IFERROR(__xludf.DUMMYFUNCTION("""COMPUTED_VALUE"""),149826.0)</f>
        <v>149826</v>
      </c>
      <c r="X177" s="26">
        <f>IFERROR(__xludf.DUMMYFUNCTION("""COMPUTED_VALUE"""),91334.79000000005)</f>
        <v>91334.79</v>
      </c>
      <c r="Y177" s="26">
        <f>IFERROR(__xludf.DUMMYFUNCTION("""COMPUTED_VALUE"""),60039.19000000002)</f>
        <v>60039.19</v>
      </c>
      <c r="Z177" s="26">
        <f>IFERROR(__xludf.DUMMYFUNCTION("""COMPUTED_VALUE"""),0.0)</f>
        <v>0</v>
      </c>
      <c r="AA177" s="26">
        <f>IFERROR(__xludf.DUMMYFUNCTION("""COMPUTED_VALUE"""),2141.23)</f>
        <v>2141.23</v>
      </c>
      <c r="AB177" s="26">
        <f>IFERROR(__xludf.DUMMYFUNCTION("""COMPUTED_VALUE"""),58491.209999999846)</f>
        <v>58491.21</v>
      </c>
      <c r="AC177" s="26">
        <f>IFERROR(__xludf.DUMMYFUNCTION("""COMPUTED_VALUE"""),0.0)</f>
        <v>0</v>
      </c>
      <c r="AD177" s="26">
        <f>IFERROR(__xludf.DUMMYFUNCTION("""COMPUTED_VALUE"""),149826.0)</f>
        <v>149826</v>
      </c>
      <c r="AE177" s="26">
        <f>IFERROR(__xludf.DUMMYFUNCTION("""COMPUTED_VALUE"""),0.0)</f>
        <v>0</v>
      </c>
    </row>
    <row r="178">
      <c r="A178" s="26">
        <f>IFERROR(__xludf.DUMMYFUNCTION("""COMPUTED_VALUE"""),1710.0)</f>
        <v>1710</v>
      </c>
      <c r="B178" s="26">
        <f>IFERROR(__xludf.DUMMYFUNCTION("""COMPUTED_VALUE"""),0.0)</f>
        <v>0</v>
      </c>
      <c r="C178" s="26">
        <f>IFERROR(__xludf.DUMMYFUNCTION("""COMPUTED_VALUE"""),0.0)</f>
        <v>0</v>
      </c>
      <c r="D178" s="26">
        <f>IFERROR(__xludf.DUMMYFUNCTION("""COMPUTED_VALUE"""),0.0)</f>
        <v>0</v>
      </c>
      <c r="E178" s="26">
        <f>IFERROR(__xludf.DUMMYFUNCTION("""COMPUTED_VALUE"""),0.0)</f>
        <v>0</v>
      </c>
      <c r="F178" s="26">
        <f>IFERROR(__xludf.DUMMYFUNCTION("""COMPUTED_VALUE"""),0.0)</f>
        <v>0</v>
      </c>
      <c r="G178" s="26">
        <f>IFERROR(__xludf.DUMMYFUNCTION("""COMPUTED_VALUE"""),0.0)</f>
        <v>0</v>
      </c>
      <c r="H178" s="26">
        <f>IFERROR(__xludf.DUMMYFUNCTION("""COMPUTED_VALUE"""),0.0)</f>
        <v>0</v>
      </c>
      <c r="I178" s="26">
        <f>IFERROR(__xludf.DUMMYFUNCTION("""COMPUTED_VALUE"""),0.0)</f>
        <v>0</v>
      </c>
      <c r="J178" s="26">
        <f>IFERROR(__xludf.DUMMYFUNCTION("""COMPUTED_VALUE"""),0.0)</f>
        <v>0</v>
      </c>
      <c r="K178" s="26">
        <f>IFERROR(__xludf.DUMMYFUNCTION("""COMPUTED_VALUE"""),0.0)</f>
        <v>0</v>
      </c>
      <c r="L178" s="26"/>
      <c r="M178" s="26"/>
      <c r="N178" s="26"/>
      <c r="O178" s="26"/>
      <c r="P178" s="26"/>
      <c r="Q178" s="26"/>
      <c r="R178" s="26">
        <f>IFERROR(__xludf.DUMMYFUNCTION("""COMPUTED_VALUE"""),666900.0)</f>
        <v>666900</v>
      </c>
      <c r="S178" s="26">
        <f>IFERROR(__xludf.DUMMYFUNCTION("""COMPUTED_VALUE"""),350550.0)</f>
        <v>350550</v>
      </c>
      <c r="T178" s="26">
        <f>IFERROR(__xludf.DUMMYFUNCTION("""COMPUTED_VALUE"""),0.0)</f>
        <v>0</v>
      </c>
      <c r="U178" s="26">
        <f>IFERROR(__xludf.DUMMYFUNCTION("""COMPUTED_VALUE"""),0.0)</f>
        <v>0</v>
      </c>
      <c r="V178" s="26">
        <f>IFERROR(__xludf.DUMMYFUNCTION("""COMPUTED_VALUE"""),101727.9)</f>
        <v>101727.9</v>
      </c>
      <c r="W178" s="26">
        <f>IFERROR(__xludf.DUMMYFUNCTION("""COMPUTED_VALUE"""),465706.52999999817)</f>
        <v>465706.53</v>
      </c>
      <c r="X178" s="26">
        <f>IFERROR(__xludf.DUMMYFUNCTION("""COMPUTED_VALUE"""),465706.52999999817)</f>
        <v>465706.53</v>
      </c>
      <c r="Y178" s="26">
        <f>IFERROR(__xludf.DUMMYFUNCTION("""COMPUTED_VALUE"""),160778.3099999996)</f>
        <v>160778.31</v>
      </c>
      <c r="Z178" s="26">
        <f>IFERROR(__xludf.DUMMYFUNCTION("""COMPUTED_VALUE"""),201193.4699999993)</f>
        <v>201193.47</v>
      </c>
      <c r="AA178" s="26">
        <f>IFERROR(__xludf.DUMMYFUNCTION("""COMPUTED_VALUE"""),13428.630000000016)</f>
        <v>13428.63</v>
      </c>
      <c r="AB178" s="26">
        <f>IFERROR(__xludf.DUMMYFUNCTION("""COMPUTED_VALUE"""),0.0)</f>
        <v>0</v>
      </c>
      <c r="AC178" s="26">
        <f>IFERROR(__xludf.DUMMYFUNCTION("""COMPUTED_VALUE"""),0.0)</f>
        <v>0</v>
      </c>
      <c r="AD178" s="26">
        <f>IFERROR(__xludf.DUMMYFUNCTION("""COMPUTED_VALUE"""),498000.0)</f>
        <v>498000</v>
      </c>
      <c r="AE178" s="26">
        <f>IFERROR(__xludf.DUMMYFUNCTION("""COMPUTED_VALUE"""),0.0)</f>
        <v>0</v>
      </c>
    </row>
    <row r="179">
      <c r="A179" s="26">
        <f>IFERROR(__xludf.DUMMYFUNCTION("""COMPUTED_VALUE"""),2047.0)</f>
        <v>2047</v>
      </c>
      <c r="B179" s="26">
        <f>IFERROR(__xludf.DUMMYFUNCTION("""COMPUTED_VALUE"""),0.0)</f>
        <v>0</v>
      </c>
      <c r="C179" s="26">
        <f>IFERROR(__xludf.DUMMYFUNCTION("""COMPUTED_VALUE"""),0.0)</f>
        <v>0</v>
      </c>
      <c r="D179" s="26">
        <f>IFERROR(__xludf.DUMMYFUNCTION("""COMPUTED_VALUE"""),0.0)</f>
        <v>0</v>
      </c>
      <c r="E179" s="26">
        <f>IFERROR(__xludf.DUMMYFUNCTION("""COMPUTED_VALUE"""),0.0)</f>
        <v>0</v>
      </c>
      <c r="F179" s="26">
        <f>IFERROR(__xludf.DUMMYFUNCTION("""COMPUTED_VALUE"""),0.0)</f>
        <v>0</v>
      </c>
      <c r="G179" s="26">
        <f>IFERROR(__xludf.DUMMYFUNCTION("""COMPUTED_VALUE"""),0.0)</f>
        <v>0</v>
      </c>
      <c r="H179" s="26">
        <f>IFERROR(__xludf.DUMMYFUNCTION("""COMPUTED_VALUE"""),0.0)</f>
        <v>0</v>
      </c>
      <c r="I179" s="26">
        <f>IFERROR(__xludf.DUMMYFUNCTION("""COMPUTED_VALUE"""),0.0)</f>
        <v>0</v>
      </c>
      <c r="J179" s="26">
        <f>IFERROR(__xludf.DUMMYFUNCTION("""COMPUTED_VALUE"""),0.0)</f>
        <v>0</v>
      </c>
      <c r="K179" s="26">
        <f>IFERROR(__xludf.DUMMYFUNCTION("""COMPUTED_VALUE"""),0.0)</f>
        <v>0</v>
      </c>
      <c r="L179" s="26"/>
      <c r="M179" s="26"/>
      <c r="N179" s="26"/>
      <c r="O179" s="26"/>
      <c r="P179" s="26"/>
      <c r="Q179" s="26"/>
      <c r="R179" s="26">
        <f>IFERROR(__xludf.DUMMYFUNCTION("""COMPUTED_VALUE"""),798330.0)</f>
        <v>798330</v>
      </c>
      <c r="S179" s="26">
        <f>IFERROR(__xludf.DUMMYFUNCTION("""COMPUTED_VALUE"""),419635.0)</f>
        <v>419635</v>
      </c>
      <c r="T179" s="26">
        <f>IFERROR(__xludf.DUMMYFUNCTION("""COMPUTED_VALUE"""),0.0)</f>
        <v>0</v>
      </c>
      <c r="U179" s="26">
        <f>IFERROR(__xludf.DUMMYFUNCTION("""COMPUTED_VALUE"""),0.0)</f>
        <v>0</v>
      </c>
      <c r="V179" s="26">
        <f>IFERROR(__xludf.DUMMYFUNCTION("""COMPUTED_VALUE"""),121776.02999999987)</f>
        <v>121776.03</v>
      </c>
      <c r="W179" s="26">
        <f>IFERROR(__xludf.DUMMYFUNCTION("""COMPUTED_VALUE"""),555971.6299999992)</f>
        <v>555971.63</v>
      </c>
      <c r="X179" s="26">
        <f>IFERROR(__xludf.DUMMYFUNCTION("""COMPUTED_VALUE"""),555971.6299999992)</f>
        <v>555971.63</v>
      </c>
      <c r="Y179" s="26">
        <f>IFERROR(__xludf.DUMMYFUNCTION("""COMPUTED_VALUE"""),222780.24999999945)</f>
        <v>222780.25</v>
      </c>
      <c r="Z179" s="26">
        <f>IFERROR(__xludf.DUMMYFUNCTION("""COMPUTED_VALUE"""),242358.36999999965)</f>
        <v>242358.37</v>
      </c>
      <c r="AA179" s="26">
        <f>IFERROR(__xludf.DUMMYFUNCTION("""COMPUTED_VALUE"""),14560.599999999977)</f>
        <v>14560.6</v>
      </c>
      <c r="AB179" s="26">
        <f>IFERROR(__xludf.DUMMYFUNCTION("""COMPUTED_VALUE"""),0.0)</f>
        <v>0</v>
      </c>
      <c r="AC179" s="26">
        <f>IFERROR(__xludf.DUMMYFUNCTION("""COMPUTED_VALUE"""),0.0)</f>
        <v>0</v>
      </c>
      <c r="AD179" s="26">
        <f>IFERROR(__xludf.DUMMYFUNCTION("""COMPUTED_VALUE"""),583146.0)</f>
        <v>583146</v>
      </c>
      <c r="AE179" s="26">
        <f>IFERROR(__xludf.DUMMYFUNCTION("""COMPUTED_VALUE"""),0.0)</f>
        <v>0</v>
      </c>
    </row>
    <row r="180">
      <c r="A180" s="26">
        <f>IFERROR(__xludf.DUMMYFUNCTION("""COMPUTED_VALUE"""),3.0)</f>
        <v>3</v>
      </c>
      <c r="B180" s="26">
        <f>IFERROR(__xludf.DUMMYFUNCTION("""COMPUTED_VALUE"""),0.0)</f>
        <v>0</v>
      </c>
      <c r="C180" s="26">
        <f>IFERROR(__xludf.DUMMYFUNCTION("""COMPUTED_VALUE"""),914.0)</f>
        <v>914</v>
      </c>
      <c r="D180" s="26">
        <f>IFERROR(__xludf.DUMMYFUNCTION("""COMPUTED_VALUE"""),0.0)</f>
        <v>0</v>
      </c>
      <c r="E180" s="26">
        <f>IFERROR(__xludf.DUMMYFUNCTION("""COMPUTED_VALUE"""),0.0)</f>
        <v>0</v>
      </c>
      <c r="F180" s="26">
        <f>IFERROR(__xludf.DUMMYFUNCTION("""COMPUTED_VALUE"""),0.0)</f>
        <v>0</v>
      </c>
      <c r="G180" s="26">
        <f>IFERROR(__xludf.DUMMYFUNCTION("""COMPUTED_VALUE"""),0.0)</f>
        <v>0</v>
      </c>
      <c r="H180" s="26">
        <f>IFERROR(__xludf.DUMMYFUNCTION("""COMPUTED_VALUE"""),0.0)</f>
        <v>0</v>
      </c>
      <c r="I180" s="26">
        <f>IFERROR(__xludf.DUMMYFUNCTION("""COMPUTED_VALUE"""),0.0)</f>
        <v>0</v>
      </c>
      <c r="J180" s="26">
        <f>IFERROR(__xludf.DUMMYFUNCTION("""COMPUTED_VALUE"""),0.0)</f>
        <v>0</v>
      </c>
      <c r="K180" s="26">
        <f>IFERROR(__xludf.DUMMYFUNCTION("""COMPUTED_VALUE"""),0.0)</f>
        <v>0</v>
      </c>
      <c r="L180" s="26"/>
      <c r="M180" s="26"/>
      <c r="N180" s="26"/>
      <c r="O180" s="26"/>
      <c r="P180" s="26"/>
      <c r="Q180" s="26"/>
      <c r="R180" s="26">
        <f>IFERROR(__xludf.DUMMYFUNCTION("""COMPUTED_VALUE"""),405314.0)</f>
        <v>405314</v>
      </c>
      <c r="S180" s="26">
        <f>IFERROR(__xludf.DUMMYFUNCTION("""COMPUTED_VALUE"""),154105.0)</f>
        <v>154105</v>
      </c>
      <c r="T180" s="26">
        <f>IFERROR(__xludf.DUMMYFUNCTION("""COMPUTED_VALUE"""),33.71)</f>
        <v>33.71</v>
      </c>
      <c r="U180" s="26">
        <f>IFERROR(__xludf.DUMMYFUNCTION("""COMPUTED_VALUE"""),33.71)</f>
        <v>33.71</v>
      </c>
      <c r="V180" s="26">
        <f>IFERROR(__xludf.DUMMYFUNCTION("""COMPUTED_VALUE"""),61756.72000000005)</f>
        <v>61756.72</v>
      </c>
      <c r="W180" s="26">
        <f>IFERROR(__xludf.DUMMYFUNCTION("""COMPUTED_VALUE"""),405314.0)</f>
        <v>405314</v>
      </c>
      <c r="X180" s="26">
        <f>IFERROR(__xludf.DUMMYFUNCTION("""COMPUTED_VALUE"""),225043.00000000044)</f>
        <v>225043</v>
      </c>
      <c r="Y180" s="26">
        <f>IFERROR(__xludf.DUMMYFUNCTION("""COMPUTED_VALUE"""),189147.5600000005)</f>
        <v>189147.56</v>
      </c>
      <c r="Z180" s="26">
        <f>IFERROR(__xludf.DUMMYFUNCTION("""COMPUTED_VALUE"""),0.0)</f>
        <v>0</v>
      </c>
      <c r="AA180" s="26">
        <f>IFERROR(__xludf.DUMMYFUNCTION("""COMPUTED_VALUE"""),9113.86000000001)</f>
        <v>9113.86</v>
      </c>
      <c r="AB180" s="26">
        <f>IFERROR(__xludf.DUMMYFUNCTION("""COMPUTED_VALUE"""),180270.99999999974)</f>
        <v>180271</v>
      </c>
      <c r="AC180" s="26">
        <f>IFERROR(__xludf.DUMMYFUNCTION("""COMPUTED_VALUE"""),0.0)</f>
        <v>0</v>
      </c>
      <c r="AD180" s="26">
        <f>IFERROR(__xludf.DUMMYFUNCTION("""COMPUTED_VALUE"""),394263.36)</f>
        <v>394263.36</v>
      </c>
      <c r="AE180" s="26">
        <f>IFERROR(__xludf.DUMMYFUNCTION("""COMPUTED_VALUE"""),0.0)</f>
        <v>0</v>
      </c>
    </row>
    <row r="181">
      <c r="A181" s="26">
        <f>IFERROR(__xludf.DUMMYFUNCTION("""COMPUTED_VALUE"""),2874.0)</f>
        <v>2874</v>
      </c>
      <c r="B181" s="26">
        <f>IFERROR(__xludf.DUMMYFUNCTION("""COMPUTED_VALUE"""),0.0)</f>
        <v>0</v>
      </c>
      <c r="C181" s="26">
        <f>IFERROR(__xludf.DUMMYFUNCTION("""COMPUTED_VALUE"""),1.0)</f>
        <v>1</v>
      </c>
      <c r="D181" s="26">
        <f>IFERROR(__xludf.DUMMYFUNCTION("""COMPUTED_VALUE"""),0.0)</f>
        <v>0</v>
      </c>
      <c r="E181" s="26">
        <f>IFERROR(__xludf.DUMMYFUNCTION("""COMPUTED_VALUE"""),0.0)</f>
        <v>0</v>
      </c>
      <c r="F181" s="26">
        <f>IFERROR(__xludf.DUMMYFUNCTION("""COMPUTED_VALUE"""),0.0)</f>
        <v>0</v>
      </c>
      <c r="G181" s="26">
        <f>IFERROR(__xludf.DUMMYFUNCTION("""COMPUTED_VALUE"""),0.0)</f>
        <v>0</v>
      </c>
      <c r="H181" s="26">
        <f>IFERROR(__xludf.DUMMYFUNCTION("""COMPUTED_VALUE"""),0.0)</f>
        <v>0</v>
      </c>
      <c r="I181" s="26">
        <f>IFERROR(__xludf.DUMMYFUNCTION("""COMPUTED_VALUE"""),0.0)</f>
        <v>0</v>
      </c>
      <c r="J181" s="26">
        <f>IFERROR(__xludf.DUMMYFUNCTION("""COMPUTED_VALUE"""),0.0)</f>
        <v>0</v>
      </c>
      <c r="K181" s="26">
        <f>IFERROR(__xludf.DUMMYFUNCTION("""COMPUTED_VALUE"""),0.0)</f>
        <v>0</v>
      </c>
      <c r="L181" s="26"/>
      <c r="M181" s="26"/>
      <c r="N181" s="26"/>
      <c r="O181" s="26"/>
      <c r="P181" s="26"/>
      <c r="Q181" s="26"/>
      <c r="R181" s="26">
        <f>IFERROR(__xludf.DUMMYFUNCTION("""COMPUTED_VALUE"""),1408750.0)</f>
        <v>1408750</v>
      </c>
      <c r="S181" s="26">
        <f>IFERROR(__xludf.DUMMYFUNCTION("""COMPUTED_VALUE"""),563605.0)</f>
        <v>563605</v>
      </c>
      <c r="T181" s="26">
        <f>IFERROR(__xludf.DUMMYFUNCTION("""COMPUTED_VALUE"""),74.74)</f>
        <v>74.74</v>
      </c>
      <c r="U181" s="26">
        <f>IFERROR(__xludf.DUMMYFUNCTION("""COMPUTED_VALUE"""),74.74)</f>
        <v>74.74</v>
      </c>
      <c r="V181" s="26">
        <f>IFERROR(__xludf.DUMMYFUNCTION("""COMPUTED_VALUE"""),214756.72999999998)</f>
        <v>214756.73</v>
      </c>
      <c r="W181" s="26">
        <f>IFERROR(__xludf.DUMMYFUNCTION("""COMPUTED_VALUE"""),1408260.0)</f>
        <v>1408260</v>
      </c>
      <c r="X181" s="26">
        <f>IFERROR(__xludf.DUMMYFUNCTION("""COMPUTED_VALUE"""),807861.1499999962)</f>
        <v>807861.15</v>
      </c>
      <c r="Y181" s="26">
        <f>IFERROR(__xludf.DUMMYFUNCTION("""COMPUTED_VALUE"""),628771.1400000004)</f>
        <v>628771.14</v>
      </c>
      <c r="Z181" s="26">
        <f>IFERROR(__xludf.DUMMYFUNCTION("""COMPUTED_VALUE"""),0.0)</f>
        <v>0</v>
      </c>
      <c r="AA181" s="26">
        <f>IFERROR(__xludf.DUMMYFUNCTION("""COMPUTED_VALUE"""),29622.660000000276)</f>
        <v>29622.66</v>
      </c>
      <c r="AB181" s="26">
        <f>IFERROR(__xludf.DUMMYFUNCTION("""COMPUTED_VALUE"""),600398.8500000025)</f>
        <v>600398.85</v>
      </c>
      <c r="AC181" s="26">
        <f>IFERROR(__xludf.DUMMYFUNCTION("""COMPUTED_VALUE"""),0.0)</f>
        <v>0</v>
      </c>
      <c r="AD181" s="26">
        <f>IFERROR(__xludf.DUMMYFUNCTION("""COMPUTED_VALUE"""),1450000.0)</f>
        <v>1450000</v>
      </c>
      <c r="AE181" s="26">
        <f>IFERROR(__xludf.DUMMYFUNCTION("""COMPUTED_VALUE"""),0.0)</f>
        <v>0</v>
      </c>
    </row>
    <row r="182">
      <c r="A182" s="26">
        <f>IFERROR(__xludf.DUMMYFUNCTION("""COMPUTED_VALUE"""),1.0)</f>
        <v>1</v>
      </c>
      <c r="B182" s="26">
        <f>IFERROR(__xludf.DUMMYFUNCTION("""COMPUTED_VALUE"""),0.0)</f>
        <v>0</v>
      </c>
      <c r="C182" s="26">
        <f>IFERROR(__xludf.DUMMYFUNCTION("""COMPUTED_VALUE"""),1143.0)</f>
        <v>1143</v>
      </c>
      <c r="D182" s="26">
        <f>IFERROR(__xludf.DUMMYFUNCTION("""COMPUTED_VALUE"""),0.0)</f>
        <v>0</v>
      </c>
      <c r="E182" s="26">
        <f>IFERROR(__xludf.DUMMYFUNCTION("""COMPUTED_VALUE"""),0.0)</f>
        <v>0</v>
      </c>
      <c r="F182" s="26">
        <f>IFERROR(__xludf.DUMMYFUNCTION("""COMPUTED_VALUE"""),0.0)</f>
        <v>0</v>
      </c>
      <c r="G182" s="26">
        <f>IFERROR(__xludf.DUMMYFUNCTION("""COMPUTED_VALUE"""),0.0)</f>
        <v>0</v>
      </c>
      <c r="H182" s="26">
        <f>IFERROR(__xludf.DUMMYFUNCTION("""COMPUTED_VALUE"""),0.0)</f>
        <v>0</v>
      </c>
      <c r="I182" s="26">
        <f>IFERROR(__xludf.DUMMYFUNCTION("""COMPUTED_VALUE"""),0.0)</f>
        <v>0</v>
      </c>
      <c r="J182" s="26">
        <f>IFERROR(__xludf.DUMMYFUNCTION("""COMPUTED_VALUE"""),0.0)</f>
        <v>0</v>
      </c>
      <c r="K182" s="26">
        <f>IFERROR(__xludf.DUMMYFUNCTION("""COMPUTED_VALUE"""),0.0)</f>
        <v>0</v>
      </c>
      <c r="L182" s="26"/>
      <c r="M182" s="26"/>
      <c r="N182" s="26"/>
      <c r="O182" s="26"/>
      <c r="P182" s="26"/>
      <c r="Q182" s="26"/>
      <c r="R182" s="26">
        <f>IFERROR(__xludf.DUMMYFUNCTION("""COMPUTED_VALUE"""),505648.0)</f>
        <v>505648</v>
      </c>
      <c r="S182" s="26">
        <f>IFERROR(__xludf.DUMMYFUNCTION("""COMPUTED_VALUE"""),213760.0)</f>
        <v>213760</v>
      </c>
      <c r="T182" s="26">
        <f>IFERROR(__xludf.DUMMYFUNCTION("""COMPUTED_VALUE"""),0.0)</f>
        <v>0</v>
      </c>
      <c r="U182" s="26">
        <f>IFERROR(__xludf.DUMMYFUNCTION("""COMPUTED_VALUE"""),0.0)</f>
        <v>0</v>
      </c>
      <c r="V182" s="26">
        <f>IFERROR(__xludf.DUMMYFUNCTION("""COMPUTED_VALUE"""),77128.4799999998)</f>
        <v>77128.48</v>
      </c>
      <c r="W182" s="26">
        <f>IFERROR(__xludf.DUMMYFUNCTION("""COMPUTED_VALUE"""),597584.0)</f>
        <v>597584</v>
      </c>
      <c r="X182" s="26">
        <f>IFERROR(__xludf.DUMMYFUNCTION("""COMPUTED_VALUE"""),355563.25999999983)</f>
        <v>355563.26</v>
      </c>
      <c r="Y182" s="26">
        <f>IFERROR(__xludf.DUMMYFUNCTION("""COMPUTED_VALUE"""),253832.82000000108)</f>
        <v>253832.82</v>
      </c>
      <c r="Z182" s="26">
        <f>IFERROR(__xludf.DUMMYFUNCTION("""COMPUTED_VALUE"""),0.0)</f>
        <v>0</v>
      </c>
      <c r="AA182" s="26">
        <f>IFERROR(__xludf.DUMMYFUNCTION("""COMPUTED_VALUE"""),12171.420000000016)</f>
        <v>12171.42</v>
      </c>
      <c r="AB182" s="26">
        <f>IFERROR(__xludf.DUMMYFUNCTION("""COMPUTED_VALUE"""),242020.7399999997)</f>
        <v>242020.74</v>
      </c>
      <c r="AC182" s="26">
        <f>IFERROR(__xludf.DUMMYFUNCTION("""COMPUTED_VALUE"""),0.0)</f>
        <v>0</v>
      </c>
      <c r="AD182" s="26">
        <f>IFERROR(__xludf.DUMMYFUNCTION("""COMPUTED_VALUE"""),604262.0)</f>
        <v>604262</v>
      </c>
      <c r="AE182" s="26">
        <f>IFERROR(__xludf.DUMMYFUNCTION("""COMPUTED_VALUE"""),0.0)</f>
        <v>0</v>
      </c>
    </row>
    <row r="183">
      <c r="A183" s="26">
        <f>IFERROR(__xludf.DUMMYFUNCTION("""COMPUTED_VALUE"""),0.0)</f>
        <v>0</v>
      </c>
      <c r="B183" s="26">
        <f>IFERROR(__xludf.DUMMYFUNCTION("""COMPUTED_VALUE"""),0.0)</f>
        <v>0</v>
      </c>
      <c r="C183" s="26">
        <f>IFERROR(__xludf.DUMMYFUNCTION("""COMPUTED_VALUE"""),80.0)</f>
        <v>80</v>
      </c>
      <c r="D183" s="26">
        <f>IFERROR(__xludf.DUMMYFUNCTION("""COMPUTED_VALUE"""),0.0)</f>
        <v>0</v>
      </c>
      <c r="E183" s="26">
        <f>IFERROR(__xludf.DUMMYFUNCTION("""COMPUTED_VALUE"""),0.0)</f>
        <v>0</v>
      </c>
      <c r="F183" s="26">
        <f>IFERROR(__xludf.DUMMYFUNCTION("""COMPUTED_VALUE"""),0.0)</f>
        <v>0</v>
      </c>
      <c r="G183" s="26">
        <f>IFERROR(__xludf.DUMMYFUNCTION("""COMPUTED_VALUE"""),0.0)</f>
        <v>0</v>
      </c>
      <c r="H183" s="26">
        <f>IFERROR(__xludf.DUMMYFUNCTION("""COMPUTED_VALUE"""),0.0)</f>
        <v>0</v>
      </c>
      <c r="I183" s="26">
        <f>IFERROR(__xludf.DUMMYFUNCTION("""COMPUTED_VALUE"""),0.0)</f>
        <v>0</v>
      </c>
      <c r="J183" s="26">
        <f>IFERROR(__xludf.DUMMYFUNCTION("""COMPUTED_VALUE"""),0.0)</f>
        <v>0</v>
      </c>
      <c r="K183" s="26">
        <f>IFERROR(__xludf.DUMMYFUNCTION("""COMPUTED_VALUE"""),0.0)</f>
        <v>0</v>
      </c>
      <c r="L183" s="26"/>
      <c r="M183" s="26"/>
      <c r="N183" s="26"/>
      <c r="O183" s="26"/>
      <c r="P183" s="26"/>
      <c r="Q183" s="26"/>
      <c r="R183" s="26">
        <f>IFERROR(__xludf.DUMMYFUNCTION("""COMPUTED_VALUE"""),35360.0)</f>
        <v>35360</v>
      </c>
      <c r="S183" s="26">
        <f>IFERROR(__xludf.DUMMYFUNCTION("""COMPUTED_VALUE"""),15140.0)</f>
        <v>15140</v>
      </c>
      <c r="T183" s="26">
        <f>IFERROR(__xludf.DUMMYFUNCTION("""COMPUTED_VALUE"""),0.0)</f>
        <v>0</v>
      </c>
      <c r="U183" s="26">
        <f>IFERROR(__xludf.DUMMYFUNCTION("""COMPUTED_VALUE"""),0.0)</f>
        <v>0</v>
      </c>
      <c r="V183" s="26">
        <f>IFERROR(__xludf.DUMMYFUNCTION("""COMPUTED_VALUE"""),5393.600000000002)</f>
        <v>5393.6</v>
      </c>
      <c r="W183" s="26">
        <f>IFERROR(__xludf.DUMMYFUNCTION("""COMPUTED_VALUE"""),35360.0)</f>
        <v>35360</v>
      </c>
      <c r="X183" s="26">
        <f>IFERROR(__xludf.DUMMYFUNCTION("""COMPUTED_VALUE"""),21188.469999999987)</f>
        <v>21188.47</v>
      </c>
      <c r="Y183" s="26">
        <f>IFERROR(__xludf.DUMMYFUNCTION("""COMPUTED_VALUE"""),14768.769999999999)</f>
        <v>14768.77</v>
      </c>
      <c r="Z183" s="26">
        <f>IFERROR(__xludf.DUMMYFUNCTION("""COMPUTED_VALUE"""),0.0)</f>
        <v>0</v>
      </c>
      <c r="AA183" s="26">
        <f>IFERROR(__xludf.DUMMYFUNCTION("""COMPUTED_VALUE"""),654.8700000000003)</f>
        <v>654.87</v>
      </c>
      <c r="AB183" s="26">
        <f>IFERROR(__xludf.DUMMYFUNCTION("""COMPUTED_VALUE"""),14171.53000000001)</f>
        <v>14171.53</v>
      </c>
      <c r="AC183" s="26">
        <f>IFERROR(__xludf.DUMMYFUNCTION("""COMPUTED_VALUE"""),0.0)</f>
        <v>0</v>
      </c>
      <c r="AD183" s="26">
        <f>IFERROR(__xludf.DUMMYFUNCTION("""COMPUTED_VALUE"""),35360.0)</f>
        <v>35360</v>
      </c>
      <c r="AE183" s="26">
        <f>IFERROR(__xludf.DUMMYFUNCTION("""COMPUTED_VALUE"""),0.0)</f>
        <v>0</v>
      </c>
    </row>
    <row r="184">
      <c r="A184" s="26">
        <f>IFERROR(__xludf.DUMMYFUNCTION("""COMPUTED_VALUE"""),1.0)</f>
        <v>1</v>
      </c>
      <c r="B184" s="26">
        <f>IFERROR(__xludf.DUMMYFUNCTION("""COMPUTED_VALUE"""),0.0)</f>
        <v>0</v>
      </c>
      <c r="C184" s="26">
        <f>IFERROR(__xludf.DUMMYFUNCTION("""COMPUTED_VALUE"""),911.0)</f>
        <v>911</v>
      </c>
      <c r="D184" s="26">
        <f>IFERROR(__xludf.DUMMYFUNCTION("""COMPUTED_VALUE"""),0.0)</f>
        <v>0</v>
      </c>
      <c r="E184" s="26">
        <f>IFERROR(__xludf.DUMMYFUNCTION("""COMPUTED_VALUE"""),0.0)</f>
        <v>0</v>
      </c>
      <c r="F184" s="26">
        <f>IFERROR(__xludf.DUMMYFUNCTION("""COMPUTED_VALUE"""),0.0)</f>
        <v>0</v>
      </c>
      <c r="G184" s="26">
        <f>IFERROR(__xludf.DUMMYFUNCTION("""COMPUTED_VALUE"""),0.0)</f>
        <v>0</v>
      </c>
      <c r="H184" s="26">
        <f>IFERROR(__xludf.DUMMYFUNCTION("""COMPUTED_VALUE"""),0.0)</f>
        <v>0</v>
      </c>
      <c r="I184" s="26">
        <f>IFERROR(__xludf.DUMMYFUNCTION("""COMPUTED_VALUE"""),0.0)</f>
        <v>0</v>
      </c>
      <c r="J184" s="26">
        <f>IFERROR(__xludf.DUMMYFUNCTION("""COMPUTED_VALUE"""),0.0)</f>
        <v>0</v>
      </c>
      <c r="K184" s="26">
        <f>IFERROR(__xludf.DUMMYFUNCTION("""COMPUTED_VALUE"""),0.0)</f>
        <v>0</v>
      </c>
      <c r="L184" s="26"/>
      <c r="M184" s="26"/>
      <c r="N184" s="26"/>
      <c r="O184" s="26"/>
      <c r="P184" s="26"/>
      <c r="Q184" s="26"/>
      <c r="R184" s="26">
        <f>IFERROR(__xludf.DUMMYFUNCTION("""COMPUTED_VALUE"""),628832.0)</f>
        <v>628832</v>
      </c>
      <c r="S184" s="26">
        <f>IFERROR(__xludf.DUMMYFUNCTION("""COMPUTED_VALUE"""),186960.0)</f>
        <v>186960</v>
      </c>
      <c r="T184" s="26">
        <f>IFERROR(__xludf.DUMMYFUNCTION("""COMPUTED_VALUE"""),0.0)</f>
        <v>0</v>
      </c>
      <c r="U184" s="26">
        <f>IFERROR(__xludf.DUMMYFUNCTION("""COMPUTED_VALUE"""),0.0)</f>
        <v>0</v>
      </c>
      <c r="V184" s="26">
        <f>IFERROR(__xludf.DUMMYFUNCTION("""COMPUTED_VALUE"""),95919.67)</f>
        <v>95919.67</v>
      </c>
      <c r="W184" s="26">
        <f>IFERROR(__xludf.DUMMYFUNCTION("""COMPUTED_VALUE"""),2072432.0)</f>
        <v>2072432</v>
      </c>
      <c r="X184" s="26">
        <f>IFERROR(__xludf.DUMMYFUNCTION("""COMPUTED_VALUE"""),990898.5899999982)</f>
        <v>990898.59</v>
      </c>
      <c r="Y184" s="26">
        <f>IFERROR(__xludf.DUMMYFUNCTION("""COMPUTED_VALUE"""),1132402.2700000007)</f>
        <v>1132402.27</v>
      </c>
      <c r="Z184" s="26">
        <f>IFERROR(__xludf.DUMMYFUNCTION("""COMPUTED_VALUE"""),0.0)</f>
        <v>0</v>
      </c>
      <c r="AA184" s="26">
        <f>IFERROR(__xludf.DUMMYFUNCTION("""COMPUTED_VALUE"""),53220.64999999958)</f>
        <v>53220.65</v>
      </c>
      <c r="AB184" s="26">
        <f>IFERROR(__xludf.DUMMYFUNCTION("""COMPUTED_VALUE"""),1081533.410000002)</f>
        <v>1081533.41</v>
      </c>
      <c r="AC184" s="26">
        <f>IFERROR(__xludf.DUMMYFUNCTION("""COMPUTED_VALUE"""),0.0)</f>
        <v>0</v>
      </c>
      <c r="AD184" s="26">
        <f>IFERROR(__xludf.DUMMYFUNCTION("""COMPUTED_VALUE"""),1974552.0)</f>
        <v>1974552</v>
      </c>
      <c r="AE184" s="26">
        <f>IFERROR(__xludf.DUMMYFUNCTION("""COMPUTED_VALUE"""),0.0)</f>
        <v>0</v>
      </c>
    </row>
    <row r="185">
      <c r="A185" s="26">
        <f>IFERROR(__xludf.DUMMYFUNCTION("""COMPUTED_VALUE"""),825.0)</f>
        <v>825</v>
      </c>
      <c r="B185" s="26">
        <f>IFERROR(__xludf.DUMMYFUNCTION("""COMPUTED_VALUE"""),0.0)</f>
        <v>0</v>
      </c>
      <c r="C185" s="26">
        <f>IFERROR(__xludf.DUMMYFUNCTION("""COMPUTED_VALUE"""),0.0)</f>
        <v>0</v>
      </c>
      <c r="D185" s="26">
        <f>IFERROR(__xludf.DUMMYFUNCTION("""COMPUTED_VALUE"""),0.0)</f>
        <v>0</v>
      </c>
      <c r="E185" s="26">
        <f>IFERROR(__xludf.DUMMYFUNCTION("""COMPUTED_VALUE"""),0.0)</f>
        <v>0</v>
      </c>
      <c r="F185" s="26">
        <f>IFERROR(__xludf.DUMMYFUNCTION("""COMPUTED_VALUE"""),0.0)</f>
        <v>0</v>
      </c>
      <c r="G185" s="26">
        <f>IFERROR(__xludf.DUMMYFUNCTION("""COMPUTED_VALUE"""),0.0)</f>
        <v>0</v>
      </c>
      <c r="H185" s="26">
        <f>IFERROR(__xludf.DUMMYFUNCTION("""COMPUTED_VALUE"""),0.0)</f>
        <v>0</v>
      </c>
      <c r="I185" s="26">
        <f>IFERROR(__xludf.DUMMYFUNCTION("""COMPUTED_VALUE"""),0.0)</f>
        <v>0</v>
      </c>
      <c r="J185" s="26">
        <f>IFERROR(__xludf.DUMMYFUNCTION("""COMPUTED_VALUE"""),0.0)</f>
        <v>0</v>
      </c>
      <c r="K185" s="26">
        <f>IFERROR(__xludf.DUMMYFUNCTION("""COMPUTED_VALUE"""),0.0)</f>
        <v>0</v>
      </c>
      <c r="L185" s="26"/>
      <c r="M185" s="26"/>
      <c r="N185" s="26"/>
      <c r="O185" s="26"/>
      <c r="P185" s="26"/>
      <c r="Q185" s="26"/>
      <c r="R185" s="26">
        <f>IFERROR(__xludf.DUMMYFUNCTION("""COMPUTED_VALUE"""),364650.0)</f>
        <v>364650</v>
      </c>
      <c r="S185" s="26">
        <f>IFERROR(__xludf.DUMMYFUNCTION("""COMPUTED_VALUE"""),158855.0)</f>
        <v>158855</v>
      </c>
      <c r="T185" s="26">
        <f>IFERROR(__xludf.DUMMYFUNCTION("""COMPUTED_VALUE"""),0.0)</f>
        <v>0</v>
      </c>
      <c r="U185" s="26">
        <f>IFERROR(__xludf.DUMMYFUNCTION("""COMPUTED_VALUE"""),0.0)</f>
        <v>0</v>
      </c>
      <c r="V185" s="26">
        <f>IFERROR(__xludf.DUMMYFUNCTION("""COMPUTED_VALUE"""),55621.49999999997)</f>
        <v>55621.5</v>
      </c>
      <c r="W185" s="26">
        <f>IFERROR(__xludf.DUMMYFUNCTION("""COMPUTED_VALUE"""),0.0)</f>
        <v>0</v>
      </c>
      <c r="X185" s="26">
        <f>IFERROR(__xludf.DUMMYFUNCTION("""COMPUTED_VALUE"""),0.0)</f>
        <v>0</v>
      </c>
      <c r="Y185" s="26">
        <f>IFERROR(__xludf.DUMMYFUNCTION("""COMPUTED_VALUE"""),0.0)</f>
        <v>0</v>
      </c>
      <c r="Z185" s="26">
        <f>IFERROR(__xludf.DUMMYFUNCTION("""COMPUTED_VALUE"""),0.0)</f>
        <v>0</v>
      </c>
      <c r="AA185" s="26">
        <f>IFERROR(__xludf.DUMMYFUNCTION("""COMPUTED_VALUE"""),0.0)</f>
        <v>0</v>
      </c>
      <c r="AB185" s="26">
        <f>IFERROR(__xludf.DUMMYFUNCTION("""COMPUTED_VALUE"""),0.0)</f>
        <v>0</v>
      </c>
      <c r="AC185" s="26">
        <f>IFERROR(__xludf.DUMMYFUNCTION("""COMPUTED_VALUE"""),0.0)</f>
        <v>0</v>
      </c>
      <c r="AD185" s="26">
        <f>IFERROR(__xludf.DUMMYFUNCTION("""COMPUTED_VALUE"""),0.0)</f>
        <v>0</v>
      </c>
      <c r="AE185" s="26">
        <f>IFERROR(__xludf.DUMMYFUNCTION("""COMPUTED_VALUE"""),0.0)</f>
        <v>0</v>
      </c>
    </row>
    <row r="186">
      <c r="A186" s="26">
        <f>IFERROR(__xludf.DUMMYFUNCTION("""COMPUTED_VALUE"""),581.0)</f>
        <v>581</v>
      </c>
      <c r="B186" s="26">
        <f>IFERROR(__xludf.DUMMYFUNCTION("""COMPUTED_VALUE"""),0.0)</f>
        <v>0</v>
      </c>
      <c r="C186" s="26">
        <f>IFERROR(__xludf.DUMMYFUNCTION("""COMPUTED_VALUE"""),0.0)</f>
        <v>0</v>
      </c>
      <c r="D186" s="26">
        <f>IFERROR(__xludf.DUMMYFUNCTION("""COMPUTED_VALUE"""),0.0)</f>
        <v>0</v>
      </c>
      <c r="E186" s="26">
        <f>IFERROR(__xludf.DUMMYFUNCTION("""COMPUTED_VALUE"""),0.0)</f>
        <v>0</v>
      </c>
      <c r="F186" s="26">
        <f>IFERROR(__xludf.DUMMYFUNCTION("""COMPUTED_VALUE"""),0.0)</f>
        <v>0</v>
      </c>
      <c r="G186" s="26">
        <f>IFERROR(__xludf.DUMMYFUNCTION("""COMPUTED_VALUE"""),0.0)</f>
        <v>0</v>
      </c>
      <c r="H186" s="26">
        <f>IFERROR(__xludf.DUMMYFUNCTION("""COMPUTED_VALUE"""),0.0)</f>
        <v>0</v>
      </c>
      <c r="I186" s="26">
        <f>IFERROR(__xludf.DUMMYFUNCTION("""COMPUTED_VALUE"""),0.0)</f>
        <v>0</v>
      </c>
      <c r="J186" s="26">
        <f>IFERROR(__xludf.DUMMYFUNCTION("""COMPUTED_VALUE"""),0.0)</f>
        <v>0</v>
      </c>
      <c r="K186" s="26">
        <f>IFERROR(__xludf.DUMMYFUNCTION("""COMPUTED_VALUE"""),0.0)</f>
        <v>0</v>
      </c>
      <c r="L186" s="26"/>
      <c r="M186" s="26"/>
      <c r="N186" s="26"/>
      <c r="O186" s="26"/>
      <c r="P186" s="26"/>
      <c r="Q186" s="26"/>
      <c r="R186" s="26">
        <f>IFERROR(__xludf.DUMMYFUNCTION("""COMPUTED_VALUE"""),256802.0)</f>
        <v>256802</v>
      </c>
      <c r="S186" s="26">
        <f>IFERROR(__xludf.DUMMYFUNCTION("""COMPUTED_VALUE"""),112059.0)</f>
        <v>112059</v>
      </c>
      <c r="T186" s="26">
        <f>IFERROR(__xludf.DUMMYFUNCTION("""COMPUTED_VALUE"""),0.0)</f>
        <v>0</v>
      </c>
      <c r="U186" s="26">
        <f>IFERROR(__xludf.DUMMYFUNCTION("""COMPUTED_VALUE"""),0.0)</f>
        <v>0</v>
      </c>
      <c r="V186" s="26">
        <f>IFERROR(__xludf.DUMMYFUNCTION("""COMPUTED_VALUE"""),39171.020000000026)</f>
        <v>39171.02</v>
      </c>
      <c r="W186" s="26">
        <f>IFERROR(__xludf.DUMMYFUNCTION("""COMPUTED_VALUE"""),0.0)</f>
        <v>0</v>
      </c>
      <c r="X186" s="26">
        <f>IFERROR(__xludf.DUMMYFUNCTION("""COMPUTED_VALUE"""),0.0)</f>
        <v>0</v>
      </c>
      <c r="Y186" s="26">
        <f>IFERROR(__xludf.DUMMYFUNCTION("""COMPUTED_VALUE"""),0.0)</f>
        <v>0</v>
      </c>
      <c r="Z186" s="26">
        <f>IFERROR(__xludf.DUMMYFUNCTION("""COMPUTED_VALUE"""),0.0)</f>
        <v>0</v>
      </c>
      <c r="AA186" s="26">
        <f>IFERROR(__xludf.DUMMYFUNCTION("""COMPUTED_VALUE"""),0.0)</f>
        <v>0</v>
      </c>
      <c r="AB186" s="26">
        <f>IFERROR(__xludf.DUMMYFUNCTION("""COMPUTED_VALUE"""),0.0)</f>
        <v>0</v>
      </c>
      <c r="AC186" s="26">
        <f>IFERROR(__xludf.DUMMYFUNCTION("""COMPUTED_VALUE"""),0.0)</f>
        <v>0</v>
      </c>
      <c r="AD186" s="26">
        <f>IFERROR(__xludf.DUMMYFUNCTION("""COMPUTED_VALUE"""),0.0)</f>
        <v>0</v>
      </c>
      <c r="AE186" s="26">
        <f>IFERROR(__xludf.DUMMYFUNCTION("""COMPUTED_VALUE"""),0.0)</f>
        <v>0</v>
      </c>
    </row>
    <row r="187">
      <c r="A187" s="26">
        <f>IFERROR(__xludf.DUMMYFUNCTION("""COMPUTED_VALUE"""),993.0)</f>
        <v>993</v>
      </c>
      <c r="B187" s="26">
        <f>IFERROR(__xludf.DUMMYFUNCTION("""COMPUTED_VALUE"""),0.0)</f>
        <v>0</v>
      </c>
      <c r="C187" s="26">
        <f>IFERROR(__xludf.DUMMYFUNCTION("""COMPUTED_VALUE"""),0.0)</f>
        <v>0</v>
      </c>
      <c r="D187" s="26">
        <f>IFERROR(__xludf.DUMMYFUNCTION("""COMPUTED_VALUE"""),0.0)</f>
        <v>0</v>
      </c>
      <c r="E187" s="26">
        <f>IFERROR(__xludf.DUMMYFUNCTION("""COMPUTED_VALUE"""),0.0)</f>
        <v>0</v>
      </c>
      <c r="F187" s="26">
        <f>IFERROR(__xludf.DUMMYFUNCTION("""COMPUTED_VALUE"""),0.0)</f>
        <v>0</v>
      </c>
      <c r="G187" s="26">
        <f>IFERROR(__xludf.DUMMYFUNCTION("""COMPUTED_VALUE"""),0.0)</f>
        <v>0</v>
      </c>
      <c r="H187" s="26">
        <f>IFERROR(__xludf.DUMMYFUNCTION("""COMPUTED_VALUE"""),0.0)</f>
        <v>0</v>
      </c>
      <c r="I187" s="26">
        <f>IFERROR(__xludf.DUMMYFUNCTION("""COMPUTED_VALUE"""),0.0)</f>
        <v>0</v>
      </c>
      <c r="J187" s="26">
        <f>IFERROR(__xludf.DUMMYFUNCTION("""COMPUTED_VALUE"""),0.0)</f>
        <v>0</v>
      </c>
      <c r="K187" s="26">
        <f>IFERROR(__xludf.DUMMYFUNCTION("""COMPUTED_VALUE"""),0.0)</f>
        <v>0</v>
      </c>
      <c r="L187" s="26"/>
      <c r="M187" s="26"/>
      <c r="N187" s="26"/>
      <c r="O187" s="26"/>
      <c r="P187" s="26"/>
      <c r="Q187" s="26"/>
      <c r="R187" s="26">
        <f>IFERROR(__xludf.DUMMYFUNCTION("""COMPUTED_VALUE"""),438906.0)</f>
        <v>438906</v>
      </c>
      <c r="S187" s="26">
        <f>IFERROR(__xludf.DUMMYFUNCTION("""COMPUTED_VALUE"""),191241.0)</f>
        <v>191241</v>
      </c>
      <c r="T187" s="26">
        <f>IFERROR(__xludf.DUMMYFUNCTION("""COMPUTED_VALUE"""),0.0)</f>
        <v>0</v>
      </c>
      <c r="U187" s="26">
        <f>IFERROR(__xludf.DUMMYFUNCTION("""COMPUTED_VALUE"""),0.0)</f>
        <v>0</v>
      </c>
      <c r="V187" s="26">
        <f>IFERROR(__xludf.DUMMYFUNCTION("""COMPUTED_VALUE"""),66948.05999999994)</f>
        <v>66948.06</v>
      </c>
      <c r="W187" s="26">
        <f>IFERROR(__xludf.DUMMYFUNCTION("""COMPUTED_VALUE"""),0.0)</f>
        <v>0</v>
      </c>
      <c r="X187" s="26">
        <f>IFERROR(__xludf.DUMMYFUNCTION("""COMPUTED_VALUE"""),0.0)</f>
        <v>0</v>
      </c>
      <c r="Y187" s="26">
        <f>IFERROR(__xludf.DUMMYFUNCTION("""COMPUTED_VALUE"""),0.0)</f>
        <v>0</v>
      </c>
      <c r="Z187" s="26">
        <f>IFERROR(__xludf.DUMMYFUNCTION("""COMPUTED_VALUE"""),0.0)</f>
        <v>0</v>
      </c>
      <c r="AA187" s="26">
        <f>IFERROR(__xludf.DUMMYFUNCTION("""COMPUTED_VALUE"""),0.0)</f>
        <v>0</v>
      </c>
      <c r="AB187" s="26">
        <f>IFERROR(__xludf.DUMMYFUNCTION("""COMPUTED_VALUE"""),0.0)</f>
        <v>0</v>
      </c>
      <c r="AC187" s="26">
        <f>IFERROR(__xludf.DUMMYFUNCTION("""COMPUTED_VALUE"""),0.0)</f>
        <v>0</v>
      </c>
      <c r="AD187" s="26">
        <f>IFERROR(__xludf.DUMMYFUNCTION("""COMPUTED_VALUE"""),0.0)</f>
        <v>0</v>
      </c>
      <c r="AE187" s="26">
        <f>IFERROR(__xludf.DUMMYFUNCTION("""COMPUTED_VALUE"""),0.0)</f>
        <v>0</v>
      </c>
    </row>
    <row r="188">
      <c r="A188" s="26">
        <f>IFERROR(__xludf.DUMMYFUNCTION("""COMPUTED_VALUE"""),102.0)</f>
        <v>102</v>
      </c>
      <c r="B188" s="26">
        <f>IFERROR(__xludf.DUMMYFUNCTION("""COMPUTED_VALUE"""),0.0)</f>
        <v>0</v>
      </c>
      <c r="C188" s="26">
        <f>IFERROR(__xludf.DUMMYFUNCTION("""COMPUTED_VALUE"""),0.0)</f>
        <v>0</v>
      </c>
      <c r="D188" s="26">
        <f>IFERROR(__xludf.DUMMYFUNCTION("""COMPUTED_VALUE"""),0.0)</f>
        <v>0</v>
      </c>
      <c r="E188" s="26">
        <f>IFERROR(__xludf.DUMMYFUNCTION("""COMPUTED_VALUE"""),0.0)</f>
        <v>0</v>
      </c>
      <c r="F188" s="26">
        <f>IFERROR(__xludf.DUMMYFUNCTION("""COMPUTED_VALUE"""),0.0)</f>
        <v>0</v>
      </c>
      <c r="G188" s="26">
        <f>IFERROR(__xludf.DUMMYFUNCTION("""COMPUTED_VALUE"""),0.0)</f>
        <v>0</v>
      </c>
      <c r="H188" s="26">
        <f>IFERROR(__xludf.DUMMYFUNCTION("""COMPUTED_VALUE"""),0.0)</f>
        <v>0</v>
      </c>
      <c r="I188" s="26">
        <f>IFERROR(__xludf.DUMMYFUNCTION("""COMPUTED_VALUE"""),0.0)</f>
        <v>0</v>
      </c>
      <c r="J188" s="26">
        <f>IFERROR(__xludf.DUMMYFUNCTION("""COMPUTED_VALUE"""),0.0)</f>
        <v>0</v>
      </c>
      <c r="K188" s="26">
        <f>IFERROR(__xludf.DUMMYFUNCTION("""COMPUTED_VALUE"""),0.0)</f>
        <v>0</v>
      </c>
      <c r="L188" s="26"/>
      <c r="M188" s="26"/>
      <c r="N188" s="26"/>
      <c r="O188" s="26"/>
      <c r="P188" s="26"/>
      <c r="Q188" s="26"/>
      <c r="R188" s="26">
        <f>IFERROR(__xludf.DUMMYFUNCTION("""COMPUTED_VALUE"""),45084.0)</f>
        <v>45084</v>
      </c>
      <c r="S188" s="26">
        <f>IFERROR(__xludf.DUMMYFUNCTION("""COMPUTED_VALUE"""),19584.0)</f>
        <v>19584</v>
      </c>
      <c r="T188" s="26">
        <f>IFERROR(__xludf.DUMMYFUNCTION("""COMPUTED_VALUE"""),0.0)</f>
        <v>0</v>
      </c>
      <c r="U188" s="26">
        <f>IFERROR(__xludf.DUMMYFUNCTION("""COMPUTED_VALUE"""),0.0)</f>
        <v>0</v>
      </c>
      <c r="V188" s="26">
        <f>IFERROR(__xludf.DUMMYFUNCTION("""COMPUTED_VALUE"""),6876.840000000004)</f>
        <v>6876.84</v>
      </c>
      <c r="W188" s="26">
        <f>IFERROR(__xludf.DUMMYFUNCTION("""COMPUTED_VALUE"""),0.0)</f>
        <v>0</v>
      </c>
      <c r="X188" s="26">
        <f>IFERROR(__xludf.DUMMYFUNCTION("""COMPUTED_VALUE"""),0.0)</f>
        <v>0</v>
      </c>
      <c r="Y188" s="26">
        <f>IFERROR(__xludf.DUMMYFUNCTION("""COMPUTED_VALUE"""),0.0)</f>
        <v>0</v>
      </c>
      <c r="Z188" s="26">
        <f>IFERROR(__xludf.DUMMYFUNCTION("""COMPUTED_VALUE"""),0.0)</f>
        <v>0</v>
      </c>
      <c r="AA188" s="26">
        <f>IFERROR(__xludf.DUMMYFUNCTION("""COMPUTED_VALUE"""),0.0)</f>
        <v>0</v>
      </c>
      <c r="AB188" s="26">
        <f>IFERROR(__xludf.DUMMYFUNCTION("""COMPUTED_VALUE"""),0.0)</f>
        <v>0</v>
      </c>
      <c r="AC188" s="26">
        <f>IFERROR(__xludf.DUMMYFUNCTION("""COMPUTED_VALUE"""),0.0)</f>
        <v>0</v>
      </c>
      <c r="AD188" s="26">
        <f>IFERROR(__xludf.DUMMYFUNCTION("""COMPUTED_VALUE"""),0.0)</f>
        <v>0</v>
      </c>
      <c r="AE188" s="26">
        <f>IFERROR(__xludf.DUMMYFUNCTION("""COMPUTED_VALUE"""),0.0)</f>
        <v>0</v>
      </c>
    </row>
    <row r="189">
      <c r="A189" s="26">
        <f>IFERROR(__xludf.DUMMYFUNCTION("""COMPUTED_VALUE"""),39.0)</f>
        <v>39</v>
      </c>
      <c r="B189" s="26">
        <f>IFERROR(__xludf.DUMMYFUNCTION("""COMPUTED_VALUE"""),0.0)</f>
        <v>0</v>
      </c>
      <c r="C189" s="26">
        <f>IFERROR(__xludf.DUMMYFUNCTION("""COMPUTED_VALUE"""),0.0)</f>
        <v>0</v>
      </c>
      <c r="D189" s="26">
        <f>IFERROR(__xludf.DUMMYFUNCTION("""COMPUTED_VALUE"""),0.0)</f>
        <v>0</v>
      </c>
      <c r="E189" s="26">
        <f>IFERROR(__xludf.DUMMYFUNCTION("""COMPUTED_VALUE"""),0.0)</f>
        <v>0</v>
      </c>
      <c r="F189" s="26">
        <f>IFERROR(__xludf.DUMMYFUNCTION("""COMPUTED_VALUE"""),0.0)</f>
        <v>0</v>
      </c>
      <c r="G189" s="26">
        <f>IFERROR(__xludf.DUMMYFUNCTION("""COMPUTED_VALUE"""),0.0)</f>
        <v>0</v>
      </c>
      <c r="H189" s="26">
        <f>IFERROR(__xludf.DUMMYFUNCTION("""COMPUTED_VALUE"""),0.0)</f>
        <v>0</v>
      </c>
      <c r="I189" s="26">
        <f>IFERROR(__xludf.DUMMYFUNCTION("""COMPUTED_VALUE"""),0.0)</f>
        <v>0</v>
      </c>
      <c r="J189" s="26">
        <f>IFERROR(__xludf.DUMMYFUNCTION("""COMPUTED_VALUE"""),0.0)</f>
        <v>0</v>
      </c>
      <c r="K189" s="26">
        <f>IFERROR(__xludf.DUMMYFUNCTION("""COMPUTED_VALUE"""),0.0)</f>
        <v>0</v>
      </c>
      <c r="L189" s="26"/>
      <c r="M189" s="26"/>
      <c r="N189" s="26"/>
      <c r="O189" s="26"/>
      <c r="P189" s="26"/>
      <c r="Q189" s="26"/>
      <c r="R189" s="26">
        <f>IFERROR(__xludf.DUMMYFUNCTION("""COMPUTED_VALUE"""),17238.0)</f>
        <v>17238</v>
      </c>
      <c r="S189" s="26">
        <f>IFERROR(__xludf.DUMMYFUNCTION("""COMPUTED_VALUE"""),7904.0)</f>
        <v>7904</v>
      </c>
      <c r="T189" s="26">
        <f>IFERROR(__xludf.DUMMYFUNCTION("""COMPUTED_VALUE"""),0.0)</f>
        <v>0</v>
      </c>
      <c r="U189" s="26">
        <f>IFERROR(__xludf.DUMMYFUNCTION("""COMPUTED_VALUE"""),0.0)</f>
        <v>0</v>
      </c>
      <c r="V189" s="26">
        <f>IFERROR(__xludf.DUMMYFUNCTION("""COMPUTED_VALUE"""),2629.380000000001)</f>
        <v>2629.38</v>
      </c>
      <c r="W189" s="26">
        <f>IFERROR(__xludf.DUMMYFUNCTION("""COMPUTED_VALUE"""),0.0)</f>
        <v>0</v>
      </c>
      <c r="X189" s="26">
        <f>IFERROR(__xludf.DUMMYFUNCTION("""COMPUTED_VALUE"""),0.0)</f>
        <v>0</v>
      </c>
      <c r="Y189" s="26">
        <f>IFERROR(__xludf.DUMMYFUNCTION("""COMPUTED_VALUE"""),0.0)</f>
        <v>0</v>
      </c>
      <c r="Z189" s="26">
        <f>IFERROR(__xludf.DUMMYFUNCTION("""COMPUTED_VALUE"""),0.0)</f>
        <v>0</v>
      </c>
      <c r="AA189" s="26">
        <f>IFERROR(__xludf.DUMMYFUNCTION("""COMPUTED_VALUE"""),0.0)</f>
        <v>0</v>
      </c>
      <c r="AB189" s="26">
        <f>IFERROR(__xludf.DUMMYFUNCTION("""COMPUTED_VALUE"""),0.0)</f>
        <v>0</v>
      </c>
      <c r="AC189" s="26">
        <f>IFERROR(__xludf.DUMMYFUNCTION("""COMPUTED_VALUE"""),0.0)</f>
        <v>0</v>
      </c>
      <c r="AD189" s="26">
        <f>IFERROR(__xludf.DUMMYFUNCTION("""COMPUTED_VALUE"""),0.0)</f>
        <v>0</v>
      </c>
      <c r="AE189" s="26">
        <f>IFERROR(__xludf.DUMMYFUNCTION("""COMPUTED_VALUE"""),0.0)</f>
        <v>0</v>
      </c>
    </row>
    <row r="190">
      <c r="A190" s="26">
        <f>IFERROR(__xludf.DUMMYFUNCTION("""COMPUTED_VALUE"""),230.0)</f>
        <v>230</v>
      </c>
      <c r="B190" s="26">
        <f>IFERROR(__xludf.DUMMYFUNCTION("""COMPUTED_VALUE"""),0.0)</f>
        <v>0</v>
      </c>
      <c r="C190" s="26">
        <f>IFERROR(__xludf.DUMMYFUNCTION("""COMPUTED_VALUE"""),0.0)</f>
        <v>0</v>
      </c>
      <c r="D190" s="26">
        <f>IFERROR(__xludf.DUMMYFUNCTION("""COMPUTED_VALUE"""),0.0)</f>
        <v>0</v>
      </c>
      <c r="E190" s="26">
        <f>IFERROR(__xludf.DUMMYFUNCTION("""COMPUTED_VALUE"""),0.0)</f>
        <v>0</v>
      </c>
      <c r="F190" s="26">
        <f>IFERROR(__xludf.DUMMYFUNCTION("""COMPUTED_VALUE"""),0.0)</f>
        <v>0</v>
      </c>
      <c r="G190" s="26">
        <f>IFERROR(__xludf.DUMMYFUNCTION("""COMPUTED_VALUE"""),0.0)</f>
        <v>0</v>
      </c>
      <c r="H190" s="26">
        <f>IFERROR(__xludf.DUMMYFUNCTION("""COMPUTED_VALUE"""),0.0)</f>
        <v>0</v>
      </c>
      <c r="I190" s="26">
        <f>IFERROR(__xludf.DUMMYFUNCTION("""COMPUTED_VALUE"""),0.0)</f>
        <v>0</v>
      </c>
      <c r="J190" s="26">
        <f>IFERROR(__xludf.DUMMYFUNCTION("""COMPUTED_VALUE"""),0.0)</f>
        <v>0</v>
      </c>
      <c r="K190" s="26">
        <f>IFERROR(__xludf.DUMMYFUNCTION("""COMPUTED_VALUE"""),0.0)</f>
        <v>0</v>
      </c>
      <c r="L190" s="26"/>
      <c r="M190" s="26"/>
      <c r="N190" s="26"/>
      <c r="O190" s="26"/>
      <c r="P190" s="26"/>
      <c r="Q190" s="26"/>
      <c r="R190" s="26">
        <f>IFERROR(__xludf.DUMMYFUNCTION("""COMPUTED_VALUE"""),101660.0)</f>
        <v>101660</v>
      </c>
      <c r="S190" s="26">
        <f>IFERROR(__xludf.DUMMYFUNCTION("""COMPUTED_VALUE"""),44290.0)</f>
        <v>44290</v>
      </c>
      <c r="T190" s="26">
        <f>IFERROR(__xludf.DUMMYFUNCTION("""COMPUTED_VALUE"""),0.0)</f>
        <v>0</v>
      </c>
      <c r="U190" s="26">
        <f>IFERROR(__xludf.DUMMYFUNCTION("""COMPUTED_VALUE"""),0.0)</f>
        <v>0</v>
      </c>
      <c r="V190" s="26">
        <f>IFERROR(__xludf.DUMMYFUNCTION("""COMPUTED_VALUE"""),15506.600000000006)</f>
        <v>15506.6</v>
      </c>
      <c r="W190" s="26">
        <f>IFERROR(__xludf.DUMMYFUNCTION("""COMPUTED_VALUE"""),0.0)</f>
        <v>0</v>
      </c>
      <c r="X190" s="26">
        <f>IFERROR(__xludf.DUMMYFUNCTION("""COMPUTED_VALUE"""),0.0)</f>
        <v>0</v>
      </c>
      <c r="Y190" s="26">
        <f>IFERROR(__xludf.DUMMYFUNCTION("""COMPUTED_VALUE"""),0.0)</f>
        <v>0</v>
      </c>
      <c r="Z190" s="26">
        <f>IFERROR(__xludf.DUMMYFUNCTION("""COMPUTED_VALUE"""),0.0)</f>
        <v>0</v>
      </c>
      <c r="AA190" s="26">
        <f>IFERROR(__xludf.DUMMYFUNCTION("""COMPUTED_VALUE"""),0.0)</f>
        <v>0</v>
      </c>
      <c r="AB190" s="26">
        <f>IFERROR(__xludf.DUMMYFUNCTION("""COMPUTED_VALUE"""),0.0)</f>
        <v>0</v>
      </c>
      <c r="AC190" s="26">
        <f>IFERROR(__xludf.DUMMYFUNCTION("""COMPUTED_VALUE"""),0.0)</f>
        <v>0</v>
      </c>
      <c r="AD190" s="26">
        <f>IFERROR(__xludf.DUMMYFUNCTION("""COMPUTED_VALUE"""),0.0)</f>
        <v>0</v>
      </c>
      <c r="AE190" s="26">
        <f>IFERROR(__xludf.DUMMYFUNCTION("""COMPUTED_VALUE"""),0.0)</f>
        <v>0</v>
      </c>
    </row>
    <row r="191">
      <c r="A191" s="26">
        <f>IFERROR(__xludf.DUMMYFUNCTION("""COMPUTED_VALUE"""),768.0)</f>
        <v>768</v>
      </c>
      <c r="B191" s="26">
        <f>IFERROR(__xludf.DUMMYFUNCTION("""COMPUTED_VALUE"""),0.0)</f>
        <v>0</v>
      </c>
      <c r="C191" s="26">
        <f>IFERROR(__xludf.DUMMYFUNCTION("""COMPUTED_VALUE"""),0.0)</f>
        <v>0</v>
      </c>
      <c r="D191" s="26">
        <f>IFERROR(__xludf.DUMMYFUNCTION("""COMPUTED_VALUE"""),0.0)</f>
        <v>0</v>
      </c>
      <c r="E191" s="26">
        <f>IFERROR(__xludf.DUMMYFUNCTION("""COMPUTED_VALUE"""),0.0)</f>
        <v>0</v>
      </c>
      <c r="F191" s="26">
        <f>IFERROR(__xludf.DUMMYFUNCTION("""COMPUTED_VALUE"""),0.0)</f>
        <v>0</v>
      </c>
      <c r="G191" s="26">
        <f>IFERROR(__xludf.DUMMYFUNCTION("""COMPUTED_VALUE"""),0.0)</f>
        <v>0</v>
      </c>
      <c r="H191" s="26">
        <f>IFERROR(__xludf.DUMMYFUNCTION("""COMPUTED_VALUE"""),0.0)</f>
        <v>0</v>
      </c>
      <c r="I191" s="26">
        <f>IFERROR(__xludf.DUMMYFUNCTION("""COMPUTED_VALUE"""),0.0)</f>
        <v>0</v>
      </c>
      <c r="J191" s="26">
        <f>IFERROR(__xludf.DUMMYFUNCTION("""COMPUTED_VALUE"""),0.0)</f>
        <v>0</v>
      </c>
      <c r="K191" s="26">
        <f>IFERROR(__xludf.DUMMYFUNCTION("""COMPUTED_VALUE"""),0.0)</f>
        <v>0</v>
      </c>
      <c r="L191" s="26"/>
      <c r="M191" s="26"/>
      <c r="N191" s="26"/>
      <c r="O191" s="26"/>
      <c r="P191" s="26"/>
      <c r="Q191" s="26"/>
      <c r="R191" s="26">
        <f>IFERROR(__xludf.DUMMYFUNCTION("""COMPUTED_VALUE"""),339456.0)</f>
        <v>339456</v>
      </c>
      <c r="S191" s="26">
        <f>IFERROR(__xludf.DUMMYFUNCTION("""COMPUTED_VALUE"""),148132.0)</f>
        <v>148132</v>
      </c>
      <c r="T191" s="26">
        <f>IFERROR(__xludf.DUMMYFUNCTION("""COMPUTED_VALUE"""),0.0)</f>
        <v>0</v>
      </c>
      <c r="U191" s="26">
        <f>IFERROR(__xludf.DUMMYFUNCTION("""COMPUTED_VALUE"""),0.0)</f>
        <v>0</v>
      </c>
      <c r="V191" s="26">
        <f>IFERROR(__xludf.DUMMYFUNCTION("""COMPUTED_VALUE"""),51778.560000000034)</f>
        <v>51778.56</v>
      </c>
      <c r="W191" s="26">
        <f>IFERROR(__xludf.DUMMYFUNCTION("""COMPUTED_VALUE"""),0.0)</f>
        <v>0</v>
      </c>
      <c r="X191" s="26">
        <f>IFERROR(__xludf.DUMMYFUNCTION("""COMPUTED_VALUE"""),0.0)</f>
        <v>0</v>
      </c>
      <c r="Y191" s="26">
        <f>IFERROR(__xludf.DUMMYFUNCTION("""COMPUTED_VALUE"""),0.0)</f>
        <v>0</v>
      </c>
      <c r="Z191" s="26">
        <f>IFERROR(__xludf.DUMMYFUNCTION("""COMPUTED_VALUE"""),0.0)</f>
        <v>0</v>
      </c>
      <c r="AA191" s="26">
        <f>IFERROR(__xludf.DUMMYFUNCTION("""COMPUTED_VALUE"""),0.0)</f>
        <v>0</v>
      </c>
      <c r="AB191" s="26">
        <f>IFERROR(__xludf.DUMMYFUNCTION("""COMPUTED_VALUE"""),0.0)</f>
        <v>0</v>
      </c>
      <c r="AC191" s="26">
        <f>IFERROR(__xludf.DUMMYFUNCTION("""COMPUTED_VALUE"""),0.0)</f>
        <v>0</v>
      </c>
      <c r="AD191" s="26">
        <f>IFERROR(__xludf.DUMMYFUNCTION("""COMPUTED_VALUE"""),0.0)</f>
        <v>0</v>
      </c>
      <c r="AE191" s="26">
        <f>IFERROR(__xludf.DUMMYFUNCTION("""COMPUTED_VALUE"""),0.0)</f>
        <v>0</v>
      </c>
    </row>
    <row r="192">
      <c r="A192" s="26">
        <f>IFERROR(__xludf.DUMMYFUNCTION("""COMPUTED_VALUE"""),598.0)</f>
        <v>598</v>
      </c>
      <c r="B192" s="26">
        <f>IFERROR(__xludf.DUMMYFUNCTION("""COMPUTED_VALUE"""),0.0)</f>
        <v>0</v>
      </c>
      <c r="C192" s="26">
        <f>IFERROR(__xludf.DUMMYFUNCTION("""COMPUTED_VALUE"""),0.0)</f>
        <v>0</v>
      </c>
      <c r="D192" s="26">
        <f>IFERROR(__xludf.DUMMYFUNCTION("""COMPUTED_VALUE"""),0.0)</f>
        <v>0</v>
      </c>
      <c r="E192" s="26">
        <f>IFERROR(__xludf.DUMMYFUNCTION("""COMPUTED_VALUE"""),0.0)</f>
        <v>0</v>
      </c>
      <c r="F192" s="26">
        <f>IFERROR(__xludf.DUMMYFUNCTION("""COMPUTED_VALUE"""),0.0)</f>
        <v>0</v>
      </c>
      <c r="G192" s="26">
        <f>IFERROR(__xludf.DUMMYFUNCTION("""COMPUTED_VALUE"""),0.0)</f>
        <v>0</v>
      </c>
      <c r="H192" s="26">
        <f>IFERROR(__xludf.DUMMYFUNCTION("""COMPUTED_VALUE"""),0.0)</f>
        <v>0</v>
      </c>
      <c r="I192" s="26">
        <f>IFERROR(__xludf.DUMMYFUNCTION("""COMPUTED_VALUE"""),0.0)</f>
        <v>0</v>
      </c>
      <c r="J192" s="26">
        <f>IFERROR(__xludf.DUMMYFUNCTION("""COMPUTED_VALUE"""),0.0)</f>
        <v>0</v>
      </c>
      <c r="K192" s="26">
        <f>IFERROR(__xludf.DUMMYFUNCTION("""COMPUTED_VALUE"""),0.0)</f>
        <v>0</v>
      </c>
      <c r="L192" s="26"/>
      <c r="M192" s="26"/>
      <c r="N192" s="26"/>
      <c r="O192" s="26"/>
      <c r="P192" s="26"/>
      <c r="Q192" s="26"/>
      <c r="R192" s="26">
        <f>IFERROR(__xludf.DUMMYFUNCTION("""COMPUTED_VALUE"""),264316.0)</f>
        <v>264316</v>
      </c>
      <c r="S192" s="26">
        <f>IFERROR(__xludf.DUMMYFUNCTION("""COMPUTED_VALUE"""),115128.0)</f>
        <v>115128</v>
      </c>
      <c r="T192" s="26">
        <f>IFERROR(__xludf.DUMMYFUNCTION("""COMPUTED_VALUE"""),0.0)</f>
        <v>0</v>
      </c>
      <c r="U192" s="26">
        <f>IFERROR(__xludf.DUMMYFUNCTION("""COMPUTED_VALUE"""),0.0)</f>
        <v>0</v>
      </c>
      <c r="V192" s="26">
        <f>IFERROR(__xludf.DUMMYFUNCTION("""COMPUTED_VALUE"""),40317.160000000025)</f>
        <v>40317.16</v>
      </c>
      <c r="W192" s="26">
        <f>IFERROR(__xludf.DUMMYFUNCTION("""COMPUTED_VALUE"""),0.0)</f>
        <v>0</v>
      </c>
      <c r="X192" s="26">
        <f>IFERROR(__xludf.DUMMYFUNCTION("""COMPUTED_VALUE"""),0.0)</f>
        <v>0</v>
      </c>
      <c r="Y192" s="26">
        <f>IFERROR(__xludf.DUMMYFUNCTION("""COMPUTED_VALUE"""),0.0)</f>
        <v>0</v>
      </c>
      <c r="Z192" s="26">
        <f>IFERROR(__xludf.DUMMYFUNCTION("""COMPUTED_VALUE"""),0.0)</f>
        <v>0</v>
      </c>
      <c r="AA192" s="26">
        <f>IFERROR(__xludf.DUMMYFUNCTION("""COMPUTED_VALUE"""),0.0)</f>
        <v>0</v>
      </c>
      <c r="AB192" s="26">
        <f>IFERROR(__xludf.DUMMYFUNCTION("""COMPUTED_VALUE"""),0.0)</f>
        <v>0</v>
      </c>
      <c r="AC192" s="26">
        <f>IFERROR(__xludf.DUMMYFUNCTION("""COMPUTED_VALUE"""),0.0)</f>
        <v>0</v>
      </c>
      <c r="AD192" s="26">
        <f>IFERROR(__xludf.DUMMYFUNCTION("""COMPUTED_VALUE"""),0.0)</f>
        <v>0</v>
      </c>
      <c r="AE192" s="26">
        <f>IFERROR(__xludf.DUMMYFUNCTION("""COMPUTED_VALUE"""),0.0)</f>
        <v>0</v>
      </c>
    </row>
    <row r="193">
      <c r="A193" s="26">
        <f>IFERROR(__xludf.DUMMYFUNCTION("""COMPUTED_VALUE"""),553.0)</f>
        <v>553</v>
      </c>
      <c r="B193" s="26">
        <f>IFERROR(__xludf.DUMMYFUNCTION("""COMPUTED_VALUE"""),0.0)</f>
        <v>0</v>
      </c>
      <c r="C193" s="26">
        <f>IFERROR(__xludf.DUMMYFUNCTION("""COMPUTED_VALUE"""),0.0)</f>
        <v>0</v>
      </c>
      <c r="D193" s="26">
        <f>IFERROR(__xludf.DUMMYFUNCTION("""COMPUTED_VALUE"""),0.0)</f>
        <v>0</v>
      </c>
      <c r="E193" s="26">
        <f>IFERROR(__xludf.DUMMYFUNCTION("""COMPUTED_VALUE"""),0.0)</f>
        <v>0</v>
      </c>
      <c r="F193" s="26">
        <f>IFERROR(__xludf.DUMMYFUNCTION("""COMPUTED_VALUE"""),0.0)</f>
        <v>0</v>
      </c>
      <c r="G193" s="26">
        <f>IFERROR(__xludf.DUMMYFUNCTION("""COMPUTED_VALUE"""),0.0)</f>
        <v>0</v>
      </c>
      <c r="H193" s="26">
        <f>IFERROR(__xludf.DUMMYFUNCTION("""COMPUTED_VALUE"""),0.0)</f>
        <v>0</v>
      </c>
      <c r="I193" s="26">
        <f>IFERROR(__xludf.DUMMYFUNCTION("""COMPUTED_VALUE"""),0.0)</f>
        <v>0</v>
      </c>
      <c r="J193" s="26">
        <f>IFERROR(__xludf.DUMMYFUNCTION("""COMPUTED_VALUE"""),0.0)</f>
        <v>0</v>
      </c>
      <c r="K193" s="26">
        <f>IFERROR(__xludf.DUMMYFUNCTION("""COMPUTED_VALUE"""),0.0)</f>
        <v>0</v>
      </c>
      <c r="L193" s="26"/>
      <c r="M193" s="26"/>
      <c r="N193" s="26"/>
      <c r="O193" s="26"/>
      <c r="P193" s="26"/>
      <c r="Q193" s="26"/>
      <c r="R193" s="26">
        <f>IFERROR(__xludf.DUMMYFUNCTION("""COMPUTED_VALUE"""),244426.0)</f>
        <v>244426</v>
      </c>
      <c r="S193" s="26">
        <f>IFERROR(__xludf.DUMMYFUNCTION("""COMPUTED_VALUE"""),106475.0)</f>
        <v>106475</v>
      </c>
      <c r="T193" s="26">
        <f>IFERROR(__xludf.DUMMYFUNCTION("""COMPUTED_VALUE"""),0.0)</f>
        <v>0</v>
      </c>
      <c r="U193" s="26">
        <f>IFERROR(__xludf.DUMMYFUNCTION("""COMPUTED_VALUE"""),0.0)</f>
        <v>0</v>
      </c>
      <c r="V193" s="26">
        <f>IFERROR(__xludf.DUMMYFUNCTION("""COMPUTED_VALUE"""),37283.260000000024)</f>
        <v>37283.26</v>
      </c>
      <c r="W193" s="26">
        <f>IFERROR(__xludf.DUMMYFUNCTION("""COMPUTED_VALUE"""),0.0)</f>
        <v>0</v>
      </c>
      <c r="X193" s="26">
        <f>IFERROR(__xludf.DUMMYFUNCTION("""COMPUTED_VALUE"""),0.0)</f>
        <v>0</v>
      </c>
      <c r="Y193" s="26">
        <f>IFERROR(__xludf.DUMMYFUNCTION("""COMPUTED_VALUE"""),0.0)</f>
        <v>0</v>
      </c>
      <c r="Z193" s="26">
        <f>IFERROR(__xludf.DUMMYFUNCTION("""COMPUTED_VALUE"""),0.0)</f>
        <v>0</v>
      </c>
      <c r="AA193" s="26">
        <f>IFERROR(__xludf.DUMMYFUNCTION("""COMPUTED_VALUE"""),0.0)</f>
        <v>0</v>
      </c>
      <c r="AB193" s="26">
        <f>IFERROR(__xludf.DUMMYFUNCTION("""COMPUTED_VALUE"""),0.0)</f>
        <v>0</v>
      </c>
      <c r="AC193" s="26">
        <f>IFERROR(__xludf.DUMMYFUNCTION("""COMPUTED_VALUE"""),0.0)</f>
        <v>0</v>
      </c>
      <c r="AD193" s="26">
        <f>IFERROR(__xludf.DUMMYFUNCTION("""COMPUTED_VALUE"""),0.0)</f>
        <v>0</v>
      </c>
      <c r="AE193" s="26">
        <f>IFERROR(__xludf.DUMMYFUNCTION("""COMPUTED_VALUE"""),0.0)</f>
        <v>0</v>
      </c>
    </row>
    <row r="194">
      <c r="A194" s="26">
        <f>IFERROR(__xludf.DUMMYFUNCTION("""COMPUTED_VALUE"""),476.0)</f>
        <v>476</v>
      </c>
      <c r="B194" s="26">
        <f>IFERROR(__xludf.DUMMYFUNCTION("""COMPUTED_VALUE"""),0.0)</f>
        <v>0</v>
      </c>
      <c r="C194" s="26">
        <f>IFERROR(__xludf.DUMMYFUNCTION("""COMPUTED_VALUE"""),0.0)</f>
        <v>0</v>
      </c>
      <c r="D194" s="26">
        <f>IFERROR(__xludf.DUMMYFUNCTION("""COMPUTED_VALUE"""),0.0)</f>
        <v>0</v>
      </c>
      <c r="E194" s="26">
        <f>IFERROR(__xludf.DUMMYFUNCTION("""COMPUTED_VALUE"""),0.0)</f>
        <v>0</v>
      </c>
      <c r="F194" s="26">
        <f>IFERROR(__xludf.DUMMYFUNCTION("""COMPUTED_VALUE"""),0.0)</f>
        <v>0</v>
      </c>
      <c r="G194" s="26">
        <f>IFERROR(__xludf.DUMMYFUNCTION("""COMPUTED_VALUE"""),0.0)</f>
        <v>0</v>
      </c>
      <c r="H194" s="26">
        <f>IFERROR(__xludf.DUMMYFUNCTION("""COMPUTED_VALUE"""),0.0)</f>
        <v>0</v>
      </c>
      <c r="I194" s="26">
        <f>IFERROR(__xludf.DUMMYFUNCTION("""COMPUTED_VALUE"""),0.0)</f>
        <v>0</v>
      </c>
      <c r="J194" s="26">
        <f>IFERROR(__xludf.DUMMYFUNCTION("""COMPUTED_VALUE"""),0.0)</f>
        <v>0</v>
      </c>
      <c r="K194" s="26">
        <f>IFERROR(__xludf.DUMMYFUNCTION("""COMPUTED_VALUE"""),0.0)</f>
        <v>0</v>
      </c>
      <c r="L194" s="26"/>
      <c r="M194" s="26"/>
      <c r="N194" s="26"/>
      <c r="O194" s="26"/>
      <c r="P194" s="26"/>
      <c r="Q194" s="26"/>
      <c r="R194" s="26">
        <f>IFERROR(__xludf.DUMMYFUNCTION("""COMPUTED_VALUE"""),210392.0)</f>
        <v>210392</v>
      </c>
      <c r="S194" s="26">
        <f>IFERROR(__xludf.DUMMYFUNCTION("""COMPUTED_VALUE"""),91873.0)</f>
        <v>91873</v>
      </c>
      <c r="T194" s="26">
        <f>IFERROR(__xludf.DUMMYFUNCTION("""COMPUTED_VALUE"""),0.0)</f>
        <v>0</v>
      </c>
      <c r="U194" s="26">
        <f>IFERROR(__xludf.DUMMYFUNCTION("""COMPUTED_VALUE"""),0.0)</f>
        <v>0</v>
      </c>
      <c r="V194" s="26">
        <f>IFERROR(__xludf.DUMMYFUNCTION("""COMPUTED_VALUE"""),32091.92000000002)</f>
        <v>32091.92</v>
      </c>
      <c r="W194" s="26">
        <f>IFERROR(__xludf.DUMMYFUNCTION("""COMPUTED_VALUE"""),0.0)</f>
        <v>0</v>
      </c>
      <c r="X194" s="26">
        <f>IFERROR(__xludf.DUMMYFUNCTION("""COMPUTED_VALUE"""),0.0)</f>
        <v>0</v>
      </c>
      <c r="Y194" s="26">
        <f>IFERROR(__xludf.DUMMYFUNCTION("""COMPUTED_VALUE"""),0.0)</f>
        <v>0</v>
      </c>
      <c r="Z194" s="26">
        <f>IFERROR(__xludf.DUMMYFUNCTION("""COMPUTED_VALUE"""),0.0)</f>
        <v>0</v>
      </c>
      <c r="AA194" s="26">
        <f>IFERROR(__xludf.DUMMYFUNCTION("""COMPUTED_VALUE"""),0.0)</f>
        <v>0</v>
      </c>
      <c r="AB194" s="26">
        <f>IFERROR(__xludf.DUMMYFUNCTION("""COMPUTED_VALUE"""),0.0)</f>
        <v>0</v>
      </c>
      <c r="AC194" s="26">
        <f>IFERROR(__xludf.DUMMYFUNCTION("""COMPUTED_VALUE"""),0.0)</f>
        <v>0</v>
      </c>
      <c r="AD194" s="26">
        <f>IFERROR(__xludf.DUMMYFUNCTION("""COMPUTED_VALUE"""),0.0)</f>
        <v>0</v>
      </c>
      <c r="AE194" s="26">
        <f>IFERROR(__xludf.DUMMYFUNCTION("""COMPUTED_VALUE"""),0.0)</f>
        <v>0</v>
      </c>
    </row>
    <row r="195">
      <c r="A195" s="26">
        <f>IFERROR(__xludf.DUMMYFUNCTION("""COMPUTED_VALUE"""),230.0)</f>
        <v>230</v>
      </c>
      <c r="B195" s="26">
        <f>IFERROR(__xludf.DUMMYFUNCTION("""COMPUTED_VALUE"""),5.0)</f>
        <v>5</v>
      </c>
      <c r="C195" s="26">
        <f>IFERROR(__xludf.DUMMYFUNCTION("""COMPUTED_VALUE"""),0.0)</f>
        <v>0</v>
      </c>
      <c r="D195" s="26">
        <f>IFERROR(__xludf.DUMMYFUNCTION("""COMPUTED_VALUE"""),0.0)</f>
        <v>0</v>
      </c>
      <c r="E195" s="26">
        <f>IFERROR(__xludf.DUMMYFUNCTION("""COMPUTED_VALUE"""),0.0)</f>
        <v>0</v>
      </c>
      <c r="F195" s="26">
        <f>IFERROR(__xludf.DUMMYFUNCTION("""COMPUTED_VALUE"""),0.0)</f>
        <v>0</v>
      </c>
      <c r="G195" s="26">
        <f>IFERROR(__xludf.DUMMYFUNCTION("""COMPUTED_VALUE"""),0.0)</f>
        <v>0</v>
      </c>
      <c r="H195" s="26">
        <f>IFERROR(__xludf.DUMMYFUNCTION("""COMPUTED_VALUE"""),0.0)</f>
        <v>0</v>
      </c>
      <c r="I195" s="26">
        <f>IFERROR(__xludf.DUMMYFUNCTION("""COMPUTED_VALUE"""),0.0)</f>
        <v>0</v>
      </c>
      <c r="J195" s="26">
        <f>IFERROR(__xludf.DUMMYFUNCTION("""COMPUTED_VALUE"""),0.0)</f>
        <v>0</v>
      </c>
      <c r="K195" s="26">
        <f>IFERROR(__xludf.DUMMYFUNCTION("""COMPUTED_VALUE"""),0.0)</f>
        <v>0</v>
      </c>
      <c r="L195" s="26"/>
      <c r="M195" s="26"/>
      <c r="N195" s="26"/>
      <c r="O195" s="26"/>
      <c r="P195" s="26"/>
      <c r="Q195" s="26"/>
      <c r="R195" s="26">
        <f>IFERROR(__xludf.DUMMYFUNCTION("""COMPUTED_VALUE"""),103870.0)</f>
        <v>103870</v>
      </c>
      <c r="S195" s="26">
        <f>IFERROR(__xludf.DUMMYFUNCTION("""COMPUTED_VALUE"""),45211.0)</f>
        <v>45211</v>
      </c>
      <c r="T195" s="26">
        <f>IFERROR(__xludf.DUMMYFUNCTION("""COMPUTED_VALUE"""),0.0)</f>
        <v>0</v>
      </c>
      <c r="U195" s="26">
        <f>IFERROR(__xludf.DUMMYFUNCTION("""COMPUTED_VALUE"""),0.0)</f>
        <v>0</v>
      </c>
      <c r="V195" s="26">
        <f>IFERROR(__xludf.DUMMYFUNCTION("""COMPUTED_VALUE"""),15843.700000000006)</f>
        <v>15843.7</v>
      </c>
      <c r="W195" s="26">
        <f>IFERROR(__xludf.DUMMYFUNCTION("""COMPUTED_VALUE"""),0.0)</f>
        <v>0</v>
      </c>
      <c r="X195" s="26">
        <f>IFERROR(__xludf.DUMMYFUNCTION("""COMPUTED_VALUE"""),0.0)</f>
        <v>0</v>
      </c>
      <c r="Y195" s="26">
        <f>IFERROR(__xludf.DUMMYFUNCTION("""COMPUTED_VALUE"""),0.0)</f>
        <v>0</v>
      </c>
      <c r="Z195" s="26">
        <f>IFERROR(__xludf.DUMMYFUNCTION("""COMPUTED_VALUE"""),0.0)</f>
        <v>0</v>
      </c>
      <c r="AA195" s="26">
        <f>IFERROR(__xludf.DUMMYFUNCTION("""COMPUTED_VALUE"""),0.0)</f>
        <v>0</v>
      </c>
      <c r="AB195" s="26">
        <f>IFERROR(__xludf.DUMMYFUNCTION("""COMPUTED_VALUE"""),0.0)</f>
        <v>0</v>
      </c>
      <c r="AC195" s="26">
        <f>IFERROR(__xludf.DUMMYFUNCTION("""COMPUTED_VALUE"""),0.0)</f>
        <v>0</v>
      </c>
      <c r="AD195" s="26">
        <f>IFERROR(__xludf.DUMMYFUNCTION("""COMPUTED_VALUE"""),0.0)</f>
        <v>0</v>
      </c>
      <c r="AE195" s="26">
        <f>IFERROR(__xludf.DUMMYFUNCTION("""COMPUTED_VALUE"""),0.0)</f>
        <v>0</v>
      </c>
    </row>
    <row r="196">
      <c r="A196" s="26">
        <f>IFERROR(__xludf.DUMMYFUNCTION("""COMPUTED_VALUE"""),303.0)</f>
        <v>303</v>
      </c>
      <c r="B196" s="26">
        <f>IFERROR(__xludf.DUMMYFUNCTION("""COMPUTED_VALUE"""),0.0)</f>
        <v>0</v>
      </c>
      <c r="C196" s="26">
        <f>IFERROR(__xludf.DUMMYFUNCTION("""COMPUTED_VALUE"""),0.0)</f>
        <v>0</v>
      </c>
      <c r="D196" s="26">
        <f>IFERROR(__xludf.DUMMYFUNCTION("""COMPUTED_VALUE"""),0.0)</f>
        <v>0</v>
      </c>
      <c r="E196" s="26">
        <f>IFERROR(__xludf.DUMMYFUNCTION("""COMPUTED_VALUE"""),0.0)</f>
        <v>0</v>
      </c>
      <c r="F196" s="26">
        <f>IFERROR(__xludf.DUMMYFUNCTION("""COMPUTED_VALUE"""),0.0)</f>
        <v>0</v>
      </c>
      <c r="G196" s="26">
        <f>IFERROR(__xludf.DUMMYFUNCTION("""COMPUTED_VALUE"""),0.0)</f>
        <v>0</v>
      </c>
      <c r="H196" s="26">
        <f>IFERROR(__xludf.DUMMYFUNCTION("""COMPUTED_VALUE"""),0.0)</f>
        <v>0</v>
      </c>
      <c r="I196" s="26">
        <f>IFERROR(__xludf.DUMMYFUNCTION("""COMPUTED_VALUE"""),0.0)</f>
        <v>0</v>
      </c>
      <c r="J196" s="26">
        <f>IFERROR(__xludf.DUMMYFUNCTION("""COMPUTED_VALUE"""),0.0)</f>
        <v>0</v>
      </c>
      <c r="K196" s="26">
        <f>IFERROR(__xludf.DUMMYFUNCTION("""COMPUTED_VALUE"""),0.0)</f>
        <v>0</v>
      </c>
      <c r="L196" s="26"/>
      <c r="M196" s="26"/>
      <c r="N196" s="26"/>
      <c r="O196" s="26"/>
      <c r="P196" s="26"/>
      <c r="Q196" s="26"/>
      <c r="R196" s="26">
        <f>IFERROR(__xludf.DUMMYFUNCTION("""COMPUTED_VALUE"""),133926.0)</f>
        <v>133926</v>
      </c>
      <c r="S196" s="26">
        <f>IFERROR(__xludf.DUMMYFUNCTION("""COMPUTED_VALUE"""),58345.0)</f>
        <v>58345</v>
      </c>
      <c r="T196" s="26">
        <f>IFERROR(__xludf.DUMMYFUNCTION("""COMPUTED_VALUE"""),0.0)</f>
        <v>0</v>
      </c>
      <c r="U196" s="26">
        <f>IFERROR(__xludf.DUMMYFUNCTION("""COMPUTED_VALUE"""),0.0)</f>
        <v>0</v>
      </c>
      <c r="V196" s="26">
        <f>IFERROR(__xludf.DUMMYFUNCTION("""COMPUTED_VALUE"""),20428.26000000001)</f>
        <v>20428.26</v>
      </c>
      <c r="W196" s="26">
        <f>IFERROR(__xludf.DUMMYFUNCTION("""COMPUTED_VALUE"""),0.0)</f>
        <v>0</v>
      </c>
      <c r="X196" s="26">
        <f>IFERROR(__xludf.DUMMYFUNCTION("""COMPUTED_VALUE"""),0.0)</f>
        <v>0</v>
      </c>
      <c r="Y196" s="26">
        <f>IFERROR(__xludf.DUMMYFUNCTION("""COMPUTED_VALUE"""),0.0)</f>
        <v>0</v>
      </c>
      <c r="Z196" s="26">
        <f>IFERROR(__xludf.DUMMYFUNCTION("""COMPUTED_VALUE"""),0.0)</f>
        <v>0</v>
      </c>
      <c r="AA196" s="26">
        <f>IFERROR(__xludf.DUMMYFUNCTION("""COMPUTED_VALUE"""),0.0)</f>
        <v>0</v>
      </c>
      <c r="AB196" s="26">
        <f>IFERROR(__xludf.DUMMYFUNCTION("""COMPUTED_VALUE"""),0.0)</f>
        <v>0</v>
      </c>
      <c r="AC196" s="26">
        <f>IFERROR(__xludf.DUMMYFUNCTION("""COMPUTED_VALUE"""),0.0)</f>
        <v>0</v>
      </c>
      <c r="AD196" s="26">
        <f>IFERROR(__xludf.DUMMYFUNCTION("""COMPUTED_VALUE"""),0.0)</f>
        <v>0</v>
      </c>
      <c r="AE196" s="26">
        <f>IFERROR(__xludf.DUMMYFUNCTION("""COMPUTED_VALUE"""),0.0)</f>
        <v>0</v>
      </c>
    </row>
    <row r="197">
      <c r="A197" s="26">
        <f>IFERROR(__xludf.DUMMYFUNCTION("""COMPUTED_VALUE"""),1.0)</f>
        <v>1</v>
      </c>
      <c r="B197" s="26">
        <f>IFERROR(__xludf.DUMMYFUNCTION("""COMPUTED_VALUE"""),0.0)</f>
        <v>0</v>
      </c>
      <c r="C197" s="26">
        <f>IFERROR(__xludf.DUMMYFUNCTION("""COMPUTED_VALUE"""),89.0)</f>
        <v>89</v>
      </c>
      <c r="D197" s="26">
        <f>IFERROR(__xludf.DUMMYFUNCTION("""COMPUTED_VALUE"""),0.0)</f>
        <v>0</v>
      </c>
      <c r="E197" s="26">
        <f>IFERROR(__xludf.DUMMYFUNCTION("""COMPUTED_VALUE"""),0.0)</f>
        <v>0</v>
      </c>
      <c r="F197" s="26">
        <f>IFERROR(__xludf.DUMMYFUNCTION("""COMPUTED_VALUE"""),0.0)</f>
        <v>0</v>
      </c>
      <c r="G197" s="26">
        <f>IFERROR(__xludf.DUMMYFUNCTION("""COMPUTED_VALUE"""),0.0)</f>
        <v>0</v>
      </c>
      <c r="H197" s="26">
        <f>IFERROR(__xludf.DUMMYFUNCTION("""COMPUTED_VALUE"""),0.0)</f>
        <v>0</v>
      </c>
      <c r="I197" s="26">
        <f>IFERROR(__xludf.DUMMYFUNCTION("""COMPUTED_VALUE"""),0.0)</f>
        <v>0</v>
      </c>
      <c r="J197" s="26">
        <f>IFERROR(__xludf.DUMMYFUNCTION("""COMPUTED_VALUE"""),0.0)</f>
        <v>0</v>
      </c>
      <c r="K197" s="26">
        <f>IFERROR(__xludf.DUMMYFUNCTION("""COMPUTED_VALUE"""),0.0)</f>
        <v>0</v>
      </c>
      <c r="L197" s="26"/>
      <c r="M197" s="26"/>
      <c r="N197" s="26"/>
      <c r="O197" s="26"/>
      <c r="P197" s="26"/>
      <c r="Q197" s="26"/>
      <c r="R197" s="26">
        <f>IFERROR(__xludf.DUMMYFUNCTION("""COMPUTED_VALUE"""),39728.0)</f>
        <v>39728</v>
      </c>
      <c r="S197" s="26">
        <f>IFERROR(__xludf.DUMMYFUNCTION("""COMPUTED_VALUE"""),18450.0)</f>
        <v>18450</v>
      </c>
      <c r="T197" s="26">
        <f>IFERROR(__xludf.DUMMYFUNCTION("""COMPUTED_VALUE"""),33.71)</f>
        <v>33.71</v>
      </c>
      <c r="U197" s="26">
        <f>IFERROR(__xludf.DUMMYFUNCTION("""COMPUTED_VALUE"""),33.71)</f>
        <v>33.71</v>
      </c>
      <c r="V197" s="26">
        <f>IFERROR(__xludf.DUMMYFUNCTION("""COMPUTED_VALUE"""),5992.450000000001)</f>
        <v>5992.45</v>
      </c>
      <c r="W197" s="26">
        <f>IFERROR(__xludf.DUMMYFUNCTION("""COMPUTED_VALUE"""),25287.829999999994)</f>
        <v>25287.83</v>
      </c>
      <c r="X197" s="26">
        <f>IFERROR(__xludf.DUMMYFUNCTION("""COMPUTED_VALUE"""),25287.829999999994)</f>
        <v>25287.83</v>
      </c>
      <c r="Y197" s="26">
        <f>IFERROR(__xludf.DUMMYFUNCTION("""COMPUTED_VALUE"""),14878.969999999998)</f>
        <v>14878.97</v>
      </c>
      <c r="Z197" s="26">
        <f>IFERROR(__xludf.DUMMYFUNCTION("""COMPUTED_VALUE"""),14440.169999999998)</f>
        <v>14440.17</v>
      </c>
      <c r="AA197" s="26">
        <f>IFERROR(__xludf.DUMMYFUNCTION("""COMPUTED_VALUE"""),777.96)</f>
        <v>777.96</v>
      </c>
      <c r="AB197" s="26">
        <f>IFERROR(__xludf.DUMMYFUNCTION("""COMPUTED_VALUE"""),0.0)</f>
        <v>0</v>
      </c>
      <c r="AC197" s="26">
        <f>IFERROR(__xludf.DUMMYFUNCTION("""COMPUTED_VALUE"""),0.0)</f>
        <v>0</v>
      </c>
      <c r="AD197" s="26">
        <f>IFERROR(__xludf.DUMMYFUNCTION("""COMPUTED_VALUE"""),25168.0)</f>
        <v>25168</v>
      </c>
      <c r="AE197" s="26">
        <f>IFERROR(__xludf.DUMMYFUNCTION("""COMPUTED_VALUE"""),0.0)</f>
        <v>0</v>
      </c>
    </row>
    <row r="198">
      <c r="A198" s="26">
        <f>IFERROR(__xludf.DUMMYFUNCTION("""COMPUTED_VALUE"""),0.0)</f>
        <v>0</v>
      </c>
      <c r="B198" s="26">
        <f>IFERROR(__xludf.DUMMYFUNCTION("""COMPUTED_VALUE"""),0.0)</f>
        <v>0</v>
      </c>
      <c r="C198" s="26">
        <f>IFERROR(__xludf.DUMMYFUNCTION("""COMPUTED_VALUE"""),0.0)</f>
        <v>0</v>
      </c>
      <c r="D198" s="26">
        <f>IFERROR(__xludf.DUMMYFUNCTION("""COMPUTED_VALUE"""),0.0)</f>
        <v>0</v>
      </c>
      <c r="E198" s="26">
        <f>IFERROR(__xludf.DUMMYFUNCTION("""COMPUTED_VALUE"""),17.0)</f>
        <v>17</v>
      </c>
      <c r="F198" s="26">
        <f>IFERROR(__xludf.DUMMYFUNCTION("""COMPUTED_VALUE"""),0.0)</f>
        <v>0</v>
      </c>
      <c r="G198" s="26">
        <f>IFERROR(__xludf.DUMMYFUNCTION("""COMPUTED_VALUE"""),0.0)</f>
        <v>0</v>
      </c>
      <c r="H198" s="26">
        <f>IFERROR(__xludf.DUMMYFUNCTION("""COMPUTED_VALUE"""),0.0)</f>
        <v>0</v>
      </c>
      <c r="I198" s="26">
        <f>IFERROR(__xludf.DUMMYFUNCTION("""COMPUTED_VALUE"""),0.0)</f>
        <v>0</v>
      </c>
      <c r="J198" s="26">
        <f>IFERROR(__xludf.DUMMYFUNCTION("""COMPUTED_VALUE"""),0.0)</f>
        <v>0</v>
      </c>
      <c r="K198" s="26">
        <f>IFERROR(__xludf.DUMMYFUNCTION("""COMPUTED_VALUE"""),0.0)</f>
        <v>0</v>
      </c>
      <c r="L198" s="26"/>
      <c r="M198" s="26"/>
      <c r="N198" s="26"/>
      <c r="O198" s="26"/>
      <c r="P198" s="26"/>
      <c r="Q198" s="26"/>
      <c r="R198" s="26">
        <f>IFERROR(__xludf.DUMMYFUNCTION("""COMPUTED_VALUE"""),34000.0)</f>
        <v>34000</v>
      </c>
      <c r="S198" s="26">
        <f>IFERROR(__xludf.DUMMYFUNCTION("""COMPUTED_VALUE"""),7650.0)</f>
        <v>7650</v>
      </c>
      <c r="T198" s="26">
        <f>IFERROR(__xludf.DUMMYFUNCTION("""COMPUTED_VALUE"""),0.0)</f>
        <v>0</v>
      </c>
      <c r="U198" s="26">
        <f>IFERROR(__xludf.DUMMYFUNCTION("""COMPUTED_VALUE"""),0.0)</f>
        <v>0</v>
      </c>
      <c r="V198" s="26">
        <f>IFERROR(__xludf.DUMMYFUNCTION("""COMPUTED_VALUE"""),5186.36)</f>
        <v>5186.36</v>
      </c>
      <c r="W198" s="26">
        <f>IFERROR(__xludf.DUMMYFUNCTION("""COMPUTED_VALUE"""),14952.689999999997)</f>
        <v>14952.69</v>
      </c>
      <c r="X198" s="26">
        <f>IFERROR(__xludf.DUMMYFUNCTION("""COMPUTED_VALUE"""),14952.689999999997)</f>
        <v>14952.69</v>
      </c>
      <c r="Y198" s="26">
        <f>IFERROR(__xludf.DUMMYFUNCTION("""COMPUTED_VALUE"""),0.0)</f>
        <v>0</v>
      </c>
      <c r="Z198" s="26">
        <f>IFERROR(__xludf.DUMMYFUNCTION("""COMPUTED_VALUE"""),19047.31)</f>
        <v>19047.31</v>
      </c>
      <c r="AA198" s="26">
        <f>IFERROR(__xludf.DUMMYFUNCTION("""COMPUTED_VALUE"""),2116.33)</f>
        <v>2116.33</v>
      </c>
      <c r="AB198" s="26">
        <f>IFERROR(__xludf.DUMMYFUNCTION("""COMPUTED_VALUE"""),0.0)</f>
        <v>0</v>
      </c>
      <c r="AC198" s="26">
        <f>IFERROR(__xludf.DUMMYFUNCTION("""COMPUTED_VALUE"""),0.0)</f>
        <v>0</v>
      </c>
      <c r="AD198" s="26">
        <f>IFERROR(__xludf.DUMMYFUNCTION("""COMPUTED_VALUE"""),14953.0)</f>
        <v>14953</v>
      </c>
      <c r="AE198" s="26">
        <f>IFERROR(__xludf.DUMMYFUNCTION("""COMPUTED_VALUE"""),0.0)</f>
        <v>0</v>
      </c>
    </row>
    <row r="199">
      <c r="A199" s="26">
        <f>IFERROR(__xludf.DUMMYFUNCTION("""COMPUTED_VALUE"""),0.0)</f>
        <v>0</v>
      </c>
      <c r="B199" s="26">
        <f>IFERROR(__xludf.DUMMYFUNCTION("""COMPUTED_VALUE"""),0.0)</f>
        <v>0</v>
      </c>
      <c r="C199" s="26">
        <f>IFERROR(__xludf.DUMMYFUNCTION("""COMPUTED_VALUE"""),3.0)</f>
        <v>3</v>
      </c>
      <c r="D199" s="26">
        <f>IFERROR(__xludf.DUMMYFUNCTION("""COMPUTED_VALUE"""),0.0)</f>
        <v>0</v>
      </c>
      <c r="E199" s="26">
        <f>IFERROR(__xludf.DUMMYFUNCTION("""COMPUTED_VALUE"""),0.0)</f>
        <v>0</v>
      </c>
      <c r="F199" s="26">
        <f>IFERROR(__xludf.DUMMYFUNCTION("""COMPUTED_VALUE"""),0.0)</f>
        <v>0</v>
      </c>
      <c r="G199" s="26">
        <f>IFERROR(__xludf.DUMMYFUNCTION("""COMPUTED_VALUE"""),0.0)</f>
        <v>0</v>
      </c>
      <c r="H199" s="26">
        <f>IFERROR(__xludf.DUMMYFUNCTION("""COMPUTED_VALUE"""),0.0)</f>
        <v>0</v>
      </c>
      <c r="I199" s="26">
        <f>IFERROR(__xludf.DUMMYFUNCTION("""COMPUTED_VALUE"""),0.0)</f>
        <v>0</v>
      </c>
      <c r="J199" s="26">
        <f>IFERROR(__xludf.DUMMYFUNCTION("""COMPUTED_VALUE"""),0.0)</f>
        <v>0</v>
      </c>
      <c r="K199" s="26">
        <f>IFERROR(__xludf.DUMMYFUNCTION("""COMPUTED_VALUE"""),0.0)</f>
        <v>0</v>
      </c>
      <c r="L199" s="26"/>
      <c r="M199" s="26"/>
      <c r="N199" s="26"/>
      <c r="O199" s="26"/>
      <c r="P199" s="26"/>
      <c r="Q199" s="26"/>
      <c r="R199" s="26">
        <f>IFERROR(__xludf.DUMMYFUNCTION("""COMPUTED_VALUE"""),916.3600000000001)</f>
        <v>916.36</v>
      </c>
      <c r="S199" s="26">
        <f>IFERROR(__xludf.DUMMYFUNCTION("""COMPUTED_VALUE"""),607.0)</f>
        <v>607</v>
      </c>
      <c r="T199" s="26">
        <f>IFERROR(__xludf.DUMMYFUNCTION("""COMPUTED_VALUE"""),0.0)</f>
        <v>0</v>
      </c>
      <c r="U199" s="26">
        <f>IFERROR(__xludf.DUMMYFUNCTION("""COMPUTED_VALUE"""),0.0)</f>
        <v>0</v>
      </c>
      <c r="V199" s="26">
        <f>IFERROR(__xludf.DUMMYFUNCTION("""COMPUTED_VALUE"""),139.78)</f>
        <v>139.78</v>
      </c>
      <c r="W199" s="26">
        <f>IFERROR(__xludf.DUMMYFUNCTION("""COMPUTED_VALUE"""),916.3600000000001)</f>
        <v>916.36</v>
      </c>
      <c r="X199" s="26">
        <f>IFERROR(__xludf.DUMMYFUNCTION("""COMPUTED_VALUE"""),750.1700000000001)</f>
        <v>750.17</v>
      </c>
      <c r="Y199" s="26">
        <f>IFERROR(__xludf.DUMMYFUNCTION("""COMPUTED_VALUE"""),0.0)</f>
        <v>0</v>
      </c>
      <c r="Z199" s="26">
        <f>IFERROR(__xludf.DUMMYFUNCTION("""COMPUTED_VALUE"""),0.0)</f>
        <v>0</v>
      </c>
      <c r="AA199" s="26">
        <f>IFERROR(__xludf.DUMMYFUNCTION("""COMPUTED_VALUE"""),0.0)</f>
        <v>0</v>
      </c>
      <c r="AB199" s="26">
        <f>IFERROR(__xludf.DUMMYFUNCTION("""COMPUTED_VALUE"""),0.0)</f>
        <v>0</v>
      </c>
      <c r="AC199" s="26">
        <f>IFERROR(__xludf.DUMMYFUNCTION("""COMPUTED_VALUE"""),0.0)</f>
        <v>0</v>
      </c>
      <c r="AD199" s="26">
        <f>IFERROR(__xludf.DUMMYFUNCTION("""COMPUTED_VALUE"""),0.0)</f>
        <v>0</v>
      </c>
      <c r="AE199" s="26">
        <f>IFERROR(__xludf.DUMMYFUNCTION("""COMPUTED_VALUE"""),916.36)</f>
        <v>916.36</v>
      </c>
    </row>
    <row r="200">
      <c r="A200" s="26">
        <f>IFERROR(__xludf.DUMMYFUNCTION("""COMPUTED_VALUE"""),444.0)</f>
        <v>444</v>
      </c>
      <c r="B200" s="26">
        <f>IFERROR(__xludf.DUMMYFUNCTION("""COMPUTED_VALUE"""),0.0)</f>
        <v>0</v>
      </c>
      <c r="C200" s="26">
        <f>IFERROR(__xludf.DUMMYFUNCTION("""COMPUTED_VALUE"""),213.0)</f>
        <v>213</v>
      </c>
      <c r="D200" s="26">
        <f>IFERROR(__xludf.DUMMYFUNCTION("""COMPUTED_VALUE"""),0.0)</f>
        <v>0</v>
      </c>
      <c r="E200" s="26">
        <f>IFERROR(__xludf.DUMMYFUNCTION("""COMPUTED_VALUE"""),1.0)</f>
        <v>1</v>
      </c>
      <c r="F200" s="26">
        <f>IFERROR(__xludf.DUMMYFUNCTION("""COMPUTED_VALUE"""),0.0)</f>
        <v>0</v>
      </c>
      <c r="G200" s="26">
        <f>IFERROR(__xludf.DUMMYFUNCTION("""COMPUTED_VALUE"""),0.0)</f>
        <v>0</v>
      </c>
      <c r="H200" s="26">
        <f>IFERROR(__xludf.DUMMYFUNCTION("""COMPUTED_VALUE"""),0.0)</f>
        <v>0</v>
      </c>
      <c r="I200" s="26">
        <f>IFERROR(__xludf.DUMMYFUNCTION("""COMPUTED_VALUE"""),0.0)</f>
        <v>0</v>
      </c>
      <c r="J200" s="26">
        <f>IFERROR(__xludf.DUMMYFUNCTION("""COMPUTED_VALUE"""),0.0)</f>
        <v>0</v>
      </c>
      <c r="K200" s="26">
        <f>IFERROR(__xludf.DUMMYFUNCTION("""COMPUTED_VALUE"""),0.0)</f>
        <v>0</v>
      </c>
      <c r="L200" s="26"/>
      <c r="M200" s="26"/>
      <c r="N200" s="26"/>
      <c r="O200" s="26"/>
      <c r="P200" s="26"/>
      <c r="Q200" s="26"/>
      <c r="R200" s="26">
        <f>IFERROR(__xludf.DUMMYFUNCTION("""COMPUTED_VALUE"""),320316.0)</f>
        <v>320316</v>
      </c>
      <c r="S200" s="26">
        <f>IFERROR(__xludf.DUMMYFUNCTION("""COMPUTED_VALUE"""),143710.0)</f>
        <v>143710</v>
      </c>
      <c r="T200" s="26">
        <f>IFERROR(__xludf.DUMMYFUNCTION("""COMPUTED_VALUE"""),0.0)</f>
        <v>0</v>
      </c>
      <c r="U200" s="26">
        <f>IFERROR(__xludf.DUMMYFUNCTION("""COMPUTED_VALUE"""),0.0)</f>
        <v>0</v>
      </c>
      <c r="V200" s="26">
        <f>IFERROR(__xludf.DUMMYFUNCTION("""COMPUTED_VALUE"""),48860.26000000004)</f>
        <v>48860.26</v>
      </c>
      <c r="W200" s="26">
        <f>IFERROR(__xludf.DUMMYFUNCTION("""COMPUTED_VALUE"""),0.0)</f>
        <v>0</v>
      </c>
      <c r="X200" s="26">
        <f>IFERROR(__xludf.DUMMYFUNCTION("""COMPUTED_VALUE"""),0.0)</f>
        <v>0</v>
      </c>
      <c r="Y200" s="26">
        <f>IFERROR(__xludf.DUMMYFUNCTION("""COMPUTED_VALUE"""),0.0)</f>
        <v>0</v>
      </c>
      <c r="Z200" s="26">
        <f>IFERROR(__xludf.DUMMYFUNCTION("""COMPUTED_VALUE"""),0.0)</f>
        <v>0</v>
      </c>
      <c r="AA200" s="26">
        <f>IFERROR(__xludf.DUMMYFUNCTION("""COMPUTED_VALUE"""),0.0)</f>
        <v>0</v>
      </c>
      <c r="AB200" s="26">
        <f>IFERROR(__xludf.DUMMYFUNCTION("""COMPUTED_VALUE"""),0.0)</f>
        <v>0</v>
      </c>
      <c r="AC200" s="26">
        <f>IFERROR(__xludf.DUMMYFUNCTION("""COMPUTED_VALUE"""),0.0)</f>
        <v>0</v>
      </c>
      <c r="AD200" s="26">
        <f>IFERROR(__xludf.DUMMYFUNCTION("""COMPUTED_VALUE"""),0.0)</f>
        <v>0</v>
      </c>
      <c r="AE200" s="26">
        <f>IFERROR(__xludf.DUMMYFUNCTION("""COMPUTED_VALUE"""),0.0)</f>
        <v>0</v>
      </c>
    </row>
    <row r="201">
      <c r="A201" s="26">
        <f>IFERROR(__xludf.DUMMYFUNCTION("""COMPUTED_VALUE"""),196.0)</f>
        <v>196</v>
      </c>
      <c r="B201" s="26">
        <f>IFERROR(__xludf.DUMMYFUNCTION("""COMPUTED_VALUE"""),0.0)</f>
        <v>0</v>
      </c>
      <c r="C201" s="26">
        <f>IFERROR(__xludf.DUMMYFUNCTION("""COMPUTED_VALUE"""),123.0)</f>
        <v>123</v>
      </c>
      <c r="D201" s="26">
        <f>IFERROR(__xludf.DUMMYFUNCTION("""COMPUTED_VALUE"""),0.0)</f>
        <v>0</v>
      </c>
      <c r="E201" s="26">
        <f>IFERROR(__xludf.DUMMYFUNCTION("""COMPUTED_VALUE"""),0.0)</f>
        <v>0</v>
      </c>
      <c r="F201" s="26">
        <f>IFERROR(__xludf.DUMMYFUNCTION("""COMPUTED_VALUE"""),0.0)</f>
        <v>0</v>
      </c>
      <c r="G201" s="26">
        <f>IFERROR(__xludf.DUMMYFUNCTION("""COMPUTED_VALUE"""),0.0)</f>
        <v>0</v>
      </c>
      <c r="H201" s="26">
        <f>IFERROR(__xludf.DUMMYFUNCTION("""COMPUTED_VALUE"""),0.0)</f>
        <v>0</v>
      </c>
      <c r="I201" s="26">
        <f>IFERROR(__xludf.DUMMYFUNCTION("""COMPUTED_VALUE"""),0.0)</f>
        <v>0</v>
      </c>
      <c r="J201" s="26">
        <f>IFERROR(__xludf.DUMMYFUNCTION("""COMPUTED_VALUE"""),0.0)</f>
        <v>0</v>
      </c>
      <c r="K201" s="26">
        <f>IFERROR(__xludf.DUMMYFUNCTION("""COMPUTED_VALUE"""),0.0)</f>
        <v>0</v>
      </c>
      <c r="L201" s="26"/>
      <c r="M201" s="26"/>
      <c r="N201" s="26"/>
      <c r="O201" s="26"/>
      <c r="P201" s="26"/>
      <c r="Q201" s="26"/>
      <c r="R201" s="26">
        <f>IFERROR(__xludf.DUMMYFUNCTION("""COMPUTED_VALUE"""),160710.0)</f>
        <v>160710</v>
      </c>
      <c r="S201" s="26">
        <f>IFERROR(__xludf.DUMMYFUNCTION("""COMPUTED_VALUE"""),70315.0)</f>
        <v>70315</v>
      </c>
      <c r="T201" s="26">
        <f>IFERROR(__xludf.DUMMYFUNCTION("""COMPUTED_VALUE"""),0.0)</f>
        <v>0</v>
      </c>
      <c r="U201" s="26">
        <f>IFERROR(__xludf.DUMMYFUNCTION("""COMPUTED_VALUE"""),0.0)</f>
        <v>0</v>
      </c>
      <c r="V201" s="26">
        <f>IFERROR(__xludf.DUMMYFUNCTION("""COMPUTED_VALUE"""),24514.289999999986)</f>
        <v>24514.29</v>
      </c>
      <c r="W201" s="26">
        <f>IFERROR(__xludf.DUMMYFUNCTION("""COMPUTED_VALUE"""),0.0)</f>
        <v>0</v>
      </c>
      <c r="X201" s="26">
        <f>IFERROR(__xludf.DUMMYFUNCTION("""COMPUTED_VALUE"""),0.0)</f>
        <v>0</v>
      </c>
      <c r="Y201" s="26">
        <f>IFERROR(__xludf.DUMMYFUNCTION("""COMPUTED_VALUE"""),0.0)</f>
        <v>0</v>
      </c>
      <c r="Z201" s="26">
        <f>IFERROR(__xludf.DUMMYFUNCTION("""COMPUTED_VALUE"""),0.0)</f>
        <v>0</v>
      </c>
      <c r="AA201" s="26">
        <f>IFERROR(__xludf.DUMMYFUNCTION("""COMPUTED_VALUE"""),0.0)</f>
        <v>0</v>
      </c>
      <c r="AB201" s="26">
        <f>IFERROR(__xludf.DUMMYFUNCTION("""COMPUTED_VALUE"""),0.0)</f>
        <v>0</v>
      </c>
      <c r="AC201" s="26">
        <f>IFERROR(__xludf.DUMMYFUNCTION("""COMPUTED_VALUE"""),0.0)</f>
        <v>0</v>
      </c>
      <c r="AD201" s="26">
        <f>IFERROR(__xludf.DUMMYFUNCTION("""COMPUTED_VALUE"""),0.0)</f>
        <v>0</v>
      </c>
      <c r="AE201" s="26">
        <f>IFERROR(__xludf.DUMMYFUNCTION("""COMPUTED_VALUE"""),0.0)</f>
        <v>0</v>
      </c>
    </row>
    <row r="202">
      <c r="A202" s="26">
        <f>IFERROR(__xludf.DUMMYFUNCTION("""COMPUTED_VALUE"""),277.0)</f>
        <v>277</v>
      </c>
      <c r="B202" s="26">
        <f>IFERROR(__xludf.DUMMYFUNCTION("""COMPUTED_VALUE"""),4.0)</f>
        <v>4</v>
      </c>
      <c r="C202" s="26">
        <f>IFERROR(__xludf.DUMMYFUNCTION("""COMPUTED_VALUE"""),17.0)</f>
        <v>17</v>
      </c>
      <c r="D202" s="26">
        <f>IFERROR(__xludf.DUMMYFUNCTION("""COMPUTED_VALUE"""),0.0)</f>
        <v>0</v>
      </c>
      <c r="E202" s="26">
        <f>IFERROR(__xludf.DUMMYFUNCTION("""COMPUTED_VALUE"""),0.0)</f>
        <v>0</v>
      </c>
      <c r="F202" s="26">
        <f>IFERROR(__xludf.DUMMYFUNCTION("""COMPUTED_VALUE"""),0.0)</f>
        <v>0</v>
      </c>
      <c r="G202" s="26">
        <f>IFERROR(__xludf.DUMMYFUNCTION("""COMPUTED_VALUE"""),0.0)</f>
        <v>0</v>
      </c>
      <c r="H202" s="26">
        <f>IFERROR(__xludf.DUMMYFUNCTION("""COMPUTED_VALUE"""),0.0)</f>
        <v>0</v>
      </c>
      <c r="I202" s="26">
        <f>IFERROR(__xludf.DUMMYFUNCTION("""COMPUTED_VALUE"""),0.0)</f>
        <v>0</v>
      </c>
      <c r="J202" s="26">
        <f>IFERROR(__xludf.DUMMYFUNCTION("""COMPUTED_VALUE"""),0.0)</f>
        <v>0</v>
      </c>
      <c r="K202" s="26">
        <f>IFERROR(__xludf.DUMMYFUNCTION("""COMPUTED_VALUE"""),0.0)</f>
        <v>0</v>
      </c>
      <c r="L202" s="26"/>
      <c r="M202" s="26"/>
      <c r="N202" s="26"/>
      <c r="O202" s="26"/>
      <c r="P202" s="26"/>
      <c r="Q202" s="26"/>
      <c r="R202" s="26">
        <f>IFERROR(__xludf.DUMMYFUNCTION("""COMPUTED_VALUE"""),117866.0)</f>
        <v>117866</v>
      </c>
      <c r="S202" s="26">
        <f>IFERROR(__xludf.DUMMYFUNCTION("""COMPUTED_VALUE"""),61350.0)</f>
        <v>61350</v>
      </c>
      <c r="T202" s="26">
        <f>IFERROR(__xludf.DUMMYFUNCTION("""COMPUTED_VALUE"""),0.0)</f>
        <v>0</v>
      </c>
      <c r="U202" s="26">
        <f>IFERROR(__xludf.DUMMYFUNCTION("""COMPUTED_VALUE"""),0.0)</f>
        <v>0</v>
      </c>
      <c r="V202" s="26">
        <f>IFERROR(__xludf.DUMMYFUNCTION("""COMPUTED_VALUE"""),17979.19999999998)</f>
        <v>17979.2</v>
      </c>
      <c r="W202" s="26">
        <f>IFERROR(__xludf.DUMMYFUNCTION("""COMPUTED_VALUE"""),0.0)</f>
        <v>0</v>
      </c>
      <c r="X202" s="26">
        <f>IFERROR(__xludf.DUMMYFUNCTION("""COMPUTED_VALUE"""),0.0)</f>
        <v>0</v>
      </c>
      <c r="Y202" s="26">
        <f>IFERROR(__xludf.DUMMYFUNCTION("""COMPUTED_VALUE"""),0.0)</f>
        <v>0</v>
      </c>
      <c r="Z202" s="26">
        <f>IFERROR(__xludf.DUMMYFUNCTION("""COMPUTED_VALUE"""),0.0)</f>
        <v>0</v>
      </c>
      <c r="AA202" s="26">
        <f>IFERROR(__xludf.DUMMYFUNCTION("""COMPUTED_VALUE"""),0.0)</f>
        <v>0</v>
      </c>
      <c r="AB202" s="26">
        <f>IFERROR(__xludf.DUMMYFUNCTION("""COMPUTED_VALUE"""),0.0)</f>
        <v>0</v>
      </c>
      <c r="AC202" s="26">
        <f>IFERROR(__xludf.DUMMYFUNCTION("""COMPUTED_VALUE"""),0.0)</f>
        <v>0</v>
      </c>
      <c r="AD202" s="26">
        <f>IFERROR(__xludf.DUMMYFUNCTION("""COMPUTED_VALUE"""),0.0)</f>
        <v>0</v>
      </c>
      <c r="AE202" s="26">
        <f>IFERROR(__xludf.DUMMYFUNCTION("""COMPUTED_VALUE"""),0.0)</f>
        <v>0</v>
      </c>
    </row>
    <row r="203">
      <c r="A203" s="26">
        <f>IFERROR(__xludf.DUMMYFUNCTION("""COMPUTED_VALUE"""),0.0)</f>
        <v>0</v>
      </c>
      <c r="B203" s="26">
        <f>IFERROR(__xludf.DUMMYFUNCTION("""COMPUTED_VALUE"""),0.0)</f>
        <v>0</v>
      </c>
      <c r="C203" s="26">
        <f>IFERROR(__xludf.DUMMYFUNCTION("""COMPUTED_VALUE"""),557.0)</f>
        <v>557</v>
      </c>
      <c r="D203" s="26">
        <f>IFERROR(__xludf.DUMMYFUNCTION("""COMPUTED_VALUE"""),0.0)</f>
        <v>0</v>
      </c>
      <c r="E203" s="26">
        <f>IFERROR(__xludf.DUMMYFUNCTION("""COMPUTED_VALUE"""),0.0)</f>
        <v>0</v>
      </c>
      <c r="F203" s="26">
        <f>IFERROR(__xludf.DUMMYFUNCTION("""COMPUTED_VALUE"""),0.0)</f>
        <v>0</v>
      </c>
      <c r="G203" s="26">
        <f>IFERROR(__xludf.DUMMYFUNCTION("""COMPUTED_VALUE"""),0.0)</f>
        <v>0</v>
      </c>
      <c r="H203" s="26">
        <f>IFERROR(__xludf.DUMMYFUNCTION("""COMPUTED_VALUE"""),0.0)</f>
        <v>0</v>
      </c>
      <c r="I203" s="26">
        <f>IFERROR(__xludf.DUMMYFUNCTION("""COMPUTED_VALUE"""),0.0)</f>
        <v>0</v>
      </c>
      <c r="J203" s="26">
        <f>IFERROR(__xludf.DUMMYFUNCTION("""COMPUTED_VALUE"""),0.0)</f>
        <v>0</v>
      </c>
      <c r="K203" s="26">
        <f>IFERROR(__xludf.DUMMYFUNCTION("""COMPUTED_VALUE"""),0.0)</f>
        <v>0</v>
      </c>
      <c r="L203" s="26"/>
      <c r="M203" s="26"/>
      <c r="N203" s="26"/>
      <c r="O203" s="26"/>
      <c r="P203" s="26"/>
      <c r="Q203" s="26"/>
      <c r="R203" s="26">
        <f>IFERROR(__xludf.DUMMYFUNCTION("""COMPUTED_VALUE"""),384330.0)</f>
        <v>384330</v>
      </c>
      <c r="S203" s="26">
        <f>IFERROR(__xludf.DUMMYFUNCTION("""COMPUTED_VALUE"""),114185.0)</f>
        <v>114185</v>
      </c>
      <c r="T203" s="26">
        <f>IFERROR(__xludf.DUMMYFUNCTION("""COMPUTED_VALUE"""),0.0)</f>
        <v>0</v>
      </c>
      <c r="U203" s="26">
        <f>IFERROR(__xludf.DUMMYFUNCTION("""COMPUTED_VALUE"""),0.0)</f>
        <v>0</v>
      </c>
      <c r="V203" s="26">
        <f>IFERROR(__xludf.DUMMYFUNCTION("""COMPUTED_VALUE"""),58624.25)</f>
        <v>58624.25</v>
      </c>
      <c r="W203" s="26">
        <f>IFERROR(__xludf.DUMMYFUNCTION("""COMPUTED_VALUE"""),0.0)</f>
        <v>0</v>
      </c>
      <c r="X203" s="26">
        <f>IFERROR(__xludf.DUMMYFUNCTION("""COMPUTED_VALUE"""),0.0)</f>
        <v>0</v>
      </c>
      <c r="Y203" s="26">
        <f>IFERROR(__xludf.DUMMYFUNCTION("""COMPUTED_VALUE"""),0.0)</f>
        <v>0</v>
      </c>
      <c r="Z203" s="26">
        <f>IFERROR(__xludf.DUMMYFUNCTION("""COMPUTED_VALUE"""),0.0)</f>
        <v>0</v>
      </c>
      <c r="AA203" s="26">
        <f>IFERROR(__xludf.DUMMYFUNCTION("""COMPUTED_VALUE"""),0.0)</f>
        <v>0</v>
      </c>
      <c r="AB203" s="26">
        <f>IFERROR(__xludf.DUMMYFUNCTION("""COMPUTED_VALUE"""),0.0)</f>
        <v>0</v>
      </c>
      <c r="AC203" s="26">
        <f>IFERROR(__xludf.DUMMYFUNCTION("""COMPUTED_VALUE"""),0.0)</f>
        <v>0</v>
      </c>
      <c r="AD203" s="26">
        <f>IFERROR(__xludf.DUMMYFUNCTION("""COMPUTED_VALUE"""),0.0)</f>
        <v>0</v>
      </c>
      <c r="AE203" s="26">
        <f>IFERROR(__xludf.DUMMYFUNCTION("""COMPUTED_VALUE"""),0.0)</f>
        <v>0</v>
      </c>
    </row>
    <row r="204">
      <c r="A204" s="26">
        <f>IFERROR(__xludf.DUMMYFUNCTION("""COMPUTED_VALUE"""),64.0)</f>
        <v>64</v>
      </c>
      <c r="B204" s="26">
        <f>IFERROR(__xludf.DUMMYFUNCTION("""COMPUTED_VALUE"""),0.0)</f>
        <v>0</v>
      </c>
      <c r="C204" s="26">
        <f>IFERROR(__xludf.DUMMYFUNCTION("""COMPUTED_VALUE"""),129.0)</f>
        <v>129</v>
      </c>
      <c r="D204" s="26">
        <f>IFERROR(__xludf.DUMMYFUNCTION("""COMPUTED_VALUE"""),0.0)</f>
        <v>0</v>
      </c>
      <c r="E204" s="26">
        <f>IFERROR(__xludf.DUMMYFUNCTION("""COMPUTED_VALUE"""),0.0)</f>
        <v>0</v>
      </c>
      <c r="F204" s="26">
        <f>IFERROR(__xludf.DUMMYFUNCTION("""COMPUTED_VALUE"""),0.0)</f>
        <v>0</v>
      </c>
      <c r="G204" s="26">
        <f>IFERROR(__xludf.DUMMYFUNCTION("""COMPUTED_VALUE"""),0.0)</f>
        <v>0</v>
      </c>
      <c r="H204" s="26">
        <f>IFERROR(__xludf.DUMMYFUNCTION("""COMPUTED_VALUE"""),0.0)</f>
        <v>0</v>
      </c>
      <c r="I204" s="26">
        <f>IFERROR(__xludf.DUMMYFUNCTION("""COMPUTED_VALUE"""),0.0)</f>
        <v>0</v>
      </c>
      <c r="J204" s="26">
        <f>IFERROR(__xludf.DUMMYFUNCTION("""COMPUTED_VALUE"""),0.0)</f>
        <v>0</v>
      </c>
      <c r="K204" s="26">
        <f>IFERROR(__xludf.DUMMYFUNCTION("""COMPUTED_VALUE"""),0.0)</f>
        <v>0</v>
      </c>
      <c r="L204" s="26"/>
      <c r="M204" s="26"/>
      <c r="N204" s="26"/>
      <c r="O204" s="26"/>
      <c r="P204" s="26"/>
      <c r="Q204" s="26"/>
      <c r="R204" s="26">
        <f>IFERROR(__xludf.DUMMYFUNCTION("""COMPUTED_VALUE"""),113970.0)</f>
        <v>113970</v>
      </c>
      <c r="S204" s="26">
        <f>IFERROR(__xludf.DUMMYFUNCTION("""COMPUTED_VALUE"""),39565.0)</f>
        <v>39565</v>
      </c>
      <c r="T204" s="26">
        <f>IFERROR(__xludf.DUMMYFUNCTION("""COMPUTED_VALUE"""),0.0)</f>
        <v>0</v>
      </c>
      <c r="U204" s="26">
        <f>IFERROR(__xludf.DUMMYFUNCTION("""COMPUTED_VALUE"""),0.0)</f>
        <v>0</v>
      </c>
      <c r="V204" s="26">
        <f>IFERROR(__xludf.DUMMYFUNCTION("""COMPUTED_VALUE"""),17384.609999999993)</f>
        <v>17384.61</v>
      </c>
      <c r="W204" s="26">
        <f>IFERROR(__xludf.DUMMYFUNCTION("""COMPUTED_VALUE"""),0.0)</f>
        <v>0</v>
      </c>
      <c r="X204" s="26">
        <f>IFERROR(__xludf.DUMMYFUNCTION("""COMPUTED_VALUE"""),0.0)</f>
        <v>0</v>
      </c>
      <c r="Y204" s="26">
        <f>IFERROR(__xludf.DUMMYFUNCTION("""COMPUTED_VALUE"""),0.0)</f>
        <v>0</v>
      </c>
      <c r="Z204" s="26">
        <f>IFERROR(__xludf.DUMMYFUNCTION("""COMPUTED_VALUE"""),0.0)</f>
        <v>0</v>
      </c>
      <c r="AA204" s="26">
        <f>IFERROR(__xludf.DUMMYFUNCTION("""COMPUTED_VALUE"""),0.0)</f>
        <v>0</v>
      </c>
      <c r="AB204" s="26">
        <f>IFERROR(__xludf.DUMMYFUNCTION("""COMPUTED_VALUE"""),0.0)</f>
        <v>0</v>
      </c>
      <c r="AC204" s="26">
        <f>IFERROR(__xludf.DUMMYFUNCTION("""COMPUTED_VALUE"""),0.0)</f>
        <v>0</v>
      </c>
      <c r="AD204" s="26">
        <f>IFERROR(__xludf.DUMMYFUNCTION("""COMPUTED_VALUE"""),0.0)</f>
        <v>0</v>
      </c>
      <c r="AE204" s="26">
        <f>IFERROR(__xludf.DUMMYFUNCTION("""COMPUTED_VALUE"""),0.0)</f>
        <v>0</v>
      </c>
    </row>
    <row r="205">
      <c r="A205" s="26">
        <f>IFERROR(__xludf.DUMMYFUNCTION("""COMPUTED_VALUE"""),0.0)</f>
        <v>0</v>
      </c>
      <c r="B205" s="26">
        <f>IFERROR(__xludf.DUMMYFUNCTION("""COMPUTED_VALUE"""),0.0)</f>
        <v>0</v>
      </c>
      <c r="C205" s="26">
        <f>IFERROR(__xludf.DUMMYFUNCTION("""COMPUTED_VALUE"""),831.0)</f>
        <v>831</v>
      </c>
      <c r="D205" s="26">
        <f>IFERROR(__xludf.DUMMYFUNCTION("""COMPUTED_VALUE"""),0.0)</f>
        <v>0</v>
      </c>
      <c r="E205" s="26">
        <f>IFERROR(__xludf.DUMMYFUNCTION("""COMPUTED_VALUE"""),0.0)</f>
        <v>0</v>
      </c>
      <c r="F205" s="26">
        <f>IFERROR(__xludf.DUMMYFUNCTION("""COMPUTED_VALUE"""),0.0)</f>
        <v>0</v>
      </c>
      <c r="G205" s="26">
        <f>IFERROR(__xludf.DUMMYFUNCTION("""COMPUTED_VALUE"""),0.0)</f>
        <v>0</v>
      </c>
      <c r="H205" s="26">
        <f>IFERROR(__xludf.DUMMYFUNCTION("""COMPUTED_VALUE"""),0.0)</f>
        <v>0</v>
      </c>
      <c r="I205" s="26">
        <f>IFERROR(__xludf.DUMMYFUNCTION("""COMPUTED_VALUE"""),0.0)</f>
        <v>0</v>
      </c>
      <c r="J205" s="26">
        <f>IFERROR(__xludf.DUMMYFUNCTION("""COMPUTED_VALUE"""),0.0)</f>
        <v>0</v>
      </c>
      <c r="K205" s="26">
        <f>IFERROR(__xludf.DUMMYFUNCTION("""COMPUTED_VALUE"""),0.0)</f>
        <v>0</v>
      </c>
      <c r="L205" s="26"/>
      <c r="M205" s="26"/>
      <c r="N205" s="26"/>
      <c r="O205" s="26"/>
      <c r="P205" s="26"/>
      <c r="Q205" s="26"/>
      <c r="R205" s="26">
        <f>IFERROR(__xludf.DUMMYFUNCTION("""COMPUTED_VALUE"""),573390.0)</f>
        <v>573390</v>
      </c>
      <c r="S205" s="26">
        <f>IFERROR(__xludf.DUMMYFUNCTION("""COMPUTED_VALUE"""),170355.0)</f>
        <v>170355</v>
      </c>
      <c r="T205" s="26">
        <f>IFERROR(__xludf.DUMMYFUNCTION("""COMPUTED_VALUE"""),0.0)</f>
        <v>0</v>
      </c>
      <c r="U205" s="26">
        <f>IFERROR(__xludf.DUMMYFUNCTION("""COMPUTED_VALUE"""),0.0)</f>
        <v>0</v>
      </c>
      <c r="V205" s="26">
        <f>IFERROR(__xludf.DUMMYFUNCTION("""COMPUTED_VALUE"""),87462.75)</f>
        <v>87462.75</v>
      </c>
      <c r="W205" s="26">
        <f>IFERROR(__xludf.DUMMYFUNCTION("""COMPUTED_VALUE"""),0.0)</f>
        <v>0</v>
      </c>
      <c r="X205" s="26">
        <f>IFERROR(__xludf.DUMMYFUNCTION("""COMPUTED_VALUE"""),0.0)</f>
        <v>0</v>
      </c>
      <c r="Y205" s="26">
        <f>IFERROR(__xludf.DUMMYFUNCTION("""COMPUTED_VALUE"""),0.0)</f>
        <v>0</v>
      </c>
      <c r="Z205" s="26">
        <f>IFERROR(__xludf.DUMMYFUNCTION("""COMPUTED_VALUE"""),0.0)</f>
        <v>0</v>
      </c>
      <c r="AA205" s="26">
        <f>IFERROR(__xludf.DUMMYFUNCTION("""COMPUTED_VALUE"""),0.0)</f>
        <v>0</v>
      </c>
      <c r="AB205" s="26">
        <f>IFERROR(__xludf.DUMMYFUNCTION("""COMPUTED_VALUE"""),0.0)</f>
        <v>0</v>
      </c>
      <c r="AC205" s="26">
        <f>IFERROR(__xludf.DUMMYFUNCTION("""COMPUTED_VALUE"""),0.0)</f>
        <v>0</v>
      </c>
      <c r="AD205" s="26">
        <f>IFERROR(__xludf.DUMMYFUNCTION("""COMPUTED_VALUE"""),0.0)</f>
        <v>0</v>
      </c>
      <c r="AE205" s="26">
        <f>IFERROR(__xludf.DUMMYFUNCTION("""COMPUTED_VALUE"""),0.0)</f>
        <v>0</v>
      </c>
    </row>
    <row r="206">
      <c r="A206" s="26">
        <f>IFERROR(__xludf.DUMMYFUNCTION("""COMPUTED_VALUE"""),0.0)</f>
        <v>0</v>
      </c>
      <c r="B206" s="26">
        <f>IFERROR(__xludf.DUMMYFUNCTION("""COMPUTED_VALUE"""),0.0)</f>
        <v>0</v>
      </c>
      <c r="C206" s="26">
        <f>IFERROR(__xludf.DUMMYFUNCTION("""COMPUTED_VALUE"""),30.0)</f>
        <v>30</v>
      </c>
      <c r="D206" s="26">
        <f>IFERROR(__xludf.DUMMYFUNCTION("""COMPUTED_VALUE"""),0.0)</f>
        <v>0</v>
      </c>
      <c r="E206" s="26">
        <f>IFERROR(__xludf.DUMMYFUNCTION("""COMPUTED_VALUE"""),0.0)</f>
        <v>0</v>
      </c>
      <c r="F206" s="26">
        <f>IFERROR(__xludf.DUMMYFUNCTION("""COMPUTED_VALUE"""),0.0)</f>
        <v>0</v>
      </c>
      <c r="G206" s="26">
        <f>IFERROR(__xludf.DUMMYFUNCTION("""COMPUTED_VALUE"""),0.0)</f>
        <v>0</v>
      </c>
      <c r="H206" s="26">
        <f>IFERROR(__xludf.DUMMYFUNCTION("""COMPUTED_VALUE"""),0.0)</f>
        <v>0</v>
      </c>
      <c r="I206" s="26">
        <f>IFERROR(__xludf.DUMMYFUNCTION("""COMPUTED_VALUE"""),0.0)</f>
        <v>0</v>
      </c>
      <c r="J206" s="26">
        <f>IFERROR(__xludf.DUMMYFUNCTION("""COMPUTED_VALUE"""),0.0)</f>
        <v>0</v>
      </c>
      <c r="K206" s="26">
        <f>IFERROR(__xludf.DUMMYFUNCTION("""COMPUTED_VALUE"""),0.0)</f>
        <v>0</v>
      </c>
      <c r="L206" s="26"/>
      <c r="M206" s="26"/>
      <c r="N206" s="26"/>
      <c r="O206" s="26"/>
      <c r="P206" s="26"/>
      <c r="Q206" s="26"/>
      <c r="R206" s="26">
        <f>IFERROR(__xludf.DUMMYFUNCTION("""COMPUTED_VALUE"""),20700.0)</f>
        <v>20700</v>
      </c>
      <c r="S206" s="26">
        <f>IFERROR(__xludf.DUMMYFUNCTION("""COMPUTED_VALUE"""),6150.0)</f>
        <v>6150</v>
      </c>
      <c r="T206" s="26">
        <f>IFERROR(__xludf.DUMMYFUNCTION("""COMPUTED_VALUE"""),0.0)</f>
        <v>0</v>
      </c>
      <c r="U206" s="26">
        <f>IFERROR(__xludf.DUMMYFUNCTION("""COMPUTED_VALUE"""),0.0)</f>
        <v>0</v>
      </c>
      <c r="V206" s="26">
        <f>IFERROR(__xludf.DUMMYFUNCTION("""COMPUTED_VALUE"""),3157.5)</f>
        <v>3157.5</v>
      </c>
      <c r="W206" s="26">
        <f>IFERROR(__xludf.DUMMYFUNCTION("""COMPUTED_VALUE"""),0.0)</f>
        <v>0</v>
      </c>
      <c r="X206" s="26">
        <f>IFERROR(__xludf.DUMMYFUNCTION("""COMPUTED_VALUE"""),0.0)</f>
        <v>0</v>
      </c>
      <c r="Y206" s="26">
        <f>IFERROR(__xludf.DUMMYFUNCTION("""COMPUTED_VALUE"""),0.0)</f>
        <v>0</v>
      </c>
      <c r="Z206" s="26">
        <f>IFERROR(__xludf.DUMMYFUNCTION("""COMPUTED_VALUE"""),0.0)</f>
        <v>0</v>
      </c>
      <c r="AA206" s="26">
        <f>IFERROR(__xludf.DUMMYFUNCTION("""COMPUTED_VALUE"""),0.0)</f>
        <v>0</v>
      </c>
      <c r="AB206" s="26">
        <f>IFERROR(__xludf.DUMMYFUNCTION("""COMPUTED_VALUE"""),0.0)</f>
        <v>0</v>
      </c>
      <c r="AC206" s="26">
        <f>IFERROR(__xludf.DUMMYFUNCTION("""COMPUTED_VALUE"""),0.0)</f>
        <v>0</v>
      </c>
      <c r="AD206" s="26">
        <f>IFERROR(__xludf.DUMMYFUNCTION("""COMPUTED_VALUE"""),0.0)</f>
        <v>0</v>
      </c>
      <c r="AE206" s="26">
        <f>IFERROR(__xludf.DUMMYFUNCTION("""COMPUTED_VALUE"""),0.0)</f>
        <v>0</v>
      </c>
    </row>
    <row r="207">
      <c r="A207" s="26">
        <f>IFERROR(__xludf.DUMMYFUNCTION("""COMPUTED_VALUE"""),0.0)</f>
        <v>0</v>
      </c>
      <c r="B207" s="26">
        <f>IFERROR(__xludf.DUMMYFUNCTION("""COMPUTED_VALUE"""),0.0)</f>
        <v>0</v>
      </c>
      <c r="C207" s="26">
        <f>IFERROR(__xludf.DUMMYFUNCTION("""COMPUTED_VALUE"""),213.0)</f>
        <v>213</v>
      </c>
      <c r="D207" s="26">
        <f>IFERROR(__xludf.DUMMYFUNCTION("""COMPUTED_VALUE"""),0.0)</f>
        <v>0</v>
      </c>
      <c r="E207" s="26">
        <f>IFERROR(__xludf.DUMMYFUNCTION("""COMPUTED_VALUE"""),0.0)</f>
        <v>0</v>
      </c>
      <c r="F207" s="26">
        <f>IFERROR(__xludf.DUMMYFUNCTION("""COMPUTED_VALUE"""),0.0)</f>
        <v>0</v>
      </c>
      <c r="G207" s="26">
        <f>IFERROR(__xludf.DUMMYFUNCTION("""COMPUTED_VALUE"""),0.0)</f>
        <v>0</v>
      </c>
      <c r="H207" s="26">
        <f>IFERROR(__xludf.DUMMYFUNCTION("""COMPUTED_VALUE"""),0.0)</f>
        <v>0</v>
      </c>
      <c r="I207" s="26">
        <f>IFERROR(__xludf.DUMMYFUNCTION("""COMPUTED_VALUE"""),0.0)</f>
        <v>0</v>
      </c>
      <c r="J207" s="26">
        <f>IFERROR(__xludf.DUMMYFUNCTION("""COMPUTED_VALUE"""),0.0)</f>
        <v>0</v>
      </c>
      <c r="K207" s="26">
        <f>IFERROR(__xludf.DUMMYFUNCTION("""COMPUTED_VALUE"""),0.0)</f>
        <v>0</v>
      </c>
      <c r="L207" s="26"/>
      <c r="M207" s="26"/>
      <c r="N207" s="26"/>
      <c r="O207" s="26"/>
      <c r="P207" s="26"/>
      <c r="Q207" s="26"/>
      <c r="R207" s="26">
        <f>IFERROR(__xludf.DUMMYFUNCTION("""COMPUTED_VALUE"""),146970.0)</f>
        <v>146970</v>
      </c>
      <c r="S207" s="26">
        <f>IFERROR(__xludf.DUMMYFUNCTION("""COMPUTED_VALUE"""),43665.0)</f>
        <v>43665</v>
      </c>
      <c r="T207" s="26">
        <f>IFERROR(__xludf.DUMMYFUNCTION("""COMPUTED_VALUE"""),0.0)</f>
        <v>0</v>
      </c>
      <c r="U207" s="26">
        <f>IFERROR(__xludf.DUMMYFUNCTION("""COMPUTED_VALUE"""),0.0)</f>
        <v>0</v>
      </c>
      <c r="V207" s="26">
        <f>IFERROR(__xludf.DUMMYFUNCTION("""COMPUTED_VALUE"""),22418.25)</f>
        <v>22418.25</v>
      </c>
      <c r="W207" s="26">
        <f>IFERROR(__xludf.DUMMYFUNCTION("""COMPUTED_VALUE"""),0.0)</f>
        <v>0</v>
      </c>
      <c r="X207" s="26">
        <f>IFERROR(__xludf.DUMMYFUNCTION("""COMPUTED_VALUE"""),0.0)</f>
        <v>0</v>
      </c>
      <c r="Y207" s="26">
        <f>IFERROR(__xludf.DUMMYFUNCTION("""COMPUTED_VALUE"""),0.0)</f>
        <v>0</v>
      </c>
      <c r="Z207" s="26">
        <f>IFERROR(__xludf.DUMMYFUNCTION("""COMPUTED_VALUE"""),0.0)</f>
        <v>0</v>
      </c>
      <c r="AA207" s="26">
        <f>IFERROR(__xludf.DUMMYFUNCTION("""COMPUTED_VALUE"""),0.0)</f>
        <v>0</v>
      </c>
      <c r="AB207" s="26">
        <f>IFERROR(__xludf.DUMMYFUNCTION("""COMPUTED_VALUE"""),0.0)</f>
        <v>0</v>
      </c>
      <c r="AC207" s="26">
        <f>IFERROR(__xludf.DUMMYFUNCTION("""COMPUTED_VALUE"""),0.0)</f>
        <v>0</v>
      </c>
      <c r="AD207" s="26">
        <f>IFERROR(__xludf.DUMMYFUNCTION("""COMPUTED_VALUE"""),0.0)</f>
        <v>0</v>
      </c>
      <c r="AE207" s="26">
        <f>IFERROR(__xludf.DUMMYFUNCTION("""COMPUTED_VALUE"""),0.0)</f>
        <v>0</v>
      </c>
    </row>
    <row r="208">
      <c r="A208" s="26">
        <f>IFERROR(__xludf.DUMMYFUNCTION("""COMPUTED_VALUE"""),0.0)</f>
        <v>0</v>
      </c>
      <c r="B208" s="26">
        <f>IFERROR(__xludf.DUMMYFUNCTION("""COMPUTED_VALUE"""),0.0)</f>
        <v>0</v>
      </c>
      <c r="C208" s="26">
        <f>IFERROR(__xludf.DUMMYFUNCTION("""COMPUTED_VALUE"""),0.0)</f>
        <v>0</v>
      </c>
      <c r="D208" s="26">
        <f>IFERROR(__xludf.DUMMYFUNCTION("""COMPUTED_VALUE"""),0.0)</f>
        <v>0</v>
      </c>
      <c r="E208" s="26">
        <f>IFERROR(__xludf.DUMMYFUNCTION("""COMPUTED_VALUE"""),0.0)</f>
        <v>0</v>
      </c>
      <c r="F208" s="26">
        <f>IFERROR(__xludf.DUMMYFUNCTION("""COMPUTED_VALUE"""),0.0)</f>
        <v>0</v>
      </c>
      <c r="G208" s="26">
        <f>IFERROR(__xludf.DUMMYFUNCTION("""COMPUTED_VALUE"""),0.0)</f>
        <v>0</v>
      </c>
      <c r="H208" s="26">
        <f>IFERROR(__xludf.DUMMYFUNCTION("""COMPUTED_VALUE"""),0.0)</f>
        <v>0</v>
      </c>
      <c r="I208" s="26">
        <f>IFERROR(__xludf.DUMMYFUNCTION("""COMPUTED_VALUE"""),0.0)</f>
        <v>0</v>
      </c>
      <c r="J208" s="26">
        <f>IFERROR(__xludf.DUMMYFUNCTION("""COMPUTED_VALUE"""),0.0)</f>
        <v>0</v>
      </c>
      <c r="K208" s="26">
        <f>IFERROR(__xludf.DUMMYFUNCTION("""COMPUTED_VALUE"""),0.0)</f>
        <v>0</v>
      </c>
      <c r="L208" s="26"/>
      <c r="M208" s="26"/>
      <c r="N208" s="26"/>
      <c r="O208" s="26"/>
      <c r="P208" s="26"/>
      <c r="Q208" s="26"/>
      <c r="R208" s="26">
        <f>IFERROR(__xludf.DUMMYFUNCTION("""COMPUTED_VALUE"""),0.0)</f>
        <v>0</v>
      </c>
      <c r="S208" s="26">
        <f>IFERROR(__xludf.DUMMYFUNCTION("""COMPUTED_VALUE"""),0.0)</f>
        <v>0</v>
      </c>
      <c r="T208" s="26">
        <f>IFERROR(__xludf.DUMMYFUNCTION("""COMPUTED_VALUE"""),0.0)</f>
        <v>0</v>
      </c>
      <c r="U208" s="26">
        <f>IFERROR(__xludf.DUMMYFUNCTION("""COMPUTED_VALUE"""),0.0)</f>
        <v>0</v>
      </c>
      <c r="V208" s="26">
        <f>IFERROR(__xludf.DUMMYFUNCTION("""COMPUTED_VALUE"""),0.0)</f>
        <v>0</v>
      </c>
      <c r="W208" s="26">
        <f>IFERROR(__xludf.DUMMYFUNCTION("""COMPUTED_VALUE"""),0.0)</f>
        <v>0</v>
      </c>
      <c r="X208" s="26">
        <f>IFERROR(__xludf.DUMMYFUNCTION("""COMPUTED_VALUE"""),0.0)</f>
        <v>0</v>
      </c>
      <c r="Y208" s="26">
        <f>IFERROR(__xludf.DUMMYFUNCTION("""COMPUTED_VALUE"""),0.0)</f>
        <v>0</v>
      </c>
      <c r="Z208" s="26">
        <f>IFERROR(__xludf.DUMMYFUNCTION("""COMPUTED_VALUE"""),0.0)</f>
        <v>0</v>
      </c>
      <c r="AA208" s="26">
        <f>IFERROR(__xludf.DUMMYFUNCTION("""COMPUTED_VALUE"""),0.0)</f>
        <v>0</v>
      </c>
      <c r="AB208" s="26">
        <f>IFERROR(__xludf.DUMMYFUNCTION("""COMPUTED_VALUE"""),0.0)</f>
        <v>0</v>
      </c>
      <c r="AC208" s="26">
        <f>IFERROR(__xludf.DUMMYFUNCTION("""COMPUTED_VALUE"""),0.0)</f>
        <v>0</v>
      </c>
      <c r="AD208" s="26">
        <f>IFERROR(__xludf.DUMMYFUNCTION("""COMPUTED_VALUE"""),0.0)</f>
        <v>0</v>
      </c>
      <c r="AE208" s="26">
        <f>IFERROR(__xludf.DUMMYFUNCTION("""COMPUTED_VALUE"""),0.0)</f>
        <v>0</v>
      </c>
    </row>
    <row r="209">
      <c r="A209" s="26">
        <f>IFERROR(__xludf.DUMMYFUNCTION("""COMPUTED_VALUE"""),0.0)</f>
        <v>0</v>
      </c>
      <c r="B209" s="26">
        <f>IFERROR(__xludf.DUMMYFUNCTION("""COMPUTED_VALUE"""),0.0)</f>
        <v>0</v>
      </c>
      <c r="C209" s="26">
        <f>IFERROR(__xludf.DUMMYFUNCTION("""COMPUTED_VALUE"""),296.0)</f>
        <v>296</v>
      </c>
      <c r="D209" s="26">
        <f>IFERROR(__xludf.DUMMYFUNCTION("""COMPUTED_VALUE"""),0.0)</f>
        <v>0</v>
      </c>
      <c r="E209" s="26">
        <f>IFERROR(__xludf.DUMMYFUNCTION("""COMPUTED_VALUE"""),0.0)</f>
        <v>0</v>
      </c>
      <c r="F209" s="26">
        <f>IFERROR(__xludf.DUMMYFUNCTION("""COMPUTED_VALUE"""),0.0)</f>
        <v>0</v>
      </c>
      <c r="G209" s="26">
        <f>IFERROR(__xludf.DUMMYFUNCTION("""COMPUTED_VALUE"""),0.0)</f>
        <v>0</v>
      </c>
      <c r="H209" s="26">
        <f>IFERROR(__xludf.DUMMYFUNCTION("""COMPUTED_VALUE"""),0.0)</f>
        <v>0</v>
      </c>
      <c r="I209" s="26">
        <f>IFERROR(__xludf.DUMMYFUNCTION("""COMPUTED_VALUE"""),0.0)</f>
        <v>0</v>
      </c>
      <c r="J209" s="26">
        <f>IFERROR(__xludf.DUMMYFUNCTION("""COMPUTED_VALUE"""),0.0)</f>
        <v>0</v>
      </c>
      <c r="K209" s="26">
        <f>IFERROR(__xludf.DUMMYFUNCTION("""COMPUTED_VALUE"""),0.0)</f>
        <v>0</v>
      </c>
      <c r="L209" s="26"/>
      <c r="M209" s="26"/>
      <c r="N209" s="26"/>
      <c r="O209" s="26"/>
      <c r="P209" s="26"/>
      <c r="Q209" s="26"/>
      <c r="R209" s="26">
        <f>IFERROR(__xludf.DUMMYFUNCTION("""COMPUTED_VALUE"""),204240.0)</f>
        <v>204240</v>
      </c>
      <c r="S209" s="26">
        <f>IFERROR(__xludf.DUMMYFUNCTION("""COMPUTED_VALUE"""),60680.0)</f>
        <v>60680</v>
      </c>
      <c r="T209" s="26">
        <f>IFERROR(__xludf.DUMMYFUNCTION("""COMPUTED_VALUE"""),0.0)</f>
        <v>0</v>
      </c>
      <c r="U209" s="26">
        <f>IFERROR(__xludf.DUMMYFUNCTION("""COMPUTED_VALUE"""),0.0)</f>
        <v>0</v>
      </c>
      <c r="V209" s="26">
        <f>IFERROR(__xludf.DUMMYFUNCTION("""COMPUTED_VALUE"""),31154.0)</f>
        <v>31154</v>
      </c>
      <c r="W209" s="26">
        <f>IFERROR(__xludf.DUMMYFUNCTION("""COMPUTED_VALUE"""),0.0)</f>
        <v>0</v>
      </c>
      <c r="X209" s="26">
        <f>IFERROR(__xludf.DUMMYFUNCTION("""COMPUTED_VALUE"""),0.0)</f>
        <v>0</v>
      </c>
      <c r="Y209" s="26">
        <f>IFERROR(__xludf.DUMMYFUNCTION("""COMPUTED_VALUE"""),0.0)</f>
        <v>0</v>
      </c>
      <c r="Z209" s="26">
        <f>IFERROR(__xludf.DUMMYFUNCTION("""COMPUTED_VALUE"""),0.0)</f>
        <v>0</v>
      </c>
      <c r="AA209" s="26">
        <f>IFERROR(__xludf.DUMMYFUNCTION("""COMPUTED_VALUE"""),0.0)</f>
        <v>0</v>
      </c>
      <c r="AB209" s="26">
        <f>IFERROR(__xludf.DUMMYFUNCTION("""COMPUTED_VALUE"""),0.0)</f>
        <v>0</v>
      </c>
      <c r="AC209" s="26">
        <f>IFERROR(__xludf.DUMMYFUNCTION("""COMPUTED_VALUE"""),0.0)</f>
        <v>0</v>
      </c>
      <c r="AD209" s="26">
        <f>IFERROR(__xludf.DUMMYFUNCTION("""COMPUTED_VALUE"""),0.0)</f>
        <v>0</v>
      </c>
      <c r="AE209" s="26">
        <f>IFERROR(__xludf.DUMMYFUNCTION("""COMPUTED_VALUE"""),0.0)</f>
        <v>0</v>
      </c>
    </row>
    <row r="210">
      <c r="A210" s="26">
        <f>IFERROR(__xludf.DUMMYFUNCTION("""COMPUTED_VALUE"""),0.0)</f>
        <v>0</v>
      </c>
      <c r="B210" s="26">
        <f>IFERROR(__xludf.DUMMYFUNCTION("""COMPUTED_VALUE"""),0.0)</f>
        <v>0</v>
      </c>
      <c r="C210" s="26">
        <f>IFERROR(__xludf.DUMMYFUNCTION("""COMPUTED_VALUE"""),0.0)</f>
        <v>0</v>
      </c>
      <c r="D210" s="26">
        <f>IFERROR(__xludf.DUMMYFUNCTION("""COMPUTED_VALUE"""),0.0)</f>
        <v>0</v>
      </c>
      <c r="E210" s="26">
        <f>IFERROR(__xludf.DUMMYFUNCTION("""COMPUTED_VALUE"""),117.0)</f>
        <v>117</v>
      </c>
      <c r="F210" s="26">
        <f>IFERROR(__xludf.DUMMYFUNCTION("""COMPUTED_VALUE"""),0.0)</f>
        <v>0</v>
      </c>
      <c r="G210" s="26">
        <f>IFERROR(__xludf.DUMMYFUNCTION("""COMPUTED_VALUE"""),0.0)</f>
        <v>0</v>
      </c>
      <c r="H210" s="26">
        <f>IFERROR(__xludf.DUMMYFUNCTION("""COMPUTED_VALUE"""),0.0)</f>
        <v>0</v>
      </c>
      <c r="I210" s="26">
        <f>IFERROR(__xludf.DUMMYFUNCTION("""COMPUTED_VALUE"""),0.0)</f>
        <v>0</v>
      </c>
      <c r="J210" s="26">
        <f>IFERROR(__xludf.DUMMYFUNCTION("""COMPUTED_VALUE"""),0.0)</f>
        <v>0</v>
      </c>
      <c r="K210" s="26">
        <f>IFERROR(__xludf.DUMMYFUNCTION("""COMPUTED_VALUE"""),0.0)</f>
        <v>0</v>
      </c>
      <c r="L210" s="26"/>
      <c r="M210" s="26"/>
      <c r="N210" s="26"/>
      <c r="O210" s="26"/>
      <c r="P210" s="26"/>
      <c r="Q210" s="26"/>
      <c r="R210" s="26">
        <f>IFERROR(__xludf.DUMMYFUNCTION("""COMPUTED_VALUE"""),53843.39999999991)</f>
        <v>53843.4</v>
      </c>
      <c r="S210" s="26">
        <f>IFERROR(__xludf.DUMMYFUNCTION("""COMPUTED_VALUE"""),45630.0)</f>
        <v>45630</v>
      </c>
      <c r="T210" s="26">
        <f>IFERROR(__xludf.DUMMYFUNCTION("""COMPUTED_VALUE"""),0.0)</f>
        <v>0</v>
      </c>
      <c r="U210" s="26">
        <f>IFERROR(__xludf.DUMMYFUNCTION("""COMPUTED_VALUE"""),0.0)</f>
        <v>0</v>
      </c>
      <c r="V210" s="26">
        <f>IFERROR(__xludf.DUMMYFUNCTION("""COMPUTED_VALUE"""),8213.399999999985)</f>
        <v>8213.4</v>
      </c>
      <c r="W210" s="26">
        <f>IFERROR(__xludf.DUMMYFUNCTION("""COMPUTED_VALUE"""),53843.39999999991)</f>
        <v>53843.4</v>
      </c>
      <c r="X210" s="26">
        <f>IFERROR(__xludf.DUMMYFUNCTION("""COMPUTED_VALUE"""),53843.39999999991)</f>
        <v>53843.4</v>
      </c>
      <c r="Y210" s="26">
        <f>IFERROR(__xludf.DUMMYFUNCTION("""COMPUTED_VALUE"""),0.0)</f>
        <v>0</v>
      </c>
      <c r="Z210" s="26">
        <f>IFERROR(__xludf.DUMMYFUNCTION("""COMPUTED_VALUE"""),0.0)</f>
        <v>0</v>
      </c>
      <c r="AA210" s="26">
        <f>IFERROR(__xludf.DUMMYFUNCTION("""COMPUTED_VALUE"""),0.0)</f>
        <v>0</v>
      </c>
      <c r="AB210" s="26">
        <f>IFERROR(__xludf.DUMMYFUNCTION("""COMPUTED_VALUE"""),0.0)</f>
        <v>0</v>
      </c>
      <c r="AC210" s="26">
        <f>IFERROR(__xludf.DUMMYFUNCTION("""COMPUTED_VALUE"""),0.0)</f>
        <v>0</v>
      </c>
      <c r="AD210" s="26">
        <f>IFERROR(__xludf.DUMMYFUNCTION("""COMPUTED_VALUE"""),53841.0)</f>
        <v>53841</v>
      </c>
      <c r="AE210" s="26">
        <f>IFERROR(__xludf.DUMMYFUNCTION("""COMPUTED_VALUE"""),2.4)</f>
        <v>2.4</v>
      </c>
    </row>
    <row r="211">
      <c r="A211" s="26">
        <f>IFERROR(__xludf.DUMMYFUNCTION("""COMPUTED_VALUE"""),0.0)</f>
        <v>0</v>
      </c>
      <c r="B211" s="26">
        <f>IFERROR(__xludf.DUMMYFUNCTION("""COMPUTED_VALUE"""),0.0)</f>
        <v>0</v>
      </c>
      <c r="C211" s="26">
        <f>IFERROR(__xludf.DUMMYFUNCTION("""COMPUTED_VALUE"""),0.0)</f>
        <v>0</v>
      </c>
      <c r="D211" s="26">
        <f>IFERROR(__xludf.DUMMYFUNCTION("""COMPUTED_VALUE"""),0.0)</f>
        <v>0</v>
      </c>
      <c r="E211" s="26">
        <f>IFERROR(__xludf.DUMMYFUNCTION("""COMPUTED_VALUE"""),931.0)</f>
        <v>931</v>
      </c>
      <c r="F211" s="26">
        <f>IFERROR(__xludf.DUMMYFUNCTION("""COMPUTED_VALUE"""),0.0)</f>
        <v>0</v>
      </c>
      <c r="G211" s="26">
        <f>IFERROR(__xludf.DUMMYFUNCTION("""COMPUTED_VALUE"""),0.0)</f>
        <v>0</v>
      </c>
      <c r="H211" s="26">
        <f>IFERROR(__xludf.DUMMYFUNCTION("""COMPUTED_VALUE"""),0.0)</f>
        <v>0</v>
      </c>
      <c r="I211" s="26">
        <f>IFERROR(__xludf.DUMMYFUNCTION("""COMPUTED_VALUE"""),0.0)</f>
        <v>0</v>
      </c>
      <c r="J211" s="26">
        <f>IFERROR(__xludf.DUMMYFUNCTION("""COMPUTED_VALUE"""),0.0)</f>
        <v>0</v>
      </c>
      <c r="K211" s="26">
        <f>IFERROR(__xludf.DUMMYFUNCTION("""COMPUTED_VALUE"""),0.0)</f>
        <v>0</v>
      </c>
      <c r="L211" s="26"/>
      <c r="M211" s="26"/>
      <c r="N211" s="26"/>
      <c r="O211" s="26"/>
      <c r="P211" s="26"/>
      <c r="Q211" s="26"/>
      <c r="R211" s="26">
        <f>IFERROR(__xludf.DUMMYFUNCTION("""COMPUTED_VALUE"""),428446.19999999914)</f>
        <v>428446.2</v>
      </c>
      <c r="S211" s="26">
        <f>IFERROR(__xludf.DUMMYFUNCTION("""COMPUTED_VALUE"""),363090.0)</f>
        <v>363090</v>
      </c>
      <c r="T211" s="26">
        <f>IFERROR(__xludf.DUMMYFUNCTION("""COMPUTED_VALUE"""),0.0)</f>
        <v>0</v>
      </c>
      <c r="U211" s="26">
        <f>IFERROR(__xludf.DUMMYFUNCTION("""COMPUTED_VALUE"""),0.0)</f>
        <v>0</v>
      </c>
      <c r="V211" s="26">
        <f>IFERROR(__xludf.DUMMYFUNCTION("""COMPUTED_VALUE"""),65356.200000000026)</f>
        <v>65356.2</v>
      </c>
      <c r="W211" s="26">
        <f>IFERROR(__xludf.DUMMYFUNCTION("""COMPUTED_VALUE"""),428446.19999999914)</f>
        <v>428446.2</v>
      </c>
      <c r="X211" s="26">
        <f>IFERROR(__xludf.DUMMYFUNCTION("""COMPUTED_VALUE"""),428446.19999999914)</f>
        <v>428446.2</v>
      </c>
      <c r="Y211" s="26">
        <f>IFERROR(__xludf.DUMMYFUNCTION("""COMPUTED_VALUE"""),0.0)</f>
        <v>0</v>
      </c>
      <c r="Z211" s="26">
        <f>IFERROR(__xludf.DUMMYFUNCTION("""COMPUTED_VALUE"""),0.0)</f>
        <v>0</v>
      </c>
      <c r="AA211" s="26">
        <f>IFERROR(__xludf.DUMMYFUNCTION("""COMPUTED_VALUE"""),0.0)</f>
        <v>0</v>
      </c>
      <c r="AB211" s="26">
        <f>IFERROR(__xludf.DUMMYFUNCTION("""COMPUTED_VALUE"""),0.0)</f>
        <v>0</v>
      </c>
      <c r="AC211" s="26">
        <f>IFERROR(__xludf.DUMMYFUNCTION("""COMPUTED_VALUE"""),0.0)</f>
        <v>0</v>
      </c>
      <c r="AD211" s="26">
        <f>IFERROR(__xludf.DUMMYFUNCTION("""COMPUTED_VALUE"""),441070.0)</f>
        <v>441070</v>
      </c>
      <c r="AE211" s="26">
        <f>IFERROR(__xludf.DUMMYFUNCTION("""COMPUTED_VALUE"""),0.0)</f>
        <v>0</v>
      </c>
    </row>
    <row r="212">
      <c r="A212" s="26">
        <f>IFERROR(__xludf.DUMMYFUNCTION("""COMPUTED_VALUE"""),0.0)</f>
        <v>0</v>
      </c>
      <c r="B212" s="26">
        <f>IFERROR(__xludf.DUMMYFUNCTION("""COMPUTED_VALUE"""),0.0)</f>
        <v>0</v>
      </c>
      <c r="C212" s="26">
        <f>IFERROR(__xludf.DUMMYFUNCTION("""COMPUTED_VALUE"""),2.0)</f>
        <v>2</v>
      </c>
      <c r="D212" s="26">
        <f>IFERROR(__xludf.DUMMYFUNCTION("""COMPUTED_VALUE"""),0.0)</f>
        <v>0</v>
      </c>
      <c r="E212" s="26">
        <f>IFERROR(__xludf.DUMMYFUNCTION("""COMPUTED_VALUE"""),0.0)</f>
        <v>0</v>
      </c>
      <c r="F212" s="26">
        <f>IFERROR(__xludf.DUMMYFUNCTION("""COMPUTED_VALUE"""),0.0)</f>
        <v>0</v>
      </c>
      <c r="G212" s="26">
        <f>IFERROR(__xludf.DUMMYFUNCTION("""COMPUTED_VALUE"""),0.0)</f>
        <v>0</v>
      </c>
      <c r="H212" s="26">
        <f>IFERROR(__xludf.DUMMYFUNCTION("""COMPUTED_VALUE"""),0.0)</f>
        <v>0</v>
      </c>
      <c r="I212" s="26">
        <f>IFERROR(__xludf.DUMMYFUNCTION("""COMPUTED_VALUE"""),0.0)</f>
        <v>0</v>
      </c>
      <c r="J212" s="26">
        <f>IFERROR(__xludf.DUMMYFUNCTION("""COMPUTED_VALUE"""),0.0)</f>
        <v>0</v>
      </c>
      <c r="K212" s="26">
        <f>IFERROR(__xludf.DUMMYFUNCTION("""COMPUTED_VALUE"""),0.0)</f>
        <v>0</v>
      </c>
      <c r="L212" s="26"/>
      <c r="M212" s="26"/>
      <c r="N212" s="26"/>
      <c r="O212" s="26"/>
      <c r="P212" s="26"/>
      <c r="Q212" s="26"/>
      <c r="R212" s="26">
        <f>IFERROR(__xludf.DUMMYFUNCTION("""COMPUTED_VALUE"""),1380.0)</f>
        <v>1380</v>
      </c>
      <c r="S212" s="26">
        <f>IFERROR(__xludf.DUMMYFUNCTION("""COMPUTED_VALUE"""),580.0)</f>
        <v>580</v>
      </c>
      <c r="T212" s="26">
        <f>IFERROR(__xludf.DUMMYFUNCTION("""COMPUTED_VALUE"""),105.26)</f>
        <v>105.26</v>
      </c>
      <c r="U212" s="26">
        <f>IFERROR(__xludf.DUMMYFUNCTION("""COMPUTED_VALUE"""),105.26)</f>
        <v>105.26</v>
      </c>
      <c r="V212" s="26">
        <f>IFERROR(__xludf.DUMMYFUNCTION("""COMPUTED_VALUE"""),0.0)</f>
        <v>0</v>
      </c>
      <c r="W212" s="26">
        <f>IFERROR(__xludf.DUMMYFUNCTION("""COMPUTED_VALUE"""),0.0)</f>
        <v>0</v>
      </c>
      <c r="X212" s="26">
        <f>IFERROR(__xludf.DUMMYFUNCTION("""COMPUTED_VALUE"""),0.0)</f>
        <v>0</v>
      </c>
      <c r="Y212" s="26">
        <f>IFERROR(__xludf.DUMMYFUNCTION("""COMPUTED_VALUE"""),0.0)</f>
        <v>0</v>
      </c>
      <c r="Z212" s="26">
        <f>IFERROR(__xludf.DUMMYFUNCTION("""COMPUTED_VALUE"""),0.0)</f>
        <v>0</v>
      </c>
      <c r="AA212" s="26">
        <f>IFERROR(__xludf.DUMMYFUNCTION("""COMPUTED_VALUE"""),0.0)</f>
        <v>0</v>
      </c>
      <c r="AB212" s="26">
        <f>IFERROR(__xludf.DUMMYFUNCTION("""COMPUTED_VALUE"""),0.0)</f>
        <v>0</v>
      </c>
      <c r="AC212" s="26">
        <f>IFERROR(__xludf.DUMMYFUNCTION("""COMPUTED_VALUE"""),0.0)</f>
        <v>0</v>
      </c>
      <c r="AD212" s="26">
        <f>IFERROR(__xludf.DUMMYFUNCTION("""COMPUTED_VALUE"""),0.0)</f>
        <v>0</v>
      </c>
      <c r="AE212" s="26">
        <f>IFERROR(__xludf.DUMMYFUNCTION("""COMPUTED_VALUE"""),0.0)</f>
        <v>0</v>
      </c>
    </row>
    <row r="213">
      <c r="A213" s="26">
        <f>IFERROR(__xludf.DUMMYFUNCTION("""COMPUTED_VALUE"""),0.0)</f>
        <v>0</v>
      </c>
      <c r="B213" s="26">
        <f>IFERROR(__xludf.DUMMYFUNCTION("""COMPUTED_VALUE"""),0.0)</f>
        <v>0</v>
      </c>
      <c r="C213" s="26">
        <f>IFERROR(__xludf.DUMMYFUNCTION("""COMPUTED_VALUE"""),1.0)</f>
        <v>1</v>
      </c>
      <c r="D213" s="26">
        <f>IFERROR(__xludf.DUMMYFUNCTION("""COMPUTED_VALUE"""),0.0)</f>
        <v>0</v>
      </c>
      <c r="E213" s="26">
        <f>IFERROR(__xludf.DUMMYFUNCTION("""COMPUTED_VALUE"""),0.0)</f>
        <v>0</v>
      </c>
      <c r="F213" s="26">
        <f>IFERROR(__xludf.DUMMYFUNCTION("""COMPUTED_VALUE"""),0.0)</f>
        <v>0</v>
      </c>
      <c r="G213" s="26">
        <f>IFERROR(__xludf.DUMMYFUNCTION("""COMPUTED_VALUE"""),0.0)</f>
        <v>0</v>
      </c>
      <c r="H213" s="26">
        <f>IFERROR(__xludf.DUMMYFUNCTION("""COMPUTED_VALUE"""),0.0)</f>
        <v>0</v>
      </c>
      <c r="I213" s="26">
        <f>IFERROR(__xludf.DUMMYFUNCTION("""COMPUTED_VALUE"""),0.0)</f>
        <v>0</v>
      </c>
      <c r="J213" s="26">
        <f>IFERROR(__xludf.DUMMYFUNCTION("""COMPUTED_VALUE"""),0.0)</f>
        <v>0</v>
      </c>
      <c r="K213" s="26">
        <f>IFERROR(__xludf.DUMMYFUNCTION("""COMPUTED_VALUE"""),0.0)</f>
        <v>0</v>
      </c>
      <c r="L213" s="26"/>
      <c r="M213" s="26"/>
      <c r="N213" s="26"/>
      <c r="O213" s="26"/>
      <c r="P213" s="26"/>
      <c r="Q213" s="26"/>
      <c r="R213" s="26">
        <f>IFERROR(__xludf.DUMMYFUNCTION("""COMPUTED_VALUE"""),442.0)</f>
        <v>442</v>
      </c>
      <c r="S213" s="26">
        <f>IFERROR(__xludf.DUMMYFUNCTION("""COMPUTED_VALUE"""),205.0)</f>
        <v>205</v>
      </c>
      <c r="T213" s="26">
        <f>IFERROR(__xludf.DUMMYFUNCTION("""COMPUTED_VALUE"""),0.0)</f>
        <v>0</v>
      </c>
      <c r="U213" s="26">
        <f>IFERROR(__xludf.DUMMYFUNCTION("""COMPUTED_VALUE"""),0.0)</f>
        <v>0</v>
      </c>
      <c r="V213" s="26">
        <f>IFERROR(__xludf.DUMMYFUNCTION("""COMPUTED_VALUE"""),67.42)</f>
        <v>67.42</v>
      </c>
      <c r="W213" s="26">
        <f>IFERROR(__xludf.DUMMYFUNCTION("""COMPUTED_VALUE"""),289.38)</f>
        <v>289.38</v>
      </c>
      <c r="X213" s="26">
        <f>IFERROR(__xludf.DUMMYFUNCTION("""COMPUTED_VALUE"""),289.38)</f>
        <v>289.38</v>
      </c>
      <c r="Y213" s="26">
        <f>IFERROR(__xludf.DUMMYFUNCTION("""COMPUTED_VALUE"""),0.0)</f>
        <v>0</v>
      </c>
      <c r="Z213" s="26">
        <f>IFERROR(__xludf.DUMMYFUNCTION("""COMPUTED_VALUE"""),152.62)</f>
        <v>152.62</v>
      </c>
      <c r="AA213" s="26">
        <f>IFERROR(__xludf.DUMMYFUNCTION("""COMPUTED_VALUE"""),16.96)</f>
        <v>16.96</v>
      </c>
      <c r="AB213" s="26">
        <f>IFERROR(__xludf.DUMMYFUNCTION("""COMPUTED_VALUE"""),0.0)</f>
        <v>0</v>
      </c>
      <c r="AC213" s="26">
        <f>IFERROR(__xludf.DUMMYFUNCTION("""COMPUTED_VALUE"""),0.0)</f>
        <v>0</v>
      </c>
      <c r="AD213" s="26">
        <f>IFERROR(__xludf.DUMMYFUNCTION("""COMPUTED_VALUE"""),0.0)</f>
        <v>0</v>
      </c>
      <c r="AE213" s="26">
        <f>IFERROR(__xludf.DUMMYFUNCTION("""COMPUTED_VALUE"""),289.38)</f>
        <v>289.38</v>
      </c>
    </row>
    <row r="214">
      <c r="A214" s="26">
        <f>IFERROR(__xludf.DUMMYFUNCTION("""COMPUTED_VALUE"""),1707.0)</f>
        <v>1707</v>
      </c>
      <c r="B214" s="26">
        <f>IFERROR(__xludf.DUMMYFUNCTION("""COMPUTED_VALUE"""),0.0)</f>
        <v>0</v>
      </c>
      <c r="C214" s="26">
        <f>IFERROR(__xludf.DUMMYFUNCTION("""COMPUTED_VALUE"""),0.0)</f>
        <v>0</v>
      </c>
      <c r="D214" s="26">
        <f>IFERROR(__xludf.DUMMYFUNCTION("""COMPUTED_VALUE"""),0.0)</f>
        <v>0</v>
      </c>
      <c r="E214" s="26">
        <f>IFERROR(__xludf.DUMMYFUNCTION("""COMPUTED_VALUE"""),0.0)</f>
        <v>0</v>
      </c>
      <c r="F214" s="26">
        <f>IFERROR(__xludf.DUMMYFUNCTION("""COMPUTED_VALUE"""),0.0)</f>
        <v>0</v>
      </c>
      <c r="G214" s="26">
        <f>IFERROR(__xludf.DUMMYFUNCTION("""COMPUTED_VALUE"""),0.0)</f>
        <v>0</v>
      </c>
      <c r="H214" s="26">
        <f>IFERROR(__xludf.DUMMYFUNCTION("""COMPUTED_VALUE"""),0.0)</f>
        <v>0</v>
      </c>
      <c r="I214" s="26">
        <f>IFERROR(__xludf.DUMMYFUNCTION("""COMPUTED_VALUE"""),0.0)</f>
        <v>0</v>
      </c>
      <c r="J214" s="26">
        <f>IFERROR(__xludf.DUMMYFUNCTION("""COMPUTED_VALUE"""),0.0)</f>
        <v>0</v>
      </c>
      <c r="K214" s="26">
        <f>IFERROR(__xludf.DUMMYFUNCTION("""COMPUTED_VALUE"""),0.0)</f>
        <v>0</v>
      </c>
      <c r="L214" s="26"/>
      <c r="M214" s="26"/>
      <c r="N214" s="26"/>
      <c r="O214" s="26"/>
      <c r="P214" s="26"/>
      <c r="Q214" s="26"/>
      <c r="R214" s="26">
        <f>IFERROR(__xludf.DUMMYFUNCTION("""COMPUTED_VALUE"""),665730.0)</f>
        <v>665730</v>
      </c>
      <c r="S214" s="26">
        <f>IFERROR(__xludf.DUMMYFUNCTION("""COMPUTED_VALUE"""),349935.0)</f>
        <v>349935</v>
      </c>
      <c r="T214" s="26">
        <f>IFERROR(__xludf.DUMMYFUNCTION("""COMPUTED_VALUE"""),0.0)</f>
        <v>0</v>
      </c>
      <c r="U214" s="26">
        <f>IFERROR(__xludf.DUMMYFUNCTION("""COMPUTED_VALUE"""),0.0)</f>
        <v>0</v>
      </c>
      <c r="V214" s="26">
        <f>IFERROR(__xludf.DUMMYFUNCTION("""COMPUTED_VALUE"""),101549.42999999977)</f>
        <v>101549.43</v>
      </c>
      <c r="W214" s="26">
        <f>IFERROR(__xludf.DUMMYFUNCTION("""COMPUTED_VALUE"""),665730.0)</f>
        <v>665730</v>
      </c>
      <c r="X214" s="26">
        <f>IFERROR(__xludf.DUMMYFUNCTION("""COMPUTED_VALUE"""),462015.88999999873)</f>
        <v>462015.89</v>
      </c>
      <c r="Y214" s="26">
        <f>IFERROR(__xludf.DUMMYFUNCTION("""COMPUTED_VALUE"""),214120.06999999925)</f>
        <v>214120.07</v>
      </c>
      <c r="Z214" s="26">
        <f>IFERROR(__xludf.DUMMYFUNCTION("""COMPUTED_VALUE"""),0.0)</f>
        <v>0</v>
      </c>
      <c r="AA214" s="26">
        <f>IFERROR(__xludf.DUMMYFUNCTION("""COMPUTED_VALUE"""),10531.459999999963)</f>
        <v>10531.46</v>
      </c>
      <c r="AB214" s="26">
        <f>IFERROR(__xludf.DUMMYFUNCTION("""COMPUTED_VALUE"""),203714.10999999955)</f>
        <v>203714.11</v>
      </c>
      <c r="AC214" s="26">
        <f>IFERROR(__xludf.DUMMYFUNCTION("""COMPUTED_VALUE"""),0.0)</f>
        <v>0</v>
      </c>
      <c r="AD214" s="26">
        <f>IFERROR(__xludf.DUMMYFUNCTION("""COMPUTED_VALUE"""),665730.0)</f>
        <v>665730</v>
      </c>
      <c r="AE214" s="26">
        <f>IFERROR(__xludf.DUMMYFUNCTION("""COMPUTED_VALUE"""),0.0)</f>
        <v>0</v>
      </c>
    </row>
    <row r="215">
      <c r="A215" s="26">
        <f>IFERROR(__xludf.DUMMYFUNCTION("""COMPUTED_VALUE"""),78.0)</f>
        <v>78</v>
      </c>
      <c r="B215" s="26">
        <f>IFERROR(__xludf.DUMMYFUNCTION("""COMPUTED_VALUE"""),0.0)</f>
        <v>0</v>
      </c>
      <c r="C215" s="26">
        <f>IFERROR(__xludf.DUMMYFUNCTION("""COMPUTED_VALUE"""),0.0)</f>
        <v>0</v>
      </c>
      <c r="D215" s="26">
        <f>IFERROR(__xludf.DUMMYFUNCTION("""COMPUTED_VALUE"""),0.0)</f>
        <v>0</v>
      </c>
      <c r="E215" s="26">
        <f>IFERROR(__xludf.DUMMYFUNCTION("""COMPUTED_VALUE"""),0.0)</f>
        <v>0</v>
      </c>
      <c r="F215" s="26">
        <f>IFERROR(__xludf.DUMMYFUNCTION("""COMPUTED_VALUE"""),0.0)</f>
        <v>0</v>
      </c>
      <c r="G215" s="26">
        <f>IFERROR(__xludf.DUMMYFUNCTION("""COMPUTED_VALUE"""),0.0)</f>
        <v>0</v>
      </c>
      <c r="H215" s="26">
        <f>IFERROR(__xludf.DUMMYFUNCTION("""COMPUTED_VALUE"""),0.0)</f>
        <v>0</v>
      </c>
      <c r="I215" s="26">
        <f>IFERROR(__xludf.DUMMYFUNCTION("""COMPUTED_VALUE"""),0.0)</f>
        <v>0</v>
      </c>
      <c r="J215" s="26">
        <f>IFERROR(__xludf.DUMMYFUNCTION("""COMPUTED_VALUE"""),0.0)</f>
        <v>0</v>
      </c>
      <c r="K215" s="26">
        <f>IFERROR(__xludf.DUMMYFUNCTION("""COMPUTED_VALUE"""),0.0)</f>
        <v>0</v>
      </c>
      <c r="L215" s="26"/>
      <c r="M215" s="26"/>
      <c r="N215" s="26"/>
      <c r="O215" s="26"/>
      <c r="P215" s="26"/>
      <c r="Q215" s="26"/>
      <c r="R215" s="26">
        <f>IFERROR(__xludf.DUMMYFUNCTION("""COMPUTED_VALUE"""),30420.0)</f>
        <v>30420</v>
      </c>
      <c r="S215" s="26">
        <f>IFERROR(__xludf.DUMMYFUNCTION("""COMPUTED_VALUE"""),15990.0)</f>
        <v>15990</v>
      </c>
      <c r="T215" s="26">
        <f>IFERROR(__xludf.DUMMYFUNCTION("""COMPUTED_VALUE"""),0.0)</f>
        <v>0</v>
      </c>
      <c r="U215" s="26">
        <f>IFERROR(__xludf.DUMMYFUNCTION("""COMPUTED_VALUE"""),0.0)</f>
        <v>0</v>
      </c>
      <c r="V215" s="26">
        <f>IFERROR(__xludf.DUMMYFUNCTION("""COMPUTED_VALUE"""),4640.219999999996)</f>
        <v>4640.22</v>
      </c>
      <c r="W215" s="26">
        <f>IFERROR(__xludf.DUMMYFUNCTION("""COMPUTED_VALUE"""),30420.0)</f>
        <v>30420</v>
      </c>
      <c r="X215" s="26">
        <f>IFERROR(__xludf.DUMMYFUNCTION("""COMPUTED_VALUE"""),21037.120000000017)</f>
        <v>21037.12</v>
      </c>
      <c r="Y215" s="26">
        <f>IFERROR(__xludf.DUMMYFUNCTION("""COMPUTED_VALUE"""),9734.560000000009)</f>
        <v>9734.56</v>
      </c>
      <c r="Z215" s="26">
        <f>IFERROR(__xludf.DUMMYFUNCTION("""COMPUTED_VALUE"""),0.0)</f>
        <v>0</v>
      </c>
      <c r="AA215" s="26">
        <f>IFERROR(__xludf.DUMMYFUNCTION("""COMPUTED_VALUE"""),406.8999999999996)</f>
        <v>406.9</v>
      </c>
      <c r="AB215" s="26">
        <f>IFERROR(__xludf.DUMMYFUNCTION("""COMPUTED_VALUE"""),9382.87999999999)</f>
        <v>9382.88</v>
      </c>
      <c r="AC215" s="26">
        <f>IFERROR(__xludf.DUMMYFUNCTION("""COMPUTED_VALUE"""),0.0)</f>
        <v>0</v>
      </c>
      <c r="AD215" s="26">
        <f>IFERROR(__xludf.DUMMYFUNCTION("""COMPUTED_VALUE"""),31590.0)</f>
        <v>31590</v>
      </c>
      <c r="AE215" s="26">
        <f>IFERROR(__xludf.DUMMYFUNCTION("""COMPUTED_VALUE"""),0.0)</f>
        <v>0</v>
      </c>
    </row>
    <row r="216">
      <c r="A216" s="26">
        <f>IFERROR(__xludf.DUMMYFUNCTION("""COMPUTED_VALUE"""),0.0)</f>
        <v>0</v>
      </c>
      <c r="B216" s="26">
        <f>IFERROR(__xludf.DUMMYFUNCTION("""COMPUTED_VALUE"""),0.0)</f>
        <v>0</v>
      </c>
      <c r="C216" s="26">
        <f>IFERROR(__xludf.DUMMYFUNCTION("""COMPUTED_VALUE"""),0.0)</f>
        <v>0</v>
      </c>
      <c r="D216" s="26">
        <f>IFERROR(__xludf.DUMMYFUNCTION("""COMPUTED_VALUE"""),0.0)</f>
        <v>0</v>
      </c>
      <c r="E216" s="26">
        <f>IFERROR(__xludf.DUMMYFUNCTION("""COMPUTED_VALUE"""),0.0)</f>
        <v>0</v>
      </c>
      <c r="F216" s="26">
        <f>IFERROR(__xludf.DUMMYFUNCTION("""COMPUTED_VALUE"""),0.0)</f>
        <v>0</v>
      </c>
      <c r="G216" s="26">
        <f>IFERROR(__xludf.DUMMYFUNCTION("""COMPUTED_VALUE"""),0.0)</f>
        <v>0</v>
      </c>
      <c r="H216" s="26">
        <f>IFERROR(__xludf.DUMMYFUNCTION("""COMPUTED_VALUE"""),0.0)</f>
        <v>0</v>
      </c>
      <c r="I216" s="26">
        <f>IFERROR(__xludf.DUMMYFUNCTION("""COMPUTED_VALUE"""),0.0)</f>
        <v>0</v>
      </c>
      <c r="J216" s="26">
        <f>IFERROR(__xludf.DUMMYFUNCTION("""COMPUTED_VALUE"""),0.0)</f>
        <v>0</v>
      </c>
      <c r="K216" s="26">
        <f>IFERROR(__xludf.DUMMYFUNCTION("""COMPUTED_VALUE"""),0.0)</f>
        <v>0</v>
      </c>
      <c r="L216" s="26"/>
      <c r="M216" s="26"/>
      <c r="N216" s="26"/>
      <c r="O216" s="26"/>
      <c r="P216" s="26"/>
      <c r="Q216" s="26"/>
      <c r="R216" s="26">
        <f>IFERROR(__xludf.DUMMYFUNCTION("""COMPUTED_VALUE"""),0.0)</f>
        <v>0</v>
      </c>
      <c r="S216" s="26">
        <f>IFERROR(__xludf.DUMMYFUNCTION("""COMPUTED_VALUE"""),0.0)</f>
        <v>0</v>
      </c>
      <c r="T216" s="26">
        <f>IFERROR(__xludf.DUMMYFUNCTION("""COMPUTED_VALUE"""),0.0)</f>
        <v>0</v>
      </c>
      <c r="U216" s="26">
        <f>IFERROR(__xludf.DUMMYFUNCTION("""COMPUTED_VALUE"""),0.0)</f>
        <v>0</v>
      </c>
      <c r="V216" s="26">
        <f>IFERROR(__xludf.DUMMYFUNCTION("""COMPUTED_VALUE"""),0.0)</f>
        <v>0</v>
      </c>
      <c r="W216" s="26">
        <f>IFERROR(__xludf.DUMMYFUNCTION("""COMPUTED_VALUE"""),0.0)</f>
        <v>0</v>
      </c>
      <c r="X216" s="26">
        <f>IFERROR(__xludf.DUMMYFUNCTION("""COMPUTED_VALUE"""),0.0)</f>
        <v>0</v>
      </c>
      <c r="Y216" s="26">
        <f>IFERROR(__xludf.DUMMYFUNCTION("""COMPUTED_VALUE"""),0.0)</f>
        <v>0</v>
      </c>
      <c r="Z216" s="26">
        <f>IFERROR(__xludf.DUMMYFUNCTION("""COMPUTED_VALUE"""),0.0)</f>
        <v>0</v>
      </c>
      <c r="AA216" s="26">
        <f>IFERROR(__xludf.DUMMYFUNCTION("""COMPUTED_VALUE"""),0.0)</f>
        <v>0</v>
      </c>
      <c r="AB216" s="26">
        <f>IFERROR(__xludf.DUMMYFUNCTION("""COMPUTED_VALUE"""),0.0)</f>
        <v>0</v>
      </c>
      <c r="AC216" s="26">
        <f>IFERROR(__xludf.DUMMYFUNCTION("""COMPUTED_VALUE"""),0.0)</f>
        <v>0</v>
      </c>
      <c r="AD216" s="26">
        <f>IFERROR(__xludf.DUMMYFUNCTION("""COMPUTED_VALUE"""),0.0)</f>
        <v>0</v>
      </c>
      <c r="AE216" s="26">
        <f>IFERROR(__xludf.DUMMYFUNCTION("""COMPUTED_VALUE"""),0.0)</f>
        <v>0</v>
      </c>
    </row>
    <row r="217">
      <c r="A217" s="26">
        <f>IFERROR(__xludf.DUMMYFUNCTION("""COMPUTED_VALUE"""),2.0)</f>
        <v>2</v>
      </c>
      <c r="B217" s="26">
        <f>IFERROR(__xludf.DUMMYFUNCTION("""COMPUTED_VALUE"""),0.0)</f>
        <v>0</v>
      </c>
      <c r="C217" s="26">
        <f>IFERROR(__xludf.DUMMYFUNCTION("""COMPUTED_VALUE"""),4963.0)</f>
        <v>4963</v>
      </c>
      <c r="D217" s="26">
        <f>IFERROR(__xludf.DUMMYFUNCTION("""COMPUTED_VALUE"""),0.0)</f>
        <v>0</v>
      </c>
      <c r="E217" s="26">
        <f>IFERROR(__xludf.DUMMYFUNCTION("""COMPUTED_VALUE"""),0.0)</f>
        <v>0</v>
      </c>
      <c r="F217" s="26">
        <f>IFERROR(__xludf.DUMMYFUNCTION("""COMPUTED_VALUE"""),0.0)</f>
        <v>0</v>
      </c>
      <c r="G217" s="26">
        <f>IFERROR(__xludf.DUMMYFUNCTION("""COMPUTED_VALUE"""),0.0)</f>
        <v>0</v>
      </c>
      <c r="H217" s="26">
        <f>IFERROR(__xludf.DUMMYFUNCTION("""COMPUTED_VALUE"""),0.0)</f>
        <v>0</v>
      </c>
      <c r="I217" s="26">
        <f>IFERROR(__xludf.DUMMYFUNCTION("""COMPUTED_VALUE"""),0.0)</f>
        <v>0</v>
      </c>
      <c r="J217" s="26">
        <f>IFERROR(__xludf.DUMMYFUNCTION("""COMPUTED_VALUE"""),0.0)</f>
        <v>0</v>
      </c>
      <c r="K217" s="26">
        <f>IFERROR(__xludf.DUMMYFUNCTION("""COMPUTED_VALUE"""),0.0)</f>
        <v>0</v>
      </c>
      <c r="L217" s="26"/>
      <c r="M217" s="26"/>
      <c r="N217" s="26"/>
      <c r="O217" s="26"/>
      <c r="P217" s="26"/>
      <c r="Q217" s="26"/>
      <c r="R217" s="26">
        <f>IFERROR(__xludf.DUMMYFUNCTION("""COMPUTED_VALUE"""),3424954.0)</f>
        <v>3424954</v>
      </c>
      <c r="S217" s="26">
        <f>IFERROR(__xludf.DUMMYFUNCTION("""COMPUTED_VALUE"""),891325.0)</f>
        <v>891325</v>
      </c>
      <c r="T217" s="26">
        <f>IFERROR(__xludf.DUMMYFUNCTION("""COMPUTED_VALUE"""),0.0)</f>
        <v>0</v>
      </c>
      <c r="U217" s="26">
        <f>IFERROR(__xludf.DUMMYFUNCTION("""COMPUTED_VALUE"""),0.0)</f>
        <v>0</v>
      </c>
      <c r="V217" s="26">
        <f>IFERROR(__xludf.DUMMYFUNCTION("""COMPUTED_VALUE"""),522429.58999999997)</f>
        <v>522429.59</v>
      </c>
      <c r="W217" s="26">
        <f>IFERROR(__xludf.DUMMYFUNCTION("""COMPUTED_VALUE"""),3423574.0)</f>
        <v>3423574</v>
      </c>
      <c r="X217" s="26">
        <f>IFERROR(__xludf.DUMMYFUNCTION("""COMPUTED_VALUE"""),1513772.9799999879)</f>
        <v>1513772.98</v>
      </c>
      <c r="Y217" s="26">
        <f>IFERROR(__xludf.DUMMYFUNCTION("""COMPUTED_VALUE"""),2010329.91)</f>
        <v>2010329.91</v>
      </c>
      <c r="Z217" s="26">
        <f>IFERROR(__xludf.DUMMYFUNCTION("""COMPUTED_VALUE"""),0.0)</f>
        <v>0</v>
      </c>
      <c r="AA217" s="26">
        <f>IFERROR(__xludf.DUMMYFUNCTION("""COMPUTED_VALUE"""),100528.8900000005)</f>
        <v>100528.89</v>
      </c>
      <c r="AB217" s="26">
        <f>IFERROR(__xludf.DUMMYFUNCTION("""COMPUTED_VALUE"""),1909801.0200000186)</f>
        <v>1909801.02</v>
      </c>
      <c r="AC217" s="26">
        <f>IFERROR(__xludf.DUMMYFUNCTION("""COMPUTED_VALUE"""),0.0)</f>
        <v>0</v>
      </c>
      <c r="AD217" s="26">
        <f>IFERROR(__xludf.DUMMYFUNCTION("""COMPUTED_VALUE"""),3357000.0)</f>
        <v>3357000</v>
      </c>
      <c r="AE217" s="26">
        <f>IFERROR(__xludf.DUMMYFUNCTION("""COMPUTED_VALUE"""),0.0)</f>
        <v>0</v>
      </c>
    </row>
    <row r="218">
      <c r="A218" s="26">
        <f>IFERROR(__xludf.DUMMYFUNCTION("""COMPUTED_VALUE"""),2238.0)</f>
        <v>2238</v>
      </c>
      <c r="B218" s="26">
        <f>IFERROR(__xludf.DUMMYFUNCTION("""COMPUTED_VALUE"""),0.0)</f>
        <v>0</v>
      </c>
      <c r="C218" s="26">
        <f>IFERROR(__xludf.DUMMYFUNCTION("""COMPUTED_VALUE"""),0.0)</f>
        <v>0</v>
      </c>
      <c r="D218" s="26">
        <f>IFERROR(__xludf.DUMMYFUNCTION("""COMPUTED_VALUE"""),0.0)</f>
        <v>0</v>
      </c>
      <c r="E218" s="26">
        <f>IFERROR(__xludf.DUMMYFUNCTION("""COMPUTED_VALUE"""),0.0)</f>
        <v>0</v>
      </c>
      <c r="F218" s="26">
        <f>IFERROR(__xludf.DUMMYFUNCTION("""COMPUTED_VALUE"""),0.0)</f>
        <v>0</v>
      </c>
      <c r="G218" s="26">
        <f>IFERROR(__xludf.DUMMYFUNCTION("""COMPUTED_VALUE"""),0.0)</f>
        <v>0</v>
      </c>
      <c r="H218" s="26">
        <f>IFERROR(__xludf.DUMMYFUNCTION("""COMPUTED_VALUE"""),0.0)</f>
        <v>0</v>
      </c>
      <c r="I218" s="26">
        <f>IFERROR(__xludf.DUMMYFUNCTION("""COMPUTED_VALUE"""),0.0)</f>
        <v>0</v>
      </c>
      <c r="J218" s="26">
        <f>IFERROR(__xludf.DUMMYFUNCTION("""COMPUTED_VALUE"""),0.0)</f>
        <v>0</v>
      </c>
      <c r="K218" s="26">
        <f>IFERROR(__xludf.DUMMYFUNCTION("""COMPUTED_VALUE"""),0.0)</f>
        <v>0</v>
      </c>
      <c r="L218" s="26"/>
      <c r="M218" s="26"/>
      <c r="N218" s="26"/>
      <c r="O218" s="26"/>
      <c r="P218" s="26"/>
      <c r="Q218" s="26"/>
      <c r="R218" s="26">
        <f>IFERROR(__xludf.DUMMYFUNCTION("""COMPUTED_VALUE"""),899964.0)</f>
        <v>899964</v>
      </c>
      <c r="S218" s="26">
        <f>IFERROR(__xludf.DUMMYFUNCTION("""COMPUTED_VALUE"""),444660.0)</f>
        <v>444660</v>
      </c>
      <c r="T218" s="26">
        <f>IFERROR(__xludf.DUMMYFUNCTION("""COMPUTED_VALUE"""),0.0)</f>
        <v>0</v>
      </c>
      <c r="U218" s="26">
        <f>IFERROR(__xludf.DUMMYFUNCTION("""COMPUTED_VALUE"""),0.0)</f>
        <v>0</v>
      </c>
      <c r="V218" s="26">
        <f>IFERROR(__xludf.DUMMYFUNCTION("""COMPUTED_VALUE"""),137278.0800000002)</f>
        <v>137278.08</v>
      </c>
      <c r="W218" s="26">
        <f>IFERROR(__xludf.DUMMYFUNCTION("""COMPUTED_VALUE"""),899964.0)</f>
        <v>899964</v>
      </c>
      <c r="X218" s="26">
        <f>IFERROR(__xludf.DUMMYFUNCTION("""COMPUTED_VALUE"""),597847.6200000003)</f>
        <v>597847.62</v>
      </c>
      <c r="Y218" s="26">
        <f>IFERROR(__xludf.DUMMYFUNCTION("""COMPUTED_VALUE"""),318025.92000000057)</f>
        <v>318025.92</v>
      </c>
      <c r="Z218" s="26">
        <f>IFERROR(__xludf.DUMMYFUNCTION("""COMPUTED_VALUE"""),0.0)</f>
        <v>0</v>
      </c>
      <c r="AA218" s="26">
        <f>IFERROR(__xludf.DUMMYFUNCTION("""COMPUTED_VALUE"""),15909.540000000023)</f>
        <v>15909.54</v>
      </c>
      <c r="AB218" s="26">
        <f>IFERROR(__xludf.DUMMYFUNCTION("""COMPUTED_VALUE"""),302116.3800000001)</f>
        <v>302116.38</v>
      </c>
      <c r="AC218" s="26">
        <f>IFERROR(__xludf.DUMMYFUNCTION("""COMPUTED_VALUE"""),0.0)</f>
        <v>0</v>
      </c>
      <c r="AD218" s="26">
        <f>IFERROR(__xludf.DUMMYFUNCTION("""COMPUTED_VALUE"""),890700.0)</f>
        <v>890700</v>
      </c>
      <c r="AE218" s="26">
        <f>IFERROR(__xludf.DUMMYFUNCTION("""COMPUTED_VALUE"""),0.0)</f>
        <v>0</v>
      </c>
    </row>
    <row r="219">
      <c r="A219" s="26">
        <f>IFERROR(__xludf.DUMMYFUNCTION("""COMPUTED_VALUE"""),0.0)</f>
        <v>0</v>
      </c>
      <c r="B219" s="26">
        <f>IFERROR(__xludf.DUMMYFUNCTION("""COMPUTED_VALUE"""),0.0)</f>
        <v>0</v>
      </c>
      <c r="C219" s="26">
        <f>IFERROR(__xludf.DUMMYFUNCTION("""COMPUTED_VALUE"""),0.0)</f>
        <v>0</v>
      </c>
      <c r="D219" s="26">
        <f>IFERROR(__xludf.DUMMYFUNCTION("""COMPUTED_VALUE"""),0.0)</f>
        <v>0</v>
      </c>
      <c r="E219" s="26">
        <f>IFERROR(__xludf.DUMMYFUNCTION("""COMPUTED_VALUE"""),0.0)</f>
        <v>0</v>
      </c>
      <c r="F219" s="26">
        <f>IFERROR(__xludf.DUMMYFUNCTION("""COMPUTED_VALUE"""),0.0)</f>
        <v>0</v>
      </c>
      <c r="G219" s="26">
        <f>IFERROR(__xludf.DUMMYFUNCTION("""COMPUTED_VALUE"""),0.0)</f>
        <v>0</v>
      </c>
      <c r="H219" s="26">
        <f>IFERROR(__xludf.DUMMYFUNCTION("""COMPUTED_VALUE"""),0.0)</f>
        <v>0</v>
      </c>
      <c r="I219" s="26">
        <f>IFERROR(__xludf.DUMMYFUNCTION("""COMPUTED_VALUE"""),0.0)</f>
        <v>0</v>
      </c>
      <c r="J219" s="26">
        <f>IFERROR(__xludf.DUMMYFUNCTION("""COMPUTED_VALUE"""),0.0)</f>
        <v>0</v>
      </c>
      <c r="K219" s="26">
        <f>IFERROR(__xludf.DUMMYFUNCTION("""COMPUTED_VALUE"""),0.0)</f>
        <v>0</v>
      </c>
      <c r="L219" s="26"/>
      <c r="M219" s="26"/>
      <c r="N219" s="26"/>
      <c r="O219" s="26"/>
      <c r="P219" s="26"/>
      <c r="Q219" s="26"/>
      <c r="R219" s="26">
        <f>IFERROR(__xludf.DUMMYFUNCTION("""COMPUTED_VALUE"""),0.0)</f>
        <v>0</v>
      </c>
      <c r="S219" s="26">
        <f>IFERROR(__xludf.DUMMYFUNCTION("""COMPUTED_VALUE"""),0.0)</f>
        <v>0</v>
      </c>
      <c r="T219" s="26">
        <f>IFERROR(__xludf.DUMMYFUNCTION("""COMPUTED_VALUE"""),0.0)</f>
        <v>0</v>
      </c>
      <c r="U219" s="26">
        <f>IFERROR(__xludf.DUMMYFUNCTION("""COMPUTED_VALUE"""),0.0)</f>
        <v>0</v>
      </c>
      <c r="V219" s="26">
        <f>IFERROR(__xludf.DUMMYFUNCTION("""COMPUTED_VALUE"""),0.0)</f>
        <v>0</v>
      </c>
      <c r="W219" s="26">
        <f>IFERROR(__xludf.DUMMYFUNCTION("""COMPUTED_VALUE"""),0.0)</f>
        <v>0</v>
      </c>
      <c r="X219" s="26">
        <f>IFERROR(__xludf.DUMMYFUNCTION("""COMPUTED_VALUE"""),0.0)</f>
        <v>0</v>
      </c>
      <c r="Y219" s="26">
        <f>IFERROR(__xludf.DUMMYFUNCTION("""COMPUTED_VALUE"""),0.0)</f>
        <v>0</v>
      </c>
      <c r="Z219" s="26">
        <f>IFERROR(__xludf.DUMMYFUNCTION("""COMPUTED_VALUE"""),0.0)</f>
        <v>0</v>
      </c>
      <c r="AA219" s="26">
        <f>IFERROR(__xludf.DUMMYFUNCTION("""COMPUTED_VALUE"""),0.0)</f>
        <v>0</v>
      </c>
      <c r="AB219" s="26">
        <f>IFERROR(__xludf.DUMMYFUNCTION("""COMPUTED_VALUE"""),0.0)</f>
        <v>0</v>
      </c>
      <c r="AC219" s="26">
        <f>IFERROR(__xludf.DUMMYFUNCTION("""COMPUTED_VALUE"""),0.0)</f>
        <v>0</v>
      </c>
      <c r="AD219" s="26">
        <f>IFERROR(__xludf.DUMMYFUNCTION("""COMPUTED_VALUE"""),0.0)</f>
        <v>0</v>
      </c>
      <c r="AE219" s="26">
        <f>IFERROR(__xludf.DUMMYFUNCTION("""COMPUTED_VALUE"""),0.0)</f>
        <v>0</v>
      </c>
    </row>
    <row r="220">
      <c r="A220" s="26">
        <f>IFERROR(__xludf.DUMMYFUNCTION("""COMPUTED_VALUE"""),64.0)</f>
        <v>64</v>
      </c>
      <c r="B220" s="26">
        <f>IFERROR(__xludf.DUMMYFUNCTION("""COMPUTED_VALUE"""),0.0)</f>
        <v>0</v>
      </c>
      <c r="C220" s="26">
        <f>IFERROR(__xludf.DUMMYFUNCTION("""COMPUTED_VALUE"""),0.0)</f>
        <v>0</v>
      </c>
      <c r="D220" s="26">
        <f>IFERROR(__xludf.DUMMYFUNCTION("""COMPUTED_VALUE"""),0.0)</f>
        <v>0</v>
      </c>
      <c r="E220" s="26">
        <f>IFERROR(__xludf.DUMMYFUNCTION("""COMPUTED_VALUE"""),0.0)</f>
        <v>0</v>
      </c>
      <c r="F220" s="26">
        <f>IFERROR(__xludf.DUMMYFUNCTION("""COMPUTED_VALUE"""),0.0)</f>
        <v>0</v>
      </c>
      <c r="G220" s="26">
        <f>IFERROR(__xludf.DUMMYFUNCTION("""COMPUTED_VALUE"""),0.0)</f>
        <v>0</v>
      </c>
      <c r="H220" s="26">
        <f>IFERROR(__xludf.DUMMYFUNCTION("""COMPUTED_VALUE"""),0.0)</f>
        <v>0</v>
      </c>
      <c r="I220" s="26">
        <f>IFERROR(__xludf.DUMMYFUNCTION("""COMPUTED_VALUE"""),0.0)</f>
        <v>0</v>
      </c>
      <c r="J220" s="26">
        <f>IFERROR(__xludf.DUMMYFUNCTION("""COMPUTED_VALUE"""),0.0)</f>
        <v>0</v>
      </c>
      <c r="K220" s="26">
        <f>IFERROR(__xludf.DUMMYFUNCTION("""COMPUTED_VALUE"""),0.0)</f>
        <v>0</v>
      </c>
      <c r="L220" s="26"/>
      <c r="M220" s="26"/>
      <c r="N220" s="26"/>
      <c r="O220" s="26"/>
      <c r="P220" s="26"/>
      <c r="Q220" s="26"/>
      <c r="R220" s="26">
        <f>IFERROR(__xludf.DUMMYFUNCTION("""COMPUTED_VALUE"""),24960.0)</f>
        <v>24960</v>
      </c>
      <c r="S220" s="26">
        <f>IFERROR(__xludf.DUMMYFUNCTION("""COMPUTED_VALUE"""),13120.0)</f>
        <v>13120</v>
      </c>
      <c r="T220" s="26">
        <f>IFERROR(__xludf.DUMMYFUNCTION("""COMPUTED_VALUE"""),0.0)</f>
        <v>0</v>
      </c>
      <c r="U220" s="26">
        <f>IFERROR(__xludf.DUMMYFUNCTION("""COMPUTED_VALUE"""),0.0)</f>
        <v>0</v>
      </c>
      <c r="V220" s="26">
        <f>IFERROR(__xludf.DUMMYFUNCTION("""COMPUTED_VALUE"""),3807.3599999999938)</f>
        <v>3807.36</v>
      </c>
      <c r="W220" s="26">
        <f>IFERROR(__xludf.DUMMYFUNCTION("""COMPUTED_VALUE"""),24960.0)</f>
        <v>24960</v>
      </c>
      <c r="X220" s="26">
        <f>IFERROR(__xludf.DUMMYFUNCTION("""COMPUTED_VALUE"""),17329.28000000002)</f>
        <v>17329.28</v>
      </c>
      <c r="Y220" s="26">
        <f>IFERROR(__xludf.DUMMYFUNCTION("""COMPUTED_VALUE"""),8032.64000000001)</f>
        <v>8032.64</v>
      </c>
      <c r="Z220" s="26">
        <f>IFERROR(__xludf.DUMMYFUNCTION("""COMPUTED_VALUE"""),0.0)</f>
        <v>0</v>
      </c>
      <c r="AA220" s="26">
        <f>IFERROR(__xludf.DUMMYFUNCTION("""COMPUTED_VALUE"""),401.9199999999994)</f>
        <v>401.92</v>
      </c>
      <c r="AB220" s="26">
        <f>IFERROR(__xludf.DUMMYFUNCTION("""COMPUTED_VALUE"""),7630.7199999999875)</f>
        <v>7630.72</v>
      </c>
      <c r="AC220" s="26">
        <f>IFERROR(__xludf.DUMMYFUNCTION("""COMPUTED_VALUE"""),0.0)</f>
        <v>0</v>
      </c>
      <c r="AD220" s="26">
        <f>IFERROR(__xludf.DUMMYFUNCTION("""COMPUTED_VALUE"""),24410.0)</f>
        <v>24410</v>
      </c>
      <c r="AE220" s="26">
        <f>IFERROR(__xludf.DUMMYFUNCTION("""COMPUTED_VALUE"""),590.0)</f>
        <v>590</v>
      </c>
    </row>
    <row r="221">
      <c r="A221" s="26">
        <f>IFERROR(__xludf.DUMMYFUNCTION("""COMPUTED_VALUE"""),726.0)</f>
        <v>726</v>
      </c>
      <c r="B221" s="26">
        <f>IFERROR(__xludf.DUMMYFUNCTION("""COMPUTED_VALUE"""),0.0)</f>
        <v>0</v>
      </c>
      <c r="C221" s="26">
        <f>IFERROR(__xludf.DUMMYFUNCTION("""COMPUTED_VALUE"""),0.0)</f>
        <v>0</v>
      </c>
      <c r="D221" s="26">
        <f>IFERROR(__xludf.DUMMYFUNCTION("""COMPUTED_VALUE"""),0.0)</f>
        <v>0</v>
      </c>
      <c r="E221" s="26">
        <f>IFERROR(__xludf.DUMMYFUNCTION("""COMPUTED_VALUE"""),0.0)</f>
        <v>0</v>
      </c>
      <c r="F221" s="26">
        <f>IFERROR(__xludf.DUMMYFUNCTION("""COMPUTED_VALUE"""),0.0)</f>
        <v>0</v>
      </c>
      <c r="G221" s="26">
        <f>IFERROR(__xludf.DUMMYFUNCTION("""COMPUTED_VALUE"""),0.0)</f>
        <v>0</v>
      </c>
      <c r="H221" s="26">
        <f>IFERROR(__xludf.DUMMYFUNCTION("""COMPUTED_VALUE"""),0.0)</f>
        <v>0</v>
      </c>
      <c r="I221" s="26">
        <f>IFERROR(__xludf.DUMMYFUNCTION("""COMPUTED_VALUE"""),0.0)</f>
        <v>0</v>
      </c>
      <c r="J221" s="26">
        <f>IFERROR(__xludf.DUMMYFUNCTION("""COMPUTED_VALUE"""),0.0)</f>
        <v>0</v>
      </c>
      <c r="K221" s="26">
        <f>IFERROR(__xludf.DUMMYFUNCTION("""COMPUTED_VALUE"""),0.0)</f>
        <v>0</v>
      </c>
      <c r="L221" s="26"/>
      <c r="M221" s="26"/>
      <c r="N221" s="26"/>
      <c r="O221" s="26"/>
      <c r="P221" s="26"/>
      <c r="Q221" s="26"/>
      <c r="R221" s="26">
        <f>IFERROR(__xludf.DUMMYFUNCTION("""COMPUTED_VALUE"""),354840.0)</f>
        <v>354840</v>
      </c>
      <c r="S221" s="26">
        <f>IFERROR(__xludf.DUMMYFUNCTION("""COMPUTED_VALUE"""),133830.0)</f>
        <v>133830</v>
      </c>
      <c r="T221" s="26">
        <f>IFERROR(__xludf.DUMMYFUNCTION("""COMPUTED_VALUE"""),0.0)</f>
        <v>0</v>
      </c>
      <c r="U221" s="26">
        <f>IFERROR(__xludf.DUMMYFUNCTION("""COMPUTED_VALUE"""),0.0)</f>
        <v>0</v>
      </c>
      <c r="V221" s="26">
        <f>IFERROR(__xludf.DUMMYFUNCTION("""COMPUTED_VALUE"""),54131.159999999996)</f>
        <v>54131.16</v>
      </c>
      <c r="W221" s="26">
        <f>IFERROR(__xludf.DUMMYFUNCTION("""COMPUTED_VALUE"""),354350.0)</f>
        <v>354350</v>
      </c>
      <c r="X221" s="26">
        <f>IFERROR(__xludf.DUMMYFUNCTION("""COMPUTED_VALUE"""),196036.83999999985)</f>
        <v>196036.84</v>
      </c>
      <c r="Y221" s="26">
        <f>IFERROR(__xludf.DUMMYFUNCTION("""COMPUTED_VALUE"""),166643.59000000003)</f>
        <v>166643.59</v>
      </c>
      <c r="Z221" s="26">
        <f>IFERROR(__xludf.DUMMYFUNCTION("""COMPUTED_VALUE"""),0.0)</f>
        <v>0</v>
      </c>
      <c r="AA221" s="26">
        <f>IFERROR(__xludf.DUMMYFUNCTION("""COMPUTED_VALUE"""),8330.43)</f>
        <v>8330.43</v>
      </c>
      <c r="AB221" s="26">
        <f>IFERROR(__xludf.DUMMYFUNCTION("""COMPUTED_VALUE"""),158313.16000000003)</f>
        <v>158313.16</v>
      </c>
      <c r="AC221" s="26">
        <f>IFERROR(__xludf.DUMMYFUNCTION("""COMPUTED_VALUE"""),0.0)</f>
        <v>0</v>
      </c>
      <c r="AD221" s="26">
        <f>IFERROR(__xludf.DUMMYFUNCTION("""COMPUTED_VALUE"""),306820.0)</f>
        <v>306820</v>
      </c>
      <c r="AE221" s="26">
        <f>IFERROR(__xludf.DUMMYFUNCTION("""COMPUTED_VALUE"""),0.0)</f>
        <v>0</v>
      </c>
    </row>
    <row r="222">
      <c r="A222" s="26">
        <f>IFERROR(__xludf.DUMMYFUNCTION("""COMPUTED_VALUE"""),0.0)</f>
        <v>0</v>
      </c>
      <c r="B222" s="26">
        <f>IFERROR(__xludf.DUMMYFUNCTION("""COMPUTED_VALUE"""),0.0)</f>
        <v>0</v>
      </c>
      <c r="C222" s="26">
        <f>IFERROR(__xludf.DUMMYFUNCTION("""COMPUTED_VALUE"""),1158.0)</f>
        <v>1158</v>
      </c>
      <c r="D222" s="26">
        <f>IFERROR(__xludf.DUMMYFUNCTION("""COMPUTED_VALUE"""),0.0)</f>
        <v>0</v>
      </c>
      <c r="E222" s="26">
        <f>IFERROR(__xludf.DUMMYFUNCTION("""COMPUTED_VALUE"""),0.0)</f>
        <v>0</v>
      </c>
      <c r="F222" s="26">
        <f>IFERROR(__xludf.DUMMYFUNCTION("""COMPUTED_VALUE"""),0.0)</f>
        <v>0</v>
      </c>
      <c r="G222" s="26">
        <f>IFERROR(__xludf.DUMMYFUNCTION("""COMPUTED_VALUE"""),0.0)</f>
        <v>0</v>
      </c>
      <c r="H222" s="26">
        <f>IFERROR(__xludf.DUMMYFUNCTION("""COMPUTED_VALUE"""),0.0)</f>
        <v>0</v>
      </c>
      <c r="I222" s="26">
        <f>IFERROR(__xludf.DUMMYFUNCTION("""COMPUTED_VALUE"""),0.0)</f>
        <v>0</v>
      </c>
      <c r="J222" s="26">
        <f>IFERROR(__xludf.DUMMYFUNCTION("""COMPUTED_VALUE"""),0.0)</f>
        <v>0</v>
      </c>
      <c r="K222" s="26">
        <f>IFERROR(__xludf.DUMMYFUNCTION("""COMPUTED_VALUE"""),0.0)</f>
        <v>0</v>
      </c>
      <c r="L222" s="26"/>
      <c r="M222" s="26"/>
      <c r="N222" s="26"/>
      <c r="O222" s="26"/>
      <c r="P222" s="26"/>
      <c r="Q222" s="26"/>
      <c r="R222" s="26">
        <f>IFERROR(__xludf.DUMMYFUNCTION("""COMPUTED_VALUE"""),511836.0)</f>
        <v>511836</v>
      </c>
      <c r="S222" s="26">
        <f>IFERROR(__xludf.DUMMYFUNCTION("""COMPUTED_VALUE"""),272130.0)</f>
        <v>272130</v>
      </c>
      <c r="T222" s="26">
        <f>IFERROR(__xludf.DUMMYFUNCTION("""COMPUTED_VALUE"""),0.0)</f>
        <v>0</v>
      </c>
      <c r="U222" s="26">
        <f>IFERROR(__xludf.DUMMYFUNCTION("""COMPUTED_VALUE"""),0.0)</f>
        <v>0</v>
      </c>
      <c r="V222" s="26">
        <f>IFERROR(__xludf.DUMMYFUNCTION("""COMPUTED_VALUE"""),78072.36000000002)</f>
        <v>78072.36</v>
      </c>
      <c r="W222" s="26">
        <f>IFERROR(__xludf.DUMMYFUNCTION("""COMPUTED_VALUE"""),876220.7999999936)</f>
        <v>876220.8</v>
      </c>
      <c r="X222" s="26">
        <f>IFERROR(__xludf.DUMMYFUNCTION("""COMPUTED_VALUE"""),876220.7999999936)</f>
        <v>876220.8</v>
      </c>
      <c r="Y222" s="26">
        <f>IFERROR(__xludf.DUMMYFUNCTION("""COMPUTED_VALUE"""),395290.5600000035)</f>
        <v>395290.56</v>
      </c>
      <c r="Z222" s="26">
        <f>IFERROR(__xludf.DUMMYFUNCTION("""COMPUTED_VALUE"""),375523.1999999976)</f>
        <v>375523.2</v>
      </c>
      <c r="AA222" s="26">
        <f>IFERROR(__xludf.DUMMYFUNCTION("""COMPUTED_VALUE"""),19767.360000000044)</f>
        <v>19767.36</v>
      </c>
      <c r="AB222" s="26">
        <f>IFERROR(__xludf.DUMMYFUNCTION("""COMPUTED_VALUE"""),0.0)</f>
        <v>0</v>
      </c>
      <c r="AC222" s="26">
        <f>IFERROR(__xludf.DUMMYFUNCTION("""COMPUTED_VALUE"""),0.0)</f>
        <v>0</v>
      </c>
      <c r="AD222" s="26">
        <f>IFERROR(__xludf.DUMMYFUNCTION("""COMPUTED_VALUE"""),880000.0)</f>
        <v>880000</v>
      </c>
      <c r="AE222" s="26">
        <f>IFERROR(__xludf.DUMMYFUNCTION("""COMPUTED_VALUE"""),0.0)</f>
        <v>0</v>
      </c>
    </row>
    <row r="223">
      <c r="A223" s="26">
        <f>IFERROR(__xludf.DUMMYFUNCTION("""COMPUTED_VALUE"""),726.0)</f>
        <v>726</v>
      </c>
      <c r="B223" s="26">
        <f>IFERROR(__xludf.DUMMYFUNCTION("""COMPUTED_VALUE"""),4.0)</f>
        <v>4</v>
      </c>
      <c r="C223" s="26">
        <f>IFERROR(__xludf.DUMMYFUNCTION("""COMPUTED_VALUE"""),0.0)</f>
        <v>0</v>
      </c>
      <c r="D223" s="26">
        <f>IFERROR(__xludf.DUMMYFUNCTION("""COMPUTED_VALUE"""),0.0)</f>
        <v>0</v>
      </c>
      <c r="E223" s="26">
        <f>IFERROR(__xludf.DUMMYFUNCTION("""COMPUTED_VALUE"""),0.0)</f>
        <v>0</v>
      </c>
      <c r="F223" s="26">
        <f>IFERROR(__xludf.DUMMYFUNCTION("""COMPUTED_VALUE"""),0.0)</f>
        <v>0</v>
      </c>
      <c r="G223" s="26">
        <f>IFERROR(__xludf.DUMMYFUNCTION("""COMPUTED_VALUE"""),0.0)</f>
        <v>0</v>
      </c>
      <c r="H223" s="26">
        <f>IFERROR(__xludf.DUMMYFUNCTION("""COMPUTED_VALUE"""),0.0)</f>
        <v>0</v>
      </c>
      <c r="I223" s="26">
        <f>IFERROR(__xludf.DUMMYFUNCTION("""COMPUTED_VALUE"""),0.0)</f>
        <v>0</v>
      </c>
      <c r="J223" s="26">
        <f>IFERROR(__xludf.DUMMYFUNCTION("""COMPUTED_VALUE"""),0.0)</f>
        <v>0</v>
      </c>
      <c r="K223" s="26">
        <f>IFERROR(__xludf.DUMMYFUNCTION("""COMPUTED_VALUE"""),0.0)</f>
        <v>0</v>
      </c>
      <c r="L223" s="26"/>
      <c r="M223" s="26"/>
      <c r="N223" s="26"/>
      <c r="O223" s="26"/>
      <c r="P223" s="26"/>
      <c r="Q223" s="26"/>
      <c r="R223" s="26">
        <f>IFERROR(__xludf.DUMMYFUNCTION("""COMPUTED_VALUE"""),322660.0)</f>
        <v>322660</v>
      </c>
      <c r="S223" s="26">
        <f>IFERROR(__xludf.DUMMYFUNCTION("""COMPUTED_VALUE"""),140160.0)</f>
        <v>140160</v>
      </c>
      <c r="T223" s="26">
        <f>IFERROR(__xludf.DUMMYFUNCTION("""COMPUTED_VALUE"""),0.0)</f>
        <v>0</v>
      </c>
      <c r="U223" s="26">
        <f>IFERROR(__xludf.DUMMYFUNCTION("""COMPUTED_VALUE"""),0.0)</f>
        <v>0</v>
      </c>
      <c r="V223" s="26">
        <f>IFERROR(__xludf.DUMMYFUNCTION("""COMPUTED_VALUE"""),49216.600000000035)</f>
        <v>49216.6</v>
      </c>
      <c r="W223" s="26">
        <f>IFERROR(__xludf.DUMMYFUNCTION("""COMPUTED_VALUE"""),0.0)</f>
        <v>0</v>
      </c>
      <c r="X223" s="26">
        <f>IFERROR(__xludf.DUMMYFUNCTION("""COMPUTED_VALUE"""),0.0)</f>
        <v>0</v>
      </c>
      <c r="Y223" s="26">
        <f>IFERROR(__xludf.DUMMYFUNCTION("""COMPUTED_VALUE"""),0.0)</f>
        <v>0</v>
      </c>
      <c r="Z223" s="26">
        <f>IFERROR(__xludf.DUMMYFUNCTION("""COMPUTED_VALUE"""),0.0)</f>
        <v>0</v>
      </c>
      <c r="AA223" s="26">
        <f>IFERROR(__xludf.DUMMYFUNCTION("""COMPUTED_VALUE"""),0.0)</f>
        <v>0</v>
      </c>
      <c r="AB223" s="26">
        <f>IFERROR(__xludf.DUMMYFUNCTION("""COMPUTED_VALUE"""),0.0)</f>
        <v>0</v>
      </c>
      <c r="AC223" s="26">
        <f>IFERROR(__xludf.DUMMYFUNCTION("""COMPUTED_VALUE"""),0.0)</f>
        <v>0</v>
      </c>
      <c r="AD223" s="26">
        <f>IFERROR(__xludf.DUMMYFUNCTION("""COMPUTED_VALUE"""),0.0)</f>
        <v>0</v>
      </c>
      <c r="AE223" s="26">
        <f>IFERROR(__xludf.DUMMYFUNCTION("""COMPUTED_VALUE"""),0.0)</f>
        <v>0</v>
      </c>
    </row>
    <row r="224">
      <c r="A224" s="26">
        <f>IFERROR(__xludf.DUMMYFUNCTION("""COMPUTED_VALUE"""),0.0)</f>
        <v>0</v>
      </c>
      <c r="B224" s="26">
        <f>IFERROR(__xludf.DUMMYFUNCTION("""COMPUTED_VALUE"""),0.0)</f>
        <v>0</v>
      </c>
      <c r="C224" s="26">
        <f>IFERROR(__xludf.DUMMYFUNCTION("""COMPUTED_VALUE"""),1162.0)</f>
        <v>1162</v>
      </c>
      <c r="D224" s="26">
        <f>IFERROR(__xludf.DUMMYFUNCTION("""COMPUTED_VALUE"""),0.0)</f>
        <v>0</v>
      </c>
      <c r="E224" s="26">
        <f>IFERROR(__xludf.DUMMYFUNCTION("""COMPUTED_VALUE"""),0.0)</f>
        <v>0</v>
      </c>
      <c r="F224" s="26">
        <f>IFERROR(__xludf.DUMMYFUNCTION("""COMPUTED_VALUE"""),0.0)</f>
        <v>0</v>
      </c>
      <c r="G224" s="26">
        <f>IFERROR(__xludf.DUMMYFUNCTION("""COMPUTED_VALUE"""),0.0)</f>
        <v>0</v>
      </c>
      <c r="H224" s="26">
        <f>IFERROR(__xludf.DUMMYFUNCTION("""COMPUTED_VALUE"""),0.0)</f>
        <v>0</v>
      </c>
      <c r="I224" s="26">
        <f>IFERROR(__xludf.DUMMYFUNCTION("""COMPUTED_VALUE"""),0.0)</f>
        <v>0</v>
      </c>
      <c r="J224" s="26">
        <f>IFERROR(__xludf.DUMMYFUNCTION("""COMPUTED_VALUE"""),0.0)</f>
        <v>0</v>
      </c>
      <c r="K224" s="26">
        <f>IFERROR(__xludf.DUMMYFUNCTION("""COMPUTED_VALUE"""),0.0)</f>
        <v>0</v>
      </c>
      <c r="L224" s="26"/>
      <c r="M224" s="26"/>
      <c r="N224" s="26"/>
      <c r="O224" s="26"/>
      <c r="P224" s="26"/>
      <c r="Q224" s="26"/>
      <c r="R224" s="26">
        <f>IFERROR(__xludf.DUMMYFUNCTION("""COMPUTED_VALUE"""),513604.0)</f>
        <v>513604</v>
      </c>
      <c r="S224" s="26">
        <f>IFERROR(__xludf.DUMMYFUNCTION("""COMPUTED_VALUE"""),250790.0)</f>
        <v>250790</v>
      </c>
      <c r="T224" s="26">
        <f>IFERROR(__xludf.DUMMYFUNCTION("""COMPUTED_VALUE"""),0.0)</f>
        <v>0</v>
      </c>
      <c r="U224" s="26">
        <f>IFERROR(__xludf.DUMMYFUNCTION("""COMPUTED_VALUE"""),0.0)</f>
        <v>0</v>
      </c>
      <c r="V224" s="26">
        <f>IFERROR(__xludf.DUMMYFUNCTION("""COMPUTED_VALUE"""),78342.03999999998)</f>
        <v>78342.04</v>
      </c>
      <c r="W224" s="26">
        <f>IFERROR(__xludf.DUMMYFUNCTION("""COMPUTED_VALUE"""),338356.80000000057)</f>
        <v>338356.8</v>
      </c>
      <c r="X224" s="26">
        <f>IFERROR(__xludf.DUMMYFUNCTION("""COMPUTED_VALUE"""),338356.80000000057)</f>
        <v>338356.8</v>
      </c>
      <c r="Y224" s="26">
        <f>IFERROR(__xludf.DUMMYFUNCTION("""COMPUTED_VALUE"""),184471.96000000072)</f>
        <v>184471.96</v>
      </c>
      <c r="Z224" s="26">
        <f>IFERROR(__xludf.DUMMYFUNCTION("""COMPUTED_VALUE"""),175247.19999999958)</f>
        <v>175247.2</v>
      </c>
      <c r="AA224" s="26">
        <f>IFERROR(__xludf.DUMMYFUNCTION("""COMPUTED_VALUE"""),9224.760000000017)</f>
        <v>9224.76</v>
      </c>
      <c r="AB224" s="26">
        <f>IFERROR(__xludf.DUMMYFUNCTION("""COMPUTED_VALUE"""),0.0)</f>
        <v>0</v>
      </c>
      <c r="AC224" s="26">
        <f>IFERROR(__xludf.DUMMYFUNCTION("""COMPUTED_VALUE"""),0.0)</f>
        <v>0</v>
      </c>
      <c r="AD224" s="26">
        <f>IFERROR(__xludf.DUMMYFUNCTION("""COMPUTED_VALUE"""),344000.0)</f>
        <v>344000</v>
      </c>
      <c r="AE224" s="26">
        <f>IFERROR(__xludf.DUMMYFUNCTION("""COMPUTED_VALUE"""),0.0)</f>
        <v>0</v>
      </c>
    </row>
    <row r="225">
      <c r="A225" s="26">
        <f>IFERROR(__xludf.DUMMYFUNCTION("""COMPUTED_VALUE"""),0.0)</f>
        <v>0</v>
      </c>
      <c r="B225" s="26">
        <f>IFERROR(__xludf.DUMMYFUNCTION("""COMPUTED_VALUE"""),0.0)</f>
        <v>0</v>
      </c>
      <c r="C225" s="26">
        <f>IFERROR(__xludf.DUMMYFUNCTION("""COMPUTED_VALUE"""),0.0)</f>
        <v>0</v>
      </c>
      <c r="D225" s="26">
        <f>IFERROR(__xludf.DUMMYFUNCTION("""COMPUTED_VALUE"""),0.0)</f>
        <v>0</v>
      </c>
      <c r="E225" s="26">
        <f>IFERROR(__xludf.DUMMYFUNCTION("""COMPUTED_VALUE"""),0.0)</f>
        <v>0</v>
      </c>
      <c r="F225" s="26">
        <f>IFERROR(__xludf.DUMMYFUNCTION("""COMPUTED_VALUE"""),0.0)</f>
        <v>0</v>
      </c>
      <c r="G225" s="26">
        <f>IFERROR(__xludf.DUMMYFUNCTION("""COMPUTED_VALUE"""),0.0)</f>
        <v>0</v>
      </c>
      <c r="H225" s="26">
        <f>IFERROR(__xludf.DUMMYFUNCTION("""COMPUTED_VALUE"""),0.0)</f>
        <v>0</v>
      </c>
      <c r="I225" s="26">
        <f>IFERROR(__xludf.DUMMYFUNCTION("""COMPUTED_VALUE"""),0.0)</f>
        <v>0</v>
      </c>
      <c r="J225" s="26">
        <f>IFERROR(__xludf.DUMMYFUNCTION("""COMPUTED_VALUE"""),0.0)</f>
        <v>0</v>
      </c>
      <c r="K225" s="26">
        <f>IFERROR(__xludf.DUMMYFUNCTION("""COMPUTED_VALUE"""),64.0)</f>
        <v>64</v>
      </c>
      <c r="L225" s="26"/>
      <c r="M225" s="26"/>
      <c r="N225" s="26"/>
      <c r="O225" s="26"/>
      <c r="P225" s="26"/>
      <c r="Q225" s="26"/>
      <c r="R225" s="26">
        <f>IFERROR(__xludf.DUMMYFUNCTION("""COMPUTED_VALUE"""),70800.0)</f>
        <v>70800</v>
      </c>
      <c r="S225" s="26">
        <f>IFERROR(__xludf.DUMMYFUNCTION("""COMPUTED_VALUE"""),12000.0)</f>
        <v>12000</v>
      </c>
      <c r="T225" s="26">
        <f>IFERROR(__xludf.DUMMYFUNCTION("""COMPUTED_VALUE"""),0.0)</f>
        <v>0</v>
      </c>
      <c r="U225" s="26">
        <f>IFERROR(__xludf.DUMMYFUNCTION("""COMPUTED_VALUE"""),0.0)</f>
        <v>0</v>
      </c>
      <c r="V225" s="26">
        <f>IFERROR(__xludf.DUMMYFUNCTION("""COMPUTED_VALUE"""),10800.0)</f>
        <v>10800</v>
      </c>
      <c r="W225" s="26">
        <f>IFERROR(__xludf.DUMMYFUNCTION("""COMPUTED_VALUE"""),70800.0)</f>
        <v>70800</v>
      </c>
      <c r="X225" s="26">
        <f>IFERROR(__xludf.DUMMYFUNCTION("""COMPUTED_VALUE"""),25200.0)</f>
        <v>25200</v>
      </c>
      <c r="Y225" s="26">
        <f>IFERROR(__xludf.DUMMYFUNCTION("""COMPUTED_VALUE"""),48000.0)</f>
        <v>48000</v>
      </c>
      <c r="Z225" s="26">
        <f>IFERROR(__xludf.DUMMYFUNCTION("""COMPUTED_VALUE"""),0.0)</f>
        <v>0</v>
      </c>
      <c r="AA225" s="26">
        <f>IFERROR(__xludf.DUMMYFUNCTION("""COMPUTED_VALUE"""),2400.0)</f>
        <v>2400</v>
      </c>
      <c r="AB225" s="26">
        <f>IFERROR(__xludf.DUMMYFUNCTION("""COMPUTED_VALUE"""),45600.0)</f>
        <v>45600</v>
      </c>
      <c r="AC225" s="26">
        <f>IFERROR(__xludf.DUMMYFUNCTION("""COMPUTED_VALUE"""),0.0)</f>
        <v>0</v>
      </c>
      <c r="AD225" s="26">
        <f>IFERROR(__xludf.DUMMYFUNCTION("""COMPUTED_VALUE"""),70800.0)</f>
        <v>70800</v>
      </c>
      <c r="AE225" s="26">
        <f>IFERROR(__xludf.DUMMYFUNCTION("""COMPUTED_VALUE"""),0.0)</f>
        <v>0</v>
      </c>
    </row>
    <row r="226">
      <c r="A226" s="26">
        <f>IFERROR(__xludf.DUMMYFUNCTION("""COMPUTED_VALUE"""),0.0)</f>
        <v>0</v>
      </c>
      <c r="B226" s="26">
        <f>IFERROR(__xludf.DUMMYFUNCTION("""COMPUTED_VALUE"""),0.0)</f>
        <v>0</v>
      </c>
      <c r="C226" s="26">
        <f>IFERROR(__xludf.DUMMYFUNCTION("""COMPUTED_VALUE"""),1067.0)</f>
        <v>1067</v>
      </c>
      <c r="D226" s="26">
        <f>IFERROR(__xludf.DUMMYFUNCTION("""COMPUTED_VALUE"""),0.0)</f>
        <v>0</v>
      </c>
      <c r="E226" s="26">
        <f>IFERROR(__xludf.DUMMYFUNCTION("""COMPUTED_VALUE"""),0.0)</f>
        <v>0</v>
      </c>
      <c r="F226" s="26">
        <f>IFERROR(__xludf.DUMMYFUNCTION("""COMPUTED_VALUE"""),0.0)</f>
        <v>0</v>
      </c>
      <c r="G226" s="26">
        <f>IFERROR(__xludf.DUMMYFUNCTION("""COMPUTED_VALUE"""),0.0)</f>
        <v>0</v>
      </c>
      <c r="H226" s="26">
        <f>IFERROR(__xludf.DUMMYFUNCTION("""COMPUTED_VALUE"""),0.0)</f>
        <v>0</v>
      </c>
      <c r="I226" s="26">
        <f>IFERROR(__xludf.DUMMYFUNCTION("""COMPUTED_VALUE"""),0.0)</f>
        <v>0</v>
      </c>
      <c r="J226" s="26">
        <f>IFERROR(__xludf.DUMMYFUNCTION("""COMPUTED_VALUE"""),0.0)</f>
        <v>0</v>
      </c>
      <c r="K226" s="26">
        <f>IFERROR(__xludf.DUMMYFUNCTION("""COMPUTED_VALUE"""),0.0)</f>
        <v>0</v>
      </c>
      <c r="L226" s="26"/>
      <c r="M226" s="26"/>
      <c r="N226" s="26"/>
      <c r="O226" s="26"/>
      <c r="P226" s="26"/>
      <c r="Q226" s="26"/>
      <c r="R226" s="26">
        <f>IFERROR(__xludf.DUMMYFUNCTION("""COMPUTED_VALUE"""),471614.0)</f>
        <v>471614</v>
      </c>
      <c r="S226" s="26">
        <f>IFERROR(__xludf.DUMMYFUNCTION("""COMPUTED_VALUE"""),250745.0)</f>
        <v>250745</v>
      </c>
      <c r="T226" s="26">
        <f>IFERROR(__xludf.DUMMYFUNCTION("""COMPUTED_VALUE"""),0.0)</f>
        <v>0</v>
      </c>
      <c r="U226" s="26">
        <f>IFERROR(__xludf.DUMMYFUNCTION("""COMPUTED_VALUE"""),0.0)</f>
        <v>0</v>
      </c>
      <c r="V226" s="26">
        <f>IFERROR(__xludf.DUMMYFUNCTION("""COMPUTED_VALUE"""),71937.14000000007)</f>
        <v>71937.14</v>
      </c>
      <c r="W226" s="26">
        <f>IFERROR(__xludf.DUMMYFUNCTION("""COMPUTED_VALUE"""),0.0)</f>
        <v>0</v>
      </c>
      <c r="X226" s="26">
        <f>IFERROR(__xludf.DUMMYFUNCTION("""COMPUTED_VALUE"""),0.0)</f>
        <v>0</v>
      </c>
      <c r="Y226" s="26">
        <f>IFERROR(__xludf.DUMMYFUNCTION("""COMPUTED_VALUE"""),0.0)</f>
        <v>0</v>
      </c>
      <c r="Z226" s="26">
        <f>IFERROR(__xludf.DUMMYFUNCTION("""COMPUTED_VALUE"""),0.0)</f>
        <v>0</v>
      </c>
      <c r="AA226" s="26">
        <f>IFERROR(__xludf.DUMMYFUNCTION("""COMPUTED_VALUE"""),0.0)</f>
        <v>0</v>
      </c>
      <c r="AB226" s="26">
        <f>IFERROR(__xludf.DUMMYFUNCTION("""COMPUTED_VALUE"""),0.0)</f>
        <v>0</v>
      </c>
      <c r="AC226" s="26">
        <f>IFERROR(__xludf.DUMMYFUNCTION("""COMPUTED_VALUE"""),0.0)</f>
        <v>0</v>
      </c>
      <c r="AD226" s="26">
        <f>IFERROR(__xludf.DUMMYFUNCTION("""COMPUTED_VALUE"""),0.0)</f>
        <v>0</v>
      </c>
      <c r="AE226" s="26">
        <f>IFERROR(__xludf.DUMMYFUNCTION("""COMPUTED_VALUE"""),0.0)</f>
        <v>0</v>
      </c>
    </row>
    <row r="227">
      <c r="A227" s="26">
        <f>IFERROR(__xludf.DUMMYFUNCTION("""COMPUTED_VALUE"""),0.0)</f>
        <v>0</v>
      </c>
      <c r="B227" s="26">
        <f>IFERROR(__xludf.DUMMYFUNCTION("""COMPUTED_VALUE"""),0.0)</f>
        <v>0</v>
      </c>
      <c r="C227" s="26">
        <f>IFERROR(__xludf.DUMMYFUNCTION("""COMPUTED_VALUE"""),607.0)</f>
        <v>607</v>
      </c>
      <c r="D227" s="26">
        <f>IFERROR(__xludf.DUMMYFUNCTION("""COMPUTED_VALUE"""),0.0)</f>
        <v>0</v>
      </c>
      <c r="E227" s="26">
        <f>IFERROR(__xludf.DUMMYFUNCTION("""COMPUTED_VALUE"""),0.0)</f>
        <v>0</v>
      </c>
      <c r="F227" s="26">
        <f>IFERROR(__xludf.DUMMYFUNCTION("""COMPUTED_VALUE"""),0.0)</f>
        <v>0</v>
      </c>
      <c r="G227" s="26">
        <f>IFERROR(__xludf.DUMMYFUNCTION("""COMPUTED_VALUE"""),0.0)</f>
        <v>0</v>
      </c>
      <c r="H227" s="26">
        <f>IFERROR(__xludf.DUMMYFUNCTION("""COMPUTED_VALUE"""),0.0)</f>
        <v>0</v>
      </c>
      <c r="I227" s="26">
        <f>IFERROR(__xludf.DUMMYFUNCTION("""COMPUTED_VALUE"""),0.0)</f>
        <v>0</v>
      </c>
      <c r="J227" s="26">
        <f>IFERROR(__xludf.DUMMYFUNCTION("""COMPUTED_VALUE"""),0.0)</f>
        <v>0</v>
      </c>
      <c r="K227" s="26">
        <f>IFERROR(__xludf.DUMMYFUNCTION("""COMPUTED_VALUE"""),0.0)</f>
        <v>0</v>
      </c>
      <c r="L227" s="26"/>
      <c r="M227" s="26"/>
      <c r="N227" s="26"/>
      <c r="O227" s="26"/>
      <c r="P227" s="26"/>
      <c r="Q227" s="26"/>
      <c r="R227" s="26">
        <f>IFERROR(__xludf.DUMMYFUNCTION("""COMPUTED_VALUE"""),268294.0)</f>
        <v>268294</v>
      </c>
      <c r="S227" s="26">
        <f>IFERROR(__xludf.DUMMYFUNCTION("""COMPUTED_VALUE"""),142645.0)</f>
        <v>142645</v>
      </c>
      <c r="T227" s="26">
        <f>IFERROR(__xludf.DUMMYFUNCTION("""COMPUTED_VALUE"""),0.0)</f>
        <v>0</v>
      </c>
      <c r="U227" s="26">
        <f>IFERROR(__xludf.DUMMYFUNCTION("""COMPUTED_VALUE"""),0.0)</f>
        <v>0</v>
      </c>
      <c r="V227" s="26">
        <f>IFERROR(__xludf.DUMMYFUNCTION("""COMPUTED_VALUE"""),40923.94000000003)</f>
        <v>40923.94</v>
      </c>
      <c r="W227" s="26">
        <f>IFERROR(__xludf.DUMMYFUNCTION("""COMPUTED_VALUE"""),0.0)</f>
        <v>0</v>
      </c>
      <c r="X227" s="26">
        <f>IFERROR(__xludf.DUMMYFUNCTION("""COMPUTED_VALUE"""),0.0)</f>
        <v>0</v>
      </c>
      <c r="Y227" s="26">
        <f>IFERROR(__xludf.DUMMYFUNCTION("""COMPUTED_VALUE"""),0.0)</f>
        <v>0</v>
      </c>
      <c r="Z227" s="26">
        <f>IFERROR(__xludf.DUMMYFUNCTION("""COMPUTED_VALUE"""),0.0)</f>
        <v>0</v>
      </c>
      <c r="AA227" s="26">
        <f>IFERROR(__xludf.DUMMYFUNCTION("""COMPUTED_VALUE"""),0.0)</f>
        <v>0</v>
      </c>
      <c r="AB227" s="26">
        <f>IFERROR(__xludf.DUMMYFUNCTION("""COMPUTED_VALUE"""),0.0)</f>
        <v>0</v>
      </c>
      <c r="AC227" s="26">
        <f>IFERROR(__xludf.DUMMYFUNCTION("""COMPUTED_VALUE"""),0.0)</f>
        <v>0</v>
      </c>
      <c r="AD227" s="26">
        <f>IFERROR(__xludf.DUMMYFUNCTION("""COMPUTED_VALUE"""),0.0)</f>
        <v>0</v>
      </c>
      <c r="AE227" s="26">
        <f>IFERROR(__xludf.DUMMYFUNCTION("""COMPUTED_VALUE"""),0.0)</f>
        <v>0</v>
      </c>
    </row>
    <row r="228">
      <c r="A228" s="26">
        <f>IFERROR(__xludf.DUMMYFUNCTION("""COMPUTED_VALUE"""),420.0)</f>
        <v>420</v>
      </c>
      <c r="B228" s="26">
        <f>IFERROR(__xludf.DUMMYFUNCTION("""COMPUTED_VALUE"""),0.0)</f>
        <v>0</v>
      </c>
      <c r="C228" s="26">
        <f>IFERROR(__xludf.DUMMYFUNCTION("""COMPUTED_VALUE"""),0.0)</f>
        <v>0</v>
      </c>
      <c r="D228" s="26">
        <f>IFERROR(__xludf.DUMMYFUNCTION("""COMPUTED_VALUE"""),0.0)</f>
        <v>0</v>
      </c>
      <c r="E228" s="26">
        <f>IFERROR(__xludf.DUMMYFUNCTION("""COMPUTED_VALUE"""),0.0)</f>
        <v>0</v>
      </c>
      <c r="F228" s="26">
        <f>IFERROR(__xludf.DUMMYFUNCTION("""COMPUTED_VALUE"""),0.0)</f>
        <v>0</v>
      </c>
      <c r="G228" s="26">
        <f>IFERROR(__xludf.DUMMYFUNCTION("""COMPUTED_VALUE"""),0.0)</f>
        <v>0</v>
      </c>
      <c r="H228" s="26">
        <f>IFERROR(__xludf.DUMMYFUNCTION("""COMPUTED_VALUE"""),0.0)</f>
        <v>0</v>
      </c>
      <c r="I228" s="26">
        <f>IFERROR(__xludf.DUMMYFUNCTION("""COMPUTED_VALUE"""),0.0)</f>
        <v>0</v>
      </c>
      <c r="J228" s="26">
        <f>IFERROR(__xludf.DUMMYFUNCTION("""COMPUTED_VALUE"""),0.0)</f>
        <v>0</v>
      </c>
      <c r="K228" s="26">
        <f>IFERROR(__xludf.DUMMYFUNCTION("""COMPUTED_VALUE"""),0.0)</f>
        <v>0</v>
      </c>
      <c r="L228" s="26"/>
      <c r="M228" s="26"/>
      <c r="N228" s="26"/>
      <c r="O228" s="26"/>
      <c r="P228" s="26"/>
      <c r="Q228" s="26"/>
      <c r="R228" s="26">
        <f>IFERROR(__xludf.DUMMYFUNCTION("""COMPUTED_VALUE"""),185640.0)</f>
        <v>185640</v>
      </c>
      <c r="S228" s="26">
        <f>IFERROR(__xludf.DUMMYFUNCTION("""COMPUTED_VALUE"""),80640.0)</f>
        <v>80640</v>
      </c>
      <c r="T228" s="26">
        <f>IFERROR(__xludf.DUMMYFUNCTION("""COMPUTED_VALUE"""),0.0)</f>
        <v>0</v>
      </c>
      <c r="U228" s="26">
        <f>IFERROR(__xludf.DUMMYFUNCTION("""COMPUTED_VALUE"""),0.0)</f>
        <v>0</v>
      </c>
      <c r="V228" s="26">
        <f>IFERROR(__xludf.DUMMYFUNCTION("""COMPUTED_VALUE"""),28316.40000000002)</f>
        <v>28316.4</v>
      </c>
      <c r="W228" s="26">
        <f>IFERROR(__xludf.DUMMYFUNCTION("""COMPUTED_VALUE"""),0.0)</f>
        <v>0</v>
      </c>
      <c r="X228" s="26">
        <f>IFERROR(__xludf.DUMMYFUNCTION("""COMPUTED_VALUE"""),0.0)</f>
        <v>0</v>
      </c>
      <c r="Y228" s="26">
        <f>IFERROR(__xludf.DUMMYFUNCTION("""COMPUTED_VALUE"""),0.0)</f>
        <v>0</v>
      </c>
      <c r="Z228" s="26">
        <f>IFERROR(__xludf.DUMMYFUNCTION("""COMPUTED_VALUE"""),0.0)</f>
        <v>0</v>
      </c>
      <c r="AA228" s="26">
        <f>IFERROR(__xludf.DUMMYFUNCTION("""COMPUTED_VALUE"""),0.0)</f>
        <v>0</v>
      </c>
      <c r="AB228" s="26">
        <f>IFERROR(__xludf.DUMMYFUNCTION("""COMPUTED_VALUE"""),0.0)</f>
        <v>0</v>
      </c>
      <c r="AC228" s="26">
        <f>IFERROR(__xludf.DUMMYFUNCTION("""COMPUTED_VALUE"""),0.0)</f>
        <v>0</v>
      </c>
      <c r="AD228" s="26">
        <f>IFERROR(__xludf.DUMMYFUNCTION("""COMPUTED_VALUE"""),0.0)</f>
        <v>0</v>
      </c>
      <c r="AE228" s="26">
        <f>IFERROR(__xludf.DUMMYFUNCTION("""COMPUTED_VALUE"""),0.0)</f>
        <v>0</v>
      </c>
    </row>
    <row r="229">
      <c r="A229" s="26">
        <f>IFERROR(__xludf.DUMMYFUNCTION("""COMPUTED_VALUE"""),0.0)</f>
        <v>0</v>
      </c>
      <c r="B229" s="26">
        <f>IFERROR(__xludf.DUMMYFUNCTION("""COMPUTED_VALUE"""),0.0)</f>
        <v>0</v>
      </c>
      <c r="C229" s="26">
        <f>IFERROR(__xludf.DUMMYFUNCTION("""COMPUTED_VALUE"""),0.0)</f>
        <v>0</v>
      </c>
      <c r="D229" s="26">
        <f>IFERROR(__xludf.DUMMYFUNCTION("""COMPUTED_VALUE"""),0.0)</f>
        <v>0</v>
      </c>
      <c r="E229" s="26">
        <f>IFERROR(__xludf.DUMMYFUNCTION("""COMPUTED_VALUE"""),132.0)</f>
        <v>132</v>
      </c>
      <c r="F229" s="26">
        <f>IFERROR(__xludf.DUMMYFUNCTION("""COMPUTED_VALUE"""),0.0)</f>
        <v>0</v>
      </c>
      <c r="G229" s="26">
        <f>IFERROR(__xludf.DUMMYFUNCTION("""COMPUTED_VALUE"""),0.0)</f>
        <v>0</v>
      </c>
      <c r="H229" s="26">
        <f>IFERROR(__xludf.DUMMYFUNCTION("""COMPUTED_VALUE"""),0.0)</f>
        <v>0</v>
      </c>
      <c r="I229" s="26">
        <f>IFERROR(__xludf.DUMMYFUNCTION("""COMPUTED_VALUE"""),0.0)</f>
        <v>0</v>
      </c>
      <c r="J229" s="26">
        <f>IFERROR(__xludf.DUMMYFUNCTION("""COMPUTED_VALUE"""),0.0)</f>
        <v>0</v>
      </c>
      <c r="K229" s="26">
        <f>IFERROR(__xludf.DUMMYFUNCTION("""COMPUTED_VALUE"""),0.0)</f>
        <v>0</v>
      </c>
      <c r="L229" s="26"/>
      <c r="M229" s="26"/>
      <c r="N229" s="26"/>
      <c r="O229" s="26"/>
      <c r="P229" s="26"/>
      <c r="Q229" s="26"/>
      <c r="R229" s="26">
        <f>IFERROR(__xludf.DUMMYFUNCTION("""COMPUTED_VALUE"""),244200.0)</f>
        <v>244200</v>
      </c>
      <c r="S229" s="26">
        <f>IFERROR(__xludf.DUMMYFUNCTION("""COMPUTED_VALUE"""),22440.0)</f>
        <v>22440</v>
      </c>
      <c r="T229" s="26">
        <f>IFERROR(__xludf.DUMMYFUNCTION("""COMPUTED_VALUE"""),0.0)</f>
        <v>0</v>
      </c>
      <c r="U229" s="26">
        <f>IFERROR(__xludf.DUMMYFUNCTION("""COMPUTED_VALUE"""),0.0)</f>
        <v>0</v>
      </c>
      <c r="V229" s="26">
        <f>IFERROR(__xludf.DUMMYFUNCTION("""COMPUTED_VALUE"""),37250.399999999994)</f>
        <v>37250.4</v>
      </c>
      <c r="W229" s="26">
        <f>IFERROR(__xludf.DUMMYFUNCTION("""COMPUTED_VALUE"""),0.0)</f>
        <v>0</v>
      </c>
      <c r="X229" s="26">
        <f>IFERROR(__xludf.DUMMYFUNCTION("""COMPUTED_VALUE"""),0.0)</f>
        <v>0</v>
      </c>
      <c r="Y229" s="26">
        <f>IFERROR(__xludf.DUMMYFUNCTION("""COMPUTED_VALUE"""),0.0)</f>
        <v>0</v>
      </c>
      <c r="Z229" s="26">
        <f>IFERROR(__xludf.DUMMYFUNCTION("""COMPUTED_VALUE"""),0.0)</f>
        <v>0</v>
      </c>
      <c r="AA229" s="26">
        <f>IFERROR(__xludf.DUMMYFUNCTION("""COMPUTED_VALUE"""),0.0)</f>
        <v>0</v>
      </c>
      <c r="AB229" s="26">
        <f>IFERROR(__xludf.DUMMYFUNCTION("""COMPUTED_VALUE"""),0.0)</f>
        <v>0</v>
      </c>
      <c r="AC229" s="26">
        <f>IFERROR(__xludf.DUMMYFUNCTION("""COMPUTED_VALUE"""),0.0)</f>
        <v>0</v>
      </c>
      <c r="AD229" s="26">
        <f>IFERROR(__xludf.DUMMYFUNCTION("""COMPUTED_VALUE"""),0.0)</f>
        <v>0</v>
      </c>
      <c r="AE229" s="26">
        <f>IFERROR(__xludf.DUMMYFUNCTION("""COMPUTED_VALUE"""),0.0)</f>
        <v>0</v>
      </c>
    </row>
    <row r="230">
      <c r="A230" s="26">
        <f>IFERROR(__xludf.DUMMYFUNCTION("""COMPUTED_VALUE"""),0.0)</f>
        <v>0</v>
      </c>
      <c r="B230" s="26">
        <f>IFERROR(__xludf.DUMMYFUNCTION("""COMPUTED_VALUE"""),0.0)</f>
        <v>0</v>
      </c>
      <c r="C230" s="26">
        <f>IFERROR(__xludf.DUMMYFUNCTION("""COMPUTED_VALUE"""),0.0)</f>
        <v>0</v>
      </c>
      <c r="D230" s="26">
        <f>IFERROR(__xludf.DUMMYFUNCTION("""COMPUTED_VALUE"""),0.0)</f>
        <v>0</v>
      </c>
      <c r="E230" s="26">
        <f>IFERROR(__xludf.DUMMYFUNCTION("""COMPUTED_VALUE"""),13.0)</f>
        <v>13</v>
      </c>
      <c r="F230" s="26">
        <f>IFERROR(__xludf.DUMMYFUNCTION("""COMPUTED_VALUE"""),0.0)</f>
        <v>0</v>
      </c>
      <c r="G230" s="26">
        <f>IFERROR(__xludf.DUMMYFUNCTION("""COMPUTED_VALUE"""),0.0)</f>
        <v>0</v>
      </c>
      <c r="H230" s="26">
        <f>IFERROR(__xludf.DUMMYFUNCTION("""COMPUTED_VALUE"""),0.0)</f>
        <v>0</v>
      </c>
      <c r="I230" s="26">
        <f>IFERROR(__xludf.DUMMYFUNCTION("""COMPUTED_VALUE"""),0.0)</f>
        <v>0</v>
      </c>
      <c r="J230" s="26">
        <f>IFERROR(__xludf.DUMMYFUNCTION("""COMPUTED_VALUE"""),0.0)</f>
        <v>0</v>
      </c>
      <c r="K230" s="26">
        <f>IFERROR(__xludf.DUMMYFUNCTION("""COMPUTED_VALUE"""),0.0)</f>
        <v>0</v>
      </c>
      <c r="L230" s="26"/>
      <c r="M230" s="26"/>
      <c r="N230" s="26"/>
      <c r="O230" s="26"/>
      <c r="P230" s="26"/>
      <c r="Q230" s="26"/>
      <c r="R230" s="26">
        <f>IFERROR(__xludf.DUMMYFUNCTION("""COMPUTED_VALUE"""),24050.0)</f>
        <v>24050</v>
      </c>
      <c r="S230" s="26">
        <f>IFERROR(__xludf.DUMMYFUNCTION("""COMPUTED_VALUE"""),2210.0)</f>
        <v>2210</v>
      </c>
      <c r="T230" s="26">
        <f>IFERROR(__xludf.DUMMYFUNCTION("""COMPUTED_VALUE"""),0.0)</f>
        <v>0</v>
      </c>
      <c r="U230" s="26">
        <f>IFERROR(__xludf.DUMMYFUNCTION("""COMPUTED_VALUE"""),0.0)</f>
        <v>0</v>
      </c>
      <c r="V230" s="26">
        <f>IFERROR(__xludf.DUMMYFUNCTION("""COMPUTED_VALUE"""),3668.599999999999)</f>
        <v>3668.6</v>
      </c>
      <c r="W230" s="26">
        <f>IFERROR(__xludf.DUMMYFUNCTION("""COMPUTED_VALUE"""),0.0)</f>
        <v>0</v>
      </c>
      <c r="X230" s="26">
        <f>IFERROR(__xludf.DUMMYFUNCTION("""COMPUTED_VALUE"""),0.0)</f>
        <v>0</v>
      </c>
      <c r="Y230" s="26">
        <f>IFERROR(__xludf.DUMMYFUNCTION("""COMPUTED_VALUE"""),0.0)</f>
        <v>0</v>
      </c>
      <c r="Z230" s="26">
        <f>IFERROR(__xludf.DUMMYFUNCTION("""COMPUTED_VALUE"""),0.0)</f>
        <v>0</v>
      </c>
      <c r="AA230" s="26">
        <f>IFERROR(__xludf.DUMMYFUNCTION("""COMPUTED_VALUE"""),0.0)</f>
        <v>0</v>
      </c>
      <c r="AB230" s="26">
        <f>IFERROR(__xludf.DUMMYFUNCTION("""COMPUTED_VALUE"""),0.0)</f>
        <v>0</v>
      </c>
      <c r="AC230" s="26">
        <f>IFERROR(__xludf.DUMMYFUNCTION("""COMPUTED_VALUE"""),0.0)</f>
        <v>0</v>
      </c>
      <c r="AD230" s="26">
        <f>IFERROR(__xludf.DUMMYFUNCTION("""COMPUTED_VALUE"""),0.0)</f>
        <v>0</v>
      </c>
      <c r="AE230" s="26">
        <f>IFERROR(__xludf.DUMMYFUNCTION("""COMPUTED_VALUE"""),0.0)</f>
        <v>0</v>
      </c>
    </row>
    <row r="231">
      <c r="A231" s="26">
        <f>IFERROR(__xludf.DUMMYFUNCTION("""COMPUTED_VALUE"""),0.0)</f>
        <v>0</v>
      </c>
      <c r="B231" s="26">
        <f>IFERROR(__xludf.DUMMYFUNCTION("""COMPUTED_VALUE"""),0.0)</f>
        <v>0</v>
      </c>
      <c r="C231" s="26">
        <f>IFERROR(__xludf.DUMMYFUNCTION("""COMPUTED_VALUE"""),0.0)</f>
        <v>0</v>
      </c>
      <c r="D231" s="26">
        <f>IFERROR(__xludf.DUMMYFUNCTION("""COMPUTED_VALUE"""),0.0)</f>
        <v>0</v>
      </c>
      <c r="E231" s="26">
        <f>IFERROR(__xludf.DUMMYFUNCTION("""COMPUTED_VALUE"""),317.0)</f>
        <v>317</v>
      </c>
      <c r="F231" s="26">
        <f>IFERROR(__xludf.DUMMYFUNCTION("""COMPUTED_VALUE"""),0.0)</f>
        <v>0</v>
      </c>
      <c r="G231" s="26">
        <f>IFERROR(__xludf.DUMMYFUNCTION("""COMPUTED_VALUE"""),0.0)</f>
        <v>0</v>
      </c>
      <c r="H231" s="26">
        <f>IFERROR(__xludf.DUMMYFUNCTION("""COMPUTED_VALUE"""),0.0)</f>
        <v>0</v>
      </c>
      <c r="I231" s="26">
        <f>IFERROR(__xludf.DUMMYFUNCTION("""COMPUTED_VALUE"""),0.0)</f>
        <v>0</v>
      </c>
      <c r="J231" s="26">
        <f>IFERROR(__xludf.DUMMYFUNCTION("""COMPUTED_VALUE"""),0.0)</f>
        <v>0</v>
      </c>
      <c r="K231" s="26">
        <f>IFERROR(__xludf.DUMMYFUNCTION("""COMPUTED_VALUE"""),0.0)</f>
        <v>0</v>
      </c>
      <c r="L231" s="26"/>
      <c r="M231" s="26"/>
      <c r="N231" s="26"/>
      <c r="O231" s="26"/>
      <c r="P231" s="26"/>
      <c r="Q231" s="26"/>
      <c r="R231" s="26">
        <f>IFERROR(__xludf.DUMMYFUNCTION("""COMPUTED_VALUE"""),67678.89999999995)</f>
        <v>67678.9</v>
      </c>
      <c r="S231" s="26">
        <f>IFERROR(__xludf.DUMMYFUNCTION("""COMPUTED_VALUE"""),57355.0)</f>
        <v>57355</v>
      </c>
      <c r="T231" s="26">
        <f>IFERROR(__xludf.DUMMYFUNCTION("""COMPUTED_VALUE"""),0.0)</f>
        <v>0</v>
      </c>
      <c r="U231" s="26">
        <f>IFERROR(__xludf.DUMMYFUNCTION("""COMPUTED_VALUE"""),0.0)</f>
        <v>0</v>
      </c>
      <c r="V231" s="26">
        <f>IFERROR(__xludf.DUMMYFUNCTION("""COMPUTED_VALUE"""),10323.900000000001)</f>
        <v>10323.9</v>
      </c>
      <c r="W231" s="26">
        <f>IFERROR(__xludf.DUMMYFUNCTION("""COMPUTED_VALUE"""),0.0)</f>
        <v>0</v>
      </c>
      <c r="X231" s="26">
        <f>IFERROR(__xludf.DUMMYFUNCTION("""COMPUTED_VALUE"""),0.0)</f>
        <v>0</v>
      </c>
      <c r="Y231" s="26">
        <f>IFERROR(__xludf.DUMMYFUNCTION("""COMPUTED_VALUE"""),0.0)</f>
        <v>0</v>
      </c>
      <c r="Z231" s="26">
        <f>IFERROR(__xludf.DUMMYFUNCTION("""COMPUTED_VALUE"""),0.0)</f>
        <v>0</v>
      </c>
      <c r="AA231" s="26">
        <f>IFERROR(__xludf.DUMMYFUNCTION("""COMPUTED_VALUE"""),0.0)</f>
        <v>0</v>
      </c>
      <c r="AB231" s="26">
        <f>IFERROR(__xludf.DUMMYFUNCTION("""COMPUTED_VALUE"""),0.0)</f>
        <v>0</v>
      </c>
      <c r="AC231" s="26">
        <f>IFERROR(__xludf.DUMMYFUNCTION("""COMPUTED_VALUE"""),0.0)</f>
        <v>0</v>
      </c>
      <c r="AD231" s="26">
        <f>IFERROR(__xludf.DUMMYFUNCTION("""COMPUTED_VALUE"""),0.0)</f>
        <v>0</v>
      </c>
      <c r="AE231" s="26">
        <f>IFERROR(__xludf.DUMMYFUNCTION("""COMPUTED_VALUE"""),0.0)</f>
        <v>0</v>
      </c>
    </row>
    <row r="232">
      <c r="A232" s="26">
        <f>IFERROR(__xludf.DUMMYFUNCTION("""COMPUTED_VALUE"""),0.0)</f>
        <v>0</v>
      </c>
      <c r="B232" s="26">
        <f>IFERROR(__xludf.DUMMYFUNCTION("""COMPUTED_VALUE"""),0.0)</f>
        <v>0</v>
      </c>
      <c r="C232" s="26">
        <f>IFERROR(__xludf.DUMMYFUNCTION("""COMPUTED_VALUE"""),0.0)</f>
        <v>0</v>
      </c>
      <c r="D232" s="26">
        <f>IFERROR(__xludf.DUMMYFUNCTION("""COMPUTED_VALUE"""),0.0)</f>
        <v>0</v>
      </c>
      <c r="E232" s="26">
        <f>IFERROR(__xludf.DUMMYFUNCTION("""COMPUTED_VALUE"""),0.0)</f>
        <v>0</v>
      </c>
      <c r="F232" s="26">
        <f>IFERROR(__xludf.DUMMYFUNCTION("""COMPUTED_VALUE"""),0.0)</f>
        <v>0</v>
      </c>
      <c r="G232" s="26">
        <f>IFERROR(__xludf.DUMMYFUNCTION("""COMPUTED_VALUE"""),0.0)</f>
        <v>0</v>
      </c>
      <c r="H232" s="26">
        <f>IFERROR(__xludf.DUMMYFUNCTION("""COMPUTED_VALUE"""),0.0)</f>
        <v>0</v>
      </c>
      <c r="I232" s="26">
        <f>IFERROR(__xludf.DUMMYFUNCTION("""COMPUTED_VALUE"""),0.0)</f>
        <v>0</v>
      </c>
      <c r="J232" s="26">
        <f>IFERROR(__xludf.DUMMYFUNCTION("""COMPUTED_VALUE"""),0.0)</f>
        <v>0</v>
      </c>
      <c r="K232" s="26">
        <f>IFERROR(__xludf.DUMMYFUNCTION("""COMPUTED_VALUE"""),0.0)</f>
        <v>0</v>
      </c>
      <c r="L232" s="26"/>
      <c r="M232" s="26"/>
      <c r="N232" s="26"/>
      <c r="O232" s="26"/>
      <c r="P232" s="26"/>
      <c r="Q232" s="26"/>
      <c r="R232" s="26">
        <f>IFERROR(__xludf.DUMMYFUNCTION("""COMPUTED_VALUE"""),0.0)</f>
        <v>0</v>
      </c>
      <c r="S232" s="26">
        <f>IFERROR(__xludf.DUMMYFUNCTION("""COMPUTED_VALUE"""),0.0)</f>
        <v>0</v>
      </c>
      <c r="T232" s="26">
        <f>IFERROR(__xludf.DUMMYFUNCTION("""COMPUTED_VALUE"""),0.0)</f>
        <v>0</v>
      </c>
      <c r="U232" s="26">
        <f>IFERROR(__xludf.DUMMYFUNCTION("""COMPUTED_VALUE"""),0.0)</f>
        <v>0</v>
      </c>
      <c r="V232" s="26">
        <f>IFERROR(__xludf.DUMMYFUNCTION("""COMPUTED_VALUE"""),0.0)</f>
        <v>0</v>
      </c>
      <c r="W232" s="26">
        <f>IFERROR(__xludf.DUMMYFUNCTION("""COMPUTED_VALUE"""),0.0)</f>
        <v>0</v>
      </c>
      <c r="X232" s="26">
        <f>IFERROR(__xludf.DUMMYFUNCTION("""COMPUTED_VALUE"""),0.0)</f>
        <v>0</v>
      </c>
      <c r="Y232" s="26">
        <f>IFERROR(__xludf.DUMMYFUNCTION("""COMPUTED_VALUE"""),0.0)</f>
        <v>0</v>
      </c>
      <c r="Z232" s="26">
        <f>IFERROR(__xludf.DUMMYFUNCTION("""COMPUTED_VALUE"""),0.0)</f>
        <v>0</v>
      </c>
      <c r="AA232" s="26">
        <f>IFERROR(__xludf.DUMMYFUNCTION("""COMPUTED_VALUE"""),0.0)</f>
        <v>0</v>
      </c>
      <c r="AB232" s="26">
        <f>IFERROR(__xludf.DUMMYFUNCTION("""COMPUTED_VALUE"""),0.0)</f>
        <v>0</v>
      </c>
      <c r="AC232" s="26">
        <f>IFERROR(__xludf.DUMMYFUNCTION("""COMPUTED_VALUE"""),0.0)</f>
        <v>0</v>
      </c>
      <c r="AD232" s="26">
        <f>IFERROR(__xludf.DUMMYFUNCTION("""COMPUTED_VALUE"""),0.0)</f>
        <v>0</v>
      </c>
      <c r="AE232" s="26">
        <f>IFERROR(__xludf.DUMMYFUNCTION("""COMPUTED_VALUE"""),0.0)</f>
        <v>0</v>
      </c>
    </row>
    <row r="233">
      <c r="A233" s="26">
        <f>IFERROR(__xludf.DUMMYFUNCTION("""COMPUTED_VALUE"""),0.0)</f>
        <v>0</v>
      </c>
      <c r="B233" s="26">
        <f>IFERROR(__xludf.DUMMYFUNCTION("""COMPUTED_VALUE"""),0.0)</f>
        <v>0</v>
      </c>
      <c r="C233" s="26">
        <f>IFERROR(__xludf.DUMMYFUNCTION("""COMPUTED_VALUE"""),0.0)</f>
        <v>0</v>
      </c>
      <c r="D233" s="26">
        <f>IFERROR(__xludf.DUMMYFUNCTION("""COMPUTED_VALUE"""),0.0)</f>
        <v>0</v>
      </c>
      <c r="E233" s="26">
        <f>IFERROR(__xludf.DUMMYFUNCTION("""COMPUTED_VALUE"""),0.0)</f>
        <v>0</v>
      </c>
      <c r="F233" s="26">
        <f>IFERROR(__xludf.DUMMYFUNCTION("""COMPUTED_VALUE"""),0.0)</f>
        <v>0</v>
      </c>
      <c r="G233" s="26">
        <f>IFERROR(__xludf.DUMMYFUNCTION("""COMPUTED_VALUE"""),0.0)</f>
        <v>0</v>
      </c>
      <c r="H233" s="26">
        <f>IFERROR(__xludf.DUMMYFUNCTION("""COMPUTED_VALUE"""),0.0)</f>
        <v>0</v>
      </c>
      <c r="I233" s="26">
        <f>IFERROR(__xludf.DUMMYFUNCTION("""COMPUTED_VALUE"""),0.0)</f>
        <v>0</v>
      </c>
      <c r="J233" s="26">
        <f>IFERROR(__xludf.DUMMYFUNCTION("""COMPUTED_VALUE"""),0.0)</f>
        <v>0</v>
      </c>
      <c r="K233" s="26">
        <f>IFERROR(__xludf.DUMMYFUNCTION("""COMPUTED_VALUE"""),1208.0)</f>
        <v>1208</v>
      </c>
      <c r="L233" s="26"/>
      <c r="M233" s="26"/>
      <c r="N233" s="26"/>
      <c r="O233" s="26"/>
      <c r="P233" s="26"/>
      <c r="Q233" s="26"/>
      <c r="R233" s="26">
        <f>IFERROR(__xludf.DUMMYFUNCTION("""COMPUTED_VALUE"""),646200.0)</f>
        <v>646200</v>
      </c>
      <c r="S233" s="26">
        <f>IFERROR(__xludf.DUMMYFUNCTION("""COMPUTED_VALUE"""),244120.0)</f>
        <v>244120</v>
      </c>
      <c r="T233" s="26">
        <f>IFERROR(__xludf.DUMMYFUNCTION("""COMPUTED_VALUE"""),0.0)</f>
        <v>0</v>
      </c>
      <c r="U233" s="26">
        <f>IFERROR(__xludf.DUMMYFUNCTION("""COMPUTED_VALUE"""),0.0)</f>
        <v>0</v>
      </c>
      <c r="V233" s="26">
        <f>IFERROR(__xludf.DUMMYFUNCTION("""COMPUTED_VALUE"""),98567.03999999953)</f>
        <v>98567.04</v>
      </c>
      <c r="W233" s="26">
        <f>IFERROR(__xludf.DUMMYFUNCTION("""COMPUTED_VALUE"""),717305.0000000003)</f>
        <v>717305</v>
      </c>
      <c r="X233" s="26">
        <f>IFERROR(__xludf.DUMMYFUNCTION("""COMPUTED_VALUE"""),546831.7400000005)</f>
        <v>546831.74</v>
      </c>
      <c r="Y233" s="26">
        <f>IFERROR(__xludf.DUMMYFUNCTION("""COMPUTED_VALUE"""),545212.549999998)</f>
        <v>545212.55</v>
      </c>
      <c r="Z233" s="26">
        <f>IFERROR(__xludf.DUMMYFUNCTION("""COMPUTED_VALUE"""),347475.9999999999)</f>
        <v>347476</v>
      </c>
      <c r="AA233" s="26">
        <f>IFERROR(__xludf.DUMMYFUNCTION("""COMPUTED_VALUE"""),27263.289999999914)</f>
        <v>27263.29</v>
      </c>
      <c r="AB233" s="26">
        <f>IFERROR(__xludf.DUMMYFUNCTION("""COMPUTED_VALUE"""),170473.26)</f>
        <v>170473.26</v>
      </c>
      <c r="AC233" s="26">
        <f>IFERROR(__xludf.DUMMYFUNCTION("""COMPUTED_VALUE"""),0.0)</f>
        <v>0</v>
      </c>
      <c r="AD233" s="26">
        <f>IFERROR(__xludf.DUMMYFUNCTION("""COMPUTED_VALUE"""),542962.0)</f>
        <v>542962</v>
      </c>
      <c r="AE233" s="26">
        <f>IFERROR(__xludf.DUMMYFUNCTION("""COMPUTED_VALUE"""),170473.76)</f>
        <v>170473.76</v>
      </c>
    </row>
    <row r="234">
      <c r="A234" s="26">
        <f>IFERROR(__xludf.DUMMYFUNCTION("""COMPUTED_VALUE"""),0.0)</f>
        <v>0</v>
      </c>
      <c r="B234" s="26">
        <f>IFERROR(__xludf.DUMMYFUNCTION("""COMPUTED_VALUE"""),0.0)</f>
        <v>0</v>
      </c>
      <c r="C234" s="26">
        <f>IFERROR(__xludf.DUMMYFUNCTION("""COMPUTED_VALUE"""),1732.0)</f>
        <v>1732</v>
      </c>
      <c r="D234" s="26">
        <f>IFERROR(__xludf.DUMMYFUNCTION("""COMPUTED_VALUE"""),0.0)</f>
        <v>0</v>
      </c>
      <c r="E234" s="26">
        <f>IFERROR(__xludf.DUMMYFUNCTION("""COMPUTED_VALUE"""),0.0)</f>
        <v>0</v>
      </c>
      <c r="F234" s="26">
        <f>IFERROR(__xludf.DUMMYFUNCTION("""COMPUTED_VALUE"""),0.0)</f>
        <v>0</v>
      </c>
      <c r="G234" s="26">
        <f>IFERROR(__xludf.DUMMYFUNCTION("""COMPUTED_VALUE"""),0.0)</f>
        <v>0</v>
      </c>
      <c r="H234" s="26">
        <f>IFERROR(__xludf.DUMMYFUNCTION("""COMPUTED_VALUE"""),0.0)</f>
        <v>0</v>
      </c>
      <c r="I234" s="26">
        <f>IFERROR(__xludf.DUMMYFUNCTION("""COMPUTED_VALUE"""),0.0)</f>
        <v>0</v>
      </c>
      <c r="J234" s="26">
        <f>IFERROR(__xludf.DUMMYFUNCTION("""COMPUTED_VALUE"""),0.0)</f>
        <v>0</v>
      </c>
      <c r="K234" s="26">
        <f>IFERROR(__xludf.DUMMYFUNCTION("""COMPUTED_VALUE"""),0.0)</f>
        <v>0</v>
      </c>
      <c r="L234" s="26"/>
      <c r="M234" s="26"/>
      <c r="N234" s="26"/>
      <c r="O234" s="26"/>
      <c r="P234" s="26"/>
      <c r="Q234" s="26"/>
      <c r="R234" s="26">
        <f>IFERROR(__xludf.DUMMYFUNCTION("""COMPUTED_VALUE"""),765544.0)</f>
        <v>765544</v>
      </c>
      <c r="S234" s="26">
        <f>IFERROR(__xludf.DUMMYFUNCTION("""COMPUTED_VALUE"""),359910.0)</f>
        <v>359910</v>
      </c>
      <c r="T234" s="26">
        <f>IFERROR(__xludf.DUMMYFUNCTION("""COMPUTED_VALUE"""),0.0)</f>
        <v>0</v>
      </c>
      <c r="U234" s="26">
        <f>IFERROR(__xludf.DUMMYFUNCTION("""COMPUTED_VALUE"""),0.0)</f>
        <v>0</v>
      </c>
      <c r="V234" s="26">
        <f>IFERROR(__xludf.DUMMYFUNCTION("""COMPUTED_VALUE"""),116771.4399999996)</f>
        <v>116771.44</v>
      </c>
      <c r="W234" s="26">
        <f>IFERROR(__xludf.DUMMYFUNCTION("""COMPUTED_VALUE"""),491126.2999999995)</f>
        <v>491126.3</v>
      </c>
      <c r="X234" s="26">
        <f>IFERROR(__xludf.DUMMYFUNCTION("""COMPUTED_VALUE"""),491126.2999999995)</f>
        <v>491126.3</v>
      </c>
      <c r="Y234" s="26">
        <f>IFERROR(__xludf.DUMMYFUNCTION("""COMPUTED_VALUE"""),288862.56000000174)</f>
        <v>288862.56</v>
      </c>
      <c r="Z234" s="26">
        <f>IFERROR(__xludf.DUMMYFUNCTION("""COMPUTED_VALUE"""),274417.6999999991)</f>
        <v>274417.7</v>
      </c>
      <c r="AA234" s="26">
        <f>IFERROR(__xludf.DUMMYFUNCTION("""COMPUTED_VALUE"""),14444.860000000028)</f>
        <v>14444.86</v>
      </c>
      <c r="AB234" s="26">
        <f>IFERROR(__xludf.DUMMYFUNCTION("""COMPUTED_VALUE"""),0.0)</f>
        <v>0</v>
      </c>
      <c r="AC234" s="26">
        <f>IFERROR(__xludf.DUMMYFUNCTION("""COMPUTED_VALUE"""),0.0)</f>
        <v>0</v>
      </c>
      <c r="AD234" s="26">
        <f>IFERROR(__xludf.DUMMYFUNCTION("""COMPUTED_VALUE"""),492000.0)</f>
        <v>492000</v>
      </c>
      <c r="AE234" s="26">
        <f>IFERROR(__xludf.DUMMYFUNCTION("""COMPUTED_VALUE"""),0.0)</f>
        <v>0</v>
      </c>
    </row>
    <row r="235">
      <c r="A235" s="26">
        <f>IFERROR(__xludf.DUMMYFUNCTION("""COMPUTED_VALUE"""),0.0)</f>
        <v>0</v>
      </c>
      <c r="B235" s="26">
        <f>IFERROR(__xludf.DUMMYFUNCTION("""COMPUTED_VALUE"""),0.0)</f>
        <v>0</v>
      </c>
      <c r="C235" s="26">
        <f>IFERROR(__xludf.DUMMYFUNCTION("""COMPUTED_VALUE"""),0.0)</f>
        <v>0</v>
      </c>
      <c r="D235" s="26">
        <f>IFERROR(__xludf.DUMMYFUNCTION("""COMPUTED_VALUE"""),0.0)</f>
        <v>0</v>
      </c>
      <c r="E235" s="26">
        <f>IFERROR(__xludf.DUMMYFUNCTION("""COMPUTED_VALUE"""),497.0)</f>
        <v>497</v>
      </c>
      <c r="F235" s="26">
        <f>IFERROR(__xludf.DUMMYFUNCTION("""COMPUTED_VALUE"""),0.0)</f>
        <v>0</v>
      </c>
      <c r="G235" s="26">
        <f>IFERROR(__xludf.DUMMYFUNCTION("""COMPUTED_VALUE"""),0.0)</f>
        <v>0</v>
      </c>
      <c r="H235" s="26">
        <f>IFERROR(__xludf.DUMMYFUNCTION("""COMPUTED_VALUE"""),0.0)</f>
        <v>0</v>
      </c>
      <c r="I235" s="26">
        <f>IFERROR(__xludf.DUMMYFUNCTION("""COMPUTED_VALUE"""),0.0)</f>
        <v>0</v>
      </c>
      <c r="J235" s="26">
        <f>IFERROR(__xludf.DUMMYFUNCTION("""COMPUTED_VALUE"""),0.0)</f>
        <v>0</v>
      </c>
      <c r="K235" s="26">
        <f>IFERROR(__xludf.DUMMYFUNCTION("""COMPUTED_VALUE"""),0.0)</f>
        <v>0</v>
      </c>
      <c r="L235" s="26"/>
      <c r="M235" s="26"/>
      <c r="N235" s="26"/>
      <c r="O235" s="26"/>
      <c r="P235" s="26"/>
      <c r="Q235" s="26"/>
      <c r="R235" s="26">
        <f>IFERROR(__xludf.DUMMYFUNCTION("""COMPUTED_VALUE"""),532682.7999999999)</f>
        <v>532682.8</v>
      </c>
      <c r="S235" s="26">
        <f>IFERROR(__xludf.DUMMYFUNCTION("""COMPUTED_VALUE"""),80450.0)</f>
        <v>80450</v>
      </c>
      <c r="T235" s="26">
        <f>IFERROR(__xludf.DUMMYFUNCTION("""COMPUTED_VALUE"""),0.0)</f>
        <v>0</v>
      </c>
      <c r="U235" s="26">
        <f>IFERROR(__xludf.DUMMYFUNCTION("""COMPUTED_VALUE"""),0.0)</f>
        <v>0</v>
      </c>
      <c r="V235" s="26">
        <f>IFERROR(__xludf.DUMMYFUNCTION("""COMPUTED_VALUE"""),81255.8000000001)</f>
        <v>81255.8</v>
      </c>
      <c r="W235" s="26">
        <f>IFERROR(__xludf.DUMMYFUNCTION("""COMPUTED_VALUE"""),0.0)</f>
        <v>0</v>
      </c>
      <c r="X235" s="26">
        <f>IFERROR(__xludf.DUMMYFUNCTION("""COMPUTED_VALUE"""),0.0)</f>
        <v>0</v>
      </c>
      <c r="Y235" s="26">
        <f>IFERROR(__xludf.DUMMYFUNCTION("""COMPUTED_VALUE"""),0.0)</f>
        <v>0</v>
      </c>
      <c r="Z235" s="26">
        <f>IFERROR(__xludf.DUMMYFUNCTION("""COMPUTED_VALUE"""),0.0)</f>
        <v>0</v>
      </c>
      <c r="AA235" s="26">
        <f>IFERROR(__xludf.DUMMYFUNCTION("""COMPUTED_VALUE"""),0.0)</f>
        <v>0</v>
      </c>
      <c r="AB235" s="26">
        <f>IFERROR(__xludf.DUMMYFUNCTION("""COMPUTED_VALUE"""),0.0)</f>
        <v>0</v>
      </c>
      <c r="AC235" s="26">
        <f>IFERROR(__xludf.DUMMYFUNCTION("""COMPUTED_VALUE"""),0.0)</f>
        <v>0</v>
      </c>
      <c r="AD235" s="26">
        <f>IFERROR(__xludf.DUMMYFUNCTION("""COMPUTED_VALUE"""),0.0)</f>
        <v>0</v>
      </c>
      <c r="AE235" s="26">
        <f>IFERROR(__xludf.DUMMYFUNCTION("""COMPUTED_VALUE"""),0.0)</f>
        <v>0</v>
      </c>
    </row>
    <row r="236">
      <c r="A236" s="26">
        <f>IFERROR(__xludf.DUMMYFUNCTION("""COMPUTED_VALUE"""),0.0)</f>
        <v>0</v>
      </c>
      <c r="B236" s="26">
        <f>IFERROR(__xludf.DUMMYFUNCTION("""COMPUTED_VALUE"""),0.0)</f>
        <v>0</v>
      </c>
      <c r="C236" s="26">
        <f>IFERROR(__xludf.DUMMYFUNCTION("""COMPUTED_VALUE"""),0.0)</f>
        <v>0</v>
      </c>
      <c r="D236" s="26">
        <f>IFERROR(__xludf.DUMMYFUNCTION("""COMPUTED_VALUE"""),0.0)</f>
        <v>0</v>
      </c>
      <c r="E236" s="26">
        <f>IFERROR(__xludf.DUMMYFUNCTION("""COMPUTED_VALUE"""),163.0)</f>
        <v>163</v>
      </c>
      <c r="F236" s="26">
        <f>IFERROR(__xludf.DUMMYFUNCTION("""COMPUTED_VALUE"""),0.0)</f>
        <v>0</v>
      </c>
      <c r="G236" s="26">
        <f>IFERROR(__xludf.DUMMYFUNCTION("""COMPUTED_VALUE"""),0.0)</f>
        <v>0</v>
      </c>
      <c r="H236" s="26">
        <f>IFERROR(__xludf.DUMMYFUNCTION("""COMPUTED_VALUE"""),0.0)</f>
        <v>0</v>
      </c>
      <c r="I236" s="26">
        <f>IFERROR(__xludf.DUMMYFUNCTION("""COMPUTED_VALUE"""),0.0)</f>
        <v>0</v>
      </c>
      <c r="J236" s="26">
        <f>IFERROR(__xludf.DUMMYFUNCTION("""COMPUTED_VALUE"""),0.0)</f>
        <v>0</v>
      </c>
      <c r="K236" s="26">
        <f>IFERROR(__xludf.DUMMYFUNCTION("""COMPUTED_VALUE"""),0.0)</f>
        <v>0</v>
      </c>
      <c r="L236" s="26"/>
      <c r="M236" s="26"/>
      <c r="N236" s="26"/>
      <c r="O236" s="26"/>
      <c r="P236" s="26"/>
      <c r="Q236" s="26"/>
      <c r="R236" s="26">
        <f>IFERROR(__xludf.DUMMYFUNCTION("""COMPUTED_VALUE"""),141508.40000000002)</f>
        <v>141508.4</v>
      </c>
      <c r="S236" s="26">
        <f>IFERROR(__xludf.DUMMYFUNCTION("""COMPUTED_VALUE"""),26345.0)</f>
        <v>26345</v>
      </c>
      <c r="T236" s="26">
        <f>IFERROR(__xludf.DUMMYFUNCTION("""COMPUTED_VALUE"""),0.0)</f>
        <v>0</v>
      </c>
      <c r="U236" s="26">
        <f>IFERROR(__xludf.DUMMYFUNCTION("""COMPUTED_VALUE"""),0.0)</f>
        <v>0</v>
      </c>
      <c r="V236" s="26">
        <f>IFERROR(__xludf.DUMMYFUNCTION("""COMPUTED_VALUE"""),21585.799999999992)</f>
        <v>21585.8</v>
      </c>
      <c r="W236" s="26">
        <f>IFERROR(__xludf.DUMMYFUNCTION("""COMPUTED_VALUE"""),0.0)</f>
        <v>0</v>
      </c>
      <c r="X236" s="26">
        <f>IFERROR(__xludf.DUMMYFUNCTION("""COMPUTED_VALUE"""),0.0)</f>
        <v>0</v>
      </c>
      <c r="Y236" s="26">
        <f>IFERROR(__xludf.DUMMYFUNCTION("""COMPUTED_VALUE"""),0.0)</f>
        <v>0</v>
      </c>
      <c r="Z236" s="26">
        <f>IFERROR(__xludf.DUMMYFUNCTION("""COMPUTED_VALUE"""),0.0)</f>
        <v>0</v>
      </c>
      <c r="AA236" s="26">
        <f>IFERROR(__xludf.DUMMYFUNCTION("""COMPUTED_VALUE"""),0.0)</f>
        <v>0</v>
      </c>
      <c r="AB236" s="26">
        <f>IFERROR(__xludf.DUMMYFUNCTION("""COMPUTED_VALUE"""),0.0)</f>
        <v>0</v>
      </c>
      <c r="AC236" s="26">
        <f>IFERROR(__xludf.DUMMYFUNCTION("""COMPUTED_VALUE"""),0.0)</f>
        <v>0</v>
      </c>
      <c r="AD236" s="26">
        <f>IFERROR(__xludf.DUMMYFUNCTION("""COMPUTED_VALUE"""),0.0)</f>
        <v>0</v>
      </c>
      <c r="AE236" s="26">
        <f>IFERROR(__xludf.DUMMYFUNCTION("""COMPUTED_VALUE"""),0.0)</f>
        <v>0</v>
      </c>
    </row>
    <row r="237">
      <c r="A237" s="26">
        <f>IFERROR(__xludf.DUMMYFUNCTION("""COMPUTED_VALUE"""),0.0)</f>
        <v>0</v>
      </c>
      <c r="B237" s="26">
        <f>IFERROR(__xludf.DUMMYFUNCTION("""COMPUTED_VALUE"""),0.0)</f>
        <v>0</v>
      </c>
      <c r="C237" s="26">
        <f>IFERROR(__xludf.DUMMYFUNCTION("""COMPUTED_VALUE"""),0.0)</f>
        <v>0</v>
      </c>
      <c r="D237" s="26">
        <f>IFERROR(__xludf.DUMMYFUNCTION("""COMPUTED_VALUE"""),0.0)</f>
        <v>0</v>
      </c>
      <c r="E237" s="26">
        <f>IFERROR(__xludf.DUMMYFUNCTION("""COMPUTED_VALUE"""),231.0)</f>
        <v>231</v>
      </c>
      <c r="F237" s="26">
        <f>IFERROR(__xludf.DUMMYFUNCTION("""COMPUTED_VALUE"""),0.0)</f>
        <v>0</v>
      </c>
      <c r="G237" s="26">
        <f>IFERROR(__xludf.DUMMYFUNCTION("""COMPUTED_VALUE"""),0.0)</f>
        <v>0</v>
      </c>
      <c r="H237" s="26">
        <f>IFERROR(__xludf.DUMMYFUNCTION("""COMPUTED_VALUE"""),0.0)</f>
        <v>0</v>
      </c>
      <c r="I237" s="26">
        <f>IFERROR(__xludf.DUMMYFUNCTION("""COMPUTED_VALUE"""),0.0)</f>
        <v>0</v>
      </c>
      <c r="J237" s="26">
        <f>IFERROR(__xludf.DUMMYFUNCTION("""COMPUTED_VALUE"""),0.0)</f>
        <v>0</v>
      </c>
      <c r="K237" s="26">
        <f>IFERROR(__xludf.DUMMYFUNCTION("""COMPUTED_VALUE"""),0.0)</f>
        <v>0</v>
      </c>
      <c r="L237" s="26"/>
      <c r="M237" s="26"/>
      <c r="N237" s="26"/>
      <c r="O237" s="26"/>
      <c r="P237" s="26"/>
      <c r="Q237" s="26"/>
      <c r="R237" s="26">
        <f>IFERROR(__xludf.DUMMYFUNCTION("""COMPUTED_VALUE"""),250637.4)</f>
        <v>250637.4</v>
      </c>
      <c r="S237" s="26">
        <f>IFERROR(__xludf.DUMMYFUNCTION("""COMPUTED_VALUE"""),37780.0)</f>
        <v>37780</v>
      </c>
      <c r="T237" s="26">
        <f>IFERROR(__xludf.DUMMYFUNCTION("""COMPUTED_VALUE"""),0.0)</f>
        <v>0</v>
      </c>
      <c r="U237" s="26">
        <f>IFERROR(__xludf.DUMMYFUNCTION("""COMPUTED_VALUE"""),0.0)</f>
        <v>0</v>
      </c>
      <c r="V237" s="26">
        <f>IFERROR(__xludf.DUMMYFUNCTION("""COMPUTED_VALUE"""),38232.40000000002)</f>
        <v>38232.4</v>
      </c>
      <c r="W237" s="26">
        <f>IFERROR(__xludf.DUMMYFUNCTION("""COMPUTED_VALUE"""),0.0)</f>
        <v>0</v>
      </c>
      <c r="X237" s="26">
        <f>IFERROR(__xludf.DUMMYFUNCTION("""COMPUTED_VALUE"""),0.0)</f>
        <v>0</v>
      </c>
      <c r="Y237" s="26">
        <f>IFERROR(__xludf.DUMMYFUNCTION("""COMPUTED_VALUE"""),0.0)</f>
        <v>0</v>
      </c>
      <c r="Z237" s="26">
        <f>IFERROR(__xludf.DUMMYFUNCTION("""COMPUTED_VALUE"""),0.0)</f>
        <v>0</v>
      </c>
      <c r="AA237" s="26">
        <f>IFERROR(__xludf.DUMMYFUNCTION("""COMPUTED_VALUE"""),0.0)</f>
        <v>0</v>
      </c>
      <c r="AB237" s="26">
        <f>IFERROR(__xludf.DUMMYFUNCTION("""COMPUTED_VALUE"""),0.0)</f>
        <v>0</v>
      </c>
      <c r="AC237" s="26">
        <f>IFERROR(__xludf.DUMMYFUNCTION("""COMPUTED_VALUE"""),0.0)</f>
        <v>0</v>
      </c>
      <c r="AD237" s="26">
        <f>IFERROR(__xludf.DUMMYFUNCTION("""COMPUTED_VALUE"""),0.0)</f>
        <v>0</v>
      </c>
      <c r="AE237" s="26">
        <f>IFERROR(__xludf.DUMMYFUNCTION("""COMPUTED_VALUE"""),0.0)</f>
        <v>0</v>
      </c>
    </row>
    <row r="238">
      <c r="A238" s="26">
        <f>IFERROR(__xludf.DUMMYFUNCTION("""COMPUTED_VALUE"""),33.0)</f>
        <v>33</v>
      </c>
      <c r="B238" s="26">
        <f>IFERROR(__xludf.DUMMYFUNCTION("""COMPUTED_VALUE"""),0.0)</f>
        <v>0</v>
      </c>
      <c r="C238" s="26">
        <f>IFERROR(__xludf.DUMMYFUNCTION("""COMPUTED_VALUE"""),0.0)</f>
        <v>0</v>
      </c>
      <c r="D238" s="26">
        <f>IFERROR(__xludf.DUMMYFUNCTION("""COMPUTED_VALUE"""),0.0)</f>
        <v>0</v>
      </c>
      <c r="E238" s="26">
        <f>IFERROR(__xludf.DUMMYFUNCTION("""COMPUTED_VALUE"""),103.0)</f>
        <v>103</v>
      </c>
      <c r="F238" s="26">
        <f>IFERROR(__xludf.DUMMYFUNCTION("""COMPUTED_VALUE"""),0.0)</f>
        <v>0</v>
      </c>
      <c r="G238" s="26">
        <f>IFERROR(__xludf.DUMMYFUNCTION("""COMPUTED_VALUE"""),0.0)</f>
        <v>0</v>
      </c>
      <c r="H238" s="26">
        <f>IFERROR(__xludf.DUMMYFUNCTION("""COMPUTED_VALUE"""),0.0)</f>
        <v>0</v>
      </c>
      <c r="I238" s="26">
        <f>IFERROR(__xludf.DUMMYFUNCTION("""COMPUTED_VALUE"""),0.0)</f>
        <v>0</v>
      </c>
      <c r="J238" s="26">
        <f>IFERROR(__xludf.DUMMYFUNCTION("""COMPUTED_VALUE"""),0.0)</f>
        <v>0</v>
      </c>
      <c r="K238" s="26">
        <f>IFERROR(__xludf.DUMMYFUNCTION("""COMPUTED_VALUE"""),0.0)</f>
        <v>0</v>
      </c>
      <c r="L238" s="26"/>
      <c r="M238" s="26"/>
      <c r="N238" s="26"/>
      <c r="O238" s="26"/>
      <c r="P238" s="26"/>
      <c r="Q238" s="26"/>
      <c r="R238" s="26">
        <f>IFERROR(__xludf.DUMMYFUNCTION("""COMPUTED_VALUE"""),104646.90000000002)</f>
        <v>104646.9</v>
      </c>
      <c r="S238" s="26">
        <f>IFERROR(__xludf.DUMMYFUNCTION("""COMPUTED_VALUE"""),21280.0)</f>
        <v>21280</v>
      </c>
      <c r="T238" s="26">
        <f>IFERROR(__xludf.DUMMYFUNCTION("""COMPUTED_VALUE"""),0.0)</f>
        <v>0</v>
      </c>
      <c r="U238" s="26">
        <f>IFERROR(__xludf.DUMMYFUNCTION("""COMPUTED_VALUE"""),0.0)</f>
        <v>0</v>
      </c>
      <c r="V238" s="26">
        <f>IFERROR(__xludf.DUMMYFUNCTION("""COMPUTED_VALUE"""),15962.890000000003)</f>
        <v>15962.89</v>
      </c>
      <c r="W238" s="26">
        <f>IFERROR(__xludf.DUMMYFUNCTION("""COMPUTED_VALUE"""),0.0)</f>
        <v>0</v>
      </c>
      <c r="X238" s="26">
        <f>IFERROR(__xludf.DUMMYFUNCTION("""COMPUTED_VALUE"""),0.0)</f>
        <v>0</v>
      </c>
      <c r="Y238" s="26">
        <f>IFERROR(__xludf.DUMMYFUNCTION("""COMPUTED_VALUE"""),0.0)</f>
        <v>0</v>
      </c>
      <c r="Z238" s="26">
        <f>IFERROR(__xludf.DUMMYFUNCTION("""COMPUTED_VALUE"""),0.0)</f>
        <v>0</v>
      </c>
      <c r="AA238" s="26">
        <f>IFERROR(__xludf.DUMMYFUNCTION("""COMPUTED_VALUE"""),0.0)</f>
        <v>0</v>
      </c>
      <c r="AB238" s="26">
        <f>IFERROR(__xludf.DUMMYFUNCTION("""COMPUTED_VALUE"""),0.0)</f>
        <v>0</v>
      </c>
      <c r="AC238" s="26">
        <f>IFERROR(__xludf.DUMMYFUNCTION("""COMPUTED_VALUE"""),0.0)</f>
        <v>0</v>
      </c>
      <c r="AD238" s="26">
        <f>IFERROR(__xludf.DUMMYFUNCTION("""COMPUTED_VALUE"""),0.0)</f>
        <v>0</v>
      </c>
      <c r="AE238" s="26">
        <f>IFERROR(__xludf.DUMMYFUNCTION("""COMPUTED_VALUE"""),0.0)</f>
        <v>0</v>
      </c>
    </row>
    <row r="239">
      <c r="A239" s="26">
        <f>IFERROR(__xludf.DUMMYFUNCTION("""COMPUTED_VALUE"""),0.0)</f>
        <v>0</v>
      </c>
      <c r="B239" s="26">
        <f>IFERROR(__xludf.DUMMYFUNCTION("""COMPUTED_VALUE"""),0.0)</f>
        <v>0</v>
      </c>
      <c r="C239" s="26">
        <f>IFERROR(__xludf.DUMMYFUNCTION("""COMPUTED_VALUE"""),0.0)</f>
        <v>0</v>
      </c>
      <c r="D239" s="26">
        <f>IFERROR(__xludf.DUMMYFUNCTION("""COMPUTED_VALUE"""),0.0)</f>
        <v>0</v>
      </c>
      <c r="E239" s="26">
        <f>IFERROR(__xludf.DUMMYFUNCTION("""COMPUTED_VALUE"""),0.0)</f>
        <v>0</v>
      </c>
      <c r="F239" s="26">
        <f>IFERROR(__xludf.DUMMYFUNCTION("""COMPUTED_VALUE"""),0.0)</f>
        <v>0</v>
      </c>
      <c r="G239" s="26">
        <f>IFERROR(__xludf.DUMMYFUNCTION("""COMPUTED_VALUE"""),0.0)</f>
        <v>0</v>
      </c>
      <c r="H239" s="26">
        <f>IFERROR(__xludf.DUMMYFUNCTION("""COMPUTED_VALUE"""),0.0)</f>
        <v>0</v>
      </c>
      <c r="I239" s="26">
        <f>IFERROR(__xludf.DUMMYFUNCTION("""COMPUTED_VALUE"""),0.0)</f>
        <v>0</v>
      </c>
      <c r="J239" s="26">
        <f>IFERROR(__xludf.DUMMYFUNCTION("""COMPUTED_VALUE"""),0.0)</f>
        <v>0</v>
      </c>
      <c r="K239" s="26">
        <f>IFERROR(__xludf.DUMMYFUNCTION("""COMPUTED_VALUE"""),417.0)</f>
        <v>417</v>
      </c>
      <c r="L239" s="26"/>
      <c r="M239" s="26"/>
      <c r="N239" s="26"/>
      <c r="O239" s="26"/>
      <c r="P239" s="26"/>
      <c r="Q239" s="26"/>
      <c r="R239" s="26">
        <f>IFERROR(__xludf.DUMMYFUNCTION("""COMPUTED_VALUE"""),418581.0)</f>
        <v>418581</v>
      </c>
      <c r="S239" s="26">
        <f>IFERROR(__xludf.DUMMYFUNCTION("""COMPUTED_VALUE"""),113030.0)</f>
        <v>113030</v>
      </c>
      <c r="T239" s="26">
        <f>IFERROR(__xludf.DUMMYFUNCTION("""COMPUTED_VALUE"""),0.0)</f>
        <v>0</v>
      </c>
      <c r="U239" s="26">
        <f>IFERROR(__xludf.DUMMYFUNCTION("""COMPUTED_VALUE"""),0.0)</f>
        <v>0</v>
      </c>
      <c r="V239" s="26">
        <f>IFERROR(__xludf.DUMMYFUNCTION("""COMPUTED_VALUE"""),63851.409999999916)</f>
        <v>63851.41</v>
      </c>
      <c r="W239" s="26">
        <f>IFERROR(__xludf.DUMMYFUNCTION("""COMPUTED_VALUE"""),0.0)</f>
        <v>0</v>
      </c>
      <c r="X239" s="26">
        <f>IFERROR(__xludf.DUMMYFUNCTION("""COMPUTED_VALUE"""),0.0)</f>
        <v>0</v>
      </c>
      <c r="Y239" s="26">
        <f>IFERROR(__xludf.DUMMYFUNCTION("""COMPUTED_VALUE"""),0.0)</f>
        <v>0</v>
      </c>
      <c r="Z239" s="26">
        <f>IFERROR(__xludf.DUMMYFUNCTION("""COMPUTED_VALUE"""),0.0)</f>
        <v>0</v>
      </c>
      <c r="AA239" s="26">
        <f>IFERROR(__xludf.DUMMYFUNCTION("""COMPUTED_VALUE"""),0.0)</f>
        <v>0</v>
      </c>
      <c r="AB239" s="26">
        <f>IFERROR(__xludf.DUMMYFUNCTION("""COMPUTED_VALUE"""),0.0)</f>
        <v>0</v>
      </c>
      <c r="AC239" s="26">
        <f>IFERROR(__xludf.DUMMYFUNCTION("""COMPUTED_VALUE"""),0.0)</f>
        <v>0</v>
      </c>
      <c r="AD239" s="26">
        <f>IFERROR(__xludf.DUMMYFUNCTION("""COMPUTED_VALUE"""),0.0)</f>
        <v>0</v>
      </c>
      <c r="AE239" s="26">
        <f>IFERROR(__xludf.DUMMYFUNCTION("""COMPUTED_VALUE"""),0.0)</f>
        <v>0</v>
      </c>
    </row>
    <row r="240">
      <c r="A240" s="26">
        <f>IFERROR(__xludf.DUMMYFUNCTION("""COMPUTED_VALUE"""),0.0)</f>
        <v>0</v>
      </c>
      <c r="B240" s="26">
        <f>IFERROR(__xludf.DUMMYFUNCTION("""COMPUTED_VALUE"""),0.0)</f>
        <v>0</v>
      </c>
      <c r="C240" s="26">
        <f>IFERROR(__xludf.DUMMYFUNCTION("""COMPUTED_VALUE"""),208.0)</f>
        <v>208</v>
      </c>
      <c r="D240" s="26">
        <f>IFERROR(__xludf.DUMMYFUNCTION("""COMPUTED_VALUE"""),0.0)</f>
        <v>0</v>
      </c>
      <c r="E240" s="26">
        <f>IFERROR(__xludf.DUMMYFUNCTION("""COMPUTED_VALUE"""),0.0)</f>
        <v>0</v>
      </c>
      <c r="F240" s="26">
        <f>IFERROR(__xludf.DUMMYFUNCTION("""COMPUTED_VALUE"""),0.0)</f>
        <v>0</v>
      </c>
      <c r="G240" s="26">
        <f>IFERROR(__xludf.DUMMYFUNCTION("""COMPUTED_VALUE"""),0.0)</f>
        <v>0</v>
      </c>
      <c r="H240" s="26">
        <f>IFERROR(__xludf.DUMMYFUNCTION("""COMPUTED_VALUE"""),0.0)</f>
        <v>0</v>
      </c>
      <c r="I240" s="26">
        <f>IFERROR(__xludf.DUMMYFUNCTION("""COMPUTED_VALUE"""),0.0)</f>
        <v>0</v>
      </c>
      <c r="J240" s="26">
        <f>IFERROR(__xludf.DUMMYFUNCTION("""COMPUTED_VALUE"""),0.0)</f>
        <v>0</v>
      </c>
      <c r="K240" s="26">
        <f>IFERROR(__xludf.DUMMYFUNCTION("""COMPUTED_VALUE"""),0.0)</f>
        <v>0</v>
      </c>
      <c r="L240" s="26"/>
      <c r="M240" s="26"/>
      <c r="N240" s="26"/>
      <c r="O240" s="26"/>
      <c r="P240" s="26"/>
      <c r="Q240" s="26"/>
      <c r="R240" s="26">
        <f>IFERROR(__xludf.DUMMYFUNCTION("""COMPUTED_VALUE"""),91936.0)</f>
        <v>91936</v>
      </c>
      <c r="S240" s="26">
        <f>IFERROR(__xludf.DUMMYFUNCTION("""COMPUTED_VALUE"""),38480.0)</f>
        <v>38480</v>
      </c>
      <c r="T240" s="26">
        <f>IFERROR(__xludf.DUMMYFUNCTION("""COMPUTED_VALUE"""),33.71)</f>
        <v>33.71</v>
      </c>
      <c r="U240" s="26">
        <f>IFERROR(__xludf.DUMMYFUNCTION("""COMPUTED_VALUE"""),33.71)</f>
        <v>33.71</v>
      </c>
      <c r="V240" s="26">
        <f>IFERROR(__xludf.DUMMYFUNCTION("""COMPUTED_VALUE"""),13955.940000000004)</f>
        <v>13955.94</v>
      </c>
      <c r="W240" s="26">
        <f>IFERROR(__xludf.DUMMYFUNCTION("""COMPUTED_VALUE"""),0.0)</f>
        <v>0</v>
      </c>
      <c r="X240" s="26">
        <f>IFERROR(__xludf.DUMMYFUNCTION("""COMPUTED_VALUE"""),0.0)</f>
        <v>0</v>
      </c>
      <c r="Y240" s="26">
        <f>IFERROR(__xludf.DUMMYFUNCTION("""COMPUTED_VALUE"""),0.0)</f>
        <v>0</v>
      </c>
      <c r="Z240" s="26">
        <f>IFERROR(__xludf.DUMMYFUNCTION("""COMPUTED_VALUE"""),0.0)</f>
        <v>0</v>
      </c>
      <c r="AA240" s="26">
        <f>IFERROR(__xludf.DUMMYFUNCTION("""COMPUTED_VALUE"""),0.0)</f>
        <v>0</v>
      </c>
      <c r="AB240" s="26">
        <f>IFERROR(__xludf.DUMMYFUNCTION("""COMPUTED_VALUE"""),0.0)</f>
        <v>0</v>
      </c>
      <c r="AC240" s="26">
        <f>IFERROR(__xludf.DUMMYFUNCTION("""COMPUTED_VALUE"""),0.0)</f>
        <v>0</v>
      </c>
      <c r="AD240" s="26">
        <f>IFERROR(__xludf.DUMMYFUNCTION("""COMPUTED_VALUE"""),0.0)</f>
        <v>0</v>
      </c>
      <c r="AE240" s="26">
        <f>IFERROR(__xludf.DUMMYFUNCTION("""COMPUTED_VALUE"""),0.0)</f>
        <v>0</v>
      </c>
    </row>
    <row r="241">
      <c r="A241" s="26">
        <f>IFERROR(__xludf.DUMMYFUNCTION("""COMPUTED_VALUE"""),516.0)</f>
        <v>516</v>
      </c>
      <c r="B241" s="26">
        <f>IFERROR(__xludf.DUMMYFUNCTION("""COMPUTED_VALUE"""),0.0)</f>
        <v>0</v>
      </c>
      <c r="C241" s="26">
        <f>IFERROR(__xludf.DUMMYFUNCTION("""COMPUTED_VALUE"""),0.0)</f>
        <v>0</v>
      </c>
      <c r="D241" s="26">
        <f>IFERROR(__xludf.DUMMYFUNCTION("""COMPUTED_VALUE"""),0.0)</f>
        <v>0</v>
      </c>
      <c r="E241" s="26">
        <f>IFERROR(__xludf.DUMMYFUNCTION("""COMPUTED_VALUE"""),0.0)</f>
        <v>0</v>
      </c>
      <c r="F241" s="26">
        <f>IFERROR(__xludf.DUMMYFUNCTION("""COMPUTED_VALUE"""),0.0)</f>
        <v>0</v>
      </c>
      <c r="G241" s="26">
        <f>IFERROR(__xludf.DUMMYFUNCTION("""COMPUTED_VALUE"""),0.0)</f>
        <v>0</v>
      </c>
      <c r="H241" s="26">
        <f>IFERROR(__xludf.DUMMYFUNCTION("""COMPUTED_VALUE"""),0.0)</f>
        <v>0</v>
      </c>
      <c r="I241" s="26">
        <f>IFERROR(__xludf.DUMMYFUNCTION("""COMPUTED_VALUE"""),0.0)</f>
        <v>0</v>
      </c>
      <c r="J241" s="26">
        <f>IFERROR(__xludf.DUMMYFUNCTION("""COMPUTED_VALUE"""),0.0)</f>
        <v>0</v>
      </c>
      <c r="K241" s="26">
        <f>IFERROR(__xludf.DUMMYFUNCTION("""COMPUTED_VALUE"""),0.0)</f>
        <v>0</v>
      </c>
      <c r="L241" s="26"/>
      <c r="M241" s="26"/>
      <c r="N241" s="26"/>
      <c r="O241" s="26"/>
      <c r="P241" s="26"/>
      <c r="Q241" s="26"/>
      <c r="R241" s="26">
        <f>IFERROR(__xludf.DUMMYFUNCTION("""COMPUTED_VALUE"""),252640.0)</f>
        <v>252640</v>
      </c>
      <c r="S241" s="26">
        <f>IFERROR(__xludf.DUMMYFUNCTION("""COMPUTED_VALUE"""),105780.0)</f>
        <v>105780</v>
      </c>
      <c r="T241" s="26">
        <f>IFERROR(__xludf.DUMMYFUNCTION("""COMPUTED_VALUE"""),0.0)</f>
        <v>0</v>
      </c>
      <c r="U241" s="26">
        <f>IFERROR(__xludf.DUMMYFUNCTION("""COMPUTED_VALUE"""),0.0)</f>
        <v>0</v>
      </c>
      <c r="V241" s="26">
        <f>IFERROR(__xludf.DUMMYFUNCTION("""COMPUTED_VALUE"""),38540.48)</f>
        <v>38540.48</v>
      </c>
      <c r="W241" s="26">
        <f>IFERROR(__xludf.DUMMYFUNCTION("""COMPUTED_VALUE"""),0.0)</f>
        <v>0</v>
      </c>
      <c r="X241" s="26">
        <f>IFERROR(__xludf.DUMMYFUNCTION("""COMPUTED_VALUE"""),0.0)</f>
        <v>0</v>
      </c>
      <c r="Y241" s="26">
        <f>IFERROR(__xludf.DUMMYFUNCTION("""COMPUTED_VALUE"""),0.0)</f>
        <v>0</v>
      </c>
      <c r="Z241" s="26">
        <f>IFERROR(__xludf.DUMMYFUNCTION("""COMPUTED_VALUE"""),0.0)</f>
        <v>0</v>
      </c>
      <c r="AA241" s="26">
        <f>IFERROR(__xludf.DUMMYFUNCTION("""COMPUTED_VALUE"""),0.0)</f>
        <v>0</v>
      </c>
      <c r="AB241" s="26">
        <f>IFERROR(__xludf.DUMMYFUNCTION("""COMPUTED_VALUE"""),0.0)</f>
        <v>0</v>
      </c>
      <c r="AC241" s="26">
        <f>IFERROR(__xludf.DUMMYFUNCTION("""COMPUTED_VALUE"""),0.0)</f>
        <v>0</v>
      </c>
      <c r="AD241" s="26">
        <f>IFERROR(__xludf.DUMMYFUNCTION("""COMPUTED_VALUE"""),0.0)</f>
        <v>0</v>
      </c>
      <c r="AE241" s="26">
        <f>IFERROR(__xludf.DUMMYFUNCTION("""COMPUTED_VALUE"""),0.0)</f>
        <v>0</v>
      </c>
    </row>
    <row r="242">
      <c r="A242" s="26">
        <f>IFERROR(__xludf.DUMMYFUNCTION("""COMPUTED_VALUE"""),1.0)</f>
        <v>1</v>
      </c>
      <c r="B242" s="26">
        <f>IFERROR(__xludf.DUMMYFUNCTION("""COMPUTED_VALUE"""),0.0)</f>
        <v>0</v>
      </c>
      <c r="C242" s="26">
        <f>IFERROR(__xludf.DUMMYFUNCTION("""COMPUTED_VALUE"""),0.0)</f>
        <v>0</v>
      </c>
      <c r="D242" s="26">
        <f>IFERROR(__xludf.DUMMYFUNCTION("""COMPUTED_VALUE"""),0.0)</f>
        <v>0</v>
      </c>
      <c r="E242" s="26">
        <f>IFERROR(__xludf.DUMMYFUNCTION("""COMPUTED_VALUE"""),0.0)</f>
        <v>0</v>
      </c>
      <c r="F242" s="26">
        <f>IFERROR(__xludf.DUMMYFUNCTION("""COMPUTED_VALUE"""),0.0)</f>
        <v>0</v>
      </c>
      <c r="G242" s="26">
        <f>IFERROR(__xludf.DUMMYFUNCTION("""COMPUTED_VALUE"""),0.0)</f>
        <v>0</v>
      </c>
      <c r="H242" s="26">
        <f>IFERROR(__xludf.DUMMYFUNCTION("""COMPUTED_VALUE"""),0.0)</f>
        <v>0</v>
      </c>
      <c r="I242" s="26">
        <f>IFERROR(__xludf.DUMMYFUNCTION("""COMPUTED_VALUE"""),0.0)</f>
        <v>0</v>
      </c>
      <c r="J242" s="26">
        <f>IFERROR(__xludf.DUMMYFUNCTION("""COMPUTED_VALUE"""),0.0)</f>
        <v>0</v>
      </c>
      <c r="K242" s="26">
        <f>IFERROR(__xludf.DUMMYFUNCTION("""COMPUTED_VALUE"""),0.0)</f>
        <v>0</v>
      </c>
      <c r="L242" s="26"/>
      <c r="M242" s="26"/>
      <c r="N242" s="26"/>
      <c r="O242" s="26"/>
      <c r="P242" s="26"/>
      <c r="Q242" s="26"/>
      <c r="R242" s="26">
        <f>IFERROR(__xludf.DUMMYFUNCTION("""COMPUTED_VALUE"""),390.0)</f>
        <v>390</v>
      </c>
      <c r="S242" s="26">
        <f>IFERROR(__xludf.DUMMYFUNCTION("""COMPUTED_VALUE"""),205.0)</f>
        <v>205</v>
      </c>
      <c r="T242" s="26">
        <f>IFERROR(__xludf.DUMMYFUNCTION("""COMPUTED_VALUE"""),0.0)</f>
        <v>0</v>
      </c>
      <c r="U242" s="26">
        <f>IFERROR(__xludf.DUMMYFUNCTION("""COMPUTED_VALUE"""),0.0)</f>
        <v>0</v>
      </c>
      <c r="V242" s="26">
        <f>IFERROR(__xludf.DUMMYFUNCTION("""COMPUTED_VALUE"""),59.49)</f>
        <v>59.49</v>
      </c>
      <c r="W242" s="26">
        <f>IFERROR(__xludf.DUMMYFUNCTION("""COMPUTED_VALUE"""),0.0)</f>
        <v>0</v>
      </c>
      <c r="X242" s="26">
        <f>IFERROR(__xludf.DUMMYFUNCTION("""COMPUTED_VALUE"""),0.0)</f>
        <v>0</v>
      </c>
      <c r="Y242" s="26">
        <f>IFERROR(__xludf.DUMMYFUNCTION("""COMPUTED_VALUE"""),0.0)</f>
        <v>0</v>
      </c>
      <c r="Z242" s="26">
        <f>IFERROR(__xludf.DUMMYFUNCTION("""COMPUTED_VALUE"""),0.0)</f>
        <v>0</v>
      </c>
      <c r="AA242" s="26">
        <f>IFERROR(__xludf.DUMMYFUNCTION("""COMPUTED_VALUE"""),0.0)</f>
        <v>0</v>
      </c>
      <c r="AB242" s="26">
        <f>IFERROR(__xludf.DUMMYFUNCTION("""COMPUTED_VALUE"""),0.0)</f>
        <v>0</v>
      </c>
      <c r="AC242" s="26">
        <f>IFERROR(__xludf.DUMMYFUNCTION("""COMPUTED_VALUE"""),0.0)</f>
        <v>0</v>
      </c>
      <c r="AD242" s="26">
        <f>IFERROR(__xludf.DUMMYFUNCTION("""COMPUTED_VALUE"""),0.0)</f>
        <v>0</v>
      </c>
      <c r="AE242" s="26">
        <f>IFERROR(__xludf.DUMMYFUNCTION("""COMPUTED_VALUE"""),0.0)</f>
        <v>0</v>
      </c>
    </row>
    <row r="243">
      <c r="A243" s="26">
        <f>IFERROR(__xludf.DUMMYFUNCTION("""COMPUTED_VALUE"""),0.0)</f>
        <v>0</v>
      </c>
      <c r="B243" s="26">
        <f>IFERROR(__xludf.DUMMYFUNCTION("""COMPUTED_VALUE"""),0.0)</f>
        <v>0</v>
      </c>
      <c r="C243" s="26">
        <f>IFERROR(__xludf.DUMMYFUNCTION("""COMPUTED_VALUE"""),0.0)</f>
        <v>0</v>
      </c>
      <c r="D243" s="26">
        <f>IFERROR(__xludf.DUMMYFUNCTION("""COMPUTED_VALUE"""),0.0)</f>
        <v>0</v>
      </c>
      <c r="E243" s="26">
        <f>IFERROR(__xludf.DUMMYFUNCTION("""COMPUTED_VALUE"""),0.0)</f>
        <v>0</v>
      </c>
      <c r="F243" s="26">
        <f>IFERROR(__xludf.DUMMYFUNCTION("""COMPUTED_VALUE"""),0.0)</f>
        <v>0</v>
      </c>
      <c r="G243" s="26">
        <f>IFERROR(__xludf.DUMMYFUNCTION("""COMPUTED_VALUE"""),0.0)</f>
        <v>0</v>
      </c>
      <c r="H243" s="26">
        <f>IFERROR(__xludf.DUMMYFUNCTION("""COMPUTED_VALUE"""),0.0)</f>
        <v>0</v>
      </c>
      <c r="I243" s="26">
        <f>IFERROR(__xludf.DUMMYFUNCTION("""COMPUTED_VALUE"""),0.0)</f>
        <v>0</v>
      </c>
      <c r="J243" s="26">
        <f>IFERROR(__xludf.DUMMYFUNCTION("""COMPUTED_VALUE"""),0.0)</f>
        <v>0</v>
      </c>
      <c r="K243" s="26">
        <f>IFERROR(__xludf.DUMMYFUNCTION("""COMPUTED_VALUE"""),0.0)</f>
        <v>0</v>
      </c>
      <c r="L243" s="26"/>
      <c r="M243" s="26"/>
      <c r="N243" s="26"/>
      <c r="O243" s="26"/>
      <c r="P243" s="26"/>
      <c r="Q243" s="26"/>
      <c r="R243" s="26">
        <f>IFERROR(__xludf.DUMMYFUNCTION("""COMPUTED_VALUE"""),0.0)</f>
        <v>0</v>
      </c>
      <c r="S243" s="26">
        <f>IFERROR(__xludf.DUMMYFUNCTION("""COMPUTED_VALUE"""),0.0)</f>
        <v>0</v>
      </c>
      <c r="T243" s="26">
        <f>IFERROR(__xludf.DUMMYFUNCTION("""COMPUTED_VALUE"""),0.0)</f>
        <v>0</v>
      </c>
      <c r="U243" s="26">
        <f>IFERROR(__xludf.DUMMYFUNCTION("""COMPUTED_VALUE"""),0.0)</f>
        <v>0</v>
      </c>
      <c r="V243" s="26">
        <f>IFERROR(__xludf.DUMMYFUNCTION("""COMPUTED_VALUE"""),0.0)</f>
        <v>0</v>
      </c>
      <c r="W243" s="26">
        <f>IFERROR(__xludf.DUMMYFUNCTION("""COMPUTED_VALUE"""),0.0)</f>
        <v>0</v>
      </c>
      <c r="X243" s="26">
        <f>IFERROR(__xludf.DUMMYFUNCTION("""COMPUTED_VALUE"""),0.0)</f>
        <v>0</v>
      </c>
      <c r="Y243" s="26">
        <f>IFERROR(__xludf.DUMMYFUNCTION("""COMPUTED_VALUE"""),0.0)</f>
        <v>0</v>
      </c>
      <c r="Z243" s="26">
        <f>IFERROR(__xludf.DUMMYFUNCTION("""COMPUTED_VALUE"""),0.0)</f>
        <v>0</v>
      </c>
      <c r="AA243" s="26">
        <f>IFERROR(__xludf.DUMMYFUNCTION("""COMPUTED_VALUE"""),0.0)</f>
        <v>0</v>
      </c>
      <c r="AB243" s="26">
        <f>IFERROR(__xludf.DUMMYFUNCTION("""COMPUTED_VALUE"""),0.0)</f>
        <v>0</v>
      </c>
      <c r="AC243" s="26">
        <f>IFERROR(__xludf.DUMMYFUNCTION("""COMPUTED_VALUE"""),0.0)</f>
        <v>0</v>
      </c>
      <c r="AD243" s="26">
        <f>IFERROR(__xludf.DUMMYFUNCTION("""COMPUTED_VALUE"""),0.0)</f>
        <v>0</v>
      </c>
      <c r="AE243" s="26">
        <f>IFERROR(__xludf.DUMMYFUNCTION("""COMPUTED_VALUE"""),0.0)</f>
        <v>0</v>
      </c>
    </row>
    <row r="244">
      <c r="A244" s="26">
        <f>IFERROR(__xludf.DUMMYFUNCTION("""COMPUTED_VALUE"""),0.0)</f>
        <v>0</v>
      </c>
      <c r="B244" s="26">
        <f>IFERROR(__xludf.DUMMYFUNCTION("""COMPUTED_VALUE"""),0.0)</f>
        <v>0</v>
      </c>
      <c r="C244" s="26">
        <f>IFERROR(__xludf.DUMMYFUNCTION("""COMPUTED_VALUE"""),0.0)</f>
        <v>0</v>
      </c>
      <c r="D244" s="26">
        <f>IFERROR(__xludf.DUMMYFUNCTION("""COMPUTED_VALUE"""),0.0)</f>
        <v>0</v>
      </c>
      <c r="E244" s="26">
        <f>IFERROR(__xludf.DUMMYFUNCTION("""COMPUTED_VALUE"""),0.0)</f>
        <v>0</v>
      </c>
      <c r="F244" s="26">
        <f>IFERROR(__xludf.DUMMYFUNCTION("""COMPUTED_VALUE"""),0.0)</f>
        <v>0</v>
      </c>
      <c r="G244" s="26">
        <f>IFERROR(__xludf.DUMMYFUNCTION("""COMPUTED_VALUE"""),0.0)</f>
        <v>0</v>
      </c>
      <c r="H244" s="26">
        <f>IFERROR(__xludf.DUMMYFUNCTION("""COMPUTED_VALUE"""),0.0)</f>
        <v>0</v>
      </c>
      <c r="I244" s="26">
        <f>IFERROR(__xludf.DUMMYFUNCTION("""COMPUTED_VALUE"""),0.0)</f>
        <v>0</v>
      </c>
      <c r="J244" s="26">
        <f>IFERROR(__xludf.DUMMYFUNCTION("""COMPUTED_VALUE"""),0.0)</f>
        <v>0</v>
      </c>
      <c r="K244" s="26">
        <f>IFERROR(__xludf.DUMMYFUNCTION("""COMPUTED_VALUE"""),0.0)</f>
        <v>0</v>
      </c>
      <c r="L244" s="26"/>
      <c r="M244" s="26"/>
      <c r="N244" s="26"/>
      <c r="O244" s="26"/>
      <c r="P244" s="26"/>
      <c r="Q244" s="26"/>
      <c r="R244" s="26">
        <f>IFERROR(__xludf.DUMMYFUNCTION("""COMPUTED_VALUE"""),0.0)</f>
        <v>0</v>
      </c>
      <c r="S244" s="26">
        <f>IFERROR(__xludf.DUMMYFUNCTION("""COMPUTED_VALUE"""),0.0)</f>
        <v>0</v>
      </c>
      <c r="T244" s="26">
        <f>IFERROR(__xludf.DUMMYFUNCTION("""COMPUTED_VALUE"""),0.0)</f>
        <v>0</v>
      </c>
      <c r="U244" s="26">
        <f>IFERROR(__xludf.DUMMYFUNCTION("""COMPUTED_VALUE"""),0.0)</f>
        <v>0</v>
      </c>
      <c r="V244" s="26">
        <f>IFERROR(__xludf.DUMMYFUNCTION("""COMPUTED_VALUE"""),0.0)</f>
        <v>0</v>
      </c>
      <c r="W244" s="26">
        <f>IFERROR(__xludf.DUMMYFUNCTION("""COMPUTED_VALUE"""),0.0)</f>
        <v>0</v>
      </c>
      <c r="X244" s="26">
        <f>IFERROR(__xludf.DUMMYFUNCTION("""COMPUTED_VALUE"""),0.0)</f>
        <v>0</v>
      </c>
      <c r="Y244" s="26">
        <f>IFERROR(__xludf.DUMMYFUNCTION("""COMPUTED_VALUE"""),0.0)</f>
        <v>0</v>
      </c>
      <c r="Z244" s="26">
        <f>IFERROR(__xludf.DUMMYFUNCTION("""COMPUTED_VALUE"""),0.0)</f>
        <v>0</v>
      </c>
      <c r="AA244" s="26">
        <f>IFERROR(__xludf.DUMMYFUNCTION("""COMPUTED_VALUE"""),0.0)</f>
        <v>0</v>
      </c>
      <c r="AB244" s="26">
        <f>IFERROR(__xludf.DUMMYFUNCTION("""COMPUTED_VALUE"""),0.0)</f>
        <v>0</v>
      </c>
      <c r="AC244" s="26">
        <f>IFERROR(__xludf.DUMMYFUNCTION("""COMPUTED_VALUE"""),0.0)</f>
        <v>0</v>
      </c>
      <c r="AD244" s="26">
        <f>IFERROR(__xludf.DUMMYFUNCTION("""COMPUTED_VALUE"""),0.0)</f>
        <v>0</v>
      </c>
      <c r="AE244" s="26">
        <f>IFERROR(__xludf.DUMMYFUNCTION("""COMPUTED_VALUE"""),0.0)</f>
        <v>0</v>
      </c>
    </row>
    <row r="245">
      <c r="A245" s="26">
        <f>IFERROR(__xludf.DUMMYFUNCTION("""COMPUTED_VALUE"""),0.0)</f>
        <v>0</v>
      </c>
      <c r="B245" s="26">
        <f>IFERROR(__xludf.DUMMYFUNCTION("""COMPUTED_VALUE"""),0.0)</f>
        <v>0</v>
      </c>
      <c r="C245" s="26">
        <f>IFERROR(__xludf.DUMMYFUNCTION("""COMPUTED_VALUE"""),0.0)</f>
        <v>0</v>
      </c>
      <c r="D245" s="26">
        <f>IFERROR(__xludf.DUMMYFUNCTION("""COMPUTED_VALUE"""),0.0)</f>
        <v>0</v>
      </c>
      <c r="E245" s="26">
        <f>IFERROR(__xludf.DUMMYFUNCTION("""COMPUTED_VALUE"""),0.0)</f>
        <v>0</v>
      </c>
      <c r="F245" s="26">
        <f>IFERROR(__xludf.DUMMYFUNCTION("""COMPUTED_VALUE"""),0.0)</f>
        <v>0</v>
      </c>
      <c r="G245" s="26">
        <f>IFERROR(__xludf.DUMMYFUNCTION("""COMPUTED_VALUE"""),0.0)</f>
        <v>0</v>
      </c>
      <c r="H245" s="26">
        <f>IFERROR(__xludf.DUMMYFUNCTION("""COMPUTED_VALUE"""),0.0)</f>
        <v>0</v>
      </c>
      <c r="I245" s="26">
        <f>IFERROR(__xludf.DUMMYFUNCTION("""COMPUTED_VALUE"""),0.0)</f>
        <v>0</v>
      </c>
      <c r="J245" s="26">
        <f>IFERROR(__xludf.DUMMYFUNCTION("""COMPUTED_VALUE"""),0.0)</f>
        <v>0</v>
      </c>
      <c r="K245" s="26">
        <f>IFERROR(__xludf.DUMMYFUNCTION("""COMPUTED_VALUE"""),0.0)</f>
        <v>0</v>
      </c>
      <c r="L245" s="26"/>
      <c r="M245" s="26"/>
      <c r="N245" s="26"/>
      <c r="O245" s="26"/>
      <c r="P245" s="26"/>
      <c r="Q245" s="26"/>
      <c r="R245" s="26">
        <f>IFERROR(__xludf.DUMMYFUNCTION("""COMPUTED_VALUE"""),0.0)</f>
        <v>0</v>
      </c>
      <c r="S245" s="26">
        <f>IFERROR(__xludf.DUMMYFUNCTION("""COMPUTED_VALUE"""),0.0)</f>
        <v>0</v>
      </c>
      <c r="T245" s="26">
        <f>IFERROR(__xludf.DUMMYFUNCTION("""COMPUTED_VALUE"""),0.0)</f>
        <v>0</v>
      </c>
      <c r="U245" s="26">
        <f>IFERROR(__xludf.DUMMYFUNCTION("""COMPUTED_VALUE"""),0.0)</f>
        <v>0</v>
      </c>
      <c r="V245" s="26">
        <f>IFERROR(__xludf.DUMMYFUNCTION("""COMPUTED_VALUE"""),0.0)</f>
        <v>0</v>
      </c>
      <c r="W245" s="26">
        <f>IFERROR(__xludf.DUMMYFUNCTION("""COMPUTED_VALUE"""),0.0)</f>
        <v>0</v>
      </c>
      <c r="X245" s="26">
        <f>IFERROR(__xludf.DUMMYFUNCTION("""COMPUTED_VALUE"""),0.0)</f>
        <v>0</v>
      </c>
      <c r="Y245" s="26">
        <f>IFERROR(__xludf.DUMMYFUNCTION("""COMPUTED_VALUE"""),0.0)</f>
        <v>0</v>
      </c>
      <c r="Z245" s="26">
        <f>IFERROR(__xludf.DUMMYFUNCTION("""COMPUTED_VALUE"""),0.0)</f>
        <v>0</v>
      </c>
      <c r="AA245" s="26">
        <f>IFERROR(__xludf.DUMMYFUNCTION("""COMPUTED_VALUE"""),0.0)</f>
        <v>0</v>
      </c>
      <c r="AB245" s="26">
        <f>IFERROR(__xludf.DUMMYFUNCTION("""COMPUTED_VALUE"""),0.0)</f>
        <v>0</v>
      </c>
      <c r="AC245" s="26">
        <f>IFERROR(__xludf.DUMMYFUNCTION("""COMPUTED_VALUE"""),0.0)</f>
        <v>0</v>
      </c>
      <c r="AD245" s="26">
        <f>IFERROR(__xludf.DUMMYFUNCTION("""COMPUTED_VALUE"""),0.0)</f>
        <v>0</v>
      </c>
      <c r="AE245" s="26">
        <f>IFERROR(__xludf.DUMMYFUNCTION("""COMPUTED_VALUE"""),0.0)</f>
        <v>0</v>
      </c>
    </row>
    <row r="246">
      <c r="A246" s="26">
        <f>IFERROR(__xludf.DUMMYFUNCTION("""COMPUTED_VALUE"""),0.0)</f>
        <v>0</v>
      </c>
      <c r="B246" s="26">
        <f>IFERROR(__xludf.DUMMYFUNCTION("""COMPUTED_VALUE"""),0.0)</f>
        <v>0</v>
      </c>
      <c r="C246" s="26">
        <f>IFERROR(__xludf.DUMMYFUNCTION("""COMPUTED_VALUE"""),0.0)</f>
        <v>0</v>
      </c>
      <c r="D246" s="26">
        <f>IFERROR(__xludf.DUMMYFUNCTION("""COMPUTED_VALUE"""),0.0)</f>
        <v>0</v>
      </c>
      <c r="E246" s="26">
        <f>IFERROR(__xludf.DUMMYFUNCTION("""COMPUTED_VALUE"""),0.0)</f>
        <v>0</v>
      </c>
      <c r="F246" s="26">
        <f>IFERROR(__xludf.DUMMYFUNCTION("""COMPUTED_VALUE"""),0.0)</f>
        <v>0</v>
      </c>
      <c r="G246" s="26">
        <f>IFERROR(__xludf.DUMMYFUNCTION("""COMPUTED_VALUE"""),0.0)</f>
        <v>0</v>
      </c>
      <c r="H246" s="26">
        <f>IFERROR(__xludf.DUMMYFUNCTION("""COMPUTED_VALUE"""),0.0)</f>
        <v>0</v>
      </c>
      <c r="I246" s="26">
        <f>IFERROR(__xludf.DUMMYFUNCTION("""COMPUTED_VALUE"""),0.0)</f>
        <v>0</v>
      </c>
      <c r="J246" s="26">
        <f>IFERROR(__xludf.DUMMYFUNCTION("""COMPUTED_VALUE"""),0.0)</f>
        <v>0</v>
      </c>
      <c r="K246" s="26">
        <f>IFERROR(__xludf.DUMMYFUNCTION("""COMPUTED_VALUE"""),0.0)</f>
        <v>0</v>
      </c>
      <c r="L246" s="26"/>
      <c r="M246" s="26"/>
      <c r="N246" s="26"/>
      <c r="O246" s="26"/>
      <c r="P246" s="26"/>
      <c r="Q246" s="26"/>
      <c r="R246" s="26">
        <f>IFERROR(__xludf.DUMMYFUNCTION("""COMPUTED_VALUE"""),0.0)</f>
        <v>0</v>
      </c>
      <c r="S246" s="26">
        <f>IFERROR(__xludf.DUMMYFUNCTION("""COMPUTED_VALUE"""),0.0)</f>
        <v>0</v>
      </c>
      <c r="T246" s="26">
        <f>IFERROR(__xludf.DUMMYFUNCTION("""COMPUTED_VALUE"""),0.0)</f>
        <v>0</v>
      </c>
      <c r="U246" s="26">
        <f>IFERROR(__xludf.DUMMYFUNCTION("""COMPUTED_VALUE"""),0.0)</f>
        <v>0</v>
      </c>
      <c r="V246" s="26">
        <f>IFERROR(__xludf.DUMMYFUNCTION("""COMPUTED_VALUE"""),0.0)</f>
        <v>0</v>
      </c>
      <c r="W246" s="26">
        <f>IFERROR(__xludf.DUMMYFUNCTION("""COMPUTED_VALUE"""),0.0)</f>
        <v>0</v>
      </c>
      <c r="X246" s="26">
        <f>IFERROR(__xludf.DUMMYFUNCTION("""COMPUTED_VALUE"""),0.0)</f>
        <v>0</v>
      </c>
      <c r="Y246" s="26">
        <f>IFERROR(__xludf.DUMMYFUNCTION("""COMPUTED_VALUE"""),0.0)</f>
        <v>0</v>
      </c>
      <c r="Z246" s="26">
        <f>IFERROR(__xludf.DUMMYFUNCTION("""COMPUTED_VALUE"""),0.0)</f>
        <v>0</v>
      </c>
      <c r="AA246" s="26">
        <f>IFERROR(__xludf.DUMMYFUNCTION("""COMPUTED_VALUE"""),0.0)</f>
        <v>0</v>
      </c>
      <c r="AB246" s="26">
        <f>IFERROR(__xludf.DUMMYFUNCTION("""COMPUTED_VALUE"""),0.0)</f>
        <v>0</v>
      </c>
      <c r="AC246" s="26">
        <f>IFERROR(__xludf.DUMMYFUNCTION("""COMPUTED_VALUE"""),0.0)</f>
        <v>0</v>
      </c>
      <c r="AD246" s="26">
        <f>IFERROR(__xludf.DUMMYFUNCTION("""COMPUTED_VALUE"""),0.0)</f>
        <v>0</v>
      </c>
      <c r="AE246" s="26">
        <f>IFERROR(__xludf.DUMMYFUNCTION("""COMPUTED_VALUE"""),0.0)</f>
        <v>0</v>
      </c>
    </row>
    <row r="247">
      <c r="A247" s="26">
        <f>IFERROR(__xludf.DUMMYFUNCTION("""COMPUTED_VALUE"""),0.0)</f>
        <v>0</v>
      </c>
      <c r="B247" s="26">
        <f>IFERROR(__xludf.DUMMYFUNCTION("""COMPUTED_VALUE"""),0.0)</f>
        <v>0</v>
      </c>
      <c r="C247" s="26">
        <f>IFERROR(__xludf.DUMMYFUNCTION("""COMPUTED_VALUE"""),0.0)</f>
        <v>0</v>
      </c>
      <c r="D247" s="26">
        <f>IFERROR(__xludf.DUMMYFUNCTION("""COMPUTED_VALUE"""),0.0)</f>
        <v>0</v>
      </c>
      <c r="E247" s="26">
        <f>IFERROR(__xludf.DUMMYFUNCTION("""COMPUTED_VALUE"""),0.0)</f>
        <v>0</v>
      </c>
      <c r="F247" s="26">
        <f>IFERROR(__xludf.DUMMYFUNCTION("""COMPUTED_VALUE"""),0.0)</f>
        <v>0</v>
      </c>
      <c r="G247" s="26">
        <f>IFERROR(__xludf.DUMMYFUNCTION("""COMPUTED_VALUE"""),0.0)</f>
        <v>0</v>
      </c>
      <c r="H247" s="26">
        <f>IFERROR(__xludf.DUMMYFUNCTION("""COMPUTED_VALUE"""),0.0)</f>
        <v>0</v>
      </c>
      <c r="I247" s="26">
        <f>IFERROR(__xludf.DUMMYFUNCTION("""COMPUTED_VALUE"""),0.0)</f>
        <v>0</v>
      </c>
      <c r="J247" s="26">
        <f>IFERROR(__xludf.DUMMYFUNCTION("""COMPUTED_VALUE"""),0.0)</f>
        <v>0</v>
      </c>
      <c r="K247" s="26">
        <f>IFERROR(__xludf.DUMMYFUNCTION("""COMPUTED_VALUE"""),0.0)</f>
        <v>0</v>
      </c>
      <c r="L247" s="26"/>
      <c r="M247" s="26"/>
      <c r="N247" s="26"/>
      <c r="O247" s="26"/>
      <c r="P247" s="26"/>
      <c r="Q247" s="26"/>
      <c r="R247" s="26">
        <f>IFERROR(__xludf.DUMMYFUNCTION("""COMPUTED_VALUE"""),0.0)</f>
        <v>0</v>
      </c>
      <c r="S247" s="26">
        <f>IFERROR(__xludf.DUMMYFUNCTION("""COMPUTED_VALUE"""),0.0)</f>
        <v>0</v>
      </c>
      <c r="T247" s="26">
        <f>IFERROR(__xludf.DUMMYFUNCTION("""COMPUTED_VALUE"""),0.0)</f>
        <v>0</v>
      </c>
      <c r="U247" s="26">
        <f>IFERROR(__xludf.DUMMYFUNCTION("""COMPUTED_VALUE"""),0.0)</f>
        <v>0</v>
      </c>
      <c r="V247" s="26">
        <f>IFERROR(__xludf.DUMMYFUNCTION("""COMPUTED_VALUE"""),0.0)</f>
        <v>0</v>
      </c>
      <c r="W247" s="26">
        <f>IFERROR(__xludf.DUMMYFUNCTION("""COMPUTED_VALUE"""),0.0)</f>
        <v>0</v>
      </c>
      <c r="X247" s="26">
        <f>IFERROR(__xludf.DUMMYFUNCTION("""COMPUTED_VALUE"""),0.0)</f>
        <v>0</v>
      </c>
      <c r="Y247" s="26">
        <f>IFERROR(__xludf.DUMMYFUNCTION("""COMPUTED_VALUE"""),0.0)</f>
        <v>0</v>
      </c>
      <c r="Z247" s="26">
        <f>IFERROR(__xludf.DUMMYFUNCTION("""COMPUTED_VALUE"""),0.0)</f>
        <v>0</v>
      </c>
      <c r="AA247" s="26">
        <f>IFERROR(__xludf.DUMMYFUNCTION("""COMPUTED_VALUE"""),0.0)</f>
        <v>0</v>
      </c>
      <c r="AB247" s="26">
        <f>IFERROR(__xludf.DUMMYFUNCTION("""COMPUTED_VALUE"""),0.0)</f>
        <v>0</v>
      </c>
      <c r="AC247" s="26">
        <f>IFERROR(__xludf.DUMMYFUNCTION("""COMPUTED_VALUE"""),0.0)</f>
        <v>0</v>
      </c>
      <c r="AD247" s="26">
        <f>IFERROR(__xludf.DUMMYFUNCTION("""COMPUTED_VALUE"""),0.0)</f>
        <v>0</v>
      </c>
      <c r="AE247" s="26">
        <f>IFERROR(__xludf.DUMMYFUNCTION("""COMPUTED_VALUE"""),0.0)</f>
        <v>0</v>
      </c>
    </row>
    <row r="248">
      <c r="A248" s="26">
        <f>IFERROR(__xludf.DUMMYFUNCTION("""COMPUTED_VALUE"""),0.0)</f>
        <v>0</v>
      </c>
      <c r="B248" s="26">
        <f>IFERROR(__xludf.DUMMYFUNCTION("""COMPUTED_VALUE"""),0.0)</f>
        <v>0</v>
      </c>
      <c r="C248" s="26">
        <f>IFERROR(__xludf.DUMMYFUNCTION("""COMPUTED_VALUE"""),0.0)</f>
        <v>0</v>
      </c>
      <c r="D248" s="26">
        <f>IFERROR(__xludf.DUMMYFUNCTION("""COMPUTED_VALUE"""),0.0)</f>
        <v>0</v>
      </c>
      <c r="E248" s="26">
        <f>IFERROR(__xludf.DUMMYFUNCTION("""COMPUTED_VALUE"""),0.0)</f>
        <v>0</v>
      </c>
      <c r="F248" s="26">
        <f>IFERROR(__xludf.DUMMYFUNCTION("""COMPUTED_VALUE"""),0.0)</f>
        <v>0</v>
      </c>
      <c r="G248" s="26">
        <f>IFERROR(__xludf.DUMMYFUNCTION("""COMPUTED_VALUE"""),0.0)</f>
        <v>0</v>
      </c>
      <c r="H248" s="26">
        <f>IFERROR(__xludf.DUMMYFUNCTION("""COMPUTED_VALUE"""),0.0)</f>
        <v>0</v>
      </c>
      <c r="I248" s="26">
        <f>IFERROR(__xludf.DUMMYFUNCTION("""COMPUTED_VALUE"""),0.0)</f>
        <v>0</v>
      </c>
      <c r="J248" s="26">
        <f>IFERROR(__xludf.DUMMYFUNCTION("""COMPUTED_VALUE"""),0.0)</f>
        <v>0</v>
      </c>
      <c r="K248" s="26">
        <f>IFERROR(__xludf.DUMMYFUNCTION("""COMPUTED_VALUE"""),0.0)</f>
        <v>0</v>
      </c>
      <c r="L248" s="26"/>
      <c r="M248" s="26"/>
      <c r="N248" s="26"/>
      <c r="O248" s="26"/>
      <c r="P248" s="26"/>
      <c r="Q248" s="26"/>
      <c r="R248" s="26">
        <f>IFERROR(__xludf.DUMMYFUNCTION("""COMPUTED_VALUE"""),0.0)</f>
        <v>0</v>
      </c>
      <c r="S248" s="26">
        <f>IFERROR(__xludf.DUMMYFUNCTION("""COMPUTED_VALUE"""),0.0)</f>
        <v>0</v>
      </c>
      <c r="T248" s="26">
        <f>IFERROR(__xludf.DUMMYFUNCTION("""COMPUTED_VALUE"""),0.0)</f>
        <v>0</v>
      </c>
      <c r="U248" s="26">
        <f>IFERROR(__xludf.DUMMYFUNCTION("""COMPUTED_VALUE"""),0.0)</f>
        <v>0</v>
      </c>
      <c r="V248" s="26">
        <f>IFERROR(__xludf.DUMMYFUNCTION("""COMPUTED_VALUE"""),0.0)</f>
        <v>0</v>
      </c>
      <c r="W248" s="26">
        <f>IFERROR(__xludf.DUMMYFUNCTION("""COMPUTED_VALUE"""),0.0)</f>
        <v>0</v>
      </c>
      <c r="X248" s="26">
        <f>IFERROR(__xludf.DUMMYFUNCTION("""COMPUTED_VALUE"""),0.0)</f>
        <v>0</v>
      </c>
      <c r="Y248" s="26">
        <f>IFERROR(__xludf.DUMMYFUNCTION("""COMPUTED_VALUE"""),0.0)</f>
        <v>0</v>
      </c>
      <c r="Z248" s="26">
        <f>IFERROR(__xludf.DUMMYFUNCTION("""COMPUTED_VALUE"""),0.0)</f>
        <v>0</v>
      </c>
      <c r="AA248" s="26">
        <f>IFERROR(__xludf.DUMMYFUNCTION("""COMPUTED_VALUE"""),0.0)</f>
        <v>0</v>
      </c>
      <c r="AB248" s="26">
        <f>IFERROR(__xludf.DUMMYFUNCTION("""COMPUTED_VALUE"""),0.0)</f>
        <v>0</v>
      </c>
      <c r="AC248" s="26">
        <f>IFERROR(__xludf.DUMMYFUNCTION("""COMPUTED_VALUE"""),0.0)</f>
        <v>0</v>
      </c>
      <c r="AD248" s="26">
        <f>IFERROR(__xludf.DUMMYFUNCTION("""COMPUTED_VALUE"""),0.0)</f>
        <v>0</v>
      </c>
      <c r="AE248" s="26">
        <f>IFERROR(__xludf.DUMMYFUNCTION("""COMPUTED_VALUE"""),0.0)</f>
        <v>0</v>
      </c>
    </row>
    <row r="249">
      <c r="A249" s="26">
        <f>IFERROR(__xludf.DUMMYFUNCTION("""COMPUTED_VALUE"""),0.0)</f>
        <v>0</v>
      </c>
      <c r="B249" s="26">
        <f>IFERROR(__xludf.DUMMYFUNCTION("""COMPUTED_VALUE"""),0.0)</f>
        <v>0</v>
      </c>
      <c r="C249" s="26">
        <f>IFERROR(__xludf.DUMMYFUNCTION("""COMPUTED_VALUE"""),0.0)</f>
        <v>0</v>
      </c>
      <c r="D249" s="26">
        <f>IFERROR(__xludf.DUMMYFUNCTION("""COMPUTED_VALUE"""),0.0)</f>
        <v>0</v>
      </c>
      <c r="E249" s="26">
        <f>IFERROR(__xludf.DUMMYFUNCTION("""COMPUTED_VALUE"""),0.0)</f>
        <v>0</v>
      </c>
      <c r="F249" s="26">
        <f>IFERROR(__xludf.DUMMYFUNCTION("""COMPUTED_VALUE"""),0.0)</f>
        <v>0</v>
      </c>
      <c r="G249" s="26">
        <f>IFERROR(__xludf.DUMMYFUNCTION("""COMPUTED_VALUE"""),0.0)</f>
        <v>0</v>
      </c>
      <c r="H249" s="26">
        <f>IFERROR(__xludf.DUMMYFUNCTION("""COMPUTED_VALUE"""),0.0)</f>
        <v>0</v>
      </c>
      <c r="I249" s="26">
        <f>IFERROR(__xludf.DUMMYFUNCTION("""COMPUTED_VALUE"""),0.0)</f>
        <v>0</v>
      </c>
      <c r="J249" s="26">
        <f>IFERROR(__xludf.DUMMYFUNCTION("""COMPUTED_VALUE"""),0.0)</f>
        <v>0</v>
      </c>
      <c r="K249" s="26">
        <f>IFERROR(__xludf.DUMMYFUNCTION("""COMPUTED_VALUE"""),0.0)</f>
        <v>0</v>
      </c>
      <c r="L249" s="26"/>
      <c r="M249" s="26"/>
      <c r="N249" s="26"/>
      <c r="O249" s="26"/>
      <c r="P249" s="26"/>
      <c r="Q249" s="26"/>
      <c r="R249" s="26">
        <f>IFERROR(__xludf.DUMMYFUNCTION("""COMPUTED_VALUE"""),0.0)</f>
        <v>0</v>
      </c>
      <c r="S249" s="26">
        <f>IFERROR(__xludf.DUMMYFUNCTION("""COMPUTED_VALUE"""),0.0)</f>
        <v>0</v>
      </c>
      <c r="T249" s="26">
        <f>IFERROR(__xludf.DUMMYFUNCTION("""COMPUTED_VALUE"""),0.0)</f>
        <v>0</v>
      </c>
      <c r="U249" s="26">
        <f>IFERROR(__xludf.DUMMYFUNCTION("""COMPUTED_VALUE"""),0.0)</f>
        <v>0</v>
      </c>
      <c r="V249" s="26">
        <f>IFERROR(__xludf.DUMMYFUNCTION("""COMPUTED_VALUE"""),0.0)</f>
        <v>0</v>
      </c>
      <c r="W249" s="26">
        <f>IFERROR(__xludf.DUMMYFUNCTION("""COMPUTED_VALUE"""),0.0)</f>
        <v>0</v>
      </c>
      <c r="X249" s="26">
        <f>IFERROR(__xludf.DUMMYFUNCTION("""COMPUTED_VALUE"""),0.0)</f>
        <v>0</v>
      </c>
      <c r="Y249" s="26">
        <f>IFERROR(__xludf.DUMMYFUNCTION("""COMPUTED_VALUE"""),0.0)</f>
        <v>0</v>
      </c>
      <c r="Z249" s="26">
        <f>IFERROR(__xludf.DUMMYFUNCTION("""COMPUTED_VALUE"""),0.0)</f>
        <v>0</v>
      </c>
      <c r="AA249" s="26">
        <f>IFERROR(__xludf.DUMMYFUNCTION("""COMPUTED_VALUE"""),0.0)</f>
        <v>0</v>
      </c>
      <c r="AB249" s="26">
        <f>IFERROR(__xludf.DUMMYFUNCTION("""COMPUTED_VALUE"""),0.0)</f>
        <v>0</v>
      </c>
      <c r="AC249" s="26">
        <f>IFERROR(__xludf.DUMMYFUNCTION("""COMPUTED_VALUE"""),0.0)</f>
        <v>0</v>
      </c>
      <c r="AD249" s="26">
        <f>IFERROR(__xludf.DUMMYFUNCTION("""COMPUTED_VALUE"""),0.0)</f>
        <v>0</v>
      </c>
      <c r="AE249" s="26">
        <f>IFERROR(__xludf.DUMMYFUNCTION("""COMPUTED_VALUE"""),0.0)</f>
        <v>0</v>
      </c>
    </row>
    <row r="250">
      <c r="A250" s="26">
        <f>IFERROR(__xludf.DUMMYFUNCTION("""COMPUTED_VALUE"""),0.0)</f>
        <v>0</v>
      </c>
      <c r="B250" s="26">
        <f>IFERROR(__xludf.DUMMYFUNCTION("""COMPUTED_VALUE"""),0.0)</f>
        <v>0</v>
      </c>
      <c r="C250" s="26">
        <f>IFERROR(__xludf.DUMMYFUNCTION("""COMPUTED_VALUE"""),0.0)</f>
        <v>0</v>
      </c>
      <c r="D250" s="26">
        <f>IFERROR(__xludf.DUMMYFUNCTION("""COMPUTED_VALUE"""),0.0)</f>
        <v>0</v>
      </c>
      <c r="E250" s="26">
        <f>IFERROR(__xludf.DUMMYFUNCTION("""COMPUTED_VALUE"""),0.0)</f>
        <v>0</v>
      </c>
      <c r="F250" s="26">
        <f>IFERROR(__xludf.DUMMYFUNCTION("""COMPUTED_VALUE"""),0.0)</f>
        <v>0</v>
      </c>
      <c r="G250" s="26">
        <f>IFERROR(__xludf.DUMMYFUNCTION("""COMPUTED_VALUE"""),0.0)</f>
        <v>0</v>
      </c>
      <c r="H250" s="26">
        <f>IFERROR(__xludf.DUMMYFUNCTION("""COMPUTED_VALUE"""),0.0)</f>
        <v>0</v>
      </c>
      <c r="I250" s="26">
        <f>IFERROR(__xludf.DUMMYFUNCTION("""COMPUTED_VALUE"""),0.0)</f>
        <v>0</v>
      </c>
      <c r="J250" s="26">
        <f>IFERROR(__xludf.DUMMYFUNCTION("""COMPUTED_VALUE"""),0.0)</f>
        <v>0</v>
      </c>
      <c r="K250" s="26">
        <f>IFERROR(__xludf.DUMMYFUNCTION("""COMPUTED_VALUE"""),0.0)</f>
        <v>0</v>
      </c>
      <c r="L250" s="26"/>
      <c r="M250" s="26"/>
      <c r="N250" s="26"/>
      <c r="O250" s="26"/>
      <c r="P250" s="26"/>
      <c r="Q250" s="26"/>
      <c r="R250" s="26">
        <f>IFERROR(__xludf.DUMMYFUNCTION("""COMPUTED_VALUE"""),0.0)</f>
        <v>0</v>
      </c>
      <c r="S250" s="26">
        <f>IFERROR(__xludf.DUMMYFUNCTION("""COMPUTED_VALUE"""),0.0)</f>
        <v>0</v>
      </c>
      <c r="T250" s="26">
        <f>IFERROR(__xludf.DUMMYFUNCTION("""COMPUTED_VALUE"""),0.0)</f>
        <v>0</v>
      </c>
      <c r="U250" s="26">
        <f>IFERROR(__xludf.DUMMYFUNCTION("""COMPUTED_VALUE"""),0.0)</f>
        <v>0</v>
      </c>
      <c r="V250" s="26">
        <f>IFERROR(__xludf.DUMMYFUNCTION("""COMPUTED_VALUE"""),0.0)</f>
        <v>0</v>
      </c>
      <c r="W250" s="26">
        <f>IFERROR(__xludf.DUMMYFUNCTION("""COMPUTED_VALUE"""),0.0)</f>
        <v>0</v>
      </c>
      <c r="X250" s="26">
        <f>IFERROR(__xludf.DUMMYFUNCTION("""COMPUTED_VALUE"""),0.0)</f>
        <v>0</v>
      </c>
      <c r="Y250" s="26">
        <f>IFERROR(__xludf.DUMMYFUNCTION("""COMPUTED_VALUE"""),0.0)</f>
        <v>0</v>
      </c>
      <c r="Z250" s="26">
        <f>IFERROR(__xludf.DUMMYFUNCTION("""COMPUTED_VALUE"""),0.0)</f>
        <v>0</v>
      </c>
      <c r="AA250" s="26">
        <f>IFERROR(__xludf.DUMMYFUNCTION("""COMPUTED_VALUE"""),0.0)</f>
        <v>0</v>
      </c>
      <c r="AB250" s="26">
        <f>IFERROR(__xludf.DUMMYFUNCTION("""COMPUTED_VALUE"""),0.0)</f>
        <v>0</v>
      </c>
      <c r="AC250" s="26">
        <f>IFERROR(__xludf.DUMMYFUNCTION("""COMPUTED_VALUE"""),0.0)</f>
        <v>0</v>
      </c>
      <c r="AD250" s="26">
        <f>IFERROR(__xludf.DUMMYFUNCTION("""COMPUTED_VALUE"""),0.0)</f>
        <v>0</v>
      </c>
      <c r="AE250" s="26">
        <f>IFERROR(__xludf.DUMMYFUNCTION("""COMPUTED_VALUE"""),0.0)</f>
        <v>0</v>
      </c>
    </row>
    <row r="251">
      <c r="A251" s="26">
        <f>IFERROR(__xludf.DUMMYFUNCTION("""COMPUTED_VALUE"""),0.0)</f>
        <v>0</v>
      </c>
      <c r="B251" s="26">
        <f>IFERROR(__xludf.DUMMYFUNCTION("""COMPUTED_VALUE"""),0.0)</f>
        <v>0</v>
      </c>
      <c r="C251" s="26">
        <f>IFERROR(__xludf.DUMMYFUNCTION("""COMPUTED_VALUE"""),0.0)</f>
        <v>0</v>
      </c>
      <c r="D251" s="26">
        <f>IFERROR(__xludf.DUMMYFUNCTION("""COMPUTED_VALUE"""),0.0)</f>
        <v>0</v>
      </c>
      <c r="E251" s="26">
        <f>IFERROR(__xludf.DUMMYFUNCTION("""COMPUTED_VALUE"""),0.0)</f>
        <v>0</v>
      </c>
      <c r="F251" s="26">
        <f>IFERROR(__xludf.DUMMYFUNCTION("""COMPUTED_VALUE"""),0.0)</f>
        <v>0</v>
      </c>
      <c r="G251" s="26">
        <f>IFERROR(__xludf.DUMMYFUNCTION("""COMPUTED_VALUE"""),0.0)</f>
        <v>0</v>
      </c>
      <c r="H251" s="26">
        <f>IFERROR(__xludf.DUMMYFUNCTION("""COMPUTED_VALUE"""),0.0)</f>
        <v>0</v>
      </c>
      <c r="I251" s="26">
        <f>IFERROR(__xludf.DUMMYFUNCTION("""COMPUTED_VALUE"""),0.0)</f>
        <v>0</v>
      </c>
      <c r="J251" s="26">
        <f>IFERROR(__xludf.DUMMYFUNCTION("""COMPUTED_VALUE"""),0.0)</f>
        <v>0</v>
      </c>
      <c r="K251" s="26">
        <f>IFERROR(__xludf.DUMMYFUNCTION("""COMPUTED_VALUE"""),0.0)</f>
        <v>0</v>
      </c>
      <c r="L251" s="26"/>
      <c r="M251" s="26"/>
      <c r="N251" s="26"/>
      <c r="O251" s="26"/>
      <c r="P251" s="26"/>
      <c r="Q251" s="26"/>
      <c r="R251" s="26">
        <f>IFERROR(__xludf.DUMMYFUNCTION("""COMPUTED_VALUE"""),0.0)</f>
        <v>0</v>
      </c>
      <c r="S251" s="26">
        <f>IFERROR(__xludf.DUMMYFUNCTION("""COMPUTED_VALUE"""),0.0)</f>
        <v>0</v>
      </c>
      <c r="T251" s="26">
        <f>IFERROR(__xludf.DUMMYFUNCTION("""COMPUTED_VALUE"""),0.0)</f>
        <v>0</v>
      </c>
      <c r="U251" s="26">
        <f>IFERROR(__xludf.DUMMYFUNCTION("""COMPUTED_VALUE"""),0.0)</f>
        <v>0</v>
      </c>
      <c r="V251" s="26">
        <f>IFERROR(__xludf.DUMMYFUNCTION("""COMPUTED_VALUE"""),0.0)</f>
        <v>0</v>
      </c>
      <c r="W251" s="26">
        <f>IFERROR(__xludf.DUMMYFUNCTION("""COMPUTED_VALUE"""),0.0)</f>
        <v>0</v>
      </c>
      <c r="X251" s="26">
        <f>IFERROR(__xludf.DUMMYFUNCTION("""COMPUTED_VALUE"""),0.0)</f>
        <v>0</v>
      </c>
      <c r="Y251" s="26">
        <f>IFERROR(__xludf.DUMMYFUNCTION("""COMPUTED_VALUE"""),0.0)</f>
        <v>0</v>
      </c>
      <c r="Z251" s="26">
        <f>IFERROR(__xludf.DUMMYFUNCTION("""COMPUTED_VALUE"""),0.0)</f>
        <v>0</v>
      </c>
      <c r="AA251" s="26">
        <f>IFERROR(__xludf.DUMMYFUNCTION("""COMPUTED_VALUE"""),0.0)</f>
        <v>0</v>
      </c>
      <c r="AB251" s="26">
        <f>IFERROR(__xludf.DUMMYFUNCTION("""COMPUTED_VALUE"""),0.0)</f>
        <v>0</v>
      </c>
      <c r="AC251" s="26">
        <f>IFERROR(__xludf.DUMMYFUNCTION("""COMPUTED_VALUE"""),0.0)</f>
        <v>0</v>
      </c>
      <c r="AD251" s="26">
        <f>IFERROR(__xludf.DUMMYFUNCTION("""COMPUTED_VALUE"""),0.0)</f>
        <v>0</v>
      </c>
      <c r="AE251" s="26">
        <f>IFERROR(__xludf.DUMMYFUNCTION("""COMPUTED_VALUE"""),0.0)</f>
        <v>0</v>
      </c>
    </row>
    <row r="252">
      <c r="A252" s="26">
        <f>IFERROR(__xludf.DUMMYFUNCTION("""COMPUTED_VALUE"""),0.0)</f>
        <v>0</v>
      </c>
      <c r="B252" s="26">
        <f>IFERROR(__xludf.DUMMYFUNCTION("""COMPUTED_VALUE"""),0.0)</f>
        <v>0</v>
      </c>
      <c r="C252" s="26">
        <f>IFERROR(__xludf.DUMMYFUNCTION("""COMPUTED_VALUE"""),0.0)</f>
        <v>0</v>
      </c>
      <c r="D252" s="26">
        <f>IFERROR(__xludf.DUMMYFUNCTION("""COMPUTED_VALUE"""),0.0)</f>
        <v>0</v>
      </c>
      <c r="E252" s="26">
        <f>IFERROR(__xludf.DUMMYFUNCTION("""COMPUTED_VALUE"""),0.0)</f>
        <v>0</v>
      </c>
      <c r="F252" s="26">
        <f>IFERROR(__xludf.DUMMYFUNCTION("""COMPUTED_VALUE"""),0.0)</f>
        <v>0</v>
      </c>
      <c r="G252" s="26">
        <f>IFERROR(__xludf.DUMMYFUNCTION("""COMPUTED_VALUE"""),0.0)</f>
        <v>0</v>
      </c>
      <c r="H252" s="26">
        <f>IFERROR(__xludf.DUMMYFUNCTION("""COMPUTED_VALUE"""),0.0)</f>
        <v>0</v>
      </c>
      <c r="I252" s="26">
        <f>IFERROR(__xludf.DUMMYFUNCTION("""COMPUTED_VALUE"""),0.0)</f>
        <v>0</v>
      </c>
      <c r="J252" s="26">
        <f>IFERROR(__xludf.DUMMYFUNCTION("""COMPUTED_VALUE"""),0.0)</f>
        <v>0</v>
      </c>
      <c r="K252" s="26">
        <f>IFERROR(__xludf.DUMMYFUNCTION("""COMPUTED_VALUE"""),0.0)</f>
        <v>0</v>
      </c>
      <c r="L252" s="26"/>
      <c r="M252" s="26"/>
      <c r="N252" s="26"/>
      <c r="O252" s="26"/>
      <c r="P252" s="26"/>
      <c r="Q252" s="26"/>
      <c r="R252" s="26">
        <f>IFERROR(__xludf.DUMMYFUNCTION("""COMPUTED_VALUE"""),0.0)</f>
        <v>0</v>
      </c>
      <c r="S252" s="26">
        <f>IFERROR(__xludf.DUMMYFUNCTION("""COMPUTED_VALUE"""),0.0)</f>
        <v>0</v>
      </c>
      <c r="T252" s="26">
        <f>IFERROR(__xludf.DUMMYFUNCTION("""COMPUTED_VALUE"""),0.0)</f>
        <v>0</v>
      </c>
      <c r="U252" s="26">
        <f>IFERROR(__xludf.DUMMYFUNCTION("""COMPUTED_VALUE"""),0.0)</f>
        <v>0</v>
      </c>
      <c r="V252" s="26">
        <f>IFERROR(__xludf.DUMMYFUNCTION("""COMPUTED_VALUE"""),0.0)</f>
        <v>0</v>
      </c>
      <c r="W252" s="26">
        <f>IFERROR(__xludf.DUMMYFUNCTION("""COMPUTED_VALUE"""),0.0)</f>
        <v>0</v>
      </c>
      <c r="X252" s="26">
        <f>IFERROR(__xludf.DUMMYFUNCTION("""COMPUTED_VALUE"""),0.0)</f>
        <v>0</v>
      </c>
      <c r="Y252" s="26">
        <f>IFERROR(__xludf.DUMMYFUNCTION("""COMPUTED_VALUE"""),0.0)</f>
        <v>0</v>
      </c>
      <c r="Z252" s="26">
        <f>IFERROR(__xludf.DUMMYFUNCTION("""COMPUTED_VALUE"""),0.0)</f>
        <v>0</v>
      </c>
      <c r="AA252" s="26">
        <f>IFERROR(__xludf.DUMMYFUNCTION("""COMPUTED_VALUE"""),0.0)</f>
        <v>0</v>
      </c>
      <c r="AB252" s="26">
        <f>IFERROR(__xludf.DUMMYFUNCTION("""COMPUTED_VALUE"""),0.0)</f>
        <v>0</v>
      </c>
      <c r="AC252" s="26">
        <f>IFERROR(__xludf.DUMMYFUNCTION("""COMPUTED_VALUE"""),0.0)</f>
        <v>0</v>
      </c>
      <c r="AD252" s="26">
        <f>IFERROR(__xludf.DUMMYFUNCTION("""COMPUTED_VALUE"""),0.0)</f>
        <v>0</v>
      </c>
      <c r="AE252" s="26">
        <f>IFERROR(__xludf.DUMMYFUNCTION("""COMPUTED_VALUE"""),0.0)</f>
        <v>0</v>
      </c>
    </row>
    <row r="253">
      <c r="A253" s="26">
        <f>IFERROR(__xludf.DUMMYFUNCTION("""COMPUTED_VALUE"""),0.0)</f>
        <v>0</v>
      </c>
      <c r="B253" s="26">
        <f>IFERROR(__xludf.DUMMYFUNCTION("""COMPUTED_VALUE"""),0.0)</f>
        <v>0</v>
      </c>
      <c r="C253" s="26">
        <f>IFERROR(__xludf.DUMMYFUNCTION("""COMPUTED_VALUE"""),0.0)</f>
        <v>0</v>
      </c>
      <c r="D253" s="26">
        <f>IFERROR(__xludf.DUMMYFUNCTION("""COMPUTED_VALUE"""),0.0)</f>
        <v>0</v>
      </c>
      <c r="E253" s="26">
        <f>IFERROR(__xludf.DUMMYFUNCTION("""COMPUTED_VALUE"""),209.0)</f>
        <v>209</v>
      </c>
      <c r="F253" s="26">
        <f>IFERROR(__xludf.DUMMYFUNCTION("""COMPUTED_VALUE"""),0.0)</f>
        <v>0</v>
      </c>
      <c r="G253" s="26">
        <f>IFERROR(__xludf.DUMMYFUNCTION("""COMPUTED_VALUE"""),0.0)</f>
        <v>0</v>
      </c>
      <c r="H253" s="26">
        <f>IFERROR(__xludf.DUMMYFUNCTION("""COMPUTED_VALUE"""),0.0)</f>
        <v>0</v>
      </c>
      <c r="I253" s="26">
        <f>IFERROR(__xludf.DUMMYFUNCTION("""COMPUTED_VALUE"""),0.0)</f>
        <v>0</v>
      </c>
      <c r="J253" s="26">
        <f>IFERROR(__xludf.DUMMYFUNCTION("""COMPUTED_VALUE"""),0.0)</f>
        <v>0</v>
      </c>
      <c r="K253" s="26">
        <f>IFERROR(__xludf.DUMMYFUNCTION("""COMPUTED_VALUE"""),0.0)</f>
        <v>0</v>
      </c>
      <c r="L253" s="26"/>
      <c r="M253" s="26"/>
      <c r="N253" s="26"/>
      <c r="O253" s="26"/>
      <c r="P253" s="26"/>
      <c r="Q253" s="26"/>
      <c r="R253" s="26">
        <f>IFERROR(__xludf.DUMMYFUNCTION("""COMPUTED_VALUE"""),365750.0)</f>
        <v>365750</v>
      </c>
      <c r="S253" s="26">
        <f>IFERROR(__xludf.DUMMYFUNCTION("""COMPUTED_VALUE"""),36980.0)</f>
        <v>36980</v>
      </c>
      <c r="T253" s="26">
        <f>IFERROR(__xludf.DUMMYFUNCTION("""COMPUTED_VALUE"""),0.0)</f>
        <v>0</v>
      </c>
      <c r="U253" s="26">
        <f>IFERROR(__xludf.DUMMYFUNCTION("""COMPUTED_VALUE"""),0.0)</f>
        <v>0</v>
      </c>
      <c r="V253" s="26">
        <f>IFERROR(__xludf.DUMMYFUNCTION("""COMPUTED_VALUE"""),55792.55000000001)</f>
        <v>55792.55</v>
      </c>
      <c r="W253" s="26">
        <f>IFERROR(__xludf.DUMMYFUNCTION("""COMPUTED_VALUE"""),0.0)</f>
        <v>0</v>
      </c>
      <c r="X253" s="26">
        <f>IFERROR(__xludf.DUMMYFUNCTION("""COMPUTED_VALUE"""),0.0)</f>
        <v>0</v>
      </c>
      <c r="Y253" s="26">
        <f>IFERROR(__xludf.DUMMYFUNCTION("""COMPUTED_VALUE"""),0.0)</f>
        <v>0</v>
      </c>
      <c r="Z253" s="26">
        <f>IFERROR(__xludf.DUMMYFUNCTION("""COMPUTED_VALUE"""),0.0)</f>
        <v>0</v>
      </c>
      <c r="AA253" s="26">
        <f>IFERROR(__xludf.DUMMYFUNCTION("""COMPUTED_VALUE"""),0.0)</f>
        <v>0</v>
      </c>
      <c r="AB253" s="26">
        <f>IFERROR(__xludf.DUMMYFUNCTION("""COMPUTED_VALUE"""),0.0)</f>
        <v>0</v>
      </c>
      <c r="AC253" s="26">
        <f>IFERROR(__xludf.DUMMYFUNCTION("""COMPUTED_VALUE"""),0.0)</f>
        <v>0</v>
      </c>
      <c r="AD253" s="26">
        <f>IFERROR(__xludf.DUMMYFUNCTION("""COMPUTED_VALUE"""),0.0)</f>
        <v>0</v>
      </c>
      <c r="AE253" s="26">
        <f>IFERROR(__xludf.DUMMYFUNCTION("""COMPUTED_VALUE"""),0.0)</f>
        <v>0</v>
      </c>
    </row>
    <row r="254">
      <c r="A254" s="26">
        <f>IFERROR(__xludf.DUMMYFUNCTION("""COMPUTED_VALUE"""),0.0)</f>
        <v>0</v>
      </c>
      <c r="B254" s="26">
        <f>IFERROR(__xludf.DUMMYFUNCTION("""COMPUTED_VALUE"""),0.0)</f>
        <v>0</v>
      </c>
      <c r="C254" s="26">
        <f>IFERROR(__xludf.DUMMYFUNCTION("""COMPUTED_VALUE"""),0.0)</f>
        <v>0</v>
      </c>
      <c r="D254" s="26">
        <f>IFERROR(__xludf.DUMMYFUNCTION("""COMPUTED_VALUE"""),0.0)</f>
        <v>0</v>
      </c>
      <c r="E254" s="26">
        <f>IFERROR(__xludf.DUMMYFUNCTION("""COMPUTED_VALUE"""),323.0)</f>
        <v>323</v>
      </c>
      <c r="F254" s="26">
        <f>IFERROR(__xludf.DUMMYFUNCTION("""COMPUTED_VALUE"""),0.0)</f>
        <v>0</v>
      </c>
      <c r="G254" s="26">
        <f>IFERROR(__xludf.DUMMYFUNCTION("""COMPUTED_VALUE"""),0.0)</f>
        <v>0</v>
      </c>
      <c r="H254" s="26">
        <f>IFERROR(__xludf.DUMMYFUNCTION("""COMPUTED_VALUE"""),0.0)</f>
        <v>0</v>
      </c>
      <c r="I254" s="26">
        <f>IFERROR(__xludf.DUMMYFUNCTION("""COMPUTED_VALUE"""),0.0)</f>
        <v>0</v>
      </c>
      <c r="J254" s="26">
        <f>IFERROR(__xludf.DUMMYFUNCTION("""COMPUTED_VALUE"""),0.0)</f>
        <v>0</v>
      </c>
      <c r="K254" s="26">
        <f>IFERROR(__xludf.DUMMYFUNCTION("""COMPUTED_VALUE"""),0.0)</f>
        <v>0</v>
      </c>
      <c r="L254" s="26"/>
      <c r="M254" s="26"/>
      <c r="N254" s="26"/>
      <c r="O254" s="26"/>
      <c r="P254" s="26"/>
      <c r="Q254" s="26"/>
      <c r="R254" s="26">
        <f>IFERROR(__xludf.DUMMYFUNCTION("""COMPUTED_VALUE"""),565250.0)</f>
        <v>565250</v>
      </c>
      <c r="S254" s="26">
        <f>IFERROR(__xludf.DUMMYFUNCTION("""COMPUTED_VALUE"""),59260.0)</f>
        <v>59260</v>
      </c>
      <c r="T254" s="26">
        <f>IFERROR(__xludf.DUMMYFUNCTION("""COMPUTED_VALUE"""),0.0)</f>
        <v>0</v>
      </c>
      <c r="U254" s="26">
        <f>IFERROR(__xludf.DUMMYFUNCTION("""COMPUTED_VALUE"""),0.0)</f>
        <v>0</v>
      </c>
      <c r="V254" s="26">
        <f>IFERROR(__xludf.DUMMYFUNCTION("""COMPUTED_VALUE"""),86224.8500000001)</f>
        <v>86224.85</v>
      </c>
      <c r="W254" s="26">
        <f>IFERROR(__xludf.DUMMYFUNCTION("""COMPUTED_VALUE"""),0.0)</f>
        <v>0</v>
      </c>
      <c r="X254" s="26">
        <f>IFERROR(__xludf.DUMMYFUNCTION("""COMPUTED_VALUE"""),0.0)</f>
        <v>0</v>
      </c>
      <c r="Y254" s="26">
        <f>IFERROR(__xludf.DUMMYFUNCTION("""COMPUTED_VALUE"""),0.0)</f>
        <v>0</v>
      </c>
      <c r="Z254" s="26">
        <f>IFERROR(__xludf.DUMMYFUNCTION("""COMPUTED_VALUE"""),0.0)</f>
        <v>0</v>
      </c>
      <c r="AA254" s="26">
        <f>IFERROR(__xludf.DUMMYFUNCTION("""COMPUTED_VALUE"""),0.0)</f>
        <v>0</v>
      </c>
      <c r="AB254" s="26">
        <f>IFERROR(__xludf.DUMMYFUNCTION("""COMPUTED_VALUE"""),0.0)</f>
        <v>0</v>
      </c>
      <c r="AC254" s="26">
        <f>IFERROR(__xludf.DUMMYFUNCTION("""COMPUTED_VALUE"""),0.0)</f>
        <v>0</v>
      </c>
      <c r="AD254" s="26">
        <f>IFERROR(__xludf.DUMMYFUNCTION("""COMPUTED_VALUE"""),0.0)</f>
        <v>0</v>
      </c>
      <c r="AE254" s="26">
        <f>IFERROR(__xludf.DUMMYFUNCTION("""COMPUTED_VALUE"""),0.0)</f>
        <v>0</v>
      </c>
    </row>
    <row r="255">
      <c r="A255" s="26">
        <f>IFERROR(__xludf.DUMMYFUNCTION("""COMPUTED_VALUE"""),0.0)</f>
        <v>0</v>
      </c>
      <c r="B255" s="26">
        <f>IFERROR(__xludf.DUMMYFUNCTION("""COMPUTED_VALUE"""),0.0)</f>
        <v>0</v>
      </c>
      <c r="C255" s="26">
        <f>IFERROR(__xludf.DUMMYFUNCTION("""COMPUTED_VALUE"""),0.0)</f>
        <v>0</v>
      </c>
      <c r="D255" s="26">
        <f>IFERROR(__xludf.DUMMYFUNCTION("""COMPUTED_VALUE"""),0.0)</f>
        <v>0</v>
      </c>
      <c r="E255" s="26">
        <f>IFERROR(__xludf.DUMMYFUNCTION("""COMPUTED_VALUE"""),0.0)</f>
        <v>0</v>
      </c>
      <c r="F255" s="26">
        <f>IFERROR(__xludf.DUMMYFUNCTION("""COMPUTED_VALUE"""),0.0)</f>
        <v>0</v>
      </c>
      <c r="G255" s="26">
        <f>IFERROR(__xludf.DUMMYFUNCTION("""COMPUTED_VALUE"""),0.0)</f>
        <v>0</v>
      </c>
      <c r="H255" s="26">
        <f>IFERROR(__xludf.DUMMYFUNCTION("""COMPUTED_VALUE"""),0.0)</f>
        <v>0</v>
      </c>
      <c r="I255" s="26">
        <f>IFERROR(__xludf.DUMMYFUNCTION("""COMPUTED_VALUE"""),0.0)</f>
        <v>0</v>
      </c>
      <c r="J255" s="26">
        <f>IFERROR(__xludf.DUMMYFUNCTION("""COMPUTED_VALUE"""),0.0)</f>
        <v>0</v>
      </c>
      <c r="K255" s="26">
        <f>IFERROR(__xludf.DUMMYFUNCTION("""COMPUTED_VALUE"""),0.0)</f>
        <v>0</v>
      </c>
      <c r="L255" s="26"/>
      <c r="M255" s="26"/>
      <c r="N255" s="26"/>
      <c r="O255" s="26"/>
      <c r="P255" s="26"/>
      <c r="Q255" s="26"/>
      <c r="R255" s="26">
        <f>IFERROR(__xludf.DUMMYFUNCTION("""COMPUTED_VALUE"""),0.0)</f>
        <v>0</v>
      </c>
      <c r="S255" s="26">
        <f>IFERROR(__xludf.DUMMYFUNCTION("""COMPUTED_VALUE"""),0.0)</f>
        <v>0</v>
      </c>
      <c r="T255" s="26">
        <f>IFERROR(__xludf.DUMMYFUNCTION("""COMPUTED_VALUE"""),0.0)</f>
        <v>0</v>
      </c>
      <c r="U255" s="26">
        <f>IFERROR(__xludf.DUMMYFUNCTION("""COMPUTED_VALUE"""),0.0)</f>
        <v>0</v>
      </c>
      <c r="V255" s="26">
        <f>IFERROR(__xludf.DUMMYFUNCTION("""COMPUTED_VALUE"""),0.0)</f>
        <v>0</v>
      </c>
      <c r="W255" s="26">
        <f>IFERROR(__xludf.DUMMYFUNCTION("""COMPUTED_VALUE"""),0.0)</f>
        <v>0</v>
      </c>
      <c r="X255" s="26">
        <f>IFERROR(__xludf.DUMMYFUNCTION("""COMPUTED_VALUE"""),0.0)</f>
        <v>0</v>
      </c>
      <c r="Y255" s="26">
        <f>IFERROR(__xludf.DUMMYFUNCTION("""COMPUTED_VALUE"""),0.0)</f>
        <v>0</v>
      </c>
      <c r="Z255" s="26">
        <f>IFERROR(__xludf.DUMMYFUNCTION("""COMPUTED_VALUE"""),0.0)</f>
        <v>0</v>
      </c>
      <c r="AA255" s="26">
        <f>IFERROR(__xludf.DUMMYFUNCTION("""COMPUTED_VALUE"""),0.0)</f>
        <v>0</v>
      </c>
      <c r="AB255" s="26">
        <f>IFERROR(__xludf.DUMMYFUNCTION("""COMPUTED_VALUE"""),0.0)</f>
        <v>0</v>
      </c>
      <c r="AC255" s="26">
        <f>IFERROR(__xludf.DUMMYFUNCTION("""COMPUTED_VALUE"""),0.0)</f>
        <v>0</v>
      </c>
      <c r="AD255" s="26">
        <f>IFERROR(__xludf.DUMMYFUNCTION("""COMPUTED_VALUE"""),0.0)</f>
        <v>0</v>
      </c>
      <c r="AE255" s="26">
        <f>IFERROR(__xludf.DUMMYFUNCTION("""COMPUTED_VALUE"""),0.0)</f>
        <v>0</v>
      </c>
    </row>
    <row r="256">
      <c r="A256" s="26">
        <f>IFERROR(__xludf.DUMMYFUNCTION("""COMPUTED_VALUE"""),0.0)</f>
        <v>0</v>
      </c>
      <c r="B256" s="26">
        <f>IFERROR(__xludf.DUMMYFUNCTION("""COMPUTED_VALUE"""),0.0)</f>
        <v>0</v>
      </c>
      <c r="C256" s="26">
        <f>IFERROR(__xludf.DUMMYFUNCTION("""COMPUTED_VALUE"""),0.0)</f>
        <v>0</v>
      </c>
      <c r="D256" s="26">
        <f>IFERROR(__xludf.DUMMYFUNCTION("""COMPUTED_VALUE"""),0.0)</f>
        <v>0</v>
      </c>
      <c r="E256" s="26">
        <f>IFERROR(__xludf.DUMMYFUNCTION("""COMPUTED_VALUE"""),0.0)</f>
        <v>0</v>
      </c>
      <c r="F256" s="26">
        <f>IFERROR(__xludf.DUMMYFUNCTION("""COMPUTED_VALUE"""),0.0)</f>
        <v>0</v>
      </c>
      <c r="G256" s="26">
        <f>IFERROR(__xludf.DUMMYFUNCTION("""COMPUTED_VALUE"""),0.0)</f>
        <v>0</v>
      </c>
      <c r="H256" s="26">
        <f>IFERROR(__xludf.DUMMYFUNCTION("""COMPUTED_VALUE"""),0.0)</f>
        <v>0</v>
      </c>
      <c r="I256" s="26">
        <f>IFERROR(__xludf.DUMMYFUNCTION("""COMPUTED_VALUE"""),0.0)</f>
        <v>0</v>
      </c>
      <c r="J256" s="26">
        <f>IFERROR(__xludf.DUMMYFUNCTION("""COMPUTED_VALUE"""),0.0)</f>
        <v>0</v>
      </c>
      <c r="K256" s="26">
        <f>IFERROR(__xludf.DUMMYFUNCTION("""COMPUTED_VALUE"""),0.0)</f>
        <v>0</v>
      </c>
      <c r="L256" s="26"/>
      <c r="M256" s="26"/>
      <c r="N256" s="26"/>
      <c r="O256" s="26"/>
      <c r="P256" s="26"/>
      <c r="Q256" s="26"/>
      <c r="R256" s="26">
        <f>IFERROR(__xludf.DUMMYFUNCTION("""COMPUTED_VALUE"""),0.0)</f>
        <v>0</v>
      </c>
      <c r="S256" s="26">
        <f>IFERROR(__xludf.DUMMYFUNCTION("""COMPUTED_VALUE"""),0.0)</f>
        <v>0</v>
      </c>
      <c r="T256" s="26">
        <f>IFERROR(__xludf.DUMMYFUNCTION("""COMPUTED_VALUE"""),0.0)</f>
        <v>0</v>
      </c>
      <c r="U256" s="26">
        <f>IFERROR(__xludf.DUMMYFUNCTION("""COMPUTED_VALUE"""),0.0)</f>
        <v>0</v>
      </c>
      <c r="V256" s="26">
        <f>IFERROR(__xludf.DUMMYFUNCTION("""COMPUTED_VALUE"""),0.0)</f>
        <v>0</v>
      </c>
      <c r="W256" s="26">
        <f>IFERROR(__xludf.DUMMYFUNCTION("""COMPUTED_VALUE"""),0.0)</f>
        <v>0</v>
      </c>
      <c r="X256" s="26">
        <f>IFERROR(__xludf.DUMMYFUNCTION("""COMPUTED_VALUE"""),0.0)</f>
        <v>0</v>
      </c>
      <c r="Y256" s="26">
        <f>IFERROR(__xludf.DUMMYFUNCTION("""COMPUTED_VALUE"""),0.0)</f>
        <v>0</v>
      </c>
      <c r="Z256" s="26">
        <f>IFERROR(__xludf.DUMMYFUNCTION("""COMPUTED_VALUE"""),0.0)</f>
        <v>0</v>
      </c>
      <c r="AA256" s="26">
        <f>IFERROR(__xludf.DUMMYFUNCTION("""COMPUTED_VALUE"""),0.0)</f>
        <v>0</v>
      </c>
      <c r="AB256" s="26">
        <f>IFERROR(__xludf.DUMMYFUNCTION("""COMPUTED_VALUE"""),0.0)</f>
        <v>0</v>
      </c>
      <c r="AC256" s="26">
        <f>IFERROR(__xludf.DUMMYFUNCTION("""COMPUTED_VALUE"""),0.0)</f>
        <v>0</v>
      </c>
      <c r="AD256" s="26">
        <f>IFERROR(__xludf.DUMMYFUNCTION("""COMPUTED_VALUE"""),0.0)</f>
        <v>0</v>
      </c>
      <c r="AE256" s="26">
        <f>IFERROR(__xludf.DUMMYFUNCTION("""COMPUTED_VALUE"""),0.0)</f>
        <v>0</v>
      </c>
    </row>
    <row r="257">
      <c r="A257" s="26">
        <f>IFERROR(__xludf.DUMMYFUNCTION("""COMPUTED_VALUE"""),0.0)</f>
        <v>0</v>
      </c>
      <c r="B257" s="26">
        <f>IFERROR(__xludf.DUMMYFUNCTION("""COMPUTED_VALUE"""),0.0)</f>
        <v>0</v>
      </c>
      <c r="C257" s="26">
        <f>IFERROR(__xludf.DUMMYFUNCTION("""COMPUTED_VALUE"""),0.0)</f>
        <v>0</v>
      </c>
      <c r="D257" s="26">
        <f>IFERROR(__xludf.DUMMYFUNCTION("""COMPUTED_VALUE"""),0.0)</f>
        <v>0</v>
      </c>
      <c r="E257" s="26">
        <f>IFERROR(__xludf.DUMMYFUNCTION("""COMPUTED_VALUE"""),0.0)</f>
        <v>0</v>
      </c>
      <c r="F257" s="26">
        <f>IFERROR(__xludf.DUMMYFUNCTION("""COMPUTED_VALUE"""),0.0)</f>
        <v>0</v>
      </c>
      <c r="G257" s="26">
        <f>IFERROR(__xludf.DUMMYFUNCTION("""COMPUTED_VALUE"""),0.0)</f>
        <v>0</v>
      </c>
      <c r="H257" s="26">
        <f>IFERROR(__xludf.DUMMYFUNCTION("""COMPUTED_VALUE"""),0.0)</f>
        <v>0</v>
      </c>
      <c r="I257" s="26">
        <f>IFERROR(__xludf.DUMMYFUNCTION("""COMPUTED_VALUE"""),0.0)</f>
        <v>0</v>
      </c>
      <c r="J257" s="26">
        <f>IFERROR(__xludf.DUMMYFUNCTION("""COMPUTED_VALUE"""),0.0)</f>
        <v>0</v>
      </c>
      <c r="K257" s="26">
        <f>IFERROR(__xludf.DUMMYFUNCTION("""COMPUTED_VALUE"""),0.0)</f>
        <v>0</v>
      </c>
      <c r="L257" s="26"/>
      <c r="M257" s="26"/>
      <c r="N257" s="26"/>
      <c r="O257" s="26"/>
      <c r="P257" s="26"/>
      <c r="Q257" s="26"/>
      <c r="R257" s="26">
        <f>IFERROR(__xludf.DUMMYFUNCTION("""COMPUTED_VALUE"""),0.0)</f>
        <v>0</v>
      </c>
      <c r="S257" s="26">
        <f>IFERROR(__xludf.DUMMYFUNCTION("""COMPUTED_VALUE"""),0.0)</f>
        <v>0</v>
      </c>
      <c r="T257" s="26">
        <f>IFERROR(__xludf.DUMMYFUNCTION("""COMPUTED_VALUE"""),0.0)</f>
        <v>0</v>
      </c>
      <c r="U257" s="26">
        <f>IFERROR(__xludf.DUMMYFUNCTION("""COMPUTED_VALUE"""),0.0)</f>
        <v>0</v>
      </c>
      <c r="V257" s="26">
        <f>IFERROR(__xludf.DUMMYFUNCTION("""COMPUTED_VALUE"""),0.0)</f>
        <v>0</v>
      </c>
      <c r="W257" s="26">
        <f>IFERROR(__xludf.DUMMYFUNCTION("""COMPUTED_VALUE"""),0.0)</f>
        <v>0</v>
      </c>
      <c r="X257" s="26">
        <f>IFERROR(__xludf.DUMMYFUNCTION("""COMPUTED_VALUE"""),0.0)</f>
        <v>0</v>
      </c>
      <c r="Y257" s="26">
        <f>IFERROR(__xludf.DUMMYFUNCTION("""COMPUTED_VALUE"""),0.0)</f>
        <v>0</v>
      </c>
      <c r="Z257" s="26">
        <f>IFERROR(__xludf.DUMMYFUNCTION("""COMPUTED_VALUE"""),0.0)</f>
        <v>0</v>
      </c>
      <c r="AA257" s="26">
        <f>IFERROR(__xludf.DUMMYFUNCTION("""COMPUTED_VALUE"""),0.0)</f>
        <v>0</v>
      </c>
      <c r="AB257" s="26">
        <f>IFERROR(__xludf.DUMMYFUNCTION("""COMPUTED_VALUE"""),0.0)</f>
        <v>0</v>
      </c>
      <c r="AC257" s="26">
        <f>IFERROR(__xludf.DUMMYFUNCTION("""COMPUTED_VALUE"""),0.0)</f>
        <v>0</v>
      </c>
      <c r="AD257" s="26">
        <f>IFERROR(__xludf.DUMMYFUNCTION("""COMPUTED_VALUE"""),0.0)</f>
        <v>0</v>
      </c>
      <c r="AE257" s="26">
        <f>IFERROR(__xludf.DUMMYFUNCTION("""COMPUTED_VALUE"""),0.0)</f>
        <v>0</v>
      </c>
    </row>
    <row r="258">
      <c r="A258" s="26">
        <f>IFERROR(__xludf.DUMMYFUNCTION("""COMPUTED_VALUE"""),0.0)</f>
        <v>0</v>
      </c>
      <c r="B258" s="26">
        <f>IFERROR(__xludf.DUMMYFUNCTION("""COMPUTED_VALUE"""),0.0)</f>
        <v>0</v>
      </c>
      <c r="C258" s="26">
        <f>IFERROR(__xludf.DUMMYFUNCTION("""COMPUTED_VALUE"""),0.0)</f>
        <v>0</v>
      </c>
      <c r="D258" s="26">
        <f>IFERROR(__xludf.DUMMYFUNCTION("""COMPUTED_VALUE"""),0.0)</f>
        <v>0</v>
      </c>
      <c r="E258" s="26">
        <f>IFERROR(__xludf.DUMMYFUNCTION("""COMPUTED_VALUE"""),0.0)</f>
        <v>0</v>
      </c>
      <c r="F258" s="26">
        <f>IFERROR(__xludf.DUMMYFUNCTION("""COMPUTED_VALUE"""),0.0)</f>
        <v>0</v>
      </c>
      <c r="G258" s="26">
        <f>IFERROR(__xludf.DUMMYFUNCTION("""COMPUTED_VALUE"""),0.0)</f>
        <v>0</v>
      </c>
      <c r="H258" s="26">
        <f>IFERROR(__xludf.DUMMYFUNCTION("""COMPUTED_VALUE"""),0.0)</f>
        <v>0</v>
      </c>
      <c r="I258" s="26">
        <f>IFERROR(__xludf.DUMMYFUNCTION("""COMPUTED_VALUE"""),0.0)</f>
        <v>0</v>
      </c>
      <c r="J258" s="26">
        <f>IFERROR(__xludf.DUMMYFUNCTION("""COMPUTED_VALUE"""),0.0)</f>
        <v>0</v>
      </c>
      <c r="K258" s="26">
        <f>IFERROR(__xludf.DUMMYFUNCTION("""COMPUTED_VALUE"""),0.0)</f>
        <v>0</v>
      </c>
      <c r="L258" s="26"/>
      <c r="M258" s="26"/>
      <c r="N258" s="26"/>
      <c r="O258" s="26"/>
      <c r="P258" s="26"/>
      <c r="Q258" s="26"/>
      <c r="R258" s="26">
        <f>IFERROR(__xludf.DUMMYFUNCTION("""COMPUTED_VALUE"""),0.0)</f>
        <v>0</v>
      </c>
      <c r="S258" s="26">
        <f>IFERROR(__xludf.DUMMYFUNCTION("""COMPUTED_VALUE"""),0.0)</f>
        <v>0</v>
      </c>
      <c r="T258" s="26">
        <f>IFERROR(__xludf.DUMMYFUNCTION("""COMPUTED_VALUE"""),0.0)</f>
        <v>0</v>
      </c>
      <c r="U258" s="26">
        <f>IFERROR(__xludf.DUMMYFUNCTION("""COMPUTED_VALUE"""),0.0)</f>
        <v>0</v>
      </c>
      <c r="V258" s="26">
        <f>IFERROR(__xludf.DUMMYFUNCTION("""COMPUTED_VALUE"""),0.0)</f>
        <v>0</v>
      </c>
      <c r="W258" s="26">
        <f>IFERROR(__xludf.DUMMYFUNCTION("""COMPUTED_VALUE"""),0.0)</f>
        <v>0</v>
      </c>
      <c r="X258" s="26">
        <f>IFERROR(__xludf.DUMMYFUNCTION("""COMPUTED_VALUE"""),0.0)</f>
        <v>0</v>
      </c>
      <c r="Y258" s="26">
        <f>IFERROR(__xludf.DUMMYFUNCTION("""COMPUTED_VALUE"""),0.0)</f>
        <v>0</v>
      </c>
      <c r="Z258" s="26">
        <f>IFERROR(__xludf.DUMMYFUNCTION("""COMPUTED_VALUE"""),0.0)</f>
        <v>0</v>
      </c>
      <c r="AA258" s="26">
        <f>IFERROR(__xludf.DUMMYFUNCTION("""COMPUTED_VALUE"""),0.0)</f>
        <v>0</v>
      </c>
      <c r="AB258" s="26">
        <f>IFERROR(__xludf.DUMMYFUNCTION("""COMPUTED_VALUE"""),0.0)</f>
        <v>0</v>
      </c>
      <c r="AC258" s="26">
        <f>IFERROR(__xludf.DUMMYFUNCTION("""COMPUTED_VALUE"""),0.0)</f>
        <v>0</v>
      </c>
      <c r="AD258" s="26">
        <f>IFERROR(__xludf.DUMMYFUNCTION("""COMPUTED_VALUE"""),0.0)</f>
        <v>0</v>
      </c>
      <c r="AE258" s="26">
        <f>IFERROR(__xludf.DUMMYFUNCTION("""COMPUTED_VALUE"""),0.0)</f>
        <v>0</v>
      </c>
    </row>
    <row r="259">
      <c r="A259" s="26">
        <f>IFERROR(__xludf.DUMMYFUNCTION("""COMPUTED_VALUE"""),225.0)</f>
        <v>225</v>
      </c>
      <c r="B259" s="26">
        <f>IFERROR(__xludf.DUMMYFUNCTION("""COMPUTED_VALUE"""),0.0)</f>
        <v>0</v>
      </c>
      <c r="C259" s="26">
        <f>IFERROR(__xludf.DUMMYFUNCTION("""COMPUTED_VALUE"""),0.0)</f>
        <v>0</v>
      </c>
      <c r="D259" s="26">
        <f>IFERROR(__xludf.DUMMYFUNCTION("""COMPUTED_VALUE"""),0.0)</f>
        <v>0</v>
      </c>
      <c r="E259" s="26">
        <f>IFERROR(__xludf.DUMMYFUNCTION("""COMPUTED_VALUE"""),0.0)</f>
        <v>0</v>
      </c>
      <c r="F259" s="26">
        <f>IFERROR(__xludf.DUMMYFUNCTION("""COMPUTED_VALUE"""),0.0)</f>
        <v>0</v>
      </c>
      <c r="G259" s="26">
        <f>IFERROR(__xludf.DUMMYFUNCTION("""COMPUTED_VALUE"""),0.0)</f>
        <v>0</v>
      </c>
      <c r="H259" s="26">
        <f>IFERROR(__xludf.DUMMYFUNCTION("""COMPUTED_VALUE"""),0.0)</f>
        <v>0</v>
      </c>
      <c r="I259" s="26">
        <f>IFERROR(__xludf.DUMMYFUNCTION("""COMPUTED_VALUE"""),0.0)</f>
        <v>0</v>
      </c>
      <c r="J259" s="26">
        <f>IFERROR(__xludf.DUMMYFUNCTION("""COMPUTED_VALUE"""),0.0)</f>
        <v>0</v>
      </c>
      <c r="K259" s="26">
        <f>IFERROR(__xludf.DUMMYFUNCTION("""COMPUTED_VALUE"""),0.0)</f>
        <v>0</v>
      </c>
      <c r="L259" s="26"/>
      <c r="M259" s="26"/>
      <c r="N259" s="26"/>
      <c r="O259" s="26"/>
      <c r="P259" s="26"/>
      <c r="Q259" s="26"/>
      <c r="R259" s="26">
        <f>IFERROR(__xludf.DUMMYFUNCTION("""COMPUTED_VALUE"""),87750.0)</f>
        <v>87750</v>
      </c>
      <c r="S259" s="26">
        <f>IFERROR(__xludf.DUMMYFUNCTION("""COMPUTED_VALUE"""),37125.0)</f>
        <v>37125</v>
      </c>
      <c r="T259" s="26">
        <f>IFERROR(__xludf.DUMMYFUNCTION("""COMPUTED_VALUE"""),0.0)</f>
        <v>0</v>
      </c>
      <c r="U259" s="26">
        <f>IFERROR(__xludf.DUMMYFUNCTION("""COMPUTED_VALUE"""),0.0)</f>
        <v>0</v>
      </c>
      <c r="V259" s="26">
        <f>IFERROR(__xludf.DUMMYFUNCTION("""COMPUTED_VALUE"""),13385.24999999999)</f>
        <v>13385.25</v>
      </c>
      <c r="W259" s="26">
        <f>IFERROR(__xludf.DUMMYFUNCTION("""COMPUTED_VALUE"""),52140.480000000054)</f>
        <v>52140.48</v>
      </c>
      <c r="X259" s="26">
        <f>IFERROR(__xludf.DUMMYFUNCTION("""COMPUTED_VALUE"""),52140.480000000054)</f>
        <v>52140.48</v>
      </c>
      <c r="Y259" s="26">
        <f>IFERROR(__xludf.DUMMYFUNCTION("""COMPUTED_VALUE"""),37074.240000000034)</f>
        <v>37074.24</v>
      </c>
      <c r="Z259" s="26">
        <f>IFERROR(__xludf.DUMMYFUNCTION("""COMPUTED_VALUE"""),35219.51999999997)</f>
        <v>35219.52</v>
      </c>
      <c r="AA259" s="26">
        <f>IFERROR(__xludf.DUMMYFUNCTION("""COMPUTED_VALUE"""),1854.7199999999984)</f>
        <v>1854.72</v>
      </c>
      <c r="AB259" s="26">
        <f>IFERROR(__xludf.DUMMYFUNCTION("""COMPUTED_VALUE"""),0.0)</f>
        <v>0</v>
      </c>
      <c r="AC259" s="26">
        <f>IFERROR(__xludf.DUMMYFUNCTION("""COMPUTED_VALUE"""),0.0)</f>
        <v>0</v>
      </c>
      <c r="AD259" s="26">
        <f>IFERROR(__xludf.DUMMYFUNCTION("""COMPUTED_VALUE"""),37000.0)</f>
        <v>37000</v>
      </c>
      <c r="AE259" s="26">
        <f>IFERROR(__xludf.DUMMYFUNCTION("""COMPUTED_VALUE"""),0.0)</f>
        <v>0</v>
      </c>
    </row>
    <row r="260">
      <c r="A260" s="26">
        <f>IFERROR(__xludf.DUMMYFUNCTION("""COMPUTED_VALUE"""),0.0)</f>
        <v>0</v>
      </c>
      <c r="B260" s="26">
        <f>IFERROR(__xludf.DUMMYFUNCTION("""COMPUTED_VALUE"""),0.0)</f>
        <v>0</v>
      </c>
      <c r="C260" s="26">
        <f>IFERROR(__xludf.DUMMYFUNCTION("""COMPUTED_VALUE"""),0.0)</f>
        <v>0</v>
      </c>
      <c r="D260" s="26">
        <f>IFERROR(__xludf.DUMMYFUNCTION("""COMPUTED_VALUE"""),0.0)</f>
        <v>0</v>
      </c>
      <c r="E260" s="26">
        <f>IFERROR(__xludf.DUMMYFUNCTION("""COMPUTED_VALUE"""),0.0)</f>
        <v>0</v>
      </c>
      <c r="F260" s="26">
        <f>IFERROR(__xludf.DUMMYFUNCTION("""COMPUTED_VALUE"""),0.0)</f>
        <v>0</v>
      </c>
      <c r="G260" s="26">
        <f>IFERROR(__xludf.DUMMYFUNCTION("""COMPUTED_VALUE"""),0.0)</f>
        <v>0</v>
      </c>
      <c r="H260" s="26">
        <f>IFERROR(__xludf.DUMMYFUNCTION("""COMPUTED_VALUE"""),0.0)</f>
        <v>0</v>
      </c>
      <c r="I260" s="26">
        <f>IFERROR(__xludf.DUMMYFUNCTION("""COMPUTED_VALUE"""),0.0)</f>
        <v>0</v>
      </c>
      <c r="J260" s="26">
        <f>IFERROR(__xludf.DUMMYFUNCTION("""COMPUTED_VALUE"""),0.0)</f>
        <v>0</v>
      </c>
      <c r="K260" s="26">
        <f>IFERROR(__xludf.DUMMYFUNCTION("""COMPUTED_VALUE"""),0.0)</f>
        <v>0</v>
      </c>
      <c r="L260" s="26"/>
      <c r="M260" s="26"/>
      <c r="N260" s="26"/>
      <c r="O260" s="26"/>
      <c r="P260" s="26"/>
      <c r="Q260" s="26"/>
      <c r="R260" s="26">
        <f>IFERROR(__xludf.DUMMYFUNCTION("""COMPUTED_VALUE"""),0.0)</f>
        <v>0</v>
      </c>
      <c r="S260" s="26">
        <f>IFERROR(__xludf.DUMMYFUNCTION("""COMPUTED_VALUE"""),0.0)</f>
        <v>0</v>
      </c>
      <c r="T260" s="26">
        <f>IFERROR(__xludf.DUMMYFUNCTION("""COMPUTED_VALUE"""),0.0)</f>
        <v>0</v>
      </c>
      <c r="U260" s="26">
        <f>IFERROR(__xludf.DUMMYFUNCTION("""COMPUTED_VALUE"""),0.0)</f>
        <v>0</v>
      </c>
      <c r="V260" s="26">
        <f>IFERROR(__xludf.DUMMYFUNCTION("""COMPUTED_VALUE"""),0.0)</f>
        <v>0</v>
      </c>
      <c r="W260" s="26">
        <f>IFERROR(__xludf.DUMMYFUNCTION("""COMPUTED_VALUE"""),0.0)</f>
        <v>0</v>
      </c>
      <c r="X260" s="26">
        <f>IFERROR(__xludf.DUMMYFUNCTION("""COMPUTED_VALUE"""),0.0)</f>
        <v>0</v>
      </c>
      <c r="Y260" s="26">
        <f>IFERROR(__xludf.DUMMYFUNCTION("""COMPUTED_VALUE"""),0.0)</f>
        <v>0</v>
      </c>
      <c r="Z260" s="26">
        <f>IFERROR(__xludf.DUMMYFUNCTION("""COMPUTED_VALUE"""),0.0)</f>
        <v>0</v>
      </c>
      <c r="AA260" s="26">
        <f>IFERROR(__xludf.DUMMYFUNCTION("""COMPUTED_VALUE"""),0.0)</f>
        <v>0</v>
      </c>
      <c r="AB260" s="26">
        <f>IFERROR(__xludf.DUMMYFUNCTION("""COMPUTED_VALUE"""),0.0)</f>
        <v>0</v>
      </c>
      <c r="AC260" s="26">
        <f>IFERROR(__xludf.DUMMYFUNCTION("""COMPUTED_VALUE"""),0.0)</f>
        <v>0</v>
      </c>
      <c r="AD260" s="26">
        <f>IFERROR(__xludf.DUMMYFUNCTION("""COMPUTED_VALUE"""),0.0)</f>
        <v>0</v>
      </c>
      <c r="AE260" s="26">
        <f>IFERROR(__xludf.DUMMYFUNCTION("""COMPUTED_VALUE"""),0.0)</f>
        <v>0</v>
      </c>
    </row>
    <row r="261">
      <c r="A261" s="26">
        <f>IFERROR(__xludf.DUMMYFUNCTION("""COMPUTED_VALUE"""),12.0)</f>
        <v>12</v>
      </c>
      <c r="B261" s="26">
        <f>IFERROR(__xludf.DUMMYFUNCTION("""COMPUTED_VALUE"""),0.0)</f>
        <v>0</v>
      </c>
      <c r="C261" s="26">
        <f>IFERROR(__xludf.DUMMYFUNCTION("""COMPUTED_VALUE"""),0.0)</f>
        <v>0</v>
      </c>
      <c r="D261" s="26">
        <f>IFERROR(__xludf.DUMMYFUNCTION("""COMPUTED_VALUE"""),0.0)</f>
        <v>0</v>
      </c>
      <c r="E261" s="26">
        <f>IFERROR(__xludf.DUMMYFUNCTION("""COMPUTED_VALUE"""),336.0)</f>
        <v>336</v>
      </c>
      <c r="F261" s="26">
        <f>IFERROR(__xludf.DUMMYFUNCTION("""COMPUTED_VALUE"""),0.0)</f>
        <v>0</v>
      </c>
      <c r="G261" s="26">
        <f>IFERROR(__xludf.DUMMYFUNCTION("""COMPUTED_VALUE"""),0.0)</f>
        <v>0</v>
      </c>
      <c r="H261" s="26">
        <f>IFERROR(__xludf.DUMMYFUNCTION("""COMPUTED_VALUE"""),0.0)</f>
        <v>0</v>
      </c>
      <c r="I261" s="26">
        <f>IFERROR(__xludf.DUMMYFUNCTION("""COMPUTED_VALUE"""),0.0)</f>
        <v>0</v>
      </c>
      <c r="J261" s="26">
        <f>IFERROR(__xludf.DUMMYFUNCTION("""COMPUTED_VALUE"""),0.0)</f>
        <v>0</v>
      </c>
      <c r="K261" s="26">
        <f>IFERROR(__xludf.DUMMYFUNCTION("""COMPUTED_VALUE"""),0.0)</f>
        <v>0</v>
      </c>
      <c r="L261" s="26"/>
      <c r="M261" s="26"/>
      <c r="N261" s="26"/>
      <c r="O261" s="26"/>
      <c r="P261" s="26"/>
      <c r="Q261" s="26"/>
      <c r="R261" s="26">
        <f>IFERROR(__xludf.DUMMYFUNCTION("""COMPUTED_VALUE"""),627380.0)</f>
        <v>627380</v>
      </c>
      <c r="S261" s="26">
        <f>IFERROR(__xludf.DUMMYFUNCTION("""COMPUTED_VALUE"""),59160.0)</f>
        <v>59160</v>
      </c>
      <c r="T261" s="26">
        <f>IFERROR(__xludf.DUMMYFUNCTION("""COMPUTED_VALUE"""),0.0)</f>
        <v>0</v>
      </c>
      <c r="U261" s="26">
        <f>IFERROR(__xludf.DUMMYFUNCTION("""COMPUTED_VALUE"""),0.0)</f>
        <v>0</v>
      </c>
      <c r="V261" s="26">
        <f>IFERROR(__xludf.DUMMYFUNCTION("""COMPUTED_VALUE"""),95700.93999999957)</f>
        <v>95700.94</v>
      </c>
      <c r="W261" s="26">
        <f>IFERROR(__xludf.DUMMYFUNCTION("""COMPUTED_VALUE"""),0.0)</f>
        <v>0</v>
      </c>
      <c r="X261" s="26">
        <f>IFERROR(__xludf.DUMMYFUNCTION("""COMPUTED_VALUE"""),0.0)</f>
        <v>0</v>
      </c>
      <c r="Y261" s="26">
        <f>IFERROR(__xludf.DUMMYFUNCTION("""COMPUTED_VALUE"""),0.0)</f>
        <v>0</v>
      </c>
      <c r="Z261" s="26">
        <f>IFERROR(__xludf.DUMMYFUNCTION("""COMPUTED_VALUE"""),0.0)</f>
        <v>0</v>
      </c>
      <c r="AA261" s="26">
        <f>IFERROR(__xludf.DUMMYFUNCTION("""COMPUTED_VALUE"""),0.0)</f>
        <v>0</v>
      </c>
      <c r="AB261" s="26">
        <f>IFERROR(__xludf.DUMMYFUNCTION("""COMPUTED_VALUE"""),0.0)</f>
        <v>0</v>
      </c>
      <c r="AC261" s="26">
        <f>IFERROR(__xludf.DUMMYFUNCTION("""COMPUTED_VALUE"""),0.0)</f>
        <v>0</v>
      </c>
      <c r="AD261" s="26">
        <f>IFERROR(__xludf.DUMMYFUNCTION("""COMPUTED_VALUE"""),0.0)</f>
        <v>0</v>
      </c>
      <c r="AE261" s="26">
        <f>IFERROR(__xludf.DUMMYFUNCTION("""COMPUTED_VALUE"""),0.0)</f>
        <v>0</v>
      </c>
    </row>
    <row r="262">
      <c r="A262" s="26">
        <f>IFERROR(__xludf.DUMMYFUNCTION("""COMPUTED_VALUE"""),0.0)</f>
        <v>0</v>
      </c>
      <c r="B262" s="26">
        <f>IFERROR(__xludf.DUMMYFUNCTION("""COMPUTED_VALUE"""),0.0)</f>
        <v>0</v>
      </c>
      <c r="C262" s="26">
        <f>IFERROR(__xludf.DUMMYFUNCTION("""COMPUTED_VALUE"""),0.0)</f>
        <v>0</v>
      </c>
      <c r="D262" s="26">
        <f>IFERROR(__xludf.DUMMYFUNCTION("""COMPUTED_VALUE"""),0.0)</f>
        <v>0</v>
      </c>
      <c r="E262" s="26">
        <f>IFERROR(__xludf.DUMMYFUNCTION("""COMPUTED_VALUE"""),0.0)</f>
        <v>0</v>
      </c>
      <c r="F262" s="26">
        <f>IFERROR(__xludf.DUMMYFUNCTION("""COMPUTED_VALUE"""),0.0)</f>
        <v>0</v>
      </c>
      <c r="G262" s="26">
        <f>IFERROR(__xludf.DUMMYFUNCTION("""COMPUTED_VALUE"""),0.0)</f>
        <v>0</v>
      </c>
      <c r="H262" s="26">
        <f>IFERROR(__xludf.DUMMYFUNCTION("""COMPUTED_VALUE"""),0.0)</f>
        <v>0</v>
      </c>
      <c r="I262" s="26">
        <f>IFERROR(__xludf.DUMMYFUNCTION("""COMPUTED_VALUE"""),0.0)</f>
        <v>0</v>
      </c>
      <c r="J262" s="26">
        <f>IFERROR(__xludf.DUMMYFUNCTION("""COMPUTED_VALUE"""),0.0)</f>
        <v>0</v>
      </c>
      <c r="K262" s="26">
        <f>IFERROR(__xludf.DUMMYFUNCTION("""COMPUTED_VALUE"""),0.0)</f>
        <v>0</v>
      </c>
      <c r="L262" s="26"/>
      <c r="M262" s="26"/>
      <c r="N262" s="26"/>
      <c r="O262" s="26"/>
      <c r="P262" s="26"/>
      <c r="Q262" s="26"/>
      <c r="R262" s="26">
        <f>IFERROR(__xludf.DUMMYFUNCTION("""COMPUTED_VALUE"""),0.0)</f>
        <v>0</v>
      </c>
      <c r="S262" s="26">
        <f>IFERROR(__xludf.DUMMYFUNCTION("""COMPUTED_VALUE"""),0.0)</f>
        <v>0</v>
      </c>
      <c r="T262" s="26">
        <f>IFERROR(__xludf.DUMMYFUNCTION("""COMPUTED_VALUE"""),0.0)</f>
        <v>0</v>
      </c>
      <c r="U262" s="26">
        <f>IFERROR(__xludf.DUMMYFUNCTION("""COMPUTED_VALUE"""),0.0)</f>
        <v>0</v>
      </c>
      <c r="V262" s="26">
        <f>IFERROR(__xludf.DUMMYFUNCTION("""COMPUTED_VALUE"""),0.0)</f>
        <v>0</v>
      </c>
      <c r="W262" s="26">
        <f>IFERROR(__xludf.DUMMYFUNCTION("""COMPUTED_VALUE"""),0.0)</f>
        <v>0</v>
      </c>
      <c r="X262" s="26">
        <f>IFERROR(__xludf.DUMMYFUNCTION("""COMPUTED_VALUE"""),0.0)</f>
        <v>0</v>
      </c>
      <c r="Y262" s="26">
        <f>IFERROR(__xludf.DUMMYFUNCTION("""COMPUTED_VALUE"""),0.0)</f>
        <v>0</v>
      </c>
      <c r="Z262" s="26">
        <f>IFERROR(__xludf.DUMMYFUNCTION("""COMPUTED_VALUE"""),0.0)</f>
        <v>0</v>
      </c>
      <c r="AA262" s="26">
        <f>IFERROR(__xludf.DUMMYFUNCTION("""COMPUTED_VALUE"""),0.0)</f>
        <v>0</v>
      </c>
      <c r="AB262" s="26">
        <f>IFERROR(__xludf.DUMMYFUNCTION("""COMPUTED_VALUE"""),0.0)</f>
        <v>0</v>
      </c>
      <c r="AC262" s="26">
        <f>IFERROR(__xludf.DUMMYFUNCTION("""COMPUTED_VALUE"""),0.0)</f>
        <v>0</v>
      </c>
      <c r="AD262" s="26">
        <f>IFERROR(__xludf.DUMMYFUNCTION("""COMPUTED_VALUE"""),6450000.0)</f>
        <v>6450000</v>
      </c>
      <c r="AE262" s="26">
        <f>IFERROR(__xludf.DUMMYFUNCTION("""COMPUTED_VALUE"""),0.0)</f>
        <v>0</v>
      </c>
    </row>
    <row r="263">
      <c r="A263" s="26">
        <f>IFERROR(__xludf.DUMMYFUNCTION("""COMPUTED_VALUE"""),351.0)</f>
        <v>351</v>
      </c>
      <c r="B263" s="26">
        <f>IFERROR(__xludf.DUMMYFUNCTION("""COMPUTED_VALUE"""),0.0)</f>
        <v>0</v>
      </c>
      <c r="C263" s="26">
        <f>IFERROR(__xludf.DUMMYFUNCTION("""COMPUTED_VALUE"""),0.0)</f>
        <v>0</v>
      </c>
      <c r="D263" s="26">
        <f>IFERROR(__xludf.DUMMYFUNCTION("""COMPUTED_VALUE"""),0.0)</f>
        <v>0</v>
      </c>
      <c r="E263" s="26">
        <f>IFERROR(__xludf.DUMMYFUNCTION("""COMPUTED_VALUE"""),0.0)</f>
        <v>0</v>
      </c>
      <c r="F263" s="26">
        <f>IFERROR(__xludf.DUMMYFUNCTION("""COMPUTED_VALUE"""),0.0)</f>
        <v>0</v>
      </c>
      <c r="G263" s="26">
        <f>IFERROR(__xludf.DUMMYFUNCTION("""COMPUTED_VALUE"""),0.0)</f>
        <v>0</v>
      </c>
      <c r="H263" s="26">
        <f>IFERROR(__xludf.DUMMYFUNCTION("""COMPUTED_VALUE"""),0.0)</f>
        <v>0</v>
      </c>
      <c r="I263" s="26">
        <f>IFERROR(__xludf.DUMMYFUNCTION("""COMPUTED_VALUE"""),0.0)</f>
        <v>0</v>
      </c>
      <c r="J263" s="26">
        <f>IFERROR(__xludf.DUMMYFUNCTION("""COMPUTED_VALUE"""),0.0)</f>
        <v>0</v>
      </c>
      <c r="K263" s="26">
        <f>IFERROR(__xludf.DUMMYFUNCTION("""COMPUTED_VALUE"""),0.0)</f>
        <v>0</v>
      </c>
      <c r="L263" s="26"/>
      <c r="M263" s="26"/>
      <c r="N263" s="26"/>
      <c r="O263" s="26"/>
      <c r="P263" s="26"/>
      <c r="Q263" s="26"/>
      <c r="R263" s="26">
        <f>IFERROR(__xludf.DUMMYFUNCTION("""COMPUTED_VALUE"""),155142.0)</f>
        <v>155142</v>
      </c>
      <c r="S263" s="26">
        <f>IFERROR(__xludf.DUMMYFUNCTION("""COMPUTED_VALUE"""),67392.0)</f>
        <v>67392</v>
      </c>
      <c r="T263" s="26">
        <f>IFERROR(__xludf.DUMMYFUNCTION("""COMPUTED_VALUE"""),0.0)</f>
        <v>0</v>
      </c>
      <c r="U263" s="26">
        <f>IFERROR(__xludf.DUMMYFUNCTION("""COMPUTED_VALUE"""),0.0)</f>
        <v>0</v>
      </c>
      <c r="V263" s="26">
        <f>IFERROR(__xludf.DUMMYFUNCTION("""COMPUTED_VALUE"""),23664.42000000002)</f>
        <v>23664.42</v>
      </c>
      <c r="W263" s="26">
        <f>IFERROR(__xludf.DUMMYFUNCTION("""COMPUTED_VALUE"""),0.0)</f>
        <v>0</v>
      </c>
      <c r="X263" s="26">
        <f>IFERROR(__xludf.DUMMYFUNCTION("""COMPUTED_VALUE"""),0.0)</f>
        <v>0</v>
      </c>
      <c r="Y263" s="26">
        <f>IFERROR(__xludf.DUMMYFUNCTION("""COMPUTED_VALUE"""),0.0)</f>
        <v>0</v>
      </c>
      <c r="Z263" s="26">
        <f>IFERROR(__xludf.DUMMYFUNCTION("""COMPUTED_VALUE"""),0.0)</f>
        <v>0</v>
      </c>
      <c r="AA263" s="26">
        <f>IFERROR(__xludf.DUMMYFUNCTION("""COMPUTED_VALUE"""),0.0)</f>
        <v>0</v>
      </c>
      <c r="AB263" s="26">
        <f>IFERROR(__xludf.DUMMYFUNCTION("""COMPUTED_VALUE"""),0.0)</f>
        <v>0</v>
      </c>
      <c r="AC263" s="26">
        <f>IFERROR(__xludf.DUMMYFUNCTION("""COMPUTED_VALUE"""),0.0)</f>
        <v>0</v>
      </c>
      <c r="AD263" s="26">
        <f>IFERROR(__xludf.DUMMYFUNCTION("""COMPUTED_VALUE"""),0.0)</f>
        <v>0</v>
      </c>
      <c r="AE263" s="26">
        <f>IFERROR(__xludf.DUMMYFUNCTION("""COMPUTED_VALUE"""),0.0)</f>
        <v>0</v>
      </c>
    </row>
    <row r="264">
      <c r="A264" s="26">
        <f>IFERROR(__xludf.DUMMYFUNCTION("""COMPUTED_VALUE"""),320.0)</f>
        <v>320</v>
      </c>
      <c r="B264" s="26">
        <f>IFERROR(__xludf.DUMMYFUNCTION("""COMPUTED_VALUE"""),0.0)</f>
        <v>0</v>
      </c>
      <c r="C264" s="26">
        <f>IFERROR(__xludf.DUMMYFUNCTION("""COMPUTED_VALUE"""),0.0)</f>
        <v>0</v>
      </c>
      <c r="D264" s="26">
        <f>IFERROR(__xludf.DUMMYFUNCTION("""COMPUTED_VALUE"""),0.0)</f>
        <v>0</v>
      </c>
      <c r="E264" s="26">
        <f>IFERROR(__xludf.DUMMYFUNCTION("""COMPUTED_VALUE"""),0.0)</f>
        <v>0</v>
      </c>
      <c r="F264" s="26">
        <f>IFERROR(__xludf.DUMMYFUNCTION("""COMPUTED_VALUE"""),0.0)</f>
        <v>0</v>
      </c>
      <c r="G264" s="26">
        <f>IFERROR(__xludf.DUMMYFUNCTION("""COMPUTED_VALUE"""),0.0)</f>
        <v>0</v>
      </c>
      <c r="H264" s="26">
        <f>IFERROR(__xludf.DUMMYFUNCTION("""COMPUTED_VALUE"""),0.0)</f>
        <v>0</v>
      </c>
      <c r="I264" s="26">
        <f>IFERROR(__xludf.DUMMYFUNCTION("""COMPUTED_VALUE"""),0.0)</f>
        <v>0</v>
      </c>
      <c r="J264" s="26">
        <f>IFERROR(__xludf.DUMMYFUNCTION("""COMPUTED_VALUE"""),0.0)</f>
        <v>0</v>
      </c>
      <c r="K264" s="26">
        <f>IFERROR(__xludf.DUMMYFUNCTION("""COMPUTED_VALUE"""),0.0)</f>
        <v>0</v>
      </c>
      <c r="L264" s="26"/>
      <c r="M264" s="26"/>
      <c r="N264" s="26"/>
      <c r="O264" s="26"/>
      <c r="P264" s="26"/>
      <c r="Q264" s="26"/>
      <c r="R264" s="26">
        <f>IFERROR(__xludf.DUMMYFUNCTION("""COMPUTED_VALUE"""),141440.0)</f>
        <v>141440</v>
      </c>
      <c r="S264" s="26">
        <f>IFERROR(__xludf.DUMMYFUNCTION("""COMPUTED_VALUE"""),61440.0)</f>
        <v>61440</v>
      </c>
      <c r="T264" s="26">
        <f>IFERROR(__xludf.DUMMYFUNCTION("""COMPUTED_VALUE"""),0.0)</f>
        <v>0</v>
      </c>
      <c r="U264" s="26">
        <f>IFERROR(__xludf.DUMMYFUNCTION("""COMPUTED_VALUE"""),0.0)</f>
        <v>0</v>
      </c>
      <c r="V264" s="26">
        <f>IFERROR(__xludf.DUMMYFUNCTION("""COMPUTED_VALUE"""),21574.400000000012)</f>
        <v>21574.4</v>
      </c>
      <c r="W264" s="26">
        <f>IFERROR(__xludf.DUMMYFUNCTION("""COMPUTED_VALUE"""),0.0)</f>
        <v>0</v>
      </c>
      <c r="X264" s="26">
        <f>IFERROR(__xludf.DUMMYFUNCTION("""COMPUTED_VALUE"""),0.0)</f>
        <v>0</v>
      </c>
      <c r="Y264" s="26">
        <f>IFERROR(__xludf.DUMMYFUNCTION("""COMPUTED_VALUE"""),0.0)</f>
        <v>0</v>
      </c>
      <c r="Z264" s="26">
        <f>IFERROR(__xludf.DUMMYFUNCTION("""COMPUTED_VALUE"""),0.0)</f>
        <v>0</v>
      </c>
      <c r="AA264" s="26">
        <f>IFERROR(__xludf.DUMMYFUNCTION("""COMPUTED_VALUE"""),0.0)</f>
        <v>0</v>
      </c>
      <c r="AB264" s="26">
        <f>IFERROR(__xludf.DUMMYFUNCTION("""COMPUTED_VALUE"""),0.0)</f>
        <v>0</v>
      </c>
      <c r="AC264" s="26">
        <f>IFERROR(__xludf.DUMMYFUNCTION("""COMPUTED_VALUE"""),0.0)</f>
        <v>0</v>
      </c>
      <c r="AD264" s="26">
        <f>IFERROR(__xludf.DUMMYFUNCTION("""COMPUTED_VALUE"""),0.0)</f>
        <v>0</v>
      </c>
      <c r="AE264" s="26">
        <f>IFERROR(__xludf.DUMMYFUNCTION("""COMPUTED_VALUE"""),0.0)</f>
        <v>0</v>
      </c>
    </row>
    <row r="265">
      <c r="A265" s="26">
        <f>IFERROR(__xludf.DUMMYFUNCTION("""COMPUTED_VALUE"""),249.0)</f>
        <v>249</v>
      </c>
      <c r="B265" s="26">
        <f>IFERROR(__xludf.DUMMYFUNCTION("""COMPUTED_VALUE"""),0.0)</f>
        <v>0</v>
      </c>
      <c r="C265" s="26">
        <f>IFERROR(__xludf.DUMMYFUNCTION("""COMPUTED_VALUE"""),0.0)</f>
        <v>0</v>
      </c>
      <c r="D265" s="26">
        <f>IFERROR(__xludf.DUMMYFUNCTION("""COMPUTED_VALUE"""),0.0)</f>
        <v>0</v>
      </c>
      <c r="E265" s="26">
        <f>IFERROR(__xludf.DUMMYFUNCTION("""COMPUTED_VALUE"""),0.0)</f>
        <v>0</v>
      </c>
      <c r="F265" s="26">
        <f>IFERROR(__xludf.DUMMYFUNCTION("""COMPUTED_VALUE"""),0.0)</f>
        <v>0</v>
      </c>
      <c r="G265" s="26">
        <f>IFERROR(__xludf.DUMMYFUNCTION("""COMPUTED_VALUE"""),0.0)</f>
        <v>0</v>
      </c>
      <c r="H265" s="26">
        <f>IFERROR(__xludf.DUMMYFUNCTION("""COMPUTED_VALUE"""),0.0)</f>
        <v>0</v>
      </c>
      <c r="I265" s="26">
        <f>IFERROR(__xludf.DUMMYFUNCTION("""COMPUTED_VALUE"""),0.0)</f>
        <v>0</v>
      </c>
      <c r="J265" s="26">
        <f>IFERROR(__xludf.DUMMYFUNCTION("""COMPUTED_VALUE"""),0.0)</f>
        <v>0</v>
      </c>
      <c r="K265" s="26">
        <f>IFERROR(__xludf.DUMMYFUNCTION("""COMPUTED_VALUE"""),0.0)</f>
        <v>0</v>
      </c>
      <c r="L265" s="26"/>
      <c r="M265" s="26"/>
      <c r="N265" s="26"/>
      <c r="O265" s="26"/>
      <c r="P265" s="26"/>
      <c r="Q265" s="26"/>
      <c r="R265" s="26">
        <f>IFERROR(__xludf.DUMMYFUNCTION("""COMPUTED_VALUE"""),49802.49000000002)</f>
        <v>49802.49</v>
      </c>
      <c r="S265" s="26">
        <f>IFERROR(__xludf.DUMMYFUNCTION("""COMPUTED_VALUE"""),42205.5)</f>
        <v>42205.5</v>
      </c>
      <c r="T265" s="26">
        <f>IFERROR(__xludf.DUMMYFUNCTION("""COMPUTED_VALUE"""),0.0)</f>
        <v>0</v>
      </c>
      <c r="U265" s="26">
        <f>IFERROR(__xludf.DUMMYFUNCTION("""COMPUTED_VALUE"""),0.0)</f>
        <v>0</v>
      </c>
      <c r="V265" s="26">
        <f>IFERROR(__xludf.DUMMYFUNCTION("""COMPUTED_VALUE"""),7596.990000000003)</f>
        <v>7596.99</v>
      </c>
      <c r="W265" s="26">
        <f>IFERROR(__xludf.DUMMYFUNCTION("""COMPUTED_VALUE"""),0.0)</f>
        <v>0</v>
      </c>
      <c r="X265" s="26">
        <f>IFERROR(__xludf.DUMMYFUNCTION("""COMPUTED_VALUE"""),0.0)</f>
        <v>0</v>
      </c>
      <c r="Y265" s="26">
        <f>IFERROR(__xludf.DUMMYFUNCTION("""COMPUTED_VALUE"""),0.0)</f>
        <v>0</v>
      </c>
      <c r="Z265" s="26">
        <f>IFERROR(__xludf.DUMMYFUNCTION("""COMPUTED_VALUE"""),0.0)</f>
        <v>0</v>
      </c>
      <c r="AA265" s="26">
        <f>IFERROR(__xludf.DUMMYFUNCTION("""COMPUTED_VALUE"""),0.0)</f>
        <v>0</v>
      </c>
      <c r="AB265" s="26">
        <f>IFERROR(__xludf.DUMMYFUNCTION("""COMPUTED_VALUE"""),0.0)</f>
        <v>0</v>
      </c>
      <c r="AC265" s="26">
        <f>IFERROR(__xludf.DUMMYFUNCTION("""COMPUTED_VALUE"""),0.0)</f>
        <v>0</v>
      </c>
      <c r="AD265" s="26">
        <f>IFERROR(__xludf.DUMMYFUNCTION("""COMPUTED_VALUE"""),0.0)</f>
        <v>0</v>
      </c>
      <c r="AE265" s="26">
        <f>IFERROR(__xludf.DUMMYFUNCTION("""COMPUTED_VALUE"""),0.0)</f>
        <v>0</v>
      </c>
    </row>
    <row r="266">
      <c r="A266" s="26">
        <f>IFERROR(__xludf.DUMMYFUNCTION("""COMPUTED_VALUE"""),70.0)</f>
        <v>70</v>
      </c>
      <c r="B266" s="26">
        <f>IFERROR(__xludf.DUMMYFUNCTION("""COMPUTED_VALUE"""),0.0)</f>
        <v>0</v>
      </c>
      <c r="C266" s="26">
        <f>IFERROR(__xludf.DUMMYFUNCTION("""COMPUTED_VALUE"""),0.0)</f>
        <v>0</v>
      </c>
      <c r="D266" s="26">
        <f>IFERROR(__xludf.DUMMYFUNCTION("""COMPUTED_VALUE"""),0.0)</f>
        <v>0</v>
      </c>
      <c r="E266" s="26">
        <f>IFERROR(__xludf.DUMMYFUNCTION("""COMPUTED_VALUE"""),0.0)</f>
        <v>0</v>
      </c>
      <c r="F266" s="26">
        <f>IFERROR(__xludf.DUMMYFUNCTION("""COMPUTED_VALUE"""),0.0)</f>
        <v>0</v>
      </c>
      <c r="G266" s="26">
        <f>IFERROR(__xludf.DUMMYFUNCTION("""COMPUTED_VALUE"""),0.0)</f>
        <v>0</v>
      </c>
      <c r="H266" s="26">
        <f>IFERROR(__xludf.DUMMYFUNCTION("""COMPUTED_VALUE"""),0.0)</f>
        <v>0</v>
      </c>
      <c r="I266" s="26">
        <f>IFERROR(__xludf.DUMMYFUNCTION("""COMPUTED_VALUE"""),0.0)</f>
        <v>0</v>
      </c>
      <c r="J266" s="26">
        <f>IFERROR(__xludf.DUMMYFUNCTION("""COMPUTED_VALUE"""),0.0)</f>
        <v>0</v>
      </c>
      <c r="K266" s="26">
        <f>IFERROR(__xludf.DUMMYFUNCTION("""COMPUTED_VALUE"""),0.0)</f>
        <v>0</v>
      </c>
      <c r="L266" s="26"/>
      <c r="M266" s="26"/>
      <c r="N266" s="26"/>
      <c r="O266" s="26"/>
      <c r="P266" s="26"/>
      <c r="Q266" s="26"/>
      <c r="R266" s="26">
        <f>IFERROR(__xludf.DUMMYFUNCTION("""COMPUTED_VALUE"""),14000.700000000006)</f>
        <v>14000.7</v>
      </c>
      <c r="S266" s="26">
        <f>IFERROR(__xludf.DUMMYFUNCTION("""COMPUTED_VALUE"""),11865.0)</f>
        <v>11865</v>
      </c>
      <c r="T266" s="26">
        <f>IFERROR(__xludf.DUMMYFUNCTION("""COMPUTED_VALUE"""),0.0)</f>
        <v>0</v>
      </c>
      <c r="U266" s="26">
        <f>IFERROR(__xludf.DUMMYFUNCTION("""COMPUTED_VALUE"""),0.0)</f>
        <v>0</v>
      </c>
      <c r="V266" s="26">
        <f>IFERROR(__xludf.DUMMYFUNCTION("""COMPUTED_VALUE"""),2135.7)</f>
        <v>2135.7</v>
      </c>
      <c r="W266" s="26">
        <f>IFERROR(__xludf.DUMMYFUNCTION("""COMPUTED_VALUE"""),0.0)</f>
        <v>0</v>
      </c>
      <c r="X266" s="26">
        <f>IFERROR(__xludf.DUMMYFUNCTION("""COMPUTED_VALUE"""),0.0)</f>
        <v>0</v>
      </c>
      <c r="Y266" s="26">
        <f>IFERROR(__xludf.DUMMYFUNCTION("""COMPUTED_VALUE"""),0.0)</f>
        <v>0</v>
      </c>
      <c r="Z266" s="26">
        <f>IFERROR(__xludf.DUMMYFUNCTION("""COMPUTED_VALUE"""),0.0)</f>
        <v>0</v>
      </c>
      <c r="AA266" s="26">
        <f>IFERROR(__xludf.DUMMYFUNCTION("""COMPUTED_VALUE"""),0.0)</f>
        <v>0</v>
      </c>
      <c r="AB266" s="26">
        <f>IFERROR(__xludf.DUMMYFUNCTION("""COMPUTED_VALUE"""),0.0)</f>
        <v>0</v>
      </c>
      <c r="AC266" s="26">
        <f>IFERROR(__xludf.DUMMYFUNCTION("""COMPUTED_VALUE"""),0.0)</f>
        <v>0</v>
      </c>
      <c r="AD266" s="26">
        <f>IFERROR(__xludf.DUMMYFUNCTION("""COMPUTED_VALUE"""),0.0)</f>
        <v>0</v>
      </c>
      <c r="AE266" s="26">
        <f>IFERROR(__xludf.DUMMYFUNCTION("""COMPUTED_VALUE"""),0.0)</f>
        <v>0</v>
      </c>
    </row>
    <row r="267">
      <c r="A267" s="26">
        <f>IFERROR(__xludf.DUMMYFUNCTION("""COMPUTED_VALUE"""),0.0)</f>
        <v>0</v>
      </c>
      <c r="B267" s="26">
        <f>IFERROR(__xludf.DUMMYFUNCTION("""COMPUTED_VALUE"""),0.0)</f>
        <v>0</v>
      </c>
      <c r="C267" s="26">
        <f>IFERROR(__xludf.DUMMYFUNCTION("""COMPUTED_VALUE"""),0.0)</f>
        <v>0</v>
      </c>
      <c r="D267" s="26">
        <f>IFERROR(__xludf.DUMMYFUNCTION("""COMPUTED_VALUE"""),0.0)</f>
        <v>0</v>
      </c>
      <c r="E267" s="26">
        <f>IFERROR(__xludf.DUMMYFUNCTION("""COMPUTED_VALUE"""),39.0)</f>
        <v>39</v>
      </c>
      <c r="F267" s="26">
        <f>IFERROR(__xludf.DUMMYFUNCTION("""COMPUTED_VALUE"""),0.0)</f>
        <v>0</v>
      </c>
      <c r="G267" s="26">
        <f>IFERROR(__xludf.DUMMYFUNCTION("""COMPUTED_VALUE"""),0.0)</f>
        <v>0</v>
      </c>
      <c r="H267" s="26">
        <f>IFERROR(__xludf.DUMMYFUNCTION("""COMPUTED_VALUE"""),0.0)</f>
        <v>0</v>
      </c>
      <c r="I267" s="26">
        <f>IFERROR(__xludf.DUMMYFUNCTION("""COMPUTED_VALUE"""),0.0)</f>
        <v>0</v>
      </c>
      <c r="J267" s="26">
        <f>IFERROR(__xludf.DUMMYFUNCTION("""COMPUTED_VALUE"""),0.0)</f>
        <v>0</v>
      </c>
      <c r="K267" s="26">
        <f>IFERROR(__xludf.DUMMYFUNCTION("""COMPUTED_VALUE"""),0.0)</f>
        <v>0</v>
      </c>
      <c r="L267" s="26"/>
      <c r="M267" s="26"/>
      <c r="N267" s="26"/>
      <c r="O267" s="26"/>
      <c r="P267" s="26"/>
      <c r="Q267" s="26"/>
      <c r="R267" s="26">
        <f>IFERROR(__xludf.DUMMYFUNCTION("""COMPUTED_VALUE"""),7133.100000000002)</f>
        <v>7133.1</v>
      </c>
      <c r="S267" s="26">
        <f>IFERROR(__xludf.DUMMYFUNCTION("""COMPUTED_VALUE"""),6045.0)</f>
        <v>6045</v>
      </c>
      <c r="T267" s="26">
        <f>IFERROR(__xludf.DUMMYFUNCTION("""COMPUTED_VALUE"""),0.0)</f>
        <v>0</v>
      </c>
      <c r="U267" s="26">
        <f>IFERROR(__xludf.DUMMYFUNCTION("""COMPUTED_VALUE"""),0.0)</f>
        <v>0</v>
      </c>
      <c r="V267" s="26">
        <f>IFERROR(__xludf.DUMMYFUNCTION("""COMPUTED_VALUE"""),1088.1)</f>
        <v>1088.1</v>
      </c>
      <c r="W267" s="26">
        <f>IFERROR(__xludf.DUMMYFUNCTION("""COMPUTED_VALUE"""),0.0)</f>
        <v>0</v>
      </c>
      <c r="X267" s="26">
        <f>IFERROR(__xludf.DUMMYFUNCTION("""COMPUTED_VALUE"""),0.0)</f>
        <v>0</v>
      </c>
      <c r="Y267" s="26">
        <f>IFERROR(__xludf.DUMMYFUNCTION("""COMPUTED_VALUE"""),0.0)</f>
        <v>0</v>
      </c>
      <c r="Z267" s="26">
        <f>IFERROR(__xludf.DUMMYFUNCTION("""COMPUTED_VALUE"""),0.0)</f>
        <v>0</v>
      </c>
      <c r="AA267" s="26">
        <f>IFERROR(__xludf.DUMMYFUNCTION("""COMPUTED_VALUE"""),0.0)</f>
        <v>0</v>
      </c>
      <c r="AB267" s="26">
        <f>IFERROR(__xludf.DUMMYFUNCTION("""COMPUTED_VALUE"""),0.0)</f>
        <v>0</v>
      </c>
      <c r="AC267" s="26">
        <f>IFERROR(__xludf.DUMMYFUNCTION("""COMPUTED_VALUE"""),0.0)</f>
        <v>0</v>
      </c>
      <c r="AD267" s="26">
        <f>IFERROR(__xludf.DUMMYFUNCTION("""COMPUTED_VALUE"""),0.0)</f>
        <v>0</v>
      </c>
      <c r="AE267" s="26">
        <f>IFERROR(__xludf.DUMMYFUNCTION("""COMPUTED_VALUE"""),0.0)</f>
        <v>0</v>
      </c>
    </row>
    <row r="268">
      <c r="A268" s="26">
        <f>IFERROR(__xludf.DUMMYFUNCTION("""COMPUTED_VALUE"""),0.0)</f>
        <v>0</v>
      </c>
      <c r="B268" s="26">
        <f>IFERROR(__xludf.DUMMYFUNCTION("""COMPUTED_VALUE"""),0.0)</f>
        <v>0</v>
      </c>
      <c r="C268" s="26">
        <f>IFERROR(__xludf.DUMMYFUNCTION("""COMPUTED_VALUE"""),0.0)</f>
        <v>0</v>
      </c>
      <c r="D268" s="26">
        <f>IFERROR(__xludf.DUMMYFUNCTION("""COMPUTED_VALUE"""),0.0)</f>
        <v>0</v>
      </c>
      <c r="E268" s="26">
        <f>IFERROR(__xludf.DUMMYFUNCTION("""COMPUTED_VALUE"""),0.0)</f>
        <v>0</v>
      </c>
      <c r="F268" s="26">
        <f>IFERROR(__xludf.DUMMYFUNCTION("""COMPUTED_VALUE"""),0.0)</f>
        <v>0</v>
      </c>
      <c r="G268" s="26">
        <f>IFERROR(__xludf.DUMMYFUNCTION("""COMPUTED_VALUE"""),0.0)</f>
        <v>0</v>
      </c>
      <c r="H268" s="26">
        <f>IFERROR(__xludf.DUMMYFUNCTION("""COMPUTED_VALUE"""),0.0)</f>
        <v>0</v>
      </c>
      <c r="I268" s="26">
        <f>IFERROR(__xludf.DUMMYFUNCTION("""COMPUTED_VALUE"""),0.0)</f>
        <v>0</v>
      </c>
      <c r="J268" s="26">
        <f>IFERROR(__xludf.DUMMYFUNCTION("""COMPUTED_VALUE"""),0.0)</f>
        <v>0</v>
      </c>
      <c r="K268" s="26">
        <f>IFERROR(__xludf.DUMMYFUNCTION("""COMPUTED_VALUE"""),0.0)</f>
        <v>0</v>
      </c>
      <c r="L268" s="26"/>
      <c r="M268" s="26"/>
      <c r="N268" s="26"/>
      <c r="O268" s="26"/>
      <c r="P268" s="26"/>
      <c r="Q268" s="26"/>
      <c r="R268" s="26">
        <f>IFERROR(__xludf.DUMMYFUNCTION("""COMPUTED_VALUE"""),0.0)</f>
        <v>0</v>
      </c>
      <c r="S268" s="26">
        <f>IFERROR(__xludf.DUMMYFUNCTION("""COMPUTED_VALUE"""),0.0)</f>
        <v>0</v>
      </c>
      <c r="T268" s="26">
        <f>IFERROR(__xludf.DUMMYFUNCTION("""COMPUTED_VALUE"""),0.0)</f>
        <v>0</v>
      </c>
      <c r="U268" s="26">
        <f>IFERROR(__xludf.DUMMYFUNCTION("""COMPUTED_VALUE"""),0.0)</f>
        <v>0</v>
      </c>
      <c r="V268" s="26">
        <f>IFERROR(__xludf.DUMMYFUNCTION("""COMPUTED_VALUE"""),0.0)</f>
        <v>0</v>
      </c>
      <c r="W268" s="26">
        <f>IFERROR(__xludf.DUMMYFUNCTION("""COMPUTED_VALUE"""),0.0)</f>
        <v>0</v>
      </c>
      <c r="X268" s="26">
        <f>IFERROR(__xludf.DUMMYFUNCTION("""COMPUTED_VALUE"""),0.0)</f>
        <v>0</v>
      </c>
      <c r="Y268" s="26">
        <f>IFERROR(__xludf.DUMMYFUNCTION("""COMPUTED_VALUE"""),0.0)</f>
        <v>0</v>
      </c>
      <c r="Z268" s="26">
        <f>IFERROR(__xludf.DUMMYFUNCTION("""COMPUTED_VALUE"""),0.0)</f>
        <v>0</v>
      </c>
      <c r="AA268" s="26">
        <f>IFERROR(__xludf.DUMMYFUNCTION("""COMPUTED_VALUE"""),0.0)</f>
        <v>0</v>
      </c>
      <c r="AB268" s="26">
        <f>IFERROR(__xludf.DUMMYFUNCTION("""COMPUTED_VALUE"""),0.0)</f>
        <v>0</v>
      </c>
      <c r="AC268" s="26">
        <f>IFERROR(__xludf.DUMMYFUNCTION("""COMPUTED_VALUE"""),0.0)</f>
        <v>0</v>
      </c>
      <c r="AD268" s="26">
        <f>IFERROR(__xludf.DUMMYFUNCTION("""COMPUTED_VALUE"""),0.0)</f>
        <v>0</v>
      </c>
      <c r="AE268" s="26">
        <f>IFERROR(__xludf.DUMMYFUNCTION("""COMPUTED_VALUE"""),0.0)</f>
        <v>0</v>
      </c>
    </row>
    <row r="269">
      <c r="A269" s="26">
        <f>IFERROR(__xludf.DUMMYFUNCTION("""COMPUTED_VALUE"""),1422.0)</f>
        <v>1422</v>
      </c>
      <c r="B269" s="26">
        <f>IFERROR(__xludf.DUMMYFUNCTION("""COMPUTED_VALUE"""),0.0)</f>
        <v>0</v>
      </c>
      <c r="C269" s="26">
        <f>IFERROR(__xludf.DUMMYFUNCTION("""COMPUTED_VALUE"""),0.0)</f>
        <v>0</v>
      </c>
      <c r="D269" s="26">
        <f>IFERROR(__xludf.DUMMYFUNCTION("""COMPUTED_VALUE"""),0.0)</f>
        <v>0</v>
      </c>
      <c r="E269" s="26">
        <f>IFERROR(__xludf.DUMMYFUNCTION("""COMPUTED_VALUE"""),0.0)</f>
        <v>0</v>
      </c>
      <c r="F269" s="26">
        <f>IFERROR(__xludf.DUMMYFUNCTION("""COMPUTED_VALUE"""),0.0)</f>
        <v>0</v>
      </c>
      <c r="G269" s="26">
        <f>IFERROR(__xludf.DUMMYFUNCTION("""COMPUTED_VALUE"""),0.0)</f>
        <v>0</v>
      </c>
      <c r="H269" s="26">
        <f>IFERROR(__xludf.DUMMYFUNCTION("""COMPUTED_VALUE"""),0.0)</f>
        <v>0</v>
      </c>
      <c r="I269" s="26">
        <f>IFERROR(__xludf.DUMMYFUNCTION("""COMPUTED_VALUE"""),0.0)</f>
        <v>0</v>
      </c>
      <c r="J269" s="26">
        <f>IFERROR(__xludf.DUMMYFUNCTION("""COMPUTED_VALUE"""),0.0)</f>
        <v>0</v>
      </c>
      <c r="K269" s="26">
        <f>IFERROR(__xludf.DUMMYFUNCTION("""COMPUTED_VALUE"""),0.0)</f>
        <v>0</v>
      </c>
      <c r="L269" s="26"/>
      <c r="M269" s="26"/>
      <c r="N269" s="26"/>
      <c r="O269" s="26"/>
      <c r="P269" s="26"/>
      <c r="Q269" s="26"/>
      <c r="R269" s="26">
        <f>IFERROR(__xludf.DUMMYFUNCTION("""COMPUTED_VALUE"""),628524.0)</f>
        <v>628524</v>
      </c>
      <c r="S269" s="26">
        <f>IFERROR(__xludf.DUMMYFUNCTION("""COMPUTED_VALUE"""),253555.0)</f>
        <v>253555</v>
      </c>
      <c r="T269" s="26">
        <f>IFERROR(__xludf.DUMMYFUNCTION("""COMPUTED_VALUE"""),0.0)</f>
        <v>0</v>
      </c>
      <c r="U269" s="26">
        <f>IFERROR(__xludf.DUMMYFUNCTION("""COMPUTED_VALUE"""),0.0)</f>
        <v>0</v>
      </c>
      <c r="V269" s="26">
        <f>IFERROR(__xludf.DUMMYFUNCTION("""COMPUTED_VALUE"""),95871.23999999986)</f>
        <v>95871.24</v>
      </c>
      <c r="W269" s="26">
        <f>IFERROR(__xludf.DUMMYFUNCTION("""COMPUTED_VALUE"""),1630765.999999995)</f>
        <v>1630766</v>
      </c>
      <c r="X269" s="26">
        <f>IFERROR(__xludf.DUMMYFUNCTION("""COMPUTED_VALUE"""),1378396.249999983)</f>
        <v>1378396.25</v>
      </c>
      <c r="Y269" s="26">
        <f>IFERROR(__xludf.DUMMYFUNCTION("""COMPUTED_VALUE"""),1070788.599999988)</f>
        <v>1070788.6</v>
      </c>
      <c r="Z269" s="26">
        <f>IFERROR(__xludf.DUMMYFUNCTION("""COMPUTED_VALUE"""),764874.0000000118)</f>
        <v>764874</v>
      </c>
      <c r="AA269" s="26">
        <f>IFERROR(__xludf.DUMMYFUNCTION("""COMPUTED_VALUE"""),53544.84999999913)</f>
        <v>53544.85</v>
      </c>
      <c r="AB269" s="26">
        <f>IFERROR(__xludf.DUMMYFUNCTION("""COMPUTED_VALUE"""),252369.74999999773)</f>
        <v>252369.75</v>
      </c>
      <c r="AC269" s="26">
        <f>IFERROR(__xludf.DUMMYFUNCTION("""COMPUTED_VALUE"""),0.0)</f>
        <v>0</v>
      </c>
      <c r="AD269" s="26">
        <f>IFERROR(__xludf.DUMMYFUNCTION("""COMPUTED_VALUE"""),1420000.0)</f>
        <v>1420000</v>
      </c>
      <c r="AE269" s="26">
        <f>IFERROR(__xludf.DUMMYFUNCTION("""COMPUTED_VALUE"""),262761.25)</f>
        <v>262761.25</v>
      </c>
    </row>
    <row r="270">
      <c r="A270" s="26">
        <f>IFERROR(__xludf.DUMMYFUNCTION("""COMPUTED_VALUE"""),478.0)</f>
        <v>478</v>
      </c>
      <c r="B270" s="26">
        <f>IFERROR(__xludf.DUMMYFUNCTION("""COMPUTED_VALUE"""),0.0)</f>
        <v>0</v>
      </c>
      <c r="C270" s="26">
        <f>IFERROR(__xludf.DUMMYFUNCTION("""COMPUTED_VALUE"""),0.0)</f>
        <v>0</v>
      </c>
      <c r="D270" s="26">
        <f>IFERROR(__xludf.DUMMYFUNCTION("""COMPUTED_VALUE"""),0.0)</f>
        <v>0</v>
      </c>
      <c r="E270" s="26">
        <f>IFERROR(__xludf.DUMMYFUNCTION("""COMPUTED_VALUE"""),0.0)</f>
        <v>0</v>
      </c>
      <c r="F270" s="26">
        <f>IFERROR(__xludf.DUMMYFUNCTION("""COMPUTED_VALUE"""),0.0)</f>
        <v>0</v>
      </c>
      <c r="G270" s="26">
        <f>IFERROR(__xludf.DUMMYFUNCTION("""COMPUTED_VALUE"""),0.0)</f>
        <v>0</v>
      </c>
      <c r="H270" s="26">
        <f>IFERROR(__xludf.DUMMYFUNCTION("""COMPUTED_VALUE"""),0.0)</f>
        <v>0</v>
      </c>
      <c r="I270" s="26">
        <f>IFERROR(__xludf.DUMMYFUNCTION("""COMPUTED_VALUE"""),0.0)</f>
        <v>0</v>
      </c>
      <c r="J270" s="26">
        <f>IFERROR(__xludf.DUMMYFUNCTION("""COMPUTED_VALUE"""),0.0)</f>
        <v>0</v>
      </c>
      <c r="K270" s="26">
        <f>IFERROR(__xludf.DUMMYFUNCTION("""COMPUTED_VALUE"""),0.0)</f>
        <v>0</v>
      </c>
      <c r="L270" s="26"/>
      <c r="M270" s="26"/>
      <c r="N270" s="26"/>
      <c r="O270" s="26"/>
      <c r="P270" s="26"/>
      <c r="Q270" s="26"/>
      <c r="R270" s="26">
        <f>IFERROR(__xludf.DUMMYFUNCTION("""COMPUTED_VALUE"""),211276.0)</f>
        <v>211276</v>
      </c>
      <c r="S270" s="26">
        <f>IFERROR(__xludf.DUMMYFUNCTION("""COMPUTED_VALUE"""),84428.0)</f>
        <v>84428</v>
      </c>
      <c r="T270" s="26">
        <f>IFERROR(__xludf.DUMMYFUNCTION("""COMPUTED_VALUE"""),0.0)</f>
        <v>0</v>
      </c>
      <c r="U270" s="26">
        <f>IFERROR(__xludf.DUMMYFUNCTION("""COMPUTED_VALUE"""),0.0)</f>
        <v>0</v>
      </c>
      <c r="V270" s="26">
        <f>IFERROR(__xludf.DUMMYFUNCTION("""COMPUTED_VALUE"""),32226.760000000024)</f>
        <v>32226.76</v>
      </c>
      <c r="W270" s="26">
        <f>IFERROR(__xludf.DUMMYFUNCTION("""COMPUTED_VALUE"""),159736.2000000001)</f>
        <v>159736.2</v>
      </c>
      <c r="X270" s="26">
        <f>IFERROR(__xludf.DUMMYFUNCTION("""COMPUTED_VALUE"""),134759.40000000005)</f>
        <v>134759.4</v>
      </c>
      <c r="Y270" s="26">
        <f>IFERROR(__xludf.DUMMYFUNCTION("""COMPUTED_VALUE"""),105668.56000000016)</f>
        <v>105668.56</v>
      </c>
      <c r="Z270" s="26">
        <f>IFERROR(__xludf.DUMMYFUNCTION("""COMPUTED_VALUE"""),75407.79999999999)</f>
        <v>75407.8</v>
      </c>
      <c r="AA270" s="26">
        <f>IFERROR(__xludf.DUMMYFUNCTION("""COMPUTED_VALUE"""),5283.960000000005)</f>
        <v>5283.96</v>
      </c>
      <c r="AB270" s="26">
        <f>IFERROR(__xludf.DUMMYFUNCTION("""COMPUTED_VALUE"""),24976.80000000004)</f>
        <v>24976.8</v>
      </c>
      <c r="AC270" s="26">
        <f>IFERROR(__xludf.DUMMYFUNCTION("""COMPUTED_VALUE"""),0.0)</f>
        <v>0</v>
      </c>
      <c r="AD270" s="26">
        <f>IFERROR(__xludf.DUMMYFUNCTION("""COMPUTED_VALUE"""),100000.0)</f>
        <v>100000</v>
      </c>
      <c r="AE270" s="26">
        <f>IFERROR(__xludf.DUMMYFUNCTION("""COMPUTED_VALUE"""),60523.0)</f>
        <v>60523</v>
      </c>
    </row>
    <row r="271">
      <c r="A271" s="26">
        <f>IFERROR(__xludf.DUMMYFUNCTION("""COMPUTED_VALUE"""),796.0)</f>
        <v>796</v>
      </c>
      <c r="B271" s="26">
        <f>IFERROR(__xludf.DUMMYFUNCTION("""COMPUTED_VALUE"""),0.0)</f>
        <v>0</v>
      </c>
      <c r="C271" s="26">
        <f>IFERROR(__xludf.DUMMYFUNCTION("""COMPUTED_VALUE"""),0.0)</f>
        <v>0</v>
      </c>
      <c r="D271" s="26">
        <f>IFERROR(__xludf.DUMMYFUNCTION("""COMPUTED_VALUE"""),0.0)</f>
        <v>0</v>
      </c>
      <c r="E271" s="26">
        <f>IFERROR(__xludf.DUMMYFUNCTION("""COMPUTED_VALUE"""),0.0)</f>
        <v>0</v>
      </c>
      <c r="F271" s="26">
        <f>IFERROR(__xludf.DUMMYFUNCTION("""COMPUTED_VALUE"""),0.0)</f>
        <v>0</v>
      </c>
      <c r="G271" s="26">
        <f>IFERROR(__xludf.DUMMYFUNCTION("""COMPUTED_VALUE"""),0.0)</f>
        <v>0</v>
      </c>
      <c r="H271" s="26">
        <f>IFERROR(__xludf.DUMMYFUNCTION("""COMPUTED_VALUE"""),0.0)</f>
        <v>0</v>
      </c>
      <c r="I271" s="26">
        <f>IFERROR(__xludf.DUMMYFUNCTION("""COMPUTED_VALUE"""),0.0)</f>
        <v>0</v>
      </c>
      <c r="J271" s="26">
        <f>IFERROR(__xludf.DUMMYFUNCTION("""COMPUTED_VALUE"""),0.0)</f>
        <v>0</v>
      </c>
      <c r="K271" s="26">
        <f>IFERROR(__xludf.DUMMYFUNCTION("""COMPUTED_VALUE"""),0.0)</f>
        <v>0</v>
      </c>
      <c r="L271" s="26"/>
      <c r="M271" s="26"/>
      <c r="N271" s="26"/>
      <c r="O271" s="26"/>
      <c r="P271" s="26"/>
      <c r="Q271" s="26"/>
      <c r="R271" s="26">
        <f>IFERROR(__xludf.DUMMYFUNCTION("""COMPUTED_VALUE"""),351832.0)</f>
        <v>351832</v>
      </c>
      <c r="S271" s="26">
        <f>IFERROR(__xludf.DUMMYFUNCTION("""COMPUTED_VALUE"""),141454.0)</f>
        <v>141454</v>
      </c>
      <c r="T271" s="26">
        <f>IFERROR(__xludf.DUMMYFUNCTION("""COMPUTED_VALUE"""),0.0)</f>
        <v>0</v>
      </c>
      <c r="U271" s="26">
        <f>IFERROR(__xludf.DUMMYFUNCTION("""COMPUTED_VALUE"""),0.0)</f>
        <v>0</v>
      </c>
      <c r="V271" s="26">
        <f>IFERROR(__xludf.DUMMYFUNCTION("""COMPUTED_VALUE"""),53666.32000000005)</f>
        <v>53666.32</v>
      </c>
      <c r="W271" s="26">
        <f>IFERROR(__xludf.DUMMYFUNCTION("""COMPUTED_VALUE"""),0.0)</f>
        <v>0</v>
      </c>
      <c r="X271" s="26">
        <f>IFERROR(__xludf.DUMMYFUNCTION("""COMPUTED_VALUE"""),0.0)</f>
        <v>0</v>
      </c>
      <c r="Y271" s="26">
        <f>IFERROR(__xludf.DUMMYFUNCTION("""COMPUTED_VALUE"""),0.0)</f>
        <v>0</v>
      </c>
      <c r="Z271" s="26">
        <f>IFERROR(__xludf.DUMMYFUNCTION("""COMPUTED_VALUE"""),0.0)</f>
        <v>0</v>
      </c>
      <c r="AA271" s="26">
        <f>IFERROR(__xludf.DUMMYFUNCTION("""COMPUTED_VALUE"""),0.0)</f>
        <v>0</v>
      </c>
      <c r="AB271" s="26">
        <f>IFERROR(__xludf.DUMMYFUNCTION("""COMPUTED_VALUE"""),0.0)</f>
        <v>0</v>
      </c>
      <c r="AC271" s="26">
        <f>IFERROR(__xludf.DUMMYFUNCTION("""COMPUTED_VALUE"""),0.0)</f>
        <v>0</v>
      </c>
      <c r="AD271" s="26">
        <f>IFERROR(__xludf.DUMMYFUNCTION("""COMPUTED_VALUE"""),0.0)</f>
        <v>0</v>
      </c>
      <c r="AE271" s="26">
        <f>IFERROR(__xludf.DUMMYFUNCTION("""COMPUTED_VALUE"""),0.0)</f>
        <v>0</v>
      </c>
    </row>
    <row r="272">
      <c r="A272" s="26">
        <f>IFERROR(__xludf.DUMMYFUNCTION("""COMPUTED_VALUE"""),86.0)</f>
        <v>86</v>
      </c>
      <c r="B272" s="26">
        <f>IFERROR(__xludf.DUMMYFUNCTION("""COMPUTED_VALUE"""),0.0)</f>
        <v>0</v>
      </c>
      <c r="C272" s="26">
        <f>IFERROR(__xludf.DUMMYFUNCTION("""COMPUTED_VALUE"""),0.0)</f>
        <v>0</v>
      </c>
      <c r="D272" s="26">
        <f>IFERROR(__xludf.DUMMYFUNCTION("""COMPUTED_VALUE"""),0.0)</f>
        <v>0</v>
      </c>
      <c r="E272" s="26">
        <f>IFERROR(__xludf.DUMMYFUNCTION("""COMPUTED_VALUE"""),0.0)</f>
        <v>0</v>
      </c>
      <c r="F272" s="26">
        <f>IFERROR(__xludf.DUMMYFUNCTION("""COMPUTED_VALUE"""),0.0)</f>
        <v>0</v>
      </c>
      <c r="G272" s="26">
        <f>IFERROR(__xludf.DUMMYFUNCTION("""COMPUTED_VALUE"""),0.0)</f>
        <v>0</v>
      </c>
      <c r="H272" s="26">
        <f>IFERROR(__xludf.DUMMYFUNCTION("""COMPUTED_VALUE"""),0.0)</f>
        <v>0</v>
      </c>
      <c r="I272" s="26">
        <f>IFERROR(__xludf.DUMMYFUNCTION("""COMPUTED_VALUE"""),0.0)</f>
        <v>0</v>
      </c>
      <c r="J272" s="26">
        <f>IFERROR(__xludf.DUMMYFUNCTION("""COMPUTED_VALUE"""),0.0)</f>
        <v>0</v>
      </c>
      <c r="K272" s="26">
        <f>IFERROR(__xludf.DUMMYFUNCTION("""COMPUTED_VALUE"""),0.0)</f>
        <v>0</v>
      </c>
      <c r="L272" s="26"/>
      <c r="M272" s="26"/>
      <c r="N272" s="26"/>
      <c r="O272" s="26"/>
      <c r="P272" s="26"/>
      <c r="Q272" s="26"/>
      <c r="R272" s="26">
        <f>IFERROR(__xludf.DUMMYFUNCTION("""COMPUTED_VALUE"""),38012.0)</f>
        <v>38012</v>
      </c>
      <c r="S272" s="26">
        <f>IFERROR(__xludf.DUMMYFUNCTION("""COMPUTED_VALUE"""),15363.0)</f>
        <v>15363</v>
      </c>
      <c r="T272" s="26">
        <f>IFERROR(__xludf.DUMMYFUNCTION("""COMPUTED_VALUE"""),0.0)</f>
        <v>0</v>
      </c>
      <c r="U272" s="26">
        <f>IFERROR(__xludf.DUMMYFUNCTION("""COMPUTED_VALUE"""),0.0)</f>
        <v>0</v>
      </c>
      <c r="V272" s="26">
        <f>IFERROR(__xludf.DUMMYFUNCTION("""COMPUTED_VALUE"""),5798.119999999999)</f>
        <v>5798.12</v>
      </c>
      <c r="W272" s="26">
        <f>IFERROR(__xludf.DUMMYFUNCTION("""COMPUTED_VALUE"""),0.0)</f>
        <v>0</v>
      </c>
      <c r="X272" s="26">
        <f>IFERROR(__xludf.DUMMYFUNCTION("""COMPUTED_VALUE"""),0.0)</f>
        <v>0</v>
      </c>
      <c r="Y272" s="26">
        <f>IFERROR(__xludf.DUMMYFUNCTION("""COMPUTED_VALUE"""),0.0)</f>
        <v>0</v>
      </c>
      <c r="Z272" s="26">
        <f>IFERROR(__xludf.DUMMYFUNCTION("""COMPUTED_VALUE"""),0.0)</f>
        <v>0</v>
      </c>
      <c r="AA272" s="26">
        <f>IFERROR(__xludf.DUMMYFUNCTION("""COMPUTED_VALUE"""),0.0)</f>
        <v>0</v>
      </c>
      <c r="AB272" s="26">
        <f>IFERROR(__xludf.DUMMYFUNCTION("""COMPUTED_VALUE"""),0.0)</f>
        <v>0</v>
      </c>
      <c r="AC272" s="26">
        <f>IFERROR(__xludf.DUMMYFUNCTION("""COMPUTED_VALUE"""),0.0)</f>
        <v>0</v>
      </c>
      <c r="AD272" s="26">
        <f>IFERROR(__xludf.DUMMYFUNCTION("""COMPUTED_VALUE"""),0.0)</f>
        <v>0</v>
      </c>
      <c r="AE272" s="26">
        <f>IFERROR(__xludf.DUMMYFUNCTION("""COMPUTED_VALUE"""),0.0)</f>
        <v>0</v>
      </c>
    </row>
    <row r="273">
      <c r="A273" s="26">
        <f>IFERROR(__xludf.DUMMYFUNCTION("""COMPUTED_VALUE"""),0.0)</f>
        <v>0</v>
      </c>
      <c r="B273" s="26">
        <f>IFERROR(__xludf.DUMMYFUNCTION("""COMPUTED_VALUE"""),0.0)</f>
        <v>0</v>
      </c>
      <c r="C273" s="26">
        <f>IFERROR(__xludf.DUMMYFUNCTION("""COMPUTED_VALUE"""),0.0)</f>
        <v>0</v>
      </c>
      <c r="D273" s="26">
        <f>IFERROR(__xludf.DUMMYFUNCTION("""COMPUTED_VALUE"""),0.0)</f>
        <v>0</v>
      </c>
      <c r="E273" s="26">
        <f>IFERROR(__xludf.DUMMYFUNCTION("""COMPUTED_VALUE"""),0.0)</f>
        <v>0</v>
      </c>
      <c r="F273" s="26">
        <f>IFERROR(__xludf.DUMMYFUNCTION("""COMPUTED_VALUE"""),0.0)</f>
        <v>0</v>
      </c>
      <c r="G273" s="26">
        <f>IFERROR(__xludf.DUMMYFUNCTION("""COMPUTED_VALUE"""),0.0)</f>
        <v>0</v>
      </c>
      <c r="H273" s="26">
        <f>IFERROR(__xludf.DUMMYFUNCTION("""COMPUTED_VALUE"""),0.0)</f>
        <v>0</v>
      </c>
      <c r="I273" s="26">
        <f>IFERROR(__xludf.DUMMYFUNCTION("""COMPUTED_VALUE"""),0.0)</f>
        <v>0</v>
      </c>
      <c r="J273" s="26">
        <f>IFERROR(__xludf.DUMMYFUNCTION("""COMPUTED_VALUE"""),0.0)</f>
        <v>0</v>
      </c>
      <c r="K273" s="26">
        <f>IFERROR(__xludf.DUMMYFUNCTION("""COMPUTED_VALUE"""),0.0)</f>
        <v>0</v>
      </c>
      <c r="L273" s="26"/>
      <c r="M273" s="26"/>
      <c r="N273" s="26"/>
      <c r="O273" s="26"/>
      <c r="P273" s="26"/>
      <c r="Q273" s="26"/>
      <c r="R273" s="26">
        <f>IFERROR(__xludf.DUMMYFUNCTION("""COMPUTED_VALUE"""),0.0)</f>
        <v>0</v>
      </c>
      <c r="S273" s="26">
        <f>IFERROR(__xludf.DUMMYFUNCTION("""COMPUTED_VALUE"""),0.0)</f>
        <v>0</v>
      </c>
      <c r="T273" s="26">
        <f>IFERROR(__xludf.DUMMYFUNCTION("""COMPUTED_VALUE"""),0.0)</f>
        <v>0</v>
      </c>
      <c r="U273" s="26">
        <f>IFERROR(__xludf.DUMMYFUNCTION("""COMPUTED_VALUE"""),0.0)</f>
        <v>0</v>
      </c>
      <c r="V273" s="26">
        <f>IFERROR(__xludf.DUMMYFUNCTION("""COMPUTED_VALUE"""),0.0)</f>
        <v>0</v>
      </c>
      <c r="W273" s="26">
        <f>IFERROR(__xludf.DUMMYFUNCTION("""COMPUTED_VALUE"""),0.0)</f>
        <v>0</v>
      </c>
      <c r="X273" s="26">
        <f>IFERROR(__xludf.DUMMYFUNCTION("""COMPUTED_VALUE"""),0.0)</f>
        <v>0</v>
      </c>
      <c r="Y273" s="26">
        <f>IFERROR(__xludf.DUMMYFUNCTION("""COMPUTED_VALUE"""),0.0)</f>
        <v>0</v>
      </c>
      <c r="Z273" s="26">
        <f>IFERROR(__xludf.DUMMYFUNCTION("""COMPUTED_VALUE"""),0.0)</f>
        <v>0</v>
      </c>
      <c r="AA273" s="26">
        <f>IFERROR(__xludf.DUMMYFUNCTION("""COMPUTED_VALUE"""),0.0)</f>
        <v>0</v>
      </c>
      <c r="AB273" s="26">
        <f>IFERROR(__xludf.DUMMYFUNCTION("""COMPUTED_VALUE"""),0.0)</f>
        <v>0</v>
      </c>
      <c r="AC273" s="26">
        <f>IFERROR(__xludf.DUMMYFUNCTION("""COMPUTED_VALUE"""),0.0)</f>
        <v>0</v>
      </c>
      <c r="AD273" s="26">
        <f>IFERROR(__xludf.DUMMYFUNCTION("""COMPUTED_VALUE"""),0.0)</f>
        <v>0</v>
      </c>
      <c r="AE273" s="26">
        <f>IFERROR(__xludf.DUMMYFUNCTION("""COMPUTED_VALUE"""),0.0)</f>
        <v>0</v>
      </c>
    </row>
    <row r="274">
      <c r="A274" s="26">
        <f>IFERROR(__xludf.DUMMYFUNCTION("""COMPUTED_VALUE"""),94.0)</f>
        <v>94</v>
      </c>
      <c r="B274" s="26">
        <f>IFERROR(__xludf.DUMMYFUNCTION("""COMPUTED_VALUE"""),0.0)</f>
        <v>0</v>
      </c>
      <c r="C274" s="26">
        <f>IFERROR(__xludf.DUMMYFUNCTION("""COMPUTED_VALUE"""),0.0)</f>
        <v>0</v>
      </c>
      <c r="D274" s="26">
        <f>IFERROR(__xludf.DUMMYFUNCTION("""COMPUTED_VALUE"""),0.0)</f>
        <v>0</v>
      </c>
      <c r="E274" s="26">
        <f>IFERROR(__xludf.DUMMYFUNCTION("""COMPUTED_VALUE"""),0.0)</f>
        <v>0</v>
      </c>
      <c r="F274" s="26">
        <f>IFERROR(__xludf.DUMMYFUNCTION("""COMPUTED_VALUE"""),0.0)</f>
        <v>0</v>
      </c>
      <c r="G274" s="26">
        <f>IFERROR(__xludf.DUMMYFUNCTION("""COMPUTED_VALUE"""),0.0)</f>
        <v>0</v>
      </c>
      <c r="H274" s="26">
        <f>IFERROR(__xludf.DUMMYFUNCTION("""COMPUTED_VALUE"""),0.0)</f>
        <v>0</v>
      </c>
      <c r="I274" s="26">
        <f>IFERROR(__xludf.DUMMYFUNCTION("""COMPUTED_VALUE"""),0.0)</f>
        <v>0</v>
      </c>
      <c r="J274" s="26">
        <f>IFERROR(__xludf.DUMMYFUNCTION("""COMPUTED_VALUE"""),0.0)</f>
        <v>0</v>
      </c>
      <c r="K274" s="26">
        <f>IFERROR(__xludf.DUMMYFUNCTION("""COMPUTED_VALUE"""),0.0)</f>
        <v>0</v>
      </c>
      <c r="L274" s="26"/>
      <c r="M274" s="26"/>
      <c r="N274" s="26"/>
      <c r="O274" s="26"/>
      <c r="P274" s="26"/>
      <c r="Q274" s="26"/>
      <c r="R274" s="26">
        <f>IFERROR(__xludf.DUMMYFUNCTION("""COMPUTED_VALUE"""),41548.0)</f>
        <v>41548</v>
      </c>
      <c r="S274" s="26">
        <f>IFERROR(__xludf.DUMMYFUNCTION("""COMPUTED_VALUE"""),16899.0)</f>
        <v>16899</v>
      </c>
      <c r="T274" s="26">
        <f>IFERROR(__xludf.DUMMYFUNCTION("""COMPUTED_VALUE"""),0.0)</f>
        <v>0</v>
      </c>
      <c r="U274" s="26">
        <f>IFERROR(__xludf.DUMMYFUNCTION("""COMPUTED_VALUE"""),0.0)</f>
        <v>0</v>
      </c>
      <c r="V274" s="26">
        <f>IFERROR(__xludf.DUMMYFUNCTION("""COMPUTED_VALUE"""),6337.48)</f>
        <v>6337.48</v>
      </c>
      <c r="W274" s="26">
        <f>IFERROR(__xludf.DUMMYFUNCTION("""COMPUTED_VALUE"""),0.0)</f>
        <v>0</v>
      </c>
      <c r="X274" s="26">
        <f>IFERROR(__xludf.DUMMYFUNCTION("""COMPUTED_VALUE"""),0.0)</f>
        <v>0</v>
      </c>
      <c r="Y274" s="26">
        <f>IFERROR(__xludf.DUMMYFUNCTION("""COMPUTED_VALUE"""),0.0)</f>
        <v>0</v>
      </c>
      <c r="Z274" s="26">
        <f>IFERROR(__xludf.DUMMYFUNCTION("""COMPUTED_VALUE"""),0.0)</f>
        <v>0</v>
      </c>
      <c r="AA274" s="26">
        <f>IFERROR(__xludf.DUMMYFUNCTION("""COMPUTED_VALUE"""),0.0)</f>
        <v>0</v>
      </c>
      <c r="AB274" s="26">
        <f>IFERROR(__xludf.DUMMYFUNCTION("""COMPUTED_VALUE"""),0.0)</f>
        <v>0</v>
      </c>
      <c r="AC274" s="26">
        <f>IFERROR(__xludf.DUMMYFUNCTION("""COMPUTED_VALUE"""),0.0)</f>
        <v>0</v>
      </c>
      <c r="AD274" s="26">
        <f>IFERROR(__xludf.DUMMYFUNCTION("""COMPUTED_VALUE"""),0.0)</f>
        <v>0</v>
      </c>
      <c r="AE274" s="26">
        <f>IFERROR(__xludf.DUMMYFUNCTION("""COMPUTED_VALUE"""),0.0)</f>
        <v>0</v>
      </c>
    </row>
    <row r="275">
      <c r="A275" s="26">
        <f>IFERROR(__xludf.DUMMYFUNCTION("""COMPUTED_VALUE"""),0.0)</f>
        <v>0</v>
      </c>
      <c r="B275" s="26">
        <f>IFERROR(__xludf.DUMMYFUNCTION("""COMPUTED_VALUE"""),0.0)</f>
        <v>0</v>
      </c>
      <c r="C275" s="26">
        <f>IFERROR(__xludf.DUMMYFUNCTION("""COMPUTED_VALUE"""),0.0)</f>
        <v>0</v>
      </c>
      <c r="D275" s="26">
        <f>IFERROR(__xludf.DUMMYFUNCTION("""COMPUTED_VALUE"""),0.0)</f>
        <v>0</v>
      </c>
      <c r="E275" s="26">
        <f>IFERROR(__xludf.DUMMYFUNCTION("""COMPUTED_VALUE"""),0.0)</f>
        <v>0</v>
      </c>
      <c r="F275" s="26">
        <f>IFERROR(__xludf.DUMMYFUNCTION("""COMPUTED_VALUE"""),0.0)</f>
        <v>0</v>
      </c>
      <c r="G275" s="26">
        <f>IFERROR(__xludf.DUMMYFUNCTION("""COMPUTED_VALUE"""),0.0)</f>
        <v>0</v>
      </c>
      <c r="H275" s="26">
        <f>IFERROR(__xludf.DUMMYFUNCTION("""COMPUTED_VALUE"""),0.0)</f>
        <v>0</v>
      </c>
      <c r="I275" s="26">
        <f>IFERROR(__xludf.DUMMYFUNCTION("""COMPUTED_VALUE"""),0.0)</f>
        <v>0</v>
      </c>
      <c r="J275" s="26">
        <f>IFERROR(__xludf.DUMMYFUNCTION("""COMPUTED_VALUE"""),0.0)</f>
        <v>0</v>
      </c>
      <c r="K275" s="26">
        <f>IFERROR(__xludf.DUMMYFUNCTION("""COMPUTED_VALUE"""),0.0)</f>
        <v>0</v>
      </c>
      <c r="L275" s="26"/>
      <c r="M275" s="26"/>
      <c r="N275" s="26"/>
      <c r="O275" s="26"/>
      <c r="P275" s="26"/>
      <c r="Q275" s="26"/>
      <c r="R275" s="26">
        <f>IFERROR(__xludf.DUMMYFUNCTION("""COMPUTED_VALUE"""),0.0)</f>
        <v>0</v>
      </c>
      <c r="S275" s="26">
        <f>IFERROR(__xludf.DUMMYFUNCTION("""COMPUTED_VALUE"""),0.0)</f>
        <v>0</v>
      </c>
      <c r="T275" s="26">
        <f>IFERROR(__xludf.DUMMYFUNCTION("""COMPUTED_VALUE"""),0.0)</f>
        <v>0</v>
      </c>
      <c r="U275" s="26">
        <f>IFERROR(__xludf.DUMMYFUNCTION("""COMPUTED_VALUE"""),0.0)</f>
        <v>0</v>
      </c>
      <c r="V275" s="26">
        <f>IFERROR(__xludf.DUMMYFUNCTION("""COMPUTED_VALUE"""),0.0)</f>
        <v>0</v>
      </c>
      <c r="W275" s="26">
        <f>IFERROR(__xludf.DUMMYFUNCTION("""COMPUTED_VALUE"""),0.0)</f>
        <v>0</v>
      </c>
      <c r="X275" s="26">
        <f>IFERROR(__xludf.DUMMYFUNCTION("""COMPUTED_VALUE"""),0.0)</f>
        <v>0</v>
      </c>
      <c r="Y275" s="26">
        <f>IFERROR(__xludf.DUMMYFUNCTION("""COMPUTED_VALUE"""),0.0)</f>
        <v>0</v>
      </c>
      <c r="Z275" s="26">
        <f>IFERROR(__xludf.DUMMYFUNCTION("""COMPUTED_VALUE"""),0.0)</f>
        <v>0</v>
      </c>
      <c r="AA275" s="26">
        <f>IFERROR(__xludf.DUMMYFUNCTION("""COMPUTED_VALUE"""),0.0)</f>
        <v>0</v>
      </c>
      <c r="AB275" s="26">
        <f>IFERROR(__xludf.DUMMYFUNCTION("""COMPUTED_VALUE"""),0.0)</f>
        <v>0</v>
      </c>
      <c r="AC275" s="26">
        <f>IFERROR(__xludf.DUMMYFUNCTION("""COMPUTED_VALUE"""),0.0)</f>
        <v>0</v>
      </c>
      <c r="AD275" s="26">
        <f>IFERROR(__xludf.DUMMYFUNCTION("""COMPUTED_VALUE"""),0.0)</f>
        <v>0</v>
      </c>
      <c r="AE275" s="26">
        <f>IFERROR(__xludf.DUMMYFUNCTION("""COMPUTED_VALUE"""),0.0)</f>
        <v>0</v>
      </c>
    </row>
    <row r="276">
      <c r="A276" s="26">
        <f>IFERROR(__xludf.DUMMYFUNCTION("""COMPUTED_VALUE"""),0.0)</f>
        <v>0</v>
      </c>
      <c r="B276" s="26">
        <f>IFERROR(__xludf.DUMMYFUNCTION("""COMPUTED_VALUE"""),0.0)</f>
        <v>0</v>
      </c>
      <c r="C276" s="26">
        <f>IFERROR(__xludf.DUMMYFUNCTION("""COMPUTED_VALUE"""),0.0)</f>
        <v>0</v>
      </c>
      <c r="D276" s="26">
        <f>IFERROR(__xludf.DUMMYFUNCTION("""COMPUTED_VALUE"""),0.0)</f>
        <v>0</v>
      </c>
      <c r="E276" s="26">
        <f>IFERROR(__xludf.DUMMYFUNCTION("""COMPUTED_VALUE"""),0.0)</f>
        <v>0</v>
      </c>
      <c r="F276" s="26">
        <f>IFERROR(__xludf.DUMMYFUNCTION("""COMPUTED_VALUE"""),0.0)</f>
        <v>0</v>
      </c>
      <c r="G276" s="26">
        <f>IFERROR(__xludf.DUMMYFUNCTION("""COMPUTED_VALUE"""),0.0)</f>
        <v>0</v>
      </c>
      <c r="H276" s="26">
        <f>IFERROR(__xludf.DUMMYFUNCTION("""COMPUTED_VALUE"""),0.0)</f>
        <v>0</v>
      </c>
      <c r="I276" s="26">
        <f>IFERROR(__xludf.DUMMYFUNCTION("""COMPUTED_VALUE"""),0.0)</f>
        <v>0</v>
      </c>
      <c r="J276" s="26">
        <f>IFERROR(__xludf.DUMMYFUNCTION("""COMPUTED_VALUE"""),0.0)</f>
        <v>0</v>
      </c>
      <c r="K276" s="26">
        <f>IFERROR(__xludf.DUMMYFUNCTION("""COMPUTED_VALUE"""),0.0)</f>
        <v>0</v>
      </c>
      <c r="L276" s="26"/>
      <c r="M276" s="26"/>
      <c r="N276" s="26"/>
      <c r="O276" s="26"/>
      <c r="P276" s="26"/>
      <c r="Q276" s="26"/>
      <c r="R276" s="26">
        <f>IFERROR(__xludf.DUMMYFUNCTION("""COMPUTED_VALUE"""),0.0)</f>
        <v>0</v>
      </c>
      <c r="S276" s="26">
        <f>IFERROR(__xludf.DUMMYFUNCTION("""COMPUTED_VALUE"""),0.0)</f>
        <v>0</v>
      </c>
      <c r="T276" s="26">
        <f>IFERROR(__xludf.DUMMYFUNCTION("""COMPUTED_VALUE"""),0.0)</f>
        <v>0</v>
      </c>
      <c r="U276" s="26">
        <f>IFERROR(__xludf.DUMMYFUNCTION("""COMPUTED_VALUE"""),0.0)</f>
        <v>0</v>
      </c>
      <c r="V276" s="26">
        <f>IFERROR(__xludf.DUMMYFUNCTION("""COMPUTED_VALUE"""),0.0)</f>
        <v>0</v>
      </c>
      <c r="W276" s="26">
        <f>IFERROR(__xludf.DUMMYFUNCTION("""COMPUTED_VALUE"""),0.0)</f>
        <v>0</v>
      </c>
      <c r="X276" s="26">
        <f>IFERROR(__xludf.DUMMYFUNCTION("""COMPUTED_VALUE"""),0.0)</f>
        <v>0</v>
      </c>
      <c r="Y276" s="26">
        <f>IFERROR(__xludf.DUMMYFUNCTION("""COMPUTED_VALUE"""),0.0)</f>
        <v>0</v>
      </c>
      <c r="Z276" s="26">
        <f>IFERROR(__xludf.DUMMYFUNCTION("""COMPUTED_VALUE"""),0.0)</f>
        <v>0</v>
      </c>
      <c r="AA276" s="26">
        <f>IFERROR(__xludf.DUMMYFUNCTION("""COMPUTED_VALUE"""),0.0)</f>
        <v>0</v>
      </c>
      <c r="AB276" s="26">
        <f>IFERROR(__xludf.DUMMYFUNCTION("""COMPUTED_VALUE"""),0.0)</f>
        <v>0</v>
      </c>
      <c r="AC276" s="26">
        <f>IFERROR(__xludf.DUMMYFUNCTION("""COMPUTED_VALUE"""),0.0)</f>
        <v>0</v>
      </c>
      <c r="AD276" s="26">
        <f>IFERROR(__xludf.DUMMYFUNCTION("""COMPUTED_VALUE"""),0.0)</f>
        <v>0</v>
      </c>
      <c r="AE276" s="26">
        <f>IFERROR(__xludf.DUMMYFUNCTION("""COMPUTED_VALUE"""),0.0)</f>
        <v>0</v>
      </c>
    </row>
    <row r="277">
      <c r="A277" s="26">
        <f>IFERROR(__xludf.DUMMYFUNCTION("""COMPUTED_VALUE"""),0.0)</f>
        <v>0</v>
      </c>
      <c r="B277" s="26">
        <f>IFERROR(__xludf.DUMMYFUNCTION("""COMPUTED_VALUE"""),0.0)</f>
        <v>0</v>
      </c>
      <c r="C277" s="26">
        <f>IFERROR(__xludf.DUMMYFUNCTION("""COMPUTED_VALUE"""),0.0)</f>
        <v>0</v>
      </c>
      <c r="D277" s="26">
        <f>IFERROR(__xludf.DUMMYFUNCTION("""COMPUTED_VALUE"""),0.0)</f>
        <v>0</v>
      </c>
      <c r="E277" s="26">
        <f>IFERROR(__xludf.DUMMYFUNCTION("""COMPUTED_VALUE"""),0.0)</f>
        <v>0</v>
      </c>
      <c r="F277" s="26">
        <f>IFERROR(__xludf.DUMMYFUNCTION("""COMPUTED_VALUE"""),0.0)</f>
        <v>0</v>
      </c>
      <c r="G277" s="26">
        <f>IFERROR(__xludf.DUMMYFUNCTION("""COMPUTED_VALUE"""),0.0)</f>
        <v>0</v>
      </c>
      <c r="H277" s="26">
        <f>IFERROR(__xludf.DUMMYFUNCTION("""COMPUTED_VALUE"""),0.0)</f>
        <v>0</v>
      </c>
      <c r="I277" s="26">
        <f>IFERROR(__xludf.DUMMYFUNCTION("""COMPUTED_VALUE"""),0.0)</f>
        <v>0</v>
      </c>
      <c r="J277" s="26">
        <f>IFERROR(__xludf.DUMMYFUNCTION("""COMPUTED_VALUE"""),0.0)</f>
        <v>0</v>
      </c>
      <c r="K277" s="26">
        <f>IFERROR(__xludf.DUMMYFUNCTION("""COMPUTED_VALUE"""),0.0)</f>
        <v>0</v>
      </c>
      <c r="L277" s="26"/>
      <c r="M277" s="26"/>
      <c r="N277" s="26"/>
      <c r="O277" s="26"/>
      <c r="P277" s="26"/>
      <c r="Q277" s="26"/>
      <c r="R277" s="26">
        <f>IFERROR(__xludf.DUMMYFUNCTION("""COMPUTED_VALUE"""),0.0)</f>
        <v>0</v>
      </c>
      <c r="S277" s="26">
        <f>IFERROR(__xludf.DUMMYFUNCTION("""COMPUTED_VALUE"""),0.0)</f>
        <v>0</v>
      </c>
      <c r="T277" s="26">
        <f>IFERROR(__xludf.DUMMYFUNCTION("""COMPUTED_VALUE"""),0.0)</f>
        <v>0</v>
      </c>
      <c r="U277" s="26">
        <f>IFERROR(__xludf.DUMMYFUNCTION("""COMPUTED_VALUE"""),0.0)</f>
        <v>0</v>
      </c>
      <c r="V277" s="26">
        <f>IFERROR(__xludf.DUMMYFUNCTION("""COMPUTED_VALUE"""),0.0)</f>
        <v>0</v>
      </c>
      <c r="W277" s="26">
        <f>IFERROR(__xludf.DUMMYFUNCTION("""COMPUTED_VALUE"""),0.0)</f>
        <v>0</v>
      </c>
      <c r="X277" s="26">
        <f>IFERROR(__xludf.DUMMYFUNCTION("""COMPUTED_VALUE"""),0.0)</f>
        <v>0</v>
      </c>
      <c r="Y277" s="26">
        <f>IFERROR(__xludf.DUMMYFUNCTION("""COMPUTED_VALUE"""),0.0)</f>
        <v>0</v>
      </c>
      <c r="Z277" s="26">
        <f>IFERROR(__xludf.DUMMYFUNCTION("""COMPUTED_VALUE"""),0.0)</f>
        <v>0</v>
      </c>
      <c r="AA277" s="26">
        <f>IFERROR(__xludf.DUMMYFUNCTION("""COMPUTED_VALUE"""),0.0)</f>
        <v>0</v>
      </c>
      <c r="AB277" s="26">
        <f>IFERROR(__xludf.DUMMYFUNCTION("""COMPUTED_VALUE"""),0.0)</f>
        <v>0</v>
      </c>
      <c r="AC277" s="26">
        <f>IFERROR(__xludf.DUMMYFUNCTION("""COMPUTED_VALUE"""),0.0)</f>
        <v>0</v>
      </c>
      <c r="AD277" s="26">
        <f>IFERROR(__xludf.DUMMYFUNCTION("""COMPUTED_VALUE"""),0.0)</f>
        <v>0</v>
      </c>
      <c r="AE277" s="26">
        <f>IFERROR(__xludf.DUMMYFUNCTION("""COMPUTED_VALUE"""),0.0)</f>
        <v>0</v>
      </c>
    </row>
    <row r="278">
      <c r="A278" s="26">
        <f>IFERROR(__xludf.DUMMYFUNCTION("""COMPUTED_VALUE"""),0.0)</f>
        <v>0</v>
      </c>
      <c r="B278" s="26">
        <f>IFERROR(__xludf.DUMMYFUNCTION("""COMPUTED_VALUE"""),0.0)</f>
        <v>0</v>
      </c>
      <c r="C278" s="26">
        <f>IFERROR(__xludf.DUMMYFUNCTION("""COMPUTED_VALUE"""),0.0)</f>
        <v>0</v>
      </c>
      <c r="D278" s="26">
        <f>IFERROR(__xludf.DUMMYFUNCTION("""COMPUTED_VALUE"""),0.0)</f>
        <v>0</v>
      </c>
      <c r="E278" s="26">
        <f>IFERROR(__xludf.DUMMYFUNCTION("""COMPUTED_VALUE"""),0.0)</f>
        <v>0</v>
      </c>
      <c r="F278" s="26">
        <f>IFERROR(__xludf.DUMMYFUNCTION("""COMPUTED_VALUE"""),0.0)</f>
        <v>0</v>
      </c>
      <c r="G278" s="26">
        <f>IFERROR(__xludf.DUMMYFUNCTION("""COMPUTED_VALUE"""),0.0)</f>
        <v>0</v>
      </c>
      <c r="H278" s="26">
        <f>IFERROR(__xludf.DUMMYFUNCTION("""COMPUTED_VALUE"""),0.0)</f>
        <v>0</v>
      </c>
      <c r="I278" s="26">
        <f>IFERROR(__xludf.DUMMYFUNCTION("""COMPUTED_VALUE"""),0.0)</f>
        <v>0</v>
      </c>
      <c r="J278" s="26">
        <f>IFERROR(__xludf.DUMMYFUNCTION("""COMPUTED_VALUE"""),0.0)</f>
        <v>0</v>
      </c>
      <c r="K278" s="26">
        <f>IFERROR(__xludf.DUMMYFUNCTION("""COMPUTED_VALUE"""),0.0)</f>
        <v>0</v>
      </c>
      <c r="L278" s="26"/>
      <c r="M278" s="26"/>
      <c r="N278" s="26"/>
      <c r="O278" s="26"/>
      <c r="P278" s="26"/>
      <c r="Q278" s="26"/>
      <c r="R278" s="26">
        <f>IFERROR(__xludf.DUMMYFUNCTION("""COMPUTED_VALUE"""),0.0)</f>
        <v>0</v>
      </c>
      <c r="S278" s="26">
        <f>IFERROR(__xludf.DUMMYFUNCTION("""COMPUTED_VALUE"""),0.0)</f>
        <v>0</v>
      </c>
      <c r="T278" s="26">
        <f>IFERROR(__xludf.DUMMYFUNCTION("""COMPUTED_VALUE"""),0.0)</f>
        <v>0</v>
      </c>
      <c r="U278" s="26">
        <f>IFERROR(__xludf.DUMMYFUNCTION("""COMPUTED_VALUE"""),0.0)</f>
        <v>0</v>
      </c>
      <c r="V278" s="26">
        <f>IFERROR(__xludf.DUMMYFUNCTION("""COMPUTED_VALUE"""),0.0)</f>
        <v>0</v>
      </c>
      <c r="W278" s="26">
        <f>IFERROR(__xludf.DUMMYFUNCTION("""COMPUTED_VALUE"""),0.0)</f>
        <v>0</v>
      </c>
      <c r="X278" s="26">
        <f>IFERROR(__xludf.DUMMYFUNCTION("""COMPUTED_VALUE"""),0.0)</f>
        <v>0</v>
      </c>
      <c r="Y278" s="26">
        <f>IFERROR(__xludf.DUMMYFUNCTION("""COMPUTED_VALUE"""),0.0)</f>
        <v>0</v>
      </c>
      <c r="Z278" s="26">
        <f>IFERROR(__xludf.DUMMYFUNCTION("""COMPUTED_VALUE"""),0.0)</f>
        <v>0</v>
      </c>
      <c r="AA278" s="26">
        <f>IFERROR(__xludf.DUMMYFUNCTION("""COMPUTED_VALUE"""),0.0)</f>
        <v>0</v>
      </c>
      <c r="AB278" s="26">
        <f>IFERROR(__xludf.DUMMYFUNCTION("""COMPUTED_VALUE"""),0.0)</f>
        <v>0</v>
      </c>
      <c r="AC278" s="26">
        <f>IFERROR(__xludf.DUMMYFUNCTION("""COMPUTED_VALUE"""),0.0)</f>
        <v>0</v>
      </c>
      <c r="AD278" s="26">
        <f>IFERROR(__xludf.DUMMYFUNCTION("""COMPUTED_VALUE"""),0.0)</f>
        <v>0</v>
      </c>
      <c r="AE278" s="26">
        <f>IFERROR(__xludf.DUMMYFUNCTION("""COMPUTED_VALUE"""),0.0)</f>
        <v>0</v>
      </c>
    </row>
    <row r="279">
      <c r="A279" s="26">
        <f>IFERROR(__xludf.DUMMYFUNCTION("""COMPUTED_VALUE"""),556.0)</f>
        <v>556</v>
      </c>
      <c r="B279" s="26">
        <f>IFERROR(__xludf.DUMMYFUNCTION("""COMPUTED_VALUE"""),0.0)</f>
        <v>0</v>
      </c>
      <c r="C279" s="26">
        <f>IFERROR(__xludf.DUMMYFUNCTION("""COMPUTED_VALUE"""),0.0)</f>
        <v>0</v>
      </c>
      <c r="D279" s="26">
        <f>IFERROR(__xludf.DUMMYFUNCTION("""COMPUTED_VALUE"""),0.0)</f>
        <v>0</v>
      </c>
      <c r="E279" s="26">
        <f>IFERROR(__xludf.DUMMYFUNCTION("""COMPUTED_VALUE"""),0.0)</f>
        <v>0</v>
      </c>
      <c r="F279" s="26">
        <f>IFERROR(__xludf.DUMMYFUNCTION("""COMPUTED_VALUE"""),0.0)</f>
        <v>0</v>
      </c>
      <c r="G279" s="26">
        <f>IFERROR(__xludf.DUMMYFUNCTION("""COMPUTED_VALUE"""),0.0)</f>
        <v>0</v>
      </c>
      <c r="H279" s="26">
        <f>IFERROR(__xludf.DUMMYFUNCTION("""COMPUTED_VALUE"""),0.0)</f>
        <v>0</v>
      </c>
      <c r="I279" s="26">
        <f>IFERROR(__xludf.DUMMYFUNCTION("""COMPUTED_VALUE"""),0.0)</f>
        <v>0</v>
      </c>
      <c r="J279" s="26">
        <f>IFERROR(__xludf.DUMMYFUNCTION("""COMPUTED_VALUE"""),0.0)</f>
        <v>0</v>
      </c>
      <c r="K279" s="26">
        <f>IFERROR(__xludf.DUMMYFUNCTION("""COMPUTED_VALUE"""),0.0)</f>
        <v>0</v>
      </c>
      <c r="L279" s="26"/>
      <c r="M279" s="26"/>
      <c r="N279" s="26"/>
      <c r="O279" s="26"/>
      <c r="P279" s="26"/>
      <c r="Q279" s="26"/>
      <c r="R279" s="26">
        <f>IFERROR(__xludf.DUMMYFUNCTION("""COMPUTED_VALUE"""),245752.0)</f>
        <v>245752</v>
      </c>
      <c r="S279" s="26">
        <f>IFERROR(__xludf.DUMMYFUNCTION("""COMPUTED_VALUE"""),98732.0)</f>
        <v>98732</v>
      </c>
      <c r="T279" s="26">
        <f>IFERROR(__xludf.DUMMYFUNCTION("""COMPUTED_VALUE"""),0.0)</f>
        <v>0</v>
      </c>
      <c r="U279" s="26">
        <f>IFERROR(__xludf.DUMMYFUNCTION("""COMPUTED_VALUE"""),0.0)</f>
        <v>0</v>
      </c>
      <c r="V279" s="26">
        <f>IFERROR(__xludf.DUMMYFUNCTION("""COMPUTED_VALUE"""),37485.520000000026)</f>
        <v>37485.52</v>
      </c>
      <c r="W279" s="26">
        <f>IFERROR(__xludf.DUMMYFUNCTION("""COMPUTED_VALUE"""),0.0)</f>
        <v>0</v>
      </c>
      <c r="X279" s="26">
        <f>IFERROR(__xludf.DUMMYFUNCTION("""COMPUTED_VALUE"""),0.0)</f>
        <v>0</v>
      </c>
      <c r="Y279" s="26">
        <f>IFERROR(__xludf.DUMMYFUNCTION("""COMPUTED_VALUE"""),0.0)</f>
        <v>0</v>
      </c>
      <c r="Z279" s="26">
        <f>IFERROR(__xludf.DUMMYFUNCTION("""COMPUTED_VALUE"""),0.0)</f>
        <v>0</v>
      </c>
      <c r="AA279" s="26">
        <f>IFERROR(__xludf.DUMMYFUNCTION("""COMPUTED_VALUE"""),0.0)</f>
        <v>0</v>
      </c>
      <c r="AB279" s="26">
        <f>IFERROR(__xludf.DUMMYFUNCTION("""COMPUTED_VALUE"""),0.0)</f>
        <v>0</v>
      </c>
      <c r="AC279" s="26">
        <f>IFERROR(__xludf.DUMMYFUNCTION("""COMPUTED_VALUE"""),0.0)</f>
        <v>0</v>
      </c>
      <c r="AD279" s="26">
        <f>IFERROR(__xludf.DUMMYFUNCTION("""COMPUTED_VALUE"""),0.0)</f>
        <v>0</v>
      </c>
      <c r="AE279" s="26">
        <f>IFERROR(__xludf.DUMMYFUNCTION("""COMPUTED_VALUE"""),0.0)</f>
        <v>0</v>
      </c>
    </row>
    <row r="280">
      <c r="A280" s="26">
        <f>IFERROR(__xludf.DUMMYFUNCTION("""COMPUTED_VALUE"""),563.0)</f>
        <v>563</v>
      </c>
      <c r="B280" s="26">
        <f>IFERROR(__xludf.DUMMYFUNCTION("""COMPUTED_VALUE"""),0.0)</f>
        <v>0</v>
      </c>
      <c r="C280" s="26">
        <f>IFERROR(__xludf.DUMMYFUNCTION("""COMPUTED_VALUE"""),0.0)</f>
        <v>0</v>
      </c>
      <c r="D280" s="26">
        <f>IFERROR(__xludf.DUMMYFUNCTION("""COMPUTED_VALUE"""),0.0)</f>
        <v>0</v>
      </c>
      <c r="E280" s="26">
        <f>IFERROR(__xludf.DUMMYFUNCTION("""COMPUTED_VALUE"""),0.0)</f>
        <v>0</v>
      </c>
      <c r="F280" s="26">
        <f>IFERROR(__xludf.DUMMYFUNCTION("""COMPUTED_VALUE"""),0.0)</f>
        <v>0</v>
      </c>
      <c r="G280" s="26">
        <f>IFERROR(__xludf.DUMMYFUNCTION("""COMPUTED_VALUE"""),0.0)</f>
        <v>0</v>
      </c>
      <c r="H280" s="26">
        <f>IFERROR(__xludf.DUMMYFUNCTION("""COMPUTED_VALUE"""),0.0)</f>
        <v>0</v>
      </c>
      <c r="I280" s="26">
        <f>IFERROR(__xludf.DUMMYFUNCTION("""COMPUTED_VALUE"""),0.0)</f>
        <v>0</v>
      </c>
      <c r="J280" s="26">
        <f>IFERROR(__xludf.DUMMYFUNCTION("""COMPUTED_VALUE"""),0.0)</f>
        <v>0</v>
      </c>
      <c r="K280" s="26">
        <f>IFERROR(__xludf.DUMMYFUNCTION("""COMPUTED_VALUE"""),0.0)</f>
        <v>0</v>
      </c>
      <c r="L280" s="26"/>
      <c r="M280" s="26"/>
      <c r="N280" s="26"/>
      <c r="O280" s="26"/>
      <c r="P280" s="26"/>
      <c r="Q280" s="26"/>
      <c r="R280" s="26">
        <f>IFERROR(__xludf.DUMMYFUNCTION("""COMPUTED_VALUE"""),248846.0)</f>
        <v>248846</v>
      </c>
      <c r="S280" s="26">
        <f>IFERROR(__xludf.DUMMYFUNCTION("""COMPUTED_VALUE"""),97589.0)</f>
        <v>97589</v>
      </c>
      <c r="T280" s="26">
        <f>IFERROR(__xludf.DUMMYFUNCTION("""COMPUTED_VALUE"""),0.0)</f>
        <v>0</v>
      </c>
      <c r="U280" s="26">
        <f>IFERROR(__xludf.DUMMYFUNCTION("""COMPUTED_VALUE"""),0.0)</f>
        <v>0</v>
      </c>
      <c r="V280" s="26">
        <f>IFERROR(__xludf.DUMMYFUNCTION("""COMPUTED_VALUE"""),37957.46000000002)</f>
        <v>37957.46</v>
      </c>
      <c r="W280" s="26">
        <f>IFERROR(__xludf.DUMMYFUNCTION("""COMPUTED_VALUE"""),0.0)</f>
        <v>0</v>
      </c>
      <c r="X280" s="26">
        <f>IFERROR(__xludf.DUMMYFUNCTION("""COMPUTED_VALUE"""),0.0)</f>
        <v>0</v>
      </c>
      <c r="Y280" s="26">
        <f>IFERROR(__xludf.DUMMYFUNCTION("""COMPUTED_VALUE"""),0.0)</f>
        <v>0</v>
      </c>
      <c r="Z280" s="26">
        <f>IFERROR(__xludf.DUMMYFUNCTION("""COMPUTED_VALUE"""),0.0)</f>
        <v>0</v>
      </c>
      <c r="AA280" s="26">
        <f>IFERROR(__xludf.DUMMYFUNCTION("""COMPUTED_VALUE"""),0.0)</f>
        <v>0</v>
      </c>
      <c r="AB280" s="26">
        <f>IFERROR(__xludf.DUMMYFUNCTION("""COMPUTED_VALUE"""),0.0)</f>
        <v>0</v>
      </c>
      <c r="AC280" s="26">
        <f>IFERROR(__xludf.DUMMYFUNCTION("""COMPUTED_VALUE"""),0.0)</f>
        <v>0</v>
      </c>
      <c r="AD280" s="26">
        <f>IFERROR(__xludf.DUMMYFUNCTION("""COMPUTED_VALUE"""),0.0)</f>
        <v>0</v>
      </c>
      <c r="AE280" s="26">
        <f>IFERROR(__xludf.DUMMYFUNCTION("""COMPUTED_VALUE"""),0.0)</f>
        <v>0</v>
      </c>
    </row>
    <row r="281">
      <c r="A281" s="26">
        <f>IFERROR(__xludf.DUMMYFUNCTION("""COMPUTED_VALUE"""),193.0)</f>
        <v>193</v>
      </c>
      <c r="B281" s="26">
        <f>IFERROR(__xludf.DUMMYFUNCTION("""COMPUTED_VALUE"""),0.0)</f>
        <v>0</v>
      </c>
      <c r="C281" s="26">
        <f>IFERROR(__xludf.DUMMYFUNCTION("""COMPUTED_VALUE"""),0.0)</f>
        <v>0</v>
      </c>
      <c r="D281" s="26">
        <f>IFERROR(__xludf.DUMMYFUNCTION("""COMPUTED_VALUE"""),0.0)</f>
        <v>0</v>
      </c>
      <c r="E281" s="26">
        <f>IFERROR(__xludf.DUMMYFUNCTION("""COMPUTED_VALUE"""),0.0)</f>
        <v>0</v>
      </c>
      <c r="F281" s="26">
        <f>IFERROR(__xludf.DUMMYFUNCTION("""COMPUTED_VALUE"""),0.0)</f>
        <v>0</v>
      </c>
      <c r="G281" s="26">
        <f>IFERROR(__xludf.DUMMYFUNCTION("""COMPUTED_VALUE"""),0.0)</f>
        <v>0</v>
      </c>
      <c r="H281" s="26">
        <f>IFERROR(__xludf.DUMMYFUNCTION("""COMPUTED_VALUE"""),0.0)</f>
        <v>0</v>
      </c>
      <c r="I281" s="26">
        <f>IFERROR(__xludf.DUMMYFUNCTION("""COMPUTED_VALUE"""),0.0)</f>
        <v>0</v>
      </c>
      <c r="J281" s="26">
        <f>IFERROR(__xludf.DUMMYFUNCTION("""COMPUTED_VALUE"""),0.0)</f>
        <v>0</v>
      </c>
      <c r="K281" s="26">
        <f>IFERROR(__xludf.DUMMYFUNCTION("""COMPUTED_VALUE"""),0.0)</f>
        <v>0</v>
      </c>
      <c r="L281" s="26"/>
      <c r="M281" s="26"/>
      <c r="N281" s="26"/>
      <c r="O281" s="26"/>
      <c r="P281" s="26"/>
      <c r="Q281" s="26"/>
      <c r="R281" s="26">
        <f>IFERROR(__xludf.DUMMYFUNCTION("""COMPUTED_VALUE"""),85306.0)</f>
        <v>85306</v>
      </c>
      <c r="S281" s="26">
        <f>IFERROR(__xludf.DUMMYFUNCTION("""COMPUTED_VALUE"""),33109.0)</f>
        <v>33109</v>
      </c>
      <c r="T281" s="26">
        <f>IFERROR(__xludf.DUMMYFUNCTION("""COMPUTED_VALUE"""),0.0)</f>
        <v>0</v>
      </c>
      <c r="U281" s="26">
        <f>IFERROR(__xludf.DUMMYFUNCTION("""COMPUTED_VALUE"""),0.0)</f>
        <v>0</v>
      </c>
      <c r="V281" s="26">
        <f>IFERROR(__xludf.DUMMYFUNCTION("""COMPUTED_VALUE"""),13012.060000000007)</f>
        <v>13012.06</v>
      </c>
      <c r="W281" s="26">
        <f>IFERROR(__xludf.DUMMYFUNCTION("""COMPUTED_VALUE"""),0.0)</f>
        <v>0</v>
      </c>
      <c r="X281" s="26">
        <f>IFERROR(__xludf.DUMMYFUNCTION("""COMPUTED_VALUE"""),0.0)</f>
        <v>0</v>
      </c>
      <c r="Y281" s="26">
        <f>IFERROR(__xludf.DUMMYFUNCTION("""COMPUTED_VALUE"""),0.0)</f>
        <v>0</v>
      </c>
      <c r="Z281" s="26">
        <f>IFERROR(__xludf.DUMMYFUNCTION("""COMPUTED_VALUE"""),0.0)</f>
        <v>0</v>
      </c>
      <c r="AA281" s="26">
        <f>IFERROR(__xludf.DUMMYFUNCTION("""COMPUTED_VALUE"""),0.0)</f>
        <v>0</v>
      </c>
      <c r="AB281" s="26">
        <f>IFERROR(__xludf.DUMMYFUNCTION("""COMPUTED_VALUE"""),0.0)</f>
        <v>0</v>
      </c>
      <c r="AC281" s="26">
        <f>IFERROR(__xludf.DUMMYFUNCTION("""COMPUTED_VALUE"""),0.0)</f>
        <v>0</v>
      </c>
      <c r="AD281" s="26">
        <f>IFERROR(__xludf.DUMMYFUNCTION("""COMPUTED_VALUE"""),0.0)</f>
        <v>0</v>
      </c>
      <c r="AE281" s="26">
        <f>IFERROR(__xludf.DUMMYFUNCTION("""COMPUTED_VALUE"""),0.0)</f>
        <v>0</v>
      </c>
    </row>
    <row r="282">
      <c r="A282" s="26">
        <f>IFERROR(__xludf.DUMMYFUNCTION("""COMPUTED_VALUE"""),339.0)</f>
        <v>339</v>
      </c>
      <c r="B282" s="26">
        <f>IFERROR(__xludf.DUMMYFUNCTION("""COMPUTED_VALUE"""),0.0)</f>
        <v>0</v>
      </c>
      <c r="C282" s="26">
        <f>IFERROR(__xludf.DUMMYFUNCTION("""COMPUTED_VALUE"""),0.0)</f>
        <v>0</v>
      </c>
      <c r="D282" s="26">
        <f>IFERROR(__xludf.DUMMYFUNCTION("""COMPUTED_VALUE"""),0.0)</f>
        <v>0</v>
      </c>
      <c r="E282" s="26">
        <f>IFERROR(__xludf.DUMMYFUNCTION("""COMPUTED_VALUE"""),0.0)</f>
        <v>0</v>
      </c>
      <c r="F282" s="26">
        <f>IFERROR(__xludf.DUMMYFUNCTION("""COMPUTED_VALUE"""),0.0)</f>
        <v>0</v>
      </c>
      <c r="G282" s="26">
        <f>IFERROR(__xludf.DUMMYFUNCTION("""COMPUTED_VALUE"""),0.0)</f>
        <v>0</v>
      </c>
      <c r="H282" s="26">
        <f>IFERROR(__xludf.DUMMYFUNCTION("""COMPUTED_VALUE"""),0.0)</f>
        <v>0</v>
      </c>
      <c r="I282" s="26">
        <f>IFERROR(__xludf.DUMMYFUNCTION("""COMPUTED_VALUE"""),0.0)</f>
        <v>0</v>
      </c>
      <c r="J282" s="26">
        <f>IFERROR(__xludf.DUMMYFUNCTION("""COMPUTED_VALUE"""),0.0)</f>
        <v>0</v>
      </c>
      <c r="K282" s="26">
        <f>IFERROR(__xludf.DUMMYFUNCTION("""COMPUTED_VALUE"""),0.0)</f>
        <v>0</v>
      </c>
      <c r="L282" s="26"/>
      <c r="M282" s="26"/>
      <c r="N282" s="26"/>
      <c r="O282" s="26"/>
      <c r="P282" s="26"/>
      <c r="Q282" s="26"/>
      <c r="R282" s="26">
        <f>IFERROR(__xludf.DUMMYFUNCTION("""COMPUTED_VALUE"""),149838.0)</f>
        <v>149838</v>
      </c>
      <c r="S282" s="26">
        <f>IFERROR(__xludf.DUMMYFUNCTION("""COMPUTED_VALUE"""),60251.0)</f>
        <v>60251</v>
      </c>
      <c r="T282" s="26">
        <f>IFERROR(__xludf.DUMMYFUNCTION("""COMPUTED_VALUE"""),0.0)</f>
        <v>0</v>
      </c>
      <c r="U282" s="26">
        <f>IFERROR(__xludf.DUMMYFUNCTION("""COMPUTED_VALUE"""),0.0)</f>
        <v>0</v>
      </c>
      <c r="V282" s="26">
        <f>IFERROR(__xludf.DUMMYFUNCTION("""COMPUTED_VALUE"""),22855.380000000012)</f>
        <v>22855.38</v>
      </c>
      <c r="W282" s="26">
        <f>IFERROR(__xludf.DUMMYFUNCTION("""COMPUTED_VALUE"""),0.0)</f>
        <v>0</v>
      </c>
      <c r="X282" s="26">
        <f>IFERROR(__xludf.DUMMYFUNCTION("""COMPUTED_VALUE"""),0.0)</f>
        <v>0</v>
      </c>
      <c r="Y282" s="26">
        <f>IFERROR(__xludf.DUMMYFUNCTION("""COMPUTED_VALUE"""),0.0)</f>
        <v>0</v>
      </c>
      <c r="Z282" s="26">
        <f>IFERROR(__xludf.DUMMYFUNCTION("""COMPUTED_VALUE"""),0.0)</f>
        <v>0</v>
      </c>
      <c r="AA282" s="26">
        <f>IFERROR(__xludf.DUMMYFUNCTION("""COMPUTED_VALUE"""),0.0)</f>
        <v>0</v>
      </c>
      <c r="AB282" s="26">
        <f>IFERROR(__xludf.DUMMYFUNCTION("""COMPUTED_VALUE"""),0.0)</f>
        <v>0</v>
      </c>
      <c r="AC282" s="26">
        <f>IFERROR(__xludf.DUMMYFUNCTION("""COMPUTED_VALUE"""),0.0)</f>
        <v>0</v>
      </c>
      <c r="AD282" s="26">
        <f>IFERROR(__xludf.DUMMYFUNCTION("""COMPUTED_VALUE"""),0.0)</f>
        <v>0</v>
      </c>
      <c r="AE282" s="26">
        <f>IFERROR(__xludf.DUMMYFUNCTION("""COMPUTED_VALUE"""),0.0)</f>
        <v>0</v>
      </c>
    </row>
    <row r="283">
      <c r="A283" s="26">
        <f>IFERROR(__xludf.DUMMYFUNCTION("""COMPUTED_VALUE"""),112.0)</f>
        <v>112</v>
      </c>
      <c r="B283" s="26">
        <f>IFERROR(__xludf.DUMMYFUNCTION("""COMPUTED_VALUE"""),0.0)</f>
        <v>0</v>
      </c>
      <c r="C283" s="26">
        <f>IFERROR(__xludf.DUMMYFUNCTION("""COMPUTED_VALUE"""),0.0)</f>
        <v>0</v>
      </c>
      <c r="D283" s="26">
        <f>IFERROR(__xludf.DUMMYFUNCTION("""COMPUTED_VALUE"""),0.0)</f>
        <v>0</v>
      </c>
      <c r="E283" s="26">
        <f>IFERROR(__xludf.DUMMYFUNCTION("""COMPUTED_VALUE"""),0.0)</f>
        <v>0</v>
      </c>
      <c r="F283" s="26">
        <f>IFERROR(__xludf.DUMMYFUNCTION("""COMPUTED_VALUE"""),0.0)</f>
        <v>0</v>
      </c>
      <c r="G283" s="26">
        <f>IFERROR(__xludf.DUMMYFUNCTION("""COMPUTED_VALUE"""),0.0)</f>
        <v>0</v>
      </c>
      <c r="H283" s="26">
        <f>IFERROR(__xludf.DUMMYFUNCTION("""COMPUTED_VALUE"""),0.0)</f>
        <v>0</v>
      </c>
      <c r="I283" s="26">
        <f>IFERROR(__xludf.DUMMYFUNCTION("""COMPUTED_VALUE"""),0.0)</f>
        <v>0</v>
      </c>
      <c r="J283" s="26">
        <f>IFERROR(__xludf.DUMMYFUNCTION("""COMPUTED_VALUE"""),0.0)</f>
        <v>0</v>
      </c>
      <c r="K283" s="26">
        <f>IFERROR(__xludf.DUMMYFUNCTION("""COMPUTED_VALUE"""),0.0)</f>
        <v>0</v>
      </c>
      <c r="L283" s="26"/>
      <c r="M283" s="26"/>
      <c r="N283" s="26"/>
      <c r="O283" s="26"/>
      <c r="P283" s="26"/>
      <c r="Q283" s="26"/>
      <c r="R283" s="26">
        <f>IFERROR(__xludf.DUMMYFUNCTION("""COMPUTED_VALUE"""),49504.0)</f>
        <v>49504</v>
      </c>
      <c r="S283" s="26">
        <f>IFERROR(__xludf.DUMMYFUNCTION("""COMPUTED_VALUE"""),19859.0)</f>
        <v>19859</v>
      </c>
      <c r="T283" s="26">
        <f>IFERROR(__xludf.DUMMYFUNCTION("""COMPUTED_VALUE"""),0.0)</f>
        <v>0</v>
      </c>
      <c r="U283" s="26">
        <f>IFERROR(__xludf.DUMMYFUNCTION("""COMPUTED_VALUE"""),0.0)</f>
        <v>0</v>
      </c>
      <c r="V283" s="26">
        <f>IFERROR(__xludf.DUMMYFUNCTION("""COMPUTED_VALUE"""),7551.040000000002)</f>
        <v>7551.04</v>
      </c>
      <c r="W283" s="26">
        <f>IFERROR(__xludf.DUMMYFUNCTION("""COMPUTED_VALUE"""),0.0)</f>
        <v>0</v>
      </c>
      <c r="X283" s="26">
        <f>IFERROR(__xludf.DUMMYFUNCTION("""COMPUTED_VALUE"""),0.0)</f>
        <v>0</v>
      </c>
      <c r="Y283" s="26">
        <f>IFERROR(__xludf.DUMMYFUNCTION("""COMPUTED_VALUE"""),0.0)</f>
        <v>0</v>
      </c>
      <c r="Z283" s="26">
        <f>IFERROR(__xludf.DUMMYFUNCTION("""COMPUTED_VALUE"""),0.0)</f>
        <v>0</v>
      </c>
      <c r="AA283" s="26">
        <f>IFERROR(__xludf.DUMMYFUNCTION("""COMPUTED_VALUE"""),0.0)</f>
        <v>0</v>
      </c>
      <c r="AB283" s="26">
        <f>IFERROR(__xludf.DUMMYFUNCTION("""COMPUTED_VALUE"""),0.0)</f>
        <v>0</v>
      </c>
      <c r="AC283" s="26">
        <f>IFERROR(__xludf.DUMMYFUNCTION("""COMPUTED_VALUE"""),0.0)</f>
        <v>0</v>
      </c>
      <c r="AD283" s="26">
        <f>IFERROR(__xludf.DUMMYFUNCTION("""COMPUTED_VALUE"""),0.0)</f>
        <v>0</v>
      </c>
      <c r="AE283" s="26">
        <f>IFERROR(__xludf.DUMMYFUNCTION("""COMPUTED_VALUE"""),0.0)</f>
        <v>0</v>
      </c>
    </row>
    <row r="284">
      <c r="A284" s="26">
        <f>IFERROR(__xludf.DUMMYFUNCTION("""COMPUTED_VALUE"""),224.0)</f>
        <v>224</v>
      </c>
      <c r="B284" s="26">
        <f>IFERROR(__xludf.DUMMYFUNCTION("""COMPUTED_VALUE"""),0.0)</f>
        <v>0</v>
      </c>
      <c r="C284" s="26">
        <f>IFERROR(__xludf.DUMMYFUNCTION("""COMPUTED_VALUE"""),0.0)</f>
        <v>0</v>
      </c>
      <c r="D284" s="26">
        <f>IFERROR(__xludf.DUMMYFUNCTION("""COMPUTED_VALUE"""),0.0)</f>
        <v>0</v>
      </c>
      <c r="E284" s="26">
        <f>IFERROR(__xludf.DUMMYFUNCTION("""COMPUTED_VALUE"""),0.0)</f>
        <v>0</v>
      </c>
      <c r="F284" s="26">
        <f>IFERROR(__xludf.DUMMYFUNCTION("""COMPUTED_VALUE"""),0.0)</f>
        <v>0</v>
      </c>
      <c r="G284" s="26">
        <f>IFERROR(__xludf.DUMMYFUNCTION("""COMPUTED_VALUE"""),0.0)</f>
        <v>0</v>
      </c>
      <c r="H284" s="26">
        <f>IFERROR(__xludf.DUMMYFUNCTION("""COMPUTED_VALUE"""),0.0)</f>
        <v>0</v>
      </c>
      <c r="I284" s="26">
        <f>IFERROR(__xludf.DUMMYFUNCTION("""COMPUTED_VALUE"""),0.0)</f>
        <v>0</v>
      </c>
      <c r="J284" s="26">
        <f>IFERROR(__xludf.DUMMYFUNCTION("""COMPUTED_VALUE"""),0.0)</f>
        <v>0</v>
      </c>
      <c r="K284" s="26">
        <f>IFERROR(__xludf.DUMMYFUNCTION("""COMPUTED_VALUE"""),0.0)</f>
        <v>0</v>
      </c>
      <c r="L284" s="26"/>
      <c r="M284" s="26"/>
      <c r="N284" s="26"/>
      <c r="O284" s="26"/>
      <c r="P284" s="26"/>
      <c r="Q284" s="26"/>
      <c r="R284" s="26">
        <f>IFERROR(__xludf.DUMMYFUNCTION("""COMPUTED_VALUE"""),99008.0)</f>
        <v>99008</v>
      </c>
      <c r="S284" s="26">
        <f>IFERROR(__xludf.DUMMYFUNCTION("""COMPUTED_VALUE"""),39773.0)</f>
        <v>39773</v>
      </c>
      <c r="T284" s="26">
        <f>IFERROR(__xludf.DUMMYFUNCTION("""COMPUTED_VALUE"""),0.0)</f>
        <v>0</v>
      </c>
      <c r="U284" s="26">
        <f>IFERROR(__xludf.DUMMYFUNCTION("""COMPUTED_VALUE"""),0.0)</f>
        <v>0</v>
      </c>
      <c r="V284" s="26">
        <f>IFERROR(__xludf.DUMMYFUNCTION("""COMPUTED_VALUE"""),15102.080000000007)</f>
        <v>15102.08</v>
      </c>
      <c r="W284" s="26">
        <f>IFERROR(__xludf.DUMMYFUNCTION("""COMPUTED_VALUE"""),0.0)</f>
        <v>0</v>
      </c>
      <c r="X284" s="26">
        <f>IFERROR(__xludf.DUMMYFUNCTION("""COMPUTED_VALUE"""),0.0)</f>
        <v>0</v>
      </c>
      <c r="Y284" s="26">
        <f>IFERROR(__xludf.DUMMYFUNCTION("""COMPUTED_VALUE"""),0.0)</f>
        <v>0</v>
      </c>
      <c r="Z284" s="26">
        <f>IFERROR(__xludf.DUMMYFUNCTION("""COMPUTED_VALUE"""),0.0)</f>
        <v>0</v>
      </c>
      <c r="AA284" s="26">
        <f>IFERROR(__xludf.DUMMYFUNCTION("""COMPUTED_VALUE"""),0.0)</f>
        <v>0</v>
      </c>
      <c r="AB284" s="26">
        <f>IFERROR(__xludf.DUMMYFUNCTION("""COMPUTED_VALUE"""),0.0)</f>
        <v>0</v>
      </c>
      <c r="AC284" s="26">
        <f>IFERROR(__xludf.DUMMYFUNCTION("""COMPUTED_VALUE"""),0.0)</f>
        <v>0</v>
      </c>
      <c r="AD284" s="26">
        <f>IFERROR(__xludf.DUMMYFUNCTION("""COMPUTED_VALUE"""),0.0)</f>
        <v>0</v>
      </c>
      <c r="AE284" s="26">
        <f>IFERROR(__xludf.DUMMYFUNCTION("""COMPUTED_VALUE"""),0.0)</f>
        <v>0</v>
      </c>
    </row>
    <row r="285">
      <c r="A285" s="26">
        <f>IFERROR(__xludf.DUMMYFUNCTION("""COMPUTED_VALUE"""),71.0)</f>
        <v>71</v>
      </c>
      <c r="B285" s="26">
        <f>IFERROR(__xludf.DUMMYFUNCTION("""COMPUTED_VALUE"""),0.0)</f>
        <v>0</v>
      </c>
      <c r="C285" s="26">
        <f>IFERROR(__xludf.DUMMYFUNCTION("""COMPUTED_VALUE"""),0.0)</f>
        <v>0</v>
      </c>
      <c r="D285" s="26">
        <f>IFERROR(__xludf.DUMMYFUNCTION("""COMPUTED_VALUE"""),0.0)</f>
        <v>0</v>
      </c>
      <c r="E285" s="26">
        <f>IFERROR(__xludf.DUMMYFUNCTION("""COMPUTED_VALUE"""),0.0)</f>
        <v>0</v>
      </c>
      <c r="F285" s="26">
        <f>IFERROR(__xludf.DUMMYFUNCTION("""COMPUTED_VALUE"""),0.0)</f>
        <v>0</v>
      </c>
      <c r="G285" s="26">
        <f>IFERROR(__xludf.DUMMYFUNCTION("""COMPUTED_VALUE"""),0.0)</f>
        <v>0</v>
      </c>
      <c r="H285" s="26">
        <f>IFERROR(__xludf.DUMMYFUNCTION("""COMPUTED_VALUE"""),0.0)</f>
        <v>0</v>
      </c>
      <c r="I285" s="26">
        <f>IFERROR(__xludf.DUMMYFUNCTION("""COMPUTED_VALUE"""),0.0)</f>
        <v>0</v>
      </c>
      <c r="J285" s="26">
        <f>IFERROR(__xludf.DUMMYFUNCTION("""COMPUTED_VALUE"""),0.0)</f>
        <v>0</v>
      </c>
      <c r="K285" s="26">
        <f>IFERROR(__xludf.DUMMYFUNCTION("""COMPUTED_VALUE"""),0.0)</f>
        <v>0</v>
      </c>
      <c r="L285" s="26"/>
      <c r="M285" s="26"/>
      <c r="N285" s="26"/>
      <c r="O285" s="26"/>
      <c r="P285" s="26"/>
      <c r="Q285" s="26"/>
      <c r="R285" s="26">
        <f>IFERROR(__xludf.DUMMYFUNCTION("""COMPUTED_VALUE"""),31382.0)</f>
        <v>31382</v>
      </c>
      <c r="S285" s="26">
        <f>IFERROR(__xludf.DUMMYFUNCTION("""COMPUTED_VALUE"""),12105.0)</f>
        <v>12105</v>
      </c>
      <c r="T285" s="26">
        <f>IFERROR(__xludf.DUMMYFUNCTION("""COMPUTED_VALUE"""),0.0)</f>
        <v>0</v>
      </c>
      <c r="U285" s="26">
        <f>IFERROR(__xludf.DUMMYFUNCTION("""COMPUTED_VALUE"""),0.0)</f>
        <v>0</v>
      </c>
      <c r="V285" s="26">
        <f>IFERROR(__xludf.DUMMYFUNCTION("""COMPUTED_VALUE"""),4786.820000000003)</f>
        <v>4786.82</v>
      </c>
      <c r="W285" s="26">
        <f>IFERROR(__xludf.DUMMYFUNCTION("""COMPUTED_VALUE"""),0.0)</f>
        <v>0</v>
      </c>
      <c r="X285" s="26">
        <f>IFERROR(__xludf.DUMMYFUNCTION("""COMPUTED_VALUE"""),0.0)</f>
        <v>0</v>
      </c>
      <c r="Y285" s="26">
        <f>IFERROR(__xludf.DUMMYFUNCTION("""COMPUTED_VALUE"""),0.0)</f>
        <v>0</v>
      </c>
      <c r="Z285" s="26">
        <f>IFERROR(__xludf.DUMMYFUNCTION("""COMPUTED_VALUE"""),0.0)</f>
        <v>0</v>
      </c>
      <c r="AA285" s="26">
        <f>IFERROR(__xludf.DUMMYFUNCTION("""COMPUTED_VALUE"""),0.0)</f>
        <v>0</v>
      </c>
      <c r="AB285" s="26">
        <f>IFERROR(__xludf.DUMMYFUNCTION("""COMPUTED_VALUE"""),0.0)</f>
        <v>0</v>
      </c>
      <c r="AC285" s="26">
        <f>IFERROR(__xludf.DUMMYFUNCTION("""COMPUTED_VALUE"""),0.0)</f>
        <v>0</v>
      </c>
      <c r="AD285" s="26">
        <f>IFERROR(__xludf.DUMMYFUNCTION("""COMPUTED_VALUE"""),0.0)</f>
        <v>0</v>
      </c>
      <c r="AE285" s="26">
        <f>IFERROR(__xludf.DUMMYFUNCTION("""COMPUTED_VALUE"""),0.0)</f>
        <v>0</v>
      </c>
    </row>
    <row r="286">
      <c r="A286" s="26">
        <f>IFERROR(__xludf.DUMMYFUNCTION("""COMPUTED_VALUE"""),103.0)</f>
        <v>103</v>
      </c>
      <c r="B286" s="26">
        <f>IFERROR(__xludf.DUMMYFUNCTION("""COMPUTED_VALUE"""),0.0)</f>
        <v>0</v>
      </c>
      <c r="C286" s="26">
        <f>IFERROR(__xludf.DUMMYFUNCTION("""COMPUTED_VALUE"""),0.0)</f>
        <v>0</v>
      </c>
      <c r="D286" s="26">
        <f>IFERROR(__xludf.DUMMYFUNCTION("""COMPUTED_VALUE"""),0.0)</f>
        <v>0</v>
      </c>
      <c r="E286" s="26">
        <f>IFERROR(__xludf.DUMMYFUNCTION("""COMPUTED_VALUE"""),0.0)</f>
        <v>0</v>
      </c>
      <c r="F286" s="26">
        <f>IFERROR(__xludf.DUMMYFUNCTION("""COMPUTED_VALUE"""),0.0)</f>
        <v>0</v>
      </c>
      <c r="G286" s="26">
        <f>IFERROR(__xludf.DUMMYFUNCTION("""COMPUTED_VALUE"""),0.0)</f>
        <v>0</v>
      </c>
      <c r="H286" s="26">
        <f>IFERROR(__xludf.DUMMYFUNCTION("""COMPUTED_VALUE"""),0.0)</f>
        <v>0</v>
      </c>
      <c r="I286" s="26">
        <f>IFERROR(__xludf.DUMMYFUNCTION("""COMPUTED_VALUE"""),0.0)</f>
        <v>0</v>
      </c>
      <c r="J286" s="26">
        <f>IFERROR(__xludf.DUMMYFUNCTION("""COMPUTED_VALUE"""),0.0)</f>
        <v>0</v>
      </c>
      <c r="K286" s="26">
        <f>IFERROR(__xludf.DUMMYFUNCTION("""COMPUTED_VALUE"""),0.0)</f>
        <v>0</v>
      </c>
      <c r="L286" s="26"/>
      <c r="M286" s="26"/>
      <c r="N286" s="26"/>
      <c r="O286" s="26"/>
      <c r="P286" s="26"/>
      <c r="Q286" s="26"/>
      <c r="R286" s="26">
        <f>IFERROR(__xludf.DUMMYFUNCTION("""COMPUTED_VALUE"""),45526.0)</f>
        <v>45526</v>
      </c>
      <c r="S286" s="26">
        <f>IFERROR(__xludf.DUMMYFUNCTION("""COMPUTED_VALUE"""),18293.0)</f>
        <v>18293</v>
      </c>
      <c r="T286" s="26">
        <f>IFERROR(__xludf.DUMMYFUNCTION("""COMPUTED_VALUE"""),0.0)</f>
        <v>0</v>
      </c>
      <c r="U286" s="26">
        <f>IFERROR(__xludf.DUMMYFUNCTION("""COMPUTED_VALUE"""),0.0)</f>
        <v>0</v>
      </c>
      <c r="V286" s="26">
        <f>IFERROR(__xludf.DUMMYFUNCTION("""COMPUTED_VALUE"""),6944.26)</f>
        <v>6944.26</v>
      </c>
      <c r="W286" s="26">
        <f>IFERROR(__xludf.DUMMYFUNCTION("""COMPUTED_VALUE"""),0.0)</f>
        <v>0</v>
      </c>
      <c r="X286" s="26">
        <f>IFERROR(__xludf.DUMMYFUNCTION("""COMPUTED_VALUE"""),0.0)</f>
        <v>0</v>
      </c>
      <c r="Y286" s="26">
        <f>IFERROR(__xludf.DUMMYFUNCTION("""COMPUTED_VALUE"""),0.0)</f>
        <v>0</v>
      </c>
      <c r="Z286" s="26">
        <f>IFERROR(__xludf.DUMMYFUNCTION("""COMPUTED_VALUE"""),0.0)</f>
        <v>0</v>
      </c>
      <c r="AA286" s="26">
        <f>IFERROR(__xludf.DUMMYFUNCTION("""COMPUTED_VALUE"""),0.0)</f>
        <v>0</v>
      </c>
      <c r="AB286" s="26">
        <f>IFERROR(__xludf.DUMMYFUNCTION("""COMPUTED_VALUE"""),0.0)</f>
        <v>0</v>
      </c>
      <c r="AC286" s="26">
        <f>IFERROR(__xludf.DUMMYFUNCTION("""COMPUTED_VALUE"""),0.0)</f>
        <v>0</v>
      </c>
      <c r="AD286" s="26">
        <f>IFERROR(__xludf.DUMMYFUNCTION("""COMPUTED_VALUE"""),0.0)</f>
        <v>0</v>
      </c>
      <c r="AE286" s="26">
        <f>IFERROR(__xludf.DUMMYFUNCTION("""COMPUTED_VALUE"""),0.0)</f>
        <v>0</v>
      </c>
    </row>
    <row r="287">
      <c r="A287" s="26">
        <f>IFERROR(__xludf.DUMMYFUNCTION("""COMPUTED_VALUE"""),147.0)</f>
        <v>147</v>
      </c>
      <c r="B287" s="26">
        <f>IFERROR(__xludf.DUMMYFUNCTION("""COMPUTED_VALUE"""),0.0)</f>
        <v>0</v>
      </c>
      <c r="C287" s="26">
        <f>IFERROR(__xludf.DUMMYFUNCTION("""COMPUTED_VALUE"""),0.0)</f>
        <v>0</v>
      </c>
      <c r="D287" s="26">
        <f>IFERROR(__xludf.DUMMYFUNCTION("""COMPUTED_VALUE"""),0.0)</f>
        <v>0</v>
      </c>
      <c r="E287" s="26">
        <f>IFERROR(__xludf.DUMMYFUNCTION("""COMPUTED_VALUE"""),0.0)</f>
        <v>0</v>
      </c>
      <c r="F287" s="26">
        <f>IFERROR(__xludf.DUMMYFUNCTION("""COMPUTED_VALUE"""),0.0)</f>
        <v>0</v>
      </c>
      <c r="G287" s="26">
        <f>IFERROR(__xludf.DUMMYFUNCTION("""COMPUTED_VALUE"""),0.0)</f>
        <v>0</v>
      </c>
      <c r="H287" s="26">
        <f>IFERROR(__xludf.DUMMYFUNCTION("""COMPUTED_VALUE"""),0.0)</f>
        <v>0</v>
      </c>
      <c r="I287" s="26">
        <f>IFERROR(__xludf.DUMMYFUNCTION("""COMPUTED_VALUE"""),0.0)</f>
        <v>0</v>
      </c>
      <c r="J287" s="26">
        <f>IFERROR(__xludf.DUMMYFUNCTION("""COMPUTED_VALUE"""),0.0)</f>
        <v>0</v>
      </c>
      <c r="K287" s="26">
        <f>IFERROR(__xludf.DUMMYFUNCTION("""COMPUTED_VALUE"""),0.0)</f>
        <v>0</v>
      </c>
      <c r="L287" s="26"/>
      <c r="M287" s="26"/>
      <c r="N287" s="26"/>
      <c r="O287" s="26"/>
      <c r="P287" s="26"/>
      <c r="Q287" s="26"/>
      <c r="R287" s="26">
        <f>IFERROR(__xludf.DUMMYFUNCTION("""COMPUTED_VALUE"""),64974.0)</f>
        <v>64974</v>
      </c>
      <c r="S287" s="26">
        <f>IFERROR(__xludf.DUMMYFUNCTION("""COMPUTED_VALUE"""),26088.0)</f>
        <v>26088</v>
      </c>
      <c r="T287" s="26">
        <f>IFERROR(__xludf.DUMMYFUNCTION("""COMPUTED_VALUE"""),0.0)</f>
        <v>0</v>
      </c>
      <c r="U287" s="26">
        <f>IFERROR(__xludf.DUMMYFUNCTION("""COMPUTED_VALUE"""),0.0)</f>
        <v>0</v>
      </c>
      <c r="V287" s="26">
        <f>IFERROR(__xludf.DUMMYFUNCTION("""COMPUTED_VALUE"""),9910.740000000003)</f>
        <v>9910.74</v>
      </c>
      <c r="W287" s="26">
        <f>IFERROR(__xludf.DUMMYFUNCTION("""COMPUTED_VALUE"""),0.0)</f>
        <v>0</v>
      </c>
      <c r="X287" s="26">
        <f>IFERROR(__xludf.DUMMYFUNCTION("""COMPUTED_VALUE"""),0.0)</f>
        <v>0</v>
      </c>
      <c r="Y287" s="26">
        <f>IFERROR(__xludf.DUMMYFUNCTION("""COMPUTED_VALUE"""),0.0)</f>
        <v>0</v>
      </c>
      <c r="Z287" s="26">
        <f>IFERROR(__xludf.DUMMYFUNCTION("""COMPUTED_VALUE"""),0.0)</f>
        <v>0</v>
      </c>
      <c r="AA287" s="26">
        <f>IFERROR(__xludf.DUMMYFUNCTION("""COMPUTED_VALUE"""),0.0)</f>
        <v>0</v>
      </c>
      <c r="AB287" s="26">
        <f>IFERROR(__xludf.DUMMYFUNCTION("""COMPUTED_VALUE"""),0.0)</f>
        <v>0</v>
      </c>
      <c r="AC287" s="26">
        <f>IFERROR(__xludf.DUMMYFUNCTION("""COMPUTED_VALUE"""),0.0)</f>
        <v>0</v>
      </c>
      <c r="AD287" s="26">
        <f>IFERROR(__xludf.DUMMYFUNCTION("""COMPUTED_VALUE"""),0.0)</f>
        <v>0</v>
      </c>
      <c r="AE287" s="26">
        <f>IFERROR(__xludf.DUMMYFUNCTION("""COMPUTED_VALUE"""),0.0)</f>
        <v>0</v>
      </c>
    </row>
    <row r="288">
      <c r="A288" s="26">
        <f>IFERROR(__xludf.DUMMYFUNCTION("""COMPUTED_VALUE"""),0.0)</f>
        <v>0</v>
      </c>
      <c r="B288" s="26">
        <f>IFERROR(__xludf.DUMMYFUNCTION("""COMPUTED_VALUE"""),0.0)</f>
        <v>0</v>
      </c>
      <c r="C288" s="26">
        <f>IFERROR(__xludf.DUMMYFUNCTION("""COMPUTED_VALUE"""),4.0)</f>
        <v>4</v>
      </c>
      <c r="D288" s="26">
        <f>IFERROR(__xludf.DUMMYFUNCTION("""COMPUTED_VALUE"""),0.0)</f>
        <v>0</v>
      </c>
      <c r="E288" s="26">
        <f>IFERROR(__xludf.DUMMYFUNCTION("""COMPUTED_VALUE"""),0.0)</f>
        <v>0</v>
      </c>
      <c r="F288" s="26">
        <f>IFERROR(__xludf.DUMMYFUNCTION("""COMPUTED_VALUE"""),0.0)</f>
        <v>0</v>
      </c>
      <c r="G288" s="26">
        <f>IFERROR(__xludf.DUMMYFUNCTION("""COMPUTED_VALUE"""),0.0)</f>
        <v>0</v>
      </c>
      <c r="H288" s="26">
        <f>IFERROR(__xludf.DUMMYFUNCTION("""COMPUTED_VALUE"""),0.0)</f>
        <v>0</v>
      </c>
      <c r="I288" s="26">
        <f>IFERROR(__xludf.DUMMYFUNCTION("""COMPUTED_VALUE"""),0.0)</f>
        <v>0</v>
      </c>
      <c r="J288" s="26">
        <f>IFERROR(__xludf.DUMMYFUNCTION("""COMPUTED_VALUE"""),0.0)</f>
        <v>0</v>
      </c>
      <c r="K288" s="26">
        <f>IFERROR(__xludf.DUMMYFUNCTION("""COMPUTED_VALUE"""),0.0)</f>
        <v>0</v>
      </c>
      <c r="L288" s="26"/>
      <c r="M288" s="26"/>
      <c r="N288" s="26"/>
      <c r="O288" s="26"/>
      <c r="P288" s="26"/>
      <c r="Q288" s="26"/>
      <c r="R288" s="26">
        <f>IFERROR(__xludf.DUMMYFUNCTION("""COMPUTED_VALUE"""),1768.0)</f>
        <v>1768</v>
      </c>
      <c r="S288" s="26">
        <f>IFERROR(__xludf.DUMMYFUNCTION("""COMPUTED_VALUE"""),820.0)</f>
        <v>820</v>
      </c>
      <c r="T288" s="26">
        <f>IFERROR(__xludf.DUMMYFUNCTION("""COMPUTED_VALUE"""),0.0)</f>
        <v>0</v>
      </c>
      <c r="U288" s="26">
        <f>IFERROR(__xludf.DUMMYFUNCTION("""COMPUTED_VALUE"""),0.0)</f>
        <v>0</v>
      </c>
      <c r="V288" s="26">
        <f>IFERROR(__xludf.DUMMYFUNCTION("""COMPUTED_VALUE"""),269.68)</f>
        <v>269.68</v>
      </c>
      <c r="W288" s="26">
        <f>IFERROR(__xludf.DUMMYFUNCTION("""COMPUTED_VALUE"""),1123.6)</f>
        <v>1123.6</v>
      </c>
      <c r="X288" s="26">
        <f>IFERROR(__xludf.DUMMYFUNCTION("""COMPUTED_VALUE"""),1123.6)</f>
        <v>1123.6</v>
      </c>
      <c r="Y288" s="26">
        <f>IFERROR(__xludf.DUMMYFUNCTION("""COMPUTED_VALUE"""),678.32)</f>
        <v>678.32</v>
      </c>
      <c r="Z288" s="26">
        <f>IFERROR(__xludf.DUMMYFUNCTION("""COMPUTED_VALUE"""),644.4)</f>
        <v>644.4</v>
      </c>
      <c r="AA288" s="26">
        <f>IFERROR(__xludf.DUMMYFUNCTION("""COMPUTED_VALUE"""),33.92)</f>
        <v>33.92</v>
      </c>
      <c r="AB288" s="26">
        <f>IFERROR(__xludf.DUMMYFUNCTION("""COMPUTED_VALUE"""),0.0)</f>
        <v>0</v>
      </c>
      <c r="AC288" s="26">
        <f>IFERROR(__xludf.DUMMYFUNCTION("""COMPUTED_VALUE"""),0.0)</f>
        <v>0</v>
      </c>
      <c r="AD288" s="26">
        <f>IFERROR(__xludf.DUMMYFUNCTION("""COMPUTED_VALUE"""),0.0)</f>
        <v>0</v>
      </c>
      <c r="AE288" s="26">
        <f>IFERROR(__xludf.DUMMYFUNCTION("""COMPUTED_VALUE"""),0.0)</f>
        <v>0</v>
      </c>
    </row>
    <row r="289">
      <c r="A289" s="26">
        <f>IFERROR(__xludf.DUMMYFUNCTION("""COMPUTED_VALUE"""),142.0)</f>
        <v>142</v>
      </c>
      <c r="B289" s="26">
        <f>IFERROR(__xludf.DUMMYFUNCTION("""COMPUTED_VALUE"""),0.0)</f>
        <v>0</v>
      </c>
      <c r="C289" s="26">
        <f>IFERROR(__xludf.DUMMYFUNCTION("""COMPUTED_VALUE"""),0.0)</f>
        <v>0</v>
      </c>
      <c r="D289" s="26">
        <f>IFERROR(__xludf.DUMMYFUNCTION("""COMPUTED_VALUE"""),0.0)</f>
        <v>0</v>
      </c>
      <c r="E289" s="26">
        <f>IFERROR(__xludf.DUMMYFUNCTION("""COMPUTED_VALUE"""),0.0)</f>
        <v>0</v>
      </c>
      <c r="F289" s="26">
        <f>IFERROR(__xludf.DUMMYFUNCTION("""COMPUTED_VALUE"""),0.0)</f>
        <v>0</v>
      </c>
      <c r="G289" s="26">
        <f>IFERROR(__xludf.DUMMYFUNCTION("""COMPUTED_VALUE"""),0.0)</f>
        <v>0</v>
      </c>
      <c r="H289" s="26">
        <f>IFERROR(__xludf.DUMMYFUNCTION("""COMPUTED_VALUE"""),0.0)</f>
        <v>0</v>
      </c>
      <c r="I289" s="26">
        <f>IFERROR(__xludf.DUMMYFUNCTION("""COMPUTED_VALUE"""),0.0)</f>
        <v>0</v>
      </c>
      <c r="J289" s="26">
        <f>IFERROR(__xludf.DUMMYFUNCTION("""COMPUTED_VALUE"""),0.0)</f>
        <v>0</v>
      </c>
      <c r="K289" s="26">
        <f>IFERROR(__xludf.DUMMYFUNCTION("""COMPUTED_VALUE"""),0.0)</f>
        <v>0</v>
      </c>
      <c r="L289" s="26"/>
      <c r="M289" s="26"/>
      <c r="N289" s="26"/>
      <c r="O289" s="26"/>
      <c r="P289" s="26"/>
      <c r="Q289" s="26"/>
      <c r="R289" s="26">
        <f>IFERROR(__xludf.DUMMYFUNCTION("""COMPUTED_VALUE"""),62764.0)</f>
        <v>62764</v>
      </c>
      <c r="S289" s="26">
        <f>IFERROR(__xludf.DUMMYFUNCTION("""COMPUTED_VALUE"""),25441.0)</f>
        <v>25441</v>
      </c>
      <c r="T289" s="26">
        <f>IFERROR(__xludf.DUMMYFUNCTION("""COMPUTED_VALUE"""),0.0)</f>
        <v>0</v>
      </c>
      <c r="U289" s="26">
        <f>IFERROR(__xludf.DUMMYFUNCTION("""COMPUTED_VALUE"""),0.0)</f>
        <v>0</v>
      </c>
      <c r="V289" s="26">
        <f>IFERROR(__xludf.DUMMYFUNCTION("""COMPUTED_VALUE"""),9573.640000000001)</f>
        <v>9573.64</v>
      </c>
      <c r="W289" s="26">
        <f>IFERROR(__xludf.DUMMYFUNCTION("""COMPUTED_VALUE"""),0.0)</f>
        <v>0</v>
      </c>
      <c r="X289" s="26">
        <f>IFERROR(__xludf.DUMMYFUNCTION("""COMPUTED_VALUE"""),0.0)</f>
        <v>0</v>
      </c>
      <c r="Y289" s="26">
        <f>IFERROR(__xludf.DUMMYFUNCTION("""COMPUTED_VALUE"""),0.0)</f>
        <v>0</v>
      </c>
      <c r="Z289" s="26">
        <f>IFERROR(__xludf.DUMMYFUNCTION("""COMPUTED_VALUE"""),0.0)</f>
        <v>0</v>
      </c>
      <c r="AA289" s="26">
        <f>IFERROR(__xludf.DUMMYFUNCTION("""COMPUTED_VALUE"""),0.0)</f>
        <v>0</v>
      </c>
      <c r="AB289" s="26">
        <f>IFERROR(__xludf.DUMMYFUNCTION("""COMPUTED_VALUE"""),0.0)</f>
        <v>0</v>
      </c>
      <c r="AC289" s="26">
        <f>IFERROR(__xludf.DUMMYFUNCTION("""COMPUTED_VALUE"""),0.0)</f>
        <v>0</v>
      </c>
      <c r="AD289" s="26">
        <f>IFERROR(__xludf.DUMMYFUNCTION("""COMPUTED_VALUE"""),0.0)</f>
        <v>0</v>
      </c>
      <c r="AE289" s="26">
        <f>IFERROR(__xludf.DUMMYFUNCTION("""COMPUTED_VALUE"""),0.0)</f>
        <v>0</v>
      </c>
    </row>
    <row r="290">
      <c r="A290" s="26">
        <f>IFERROR(__xludf.DUMMYFUNCTION("""COMPUTED_VALUE"""),203.0)</f>
        <v>203</v>
      </c>
      <c r="B290" s="26">
        <f>IFERROR(__xludf.DUMMYFUNCTION("""COMPUTED_VALUE"""),0.0)</f>
        <v>0</v>
      </c>
      <c r="C290" s="26">
        <f>IFERROR(__xludf.DUMMYFUNCTION("""COMPUTED_VALUE"""),0.0)</f>
        <v>0</v>
      </c>
      <c r="D290" s="26">
        <f>IFERROR(__xludf.DUMMYFUNCTION("""COMPUTED_VALUE"""),0.0)</f>
        <v>0</v>
      </c>
      <c r="E290" s="26">
        <f>IFERROR(__xludf.DUMMYFUNCTION("""COMPUTED_VALUE"""),0.0)</f>
        <v>0</v>
      </c>
      <c r="F290" s="26">
        <f>IFERROR(__xludf.DUMMYFUNCTION("""COMPUTED_VALUE"""),0.0)</f>
        <v>0</v>
      </c>
      <c r="G290" s="26">
        <f>IFERROR(__xludf.DUMMYFUNCTION("""COMPUTED_VALUE"""),0.0)</f>
        <v>0</v>
      </c>
      <c r="H290" s="26">
        <f>IFERROR(__xludf.DUMMYFUNCTION("""COMPUTED_VALUE"""),0.0)</f>
        <v>0</v>
      </c>
      <c r="I290" s="26">
        <f>IFERROR(__xludf.DUMMYFUNCTION("""COMPUTED_VALUE"""),0.0)</f>
        <v>0</v>
      </c>
      <c r="J290" s="26">
        <f>IFERROR(__xludf.DUMMYFUNCTION("""COMPUTED_VALUE"""),0.0)</f>
        <v>0</v>
      </c>
      <c r="K290" s="26">
        <f>IFERROR(__xludf.DUMMYFUNCTION("""COMPUTED_VALUE"""),0.0)</f>
        <v>0</v>
      </c>
      <c r="L290" s="26"/>
      <c r="M290" s="26"/>
      <c r="N290" s="26"/>
      <c r="O290" s="26"/>
      <c r="P290" s="26"/>
      <c r="Q290" s="26"/>
      <c r="R290" s="26">
        <f>IFERROR(__xludf.DUMMYFUNCTION("""COMPUTED_VALUE"""),89726.0)</f>
        <v>89726</v>
      </c>
      <c r="S290" s="26">
        <f>IFERROR(__xludf.DUMMYFUNCTION("""COMPUTED_VALUE"""),35993.0)</f>
        <v>35993</v>
      </c>
      <c r="T290" s="26">
        <f>IFERROR(__xludf.DUMMYFUNCTION("""COMPUTED_VALUE"""),0.0)</f>
        <v>0</v>
      </c>
      <c r="U290" s="26">
        <f>IFERROR(__xludf.DUMMYFUNCTION("""COMPUTED_VALUE"""),0.0)</f>
        <v>0</v>
      </c>
      <c r="V290" s="26">
        <f>IFERROR(__xludf.DUMMYFUNCTION("""COMPUTED_VALUE"""),13686.260000000006)</f>
        <v>13686.26</v>
      </c>
      <c r="W290" s="26">
        <f>IFERROR(__xludf.DUMMYFUNCTION("""COMPUTED_VALUE"""),0.0)</f>
        <v>0</v>
      </c>
      <c r="X290" s="26">
        <f>IFERROR(__xludf.DUMMYFUNCTION("""COMPUTED_VALUE"""),0.0)</f>
        <v>0</v>
      </c>
      <c r="Y290" s="26">
        <f>IFERROR(__xludf.DUMMYFUNCTION("""COMPUTED_VALUE"""),0.0)</f>
        <v>0</v>
      </c>
      <c r="Z290" s="26">
        <f>IFERROR(__xludf.DUMMYFUNCTION("""COMPUTED_VALUE"""),0.0)</f>
        <v>0</v>
      </c>
      <c r="AA290" s="26">
        <f>IFERROR(__xludf.DUMMYFUNCTION("""COMPUTED_VALUE"""),0.0)</f>
        <v>0</v>
      </c>
      <c r="AB290" s="26">
        <f>IFERROR(__xludf.DUMMYFUNCTION("""COMPUTED_VALUE"""),0.0)</f>
        <v>0</v>
      </c>
      <c r="AC290" s="26">
        <f>IFERROR(__xludf.DUMMYFUNCTION("""COMPUTED_VALUE"""),0.0)</f>
        <v>0</v>
      </c>
      <c r="AD290" s="26">
        <f>IFERROR(__xludf.DUMMYFUNCTION("""COMPUTED_VALUE"""),0.0)</f>
        <v>0</v>
      </c>
      <c r="AE290" s="26">
        <f>IFERROR(__xludf.DUMMYFUNCTION("""COMPUTED_VALUE"""),0.0)</f>
        <v>0</v>
      </c>
    </row>
    <row r="291">
      <c r="A291" s="26">
        <f>IFERROR(__xludf.DUMMYFUNCTION("""COMPUTED_VALUE"""),110.0)</f>
        <v>110</v>
      </c>
      <c r="B291" s="26">
        <f>IFERROR(__xludf.DUMMYFUNCTION("""COMPUTED_VALUE"""),0.0)</f>
        <v>0</v>
      </c>
      <c r="C291" s="26">
        <f>IFERROR(__xludf.DUMMYFUNCTION("""COMPUTED_VALUE"""),0.0)</f>
        <v>0</v>
      </c>
      <c r="D291" s="26">
        <f>IFERROR(__xludf.DUMMYFUNCTION("""COMPUTED_VALUE"""),0.0)</f>
        <v>0</v>
      </c>
      <c r="E291" s="26">
        <f>IFERROR(__xludf.DUMMYFUNCTION("""COMPUTED_VALUE"""),0.0)</f>
        <v>0</v>
      </c>
      <c r="F291" s="26">
        <f>IFERROR(__xludf.DUMMYFUNCTION("""COMPUTED_VALUE"""),0.0)</f>
        <v>0</v>
      </c>
      <c r="G291" s="26">
        <f>IFERROR(__xludf.DUMMYFUNCTION("""COMPUTED_VALUE"""),0.0)</f>
        <v>0</v>
      </c>
      <c r="H291" s="26">
        <f>IFERROR(__xludf.DUMMYFUNCTION("""COMPUTED_VALUE"""),0.0)</f>
        <v>0</v>
      </c>
      <c r="I291" s="26">
        <f>IFERROR(__xludf.DUMMYFUNCTION("""COMPUTED_VALUE"""),0.0)</f>
        <v>0</v>
      </c>
      <c r="J291" s="26">
        <f>IFERROR(__xludf.DUMMYFUNCTION("""COMPUTED_VALUE"""),0.0)</f>
        <v>0</v>
      </c>
      <c r="K291" s="26">
        <f>IFERROR(__xludf.DUMMYFUNCTION("""COMPUTED_VALUE"""),0.0)</f>
        <v>0</v>
      </c>
      <c r="L291" s="26"/>
      <c r="M291" s="26"/>
      <c r="N291" s="26"/>
      <c r="O291" s="26"/>
      <c r="P291" s="26"/>
      <c r="Q291" s="26"/>
      <c r="R291" s="26">
        <f>IFERROR(__xludf.DUMMYFUNCTION("""COMPUTED_VALUE"""),48620.0)</f>
        <v>48620</v>
      </c>
      <c r="S291" s="26">
        <f>IFERROR(__xludf.DUMMYFUNCTION("""COMPUTED_VALUE"""),19440.0)</f>
        <v>19440</v>
      </c>
      <c r="T291" s="26">
        <f>IFERROR(__xludf.DUMMYFUNCTION("""COMPUTED_VALUE"""),0.0)</f>
        <v>0</v>
      </c>
      <c r="U291" s="26">
        <f>IFERROR(__xludf.DUMMYFUNCTION("""COMPUTED_VALUE"""),0.0)</f>
        <v>0</v>
      </c>
      <c r="V291" s="26">
        <f>IFERROR(__xludf.DUMMYFUNCTION("""COMPUTED_VALUE"""),7416.200000000003)</f>
        <v>7416.2</v>
      </c>
      <c r="W291" s="26">
        <f>IFERROR(__xludf.DUMMYFUNCTION("""COMPUTED_VALUE"""),0.0)</f>
        <v>0</v>
      </c>
      <c r="X291" s="26">
        <f>IFERROR(__xludf.DUMMYFUNCTION("""COMPUTED_VALUE"""),0.0)</f>
        <v>0</v>
      </c>
      <c r="Y291" s="26">
        <f>IFERROR(__xludf.DUMMYFUNCTION("""COMPUTED_VALUE"""),0.0)</f>
        <v>0</v>
      </c>
      <c r="Z291" s="26">
        <f>IFERROR(__xludf.DUMMYFUNCTION("""COMPUTED_VALUE"""),0.0)</f>
        <v>0</v>
      </c>
      <c r="AA291" s="26">
        <f>IFERROR(__xludf.DUMMYFUNCTION("""COMPUTED_VALUE"""),0.0)</f>
        <v>0</v>
      </c>
      <c r="AB291" s="26">
        <f>IFERROR(__xludf.DUMMYFUNCTION("""COMPUTED_VALUE"""),0.0)</f>
        <v>0</v>
      </c>
      <c r="AC291" s="26">
        <f>IFERROR(__xludf.DUMMYFUNCTION("""COMPUTED_VALUE"""),0.0)</f>
        <v>0</v>
      </c>
      <c r="AD291" s="26">
        <f>IFERROR(__xludf.DUMMYFUNCTION("""COMPUTED_VALUE"""),0.0)</f>
        <v>0</v>
      </c>
      <c r="AE291" s="26">
        <f>IFERROR(__xludf.DUMMYFUNCTION("""COMPUTED_VALUE"""),0.0)</f>
        <v>0</v>
      </c>
    </row>
    <row r="292">
      <c r="A292" s="26">
        <f>IFERROR(__xludf.DUMMYFUNCTION("""COMPUTED_VALUE"""),63.0)</f>
        <v>63</v>
      </c>
      <c r="B292" s="26">
        <f>IFERROR(__xludf.DUMMYFUNCTION("""COMPUTED_VALUE"""),0.0)</f>
        <v>0</v>
      </c>
      <c r="C292" s="26">
        <f>IFERROR(__xludf.DUMMYFUNCTION("""COMPUTED_VALUE"""),0.0)</f>
        <v>0</v>
      </c>
      <c r="D292" s="26">
        <f>IFERROR(__xludf.DUMMYFUNCTION("""COMPUTED_VALUE"""),0.0)</f>
        <v>0</v>
      </c>
      <c r="E292" s="26">
        <f>IFERROR(__xludf.DUMMYFUNCTION("""COMPUTED_VALUE"""),0.0)</f>
        <v>0</v>
      </c>
      <c r="F292" s="26">
        <f>IFERROR(__xludf.DUMMYFUNCTION("""COMPUTED_VALUE"""),0.0)</f>
        <v>0</v>
      </c>
      <c r="G292" s="26">
        <f>IFERROR(__xludf.DUMMYFUNCTION("""COMPUTED_VALUE"""),0.0)</f>
        <v>0</v>
      </c>
      <c r="H292" s="26">
        <f>IFERROR(__xludf.DUMMYFUNCTION("""COMPUTED_VALUE"""),0.0)</f>
        <v>0</v>
      </c>
      <c r="I292" s="26">
        <f>IFERROR(__xludf.DUMMYFUNCTION("""COMPUTED_VALUE"""),0.0)</f>
        <v>0</v>
      </c>
      <c r="J292" s="26">
        <f>IFERROR(__xludf.DUMMYFUNCTION("""COMPUTED_VALUE"""),0.0)</f>
        <v>0</v>
      </c>
      <c r="K292" s="26">
        <f>IFERROR(__xludf.DUMMYFUNCTION("""COMPUTED_VALUE"""),0.0)</f>
        <v>0</v>
      </c>
      <c r="L292" s="26"/>
      <c r="M292" s="26"/>
      <c r="N292" s="26"/>
      <c r="O292" s="26"/>
      <c r="P292" s="26"/>
      <c r="Q292" s="26"/>
      <c r="R292" s="26">
        <f>IFERROR(__xludf.DUMMYFUNCTION("""COMPUTED_VALUE"""),27846.0)</f>
        <v>27846</v>
      </c>
      <c r="S292" s="26">
        <f>IFERROR(__xludf.DUMMYFUNCTION("""COMPUTED_VALUE"""),11810.0)</f>
        <v>11810</v>
      </c>
      <c r="T292" s="26">
        <f>IFERROR(__xludf.DUMMYFUNCTION("""COMPUTED_VALUE"""),0.0)</f>
        <v>0</v>
      </c>
      <c r="U292" s="26">
        <f>IFERROR(__xludf.DUMMYFUNCTION("""COMPUTED_VALUE"""),0.0)</f>
        <v>0</v>
      </c>
      <c r="V292" s="26">
        <f>IFERROR(__xludf.DUMMYFUNCTION("""COMPUTED_VALUE"""),4247.460000000002)</f>
        <v>4247.46</v>
      </c>
      <c r="W292" s="26">
        <f>IFERROR(__xludf.DUMMYFUNCTION("""COMPUTED_VALUE"""),0.0)</f>
        <v>0</v>
      </c>
      <c r="X292" s="26">
        <f>IFERROR(__xludf.DUMMYFUNCTION("""COMPUTED_VALUE"""),0.0)</f>
        <v>0</v>
      </c>
      <c r="Y292" s="26">
        <f>IFERROR(__xludf.DUMMYFUNCTION("""COMPUTED_VALUE"""),0.0)</f>
        <v>0</v>
      </c>
      <c r="Z292" s="26">
        <f>IFERROR(__xludf.DUMMYFUNCTION("""COMPUTED_VALUE"""),0.0)</f>
        <v>0</v>
      </c>
      <c r="AA292" s="26">
        <f>IFERROR(__xludf.DUMMYFUNCTION("""COMPUTED_VALUE"""),0.0)</f>
        <v>0</v>
      </c>
      <c r="AB292" s="26">
        <f>IFERROR(__xludf.DUMMYFUNCTION("""COMPUTED_VALUE"""),0.0)</f>
        <v>0</v>
      </c>
      <c r="AC292" s="26">
        <f>IFERROR(__xludf.DUMMYFUNCTION("""COMPUTED_VALUE"""),0.0)</f>
        <v>0</v>
      </c>
      <c r="AD292" s="26">
        <f>IFERROR(__xludf.DUMMYFUNCTION("""COMPUTED_VALUE"""),0.0)</f>
        <v>0</v>
      </c>
      <c r="AE292" s="26">
        <f>IFERROR(__xludf.DUMMYFUNCTION("""COMPUTED_VALUE"""),0.0)</f>
        <v>0</v>
      </c>
    </row>
    <row r="293">
      <c r="A293" s="26">
        <f>IFERROR(__xludf.DUMMYFUNCTION("""COMPUTED_VALUE"""),194.0)</f>
        <v>194</v>
      </c>
      <c r="B293" s="26">
        <f>IFERROR(__xludf.DUMMYFUNCTION("""COMPUTED_VALUE"""),0.0)</f>
        <v>0</v>
      </c>
      <c r="C293" s="26">
        <f>IFERROR(__xludf.DUMMYFUNCTION("""COMPUTED_VALUE"""),0.0)</f>
        <v>0</v>
      </c>
      <c r="D293" s="26">
        <f>IFERROR(__xludf.DUMMYFUNCTION("""COMPUTED_VALUE"""),0.0)</f>
        <v>0</v>
      </c>
      <c r="E293" s="26">
        <f>IFERROR(__xludf.DUMMYFUNCTION("""COMPUTED_VALUE"""),0.0)</f>
        <v>0</v>
      </c>
      <c r="F293" s="26">
        <f>IFERROR(__xludf.DUMMYFUNCTION("""COMPUTED_VALUE"""),0.0)</f>
        <v>0</v>
      </c>
      <c r="G293" s="26">
        <f>IFERROR(__xludf.DUMMYFUNCTION("""COMPUTED_VALUE"""),0.0)</f>
        <v>0</v>
      </c>
      <c r="H293" s="26">
        <f>IFERROR(__xludf.DUMMYFUNCTION("""COMPUTED_VALUE"""),0.0)</f>
        <v>0</v>
      </c>
      <c r="I293" s="26">
        <f>IFERROR(__xludf.DUMMYFUNCTION("""COMPUTED_VALUE"""),0.0)</f>
        <v>0</v>
      </c>
      <c r="J293" s="26">
        <f>IFERROR(__xludf.DUMMYFUNCTION("""COMPUTED_VALUE"""),0.0)</f>
        <v>0</v>
      </c>
      <c r="K293" s="26">
        <f>IFERROR(__xludf.DUMMYFUNCTION("""COMPUTED_VALUE"""),0.0)</f>
        <v>0</v>
      </c>
      <c r="L293" s="26"/>
      <c r="M293" s="26"/>
      <c r="N293" s="26"/>
      <c r="O293" s="26"/>
      <c r="P293" s="26"/>
      <c r="Q293" s="26"/>
      <c r="R293" s="26">
        <f>IFERROR(__xludf.DUMMYFUNCTION("""COMPUTED_VALUE"""),85748.0)</f>
        <v>85748</v>
      </c>
      <c r="S293" s="26">
        <f>IFERROR(__xludf.DUMMYFUNCTION("""COMPUTED_VALUE"""),33331.0)</f>
        <v>33331</v>
      </c>
      <c r="T293" s="26">
        <f>IFERROR(__xludf.DUMMYFUNCTION("""COMPUTED_VALUE"""),0.0)</f>
        <v>0</v>
      </c>
      <c r="U293" s="26">
        <f>IFERROR(__xludf.DUMMYFUNCTION("""COMPUTED_VALUE"""),0.0)</f>
        <v>0</v>
      </c>
      <c r="V293" s="26">
        <f>IFERROR(__xludf.DUMMYFUNCTION("""COMPUTED_VALUE"""),13079.480000000007)</f>
        <v>13079.48</v>
      </c>
      <c r="W293" s="26">
        <f>IFERROR(__xludf.DUMMYFUNCTION("""COMPUTED_VALUE"""),0.0)</f>
        <v>0</v>
      </c>
      <c r="X293" s="26">
        <f>IFERROR(__xludf.DUMMYFUNCTION("""COMPUTED_VALUE"""),0.0)</f>
        <v>0</v>
      </c>
      <c r="Y293" s="26">
        <f>IFERROR(__xludf.DUMMYFUNCTION("""COMPUTED_VALUE"""),0.0)</f>
        <v>0</v>
      </c>
      <c r="Z293" s="26">
        <f>IFERROR(__xludf.DUMMYFUNCTION("""COMPUTED_VALUE"""),0.0)</f>
        <v>0</v>
      </c>
      <c r="AA293" s="26">
        <f>IFERROR(__xludf.DUMMYFUNCTION("""COMPUTED_VALUE"""),0.0)</f>
        <v>0</v>
      </c>
      <c r="AB293" s="26">
        <f>IFERROR(__xludf.DUMMYFUNCTION("""COMPUTED_VALUE"""),0.0)</f>
        <v>0</v>
      </c>
      <c r="AC293" s="26">
        <f>IFERROR(__xludf.DUMMYFUNCTION("""COMPUTED_VALUE"""),0.0)</f>
        <v>0</v>
      </c>
      <c r="AD293" s="26">
        <f>IFERROR(__xludf.DUMMYFUNCTION("""COMPUTED_VALUE"""),0.0)</f>
        <v>0</v>
      </c>
      <c r="AE293" s="26">
        <f>IFERROR(__xludf.DUMMYFUNCTION("""COMPUTED_VALUE"""),0.0)</f>
        <v>0</v>
      </c>
    </row>
    <row r="294">
      <c r="A294" s="26">
        <f>IFERROR(__xludf.DUMMYFUNCTION("""COMPUTED_VALUE"""),0.0)</f>
        <v>0</v>
      </c>
      <c r="B294" s="26">
        <f>IFERROR(__xludf.DUMMYFUNCTION("""COMPUTED_VALUE"""),0.0)</f>
        <v>0</v>
      </c>
      <c r="C294" s="26">
        <f>IFERROR(__xludf.DUMMYFUNCTION("""COMPUTED_VALUE"""),0.0)</f>
        <v>0</v>
      </c>
      <c r="D294" s="26">
        <f>IFERROR(__xludf.DUMMYFUNCTION("""COMPUTED_VALUE"""),0.0)</f>
        <v>0</v>
      </c>
      <c r="E294" s="26">
        <f>IFERROR(__xludf.DUMMYFUNCTION("""COMPUTED_VALUE"""),0.0)</f>
        <v>0</v>
      </c>
      <c r="F294" s="26">
        <f>IFERROR(__xludf.DUMMYFUNCTION("""COMPUTED_VALUE"""),0.0)</f>
        <v>0</v>
      </c>
      <c r="G294" s="26">
        <f>IFERROR(__xludf.DUMMYFUNCTION("""COMPUTED_VALUE"""),0.0)</f>
        <v>0</v>
      </c>
      <c r="H294" s="26">
        <f>IFERROR(__xludf.DUMMYFUNCTION("""COMPUTED_VALUE"""),0.0)</f>
        <v>0</v>
      </c>
      <c r="I294" s="26">
        <f>IFERROR(__xludf.DUMMYFUNCTION("""COMPUTED_VALUE"""),0.0)</f>
        <v>0</v>
      </c>
      <c r="J294" s="26">
        <f>IFERROR(__xludf.DUMMYFUNCTION("""COMPUTED_VALUE"""),0.0)</f>
        <v>0</v>
      </c>
      <c r="K294" s="26">
        <f>IFERROR(__xludf.DUMMYFUNCTION("""COMPUTED_VALUE"""),0.0)</f>
        <v>0</v>
      </c>
      <c r="L294" s="26"/>
      <c r="M294" s="26"/>
      <c r="N294" s="26"/>
      <c r="O294" s="26"/>
      <c r="P294" s="26"/>
      <c r="Q294" s="26"/>
      <c r="R294" s="26">
        <f>IFERROR(__xludf.DUMMYFUNCTION("""COMPUTED_VALUE"""),0.0)</f>
        <v>0</v>
      </c>
      <c r="S294" s="26">
        <f>IFERROR(__xludf.DUMMYFUNCTION("""COMPUTED_VALUE"""),0.0)</f>
        <v>0</v>
      </c>
      <c r="T294" s="26">
        <f>IFERROR(__xludf.DUMMYFUNCTION("""COMPUTED_VALUE"""),0.0)</f>
        <v>0</v>
      </c>
      <c r="U294" s="26">
        <f>IFERROR(__xludf.DUMMYFUNCTION("""COMPUTED_VALUE"""),0.0)</f>
        <v>0</v>
      </c>
      <c r="V294" s="26">
        <f>IFERROR(__xludf.DUMMYFUNCTION("""COMPUTED_VALUE"""),0.0)</f>
        <v>0</v>
      </c>
      <c r="W294" s="26">
        <f>IFERROR(__xludf.DUMMYFUNCTION("""COMPUTED_VALUE"""),0.0)</f>
        <v>0</v>
      </c>
      <c r="X294" s="26">
        <f>IFERROR(__xludf.DUMMYFUNCTION("""COMPUTED_VALUE"""),0.0)</f>
        <v>0</v>
      </c>
      <c r="Y294" s="26">
        <f>IFERROR(__xludf.DUMMYFUNCTION("""COMPUTED_VALUE"""),0.0)</f>
        <v>0</v>
      </c>
      <c r="Z294" s="26">
        <f>IFERROR(__xludf.DUMMYFUNCTION("""COMPUTED_VALUE"""),0.0)</f>
        <v>0</v>
      </c>
      <c r="AA294" s="26">
        <f>IFERROR(__xludf.DUMMYFUNCTION("""COMPUTED_VALUE"""),0.0)</f>
        <v>0</v>
      </c>
      <c r="AB294" s="26">
        <f>IFERROR(__xludf.DUMMYFUNCTION("""COMPUTED_VALUE"""),0.0)</f>
        <v>0</v>
      </c>
      <c r="AC294" s="26">
        <f>IFERROR(__xludf.DUMMYFUNCTION("""COMPUTED_VALUE"""),0.0)</f>
        <v>0</v>
      </c>
      <c r="AD294" s="26">
        <f>IFERROR(__xludf.DUMMYFUNCTION("""COMPUTED_VALUE"""),0.0)</f>
        <v>0</v>
      </c>
      <c r="AE294" s="26">
        <f>IFERROR(__xludf.DUMMYFUNCTION("""COMPUTED_VALUE"""),0.0)</f>
        <v>0</v>
      </c>
    </row>
    <row r="295">
      <c r="A295" s="26">
        <f>IFERROR(__xludf.DUMMYFUNCTION("""COMPUTED_VALUE"""),98.0)</f>
        <v>98</v>
      </c>
      <c r="B295" s="26">
        <f>IFERROR(__xludf.DUMMYFUNCTION("""COMPUTED_VALUE"""),0.0)</f>
        <v>0</v>
      </c>
      <c r="C295" s="26">
        <f>IFERROR(__xludf.DUMMYFUNCTION("""COMPUTED_VALUE"""),0.0)</f>
        <v>0</v>
      </c>
      <c r="D295" s="26">
        <f>IFERROR(__xludf.DUMMYFUNCTION("""COMPUTED_VALUE"""),0.0)</f>
        <v>0</v>
      </c>
      <c r="E295" s="26">
        <f>IFERROR(__xludf.DUMMYFUNCTION("""COMPUTED_VALUE"""),132.0)</f>
        <v>132</v>
      </c>
      <c r="F295" s="26">
        <f>IFERROR(__xludf.DUMMYFUNCTION("""COMPUTED_VALUE"""),0.0)</f>
        <v>0</v>
      </c>
      <c r="G295" s="26">
        <f>IFERROR(__xludf.DUMMYFUNCTION("""COMPUTED_VALUE"""),0.0)</f>
        <v>0</v>
      </c>
      <c r="H295" s="26">
        <f>IFERROR(__xludf.DUMMYFUNCTION("""COMPUTED_VALUE"""),0.0)</f>
        <v>0</v>
      </c>
      <c r="I295" s="26">
        <f>IFERROR(__xludf.DUMMYFUNCTION("""COMPUTED_VALUE"""),0.0)</f>
        <v>0</v>
      </c>
      <c r="J295" s="26">
        <f>IFERROR(__xludf.DUMMYFUNCTION("""COMPUTED_VALUE"""),0.0)</f>
        <v>0</v>
      </c>
      <c r="K295" s="26">
        <f>IFERROR(__xludf.DUMMYFUNCTION("""COMPUTED_VALUE"""),0.0)</f>
        <v>0</v>
      </c>
      <c r="L295" s="26"/>
      <c r="M295" s="26"/>
      <c r="N295" s="26"/>
      <c r="O295" s="26"/>
      <c r="P295" s="26"/>
      <c r="Q295" s="26"/>
      <c r="R295" s="26">
        <f>IFERROR(__xludf.DUMMYFUNCTION("""COMPUTED_VALUE"""),72403.62999999998)</f>
        <v>72403.63</v>
      </c>
      <c r="S295" s="26">
        <f>IFERROR(__xludf.DUMMYFUNCTION("""COMPUTED_VALUE"""),61359.0)</f>
        <v>61359</v>
      </c>
      <c r="T295" s="26">
        <f>IFERROR(__xludf.DUMMYFUNCTION("""COMPUTED_VALUE"""),15.26)</f>
        <v>15.26</v>
      </c>
      <c r="U295" s="26">
        <f>IFERROR(__xludf.DUMMYFUNCTION("""COMPUTED_VALUE"""),15.26)</f>
        <v>15.26</v>
      </c>
      <c r="V295" s="26">
        <f>IFERROR(__xludf.DUMMYFUNCTION("""COMPUTED_VALUE"""),11014.110000000017)</f>
        <v>11014.11</v>
      </c>
      <c r="W295" s="26">
        <f>IFERROR(__xludf.DUMMYFUNCTION("""COMPUTED_VALUE"""),0.0)</f>
        <v>0</v>
      </c>
      <c r="X295" s="26">
        <f>IFERROR(__xludf.DUMMYFUNCTION("""COMPUTED_VALUE"""),0.0)</f>
        <v>0</v>
      </c>
      <c r="Y295" s="26">
        <f>IFERROR(__xludf.DUMMYFUNCTION("""COMPUTED_VALUE"""),0.0)</f>
        <v>0</v>
      </c>
      <c r="Z295" s="26">
        <f>IFERROR(__xludf.DUMMYFUNCTION("""COMPUTED_VALUE"""),0.0)</f>
        <v>0</v>
      </c>
      <c r="AA295" s="26">
        <f>IFERROR(__xludf.DUMMYFUNCTION("""COMPUTED_VALUE"""),0.0)</f>
        <v>0</v>
      </c>
      <c r="AB295" s="26">
        <f>IFERROR(__xludf.DUMMYFUNCTION("""COMPUTED_VALUE"""),0.0)</f>
        <v>0</v>
      </c>
      <c r="AC295" s="26">
        <f>IFERROR(__xludf.DUMMYFUNCTION("""COMPUTED_VALUE"""),0.0)</f>
        <v>0</v>
      </c>
      <c r="AD295" s="26">
        <f>IFERROR(__xludf.DUMMYFUNCTION("""COMPUTED_VALUE"""),0.0)</f>
        <v>0</v>
      </c>
      <c r="AE295" s="26">
        <f>IFERROR(__xludf.DUMMYFUNCTION("""COMPUTED_VALUE"""),0.0)</f>
        <v>0</v>
      </c>
    </row>
    <row r="296">
      <c r="A296" s="26">
        <f>IFERROR(__xludf.DUMMYFUNCTION("""COMPUTED_VALUE"""),0.0)</f>
        <v>0</v>
      </c>
      <c r="B296" s="26">
        <f>IFERROR(__xludf.DUMMYFUNCTION("""COMPUTED_VALUE"""),0.0)</f>
        <v>0</v>
      </c>
      <c r="C296" s="26">
        <f>IFERROR(__xludf.DUMMYFUNCTION("""COMPUTED_VALUE"""),0.0)</f>
        <v>0</v>
      </c>
      <c r="D296" s="26">
        <f>IFERROR(__xludf.DUMMYFUNCTION("""COMPUTED_VALUE"""),0.0)</f>
        <v>0</v>
      </c>
      <c r="E296" s="26">
        <f>IFERROR(__xludf.DUMMYFUNCTION("""COMPUTED_VALUE"""),0.0)</f>
        <v>0</v>
      </c>
      <c r="F296" s="26">
        <f>IFERROR(__xludf.DUMMYFUNCTION("""COMPUTED_VALUE"""),0.0)</f>
        <v>0</v>
      </c>
      <c r="G296" s="26">
        <f>IFERROR(__xludf.DUMMYFUNCTION("""COMPUTED_VALUE"""),0.0)</f>
        <v>0</v>
      </c>
      <c r="H296" s="26">
        <f>IFERROR(__xludf.DUMMYFUNCTION("""COMPUTED_VALUE"""),0.0)</f>
        <v>0</v>
      </c>
      <c r="I296" s="26">
        <f>IFERROR(__xludf.DUMMYFUNCTION("""COMPUTED_VALUE"""),0.0)</f>
        <v>0</v>
      </c>
      <c r="J296" s="26">
        <f>IFERROR(__xludf.DUMMYFUNCTION("""COMPUTED_VALUE"""),0.0)</f>
        <v>0</v>
      </c>
      <c r="K296" s="26">
        <f>IFERROR(__xludf.DUMMYFUNCTION("""COMPUTED_VALUE"""),0.0)</f>
        <v>0</v>
      </c>
      <c r="L296" s="26"/>
      <c r="M296" s="26"/>
      <c r="N296" s="26"/>
      <c r="O296" s="26"/>
      <c r="P296" s="26"/>
      <c r="Q296" s="26"/>
      <c r="R296" s="26">
        <f>IFERROR(__xludf.DUMMYFUNCTION("""COMPUTED_VALUE"""),0.0)</f>
        <v>0</v>
      </c>
      <c r="S296" s="26">
        <f>IFERROR(__xludf.DUMMYFUNCTION("""COMPUTED_VALUE"""),0.0)</f>
        <v>0</v>
      </c>
      <c r="T296" s="26">
        <f>IFERROR(__xludf.DUMMYFUNCTION("""COMPUTED_VALUE"""),0.0)</f>
        <v>0</v>
      </c>
      <c r="U296" s="26">
        <f>IFERROR(__xludf.DUMMYFUNCTION("""COMPUTED_VALUE"""),0.0)</f>
        <v>0</v>
      </c>
      <c r="V296" s="26">
        <f>IFERROR(__xludf.DUMMYFUNCTION("""COMPUTED_VALUE"""),0.0)</f>
        <v>0</v>
      </c>
      <c r="W296" s="26">
        <f>IFERROR(__xludf.DUMMYFUNCTION("""COMPUTED_VALUE"""),0.0)</f>
        <v>0</v>
      </c>
      <c r="X296" s="26">
        <f>IFERROR(__xludf.DUMMYFUNCTION("""COMPUTED_VALUE"""),0.0)</f>
        <v>0</v>
      </c>
      <c r="Y296" s="26">
        <f>IFERROR(__xludf.DUMMYFUNCTION("""COMPUTED_VALUE"""),0.0)</f>
        <v>0</v>
      </c>
      <c r="Z296" s="26">
        <f>IFERROR(__xludf.DUMMYFUNCTION("""COMPUTED_VALUE"""),0.0)</f>
        <v>0</v>
      </c>
      <c r="AA296" s="26">
        <f>IFERROR(__xludf.DUMMYFUNCTION("""COMPUTED_VALUE"""),0.0)</f>
        <v>0</v>
      </c>
      <c r="AB296" s="26">
        <f>IFERROR(__xludf.DUMMYFUNCTION("""COMPUTED_VALUE"""),0.0)</f>
        <v>0</v>
      </c>
      <c r="AC296" s="26">
        <f>IFERROR(__xludf.DUMMYFUNCTION("""COMPUTED_VALUE"""),0.0)</f>
        <v>0</v>
      </c>
      <c r="AD296" s="26">
        <f>IFERROR(__xludf.DUMMYFUNCTION("""COMPUTED_VALUE"""),3139400.0)</f>
        <v>3139400</v>
      </c>
      <c r="AE296" s="26">
        <f>IFERROR(__xludf.DUMMYFUNCTION("""COMPUTED_VALUE"""),0.0)</f>
        <v>0</v>
      </c>
    </row>
    <row r="297">
      <c r="A297" s="26">
        <f>IFERROR(__xludf.DUMMYFUNCTION("""COMPUTED_VALUE"""),0.0)</f>
        <v>0</v>
      </c>
      <c r="B297" s="26">
        <f>IFERROR(__xludf.DUMMYFUNCTION("""COMPUTED_VALUE"""),0.0)</f>
        <v>0</v>
      </c>
      <c r="C297" s="26">
        <f>IFERROR(__xludf.DUMMYFUNCTION("""COMPUTED_VALUE"""),0.0)</f>
        <v>0</v>
      </c>
      <c r="D297" s="26">
        <f>IFERROR(__xludf.DUMMYFUNCTION("""COMPUTED_VALUE"""),0.0)</f>
        <v>0</v>
      </c>
      <c r="E297" s="26">
        <f>IFERROR(__xludf.DUMMYFUNCTION("""COMPUTED_VALUE"""),0.0)</f>
        <v>0</v>
      </c>
      <c r="F297" s="26">
        <f>IFERROR(__xludf.DUMMYFUNCTION("""COMPUTED_VALUE"""),0.0)</f>
        <v>0</v>
      </c>
      <c r="G297" s="26">
        <f>IFERROR(__xludf.DUMMYFUNCTION("""COMPUTED_VALUE"""),0.0)</f>
        <v>0</v>
      </c>
      <c r="H297" s="26">
        <f>IFERROR(__xludf.DUMMYFUNCTION("""COMPUTED_VALUE"""),0.0)</f>
        <v>0</v>
      </c>
      <c r="I297" s="26">
        <f>IFERROR(__xludf.DUMMYFUNCTION("""COMPUTED_VALUE"""),0.0)</f>
        <v>0</v>
      </c>
      <c r="J297" s="26">
        <f>IFERROR(__xludf.DUMMYFUNCTION("""COMPUTED_VALUE"""),0.0)</f>
        <v>0</v>
      </c>
      <c r="K297" s="26">
        <f>IFERROR(__xludf.DUMMYFUNCTION("""COMPUTED_VALUE"""),0.0)</f>
        <v>0</v>
      </c>
      <c r="L297" s="26"/>
      <c r="M297" s="26"/>
      <c r="N297" s="26"/>
      <c r="O297" s="26"/>
      <c r="P297" s="26"/>
      <c r="Q297" s="26"/>
      <c r="R297" s="26">
        <f>IFERROR(__xludf.DUMMYFUNCTION("""COMPUTED_VALUE"""),0.0)</f>
        <v>0</v>
      </c>
      <c r="S297" s="26">
        <f>IFERROR(__xludf.DUMMYFUNCTION("""COMPUTED_VALUE"""),0.0)</f>
        <v>0</v>
      </c>
      <c r="T297" s="26">
        <f>IFERROR(__xludf.DUMMYFUNCTION("""COMPUTED_VALUE"""),0.0)</f>
        <v>0</v>
      </c>
      <c r="U297" s="26">
        <f>IFERROR(__xludf.DUMMYFUNCTION("""COMPUTED_VALUE"""),0.0)</f>
        <v>0</v>
      </c>
      <c r="V297" s="26">
        <f>IFERROR(__xludf.DUMMYFUNCTION("""COMPUTED_VALUE"""),0.0)</f>
        <v>0</v>
      </c>
      <c r="W297" s="26">
        <f>IFERROR(__xludf.DUMMYFUNCTION("""COMPUTED_VALUE"""),0.0)</f>
        <v>0</v>
      </c>
      <c r="X297" s="26">
        <f>IFERROR(__xludf.DUMMYFUNCTION("""COMPUTED_VALUE"""),0.0)</f>
        <v>0</v>
      </c>
      <c r="Y297" s="26">
        <f>IFERROR(__xludf.DUMMYFUNCTION("""COMPUTED_VALUE"""),0.0)</f>
        <v>0</v>
      </c>
      <c r="Z297" s="26">
        <f>IFERROR(__xludf.DUMMYFUNCTION("""COMPUTED_VALUE"""),0.0)</f>
        <v>0</v>
      </c>
      <c r="AA297" s="26">
        <f>IFERROR(__xludf.DUMMYFUNCTION("""COMPUTED_VALUE"""),0.0)</f>
        <v>0</v>
      </c>
      <c r="AB297" s="26">
        <f>IFERROR(__xludf.DUMMYFUNCTION("""COMPUTED_VALUE"""),0.0)</f>
        <v>0</v>
      </c>
      <c r="AC297" s="26">
        <f>IFERROR(__xludf.DUMMYFUNCTION("""COMPUTED_VALUE"""),0.0)</f>
        <v>0</v>
      </c>
      <c r="AD297" s="26">
        <f>IFERROR(__xludf.DUMMYFUNCTION("""COMPUTED_VALUE"""),0.0)</f>
        <v>0</v>
      </c>
      <c r="AE297" s="26">
        <f>IFERROR(__xludf.DUMMYFUNCTION("""COMPUTED_VALUE"""),0.0)</f>
        <v>0</v>
      </c>
    </row>
    <row r="298">
      <c r="A298" s="26">
        <f>IFERROR(__xludf.DUMMYFUNCTION("""COMPUTED_VALUE"""),0.0)</f>
        <v>0</v>
      </c>
      <c r="B298" s="26">
        <f>IFERROR(__xludf.DUMMYFUNCTION("""COMPUTED_VALUE"""),0.0)</f>
        <v>0</v>
      </c>
      <c r="C298" s="26">
        <f>IFERROR(__xludf.DUMMYFUNCTION("""COMPUTED_VALUE"""),0.0)</f>
        <v>0</v>
      </c>
      <c r="D298" s="26">
        <f>IFERROR(__xludf.DUMMYFUNCTION("""COMPUTED_VALUE"""),0.0)</f>
        <v>0</v>
      </c>
      <c r="E298" s="26">
        <f>IFERROR(__xludf.DUMMYFUNCTION("""COMPUTED_VALUE"""),0.0)</f>
        <v>0</v>
      </c>
      <c r="F298" s="26">
        <f>IFERROR(__xludf.DUMMYFUNCTION("""COMPUTED_VALUE"""),0.0)</f>
        <v>0</v>
      </c>
      <c r="G298" s="26">
        <f>IFERROR(__xludf.DUMMYFUNCTION("""COMPUTED_VALUE"""),0.0)</f>
        <v>0</v>
      </c>
      <c r="H298" s="26">
        <f>IFERROR(__xludf.DUMMYFUNCTION("""COMPUTED_VALUE"""),0.0)</f>
        <v>0</v>
      </c>
      <c r="I298" s="26">
        <f>IFERROR(__xludf.DUMMYFUNCTION("""COMPUTED_VALUE"""),0.0)</f>
        <v>0</v>
      </c>
      <c r="J298" s="26">
        <f>IFERROR(__xludf.DUMMYFUNCTION("""COMPUTED_VALUE"""),0.0)</f>
        <v>0</v>
      </c>
      <c r="K298" s="26">
        <f>IFERROR(__xludf.DUMMYFUNCTION("""COMPUTED_VALUE"""),0.0)</f>
        <v>0</v>
      </c>
      <c r="L298" s="26"/>
      <c r="M298" s="26"/>
      <c r="N298" s="26"/>
      <c r="O298" s="26"/>
      <c r="P298" s="26"/>
      <c r="Q298" s="26"/>
      <c r="R298" s="26">
        <f>IFERROR(__xludf.DUMMYFUNCTION("""COMPUTED_VALUE"""),0.0)</f>
        <v>0</v>
      </c>
      <c r="S298" s="26">
        <f>IFERROR(__xludf.DUMMYFUNCTION("""COMPUTED_VALUE"""),0.0)</f>
        <v>0</v>
      </c>
      <c r="T298" s="26">
        <f>IFERROR(__xludf.DUMMYFUNCTION("""COMPUTED_VALUE"""),0.0)</f>
        <v>0</v>
      </c>
      <c r="U298" s="26">
        <f>IFERROR(__xludf.DUMMYFUNCTION("""COMPUTED_VALUE"""),0.0)</f>
        <v>0</v>
      </c>
      <c r="V298" s="26">
        <f>IFERROR(__xludf.DUMMYFUNCTION("""COMPUTED_VALUE"""),0.0)</f>
        <v>0</v>
      </c>
      <c r="W298" s="26">
        <f>IFERROR(__xludf.DUMMYFUNCTION("""COMPUTED_VALUE"""),0.0)</f>
        <v>0</v>
      </c>
      <c r="X298" s="26">
        <f>IFERROR(__xludf.DUMMYFUNCTION("""COMPUTED_VALUE"""),0.0)</f>
        <v>0</v>
      </c>
      <c r="Y298" s="26">
        <f>IFERROR(__xludf.DUMMYFUNCTION("""COMPUTED_VALUE"""),0.0)</f>
        <v>0</v>
      </c>
      <c r="Z298" s="26">
        <f>IFERROR(__xludf.DUMMYFUNCTION("""COMPUTED_VALUE"""),0.0)</f>
        <v>0</v>
      </c>
      <c r="AA298" s="26">
        <f>IFERROR(__xludf.DUMMYFUNCTION("""COMPUTED_VALUE"""),0.0)</f>
        <v>0</v>
      </c>
      <c r="AB298" s="26">
        <f>IFERROR(__xludf.DUMMYFUNCTION("""COMPUTED_VALUE"""),0.0)</f>
        <v>0</v>
      </c>
      <c r="AC298" s="26">
        <f>IFERROR(__xludf.DUMMYFUNCTION("""COMPUTED_VALUE"""),0.0)</f>
        <v>0</v>
      </c>
      <c r="AD298" s="26">
        <f>IFERROR(__xludf.DUMMYFUNCTION("""COMPUTED_VALUE"""),0.0)</f>
        <v>0</v>
      </c>
      <c r="AE298" s="26">
        <f>IFERROR(__xludf.DUMMYFUNCTION("""COMPUTED_VALUE"""),0.0)</f>
        <v>0</v>
      </c>
    </row>
    <row r="299">
      <c r="A299" s="26">
        <f>IFERROR(__xludf.DUMMYFUNCTION("""COMPUTED_VALUE"""),1.0)</f>
        <v>1</v>
      </c>
      <c r="B299" s="26">
        <f>IFERROR(__xludf.DUMMYFUNCTION("""COMPUTED_VALUE"""),0.0)</f>
        <v>0</v>
      </c>
      <c r="C299" s="26">
        <f>IFERROR(__xludf.DUMMYFUNCTION("""COMPUTED_VALUE"""),0.0)</f>
        <v>0</v>
      </c>
      <c r="D299" s="26">
        <f>IFERROR(__xludf.DUMMYFUNCTION("""COMPUTED_VALUE"""),0.0)</f>
        <v>0</v>
      </c>
      <c r="E299" s="26">
        <f>IFERROR(__xludf.DUMMYFUNCTION("""COMPUTED_VALUE"""),0.0)</f>
        <v>0</v>
      </c>
      <c r="F299" s="26">
        <f>IFERROR(__xludf.DUMMYFUNCTION("""COMPUTED_VALUE"""),0.0)</f>
        <v>0</v>
      </c>
      <c r="G299" s="26">
        <f>IFERROR(__xludf.DUMMYFUNCTION("""COMPUTED_VALUE"""),0.0)</f>
        <v>0</v>
      </c>
      <c r="H299" s="26">
        <f>IFERROR(__xludf.DUMMYFUNCTION("""COMPUTED_VALUE"""),0.0)</f>
        <v>0</v>
      </c>
      <c r="I299" s="26">
        <f>IFERROR(__xludf.DUMMYFUNCTION("""COMPUTED_VALUE"""),0.0)</f>
        <v>0</v>
      </c>
      <c r="J299" s="26">
        <f>IFERROR(__xludf.DUMMYFUNCTION("""COMPUTED_VALUE"""),0.0)</f>
        <v>0</v>
      </c>
      <c r="K299" s="26">
        <f>IFERROR(__xludf.DUMMYFUNCTION("""COMPUTED_VALUE"""),0.0)</f>
        <v>0</v>
      </c>
      <c r="L299" s="26"/>
      <c r="M299" s="26"/>
      <c r="N299" s="26"/>
      <c r="O299" s="26"/>
      <c r="P299" s="26"/>
      <c r="Q299" s="26"/>
      <c r="R299" s="26">
        <f>IFERROR(__xludf.DUMMYFUNCTION("""COMPUTED_VALUE"""),390.0)</f>
        <v>390</v>
      </c>
      <c r="S299" s="26">
        <f>IFERROR(__xludf.DUMMYFUNCTION("""COMPUTED_VALUE"""),205.0)</f>
        <v>205</v>
      </c>
      <c r="T299" s="26">
        <f>IFERROR(__xludf.DUMMYFUNCTION("""COMPUTED_VALUE"""),0.0)</f>
        <v>0</v>
      </c>
      <c r="U299" s="26">
        <f>IFERROR(__xludf.DUMMYFUNCTION("""COMPUTED_VALUE"""),0.0)</f>
        <v>0</v>
      </c>
      <c r="V299" s="26">
        <f>IFERROR(__xludf.DUMMYFUNCTION("""COMPUTED_VALUE"""),59.49)</f>
        <v>59.49</v>
      </c>
      <c r="W299" s="26">
        <f>IFERROR(__xludf.DUMMYFUNCTION("""COMPUTED_VALUE"""),0.0)</f>
        <v>0</v>
      </c>
      <c r="X299" s="26">
        <f>IFERROR(__xludf.DUMMYFUNCTION("""COMPUTED_VALUE"""),0.0)</f>
        <v>0</v>
      </c>
      <c r="Y299" s="26">
        <f>IFERROR(__xludf.DUMMYFUNCTION("""COMPUTED_VALUE"""),0.0)</f>
        <v>0</v>
      </c>
      <c r="Z299" s="26">
        <f>IFERROR(__xludf.DUMMYFUNCTION("""COMPUTED_VALUE"""),0.0)</f>
        <v>0</v>
      </c>
      <c r="AA299" s="26">
        <f>IFERROR(__xludf.DUMMYFUNCTION("""COMPUTED_VALUE"""),0.0)</f>
        <v>0</v>
      </c>
      <c r="AB299" s="26">
        <f>IFERROR(__xludf.DUMMYFUNCTION("""COMPUTED_VALUE"""),0.0)</f>
        <v>0</v>
      </c>
      <c r="AC299" s="26">
        <f>IFERROR(__xludf.DUMMYFUNCTION("""COMPUTED_VALUE"""),0.0)</f>
        <v>0</v>
      </c>
      <c r="AD299" s="26">
        <f>IFERROR(__xludf.DUMMYFUNCTION("""COMPUTED_VALUE"""),0.0)</f>
        <v>0</v>
      </c>
      <c r="AE299" s="26">
        <f>IFERROR(__xludf.DUMMYFUNCTION("""COMPUTED_VALUE"""),0.0)</f>
        <v>0</v>
      </c>
    </row>
    <row r="300">
      <c r="A300" s="26">
        <f>IFERROR(__xludf.DUMMYFUNCTION("""COMPUTED_VALUE"""),5.0)</f>
        <v>5</v>
      </c>
      <c r="B300" s="26">
        <f>IFERROR(__xludf.DUMMYFUNCTION("""COMPUTED_VALUE"""),0.0)</f>
        <v>0</v>
      </c>
      <c r="C300" s="26">
        <f>IFERROR(__xludf.DUMMYFUNCTION("""COMPUTED_VALUE"""),0.0)</f>
        <v>0</v>
      </c>
      <c r="D300" s="26">
        <f>IFERROR(__xludf.DUMMYFUNCTION("""COMPUTED_VALUE"""),0.0)</f>
        <v>0</v>
      </c>
      <c r="E300" s="26">
        <f>IFERROR(__xludf.DUMMYFUNCTION("""COMPUTED_VALUE"""),103.0)</f>
        <v>103</v>
      </c>
      <c r="F300" s="26">
        <f>IFERROR(__xludf.DUMMYFUNCTION("""COMPUTED_VALUE"""),0.0)</f>
        <v>0</v>
      </c>
      <c r="G300" s="26">
        <f>IFERROR(__xludf.DUMMYFUNCTION("""COMPUTED_VALUE"""),0.0)</f>
        <v>0</v>
      </c>
      <c r="H300" s="26">
        <f>IFERROR(__xludf.DUMMYFUNCTION("""COMPUTED_VALUE"""),0.0)</f>
        <v>0</v>
      </c>
      <c r="I300" s="26">
        <f>IFERROR(__xludf.DUMMYFUNCTION("""COMPUTED_VALUE"""),0.0)</f>
        <v>0</v>
      </c>
      <c r="J300" s="26">
        <f>IFERROR(__xludf.DUMMYFUNCTION("""COMPUTED_VALUE"""),0.0)</f>
        <v>0</v>
      </c>
      <c r="K300" s="26">
        <f>IFERROR(__xludf.DUMMYFUNCTION("""COMPUTED_VALUE"""),0.0)</f>
        <v>0</v>
      </c>
      <c r="L300" s="26"/>
      <c r="M300" s="26"/>
      <c r="N300" s="26"/>
      <c r="O300" s="26"/>
      <c r="P300" s="26"/>
      <c r="Q300" s="26"/>
      <c r="R300" s="26">
        <f>IFERROR(__xludf.DUMMYFUNCTION("""COMPUTED_VALUE"""),193000.0)</f>
        <v>193000</v>
      </c>
      <c r="S300" s="26">
        <f>IFERROR(__xludf.DUMMYFUNCTION("""COMPUTED_VALUE"""),18360.0)</f>
        <v>18360</v>
      </c>
      <c r="T300" s="26">
        <f>IFERROR(__xludf.DUMMYFUNCTION("""COMPUTED_VALUE"""),0.0)</f>
        <v>0</v>
      </c>
      <c r="U300" s="26">
        <f>IFERROR(__xludf.DUMMYFUNCTION("""COMPUTED_VALUE"""),0.0)</f>
        <v>0</v>
      </c>
      <c r="V300" s="26">
        <f>IFERROR(__xludf.DUMMYFUNCTION("""COMPUTED_VALUE"""),29440.34999999999)</f>
        <v>29440.35</v>
      </c>
      <c r="W300" s="26">
        <f>IFERROR(__xludf.DUMMYFUNCTION("""COMPUTED_VALUE"""),0.0)</f>
        <v>0</v>
      </c>
      <c r="X300" s="26">
        <f>IFERROR(__xludf.DUMMYFUNCTION("""COMPUTED_VALUE"""),0.0)</f>
        <v>0</v>
      </c>
      <c r="Y300" s="26">
        <f>IFERROR(__xludf.DUMMYFUNCTION("""COMPUTED_VALUE"""),0.0)</f>
        <v>0</v>
      </c>
      <c r="Z300" s="26">
        <f>IFERROR(__xludf.DUMMYFUNCTION("""COMPUTED_VALUE"""),0.0)</f>
        <v>0</v>
      </c>
      <c r="AA300" s="26">
        <f>IFERROR(__xludf.DUMMYFUNCTION("""COMPUTED_VALUE"""),0.0)</f>
        <v>0</v>
      </c>
      <c r="AB300" s="26">
        <f>IFERROR(__xludf.DUMMYFUNCTION("""COMPUTED_VALUE"""),0.0)</f>
        <v>0</v>
      </c>
      <c r="AC300" s="26">
        <f>IFERROR(__xludf.DUMMYFUNCTION("""COMPUTED_VALUE"""),0.0)</f>
        <v>0</v>
      </c>
      <c r="AD300" s="26">
        <f>IFERROR(__xludf.DUMMYFUNCTION("""COMPUTED_VALUE"""),0.0)</f>
        <v>0</v>
      </c>
      <c r="AE300" s="26">
        <f>IFERROR(__xludf.DUMMYFUNCTION("""COMPUTED_VALUE"""),0.0)</f>
        <v>0</v>
      </c>
    </row>
    <row r="301">
      <c r="A301" s="26">
        <f>IFERROR(__xludf.DUMMYFUNCTION("""COMPUTED_VALUE"""),0.0)</f>
        <v>0</v>
      </c>
      <c r="B301" s="26">
        <f>IFERROR(__xludf.DUMMYFUNCTION("""COMPUTED_VALUE"""),0.0)</f>
        <v>0</v>
      </c>
      <c r="C301" s="26">
        <f>IFERROR(__xludf.DUMMYFUNCTION("""COMPUTED_VALUE"""),0.0)</f>
        <v>0</v>
      </c>
      <c r="D301" s="26">
        <f>IFERROR(__xludf.DUMMYFUNCTION("""COMPUTED_VALUE"""),0.0)</f>
        <v>0</v>
      </c>
      <c r="E301" s="26">
        <f>IFERROR(__xludf.DUMMYFUNCTION("""COMPUTED_VALUE"""),0.0)</f>
        <v>0</v>
      </c>
      <c r="F301" s="26">
        <f>IFERROR(__xludf.DUMMYFUNCTION("""COMPUTED_VALUE"""),0.0)</f>
        <v>0</v>
      </c>
      <c r="G301" s="26">
        <f>IFERROR(__xludf.DUMMYFUNCTION("""COMPUTED_VALUE"""),0.0)</f>
        <v>0</v>
      </c>
      <c r="H301" s="26">
        <f>IFERROR(__xludf.DUMMYFUNCTION("""COMPUTED_VALUE"""),0.0)</f>
        <v>0</v>
      </c>
      <c r="I301" s="26">
        <f>IFERROR(__xludf.DUMMYFUNCTION("""COMPUTED_VALUE"""),0.0)</f>
        <v>0</v>
      </c>
      <c r="J301" s="26">
        <f>IFERROR(__xludf.DUMMYFUNCTION("""COMPUTED_VALUE"""),0.0)</f>
        <v>0</v>
      </c>
      <c r="K301" s="26">
        <f>IFERROR(__xludf.DUMMYFUNCTION("""COMPUTED_VALUE"""),0.0)</f>
        <v>0</v>
      </c>
      <c r="L301" s="26"/>
      <c r="M301" s="26"/>
      <c r="N301" s="26"/>
      <c r="O301" s="26"/>
      <c r="P301" s="26"/>
      <c r="Q301" s="26"/>
      <c r="R301" s="26">
        <f>IFERROR(__xludf.DUMMYFUNCTION("""COMPUTED_VALUE"""),0.0)</f>
        <v>0</v>
      </c>
      <c r="S301" s="26">
        <f>IFERROR(__xludf.DUMMYFUNCTION("""COMPUTED_VALUE"""),0.0)</f>
        <v>0</v>
      </c>
      <c r="T301" s="26">
        <f>IFERROR(__xludf.DUMMYFUNCTION("""COMPUTED_VALUE"""),0.0)</f>
        <v>0</v>
      </c>
      <c r="U301" s="26">
        <f>IFERROR(__xludf.DUMMYFUNCTION("""COMPUTED_VALUE"""),0.0)</f>
        <v>0</v>
      </c>
      <c r="V301" s="26">
        <f>IFERROR(__xludf.DUMMYFUNCTION("""COMPUTED_VALUE"""),0.0)</f>
        <v>0</v>
      </c>
      <c r="W301" s="26">
        <f>IFERROR(__xludf.DUMMYFUNCTION("""COMPUTED_VALUE"""),0.0)</f>
        <v>0</v>
      </c>
      <c r="X301" s="26">
        <f>IFERROR(__xludf.DUMMYFUNCTION("""COMPUTED_VALUE"""),0.0)</f>
        <v>0</v>
      </c>
      <c r="Y301" s="26">
        <f>IFERROR(__xludf.DUMMYFUNCTION("""COMPUTED_VALUE"""),0.0)</f>
        <v>0</v>
      </c>
      <c r="Z301" s="26">
        <f>IFERROR(__xludf.DUMMYFUNCTION("""COMPUTED_VALUE"""),0.0)</f>
        <v>0</v>
      </c>
      <c r="AA301" s="26">
        <f>IFERROR(__xludf.DUMMYFUNCTION("""COMPUTED_VALUE"""),0.0)</f>
        <v>0</v>
      </c>
      <c r="AB301" s="26">
        <f>IFERROR(__xludf.DUMMYFUNCTION("""COMPUTED_VALUE"""),0.0)</f>
        <v>0</v>
      </c>
      <c r="AC301" s="26">
        <f>IFERROR(__xludf.DUMMYFUNCTION("""COMPUTED_VALUE"""),0.0)</f>
        <v>0</v>
      </c>
      <c r="AD301" s="26">
        <f>IFERROR(__xludf.DUMMYFUNCTION("""COMPUTED_VALUE"""),90000.0)</f>
        <v>90000</v>
      </c>
      <c r="AE301" s="26">
        <f>IFERROR(__xludf.DUMMYFUNCTION("""COMPUTED_VALUE"""),0.0)</f>
        <v>0</v>
      </c>
    </row>
    <row r="302">
      <c r="A302" s="26">
        <f>IFERROR(__xludf.DUMMYFUNCTION("""COMPUTED_VALUE"""),0.0)</f>
        <v>0</v>
      </c>
      <c r="B302" s="26">
        <f>IFERROR(__xludf.DUMMYFUNCTION("""COMPUTED_VALUE"""),0.0)</f>
        <v>0</v>
      </c>
      <c r="C302" s="26">
        <f>IFERROR(__xludf.DUMMYFUNCTION("""COMPUTED_VALUE"""),0.0)</f>
        <v>0</v>
      </c>
      <c r="D302" s="26">
        <f>IFERROR(__xludf.DUMMYFUNCTION("""COMPUTED_VALUE"""),0.0)</f>
        <v>0</v>
      </c>
      <c r="E302" s="26">
        <f>IFERROR(__xludf.DUMMYFUNCTION("""COMPUTED_VALUE"""),0.0)</f>
        <v>0</v>
      </c>
      <c r="F302" s="26">
        <f>IFERROR(__xludf.DUMMYFUNCTION("""COMPUTED_VALUE"""),0.0)</f>
        <v>0</v>
      </c>
      <c r="G302" s="26">
        <f>IFERROR(__xludf.DUMMYFUNCTION("""COMPUTED_VALUE"""),0.0)</f>
        <v>0</v>
      </c>
      <c r="H302" s="26">
        <f>IFERROR(__xludf.DUMMYFUNCTION("""COMPUTED_VALUE"""),0.0)</f>
        <v>0</v>
      </c>
      <c r="I302" s="26">
        <f>IFERROR(__xludf.DUMMYFUNCTION("""COMPUTED_VALUE"""),0.0)</f>
        <v>0</v>
      </c>
      <c r="J302" s="26">
        <f>IFERROR(__xludf.DUMMYFUNCTION("""COMPUTED_VALUE"""),0.0)</f>
        <v>0</v>
      </c>
      <c r="K302" s="26">
        <f>IFERROR(__xludf.DUMMYFUNCTION("""COMPUTED_VALUE"""),0.0)</f>
        <v>0</v>
      </c>
      <c r="L302" s="26"/>
      <c r="M302" s="26"/>
      <c r="N302" s="26"/>
      <c r="O302" s="26"/>
      <c r="P302" s="26"/>
      <c r="Q302" s="26"/>
      <c r="R302" s="26">
        <f>IFERROR(__xludf.DUMMYFUNCTION("""COMPUTED_VALUE"""),0.0)</f>
        <v>0</v>
      </c>
      <c r="S302" s="26">
        <f>IFERROR(__xludf.DUMMYFUNCTION("""COMPUTED_VALUE"""),0.0)</f>
        <v>0</v>
      </c>
      <c r="T302" s="26">
        <f>IFERROR(__xludf.DUMMYFUNCTION("""COMPUTED_VALUE"""),0.0)</f>
        <v>0</v>
      </c>
      <c r="U302" s="26">
        <f>IFERROR(__xludf.DUMMYFUNCTION("""COMPUTED_VALUE"""),0.0)</f>
        <v>0</v>
      </c>
      <c r="V302" s="26">
        <f>IFERROR(__xludf.DUMMYFUNCTION("""COMPUTED_VALUE"""),0.0)</f>
        <v>0</v>
      </c>
      <c r="W302" s="26">
        <f>IFERROR(__xludf.DUMMYFUNCTION("""COMPUTED_VALUE"""),0.0)</f>
        <v>0</v>
      </c>
      <c r="X302" s="26">
        <f>IFERROR(__xludf.DUMMYFUNCTION("""COMPUTED_VALUE"""),0.0)</f>
        <v>0</v>
      </c>
      <c r="Y302" s="26">
        <f>IFERROR(__xludf.DUMMYFUNCTION("""COMPUTED_VALUE"""),0.0)</f>
        <v>0</v>
      </c>
      <c r="Z302" s="26">
        <f>IFERROR(__xludf.DUMMYFUNCTION("""COMPUTED_VALUE"""),0.0)</f>
        <v>0</v>
      </c>
      <c r="AA302" s="26">
        <f>IFERROR(__xludf.DUMMYFUNCTION("""COMPUTED_VALUE"""),0.0)</f>
        <v>0</v>
      </c>
      <c r="AB302" s="26">
        <f>IFERROR(__xludf.DUMMYFUNCTION("""COMPUTED_VALUE"""),0.0)</f>
        <v>0</v>
      </c>
      <c r="AC302" s="26">
        <f>IFERROR(__xludf.DUMMYFUNCTION("""COMPUTED_VALUE"""),0.0)</f>
        <v>0</v>
      </c>
      <c r="AD302" s="26">
        <f>IFERROR(__xludf.DUMMYFUNCTION("""COMPUTED_VALUE"""),0.0)</f>
        <v>0</v>
      </c>
      <c r="AE302" s="26">
        <f>IFERROR(__xludf.DUMMYFUNCTION("""COMPUTED_VALUE"""),0.0)</f>
        <v>0</v>
      </c>
    </row>
    <row r="303">
      <c r="A303" s="26">
        <f>IFERROR(__xludf.DUMMYFUNCTION("""COMPUTED_VALUE"""),0.0)</f>
        <v>0</v>
      </c>
      <c r="B303" s="26">
        <f>IFERROR(__xludf.DUMMYFUNCTION("""COMPUTED_VALUE"""),2.0)</f>
        <v>2</v>
      </c>
      <c r="C303" s="26">
        <f>IFERROR(__xludf.DUMMYFUNCTION("""COMPUTED_VALUE"""),2.0)</f>
        <v>2</v>
      </c>
      <c r="D303" s="26">
        <f>IFERROR(__xludf.DUMMYFUNCTION("""COMPUTED_VALUE"""),0.0)</f>
        <v>0</v>
      </c>
      <c r="E303" s="26">
        <f>IFERROR(__xludf.DUMMYFUNCTION("""COMPUTED_VALUE"""),0.0)</f>
        <v>0</v>
      </c>
      <c r="F303" s="26">
        <f>IFERROR(__xludf.DUMMYFUNCTION("""COMPUTED_VALUE"""),0.0)</f>
        <v>0</v>
      </c>
      <c r="G303" s="26">
        <f>IFERROR(__xludf.DUMMYFUNCTION("""COMPUTED_VALUE"""),0.0)</f>
        <v>0</v>
      </c>
      <c r="H303" s="26">
        <f>IFERROR(__xludf.DUMMYFUNCTION("""COMPUTED_VALUE"""),0.0)</f>
        <v>0</v>
      </c>
      <c r="I303" s="26">
        <f>IFERROR(__xludf.DUMMYFUNCTION("""COMPUTED_VALUE"""),0.0)</f>
        <v>0</v>
      </c>
      <c r="J303" s="26">
        <f>IFERROR(__xludf.DUMMYFUNCTION("""COMPUTED_VALUE"""),0.0)</f>
        <v>0</v>
      </c>
      <c r="K303" s="26">
        <f>IFERROR(__xludf.DUMMYFUNCTION("""COMPUTED_VALUE"""),0.0)</f>
        <v>0</v>
      </c>
      <c r="L303" s="26"/>
      <c r="M303" s="26"/>
      <c r="N303" s="26"/>
      <c r="O303" s="26"/>
      <c r="P303" s="26"/>
      <c r="Q303" s="26"/>
      <c r="R303" s="26">
        <f>IFERROR(__xludf.DUMMYFUNCTION("""COMPUTED_VALUE"""),2312.0)</f>
        <v>2312</v>
      </c>
      <c r="S303" s="26">
        <f>IFERROR(__xludf.DUMMYFUNCTION("""COMPUTED_VALUE"""),990.0)</f>
        <v>990</v>
      </c>
      <c r="T303" s="26">
        <f>IFERROR(__xludf.DUMMYFUNCTION("""COMPUTED_VALUE"""),0.0)</f>
        <v>0</v>
      </c>
      <c r="U303" s="26">
        <f>IFERROR(__xludf.DUMMYFUNCTION("""COMPUTED_VALUE"""),0.0)</f>
        <v>0</v>
      </c>
      <c r="V303" s="26">
        <f>IFERROR(__xludf.DUMMYFUNCTION("""COMPUTED_VALUE"""),352.67)</f>
        <v>352.67</v>
      </c>
      <c r="W303" s="26">
        <f>IFERROR(__xludf.DUMMYFUNCTION("""COMPUTED_VALUE"""),1391.1399999999999)</f>
        <v>1391.14</v>
      </c>
      <c r="X303" s="26">
        <f>IFERROR(__xludf.DUMMYFUNCTION("""COMPUTED_VALUE"""),1391.1399999999999)</f>
        <v>1391.14</v>
      </c>
      <c r="Y303" s="26">
        <f>IFERROR(__xludf.DUMMYFUNCTION("""COMPUTED_VALUE"""),969.33)</f>
        <v>969.33</v>
      </c>
      <c r="Z303" s="26">
        <f>IFERROR(__xludf.DUMMYFUNCTION("""COMPUTED_VALUE"""),920.86)</f>
        <v>920.86</v>
      </c>
      <c r="AA303" s="26">
        <f>IFERROR(__xludf.DUMMYFUNCTION("""COMPUTED_VALUE"""),48.470000000000006)</f>
        <v>48.47</v>
      </c>
      <c r="AB303" s="26">
        <f>IFERROR(__xludf.DUMMYFUNCTION("""COMPUTED_VALUE"""),0.0)</f>
        <v>0</v>
      </c>
      <c r="AC303" s="26">
        <f>IFERROR(__xludf.DUMMYFUNCTION("""COMPUTED_VALUE"""),0.0)</f>
        <v>0</v>
      </c>
      <c r="AD303" s="26">
        <f>IFERROR(__xludf.DUMMYFUNCTION("""COMPUTED_VALUE"""),2000.0)</f>
        <v>2000</v>
      </c>
      <c r="AE303" s="26">
        <f>IFERROR(__xludf.DUMMYFUNCTION("""COMPUTED_VALUE"""),0.0)</f>
        <v>0</v>
      </c>
    </row>
    <row r="304">
      <c r="A304" s="26">
        <f>IFERROR(__xludf.DUMMYFUNCTION("""COMPUTED_VALUE"""),0.0)</f>
        <v>0</v>
      </c>
      <c r="B304" s="26">
        <f>IFERROR(__xludf.DUMMYFUNCTION("""COMPUTED_VALUE"""),0.0)</f>
        <v>0</v>
      </c>
      <c r="C304" s="26">
        <f>IFERROR(__xludf.DUMMYFUNCTION("""COMPUTED_VALUE"""),0.0)</f>
        <v>0</v>
      </c>
      <c r="D304" s="26">
        <f>IFERROR(__xludf.DUMMYFUNCTION("""COMPUTED_VALUE"""),0.0)</f>
        <v>0</v>
      </c>
      <c r="E304" s="26">
        <f>IFERROR(__xludf.DUMMYFUNCTION("""COMPUTED_VALUE"""),49.0)</f>
        <v>49</v>
      </c>
      <c r="F304" s="26">
        <f>IFERROR(__xludf.DUMMYFUNCTION("""COMPUTED_VALUE"""),0.0)</f>
        <v>0</v>
      </c>
      <c r="G304" s="26">
        <f>IFERROR(__xludf.DUMMYFUNCTION("""COMPUTED_VALUE"""),0.0)</f>
        <v>0</v>
      </c>
      <c r="H304" s="26">
        <f>IFERROR(__xludf.DUMMYFUNCTION("""COMPUTED_VALUE"""),0.0)</f>
        <v>0</v>
      </c>
      <c r="I304" s="26">
        <f>IFERROR(__xludf.DUMMYFUNCTION("""COMPUTED_VALUE"""),0.0)</f>
        <v>0</v>
      </c>
      <c r="J304" s="26">
        <f>IFERROR(__xludf.DUMMYFUNCTION("""COMPUTED_VALUE"""),0.0)</f>
        <v>0</v>
      </c>
      <c r="K304" s="26">
        <f>IFERROR(__xludf.DUMMYFUNCTION("""COMPUTED_VALUE"""),0.0)</f>
        <v>0</v>
      </c>
      <c r="L304" s="26"/>
      <c r="M304" s="26"/>
      <c r="N304" s="26"/>
      <c r="O304" s="26"/>
      <c r="P304" s="26"/>
      <c r="Q304" s="26"/>
      <c r="R304" s="26">
        <f>IFERROR(__xludf.DUMMYFUNCTION("""COMPUTED_VALUE"""),8962.1)</f>
        <v>8962.1</v>
      </c>
      <c r="S304" s="26">
        <f>IFERROR(__xludf.DUMMYFUNCTION("""COMPUTED_VALUE"""),7595.0)</f>
        <v>7595</v>
      </c>
      <c r="T304" s="26">
        <f>IFERROR(__xludf.DUMMYFUNCTION("""COMPUTED_VALUE"""),27.9)</f>
        <v>27.9</v>
      </c>
      <c r="U304" s="26">
        <f>IFERROR(__xludf.DUMMYFUNCTION("""COMPUTED_VALUE"""),27.9)</f>
        <v>27.9</v>
      </c>
      <c r="V304" s="26">
        <f>IFERROR(__xludf.DUMMYFUNCTION("""COMPUTED_VALUE"""),1311.2999999999993)</f>
        <v>1311.3</v>
      </c>
      <c r="W304" s="26">
        <f>IFERROR(__xludf.DUMMYFUNCTION("""COMPUTED_VALUE"""),0.0)</f>
        <v>0</v>
      </c>
      <c r="X304" s="26">
        <f>IFERROR(__xludf.DUMMYFUNCTION("""COMPUTED_VALUE"""),0.0)</f>
        <v>0</v>
      </c>
      <c r="Y304" s="26">
        <f>IFERROR(__xludf.DUMMYFUNCTION("""COMPUTED_VALUE"""),0.0)</f>
        <v>0</v>
      </c>
      <c r="Z304" s="26">
        <f>IFERROR(__xludf.DUMMYFUNCTION("""COMPUTED_VALUE"""),0.0)</f>
        <v>0</v>
      </c>
      <c r="AA304" s="26">
        <f>IFERROR(__xludf.DUMMYFUNCTION("""COMPUTED_VALUE"""),0.0)</f>
        <v>0</v>
      </c>
      <c r="AB304" s="26">
        <f>IFERROR(__xludf.DUMMYFUNCTION("""COMPUTED_VALUE"""),0.0)</f>
        <v>0</v>
      </c>
      <c r="AC304" s="26">
        <f>IFERROR(__xludf.DUMMYFUNCTION("""COMPUTED_VALUE"""),0.0)</f>
        <v>0</v>
      </c>
      <c r="AD304" s="26">
        <f>IFERROR(__xludf.DUMMYFUNCTION("""COMPUTED_VALUE"""),0.0)</f>
        <v>0</v>
      </c>
      <c r="AE304" s="26">
        <f>IFERROR(__xludf.DUMMYFUNCTION("""COMPUTED_VALUE"""),0.0)</f>
        <v>0</v>
      </c>
    </row>
    <row r="305">
      <c r="A305" s="26">
        <f>IFERROR(__xludf.DUMMYFUNCTION("""COMPUTED_VALUE"""),41.0)</f>
        <v>41</v>
      </c>
      <c r="B305" s="26">
        <f>IFERROR(__xludf.DUMMYFUNCTION("""COMPUTED_VALUE"""),0.0)</f>
        <v>0</v>
      </c>
      <c r="C305" s="26">
        <f>IFERROR(__xludf.DUMMYFUNCTION("""COMPUTED_VALUE"""),0.0)</f>
        <v>0</v>
      </c>
      <c r="D305" s="26">
        <f>IFERROR(__xludf.DUMMYFUNCTION("""COMPUTED_VALUE"""),0.0)</f>
        <v>0</v>
      </c>
      <c r="E305" s="26">
        <f>IFERROR(__xludf.DUMMYFUNCTION("""COMPUTED_VALUE"""),0.0)</f>
        <v>0</v>
      </c>
      <c r="F305" s="26">
        <f>IFERROR(__xludf.DUMMYFUNCTION("""COMPUTED_VALUE"""),0.0)</f>
        <v>0</v>
      </c>
      <c r="G305" s="26">
        <f>IFERROR(__xludf.DUMMYFUNCTION("""COMPUTED_VALUE"""),0.0)</f>
        <v>0</v>
      </c>
      <c r="H305" s="26">
        <f>IFERROR(__xludf.DUMMYFUNCTION("""COMPUTED_VALUE"""),0.0)</f>
        <v>0</v>
      </c>
      <c r="I305" s="26">
        <f>IFERROR(__xludf.DUMMYFUNCTION("""COMPUTED_VALUE"""),0.0)</f>
        <v>0</v>
      </c>
      <c r="J305" s="26">
        <f>IFERROR(__xludf.DUMMYFUNCTION("""COMPUTED_VALUE"""),0.0)</f>
        <v>0</v>
      </c>
      <c r="K305" s="26">
        <f>IFERROR(__xludf.DUMMYFUNCTION("""COMPUTED_VALUE"""),0.0)</f>
        <v>0</v>
      </c>
      <c r="L305" s="26"/>
      <c r="M305" s="26"/>
      <c r="N305" s="26"/>
      <c r="O305" s="26"/>
      <c r="P305" s="26"/>
      <c r="Q305" s="26"/>
      <c r="R305" s="26">
        <f>IFERROR(__xludf.DUMMYFUNCTION("""COMPUTED_VALUE"""),18122.0)</f>
        <v>18122</v>
      </c>
      <c r="S305" s="26">
        <f>IFERROR(__xludf.DUMMYFUNCTION("""COMPUTED_VALUE"""),8815.0)</f>
        <v>8815</v>
      </c>
      <c r="T305" s="26">
        <f>IFERROR(__xludf.DUMMYFUNCTION("""COMPUTED_VALUE"""),0.0)</f>
        <v>0</v>
      </c>
      <c r="U305" s="26">
        <f>IFERROR(__xludf.DUMMYFUNCTION("""COMPUTED_VALUE"""),0.0)</f>
        <v>0</v>
      </c>
      <c r="V305" s="26">
        <f>IFERROR(__xludf.DUMMYFUNCTION("""COMPUTED_VALUE"""),2764.2199999999993)</f>
        <v>2764.22</v>
      </c>
      <c r="W305" s="26">
        <f>IFERROR(__xludf.DUMMYFUNCTION("""COMPUTED_VALUE"""),19448.0)</f>
        <v>19448</v>
      </c>
      <c r="X305" s="26">
        <f>IFERROR(__xludf.DUMMYFUNCTION("""COMPUTED_VALUE"""),12777.600000000002)</f>
        <v>12777.6</v>
      </c>
      <c r="Y305" s="26">
        <f>IFERROR(__xludf.DUMMYFUNCTION("""COMPUTED_VALUE"""),13085.559999999998)</f>
        <v>13085.56</v>
      </c>
      <c r="Z305" s="26">
        <f>IFERROR(__xludf.DUMMYFUNCTION("""COMPUTED_VALUE"""),0.0)</f>
        <v>0</v>
      </c>
      <c r="AA305" s="26">
        <f>IFERROR(__xludf.DUMMYFUNCTION("""COMPUTED_VALUE"""),654.3599999999999)</f>
        <v>654.36</v>
      </c>
      <c r="AB305" s="26">
        <f>IFERROR(__xludf.DUMMYFUNCTION("""COMPUTED_VALUE"""),12431.199999999997)</f>
        <v>12431.2</v>
      </c>
      <c r="AC305" s="26">
        <f>IFERROR(__xludf.DUMMYFUNCTION("""COMPUTED_VALUE"""),0.0)</f>
        <v>0</v>
      </c>
      <c r="AD305" s="26">
        <f>IFERROR(__xludf.DUMMYFUNCTION("""COMPUTED_VALUE"""),24500.0)</f>
        <v>24500</v>
      </c>
      <c r="AE305" s="26">
        <f>IFERROR(__xludf.DUMMYFUNCTION("""COMPUTED_VALUE"""),0.0)</f>
        <v>0</v>
      </c>
    </row>
    <row r="306">
      <c r="A306" s="26">
        <f>IFERROR(__xludf.DUMMYFUNCTION("""COMPUTED_VALUE"""),0.0)</f>
        <v>0</v>
      </c>
      <c r="B306" s="26">
        <f>IFERROR(__xludf.DUMMYFUNCTION("""COMPUTED_VALUE"""),0.0)</f>
        <v>0</v>
      </c>
      <c r="C306" s="26">
        <f>IFERROR(__xludf.DUMMYFUNCTION("""COMPUTED_VALUE"""),0.0)</f>
        <v>0</v>
      </c>
      <c r="D306" s="26">
        <f>IFERROR(__xludf.DUMMYFUNCTION("""COMPUTED_VALUE"""),0.0)</f>
        <v>0</v>
      </c>
      <c r="E306" s="26">
        <f>IFERROR(__xludf.DUMMYFUNCTION("""COMPUTED_VALUE"""),0.0)</f>
        <v>0</v>
      </c>
      <c r="F306" s="26">
        <f>IFERROR(__xludf.DUMMYFUNCTION("""COMPUTED_VALUE"""),0.0)</f>
        <v>0</v>
      </c>
      <c r="G306" s="26">
        <f>IFERROR(__xludf.DUMMYFUNCTION("""COMPUTED_VALUE"""),0.0)</f>
        <v>0</v>
      </c>
      <c r="H306" s="26">
        <f>IFERROR(__xludf.DUMMYFUNCTION("""COMPUTED_VALUE"""),0.0)</f>
        <v>0</v>
      </c>
      <c r="I306" s="26">
        <f>IFERROR(__xludf.DUMMYFUNCTION("""COMPUTED_VALUE"""),0.0)</f>
        <v>0</v>
      </c>
      <c r="J306" s="26">
        <f>IFERROR(__xludf.DUMMYFUNCTION("""COMPUTED_VALUE"""),0.0)</f>
        <v>0</v>
      </c>
      <c r="K306" s="26">
        <f>IFERROR(__xludf.DUMMYFUNCTION("""COMPUTED_VALUE"""),0.0)</f>
        <v>0</v>
      </c>
      <c r="L306" s="26"/>
      <c r="M306" s="26"/>
      <c r="N306" s="26"/>
      <c r="O306" s="26"/>
      <c r="P306" s="26"/>
      <c r="Q306" s="26"/>
      <c r="R306" s="26">
        <f>IFERROR(__xludf.DUMMYFUNCTION("""COMPUTED_VALUE"""),0.0)</f>
        <v>0</v>
      </c>
      <c r="S306" s="26">
        <f>IFERROR(__xludf.DUMMYFUNCTION("""COMPUTED_VALUE"""),0.0)</f>
        <v>0</v>
      </c>
      <c r="T306" s="26">
        <f>IFERROR(__xludf.DUMMYFUNCTION("""COMPUTED_VALUE"""),0.0)</f>
        <v>0</v>
      </c>
      <c r="U306" s="26">
        <f>IFERROR(__xludf.DUMMYFUNCTION("""COMPUTED_VALUE"""),0.0)</f>
        <v>0</v>
      </c>
      <c r="V306" s="26">
        <f>IFERROR(__xludf.DUMMYFUNCTION("""COMPUTED_VALUE"""),0.0)</f>
        <v>0</v>
      </c>
      <c r="W306" s="26">
        <f>IFERROR(__xludf.DUMMYFUNCTION("""COMPUTED_VALUE"""),0.0)</f>
        <v>0</v>
      </c>
      <c r="X306" s="26">
        <f>IFERROR(__xludf.DUMMYFUNCTION("""COMPUTED_VALUE"""),0.0)</f>
        <v>0</v>
      </c>
      <c r="Y306" s="26">
        <f>IFERROR(__xludf.DUMMYFUNCTION("""COMPUTED_VALUE"""),0.0)</f>
        <v>0</v>
      </c>
      <c r="Z306" s="26">
        <f>IFERROR(__xludf.DUMMYFUNCTION("""COMPUTED_VALUE"""),0.0)</f>
        <v>0</v>
      </c>
      <c r="AA306" s="26">
        <f>IFERROR(__xludf.DUMMYFUNCTION("""COMPUTED_VALUE"""),0.0)</f>
        <v>0</v>
      </c>
      <c r="AB306" s="26">
        <f>IFERROR(__xludf.DUMMYFUNCTION("""COMPUTED_VALUE"""),0.0)</f>
        <v>0</v>
      </c>
      <c r="AC306" s="26">
        <f>IFERROR(__xludf.DUMMYFUNCTION("""COMPUTED_VALUE"""),0.0)</f>
        <v>0</v>
      </c>
      <c r="AD306" s="26">
        <f>IFERROR(__xludf.DUMMYFUNCTION("""COMPUTED_VALUE"""),0.0)</f>
        <v>0</v>
      </c>
      <c r="AE306" s="26">
        <f>IFERROR(__xludf.DUMMYFUNCTION("""COMPUTED_VALUE"""),0.0)</f>
        <v>0</v>
      </c>
    </row>
    <row r="307">
      <c r="A307" s="26">
        <f>IFERROR(__xludf.DUMMYFUNCTION("""COMPUTED_VALUE"""),4.0)</f>
        <v>4</v>
      </c>
      <c r="B307" s="26">
        <f>IFERROR(__xludf.DUMMYFUNCTION("""COMPUTED_VALUE"""),0.0)</f>
        <v>0</v>
      </c>
      <c r="C307" s="26">
        <f>IFERROR(__xludf.DUMMYFUNCTION("""COMPUTED_VALUE"""),0.0)</f>
        <v>0</v>
      </c>
      <c r="D307" s="26">
        <f>IFERROR(__xludf.DUMMYFUNCTION("""COMPUTED_VALUE"""),0.0)</f>
        <v>0</v>
      </c>
      <c r="E307" s="26">
        <f>IFERROR(__xludf.DUMMYFUNCTION("""COMPUTED_VALUE"""),0.0)</f>
        <v>0</v>
      </c>
      <c r="F307" s="26">
        <f>IFERROR(__xludf.DUMMYFUNCTION("""COMPUTED_VALUE"""),0.0)</f>
        <v>0</v>
      </c>
      <c r="G307" s="26">
        <f>IFERROR(__xludf.DUMMYFUNCTION("""COMPUTED_VALUE"""),0.0)</f>
        <v>0</v>
      </c>
      <c r="H307" s="26">
        <f>IFERROR(__xludf.DUMMYFUNCTION("""COMPUTED_VALUE"""),0.0)</f>
        <v>0</v>
      </c>
      <c r="I307" s="26">
        <f>IFERROR(__xludf.DUMMYFUNCTION("""COMPUTED_VALUE"""),0.0)</f>
        <v>0</v>
      </c>
      <c r="J307" s="26">
        <f>IFERROR(__xludf.DUMMYFUNCTION("""COMPUTED_VALUE"""),0.0)</f>
        <v>0</v>
      </c>
      <c r="K307" s="26">
        <f>IFERROR(__xludf.DUMMYFUNCTION("""COMPUTED_VALUE"""),0.0)</f>
        <v>0</v>
      </c>
      <c r="L307" s="26"/>
      <c r="M307" s="26"/>
      <c r="N307" s="26"/>
      <c r="O307" s="26"/>
      <c r="P307" s="26"/>
      <c r="Q307" s="26"/>
      <c r="R307" s="26">
        <f>IFERROR(__xludf.DUMMYFUNCTION("""COMPUTED_VALUE"""),1768.0)</f>
        <v>1768</v>
      </c>
      <c r="S307" s="26">
        <f>IFERROR(__xludf.DUMMYFUNCTION("""COMPUTED_VALUE"""),700.0)</f>
        <v>700</v>
      </c>
      <c r="T307" s="26">
        <f>IFERROR(__xludf.DUMMYFUNCTION("""COMPUTED_VALUE"""),0.0)</f>
        <v>0</v>
      </c>
      <c r="U307" s="26">
        <f>IFERROR(__xludf.DUMMYFUNCTION("""COMPUTED_VALUE"""),0.0)</f>
        <v>0</v>
      </c>
      <c r="V307" s="26">
        <f>IFERROR(__xludf.DUMMYFUNCTION("""COMPUTED_VALUE"""),269.68)</f>
        <v>269.68</v>
      </c>
      <c r="W307" s="26">
        <f>IFERROR(__xludf.DUMMYFUNCTION("""COMPUTED_VALUE"""),1768.0)</f>
        <v>1768</v>
      </c>
      <c r="X307" s="26">
        <f>IFERROR(__xludf.DUMMYFUNCTION("""COMPUTED_VALUE"""),1009.6)</f>
        <v>1009.6</v>
      </c>
      <c r="Y307" s="26">
        <f>IFERROR(__xludf.DUMMYFUNCTION("""COMPUTED_VALUE"""),798.32)</f>
        <v>798.32</v>
      </c>
      <c r="Z307" s="26">
        <f>IFERROR(__xludf.DUMMYFUNCTION("""COMPUTED_VALUE"""),0.0)</f>
        <v>0</v>
      </c>
      <c r="AA307" s="26">
        <f>IFERROR(__xludf.DUMMYFUNCTION("""COMPUTED_VALUE"""),39.92)</f>
        <v>39.92</v>
      </c>
      <c r="AB307" s="26">
        <f>IFERROR(__xludf.DUMMYFUNCTION("""COMPUTED_VALUE"""),758.4)</f>
        <v>758.4</v>
      </c>
      <c r="AC307" s="26">
        <f>IFERROR(__xludf.DUMMYFUNCTION("""COMPUTED_VALUE"""),0.0)</f>
        <v>0</v>
      </c>
      <c r="AD307" s="26">
        <f>IFERROR(__xludf.DUMMYFUNCTION("""COMPUTED_VALUE"""),5000.0)</f>
        <v>5000</v>
      </c>
      <c r="AE307" s="26">
        <f>IFERROR(__xludf.DUMMYFUNCTION("""COMPUTED_VALUE"""),0.0)</f>
        <v>0</v>
      </c>
    </row>
    <row r="308">
      <c r="A308" s="26">
        <f>IFERROR(__xludf.DUMMYFUNCTION("""COMPUTED_VALUE"""),41.0)</f>
        <v>41</v>
      </c>
      <c r="B308" s="26">
        <f>IFERROR(__xludf.DUMMYFUNCTION("""COMPUTED_VALUE"""),0.0)</f>
        <v>0</v>
      </c>
      <c r="C308" s="26">
        <f>IFERROR(__xludf.DUMMYFUNCTION("""COMPUTED_VALUE"""),0.0)</f>
        <v>0</v>
      </c>
      <c r="D308" s="26">
        <f>IFERROR(__xludf.DUMMYFUNCTION("""COMPUTED_VALUE"""),0.0)</f>
        <v>0</v>
      </c>
      <c r="E308" s="26">
        <f>IFERROR(__xludf.DUMMYFUNCTION("""COMPUTED_VALUE"""),0.0)</f>
        <v>0</v>
      </c>
      <c r="F308" s="26">
        <f>IFERROR(__xludf.DUMMYFUNCTION("""COMPUTED_VALUE"""),0.0)</f>
        <v>0</v>
      </c>
      <c r="G308" s="26">
        <f>IFERROR(__xludf.DUMMYFUNCTION("""COMPUTED_VALUE"""),0.0)</f>
        <v>0</v>
      </c>
      <c r="H308" s="26">
        <f>IFERROR(__xludf.DUMMYFUNCTION("""COMPUTED_VALUE"""),0.0)</f>
        <v>0</v>
      </c>
      <c r="I308" s="26">
        <f>IFERROR(__xludf.DUMMYFUNCTION("""COMPUTED_VALUE"""),0.0)</f>
        <v>0</v>
      </c>
      <c r="J308" s="26">
        <f>IFERROR(__xludf.DUMMYFUNCTION("""COMPUTED_VALUE"""),0.0)</f>
        <v>0</v>
      </c>
      <c r="K308" s="26">
        <f>IFERROR(__xludf.DUMMYFUNCTION("""COMPUTED_VALUE"""),0.0)</f>
        <v>0</v>
      </c>
      <c r="L308" s="26"/>
      <c r="M308" s="26"/>
      <c r="N308" s="26"/>
      <c r="O308" s="26"/>
      <c r="P308" s="26"/>
      <c r="Q308" s="26"/>
      <c r="R308" s="26">
        <f>IFERROR(__xludf.DUMMYFUNCTION("""COMPUTED_VALUE"""),18122.0)</f>
        <v>18122</v>
      </c>
      <c r="S308" s="26">
        <f>IFERROR(__xludf.DUMMYFUNCTION("""COMPUTED_VALUE"""),8815.0)</f>
        <v>8815</v>
      </c>
      <c r="T308" s="26">
        <f>IFERROR(__xludf.DUMMYFUNCTION("""COMPUTED_VALUE"""),0.0)</f>
        <v>0</v>
      </c>
      <c r="U308" s="26">
        <f>IFERROR(__xludf.DUMMYFUNCTION("""COMPUTED_VALUE"""),0.0)</f>
        <v>0</v>
      </c>
      <c r="V308" s="26">
        <f>IFERROR(__xludf.DUMMYFUNCTION("""COMPUTED_VALUE"""),2764.22)</f>
        <v>2764.22</v>
      </c>
      <c r="W308" s="26">
        <f>IFERROR(__xludf.DUMMYFUNCTION("""COMPUTED_VALUE"""),15470.0)</f>
        <v>15470</v>
      </c>
      <c r="X308" s="26">
        <f>IFERROR(__xludf.DUMMYFUNCTION("""COMPUTED_VALUE"""),10164.0)</f>
        <v>10164</v>
      </c>
      <c r="Y308" s="26">
        <f>IFERROR(__xludf.DUMMYFUNCTION("""COMPUTED_VALUE"""),0.0)</f>
        <v>0</v>
      </c>
      <c r="Z308" s="26">
        <f>IFERROR(__xludf.DUMMYFUNCTION("""COMPUTED_VALUE"""),0.0)</f>
        <v>0</v>
      </c>
      <c r="AA308" s="26">
        <f>IFERROR(__xludf.DUMMYFUNCTION("""COMPUTED_VALUE"""),0.0)</f>
        <v>0</v>
      </c>
      <c r="AB308" s="26">
        <f>IFERROR(__xludf.DUMMYFUNCTION("""COMPUTED_VALUE"""),0.0)</f>
        <v>0</v>
      </c>
      <c r="AC308" s="26">
        <f>IFERROR(__xludf.DUMMYFUNCTION("""COMPUTED_VALUE"""),0.0)</f>
        <v>0</v>
      </c>
      <c r="AD308" s="26">
        <f>IFERROR(__xludf.DUMMYFUNCTION("""COMPUTED_VALUE"""),24500.0)</f>
        <v>24500</v>
      </c>
      <c r="AE308" s="26">
        <f>IFERROR(__xludf.DUMMYFUNCTION("""COMPUTED_VALUE"""),0.0)</f>
        <v>0</v>
      </c>
    </row>
    <row r="309">
      <c r="A309" s="26">
        <f>IFERROR(__xludf.DUMMYFUNCTION("""COMPUTED_VALUE"""),0.0)</f>
        <v>0</v>
      </c>
      <c r="B309" s="26">
        <f>IFERROR(__xludf.DUMMYFUNCTION("""COMPUTED_VALUE"""),0.0)</f>
        <v>0</v>
      </c>
      <c r="C309" s="26">
        <f>IFERROR(__xludf.DUMMYFUNCTION("""COMPUTED_VALUE"""),0.0)</f>
        <v>0</v>
      </c>
      <c r="D309" s="26">
        <f>IFERROR(__xludf.DUMMYFUNCTION("""COMPUTED_VALUE"""),0.0)</f>
        <v>0</v>
      </c>
      <c r="E309" s="26">
        <f>IFERROR(__xludf.DUMMYFUNCTION("""COMPUTED_VALUE"""),0.0)</f>
        <v>0</v>
      </c>
      <c r="F309" s="26">
        <f>IFERROR(__xludf.DUMMYFUNCTION("""COMPUTED_VALUE"""),0.0)</f>
        <v>0</v>
      </c>
      <c r="G309" s="26">
        <f>IFERROR(__xludf.DUMMYFUNCTION("""COMPUTED_VALUE"""),0.0)</f>
        <v>0</v>
      </c>
      <c r="H309" s="26">
        <f>IFERROR(__xludf.DUMMYFUNCTION("""COMPUTED_VALUE"""),0.0)</f>
        <v>0</v>
      </c>
      <c r="I309" s="26">
        <f>IFERROR(__xludf.DUMMYFUNCTION("""COMPUTED_VALUE"""),0.0)</f>
        <v>0</v>
      </c>
      <c r="J309" s="26">
        <f>IFERROR(__xludf.DUMMYFUNCTION("""COMPUTED_VALUE"""),0.0)</f>
        <v>0</v>
      </c>
      <c r="K309" s="26">
        <f>IFERROR(__xludf.DUMMYFUNCTION("""COMPUTED_VALUE"""),0.0)</f>
        <v>0</v>
      </c>
      <c r="L309" s="26"/>
      <c r="M309" s="26"/>
      <c r="N309" s="26"/>
      <c r="O309" s="26"/>
      <c r="P309" s="26"/>
      <c r="Q309" s="26"/>
      <c r="R309" s="26">
        <f>IFERROR(__xludf.DUMMYFUNCTION("""COMPUTED_VALUE"""),0.0)</f>
        <v>0</v>
      </c>
      <c r="S309" s="26">
        <f>IFERROR(__xludf.DUMMYFUNCTION("""COMPUTED_VALUE"""),0.0)</f>
        <v>0</v>
      </c>
      <c r="T309" s="26">
        <f>IFERROR(__xludf.DUMMYFUNCTION("""COMPUTED_VALUE"""),0.0)</f>
        <v>0</v>
      </c>
      <c r="U309" s="26">
        <f>IFERROR(__xludf.DUMMYFUNCTION("""COMPUTED_VALUE"""),0.0)</f>
        <v>0</v>
      </c>
      <c r="V309" s="26">
        <f>IFERROR(__xludf.DUMMYFUNCTION("""COMPUTED_VALUE"""),0.0)</f>
        <v>0</v>
      </c>
      <c r="W309" s="26">
        <f>IFERROR(__xludf.DUMMYFUNCTION("""COMPUTED_VALUE"""),0.0)</f>
        <v>0</v>
      </c>
      <c r="X309" s="26">
        <f>IFERROR(__xludf.DUMMYFUNCTION("""COMPUTED_VALUE"""),0.0)</f>
        <v>0</v>
      </c>
      <c r="Y309" s="26">
        <f>IFERROR(__xludf.DUMMYFUNCTION("""COMPUTED_VALUE"""),0.0)</f>
        <v>0</v>
      </c>
      <c r="Z309" s="26">
        <f>IFERROR(__xludf.DUMMYFUNCTION("""COMPUTED_VALUE"""),0.0)</f>
        <v>0</v>
      </c>
      <c r="AA309" s="26">
        <f>IFERROR(__xludf.DUMMYFUNCTION("""COMPUTED_VALUE"""),0.0)</f>
        <v>0</v>
      </c>
      <c r="AB309" s="26">
        <f>IFERROR(__xludf.DUMMYFUNCTION("""COMPUTED_VALUE"""),0.0)</f>
        <v>0</v>
      </c>
      <c r="AC309" s="26">
        <f>IFERROR(__xludf.DUMMYFUNCTION("""COMPUTED_VALUE"""),0.0)</f>
        <v>0</v>
      </c>
      <c r="AD309" s="26">
        <f>IFERROR(__xludf.DUMMYFUNCTION("""COMPUTED_VALUE"""),0.0)</f>
        <v>0</v>
      </c>
      <c r="AE309" s="26">
        <f>IFERROR(__xludf.DUMMYFUNCTION("""COMPUTED_VALUE"""),0.0)</f>
        <v>0</v>
      </c>
    </row>
    <row r="310">
      <c r="A310" s="26">
        <f>IFERROR(__xludf.DUMMYFUNCTION("""COMPUTED_VALUE"""),0.0)</f>
        <v>0</v>
      </c>
      <c r="B310" s="26">
        <f>IFERROR(__xludf.DUMMYFUNCTION("""COMPUTED_VALUE"""),0.0)</f>
        <v>0</v>
      </c>
      <c r="C310" s="26">
        <f>IFERROR(__xludf.DUMMYFUNCTION("""COMPUTED_VALUE"""),0.0)</f>
        <v>0</v>
      </c>
      <c r="D310" s="26">
        <f>IFERROR(__xludf.DUMMYFUNCTION("""COMPUTED_VALUE"""),0.0)</f>
        <v>0</v>
      </c>
      <c r="E310" s="26">
        <f>IFERROR(__xludf.DUMMYFUNCTION("""COMPUTED_VALUE"""),0.0)</f>
        <v>0</v>
      </c>
      <c r="F310" s="26">
        <f>IFERROR(__xludf.DUMMYFUNCTION("""COMPUTED_VALUE"""),0.0)</f>
        <v>0</v>
      </c>
      <c r="G310" s="26">
        <f>IFERROR(__xludf.DUMMYFUNCTION("""COMPUTED_VALUE"""),0.0)</f>
        <v>0</v>
      </c>
      <c r="H310" s="26">
        <f>IFERROR(__xludf.DUMMYFUNCTION("""COMPUTED_VALUE"""),0.0)</f>
        <v>0</v>
      </c>
      <c r="I310" s="26">
        <f>IFERROR(__xludf.DUMMYFUNCTION("""COMPUTED_VALUE"""),0.0)</f>
        <v>0</v>
      </c>
      <c r="J310" s="26">
        <f>IFERROR(__xludf.DUMMYFUNCTION("""COMPUTED_VALUE"""),0.0)</f>
        <v>0</v>
      </c>
      <c r="K310" s="26">
        <f>IFERROR(__xludf.DUMMYFUNCTION("""COMPUTED_VALUE"""),0.0)</f>
        <v>0</v>
      </c>
      <c r="L310" s="26"/>
      <c r="M310" s="26"/>
      <c r="N310" s="26"/>
      <c r="O310" s="26"/>
      <c r="P310" s="26"/>
      <c r="Q310" s="26"/>
      <c r="R310" s="26">
        <f>IFERROR(__xludf.DUMMYFUNCTION("""COMPUTED_VALUE"""),0.0)</f>
        <v>0</v>
      </c>
      <c r="S310" s="26">
        <f>IFERROR(__xludf.DUMMYFUNCTION("""COMPUTED_VALUE"""),0.0)</f>
        <v>0</v>
      </c>
      <c r="T310" s="26">
        <f>IFERROR(__xludf.DUMMYFUNCTION("""COMPUTED_VALUE"""),0.0)</f>
        <v>0</v>
      </c>
      <c r="U310" s="26">
        <f>IFERROR(__xludf.DUMMYFUNCTION("""COMPUTED_VALUE"""),0.0)</f>
        <v>0</v>
      </c>
      <c r="V310" s="26">
        <f>IFERROR(__xludf.DUMMYFUNCTION("""COMPUTED_VALUE"""),0.0)</f>
        <v>0</v>
      </c>
      <c r="W310" s="26">
        <f>IFERROR(__xludf.DUMMYFUNCTION("""COMPUTED_VALUE"""),0.0)</f>
        <v>0</v>
      </c>
      <c r="X310" s="26">
        <f>IFERROR(__xludf.DUMMYFUNCTION("""COMPUTED_VALUE"""),0.0)</f>
        <v>0</v>
      </c>
      <c r="Y310" s="26">
        <f>IFERROR(__xludf.DUMMYFUNCTION("""COMPUTED_VALUE"""),0.0)</f>
        <v>0</v>
      </c>
      <c r="Z310" s="26">
        <f>IFERROR(__xludf.DUMMYFUNCTION("""COMPUTED_VALUE"""),0.0)</f>
        <v>0</v>
      </c>
      <c r="AA310" s="26">
        <f>IFERROR(__xludf.DUMMYFUNCTION("""COMPUTED_VALUE"""),0.0)</f>
        <v>0</v>
      </c>
      <c r="AB310" s="26">
        <f>IFERROR(__xludf.DUMMYFUNCTION("""COMPUTED_VALUE"""),0.0)</f>
        <v>0</v>
      </c>
      <c r="AC310" s="26">
        <f>IFERROR(__xludf.DUMMYFUNCTION("""COMPUTED_VALUE"""),0.0)</f>
        <v>0</v>
      </c>
      <c r="AD310" s="26">
        <f>IFERROR(__xludf.DUMMYFUNCTION("""COMPUTED_VALUE"""),0.0)</f>
        <v>0</v>
      </c>
      <c r="AE310" s="26">
        <f>IFERROR(__xludf.DUMMYFUNCTION("""COMPUTED_VALUE"""),0.0)</f>
        <v>0</v>
      </c>
    </row>
    <row r="311">
      <c r="A311" s="26">
        <f>IFERROR(__xludf.DUMMYFUNCTION("""COMPUTED_VALUE"""),0.0)</f>
        <v>0</v>
      </c>
      <c r="B311" s="26">
        <f>IFERROR(__xludf.DUMMYFUNCTION("""COMPUTED_VALUE"""),0.0)</f>
        <v>0</v>
      </c>
      <c r="C311" s="26">
        <f>IFERROR(__xludf.DUMMYFUNCTION("""COMPUTED_VALUE"""),0.0)</f>
        <v>0</v>
      </c>
      <c r="D311" s="26">
        <f>IFERROR(__xludf.DUMMYFUNCTION("""COMPUTED_VALUE"""),0.0)</f>
        <v>0</v>
      </c>
      <c r="E311" s="26">
        <f>IFERROR(__xludf.DUMMYFUNCTION("""COMPUTED_VALUE"""),0.0)</f>
        <v>0</v>
      </c>
      <c r="F311" s="26">
        <f>IFERROR(__xludf.DUMMYFUNCTION("""COMPUTED_VALUE"""),0.0)</f>
        <v>0</v>
      </c>
      <c r="G311" s="26">
        <f>IFERROR(__xludf.DUMMYFUNCTION("""COMPUTED_VALUE"""),0.0)</f>
        <v>0</v>
      </c>
      <c r="H311" s="26">
        <f>IFERROR(__xludf.DUMMYFUNCTION("""COMPUTED_VALUE"""),0.0)</f>
        <v>0</v>
      </c>
      <c r="I311" s="26">
        <f>IFERROR(__xludf.DUMMYFUNCTION("""COMPUTED_VALUE"""),0.0)</f>
        <v>0</v>
      </c>
      <c r="J311" s="26">
        <f>IFERROR(__xludf.DUMMYFUNCTION("""COMPUTED_VALUE"""),0.0)</f>
        <v>0</v>
      </c>
      <c r="K311" s="26">
        <f>IFERROR(__xludf.DUMMYFUNCTION("""COMPUTED_VALUE"""),0.0)</f>
        <v>0</v>
      </c>
      <c r="L311" s="26"/>
      <c r="M311" s="26"/>
      <c r="N311" s="26"/>
      <c r="O311" s="26"/>
      <c r="P311" s="26"/>
      <c r="Q311" s="26"/>
      <c r="R311" s="26">
        <f>IFERROR(__xludf.DUMMYFUNCTION("""COMPUTED_VALUE"""),0.0)</f>
        <v>0</v>
      </c>
      <c r="S311" s="26">
        <f>IFERROR(__xludf.DUMMYFUNCTION("""COMPUTED_VALUE"""),0.0)</f>
        <v>0</v>
      </c>
      <c r="T311" s="26">
        <f>IFERROR(__xludf.DUMMYFUNCTION("""COMPUTED_VALUE"""),0.0)</f>
        <v>0</v>
      </c>
      <c r="U311" s="26">
        <f>IFERROR(__xludf.DUMMYFUNCTION("""COMPUTED_VALUE"""),0.0)</f>
        <v>0</v>
      </c>
      <c r="V311" s="26">
        <f>IFERROR(__xludf.DUMMYFUNCTION("""COMPUTED_VALUE"""),0.0)</f>
        <v>0</v>
      </c>
      <c r="W311" s="26">
        <f>IFERROR(__xludf.DUMMYFUNCTION("""COMPUTED_VALUE"""),0.0)</f>
        <v>0</v>
      </c>
      <c r="X311" s="26">
        <f>IFERROR(__xludf.DUMMYFUNCTION("""COMPUTED_VALUE"""),0.0)</f>
        <v>0</v>
      </c>
      <c r="Y311" s="26">
        <f>IFERROR(__xludf.DUMMYFUNCTION("""COMPUTED_VALUE"""),0.0)</f>
        <v>0</v>
      </c>
      <c r="Z311" s="26">
        <f>IFERROR(__xludf.DUMMYFUNCTION("""COMPUTED_VALUE"""),0.0)</f>
        <v>0</v>
      </c>
      <c r="AA311" s="26">
        <f>IFERROR(__xludf.DUMMYFUNCTION("""COMPUTED_VALUE"""),0.0)</f>
        <v>0</v>
      </c>
      <c r="AB311" s="26">
        <f>IFERROR(__xludf.DUMMYFUNCTION("""COMPUTED_VALUE"""),0.0)</f>
        <v>0</v>
      </c>
      <c r="AC311" s="26">
        <f>IFERROR(__xludf.DUMMYFUNCTION("""COMPUTED_VALUE"""),0.0)</f>
        <v>0</v>
      </c>
      <c r="AD311" s="26">
        <f>IFERROR(__xludf.DUMMYFUNCTION("""COMPUTED_VALUE"""),0.0)</f>
        <v>0</v>
      </c>
      <c r="AE311" s="26">
        <f>IFERROR(__xludf.DUMMYFUNCTION("""COMPUTED_VALUE"""),0.0)</f>
        <v>0</v>
      </c>
    </row>
    <row r="312">
      <c r="A312" s="26">
        <f>IFERROR(__xludf.DUMMYFUNCTION("""COMPUTED_VALUE"""),49.0)</f>
        <v>49</v>
      </c>
      <c r="B312" s="26">
        <f>IFERROR(__xludf.DUMMYFUNCTION("""COMPUTED_VALUE"""),0.0)</f>
        <v>0</v>
      </c>
      <c r="C312" s="26">
        <f>IFERROR(__xludf.DUMMYFUNCTION("""COMPUTED_VALUE"""),0.0)</f>
        <v>0</v>
      </c>
      <c r="D312" s="26">
        <f>IFERROR(__xludf.DUMMYFUNCTION("""COMPUTED_VALUE"""),0.0)</f>
        <v>0</v>
      </c>
      <c r="E312" s="26">
        <f>IFERROR(__xludf.DUMMYFUNCTION("""COMPUTED_VALUE"""),0.0)</f>
        <v>0</v>
      </c>
      <c r="F312" s="26">
        <f>IFERROR(__xludf.DUMMYFUNCTION("""COMPUTED_VALUE"""),0.0)</f>
        <v>0</v>
      </c>
      <c r="G312" s="26">
        <f>IFERROR(__xludf.DUMMYFUNCTION("""COMPUTED_VALUE"""),0.0)</f>
        <v>0</v>
      </c>
      <c r="H312" s="26">
        <f>IFERROR(__xludf.DUMMYFUNCTION("""COMPUTED_VALUE"""),0.0)</f>
        <v>0</v>
      </c>
      <c r="I312" s="26">
        <f>IFERROR(__xludf.DUMMYFUNCTION("""COMPUTED_VALUE"""),0.0)</f>
        <v>0</v>
      </c>
      <c r="J312" s="26">
        <f>IFERROR(__xludf.DUMMYFUNCTION("""COMPUTED_VALUE"""),0.0)</f>
        <v>0</v>
      </c>
      <c r="K312" s="26">
        <f>IFERROR(__xludf.DUMMYFUNCTION("""COMPUTED_VALUE"""),0.0)</f>
        <v>0</v>
      </c>
      <c r="L312" s="26"/>
      <c r="M312" s="26"/>
      <c r="N312" s="26"/>
      <c r="O312" s="26"/>
      <c r="P312" s="26"/>
      <c r="Q312" s="26"/>
      <c r="R312" s="26">
        <f>IFERROR(__xludf.DUMMYFUNCTION("""COMPUTED_VALUE"""),19110.0)</f>
        <v>19110</v>
      </c>
      <c r="S312" s="26">
        <f>IFERROR(__xludf.DUMMYFUNCTION("""COMPUTED_VALUE"""),8330.0)</f>
        <v>8330</v>
      </c>
      <c r="T312" s="26">
        <f>IFERROR(__xludf.DUMMYFUNCTION("""COMPUTED_VALUE"""),0.0)</f>
        <v>0</v>
      </c>
      <c r="U312" s="26">
        <f>IFERROR(__xludf.DUMMYFUNCTION("""COMPUTED_VALUE"""),0.0)</f>
        <v>0</v>
      </c>
      <c r="V312" s="26">
        <f>IFERROR(__xludf.DUMMYFUNCTION("""COMPUTED_VALUE"""),2915.01)</f>
        <v>2915.01</v>
      </c>
      <c r="W312" s="26">
        <f>IFERROR(__xludf.DUMMYFUNCTION("""COMPUTED_VALUE"""),11638.480000000007)</f>
        <v>11638.48</v>
      </c>
      <c r="X312" s="26">
        <f>IFERROR(__xludf.DUMMYFUNCTION("""COMPUTED_VALUE"""),11638.480000000007)</f>
        <v>11638.48</v>
      </c>
      <c r="Y312" s="26">
        <f>IFERROR(__xludf.DUMMYFUNCTION("""COMPUTED_VALUE"""),7864.990000000005)</f>
        <v>7864.99</v>
      </c>
      <c r="Z312" s="26">
        <f>IFERROR(__xludf.DUMMYFUNCTION("""COMPUTED_VALUE"""),7471.519999999997)</f>
        <v>7471.52</v>
      </c>
      <c r="AA312" s="26">
        <f>IFERROR(__xludf.DUMMYFUNCTION("""COMPUTED_VALUE"""),393.4699999999999)</f>
        <v>393.47</v>
      </c>
      <c r="AB312" s="26">
        <f>IFERROR(__xludf.DUMMYFUNCTION("""COMPUTED_VALUE"""),0.0)</f>
        <v>0</v>
      </c>
      <c r="AC312" s="26">
        <f>IFERROR(__xludf.DUMMYFUNCTION("""COMPUTED_VALUE"""),0.0)</f>
        <v>0</v>
      </c>
      <c r="AD312" s="26">
        <f>IFERROR(__xludf.DUMMYFUNCTION("""COMPUTED_VALUE"""),15000.0)</f>
        <v>15000</v>
      </c>
      <c r="AE312" s="26">
        <f>IFERROR(__xludf.DUMMYFUNCTION("""COMPUTED_VALUE"""),0.0)</f>
        <v>0</v>
      </c>
    </row>
    <row r="313">
      <c r="A313" s="26">
        <f>IFERROR(__xludf.DUMMYFUNCTION("""COMPUTED_VALUE"""),0.0)</f>
        <v>0</v>
      </c>
      <c r="B313" s="26">
        <f>IFERROR(__xludf.DUMMYFUNCTION("""COMPUTED_VALUE"""),0.0)</f>
        <v>0</v>
      </c>
      <c r="C313" s="26">
        <f>IFERROR(__xludf.DUMMYFUNCTION("""COMPUTED_VALUE"""),0.0)</f>
        <v>0</v>
      </c>
      <c r="D313" s="26">
        <f>IFERROR(__xludf.DUMMYFUNCTION("""COMPUTED_VALUE"""),0.0)</f>
        <v>0</v>
      </c>
      <c r="E313" s="26">
        <f>IFERROR(__xludf.DUMMYFUNCTION("""COMPUTED_VALUE"""),0.0)</f>
        <v>0</v>
      </c>
      <c r="F313" s="26">
        <f>IFERROR(__xludf.DUMMYFUNCTION("""COMPUTED_VALUE"""),0.0)</f>
        <v>0</v>
      </c>
      <c r="G313" s="26">
        <f>IFERROR(__xludf.DUMMYFUNCTION("""COMPUTED_VALUE"""),0.0)</f>
        <v>0</v>
      </c>
      <c r="H313" s="26">
        <f>IFERROR(__xludf.DUMMYFUNCTION("""COMPUTED_VALUE"""),0.0)</f>
        <v>0</v>
      </c>
      <c r="I313" s="26">
        <f>IFERROR(__xludf.DUMMYFUNCTION("""COMPUTED_VALUE"""),0.0)</f>
        <v>0</v>
      </c>
      <c r="J313" s="26">
        <f>IFERROR(__xludf.DUMMYFUNCTION("""COMPUTED_VALUE"""),0.0)</f>
        <v>0</v>
      </c>
      <c r="K313" s="26">
        <f>IFERROR(__xludf.DUMMYFUNCTION("""COMPUTED_VALUE"""),0.0)</f>
        <v>0</v>
      </c>
      <c r="L313" s="26"/>
      <c r="M313" s="26"/>
      <c r="N313" s="26"/>
      <c r="O313" s="26"/>
      <c r="P313" s="26"/>
      <c r="Q313" s="26"/>
      <c r="R313" s="26">
        <f>IFERROR(__xludf.DUMMYFUNCTION("""COMPUTED_VALUE"""),0.0)</f>
        <v>0</v>
      </c>
      <c r="S313" s="26">
        <f>IFERROR(__xludf.DUMMYFUNCTION("""COMPUTED_VALUE"""),0.0)</f>
        <v>0</v>
      </c>
      <c r="T313" s="26">
        <f>IFERROR(__xludf.DUMMYFUNCTION("""COMPUTED_VALUE"""),0.0)</f>
        <v>0</v>
      </c>
      <c r="U313" s="26">
        <f>IFERROR(__xludf.DUMMYFUNCTION("""COMPUTED_VALUE"""),0.0)</f>
        <v>0</v>
      </c>
      <c r="V313" s="26">
        <f>IFERROR(__xludf.DUMMYFUNCTION("""COMPUTED_VALUE"""),0.0)</f>
        <v>0</v>
      </c>
      <c r="W313" s="26">
        <f>IFERROR(__xludf.DUMMYFUNCTION("""COMPUTED_VALUE"""),0.0)</f>
        <v>0</v>
      </c>
      <c r="X313" s="26">
        <f>IFERROR(__xludf.DUMMYFUNCTION("""COMPUTED_VALUE"""),0.0)</f>
        <v>0</v>
      </c>
      <c r="Y313" s="26">
        <f>IFERROR(__xludf.DUMMYFUNCTION("""COMPUTED_VALUE"""),0.0)</f>
        <v>0</v>
      </c>
      <c r="Z313" s="26">
        <f>IFERROR(__xludf.DUMMYFUNCTION("""COMPUTED_VALUE"""),0.0)</f>
        <v>0</v>
      </c>
      <c r="AA313" s="26">
        <f>IFERROR(__xludf.DUMMYFUNCTION("""COMPUTED_VALUE"""),0.0)</f>
        <v>0</v>
      </c>
      <c r="AB313" s="26">
        <f>IFERROR(__xludf.DUMMYFUNCTION("""COMPUTED_VALUE"""),0.0)</f>
        <v>0</v>
      </c>
      <c r="AC313" s="26">
        <f>IFERROR(__xludf.DUMMYFUNCTION("""COMPUTED_VALUE"""),0.0)</f>
        <v>0</v>
      </c>
      <c r="AD313" s="26">
        <f>IFERROR(__xludf.DUMMYFUNCTION("""COMPUTED_VALUE"""),0.0)</f>
        <v>0</v>
      </c>
      <c r="AE313" s="26">
        <f>IFERROR(__xludf.DUMMYFUNCTION("""COMPUTED_VALUE"""),0.0)</f>
        <v>0</v>
      </c>
    </row>
    <row r="314">
      <c r="A314" s="26">
        <f>IFERROR(__xludf.DUMMYFUNCTION("""COMPUTED_VALUE"""),0.0)</f>
        <v>0</v>
      </c>
      <c r="B314" s="26">
        <f>IFERROR(__xludf.DUMMYFUNCTION("""COMPUTED_VALUE"""),0.0)</f>
        <v>0</v>
      </c>
      <c r="C314" s="26">
        <f>IFERROR(__xludf.DUMMYFUNCTION("""COMPUTED_VALUE"""),0.0)</f>
        <v>0</v>
      </c>
      <c r="D314" s="26">
        <f>IFERROR(__xludf.DUMMYFUNCTION("""COMPUTED_VALUE"""),0.0)</f>
        <v>0</v>
      </c>
      <c r="E314" s="26">
        <f>IFERROR(__xludf.DUMMYFUNCTION("""COMPUTED_VALUE"""),0.0)</f>
        <v>0</v>
      </c>
      <c r="F314" s="26">
        <f>IFERROR(__xludf.DUMMYFUNCTION("""COMPUTED_VALUE"""),0.0)</f>
        <v>0</v>
      </c>
      <c r="G314" s="26">
        <f>IFERROR(__xludf.DUMMYFUNCTION("""COMPUTED_VALUE"""),0.0)</f>
        <v>0</v>
      </c>
      <c r="H314" s="26">
        <f>IFERROR(__xludf.DUMMYFUNCTION("""COMPUTED_VALUE"""),0.0)</f>
        <v>0</v>
      </c>
      <c r="I314" s="26">
        <f>IFERROR(__xludf.DUMMYFUNCTION("""COMPUTED_VALUE"""),0.0)</f>
        <v>0</v>
      </c>
      <c r="J314" s="26">
        <f>IFERROR(__xludf.DUMMYFUNCTION("""COMPUTED_VALUE"""),0.0)</f>
        <v>0</v>
      </c>
      <c r="K314" s="26">
        <f>IFERROR(__xludf.DUMMYFUNCTION("""COMPUTED_VALUE"""),0.0)</f>
        <v>0</v>
      </c>
      <c r="L314" s="26"/>
      <c r="M314" s="26"/>
      <c r="N314" s="26"/>
      <c r="O314" s="26"/>
      <c r="P314" s="26"/>
      <c r="Q314" s="26"/>
      <c r="R314" s="26">
        <f>IFERROR(__xludf.DUMMYFUNCTION("""COMPUTED_VALUE"""),0.0)</f>
        <v>0</v>
      </c>
      <c r="S314" s="26">
        <f>IFERROR(__xludf.DUMMYFUNCTION("""COMPUTED_VALUE"""),0.0)</f>
        <v>0</v>
      </c>
      <c r="T314" s="26">
        <f>IFERROR(__xludf.DUMMYFUNCTION("""COMPUTED_VALUE"""),0.0)</f>
        <v>0</v>
      </c>
      <c r="U314" s="26">
        <f>IFERROR(__xludf.DUMMYFUNCTION("""COMPUTED_VALUE"""),0.0)</f>
        <v>0</v>
      </c>
      <c r="V314" s="26">
        <f>IFERROR(__xludf.DUMMYFUNCTION("""COMPUTED_VALUE"""),0.0)</f>
        <v>0</v>
      </c>
      <c r="W314" s="26">
        <f>IFERROR(__xludf.DUMMYFUNCTION("""COMPUTED_VALUE"""),0.0)</f>
        <v>0</v>
      </c>
      <c r="X314" s="26">
        <f>IFERROR(__xludf.DUMMYFUNCTION("""COMPUTED_VALUE"""),0.0)</f>
        <v>0</v>
      </c>
      <c r="Y314" s="26">
        <f>IFERROR(__xludf.DUMMYFUNCTION("""COMPUTED_VALUE"""),0.0)</f>
        <v>0</v>
      </c>
      <c r="Z314" s="26">
        <f>IFERROR(__xludf.DUMMYFUNCTION("""COMPUTED_VALUE"""),0.0)</f>
        <v>0</v>
      </c>
      <c r="AA314" s="26">
        <f>IFERROR(__xludf.DUMMYFUNCTION("""COMPUTED_VALUE"""),0.0)</f>
        <v>0</v>
      </c>
      <c r="AB314" s="26">
        <f>IFERROR(__xludf.DUMMYFUNCTION("""COMPUTED_VALUE"""),0.0)</f>
        <v>0</v>
      </c>
      <c r="AC314" s="26">
        <f>IFERROR(__xludf.DUMMYFUNCTION("""COMPUTED_VALUE"""),0.0)</f>
        <v>0</v>
      </c>
      <c r="AD314" s="26">
        <f>IFERROR(__xludf.DUMMYFUNCTION("""COMPUTED_VALUE"""),0.0)</f>
        <v>0</v>
      </c>
      <c r="AE314" s="26">
        <f>IFERROR(__xludf.DUMMYFUNCTION("""COMPUTED_VALUE"""),0.0)</f>
        <v>0</v>
      </c>
    </row>
    <row r="315">
      <c r="A315" s="26">
        <f>IFERROR(__xludf.DUMMYFUNCTION("""COMPUTED_VALUE"""),6.0)</f>
        <v>6</v>
      </c>
      <c r="B315" s="26">
        <f>IFERROR(__xludf.DUMMYFUNCTION("""COMPUTED_VALUE"""),0.0)</f>
        <v>0</v>
      </c>
      <c r="C315" s="26">
        <f>IFERROR(__xludf.DUMMYFUNCTION("""COMPUTED_VALUE"""),0.0)</f>
        <v>0</v>
      </c>
      <c r="D315" s="26">
        <f>IFERROR(__xludf.DUMMYFUNCTION("""COMPUTED_VALUE"""),0.0)</f>
        <v>0</v>
      </c>
      <c r="E315" s="26">
        <f>IFERROR(__xludf.DUMMYFUNCTION("""COMPUTED_VALUE"""),0.0)</f>
        <v>0</v>
      </c>
      <c r="F315" s="26">
        <f>IFERROR(__xludf.DUMMYFUNCTION("""COMPUTED_VALUE"""),0.0)</f>
        <v>0</v>
      </c>
      <c r="G315" s="26">
        <f>IFERROR(__xludf.DUMMYFUNCTION("""COMPUTED_VALUE"""),0.0)</f>
        <v>0</v>
      </c>
      <c r="H315" s="26">
        <f>IFERROR(__xludf.DUMMYFUNCTION("""COMPUTED_VALUE"""),0.0)</f>
        <v>0</v>
      </c>
      <c r="I315" s="26">
        <f>IFERROR(__xludf.DUMMYFUNCTION("""COMPUTED_VALUE"""),0.0)</f>
        <v>0</v>
      </c>
      <c r="J315" s="26">
        <f>IFERROR(__xludf.DUMMYFUNCTION("""COMPUTED_VALUE"""),0.0)</f>
        <v>0</v>
      </c>
      <c r="K315" s="26">
        <f>IFERROR(__xludf.DUMMYFUNCTION("""COMPUTED_VALUE"""),0.0)</f>
        <v>0</v>
      </c>
      <c r="L315" s="26"/>
      <c r="M315" s="26"/>
      <c r="N315" s="26"/>
      <c r="O315" s="26"/>
      <c r="P315" s="26"/>
      <c r="Q315" s="26"/>
      <c r="R315" s="26">
        <f>IFERROR(__xludf.DUMMYFUNCTION("""COMPUTED_VALUE"""),2652.0)</f>
        <v>2652</v>
      </c>
      <c r="S315" s="26">
        <f>IFERROR(__xludf.DUMMYFUNCTION("""COMPUTED_VALUE"""),1170.0)</f>
        <v>1170</v>
      </c>
      <c r="T315" s="26">
        <f>IFERROR(__xludf.DUMMYFUNCTION("""COMPUTED_VALUE"""),0.0)</f>
        <v>0</v>
      </c>
      <c r="U315" s="26">
        <f>IFERROR(__xludf.DUMMYFUNCTION("""COMPUTED_VALUE"""),0.0)</f>
        <v>0</v>
      </c>
      <c r="V315" s="26">
        <f>IFERROR(__xludf.DUMMYFUNCTION("""COMPUTED_VALUE"""),404.52)</f>
        <v>404.52</v>
      </c>
      <c r="W315" s="26">
        <f>IFERROR(__xludf.DUMMYFUNCTION("""COMPUTED_VALUE"""),1628.3999999999999)</f>
        <v>1628.4</v>
      </c>
      <c r="X315" s="26">
        <f>IFERROR(__xludf.DUMMYFUNCTION("""COMPUTED_VALUE"""),1628.3999999999999)</f>
        <v>1628.4</v>
      </c>
      <c r="Y315" s="26">
        <f>IFERROR(__xludf.DUMMYFUNCTION("""COMPUTED_VALUE"""),1077.48)</f>
        <v>1077.48</v>
      </c>
      <c r="Z315" s="26">
        <f>IFERROR(__xludf.DUMMYFUNCTION("""COMPUTED_VALUE"""),1023.5999999999999)</f>
        <v>1023.6</v>
      </c>
      <c r="AA315" s="26">
        <f>IFERROR(__xludf.DUMMYFUNCTION("""COMPUTED_VALUE"""),53.88)</f>
        <v>53.88</v>
      </c>
      <c r="AB315" s="26">
        <f>IFERROR(__xludf.DUMMYFUNCTION("""COMPUTED_VALUE"""),0.0)</f>
        <v>0</v>
      </c>
      <c r="AC315" s="26">
        <f>IFERROR(__xludf.DUMMYFUNCTION("""COMPUTED_VALUE"""),0.0)</f>
        <v>0</v>
      </c>
      <c r="AD315" s="26">
        <f>IFERROR(__xludf.DUMMYFUNCTION("""COMPUTED_VALUE"""),5000.0)</f>
        <v>5000</v>
      </c>
      <c r="AE315" s="26">
        <f>IFERROR(__xludf.DUMMYFUNCTION("""COMPUTED_VALUE"""),0.0)</f>
        <v>0</v>
      </c>
    </row>
    <row r="316">
      <c r="A316" s="26">
        <f>IFERROR(__xludf.DUMMYFUNCTION("""COMPUTED_VALUE"""),0.0)</f>
        <v>0</v>
      </c>
      <c r="B316" s="26">
        <f>IFERROR(__xludf.DUMMYFUNCTION("""COMPUTED_VALUE"""),0.0)</f>
        <v>0</v>
      </c>
      <c r="C316" s="26">
        <f>IFERROR(__xludf.DUMMYFUNCTION("""COMPUTED_VALUE"""),0.0)</f>
        <v>0</v>
      </c>
      <c r="D316" s="26">
        <f>IFERROR(__xludf.DUMMYFUNCTION("""COMPUTED_VALUE"""),0.0)</f>
        <v>0</v>
      </c>
      <c r="E316" s="26">
        <f>IFERROR(__xludf.DUMMYFUNCTION("""COMPUTED_VALUE"""),0.0)</f>
        <v>0</v>
      </c>
      <c r="F316" s="26">
        <f>IFERROR(__xludf.DUMMYFUNCTION("""COMPUTED_VALUE"""),0.0)</f>
        <v>0</v>
      </c>
      <c r="G316" s="26">
        <f>IFERROR(__xludf.DUMMYFUNCTION("""COMPUTED_VALUE"""),0.0)</f>
        <v>0</v>
      </c>
      <c r="H316" s="26">
        <f>IFERROR(__xludf.DUMMYFUNCTION("""COMPUTED_VALUE"""),0.0)</f>
        <v>0</v>
      </c>
      <c r="I316" s="26">
        <f>IFERROR(__xludf.DUMMYFUNCTION("""COMPUTED_VALUE"""),0.0)</f>
        <v>0</v>
      </c>
      <c r="J316" s="26">
        <f>IFERROR(__xludf.DUMMYFUNCTION("""COMPUTED_VALUE"""),0.0)</f>
        <v>0</v>
      </c>
      <c r="K316" s="26">
        <f>IFERROR(__xludf.DUMMYFUNCTION("""COMPUTED_VALUE"""),0.0)</f>
        <v>0</v>
      </c>
      <c r="L316" s="26"/>
      <c r="M316" s="26"/>
      <c r="N316" s="26"/>
      <c r="O316" s="26"/>
      <c r="P316" s="26"/>
      <c r="Q316" s="26"/>
      <c r="R316" s="26">
        <f>IFERROR(__xludf.DUMMYFUNCTION("""COMPUTED_VALUE"""),0.0)</f>
        <v>0</v>
      </c>
      <c r="S316" s="26">
        <f>IFERROR(__xludf.DUMMYFUNCTION("""COMPUTED_VALUE"""),0.0)</f>
        <v>0</v>
      </c>
      <c r="T316" s="26">
        <f>IFERROR(__xludf.DUMMYFUNCTION("""COMPUTED_VALUE"""),0.0)</f>
        <v>0</v>
      </c>
      <c r="U316" s="26">
        <f>IFERROR(__xludf.DUMMYFUNCTION("""COMPUTED_VALUE"""),0.0)</f>
        <v>0</v>
      </c>
      <c r="V316" s="26">
        <f>IFERROR(__xludf.DUMMYFUNCTION("""COMPUTED_VALUE"""),0.0)</f>
        <v>0</v>
      </c>
      <c r="W316" s="26">
        <f>IFERROR(__xludf.DUMMYFUNCTION("""COMPUTED_VALUE"""),0.0)</f>
        <v>0</v>
      </c>
      <c r="X316" s="26">
        <f>IFERROR(__xludf.DUMMYFUNCTION("""COMPUTED_VALUE"""),0.0)</f>
        <v>0</v>
      </c>
      <c r="Y316" s="26">
        <f>IFERROR(__xludf.DUMMYFUNCTION("""COMPUTED_VALUE"""),0.0)</f>
        <v>0</v>
      </c>
      <c r="Z316" s="26">
        <f>IFERROR(__xludf.DUMMYFUNCTION("""COMPUTED_VALUE"""),0.0)</f>
        <v>0</v>
      </c>
      <c r="AA316" s="26">
        <f>IFERROR(__xludf.DUMMYFUNCTION("""COMPUTED_VALUE"""),0.0)</f>
        <v>0</v>
      </c>
      <c r="AB316" s="26">
        <f>IFERROR(__xludf.DUMMYFUNCTION("""COMPUTED_VALUE"""),0.0)</f>
        <v>0</v>
      </c>
      <c r="AC316" s="26">
        <f>IFERROR(__xludf.DUMMYFUNCTION("""COMPUTED_VALUE"""),0.0)</f>
        <v>0</v>
      </c>
      <c r="AD316" s="26">
        <f>IFERROR(__xludf.DUMMYFUNCTION("""COMPUTED_VALUE"""),0.0)</f>
        <v>0</v>
      </c>
      <c r="AE316" s="26">
        <f>IFERROR(__xludf.DUMMYFUNCTION("""COMPUTED_VALUE"""),0.0)</f>
        <v>0</v>
      </c>
    </row>
    <row r="317">
      <c r="A317" s="26">
        <f>IFERROR(__xludf.DUMMYFUNCTION("""COMPUTED_VALUE"""),291.0)</f>
        <v>291</v>
      </c>
      <c r="B317" s="26">
        <f>IFERROR(__xludf.DUMMYFUNCTION("""COMPUTED_VALUE"""),0.0)</f>
        <v>0</v>
      </c>
      <c r="C317" s="26">
        <f>IFERROR(__xludf.DUMMYFUNCTION("""COMPUTED_VALUE"""),0.0)</f>
        <v>0</v>
      </c>
      <c r="D317" s="26">
        <f>IFERROR(__xludf.DUMMYFUNCTION("""COMPUTED_VALUE"""),0.0)</f>
        <v>0</v>
      </c>
      <c r="E317" s="26">
        <f>IFERROR(__xludf.DUMMYFUNCTION("""COMPUTED_VALUE"""),0.0)</f>
        <v>0</v>
      </c>
      <c r="F317" s="26">
        <f>IFERROR(__xludf.DUMMYFUNCTION("""COMPUTED_VALUE"""),0.0)</f>
        <v>0</v>
      </c>
      <c r="G317" s="26">
        <f>IFERROR(__xludf.DUMMYFUNCTION("""COMPUTED_VALUE"""),0.0)</f>
        <v>0</v>
      </c>
      <c r="H317" s="26">
        <f>IFERROR(__xludf.DUMMYFUNCTION("""COMPUTED_VALUE"""),0.0)</f>
        <v>0</v>
      </c>
      <c r="I317" s="26">
        <f>IFERROR(__xludf.DUMMYFUNCTION("""COMPUTED_VALUE"""),0.0)</f>
        <v>0</v>
      </c>
      <c r="J317" s="26">
        <f>IFERROR(__xludf.DUMMYFUNCTION("""COMPUTED_VALUE"""),0.0)</f>
        <v>0</v>
      </c>
      <c r="K317" s="26">
        <f>IFERROR(__xludf.DUMMYFUNCTION("""COMPUTED_VALUE"""),0.0)</f>
        <v>0</v>
      </c>
      <c r="L317" s="26"/>
      <c r="M317" s="26"/>
      <c r="N317" s="26"/>
      <c r="O317" s="26"/>
      <c r="P317" s="26"/>
      <c r="Q317" s="26"/>
      <c r="R317" s="26">
        <f>IFERROR(__xludf.DUMMYFUNCTION("""COMPUTED_VALUE"""),128622.0)</f>
        <v>128622</v>
      </c>
      <c r="S317" s="26">
        <f>IFERROR(__xludf.DUMMYFUNCTION("""COMPUTED_VALUE"""),50925.0)</f>
        <v>50925</v>
      </c>
      <c r="T317" s="26">
        <f>IFERROR(__xludf.DUMMYFUNCTION("""COMPUTED_VALUE"""),0.0)</f>
        <v>0</v>
      </c>
      <c r="U317" s="26">
        <f>IFERROR(__xludf.DUMMYFUNCTION("""COMPUTED_VALUE"""),0.0)</f>
        <v>0</v>
      </c>
      <c r="V317" s="26">
        <f>IFERROR(__xludf.DUMMYFUNCTION("""COMPUTED_VALUE"""),19619.220000000016)</f>
        <v>19619.22</v>
      </c>
      <c r="W317" s="26">
        <f>IFERROR(__xludf.DUMMYFUNCTION("""COMPUTED_VALUE"""),128622.0)</f>
        <v>128622</v>
      </c>
      <c r="X317" s="26">
        <f>IFERROR(__xludf.DUMMYFUNCTION("""COMPUTED_VALUE"""),73448.4000000002)</f>
        <v>73448.4</v>
      </c>
      <c r="Y317" s="26">
        <f>IFERROR(__xludf.DUMMYFUNCTION("""COMPUTED_VALUE"""),103582.0200000006)</f>
        <v>103582.02</v>
      </c>
      <c r="Z317" s="26">
        <f>IFERROR(__xludf.DUMMYFUNCTION("""COMPUTED_VALUE"""),43228.79999999996)</f>
        <v>43228.8</v>
      </c>
      <c r="AA317" s="26">
        <f>IFERROR(__xludf.DUMMYFUNCTION("""COMPUTED_VALUE"""),5179.620000000008)</f>
        <v>5179.62</v>
      </c>
      <c r="AB317" s="26">
        <f>IFERROR(__xludf.DUMMYFUNCTION("""COMPUTED_VALUE"""),55173.59999999985)</f>
        <v>55173.6</v>
      </c>
      <c r="AC317" s="26">
        <f>IFERROR(__xludf.DUMMYFUNCTION("""COMPUTED_VALUE"""),0.0)</f>
        <v>0</v>
      </c>
      <c r="AD317" s="26">
        <f>IFERROR(__xludf.DUMMYFUNCTION("""COMPUTED_VALUE"""),145000.0)</f>
        <v>145000</v>
      </c>
      <c r="AE317" s="26">
        <f>IFERROR(__xludf.DUMMYFUNCTION("""COMPUTED_VALUE"""),0.0)</f>
        <v>0</v>
      </c>
    </row>
    <row r="318">
      <c r="A318" s="26">
        <f>IFERROR(__xludf.DUMMYFUNCTION("""COMPUTED_VALUE"""),228.0)</f>
        <v>228</v>
      </c>
      <c r="B318" s="26">
        <f>IFERROR(__xludf.DUMMYFUNCTION("""COMPUTED_VALUE"""),0.0)</f>
        <v>0</v>
      </c>
      <c r="C318" s="26">
        <f>IFERROR(__xludf.DUMMYFUNCTION("""COMPUTED_VALUE"""),0.0)</f>
        <v>0</v>
      </c>
      <c r="D318" s="26">
        <f>IFERROR(__xludf.DUMMYFUNCTION("""COMPUTED_VALUE"""),0.0)</f>
        <v>0</v>
      </c>
      <c r="E318" s="26">
        <f>IFERROR(__xludf.DUMMYFUNCTION("""COMPUTED_VALUE"""),0.0)</f>
        <v>0</v>
      </c>
      <c r="F318" s="26">
        <f>IFERROR(__xludf.DUMMYFUNCTION("""COMPUTED_VALUE"""),0.0)</f>
        <v>0</v>
      </c>
      <c r="G318" s="26">
        <f>IFERROR(__xludf.DUMMYFUNCTION("""COMPUTED_VALUE"""),0.0)</f>
        <v>0</v>
      </c>
      <c r="H318" s="26">
        <f>IFERROR(__xludf.DUMMYFUNCTION("""COMPUTED_VALUE"""),0.0)</f>
        <v>0</v>
      </c>
      <c r="I318" s="26">
        <f>IFERROR(__xludf.DUMMYFUNCTION("""COMPUTED_VALUE"""),0.0)</f>
        <v>0</v>
      </c>
      <c r="J318" s="26">
        <f>IFERROR(__xludf.DUMMYFUNCTION("""COMPUTED_VALUE"""),0.0)</f>
        <v>0</v>
      </c>
      <c r="K318" s="26">
        <f>IFERROR(__xludf.DUMMYFUNCTION("""COMPUTED_VALUE"""),0.0)</f>
        <v>0</v>
      </c>
      <c r="L318" s="26"/>
      <c r="M318" s="26"/>
      <c r="N318" s="26"/>
      <c r="O318" s="26"/>
      <c r="P318" s="26"/>
      <c r="Q318" s="26"/>
      <c r="R318" s="26">
        <f>IFERROR(__xludf.DUMMYFUNCTION("""COMPUTED_VALUE"""),100776.0)</f>
        <v>100776</v>
      </c>
      <c r="S318" s="26">
        <f>IFERROR(__xludf.DUMMYFUNCTION("""COMPUTED_VALUE"""),39900.0)</f>
        <v>39900</v>
      </c>
      <c r="T318" s="26">
        <f>IFERROR(__xludf.DUMMYFUNCTION("""COMPUTED_VALUE"""),0.0)</f>
        <v>0</v>
      </c>
      <c r="U318" s="26">
        <f>IFERROR(__xludf.DUMMYFUNCTION("""COMPUTED_VALUE"""),0.0)</f>
        <v>0</v>
      </c>
      <c r="V318" s="26">
        <f>IFERROR(__xludf.DUMMYFUNCTION("""COMPUTED_VALUE"""),15371.760000000013)</f>
        <v>15371.76</v>
      </c>
      <c r="W318" s="26">
        <f>IFERROR(__xludf.DUMMYFUNCTION("""COMPUTED_VALUE"""),57547.20000000011)</f>
        <v>57547.2</v>
      </c>
      <c r="X318" s="26">
        <f>IFERROR(__xludf.DUMMYFUNCTION("""COMPUTED_VALUE"""),57547.20000000011)</f>
        <v>57547.2</v>
      </c>
      <c r="Y318" s="26">
        <f>IFERROR(__xludf.DUMMYFUNCTION("""COMPUTED_VALUE"""),0.0)</f>
        <v>0</v>
      </c>
      <c r="Z318" s="26">
        <f>IFERROR(__xludf.DUMMYFUNCTION("""COMPUTED_VALUE"""),0.0)</f>
        <v>0</v>
      </c>
      <c r="AA318" s="26">
        <f>IFERROR(__xludf.DUMMYFUNCTION("""COMPUTED_VALUE"""),0.0)</f>
        <v>0</v>
      </c>
      <c r="AB318" s="26">
        <f>IFERROR(__xludf.DUMMYFUNCTION("""COMPUTED_VALUE"""),0.0)</f>
        <v>0</v>
      </c>
      <c r="AC318" s="26">
        <f>IFERROR(__xludf.DUMMYFUNCTION("""COMPUTED_VALUE"""),0.0)</f>
        <v>0</v>
      </c>
      <c r="AD318" s="26">
        <f>IFERROR(__xludf.DUMMYFUNCTION("""COMPUTED_VALUE"""),60000.0)</f>
        <v>60000</v>
      </c>
      <c r="AE318" s="26">
        <f>IFERROR(__xludf.DUMMYFUNCTION("""COMPUTED_VALUE"""),0.0)</f>
        <v>0</v>
      </c>
    </row>
    <row r="319">
      <c r="A319" s="26">
        <f>IFERROR(__xludf.DUMMYFUNCTION("""COMPUTED_VALUE"""),0.0)</f>
        <v>0</v>
      </c>
      <c r="B319" s="26">
        <f>IFERROR(__xludf.DUMMYFUNCTION("""COMPUTED_VALUE"""),0.0)</f>
        <v>0</v>
      </c>
      <c r="C319" s="26">
        <f>IFERROR(__xludf.DUMMYFUNCTION("""COMPUTED_VALUE"""),0.0)</f>
        <v>0</v>
      </c>
      <c r="D319" s="26">
        <f>IFERROR(__xludf.DUMMYFUNCTION("""COMPUTED_VALUE"""),0.0)</f>
        <v>0</v>
      </c>
      <c r="E319" s="26">
        <f>IFERROR(__xludf.DUMMYFUNCTION("""COMPUTED_VALUE"""),0.0)</f>
        <v>0</v>
      </c>
      <c r="F319" s="26">
        <f>IFERROR(__xludf.DUMMYFUNCTION("""COMPUTED_VALUE"""),0.0)</f>
        <v>0</v>
      </c>
      <c r="G319" s="26">
        <f>IFERROR(__xludf.DUMMYFUNCTION("""COMPUTED_VALUE"""),0.0)</f>
        <v>0</v>
      </c>
      <c r="H319" s="26">
        <f>IFERROR(__xludf.DUMMYFUNCTION("""COMPUTED_VALUE"""),0.0)</f>
        <v>0</v>
      </c>
      <c r="I319" s="26">
        <f>IFERROR(__xludf.DUMMYFUNCTION("""COMPUTED_VALUE"""),0.0)</f>
        <v>0</v>
      </c>
      <c r="J319" s="26">
        <f>IFERROR(__xludf.DUMMYFUNCTION("""COMPUTED_VALUE"""),0.0)</f>
        <v>0</v>
      </c>
      <c r="K319" s="26">
        <f>IFERROR(__xludf.DUMMYFUNCTION("""COMPUTED_VALUE"""),0.0)</f>
        <v>0</v>
      </c>
      <c r="L319" s="26"/>
      <c r="M319" s="26"/>
      <c r="N319" s="26"/>
      <c r="O319" s="26"/>
      <c r="P319" s="26"/>
      <c r="Q319" s="26"/>
      <c r="R319" s="26">
        <f>IFERROR(__xludf.DUMMYFUNCTION("""COMPUTED_VALUE"""),0.0)</f>
        <v>0</v>
      </c>
      <c r="S319" s="26">
        <f>IFERROR(__xludf.DUMMYFUNCTION("""COMPUTED_VALUE"""),0.0)</f>
        <v>0</v>
      </c>
      <c r="T319" s="26">
        <f>IFERROR(__xludf.DUMMYFUNCTION("""COMPUTED_VALUE"""),0.0)</f>
        <v>0</v>
      </c>
      <c r="U319" s="26">
        <f>IFERROR(__xludf.DUMMYFUNCTION("""COMPUTED_VALUE"""),0.0)</f>
        <v>0</v>
      </c>
      <c r="V319" s="26">
        <f>IFERROR(__xludf.DUMMYFUNCTION("""COMPUTED_VALUE"""),0.0)</f>
        <v>0</v>
      </c>
      <c r="W319" s="26">
        <f>IFERROR(__xludf.DUMMYFUNCTION("""COMPUTED_VALUE"""),0.0)</f>
        <v>0</v>
      </c>
      <c r="X319" s="26">
        <f>IFERROR(__xludf.DUMMYFUNCTION("""COMPUTED_VALUE"""),0.0)</f>
        <v>0</v>
      </c>
      <c r="Y319" s="26">
        <f>IFERROR(__xludf.DUMMYFUNCTION("""COMPUTED_VALUE"""),0.0)</f>
        <v>0</v>
      </c>
      <c r="Z319" s="26">
        <f>IFERROR(__xludf.DUMMYFUNCTION("""COMPUTED_VALUE"""),0.0)</f>
        <v>0</v>
      </c>
      <c r="AA319" s="26">
        <f>IFERROR(__xludf.DUMMYFUNCTION("""COMPUTED_VALUE"""),0.0)</f>
        <v>0</v>
      </c>
      <c r="AB319" s="26">
        <f>IFERROR(__xludf.DUMMYFUNCTION("""COMPUTED_VALUE"""),0.0)</f>
        <v>0</v>
      </c>
      <c r="AC319" s="26">
        <f>IFERROR(__xludf.DUMMYFUNCTION("""COMPUTED_VALUE"""),0.0)</f>
        <v>0</v>
      </c>
      <c r="AD319" s="26">
        <f>IFERROR(__xludf.DUMMYFUNCTION("""COMPUTED_VALUE"""),0.0)</f>
        <v>0</v>
      </c>
      <c r="AE319" s="26">
        <f>IFERROR(__xludf.DUMMYFUNCTION("""COMPUTED_VALUE"""),0.0)</f>
        <v>0</v>
      </c>
    </row>
    <row r="320">
      <c r="A320" s="26">
        <f>IFERROR(__xludf.DUMMYFUNCTION("""COMPUTED_VALUE"""),0.0)</f>
        <v>0</v>
      </c>
      <c r="B320" s="26">
        <f>IFERROR(__xludf.DUMMYFUNCTION("""COMPUTED_VALUE"""),0.0)</f>
        <v>0</v>
      </c>
      <c r="C320" s="26">
        <f>IFERROR(__xludf.DUMMYFUNCTION("""COMPUTED_VALUE"""),0.0)</f>
        <v>0</v>
      </c>
      <c r="D320" s="26">
        <f>IFERROR(__xludf.DUMMYFUNCTION("""COMPUTED_VALUE"""),0.0)</f>
        <v>0</v>
      </c>
      <c r="E320" s="26">
        <f>IFERROR(__xludf.DUMMYFUNCTION("""COMPUTED_VALUE"""),0.0)</f>
        <v>0</v>
      </c>
      <c r="F320" s="26">
        <f>IFERROR(__xludf.DUMMYFUNCTION("""COMPUTED_VALUE"""),0.0)</f>
        <v>0</v>
      </c>
      <c r="G320" s="26">
        <f>IFERROR(__xludf.DUMMYFUNCTION("""COMPUTED_VALUE"""),0.0)</f>
        <v>0</v>
      </c>
      <c r="H320" s="26">
        <f>IFERROR(__xludf.DUMMYFUNCTION("""COMPUTED_VALUE"""),0.0)</f>
        <v>0</v>
      </c>
      <c r="I320" s="26">
        <f>IFERROR(__xludf.DUMMYFUNCTION("""COMPUTED_VALUE"""),0.0)</f>
        <v>0</v>
      </c>
      <c r="J320" s="26">
        <f>IFERROR(__xludf.DUMMYFUNCTION("""COMPUTED_VALUE"""),0.0)</f>
        <v>0</v>
      </c>
      <c r="K320" s="26">
        <f>IFERROR(__xludf.DUMMYFUNCTION("""COMPUTED_VALUE"""),0.0)</f>
        <v>0</v>
      </c>
      <c r="L320" s="26"/>
      <c r="M320" s="26"/>
      <c r="N320" s="26"/>
      <c r="O320" s="26"/>
      <c r="P320" s="26"/>
      <c r="Q320" s="26"/>
      <c r="R320" s="26">
        <f>IFERROR(__xludf.DUMMYFUNCTION("""COMPUTED_VALUE"""),0.0)</f>
        <v>0</v>
      </c>
      <c r="S320" s="26">
        <f>IFERROR(__xludf.DUMMYFUNCTION("""COMPUTED_VALUE"""),0.0)</f>
        <v>0</v>
      </c>
      <c r="T320" s="26">
        <f>IFERROR(__xludf.DUMMYFUNCTION("""COMPUTED_VALUE"""),0.0)</f>
        <v>0</v>
      </c>
      <c r="U320" s="26">
        <f>IFERROR(__xludf.DUMMYFUNCTION("""COMPUTED_VALUE"""),0.0)</f>
        <v>0</v>
      </c>
      <c r="V320" s="26">
        <f>IFERROR(__xludf.DUMMYFUNCTION("""COMPUTED_VALUE"""),0.0)</f>
        <v>0</v>
      </c>
      <c r="W320" s="26">
        <f>IFERROR(__xludf.DUMMYFUNCTION("""COMPUTED_VALUE"""),0.0)</f>
        <v>0</v>
      </c>
      <c r="X320" s="26">
        <f>IFERROR(__xludf.DUMMYFUNCTION("""COMPUTED_VALUE"""),0.0)</f>
        <v>0</v>
      </c>
      <c r="Y320" s="26">
        <f>IFERROR(__xludf.DUMMYFUNCTION("""COMPUTED_VALUE"""),0.0)</f>
        <v>0</v>
      </c>
      <c r="Z320" s="26">
        <f>IFERROR(__xludf.DUMMYFUNCTION("""COMPUTED_VALUE"""),0.0)</f>
        <v>0</v>
      </c>
      <c r="AA320" s="26">
        <f>IFERROR(__xludf.DUMMYFUNCTION("""COMPUTED_VALUE"""),0.0)</f>
        <v>0</v>
      </c>
      <c r="AB320" s="26">
        <f>IFERROR(__xludf.DUMMYFUNCTION("""COMPUTED_VALUE"""),0.0)</f>
        <v>0</v>
      </c>
      <c r="AC320" s="26">
        <f>IFERROR(__xludf.DUMMYFUNCTION("""COMPUTED_VALUE"""),0.0)</f>
        <v>0</v>
      </c>
      <c r="AD320" s="26">
        <f>IFERROR(__xludf.DUMMYFUNCTION("""COMPUTED_VALUE"""),800000.0)</f>
        <v>800000</v>
      </c>
      <c r="AE320" s="26">
        <f>IFERROR(__xludf.DUMMYFUNCTION("""COMPUTED_VALUE"""),0.0)</f>
        <v>0</v>
      </c>
    </row>
    <row r="321">
      <c r="A321" s="26">
        <f>IFERROR(__xludf.DUMMYFUNCTION("""COMPUTED_VALUE"""),3.0)</f>
        <v>3</v>
      </c>
      <c r="B321" s="26">
        <f>IFERROR(__xludf.DUMMYFUNCTION("""COMPUTED_VALUE"""),0.0)</f>
        <v>0</v>
      </c>
      <c r="C321" s="26">
        <f>IFERROR(__xludf.DUMMYFUNCTION("""COMPUTED_VALUE"""),0.0)</f>
        <v>0</v>
      </c>
      <c r="D321" s="26">
        <f>IFERROR(__xludf.DUMMYFUNCTION("""COMPUTED_VALUE"""),0.0)</f>
        <v>0</v>
      </c>
      <c r="E321" s="26">
        <f>IFERROR(__xludf.DUMMYFUNCTION("""COMPUTED_VALUE"""),0.0)</f>
        <v>0</v>
      </c>
      <c r="F321" s="26">
        <f>IFERROR(__xludf.DUMMYFUNCTION("""COMPUTED_VALUE"""),0.0)</f>
        <v>0</v>
      </c>
      <c r="G321" s="26">
        <f>IFERROR(__xludf.DUMMYFUNCTION("""COMPUTED_VALUE"""),0.0)</f>
        <v>0</v>
      </c>
      <c r="H321" s="26">
        <f>IFERROR(__xludf.DUMMYFUNCTION("""COMPUTED_VALUE"""),0.0)</f>
        <v>0</v>
      </c>
      <c r="I321" s="26">
        <f>IFERROR(__xludf.DUMMYFUNCTION("""COMPUTED_VALUE"""),0.0)</f>
        <v>0</v>
      </c>
      <c r="J321" s="26">
        <f>IFERROR(__xludf.DUMMYFUNCTION("""COMPUTED_VALUE"""),0.0)</f>
        <v>0</v>
      </c>
      <c r="K321" s="26">
        <f>IFERROR(__xludf.DUMMYFUNCTION("""COMPUTED_VALUE"""),0.0)</f>
        <v>0</v>
      </c>
      <c r="L321" s="26"/>
      <c r="M321" s="26"/>
      <c r="N321" s="26"/>
      <c r="O321" s="26"/>
      <c r="P321" s="26"/>
      <c r="Q321" s="26"/>
      <c r="R321" s="26">
        <f>IFERROR(__xludf.DUMMYFUNCTION("""COMPUTED_VALUE"""),1326.0)</f>
        <v>1326</v>
      </c>
      <c r="S321" s="26">
        <f>IFERROR(__xludf.DUMMYFUNCTION("""COMPUTED_VALUE"""),510.0)</f>
        <v>510</v>
      </c>
      <c r="T321" s="26">
        <f>IFERROR(__xludf.DUMMYFUNCTION("""COMPUTED_VALUE"""),0.0)</f>
        <v>0</v>
      </c>
      <c r="U321" s="26">
        <f>IFERROR(__xludf.DUMMYFUNCTION("""COMPUTED_VALUE"""),0.0)</f>
        <v>0</v>
      </c>
      <c r="V321" s="26">
        <f>IFERROR(__xludf.DUMMYFUNCTION("""COMPUTED_VALUE"""),202.26)</f>
        <v>202.26</v>
      </c>
      <c r="W321" s="26">
        <f>IFERROR(__xludf.DUMMYFUNCTION("""COMPUTED_VALUE"""),0.0)</f>
        <v>0</v>
      </c>
      <c r="X321" s="26">
        <f>IFERROR(__xludf.DUMMYFUNCTION("""COMPUTED_VALUE"""),0.0)</f>
        <v>0</v>
      </c>
      <c r="Y321" s="26">
        <f>IFERROR(__xludf.DUMMYFUNCTION("""COMPUTED_VALUE"""),0.0)</f>
        <v>0</v>
      </c>
      <c r="Z321" s="26">
        <f>IFERROR(__xludf.DUMMYFUNCTION("""COMPUTED_VALUE"""),0.0)</f>
        <v>0</v>
      </c>
      <c r="AA321" s="26">
        <f>IFERROR(__xludf.DUMMYFUNCTION("""COMPUTED_VALUE"""),0.0)</f>
        <v>0</v>
      </c>
      <c r="AB321" s="26">
        <f>IFERROR(__xludf.DUMMYFUNCTION("""COMPUTED_VALUE"""),0.0)</f>
        <v>0</v>
      </c>
      <c r="AC321" s="26">
        <f>IFERROR(__xludf.DUMMYFUNCTION("""COMPUTED_VALUE"""),0.0)</f>
        <v>0</v>
      </c>
      <c r="AD321" s="26">
        <f>IFERROR(__xludf.DUMMYFUNCTION("""COMPUTED_VALUE"""),0.0)</f>
        <v>0</v>
      </c>
      <c r="AE321" s="26">
        <f>IFERROR(__xludf.DUMMYFUNCTION("""COMPUTED_VALUE"""),0.0)</f>
        <v>0</v>
      </c>
    </row>
    <row r="322">
      <c r="A322" s="26">
        <f>IFERROR(__xludf.DUMMYFUNCTION("""COMPUTED_VALUE"""),1.0)</f>
        <v>1</v>
      </c>
      <c r="B322" s="26">
        <f>IFERROR(__xludf.DUMMYFUNCTION("""COMPUTED_VALUE"""),0.0)</f>
        <v>0</v>
      </c>
      <c r="C322" s="26">
        <f>IFERROR(__xludf.DUMMYFUNCTION("""COMPUTED_VALUE"""),0.0)</f>
        <v>0</v>
      </c>
      <c r="D322" s="26">
        <f>IFERROR(__xludf.DUMMYFUNCTION("""COMPUTED_VALUE"""),0.0)</f>
        <v>0</v>
      </c>
      <c r="E322" s="26">
        <f>IFERROR(__xludf.DUMMYFUNCTION("""COMPUTED_VALUE"""),0.0)</f>
        <v>0</v>
      </c>
      <c r="F322" s="26">
        <f>IFERROR(__xludf.DUMMYFUNCTION("""COMPUTED_VALUE"""),0.0)</f>
        <v>0</v>
      </c>
      <c r="G322" s="26">
        <f>IFERROR(__xludf.DUMMYFUNCTION("""COMPUTED_VALUE"""),0.0)</f>
        <v>0</v>
      </c>
      <c r="H322" s="26">
        <f>IFERROR(__xludf.DUMMYFUNCTION("""COMPUTED_VALUE"""),0.0)</f>
        <v>0</v>
      </c>
      <c r="I322" s="26">
        <f>IFERROR(__xludf.DUMMYFUNCTION("""COMPUTED_VALUE"""),0.0)</f>
        <v>0</v>
      </c>
      <c r="J322" s="26">
        <f>IFERROR(__xludf.DUMMYFUNCTION("""COMPUTED_VALUE"""),0.0)</f>
        <v>0</v>
      </c>
      <c r="K322" s="26">
        <f>IFERROR(__xludf.DUMMYFUNCTION("""COMPUTED_VALUE"""),0.0)</f>
        <v>0</v>
      </c>
      <c r="L322" s="26"/>
      <c r="M322" s="26"/>
      <c r="N322" s="26"/>
      <c r="O322" s="26"/>
      <c r="P322" s="26"/>
      <c r="Q322" s="26"/>
      <c r="R322" s="26">
        <f>IFERROR(__xludf.DUMMYFUNCTION("""COMPUTED_VALUE"""),442.0)</f>
        <v>442</v>
      </c>
      <c r="S322" s="26">
        <f>IFERROR(__xludf.DUMMYFUNCTION("""COMPUTED_VALUE"""),170.0)</f>
        <v>170</v>
      </c>
      <c r="T322" s="26">
        <f>IFERROR(__xludf.DUMMYFUNCTION("""COMPUTED_VALUE"""),0.0)</f>
        <v>0</v>
      </c>
      <c r="U322" s="26">
        <f>IFERROR(__xludf.DUMMYFUNCTION("""COMPUTED_VALUE"""),0.0)</f>
        <v>0</v>
      </c>
      <c r="V322" s="26">
        <f>IFERROR(__xludf.DUMMYFUNCTION("""COMPUTED_VALUE"""),67.42)</f>
        <v>67.42</v>
      </c>
      <c r="W322" s="26">
        <f>IFERROR(__xludf.DUMMYFUNCTION("""COMPUTED_VALUE"""),0.0)</f>
        <v>0</v>
      </c>
      <c r="X322" s="26">
        <f>IFERROR(__xludf.DUMMYFUNCTION("""COMPUTED_VALUE"""),0.0)</f>
        <v>0</v>
      </c>
      <c r="Y322" s="26">
        <f>IFERROR(__xludf.DUMMYFUNCTION("""COMPUTED_VALUE"""),0.0)</f>
        <v>0</v>
      </c>
      <c r="Z322" s="26">
        <f>IFERROR(__xludf.DUMMYFUNCTION("""COMPUTED_VALUE"""),0.0)</f>
        <v>0</v>
      </c>
      <c r="AA322" s="26">
        <f>IFERROR(__xludf.DUMMYFUNCTION("""COMPUTED_VALUE"""),0.0)</f>
        <v>0</v>
      </c>
      <c r="AB322" s="26">
        <f>IFERROR(__xludf.DUMMYFUNCTION("""COMPUTED_VALUE"""),0.0)</f>
        <v>0</v>
      </c>
      <c r="AC322" s="26">
        <f>IFERROR(__xludf.DUMMYFUNCTION("""COMPUTED_VALUE"""),0.0)</f>
        <v>0</v>
      </c>
      <c r="AD322" s="26">
        <f>IFERROR(__xludf.DUMMYFUNCTION("""COMPUTED_VALUE"""),0.0)</f>
        <v>0</v>
      </c>
      <c r="AE322" s="26">
        <f>IFERROR(__xludf.DUMMYFUNCTION("""COMPUTED_VALUE"""),0.0)</f>
        <v>0</v>
      </c>
    </row>
    <row r="323">
      <c r="A323" s="26">
        <f>IFERROR(__xludf.DUMMYFUNCTION("""COMPUTED_VALUE"""),7.0)</f>
        <v>7</v>
      </c>
      <c r="B323" s="26">
        <f>IFERROR(__xludf.DUMMYFUNCTION("""COMPUTED_VALUE"""),0.0)</f>
        <v>0</v>
      </c>
      <c r="C323" s="26">
        <f>IFERROR(__xludf.DUMMYFUNCTION("""COMPUTED_VALUE"""),0.0)</f>
        <v>0</v>
      </c>
      <c r="D323" s="26">
        <f>IFERROR(__xludf.DUMMYFUNCTION("""COMPUTED_VALUE"""),0.0)</f>
        <v>0</v>
      </c>
      <c r="E323" s="26">
        <f>IFERROR(__xludf.DUMMYFUNCTION("""COMPUTED_VALUE"""),0.0)</f>
        <v>0</v>
      </c>
      <c r="F323" s="26">
        <f>IFERROR(__xludf.DUMMYFUNCTION("""COMPUTED_VALUE"""),0.0)</f>
        <v>0</v>
      </c>
      <c r="G323" s="26">
        <f>IFERROR(__xludf.DUMMYFUNCTION("""COMPUTED_VALUE"""),0.0)</f>
        <v>0</v>
      </c>
      <c r="H323" s="26">
        <f>IFERROR(__xludf.DUMMYFUNCTION("""COMPUTED_VALUE"""),0.0)</f>
        <v>0</v>
      </c>
      <c r="I323" s="26">
        <f>IFERROR(__xludf.DUMMYFUNCTION("""COMPUTED_VALUE"""),0.0)</f>
        <v>0</v>
      </c>
      <c r="J323" s="26">
        <f>IFERROR(__xludf.DUMMYFUNCTION("""COMPUTED_VALUE"""),0.0)</f>
        <v>0</v>
      </c>
      <c r="K323" s="26">
        <f>IFERROR(__xludf.DUMMYFUNCTION("""COMPUTED_VALUE"""),0.0)</f>
        <v>0</v>
      </c>
      <c r="L323" s="26"/>
      <c r="M323" s="26"/>
      <c r="N323" s="26"/>
      <c r="O323" s="26"/>
      <c r="P323" s="26"/>
      <c r="Q323" s="26"/>
      <c r="R323" s="26">
        <f>IFERROR(__xludf.DUMMYFUNCTION("""COMPUTED_VALUE"""),3094.0)</f>
        <v>3094</v>
      </c>
      <c r="S323" s="26">
        <f>IFERROR(__xludf.DUMMYFUNCTION("""COMPUTED_VALUE"""),1190.0)</f>
        <v>1190</v>
      </c>
      <c r="T323" s="26">
        <f>IFERROR(__xludf.DUMMYFUNCTION("""COMPUTED_VALUE"""),0.0)</f>
        <v>0</v>
      </c>
      <c r="U323" s="26">
        <f>IFERROR(__xludf.DUMMYFUNCTION("""COMPUTED_VALUE"""),0.0)</f>
        <v>0</v>
      </c>
      <c r="V323" s="26">
        <f>IFERROR(__xludf.DUMMYFUNCTION("""COMPUTED_VALUE"""),471.94000000000005)</f>
        <v>471.94</v>
      </c>
      <c r="W323" s="26">
        <f>IFERROR(__xludf.DUMMYFUNCTION("""COMPUTED_VALUE"""),0.0)</f>
        <v>0</v>
      </c>
      <c r="X323" s="26">
        <f>IFERROR(__xludf.DUMMYFUNCTION("""COMPUTED_VALUE"""),0.0)</f>
        <v>0</v>
      </c>
      <c r="Y323" s="26">
        <f>IFERROR(__xludf.DUMMYFUNCTION("""COMPUTED_VALUE"""),0.0)</f>
        <v>0</v>
      </c>
      <c r="Z323" s="26">
        <f>IFERROR(__xludf.DUMMYFUNCTION("""COMPUTED_VALUE"""),0.0)</f>
        <v>0</v>
      </c>
      <c r="AA323" s="26">
        <f>IFERROR(__xludf.DUMMYFUNCTION("""COMPUTED_VALUE"""),0.0)</f>
        <v>0</v>
      </c>
      <c r="AB323" s="26">
        <f>IFERROR(__xludf.DUMMYFUNCTION("""COMPUTED_VALUE"""),0.0)</f>
        <v>0</v>
      </c>
      <c r="AC323" s="26">
        <f>IFERROR(__xludf.DUMMYFUNCTION("""COMPUTED_VALUE"""),0.0)</f>
        <v>0</v>
      </c>
      <c r="AD323" s="26">
        <f>IFERROR(__xludf.DUMMYFUNCTION("""COMPUTED_VALUE"""),0.0)</f>
        <v>0</v>
      </c>
      <c r="AE323" s="26">
        <f>IFERROR(__xludf.DUMMYFUNCTION("""COMPUTED_VALUE"""),0.0)</f>
        <v>0</v>
      </c>
    </row>
    <row r="324">
      <c r="A324" s="26">
        <f>IFERROR(__xludf.DUMMYFUNCTION("""COMPUTED_VALUE"""),43.0)</f>
        <v>43</v>
      </c>
      <c r="B324" s="26">
        <f>IFERROR(__xludf.DUMMYFUNCTION("""COMPUTED_VALUE"""),0.0)</f>
        <v>0</v>
      </c>
      <c r="C324" s="26">
        <f>IFERROR(__xludf.DUMMYFUNCTION("""COMPUTED_VALUE"""),0.0)</f>
        <v>0</v>
      </c>
      <c r="D324" s="26">
        <f>IFERROR(__xludf.DUMMYFUNCTION("""COMPUTED_VALUE"""),0.0)</f>
        <v>0</v>
      </c>
      <c r="E324" s="26">
        <f>IFERROR(__xludf.DUMMYFUNCTION("""COMPUTED_VALUE"""),0.0)</f>
        <v>0</v>
      </c>
      <c r="F324" s="26">
        <f>IFERROR(__xludf.DUMMYFUNCTION("""COMPUTED_VALUE"""),0.0)</f>
        <v>0</v>
      </c>
      <c r="G324" s="26">
        <f>IFERROR(__xludf.DUMMYFUNCTION("""COMPUTED_VALUE"""),0.0)</f>
        <v>0</v>
      </c>
      <c r="H324" s="26">
        <f>IFERROR(__xludf.DUMMYFUNCTION("""COMPUTED_VALUE"""),0.0)</f>
        <v>0</v>
      </c>
      <c r="I324" s="26">
        <f>IFERROR(__xludf.DUMMYFUNCTION("""COMPUTED_VALUE"""),0.0)</f>
        <v>0</v>
      </c>
      <c r="J324" s="26">
        <f>IFERROR(__xludf.DUMMYFUNCTION("""COMPUTED_VALUE"""),0.0)</f>
        <v>0</v>
      </c>
      <c r="K324" s="26">
        <f>IFERROR(__xludf.DUMMYFUNCTION("""COMPUTED_VALUE"""),0.0)</f>
        <v>0</v>
      </c>
      <c r="L324" s="26"/>
      <c r="M324" s="26"/>
      <c r="N324" s="26"/>
      <c r="O324" s="26"/>
      <c r="P324" s="26"/>
      <c r="Q324" s="26"/>
      <c r="R324" s="26">
        <f>IFERROR(__xludf.DUMMYFUNCTION("""COMPUTED_VALUE"""),19006.0)</f>
        <v>19006</v>
      </c>
      <c r="S324" s="26">
        <f>IFERROR(__xludf.DUMMYFUNCTION("""COMPUTED_VALUE"""),7310.0)</f>
        <v>7310</v>
      </c>
      <c r="T324" s="26">
        <f>IFERROR(__xludf.DUMMYFUNCTION("""COMPUTED_VALUE"""),0.0)</f>
        <v>0</v>
      </c>
      <c r="U324" s="26">
        <f>IFERROR(__xludf.DUMMYFUNCTION("""COMPUTED_VALUE"""),0.0)</f>
        <v>0</v>
      </c>
      <c r="V324" s="26">
        <f>IFERROR(__xludf.DUMMYFUNCTION("""COMPUTED_VALUE"""),2899.060000000001)</f>
        <v>2899.06</v>
      </c>
      <c r="W324" s="26">
        <f>IFERROR(__xludf.DUMMYFUNCTION("""COMPUTED_VALUE"""),0.0)</f>
        <v>0</v>
      </c>
      <c r="X324" s="26">
        <f>IFERROR(__xludf.DUMMYFUNCTION("""COMPUTED_VALUE"""),0.0)</f>
        <v>0</v>
      </c>
      <c r="Y324" s="26">
        <f>IFERROR(__xludf.DUMMYFUNCTION("""COMPUTED_VALUE"""),0.0)</f>
        <v>0</v>
      </c>
      <c r="Z324" s="26">
        <f>IFERROR(__xludf.DUMMYFUNCTION("""COMPUTED_VALUE"""),0.0)</f>
        <v>0</v>
      </c>
      <c r="AA324" s="26">
        <f>IFERROR(__xludf.DUMMYFUNCTION("""COMPUTED_VALUE"""),0.0)</f>
        <v>0</v>
      </c>
      <c r="AB324" s="26">
        <f>IFERROR(__xludf.DUMMYFUNCTION("""COMPUTED_VALUE"""),0.0)</f>
        <v>0</v>
      </c>
      <c r="AC324" s="26">
        <f>IFERROR(__xludf.DUMMYFUNCTION("""COMPUTED_VALUE"""),0.0)</f>
        <v>0</v>
      </c>
      <c r="AD324" s="26">
        <f>IFERROR(__xludf.DUMMYFUNCTION("""COMPUTED_VALUE"""),0.0)</f>
        <v>0</v>
      </c>
      <c r="AE324" s="26">
        <f>IFERROR(__xludf.DUMMYFUNCTION("""COMPUTED_VALUE"""),0.0)</f>
        <v>0</v>
      </c>
    </row>
    <row r="325">
      <c r="A325" s="26">
        <f>IFERROR(__xludf.DUMMYFUNCTION("""COMPUTED_VALUE"""),840.0)</f>
        <v>840</v>
      </c>
      <c r="B325" s="26">
        <f>IFERROR(__xludf.DUMMYFUNCTION("""COMPUTED_VALUE"""),0.0)</f>
        <v>0</v>
      </c>
      <c r="C325" s="26">
        <f>IFERROR(__xludf.DUMMYFUNCTION("""COMPUTED_VALUE"""),0.0)</f>
        <v>0</v>
      </c>
      <c r="D325" s="26">
        <f>IFERROR(__xludf.DUMMYFUNCTION("""COMPUTED_VALUE"""),0.0)</f>
        <v>0</v>
      </c>
      <c r="E325" s="26">
        <f>IFERROR(__xludf.DUMMYFUNCTION("""COMPUTED_VALUE"""),0.0)</f>
        <v>0</v>
      </c>
      <c r="F325" s="26">
        <f>IFERROR(__xludf.DUMMYFUNCTION("""COMPUTED_VALUE"""),0.0)</f>
        <v>0</v>
      </c>
      <c r="G325" s="26">
        <f>IFERROR(__xludf.DUMMYFUNCTION("""COMPUTED_VALUE"""),0.0)</f>
        <v>0</v>
      </c>
      <c r="H325" s="26">
        <f>IFERROR(__xludf.DUMMYFUNCTION("""COMPUTED_VALUE"""),0.0)</f>
        <v>0</v>
      </c>
      <c r="I325" s="26">
        <f>IFERROR(__xludf.DUMMYFUNCTION("""COMPUTED_VALUE"""),0.0)</f>
        <v>0</v>
      </c>
      <c r="J325" s="26">
        <f>IFERROR(__xludf.DUMMYFUNCTION("""COMPUTED_VALUE"""),0.0)</f>
        <v>0</v>
      </c>
      <c r="K325" s="26">
        <f>IFERROR(__xludf.DUMMYFUNCTION("""COMPUTED_VALUE"""),0.0)</f>
        <v>0</v>
      </c>
      <c r="L325" s="26"/>
      <c r="M325" s="26"/>
      <c r="N325" s="26"/>
      <c r="O325" s="26"/>
      <c r="P325" s="26"/>
      <c r="Q325" s="26"/>
      <c r="R325" s="26">
        <f>IFERROR(__xludf.DUMMYFUNCTION("""COMPUTED_VALUE"""),327600.0)</f>
        <v>327600</v>
      </c>
      <c r="S325" s="26">
        <f>IFERROR(__xludf.DUMMYFUNCTION("""COMPUTED_VALUE"""),110040.0)</f>
        <v>110040</v>
      </c>
      <c r="T325" s="26">
        <f>IFERROR(__xludf.DUMMYFUNCTION("""COMPUTED_VALUE"""),0.0)</f>
        <v>0</v>
      </c>
      <c r="U325" s="26">
        <f>IFERROR(__xludf.DUMMYFUNCTION("""COMPUTED_VALUE"""),0.0)</f>
        <v>0</v>
      </c>
      <c r="V325" s="26">
        <f>IFERROR(__xludf.DUMMYFUNCTION("""COMPUTED_VALUE"""),49971.60000000001)</f>
        <v>49971.6</v>
      </c>
      <c r="W325" s="26">
        <f>IFERROR(__xludf.DUMMYFUNCTION("""COMPUTED_VALUE"""),167993.8600000007)</f>
        <v>167993.86</v>
      </c>
      <c r="X325" s="26">
        <f>IFERROR(__xludf.DUMMYFUNCTION("""COMPUTED_VALUE"""),167993.8600000007)</f>
        <v>167993.86</v>
      </c>
      <c r="Y325" s="26">
        <f>IFERROR(__xludf.DUMMYFUNCTION("""COMPUTED_VALUE"""),167189.3799999991)</f>
        <v>167189.38</v>
      </c>
      <c r="Z325" s="26">
        <f>IFERROR(__xludf.DUMMYFUNCTION("""COMPUTED_VALUE"""),158826.1399999993)</f>
        <v>158826.14</v>
      </c>
      <c r="AA325" s="26">
        <f>IFERROR(__xludf.DUMMYFUNCTION("""COMPUTED_VALUE"""),8363.239999999869)</f>
        <v>8363.24</v>
      </c>
      <c r="AB325" s="26">
        <f>IFERROR(__xludf.DUMMYFUNCTION("""COMPUTED_VALUE"""),0.0)</f>
        <v>0</v>
      </c>
      <c r="AC325" s="26">
        <f>IFERROR(__xludf.DUMMYFUNCTION("""COMPUTED_VALUE"""),0.0)</f>
        <v>0</v>
      </c>
      <c r="AD325" s="26">
        <f>IFERROR(__xludf.DUMMYFUNCTION("""COMPUTED_VALUE"""),211000.0)</f>
        <v>211000</v>
      </c>
      <c r="AE325" s="26">
        <f>IFERROR(__xludf.DUMMYFUNCTION("""COMPUTED_VALUE"""),0.0)</f>
        <v>0</v>
      </c>
    </row>
    <row r="326">
      <c r="A326" s="26">
        <f>IFERROR(__xludf.DUMMYFUNCTION("""COMPUTED_VALUE"""),12.0)</f>
        <v>12</v>
      </c>
      <c r="B326" s="26">
        <f>IFERROR(__xludf.DUMMYFUNCTION("""COMPUTED_VALUE"""),0.0)</f>
        <v>0</v>
      </c>
      <c r="C326" s="26">
        <f>IFERROR(__xludf.DUMMYFUNCTION("""COMPUTED_VALUE"""),0.0)</f>
        <v>0</v>
      </c>
      <c r="D326" s="26">
        <f>IFERROR(__xludf.DUMMYFUNCTION("""COMPUTED_VALUE"""),0.0)</f>
        <v>0</v>
      </c>
      <c r="E326" s="26">
        <f>IFERROR(__xludf.DUMMYFUNCTION("""COMPUTED_VALUE"""),0.0)</f>
        <v>0</v>
      </c>
      <c r="F326" s="26">
        <f>IFERROR(__xludf.DUMMYFUNCTION("""COMPUTED_VALUE"""),0.0)</f>
        <v>0</v>
      </c>
      <c r="G326" s="26">
        <f>IFERROR(__xludf.DUMMYFUNCTION("""COMPUTED_VALUE"""),0.0)</f>
        <v>0</v>
      </c>
      <c r="H326" s="26">
        <f>IFERROR(__xludf.DUMMYFUNCTION("""COMPUTED_VALUE"""),0.0)</f>
        <v>0</v>
      </c>
      <c r="I326" s="26">
        <f>IFERROR(__xludf.DUMMYFUNCTION("""COMPUTED_VALUE"""),0.0)</f>
        <v>0</v>
      </c>
      <c r="J326" s="26">
        <f>IFERROR(__xludf.DUMMYFUNCTION("""COMPUTED_VALUE"""),0.0)</f>
        <v>0</v>
      </c>
      <c r="K326" s="26">
        <f>IFERROR(__xludf.DUMMYFUNCTION("""COMPUTED_VALUE"""),0.0)</f>
        <v>0</v>
      </c>
      <c r="L326" s="26"/>
      <c r="M326" s="26"/>
      <c r="N326" s="26"/>
      <c r="O326" s="26"/>
      <c r="P326" s="26"/>
      <c r="Q326" s="26"/>
      <c r="R326" s="26">
        <f>IFERROR(__xludf.DUMMYFUNCTION("""COMPUTED_VALUE"""),4680.0)</f>
        <v>4680</v>
      </c>
      <c r="S326" s="26">
        <f>IFERROR(__xludf.DUMMYFUNCTION("""COMPUTED_VALUE"""),2040.0)</f>
        <v>2040</v>
      </c>
      <c r="T326" s="26">
        <f>IFERROR(__xludf.DUMMYFUNCTION("""COMPUTED_VALUE"""),0.0)</f>
        <v>0</v>
      </c>
      <c r="U326" s="26">
        <f>IFERROR(__xludf.DUMMYFUNCTION("""COMPUTED_VALUE"""),0.0)</f>
        <v>0</v>
      </c>
      <c r="V326" s="26">
        <f>IFERROR(__xludf.DUMMYFUNCTION("""COMPUTED_VALUE"""),713.88)</f>
        <v>713.88</v>
      </c>
      <c r="W326" s="26">
        <f>IFERROR(__xludf.DUMMYFUNCTION("""COMPUTED_VALUE"""),2850.2400000000002)</f>
        <v>2850.24</v>
      </c>
      <c r="X326" s="26">
        <f>IFERROR(__xludf.DUMMYFUNCTION("""COMPUTED_VALUE"""),2850.2400000000002)</f>
        <v>2850.24</v>
      </c>
      <c r="Y326" s="26">
        <f>IFERROR(__xludf.DUMMYFUNCTION("""COMPUTED_VALUE"""),1926.12)</f>
        <v>1926.12</v>
      </c>
      <c r="Z326" s="26">
        <f>IFERROR(__xludf.DUMMYFUNCTION("""COMPUTED_VALUE"""),1829.7599999999998)</f>
        <v>1829.76</v>
      </c>
      <c r="AA326" s="26">
        <f>IFERROR(__xludf.DUMMYFUNCTION("""COMPUTED_VALUE"""),96.35999999999999)</f>
        <v>96.36</v>
      </c>
      <c r="AB326" s="26">
        <f>IFERROR(__xludf.DUMMYFUNCTION("""COMPUTED_VALUE"""),0.0)</f>
        <v>0</v>
      </c>
      <c r="AC326" s="26">
        <f>IFERROR(__xludf.DUMMYFUNCTION("""COMPUTED_VALUE"""),0.0)</f>
        <v>0</v>
      </c>
      <c r="AD326" s="26">
        <f>IFERROR(__xludf.DUMMYFUNCTION("""COMPUTED_VALUE"""),4000.0)</f>
        <v>4000</v>
      </c>
      <c r="AE326" s="26">
        <f>IFERROR(__xludf.DUMMYFUNCTION("""COMPUTED_VALUE"""),0.0)</f>
        <v>0</v>
      </c>
    </row>
    <row r="327">
      <c r="A327" s="26">
        <f>IFERROR(__xludf.DUMMYFUNCTION("""COMPUTED_VALUE"""),0.0)</f>
        <v>0</v>
      </c>
      <c r="B327" s="26">
        <f>IFERROR(__xludf.DUMMYFUNCTION("""COMPUTED_VALUE"""),0.0)</f>
        <v>0</v>
      </c>
      <c r="C327" s="26">
        <f>IFERROR(__xludf.DUMMYFUNCTION("""COMPUTED_VALUE"""),0.0)</f>
        <v>0</v>
      </c>
      <c r="D327" s="26">
        <f>IFERROR(__xludf.DUMMYFUNCTION("""COMPUTED_VALUE"""),0.0)</f>
        <v>0</v>
      </c>
      <c r="E327" s="26">
        <f>IFERROR(__xludf.DUMMYFUNCTION("""COMPUTED_VALUE"""),0.0)</f>
        <v>0</v>
      </c>
      <c r="F327" s="26">
        <f>IFERROR(__xludf.DUMMYFUNCTION("""COMPUTED_VALUE"""),0.0)</f>
        <v>0</v>
      </c>
      <c r="G327" s="26">
        <f>IFERROR(__xludf.DUMMYFUNCTION("""COMPUTED_VALUE"""),0.0)</f>
        <v>0</v>
      </c>
      <c r="H327" s="26">
        <f>IFERROR(__xludf.DUMMYFUNCTION("""COMPUTED_VALUE"""),0.0)</f>
        <v>0</v>
      </c>
      <c r="I327" s="26">
        <f>IFERROR(__xludf.DUMMYFUNCTION("""COMPUTED_VALUE"""),0.0)</f>
        <v>0</v>
      </c>
      <c r="J327" s="26">
        <f>IFERROR(__xludf.DUMMYFUNCTION("""COMPUTED_VALUE"""),0.0)</f>
        <v>0</v>
      </c>
      <c r="K327" s="26">
        <f>IFERROR(__xludf.DUMMYFUNCTION("""COMPUTED_VALUE"""),0.0)</f>
        <v>0</v>
      </c>
      <c r="L327" s="26"/>
      <c r="M327" s="26"/>
      <c r="N327" s="26"/>
      <c r="O327" s="26"/>
      <c r="P327" s="26"/>
      <c r="Q327" s="26"/>
      <c r="R327" s="26">
        <f>IFERROR(__xludf.DUMMYFUNCTION("""COMPUTED_VALUE"""),0.0)</f>
        <v>0</v>
      </c>
      <c r="S327" s="26">
        <f>IFERROR(__xludf.DUMMYFUNCTION("""COMPUTED_VALUE"""),0.0)</f>
        <v>0</v>
      </c>
      <c r="T327" s="26">
        <f>IFERROR(__xludf.DUMMYFUNCTION("""COMPUTED_VALUE"""),0.0)</f>
        <v>0</v>
      </c>
      <c r="U327" s="26">
        <f>IFERROR(__xludf.DUMMYFUNCTION("""COMPUTED_VALUE"""),0.0)</f>
        <v>0</v>
      </c>
      <c r="V327" s="26">
        <f>IFERROR(__xludf.DUMMYFUNCTION("""COMPUTED_VALUE"""),0.0)</f>
        <v>0</v>
      </c>
      <c r="W327" s="26">
        <f>IFERROR(__xludf.DUMMYFUNCTION("""COMPUTED_VALUE"""),0.0)</f>
        <v>0</v>
      </c>
      <c r="X327" s="26">
        <f>IFERROR(__xludf.DUMMYFUNCTION("""COMPUTED_VALUE"""),0.0)</f>
        <v>0</v>
      </c>
      <c r="Y327" s="26">
        <f>IFERROR(__xludf.DUMMYFUNCTION("""COMPUTED_VALUE"""),0.0)</f>
        <v>0</v>
      </c>
      <c r="Z327" s="26">
        <f>IFERROR(__xludf.DUMMYFUNCTION("""COMPUTED_VALUE"""),0.0)</f>
        <v>0</v>
      </c>
      <c r="AA327" s="26">
        <f>IFERROR(__xludf.DUMMYFUNCTION("""COMPUTED_VALUE"""),0.0)</f>
        <v>0</v>
      </c>
      <c r="AB327" s="26">
        <f>IFERROR(__xludf.DUMMYFUNCTION("""COMPUTED_VALUE"""),0.0)</f>
        <v>0</v>
      </c>
      <c r="AC327" s="26">
        <f>IFERROR(__xludf.DUMMYFUNCTION("""COMPUTED_VALUE"""),0.0)</f>
        <v>0</v>
      </c>
      <c r="AD327" s="26">
        <f>IFERROR(__xludf.DUMMYFUNCTION("""COMPUTED_VALUE"""),0.0)</f>
        <v>0</v>
      </c>
      <c r="AE327" s="26">
        <f>IFERROR(__xludf.DUMMYFUNCTION("""COMPUTED_VALUE"""),0.0)</f>
        <v>0</v>
      </c>
    </row>
    <row r="328">
      <c r="A328" s="26">
        <f>IFERROR(__xludf.DUMMYFUNCTION("""COMPUTED_VALUE"""),141.0)</f>
        <v>141</v>
      </c>
      <c r="B328" s="26">
        <f>IFERROR(__xludf.DUMMYFUNCTION("""COMPUTED_VALUE"""),0.0)</f>
        <v>0</v>
      </c>
      <c r="C328" s="26">
        <f>IFERROR(__xludf.DUMMYFUNCTION("""COMPUTED_VALUE"""),0.0)</f>
        <v>0</v>
      </c>
      <c r="D328" s="26">
        <f>IFERROR(__xludf.DUMMYFUNCTION("""COMPUTED_VALUE"""),0.0)</f>
        <v>0</v>
      </c>
      <c r="E328" s="26">
        <f>IFERROR(__xludf.DUMMYFUNCTION("""COMPUTED_VALUE"""),0.0)</f>
        <v>0</v>
      </c>
      <c r="F328" s="26">
        <f>IFERROR(__xludf.DUMMYFUNCTION("""COMPUTED_VALUE"""),0.0)</f>
        <v>0</v>
      </c>
      <c r="G328" s="26">
        <f>IFERROR(__xludf.DUMMYFUNCTION("""COMPUTED_VALUE"""),0.0)</f>
        <v>0</v>
      </c>
      <c r="H328" s="26">
        <f>IFERROR(__xludf.DUMMYFUNCTION("""COMPUTED_VALUE"""),0.0)</f>
        <v>0</v>
      </c>
      <c r="I328" s="26">
        <f>IFERROR(__xludf.DUMMYFUNCTION("""COMPUTED_VALUE"""),0.0)</f>
        <v>0</v>
      </c>
      <c r="J328" s="26">
        <f>IFERROR(__xludf.DUMMYFUNCTION("""COMPUTED_VALUE"""),0.0)</f>
        <v>0</v>
      </c>
      <c r="K328" s="26">
        <f>IFERROR(__xludf.DUMMYFUNCTION("""COMPUTED_VALUE"""),0.0)</f>
        <v>0</v>
      </c>
      <c r="L328" s="26"/>
      <c r="M328" s="26"/>
      <c r="N328" s="26"/>
      <c r="O328" s="26"/>
      <c r="P328" s="26"/>
      <c r="Q328" s="26"/>
      <c r="R328" s="26">
        <f>IFERROR(__xludf.DUMMYFUNCTION("""COMPUTED_VALUE"""),51700.0)</f>
        <v>51700</v>
      </c>
      <c r="S328" s="26">
        <f>IFERROR(__xludf.DUMMYFUNCTION("""COMPUTED_VALUE"""),22135.0)</f>
        <v>22135</v>
      </c>
      <c r="T328" s="26">
        <f>IFERROR(__xludf.DUMMYFUNCTION("""COMPUTED_VALUE"""),0.0)</f>
        <v>0</v>
      </c>
      <c r="U328" s="26">
        <f>IFERROR(__xludf.DUMMYFUNCTION("""COMPUTED_VALUE"""),0.0)</f>
        <v>0</v>
      </c>
      <c r="V328" s="26">
        <f>IFERROR(__xludf.DUMMYFUNCTION("""COMPUTED_VALUE"""),7885.799999999993)</f>
        <v>7885.8</v>
      </c>
      <c r="W328" s="26">
        <f>IFERROR(__xludf.DUMMYFUNCTION("""COMPUTED_VALUE"""),51700.0)</f>
        <v>51700</v>
      </c>
      <c r="X328" s="26">
        <f>IFERROR(__xludf.DUMMYFUNCTION("""COMPUTED_VALUE"""),31105.240000000114)</f>
        <v>31105.24</v>
      </c>
      <c r="Y328" s="26">
        <f>IFERROR(__xludf.DUMMYFUNCTION("""COMPUTED_VALUE"""),21679.199999999946)</f>
        <v>21679.2</v>
      </c>
      <c r="Z328" s="26">
        <f>IFERROR(__xludf.DUMMYFUNCTION("""COMPUTED_VALUE"""),0.0)</f>
        <v>0</v>
      </c>
      <c r="AA328" s="26">
        <f>IFERROR(__xludf.DUMMYFUNCTION("""COMPUTED_VALUE"""),1084.44)</f>
        <v>1084.44</v>
      </c>
      <c r="AB328" s="26">
        <f>IFERROR(__xludf.DUMMYFUNCTION("""COMPUTED_VALUE"""),20594.759999999955)</f>
        <v>20594.76</v>
      </c>
      <c r="AC328" s="26">
        <f>IFERROR(__xludf.DUMMYFUNCTION("""COMPUTED_VALUE"""),0.0)</f>
        <v>0</v>
      </c>
      <c r="AD328" s="26">
        <f>IFERROR(__xludf.DUMMYFUNCTION("""COMPUTED_VALUE"""),60000.0)</f>
        <v>60000</v>
      </c>
      <c r="AE328" s="26">
        <f>IFERROR(__xludf.DUMMYFUNCTION("""COMPUTED_VALUE"""),0.0)</f>
        <v>0</v>
      </c>
    </row>
    <row r="329">
      <c r="A329" s="26">
        <f>IFERROR(__xludf.DUMMYFUNCTION("""COMPUTED_VALUE"""),0.0)</f>
        <v>0</v>
      </c>
      <c r="B329" s="26">
        <f>IFERROR(__xludf.DUMMYFUNCTION("""COMPUTED_VALUE"""),0.0)</f>
        <v>0</v>
      </c>
      <c r="C329" s="26">
        <f>IFERROR(__xludf.DUMMYFUNCTION("""COMPUTED_VALUE"""),0.0)</f>
        <v>0</v>
      </c>
      <c r="D329" s="26">
        <f>IFERROR(__xludf.DUMMYFUNCTION("""COMPUTED_VALUE"""),0.0)</f>
        <v>0</v>
      </c>
      <c r="E329" s="26">
        <f>IFERROR(__xludf.DUMMYFUNCTION("""COMPUTED_VALUE"""),0.0)</f>
        <v>0</v>
      </c>
      <c r="F329" s="26">
        <f>IFERROR(__xludf.DUMMYFUNCTION("""COMPUTED_VALUE"""),0.0)</f>
        <v>0</v>
      </c>
      <c r="G329" s="26">
        <f>IFERROR(__xludf.DUMMYFUNCTION("""COMPUTED_VALUE"""),0.0)</f>
        <v>0</v>
      </c>
      <c r="H329" s="26">
        <f>IFERROR(__xludf.DUMMYFUNCTION("""COMPUTED_VALUE"""),0.0)</f>
        <v>0</v>
      </c>
      <c r="I329" s="26">
        <f>IFERROR(__xludf.DUMMYFUNCTION("""COMPUTED_VALUE"""),0.0)</f>
        <v>0</v>
      </c>
      <c r="J329" s="26">
        <f>IFERROR(__xludf.DUMMYFUNCTION("""COMPUTED_VALUE"""),0.0)</f>
        <v>0</v>
      </c>
      <c r="K329" s="26">
        <f>IFERROR(__xludf.DUMMYFUNCTION("""COMPUTED_VALUE"""),0.0)</f>
        <v>0</v>
      </c>
      <c r="L329" s="26"/>
      <c r="M329" s="26"/>
      <c r="N329" s="26"/>
      <c r="O329" s="26"/>
      <c r="P329" s="26"/>
      <c r="Q329" s="26"/>
      <c r="R329" s="26">
        <f>IFERROR(__xludf.DUMMYFUNCTION("""COMPUTED_VALUE"""),0.0)</f>
        <v>0</v>
      </c>
      <c r="S329" s="26">
        <f>IFERROR(__xludf.DUMMYFUNCTION("""COMPUTED_VALUE"""),0.0)</f>
        <v>0</v>
      </c>
      <c r="T329" s="26">
        <f>IFERROR(__xludf.DUMMYFUNCTION("""COMPUTED_VALUE"""),0.0)</f>
        <v>0</v>
      </c>
      <c r="U329" s="26">
        <f>IFERROR(__xludf.DUMMYFUNCTION("""COMPUTED_VALUE"""),0.0)</f>
        <v>0</v>
      </c>
      <c r="V329" s="26">
        <f>IFERROR(__xludf.DUMMYFUNCTION("""COMPUTED_VALUE"""),0.0)</f>
        <v>0</v>
      </c>
      <c r="W329" s="26">
        <f>IFERROR(__xludf.DUMMYFUNCTION("""COMPUTED_VALUE"""),0.0)</f>
        <v>0</v>
      </c>
      <c r="X329" s="26">
        <f>IFERROR(__xludf.DUMMYFUNCTION("""COMPUTED_VALUE"""),0.0)</f>
        <v>0</v>
      </c>
      <c r="Y329" s="26">
        <f>IFERROR(__xludf.DUMMYFUNCTION("""COMPUTED_VALUE"""),0.0)</f>
        <v>0</v>
      </c>
      <c r="Z329" s="26">
        <f>IFERROR(__xludf.DUMMYFUNCTION("""COMPUTED_VALUE"""),0.0)</f>
        <v>0</v>
      </c>
      <c r="AA329" s="26">
        <f>IFERROR(__xludf.DUMMYFUNCTION("""COMPUTED_VALUE"""),0.0)</f>
        <v>0</v>
      </c>
      <c r="AB329" s="26">
        <f>IFERROR(__xludf.DUMMYFUNCTION("""COMPUTED_VALUE"""),0.0)</f>
        <v>0</v>
      </c>
      <c r="AC329" s="26">
        <f>IFERROR(__xludf.DUMMYFUNCTION("""COMPUTED_VALUE"""),0.0)</f>
        <v>0</v>
      </c>
      <c r="AD329" s="26">
        <f>IFERROR(__xludf.DUMMYFUNCTION("""COMPUTED_VALUE"""),235000.0)</f>
        <v>235000</v>
      </c>
      <c r="AE329" s="26">
        <f>IFERROR(__xludf.DUMMYFUNCTION("""COMPUTED_VALUE"""),0.0)</f>
        <v>0</v>
      </c>
    </row>
    <row r="330">
      <c r="A330" s="26">
        <f>IFERROR(__xludf.DUMMYFUNCTION("""COMPUTED_VALUE"""),49.0)</f>
        <v>49</v>
      </c>
      <c r="B330" s="26">
        <f>IFERROR(__xludf.DUMMYFUNCTION("""COMPUTED_VALUE"""),0.0)</f>
        <v>0</v>
      </c>
      <c r="C330" s="26">
        <f>IFERROR(__xludf.DUMMYFUNCTION("""COMPUTED_VALUE"""),0.0)</f>
        <v>0</v>
      </c>
      <c r="D330" s="26">
        <f>IFERROR(__xludf.DUMMYFUNCTION("""COMPUTED_VALUE"""),0.0)</f>
        <v>0</v>
      </c>
      <c r="E330" s="26">
        <f>IFERROR(__xludf.DUMMYFUNCTION("""COMPUTED_VALUE"""),0.0)</f>
        <v>0</v>
      </c>
      <c r="F330" s="26">
        <f>IFERROR(__xludf.DUMMYFUNCTION("""COMPUTED_VALUE"""),0.0)</f>
        <v>0</v>
      </c>
      <c r="G330" s="26">
        <f>IFERROR(__xludf.DUMMYFUNCTION("""COMPUTED_VALUE"""),0.0)</f>
        <v>0</v>
      </c>
      <c r="H330" s="26">
        <f>IFERROR(__xludf.DUMMYFUNCTION("""COMPUTED_VALUE"""),0.0)</f>
        <v>0</v>
      </c>
      <c r="I330" s="26">
        <f>IFERROR(__xludf.DUMMYFUNCTION("""COMPUTED_VALUE"""),0.0)</f>
        <v>0</v>
      </c>
      <c r="J330" s="26">
        <f>IFERROR(__xludf.DUMMYFUNCTION("""COMPUTED_VALUE"""),0.0)</f>
        <v>0</v>
      </c>
      <c r="K330" s="26">
        <f>IFERROR(__xludf.DUMMYFUNCTION("""COMPUTED_VALUE"""),0.0)</f>
        <v>0</v>
      </c>
      <c r="L330" s="26"/>
      <c r="M330" s="26"/>
      <c r="N330" s="26"/>
      <c r="O330" s="26"/>
      <c r="P330" s="26"/>
      <c r="Q330" s="26"/>
      <c r="R330" s="26">
        <f>IFERROR(__xludf.DUMMYFUNCTION("""COMPUTED_VALUE"""),19110.0)</f>
        <v>19110</v>
      </c>
      <c r="S330" s="26">
        <f>IFERROR(__xludf.DUMMYFUNCTION("""COMPUTED_VALUE"""),8330.0)</f>
        <v>8330</v>
      </c>
      <c r="T330" s="26">
        <f>IFERROR(__xludf.DUMMYFUNCTION("""COMPUTED_VALUE"""),0.0)</f>
        <v>0</v>
      </c>
      <c r="U330" s="26">
        <f>IFERROR(__xludf.DUMMYFUNCTION("""COMPUTED_VALUE"""),0.0)</f>
        <v>0</v>
      </c>
      <c r="V330" s="26">
        <f>IFERROR(__xludf.DUMMYFUNCTION("""COMPUTED_VALUE"""),2915.009999999999)</f>
        <v>2915.01</v>
      </c>
      <c r="W330" s="26">
        <f>IFERROR(__xludf.DUMMYFUNCTION("""COMPUTED_VALUE"""),11638.48000000001)</f>
        <v>11638.48</v>
      </c>
      <c r="X330" s="26">
        <f>IFERROR(__xludf.DUMMYFUNCTION("""COMPUTED_VALUE"""),11638.48000000001)</f>
        <v>11638.48</v>
      </c>
      <c r="Y330" s="26">
        <f>IFERROR(__xludf.DUMMYFUNCTION("""COMPUTED_VALUE"""),7864.990000000006)</f>
        <v>7864.99</v>
      </c>
      <c r="Z330" s="26">
        <f>IFERROR(__xludf.DUMMYFUNCTION("""COMPUTED_VALUE"""),7471.519999999994)</f>
        <v>7471.52</v>
      </c>
      <c r="AA330" s="26">
        <f>IFERROR(__xludf.DUMMYFUNCTION("""COMPUTED_VALUE"""),393.46999999999974)</f>
        <v>393.47</v>
      </c>
      <c r="AB330" s="26">
        <f>IFERROR(__xludf.DUMMYFUNCTION("""COMPUTED_VALUE"""),0.0)</f>
        <v>0</v>
      </c>
      <c r="AC330" s="26">
        <f>IFERROR(__xludf.DUMMYFUNCTION("""COMPUTED_VALUE"""),0.0)</f>
        <v>0</v>
      </c>
      <c r="AD330" s="26">
        <f>IFERROR(__xludf.DUMMYFUNCTION("""COMPUTED_VALUE"""),15000.0)</f>
        <v>15000</v>
      </c>
      <c r="AE330" s="26">
        <f>IFERROR(__xludf.DUMMYFUNCTION("""COMPUTED_VALUE"""),0.0)</f>
        <v>0</v>
      </c>
    </row>
    <row r="331">
      <c r="A331" s="26">
        <f>IFERROR(__xludf.DUMMYFUNCTION("""COMPUTED_VALUE"""),0.0)</f>
        <v>0</v>
      </c>
      <c r="B331" s="26">
        <f>IFERROR(__xludf.DUMMYFUNCTION("""COMPUTED_VALUE"""),0.0)</f>
        <v>0</v>
      </c>
      <c r="C331" s="26">
        <f>IFERROR(__xludf.DUMMYFUNCTION("""COMPUTED_VALUE"""),0.0)</f>
        <v>0</v>
      </c>
      <c r="D331" s="26">
        <f>IFERROR(__xludf.DUMMYFUNCTION("""COMPUTED_VALUE"""),0.0)</f>
        <v>0</v>
      </c>
      <c r="E331" s="26">
        <f>IFERROR(__xludf.DUMMYFUNCTION("""COMPUTED_VALUE"""),0.0)</f>
        <v>0</v>
      </c>
      <c r="F331" s="26">
        <f>IFERROR(__xludf.DUMMYFUNCTION("""COMPUTED_VALUE"""),0.0)</f>
        <v>0</v>
      </c>
      <c r="G331" s="26">
        <f>IFERROR(__xludf.DUMMYFUNCTION("""COMPUTED_VALUE"""),0.0)</f>
        <v>0</v>
      </c>
      <c r="H331" s="26">
        <f>IFERROR(__xludf.DUMMYFUNCTION("""COMPUTED_VALUE"""),0.0)</f>
        <v>0</v>
      </c>
      <c r="I331" s="26">
        <f>IFERROR(__xludf.DUMMYFUNCTION("""COMPUTED_VALUE"""),0.0)</f>
        <v>0</v>
      </c>
      <c r="J331" s="26">
        <f>IFERROR(__xludf.DUMMYFUNCTION("""COMPUTED_VALUE"""),0.0)</f>
        <v>0</v>
      </c>
      <c r="K331" s="26">
        <f>IFERROR(__xludf.DUMMYFUNCTION("""COMPUTED_VALUE"""),0.0)</f>
        <v>0</v>
      </c>
      <c r="L331" s="26"/>
      <c r="M331" s="26"/>
      <c r="N331" s="26"/>
      <c r="O331" s="26"/>
      <c r="P331" s="26"/>
      <c r="Q331" s="26"/>
      <c r="R331" s="26">
        <f>IFERROR(__xludf.DUMMYFUNCTION("""COMPUTED_VALUE"""),0.0)</f>
        <v>0</v>
      </c>
      <c r="S331" s="26">
        <f>IFERROR(__xludf.DUMMYFUNCTION("""COMPUTED_VALUE"""),0.0)</f>
        <v>0</v>
      </c>
      <c r="T331" s="26">
        <f>IFERROR(__xludf.DUMMYFUNCTION("""COMPUTED_VALUE"""),0.0)</f>
        <v>0</v>
      </c>
      <c r="U331" s="26">
        <f>IFERROR(__xludf.DUMMYFUNCTION("""COMPUTED_VALUE"""),0.0)</f>
        <v>0</v>
      </c>
      <c r="V331" s="26">
        <f>IFERROR(__xludf.DUMMYFUNCTION("""COMPUTED_VALUE"""),0.0)</f>
        <v>0</v>
      </c>
      <c r="W331" s="26">
        <f>IFERROR(__xludf.DUMMYFUNCTION("""COMPUTED_VALUE"""),0.0)</f>
        <v>0</v>
      </c>
      <c r="X331" s="26">
        <f>IFERROR(__xludf.DUMMYFUNCTION("""COMPUTED_VALUE"""),0.0)</f>
        <v>0</v>
      </c>
      <c r="Y331" s="26">
        <f>IFERROR(__xludf.DUMMYFUNCTION("""COMPUTED_VALUE"""),0.0)</f>
        <v>0</v>
      </c>
      <c r="Z331" s="26">
        <f>IFERROR(__xludf.DUMMYFUNCTION("""COMPUTED_VALUE"""),0.0)</f>
        <v>0</v>
      </c>
      <c r="AA331" s="26">
        <f>IFERROR(__xludf.DUMMYFUNCTION("""COMPUTED_VALUE"""),0.0)</f>
        <v>0</v>
      </c>
      <c r="AB331" s="26">
        <f>IFERROR(__xludf.DUMMYFUNCTION("""COMPUTED_VALUE"""),0.0)</f>
        <v>0</v>
      </c>
      <c r="AC331" s="26">
        <f>IFERROR(__xludf.DUMMYFUNCTION("""COMPUTED_VALUE"""),0.0)</f>
        <v>0</v>
      </c>
      <c r="AD331" s="26">
        <f>IFERROR(__xludf.DUMMYFUNCTION("""COMPUTED_VALUE"""),0.0)</f>
        <v>0</v>
      </c>
      <c r="AE331" s="26">
        <f>IFERROR(__xludf.DUMMYFUNCTION("""COMPUTED_VALUE"""),0.0)</f>
        <v>0</v>
      </c>
    </row>
    <row r="332">
      <c r="A332" s="26">
        <f>IFERROR(__xludf.DUMMYFUNCTION("""COMPUTED_VALUE"""),339.0)</f>
        <v>339</v>
      </c>
      <c r="B332" s="26">
        <f>IFERROR(__xludf.DUMMYFUNCTION("""COMPUTED_VALUE"""),0.0)</f>
        <v>0</v>
      </c>
      <c r="C332" s="26">
        <f>IFERROR(__xludf.DUMMYFUNCTION("""COMPUTED_VALUE"""),0.0)</f>
        <v>0</v>
      </c>
      <c r="D332" s="26">
        <f>IFERROR(__xludf.DUMMYFUNCTION("""COMPUTED_VALUE"""),0.0)</f>
        <v>0</v>
      </c>
      <c r="E332" s="26">
        <f>IFERROR(__xludf.DUMMYFUNCTION("""COMPUTED_VALUE"""),0.0)</f>
        <v>0</v>
      </c>
      <c r="F332" s="26">
        <f>IFERROR(__xludf.DUMMYFUNCTION("""COMPUTED_VALUE"""),0.0)</f>
        <v>0</v>
      </c>
      <c r="G332" s="26">
        <f>IFERROR(__xludf.DUMMYFUNCTION("""COMPUTED_VALUE"""),0.0)</f>
        <v>0</v>
      </c>
      <c r="H332" s="26">
        <f>IFERROR(__xludf.DUMMYFUNCTION("""COMPUTED_VALUE"""),0.0)</f>
        <v>0</v>
      </c>
      <c r="I332" s="26">
        <f>IFERROR(__xludf.DUMMYFUNCTION("""COMPUTED_VALUE"""),0.0)</f>
        <v>0</v>
      </c>
      <c r="J332" s="26">
        <f>IFERROR(__xludf.DUMMYFUNCTION("""COMPUTED_VALUE"""),0.0)</f>
        <v>0</v>
      </c>
      <c r="K332" s="26">
        <f>IFERROR(__xludf.DUMMYFUNCTION("""COMPUTED_VALUE"""),0.0)</f>
        <v>0</v>
      </c>
      <c r="L332" s="26"/>
      <c r="M332" s="26"/>
      <c r="N332" s="26"/>
      <c r="O332" s="26"/>
      <c r="P332" s="26"/>
      <c r="Q332" s="26"/>
      <c r="R332" s="26">
        <f>IFERROR(__xludf.DUMMYFUNCTION("""COMPUTED_VALUE"""),146042.0)</f>
        <v>146042</v>
      </c>
      <c r="S332" s="26">
        <f>IFERROR(__xludf.DUMMYFUNCTION("""COMPUTED_VALUE"""),54240.0)</f>
        <v>54240</v>
      </c>
      <c r="T332" s="26">
        <f>IFERROR(__xludf.DUMMYFUNCTION("""COMPUTED_VALUE"""),0.0)</f>
        <v>0</v>
      </c>
      <c r="U332" s="26">
        <f>IFERROR(__xludf.DUMMYFUNCTION("""COMPUTED_VALUE"""),0.0)</f>
        <v>0</v>
      </c>
      <c r="V332" s="26">
        <f>IFERROR(__xludf.DUMMYFUNCTION("""COMPUTED_VALUE"""),22276.489999999892)</f>
        <v>22276.49</v>
      </c>
      <c r="W332" s="26">
        <f>IFERROR(__xludf.DUMMYFUNCTION("""COMPUTED_VALUE"""),79993.35999999996)</f>
        <v>79993.36</v>
      </c>
      <c r="X332" s="26">
        <f>IFERROR(__xludf.DUMMYFUNCTION("""COMPUTED_VALUE"""),79993.35999999996)</f>
        <v>79993.36</v>
      </c>
      <c r="Y332" s="26">
        <f>IFERROR(__xludf.DUMMYFUNCTION("""COMPUTED_VALUE"""),69525.51000000033)</f>
        <v>69525.51</v>
      </c>
      <c r="Z332" s="26">
        <f>IFERROR(__xludf.DUMMYFUNCTION("""COMPUTED_VALUE"""),66048.63999999977)</f>
        <v>66048.64</v>
      </c>
      <c r="AA332" s="26">
        <f>IFERROR(__xludf.DUMMYFUNCTION("""COMPUTED_VALUE"""),3476.870000000004)</f>
        <v>3476.87</v>
      </c>
      <c r="AB332" s="26">
        <f>IFERROR(__xludf.DUMMYFUNCTION("""COMPUTED_VALUE"""),0.0)</f>
        <v>0</v>
      </c>
      <c r="AC332" s="26">
        <f>IFERROR(__xludf.DUMMYFUNCTION("""COMPUTED_VALUE"""),0.0)</f>
        <v>0</v>
      </c>
      <c r="AD332" s="26">
        <f>IFERROR(__xludf.DUMMYFUNCTION("""COMPUTED_VALUE"""),80000.0)</f>
        <v>80000</v>
      </c>
      <c r="AE332" s="26">
        <f>IFERROR(__xludf.DUMMYFUNCTION("""COMPUTED_VALUE"""),0.0)</f>
        <v>0</v>
      </c>
    </row>
    <row r="333">
      <c r="A333" s="26">
        <f>IFERROR(__xludf.DUMMYFUNCTION("""COMPUTED_VALUE"""),5.0)</f>
        <v>5</v>
      </c>
      <c r="B333" s="26">
        <f>IFERROR(__xludf.DUMMYFUNCTION("""COMPUTED_VALUE"""),0.0)</f>
        <v>0</v>
      </c>
      <c r="C333" s="26">
        <f>IFERROR(__xludf.DUMMYFUNCTION("""COMPUTED_VALUE"""),0.0)</f>
        <v>0</v>
      </c>
      <c r="D333" s="26">
        <f>IFERROR(__xludf.DUMMYFUNCTION("""COMPUTED_VALUE"""),0.0)</f>
        <v>0</v>
      </c>
      <c r="E333" s="26">
        <f>IFERROR(__xludf.DUMMYFUNCTION("""COMPUTED_VALUE"""),0.0)</f>
        <v>0</v>
      </c>
      <c r="F333" s="26">
        <f>IFERROR(__xludf.DUMMYFUNCTION("""COMPUTED_VALUE"""),0.0)</f>
        <v>0</v>
      </c>
      <c r="G333" s="26">
        <f>IFERROR(__xludf.DUMMYFUNCTION("""COMPUTED_VALUE"""),0.0)</f>
        <v>0</v>
      </c>
      <c r="H333" s="26">
        <f>IFERROR(__xludf.DUMMYFUNCTION("""COMPUTED_VALUE"""),0.0)</f>
        <v>0</v>
      </c>
      <c r="I333" s="26">
        <f>IFERROR(__xludf.DUMMYFUNCTION("""COMPUTED_VALUE"""),0.0)</f>
        <v>0</v>
      </c>
      <c r="J333" s="26">
        <f>IFERROR(__xludf.DUMMYFUNCTION("""COMPUTED_VALUE"""),0.0)</f>
        <v>0</v>
      </c>
      <c r="K333" s="26">
        <f>IFERROR(__xludf.DUMMYFUNCTION("""COMPUTED_VALUE"""),0.0)</f>
        <v>0</v>
      </c>
      <c r="L333" s="26"/>
      <c r="M333" s="26"/>
      <c r="N333" s="26"/>
      <c r="O333" s="26"/>
      <c r="P333" s="26"/>
      <c r="Q333" s="26"/>
      <c r="R333" s="26">
        <f>IFERROR(__xludf.DUMMYFUNCTION("""COMPUTED_VALUE"""),1950.0)</f>
        <v>1950</v>
      </c>
      <c r="S333" s="26">
        <f>IFERROR(__xludf.DUMMYFUNCTION("""COMPUTED_VALUE"""),850.0)</f>
        <v>850</v>
      </c>
      <c r="T333" s="26">
        <f>IFERROR(__xludf.DUMMYFUNCTION("""COMPUTED_VALUE"""),0.0)</f>
        <v>0</v>
      </c>
      <c r="U333" s="26">
        <f>IFERROR(__xludf.DUMMYFUNCTION("""COMPUTED_VALUE"""),0.0)</f>
        <v>0</v>
      </c>
      <c r="V333" s="26">
        <f>IFERROR(__xludf.DUMMYFUNCTION("""COMPUTED_VALUE"""),297.45)</f>
        <v>297.45</v>
      </c>
      <c r="W333" s="26">
        <f>IFERROR(__xludf.DUMMYFUNCTION("""COMPUTED_VALUE"""),1950.0)</f>
        <v>1950</v>
      </c>
      <c r="X333" s="26">
        <f>IFERROR(__xludf.DUMMYFUNCTION("""COMPUTED_VALUE"""),1187.6000000000001)</f>
        <v>1187.6</v>
      </c>
      <c r="Y333" s="26">
        <f>IFERROR(__xludf.DUMMYFUNCTION("""COMPUTED_VALUE"""),802.55)</f>
        <v>802.55</v>
      </c>
      <c r="Z333" s="26">
        <f>IFERROR(__xludf.DUMMYFUNCTION("""COMPUTED_VALUE"""),0.0)</f>
        <v>0</v>
      </c>
      <c r="AA333" s="26">
        <f>IFERROR(__xludf.DUMMYFUNCTION("""COMPUTED_VALUE"""),40.14999999999999)</f>
        <v>40.15</v>
      </c>
      <c r="AB333" s="26">
        <f>IFERROR(__xludf.DUMMYFUNCTION("""COMPUTED_VALUE"""),762.3999999999999)</f>
        <v>762.4</v>
      </c>
      <c r="AC333" s="26">
        <f>IFERROR(__xludf.DUMMYFUNCTION("""COMPUTED_VALUE"""),0.0)</f>
        <v>0</v>
      </c>
      <c r="AD333" s="26">
        <f>IFERROR(__xludf.DUMMYFUNCTION("""COMPUTED_VALUE"""),2000.0)</f>
        <v>2000</v>
      </c>
      <c r="AE333" s="26">
        <f>IFERROR(__xludf.DUMMYFUNCTION("""COMPUTED_VALUE"""),0.0)</f>
        <v>0</v>
      </c>
    </row>
    <row r="334">
      <c r="A334" s="26">
        <f>IFERROR(__xludf.DUMMYFUNCTION("""COMPUTED_VALUE"""),12.0)</f>
        <v>12</v>
      </c>
      <c r="B334" s="26">
        <f>IFERROR(__xludf.DUMMYFUNCTION("""COMPUTED_VALUE"""),0.0)</f>
        <v>0</v>
      </c>
      <c r="C334" s="26">
        <f>IFERROR(__xludf.DUMMYFUNCTION("""COMPUTED_VALUE"""),0.0)</f>
        <v>0</v>
      </c>
      <c r="D334" s="26">
        <f>IFERROR(__xludf.DUMMYFUNCTION("""COMPUTED_VALUE"""),0.0)</f>
        <v>0</v>
      </c>
      <c r="E334" s="26">
        <f>IFERROR(__xludf.DUMMYFUNCTION("""COMPUTED_VALUE"""),0.0)</f>
        <v>0</v>
      </c>
      <c r="F334" s="26">
        <f>IFERROR(__xludf.DUMMYFUNCTION("""COMPUTED_VALUE"""),0.0)</f>
        <v>0</v>
      </c>
      <c r="G334" s="26">
        <f>IFERROR(__xludf.DUMMYFUNCTION("""COMPUTED_VALUE"""),0.0)</f>
        <v>0</v>
      </c>
      <c r="H334" s="26">
        <f>IFERROR(__xludf.DUMMYFUNCTION("""COMPUTED_VALUE"""),0.0)</f>
        <v>0</v>
      </c>
      <c r="I334" s="26">
        <f>IFERROR(__xludf.DUMMYFUNCTION("""COMPUTED_VALUE"""),0.0)</f>
        <v>0</v>
      </c>
      <c r="J334" s="26">
        <f>IFERROR(__xludf.DUMMYFUNCTION("""COMPUTED_VALUE"""),0.0)</f>
        <v>0</v>
      </c>
      <c r="K334" s="26">
        <f>IFERROR(__xludf.DUMMYFUNCTION("""COMPUTED_VALUE"""),0.0)</f>
        <v>0</v>
      </c>
      <c r="L334" s="26"/>
      <c r="M334" s="26"/>
      <c r="N334" s="26"/>
      <c r="O334" s="26"/>
      <c r="P334" s="26"/>
      <c r="Q334" s="26"/>
      <c r="R334" s="26">
        <f>IFERROR(__xludf.DUMMYFUNCTION("""COMPUTED_VALUE"""),5304.0)</f>
        <v>5304</v>
      </c>
      <c r="S334" s="26">
        <f>IFERROR(__xludf.DUMMYFUNCTION("""COMPUTED_VALUE"""),2100.0)</f>
        <v>2100</v>
      </c>
      <c r="T334" s="26">
        <f>IFERROR(__xludf.DUMMYFUNCTION("""COMPUTED_VALUE"""),0.0)</f>
        <v>0</v>
      </c>
      <c r="U334" s="26">
        <f>IFERROR(__xludf.DUMMYFUNCTION("""COMPUTED_VALUE"""),0.0)</f>
        <v>0</v>
      </c>
      <c r="V334" s="26">
        <f>IFERROR(__xludf.DUMMYFUNCTION("""COMPUTED_VALUE"""),809.0399999999998)</f>
        <v>809.04</v>
      </c>
      <c r="W334" s="26">
        <f>IFERROR(__xludf.DUMMYFUNCTION("""COMPUTED_VALUE"""),3028.8000000000006)</f>
        <v>3028.8</v>
      </c>
      <c r="X334" s="26">
        <f>IFERROR(__xludf.DUMMYFUNCTION("""COMPUTED_VALUE"""),3028.8000000000006)</f>
        <v>3028.8</v>
      </c>
      <c r="Y334" s="26">
        <f>IFERROR(__xludf.DUMMYFUNCTION("""COMPUTED_VALUE"""),2394.9599999999996)</f>
        <v>2394.96</v>
      </c>
      <c r="Z334" s="26">
        <f>IFERROR(__xludf.DUMMYFUNCTION("""COMPUTED_VALUE"""),2275.1999999999994)</f>
        <v>2275.2</v>
      </c>
      <c r="AA334" s="26">
        <f>IFERROR(__xludf.DUMMYFUNCTION("""COMPUTED_VALUE"""),119.76000000000003)</f>
        <v>119.76</v>
      </c>
      <c r="AB334" s="26">
        <f>IFERROR(__xludf.DUMMYFUNCTION("""COMPUTED_VALUE"""),0.0)</f>
        <v>0</v>
      </c>
      <c r="AC334" s="26">
        <f>IFERROR(__xludf.DUMMYFUNCTION("""COMPUTED_VALUE"""),0.0)</f>
        <v>0</v>
      </c>
      <c r="AD334" s="26">
        <f>IFERROR(__xludf.DUMMYFUNCTION("""COMPUTED_VALUE"""),5000.0)</f>
        <v>5000</v>
      </c>
      <c r="AE334" s="26">
        <f>IFERROR(__xludf.DUMMYFUNCTION("""COMPUTED_VALUE"""),0.0)</f>
        <v>0</v>
      </c>
    </row>
    <row r="335">
      <c r="A335" s="26">
        <f>IFERROR(__xludf.DUMMYFUNCTION("""COMPUTED_VALUE"""),77.0)</f>
        <v>77</v>
      </c>
      <c r="B335" s="26">
        <f>IFERROR(__xludf.DUMMYFUNCTION("""COMPUTED_VALUE"""),0.0)</f>
        <v>0</v>
      </c>
      <c r="C335" s="26">
        <f>IFERROR(__xludf.DUMMYFUNCTION("""COMPUTED_VALUE"""),0.0)</f>
        <v>0</v>
      </c>
      <c r="D335" s="26">
        <f>IFERROR(__xludf.DUMMYFUNCTION("""COMPUTED_VALUE"""),0.0)</f>
        <v>0</v>
      </c>
      <c r="E335" s="26">
        <f>IFERROR(__xludf.DUMMYFUNCTION("""COMPUTED_VALUE"""),0.0)</f>
        <v>0</v>
      </c>
      <c r="F335" s="26">
        <f>IFERROR(__xludf.DUMMYFUNCTION("""COMPUTED_VALUE"""),0.0)</f>
        <v>0</v>
      </c>
      <c r="G335" s="26">
        <f>IFERROR(__xludf.DUMMYFUNCTION("""COMPUTED_VALUE"""),0.0)</f>
        <v>0</v>
      </c>
      <c r="H335" s="26">
        <f>IFERROR(__xludf.DUMMYFUNCTION("""COMPUTED_VALUE"""),0.0)</f>
        <v>0</v>
      </c>
      <c r="I335" s="26">
        <f>IFERROR(__xludf.DUMMYFUNCTION("""COMPUTED_VALUE"""),0.0)</f>
        <v>0</v>
      </c>
      <c r="J335" s="26">
        <f>IFERROR(__xludf.DUMMYFUNCTION("""COMPUTED_VALUE"""),0.0)</f>
        <v>0</v>
      </c>
      <c r="K335" s="26">
        <f>IFERROR(__xludf.DUMMYFUNCTION("""COMPUTED_VALUE"""),0.0)</f>
        <v>0</v>
      </c>
      <c r="L335" s="26"/>
      <c r="M335" s="26"/>
      <c r="N335" s="26"/>
      <c r="O335" s="26"/>
      <c r="P335" s="26"/>
      <c r="Q335" s="26"/>
      <c r="R335" s="26">
        <f>IFERROR(__xludf.DUMMYFUNCTION("""COMPUTED_VALUE"""),30030.0)</f>
        <v>30030</v>
      </c>
      <c r="S335" s="26">
        <f>IFERROR(__xludf.DUMMYFUNCTION("""COMPUTED_VALUE"""),12320.0)</f>
        <v>12320</v>
      </c>
      <c r="T335" s="26">
        <f>IFERROR(__xludf.DUMMYFUNCTION("""COMPUTED_VALUE"""),0.0)</f>
        <v>0</v>
      </c>
      <c r="U335" s="26">
        <f>IFERROR(__xludf.DUMMYFUNCTION("""COMPUTED_VALUE"""),0.0)</f>
        <v>0</v>
      </c>
      <c r="V335" s="26">
        <f>IFERROR(__xludf.DUMMYFUNCTION("""COMPUTED_VALUE"""),4580.729999999991)</f>
        <v>4580.73</v>
      </c>
      <c r="W335" s="26">
        <f>IFERROR(__xludf.DUMMYFUNCTION("""COMPUTED_VALUE"""),30030.0)</f>
        <v>30030</v>
      </c>
      <c r="X335" s="26">
        <f>IFERROR(__xludf.DUMMYFUNCTION("""COMPUTED_VALUE"""),17557.540000000026)</f>
        <v>17557.54</v>
      </c>
      <c r="Y335" s="26">
        <f>IFERROR(__xludf.DUMMYFUNCTION("""COMPUTED_VALUE"""),13129.270000000013)</f>
        <v>13129.27</v>
      </c>
      <c r="Z335" s="26">
        <f>IFERROR(__xludf.DUMMYFUNCTION("""COMPUTED_VALUE"""),0.0)</f>
        <v>0</v>
      </c>
      <c r="AA335" s="26">
        <f>IFERROR(__xludf.DUMMYFUNCTION("""COMPUTED_VALUE"""),656.8099999999988)</f>
        <v>656.81</v>
      </c>
      <c r="AB335" s="26">
        <f>IFERROR(__xludf.DUMMYFUNCTION("""COMPUTED_VALUE"""),12472.459999999977)</f>
        <v>12472.46</v>
      </c>
      <c r="AC335" s="26">
        <f>IFERROR(__xludf.DUMMYFUNCTION("""COMPUTED_VALUE"""),0.0)</f>
        <v>0</v>
      </c>
      <c r="AD335" s="26">
        <f>IFERROR(__xludf.DUMMYFUNCTION("""COMPUTED_VALUE"""),46000.0)</f>
        <v>46000</v>
      </c>
      <c r="AE335" s="26">
        <f>IFERROR(__xludf.DUMMYFUNCTION("""COMPUTED_VALUE"""),0.0)</f>
        <v>0</v>
      </c>
    </row>
    <row r="336">
      <c r="A336" s="26">
        <f>IFERROR(__xludf.DUMMYFUNCTION("""COMPUTED_VALUE"""),0.0)</f>
        <v>0</v>
      </c>
      <c r="B336" s="26">
        <f>IFERROR(__xludf.DUMMYFUNCTION("""COMPUTED_VALUE"""),0.0)</f>
        <v>0</v>
      </c>
      <c r="C336" s="26">
        <f>IFERROR(__xludf.DUMMYFUNCTION("""COMPUTED_VALUE"""),0.0)</f>
        <v>0</v>
      </c>
      <c r="D336" s="26">
        <f>IFERROR(__xludf.DUMMYFUNCTION("""COMPUTED_VALUE"""),0.0)</f>
        <v>0</v>
      </c>
      <c r="E336" s="26">
        <f>IFERROR(__xludf.DUMMYFUNCTION("""COMPUTED_VALUE"""),0.0)</f>
        <v>0</v>
      </c>
      <c r="F336" s="26">
        <f>IFERROR(__xludf.DUMMYFUNCTION("""COMPUTED_VALUE"""),0.0)</f>
        <v>0</v>
      </c>
      <c r="G336" s="26">
        <f>IFERROR(__xludf.DUMMYFUNCTION("""COMPUTED_VALUE"""),0.0)</f>
        <v>0</v>
      </c>
      <c r="H336" s="26">
        <f>IFERROR(__xludf.DUMMYFUNCTION("""COMPUTED_VALUE"""),0.0)</f>
        <v>0</v>
      </c>
      <c r="I336" s="26">
        <f>IFERROR(__xludf.DUMMYFUNCTION("""COMPUTED_VALUE"""),0.0)</f>
        <v>0</v>
      </c>
      <c r="J336" s="26">
        <f>IFERROR(__xludf.DUMMYFUNCTION("""COMPUTED_VALUE"""),0.0)</f>
        <v>0</v>
      </c>
      <c r="K336" s="26">
        <f>IFERROR(__xludf.DUMMYFUNCTION("""COMPUTED_VALUE"""),0.0)</f>
        <v>0</v>
      </c>
      <c r="L336" s="26"/>
      <c r="M336" s="26"/>
      <c r="N336" s="26"/>
      <c r="O336" s="26"/>
      <c r="P336" s="26"/>
      <c r="Q336" s="26"/>
      <c r="R336" s="26">
        <f>IFERROR(__xludf.DUMMYFUNCTION("""COMPUTED_VALUE"""),0.0)</f>
        <v>0</v>
      </c>
      <c r="S336" s="26">
        <f>IFERROR(__xludf.DUMMYFUNCTION("""COMPUTED_VALUE"""),0.0)</f>
        <v>0</v>
      </c>
      <c r="T336" s="26">
        <f>IFERROR(__xludf.DUMMYFUNCTION("""COMPUTED_VALUE"""),0.0)</f>
        <v>0</v>
      </c>
      <c r="U336" s="26">
        <f>IFERROR(__xludf.DUMMYFUNCTION("""COMPUTED_VALUE"""),0.0)</f>
        <v>0</v>
      </c>
      <c r="V336" s="26">
        <f>IFERROR(__xludf.DUMMYFUNCTION("""COMPUTED_VALUE"""),0.0)</f>
        <v>0</v>
      </c>
      <c r="W336" s="26">
        <f>IFERROR(__xludf.DUMMYFUNCTION("""COMPUTED_VALUE"""),0.0)</f>
        <v>0</v>
      </c>
      <c r="X336" s="26">
        <f>IFERROR(__xludf.DUMMYFUNCTION("""COMPUTED_VALUE"""),0.0)</f>
        <v>0</v>
      </c>
      <c r="Y336" s="26">
        <f>IFERROR(__xludf.DUMMYFUNCTION("""COMPUTED_VALUE"""),0.0)</f>
        <v>0</v>
      </c>
      <c r="Z336" s="26">
        <f>IFERROR(__xludf.DUMMYFUNCTION("""COMPUTED_VALUE"""),0.0)</f>
        <v>0</v>
      </c>
      <c r="AA336" s="26">
        <f>IFERROR(__xludf.DUMMYFUNCTION("""COMPUTED_VALUE"""),0.0)</f>
        <v>0</v>
      </c>
      <c r="AB336" s="26">
        <f>IFERROR(__xludf.DUMMYFUNCTION("""COMPUTED_VALUE"""),0.0)</f>
        <v>0</v>
      </c>
      <c r="AC336" s="26">
        <f>IFERROR(__xludf.DUMMYFUNCTION("""COMPUTED_VALUE"""),0.0)</f>
        <v>0</v>
      </c>
      <c r="AD336" s="26">
        <f>IFERROR(__xludf.DUMMYFUNCTION("""COMPUTED_VALUE"""),0.0)</f>
        <v>0</v>
      </c>
      <c r="AE336" s="26">
        <f>IFERROR(__xludf.DUMMYFUNCTION("""COMPUTED_VALUE"""),0.0)</f>
        <v>0</v>
      </c>
    </row>
    <row r="337">
      <c r="A337" s="26">
        <f>IFERROR(__xludf.DUMMYFUNCTION("""COMPUTED_VALUE"""),2.0)</f>
        <v>2</v>
      </c>
      <c r="B337" s="26">
        <f>IFERROR(__xludf.DUMMYFUNCTION("""COMPUTED_VALUE"""),0.0)</f>
        <v>0</v>
      </c>
      <c r="C337" s="26">
        <f>IFERROR(__xludf.DUMMYFUNCTION("""COMPUTED_VALUE"""),0.0)</f>
        <v>0</v>
      </c>
      <c r="D337" s="26">
        <f>IFERROR(__xludf.DUMMYFUNCTION("""COMPUTED_VALUE"""),0.0)</f>
        <v>0</v>
      </c>
      <c r="E337" s="26">
        <f>IFERROR(__xludf.DUMMYFUNCTION("""COMPUTED_VALUE"""),0.0)</f>
        <v>0</v>
      </c>
      <c r="F337" s="26">
        <f>IFERROR(__xludf.DUMMYFUNCTION("""COMPUTED_VALUE"""),0.0)</f>
        <v>0</v>
      </c>
      <c r="G337" s="26">
        <f>IFERROR(__xludf.DUMMYFUNCTION("""COMPUTED_VALUE"""),0.0)</f>
        <v>0</v>
      </c>
      <c r="H337" s="26">
        <f>IFERROR(__xludf.DUMMYFUNCTION("""COMPUTED_VALUE"""),0.0)</f>
        <v>0</v>
      </c>
      <c r="I337" s="26">
        <f>IFERROR(__xludf.DUMMYFUNCTION("""COMPUTED_VALUE"""),0.0)</f>
        <v>0</v>
      </c>
      <c r="J337" s="26">
        <f>IFERROR(__xludf.DUMMYFUNCTION("""COMPUTED_VALUE"""),0.0)</f>
        <v>0</v>
      </c>
      <c r="K337" s="26">
        <f>IFERROR(__xludf.DUMMYFUNCTION("""COMPUTED_VALUE"""),0.0)</f>
        <v>0</v>
      </c>
      <c r="L337" s="26"/>
      <c r="M337" s="26"/>
      <c r="N337" s="26"/>
      <c r="O337" s="26"/>
      <c r="P337" s="26"/>
      <c r="Q337" s="26"/>
      <c r="R337" s="26">
        <f>IFERROR(__xludf.DUMMYFUNCTION("""COMPUTED_VALUE"""),884.0)</f>
        <v>884</v>
      </c>
      <c r="S337" s="26">
        <f>IFERROR(__xludf.DUMMYFUNCTION("""COMPUTED_VALUE"""),350.0)</f>
        <v>350</v>
      </c>
      <c r="T337" s="26">
        <f>IFERROR(__xludf.DUMMYFUNCTION("""COMPUTED_VALUE"""),0.0)</f>
        <v>0</v>
      </c>
      <c r="U337" s="26">
        <f>IFERROR(__xludf.DUMMYFUNCTION("""COMPUTED_VALUE"""),0.0)</f>
        <v>0</v>
      </c>
      <c r="V337" s="26">
        <f>IFERROR(__xludf.DUMMYFUNCTION("""COMPUTED_VALUE"""),134.84)</f>
        <v>134.84</v>
      </c>
      <c r="W337" s="26">
        <f>IFERROR(__xludf.DUMMYFUNCTION("""COMPUTED_VALUE"""),0.0)</f>
        <v>0</v>
      </c>
      <c r="X337" s="26">
        <f>IFERROR(__xludf.DUMMYFUNCTION("""COMPUTED_VALUE"""),0.0)</f>
        <v>0</v>
      </c>
      <c r="Y337" s="26">
        <f>IFERROR(__xludf.DUMMYFUNCTION("""COMPUTED_VALUE"""),0.0)</f>
        <v>0</v>
      </c>
      <c r="Z337" s="26">
        <f>IFERROR(__xludf.DUMMYFUNCTION("""COMPUTED_VALUE"""),0.0)</f>
        <v>0</v>
      </c>
      <c r="AA337" s="26">
        <f>IFERROR(__xludf.DUMMYFUNCTION("""COMPUTED_VALUE"""),0.0)</f>
        <v>0</v>
      </c>
      <c r="AB337" s="26">
        <f>IFERROR(__xludf.DUMMYFUNCTION("""COMPUTED_VALUE"""),0.0)</f>
        <v>0</v>
      </c>
      <c r="AC337" s="26">
        <f>IFERROR(__xludf.DUMMYFUNCTION("""COMPUTED_VALUE"""),0.0)</f>
        <v>0</v>
      </c>
      <c r="AD337" s="26">
        <f>IFERROR(__xludf.DUMMYFUNCTION("""COMPUTED_VALUE"""),0.0)</f>
        <v>0</v>
      </c>
      <c r="AE337" s="26">
        <f>IFERROR(__xludf.DUMMYFUNCTION("""COMPUTED_VALUE"""),0.0)</f>
        <v>0</v>
      </c>
    </row>
    <row r="338">
      <c r="A338" s="26">
        <f>IFERROR(__xludf.DUMMYFUNCTION("""COMPUTED_VALUE"""),0.0)</f>
        <v>0</v>
      </c>
      <c r="B338" s="26">
        <f>IFERROR(__xludf.DUMMYFUNCTION("""COMPUTED_VALUE"""),0.0)</f>
        <v>0</v>
      </c>
      <c r="C338" s="26">
        <f>IFERROR(__xludf.DUMMYFUNCTION("""COMPUTED_VALUE"""),0.0)</f>
        <v>0</v>
      </c>
      <c r="D338" s="26">
        <f>IFERROR(__xludf.DUMMYFUNCTION("""COMPUTED_VALUE"""),0.0)</f>
        <v>0</v>
      </c>
      <c r="E338" s="26">
        <f>IFERROR(__xludf.DUMMYFUNCTION("""COMPUTED_VALUE"""),0.0)</f>
        <v>0</v>
      </c>
      <c r="F338" s="26">
        <f>IFERROR(__xludf.DUMMYFUNCTION("""COMPUTED_VALUE"""),0.0)</f>
        <v>0</v>
      </c>
      <c r="G338" s="26">
        <f>IFERROR(__xludf.DUMMYFUNCTION("""COMPUTED_VALUE"""),0.0)</f>
        <v>0</v>
      </c>
      <c r="H338" s="26">
        <f>IFERROR(__xludf.DUMMYFUNCTION("""COMPUTED_VALUE"""),0.0)</f>
        <v>0</v>
      </c>
      <c r="I338" s="26">
        <f>IFERROR(__xludf.DUMMYFUNCTION("""COMPUTED_VALUE"""),0.0)</f>
        <v>0</v>
      </c>
      <c r="J338" s="26">
        <f>IFERROR(__xludf.DUMMYFUNCTION("""COMPUTED_VALUE"""),0.0)</f>
        <v>0</v>
      </c>
      <c r="K338" s="26">
        <f>IFERROR(__xludf.DUMMYFUNCTION("""COMPUTED_VALUE"""),0.0)</f>
        <v>0</v>
      </c>
      <c r="L338" s="26"/>
      <c r="M338" s="26"/>
      <c r="N338" s="26"/>
      <c r="O338" s="26"/>
      <c r="P338" s="26"/>
      <c r="Q338" s="26"/>
      <c r="R338" s="26">
        <f>IFERROR(__xludf.DUMMYFUNCTION("""COMPUTED_VALUE"""),0.0)</f>
        <v>0</v>
      </c>
      <c r="S338" s="26">
        <f>IFERROR(__xludf.DUMMYFUNCTION("""COMPUTED_VALUE"""),0.0)</f>
        <v>0</v>
      </c>
      <c r="T338" s="26">
        <f>IFERROR(__xludf.DUMMYFUNCTION("""COMPUTED_VALUE"""),0.0)</f>
        <v>0</v>
      </c>
      <c r="U338" s="26">
        <f>IFERROR(__xludf.DUMMYFUNCTION("""COMPUTED_VALUE"""),0.0)</f>
        <v>0</v>
      </c>
      <c r="V338" s="26">
        <f>IFERROR(__xludf.DUMMYFUNCTION("""COMPUTED_VALUE"""),0.0)</f>
        <v>0</v>
      </c>
      <c r="W338" s="26">
        <f>IFERROR(__xludf.DUMMYFUNCTION("""COMPUTED_VALUE"""),0.0)</f>
        <v>0</v>
      </c>
      <c r="X338" s="26">
        <f>IFERROR(__xludf.DUMMYFUNCTION("""COMPUTED_VALUE"""),0.0)</f>
        <v>0</v>
      </c>
      <c r="Y338" s="26">
        <f>IFERROR(__xludf.DUMMYFUNCTION("""COMPUTED_VALUE"""),0.0)</f>
        <v>0</v>
      </c>
      <c r="Z338" s="26">
        <f>IFERROR(__xludf.DUMMYFUNCTION("""COMPUTED_VALUE"""),0.0)</f>
        <v>0</v>
      </c>
      <c r="AA338" s="26">
        <f>IFERROR(__xludf.DUMMYFUNCTION("""COMPUTED_VALUE"""),0.0)</f>
        <v>0</v>
      </c>
      <c r="AB338" s="26">
        <f>IFERROR(__xludf.DUMMYFUNCTION("""COMPUTED_VALUE"""),0.0)</f>
        <v>0</v>
      </c>
      <c r="AC338" s="26">
        <f>IFERROR(__xludf.DUMMYFUNCTION("""COMPUTED_VALUE"""),0.0)</f>
        <v>0</v>
      </c>
      <c r="AD338" s="26">
        <f>IFERROR(__xludf.DUMMYFUNCTION("""COMPUTED_VALUE"""),0.0)</f>
        <v>0</v>
      </c>
      <c r="AE338" s="26">
        <f>IFERROR(__xludf.DUMMYFUNCTION("""COMPUTED_VALUE"""),0.0)</f>
        <v>0</v>
      </c>
    </row>
    <row r="339">
      <c r="A339" s="26">
        <f>IFERROR(__xludf.DUMMYFUNCTION("""COMPUTED_VALUE"""),0.0)</f>
        <v>0</v>
      </c>
      <c r="B339" s="26">
        <f>IFERROR(__xludf.DUMMYFUNCTION("""COMPUTED_VALUE"""),0.0)</f>
        <v>0</v>
      </c>
      <c r="C339" s="26">
        <f>IFERROR(__xludf.DUMMYFUNCTION("""COMPUTED_VALUE"""),0.0)</f>
        <v>0</v>
      </c>
      <c r="D339" s="26">
        <f>IFERROR(__xludf.DUMMYFUNCTION("""COMPUTED_VALUE"""),0.0)</f>
        <v>0</v>
      </c>
      <c r="E339" s="26">
        <f>IFERROR(__xludf.DUMMYFUNCTION("""COMPUTED_VALUE"""),0.0)</f>
        <v>0</v>
      </c>
      <c r="F339" s="26">
        <f>IFERROR(__xludf.DUMMYFUNCTION("""COMPUTED_VALUE"""),0.0)</f>
        <v>0</v>
      </c>
      <c r="G339" s="26">
        <f>IFERROR(__xludf.DUMMYFUNCTION("""COMPUTED_VALUE"""),0.0)</f>
        <v>0</v>
      </c>
      <c r="H339" s="26">
        <f>IFERROR(__xludf.DUMMYFUNCTION("""COMPUTED_VALUE"""),0.0)</f>
        <v>0</v>
      </c>
      <c r="I339" s="26">
        <f>IFERROR(__xludf.DUMMYFUNCTION("""COMPUTED_VALUE"""),0.0)</f>
        <v>0</v>
      </c>
      <c r="J339" s="26">
        <f>IFERROR(__xludf.DUMMYFUNCTION("""COMPUTED_VALUE"""),0.0)</f>
        <v>0</v>
      </c>
      <c r="K339" s="26">
        <f>IFERROR(__xludf.DUMMYFUNCTION("""COMPUTED_VALUE"""),0.0)</f>
        <v>0</v>
      </c>
      <c r="L339" s="26"/>
      <c r="M339" s="26"/>
      <c r="N339" s="26"/>
      <c r="O339" s="26"/>
      <c r="P339" s="26"/>
      <c r="Q339" s="26"/>
      <c r="R339" s="26">
        <f>IFERROR(__xludf.DUMMYFUNCTION("""COMPUTED_VALUE"""),0.0)</f>
        <v>0</v>
      </c>
      <c r="S339" s="26">
        <f>IFERROR(__xludf.DUMMYFUNCTION("""COMPUTED_VALUE"""),0.0)</f>
        <v>0</v>
      </c>
      <c r="T339" s="26">
        <f>IFERROR(__xludf.DUMMYFUNCTION("""COMPUTED_VALUE"""),0.0)</f>
        <v>0</v>
      </c>
      <c r="U339" s="26">
        <f>IFERROR(__xludf.DUMMYFUNCTION("""COMPUTED_VALUE"""),0.0)</f>
        <v>0</v>
      </c>
      <c r="V339" s="26">
        <f>IFERROR(__xludf.DUMMYFUNCTION("""COMPUTED_VALUE"""),0.0)</f>
        <v>0</v>
      </c>
      <c r="W339" s="26">
        <f>IFERROR(__xludf.DUMMYFUNCTION("""COMPUTED_VALUE"""),0.0)</f>
        <v>0</v>
      </c>
      <c r="X339" s="26">
        <f>IFERROR(__xludf.DUMMYFUNCTION("""COMPUTED_VALUE"""),0.0)</f>
        <v>0</v>
      </c>
      <c r="Y339" s="26">
        <f>IFERROR(__xludf.DUMMYFUNCTION("""COMPUTED_VALUE"""),0.0)</f>
        <v>0</v>
      </c>
      <c r="Z339" s="26">
        <f>IFERROR(__xludf.DUMMYFUNCTION("""COMPUTED_VALUE"""),0.0)</f>
        <v>0</v>
      </c>
      <c r="AA339" s="26">
        <f>IFERROR(__xludf.DUMMYFUNCTION("""COMPUTED_VALUE"""),0.0)</f>
        <v>0</v>
      </c>
      <c r="AB339" s="26">
        <f>IFERROR(__xludf.DUMMYFUNCTION("""COMPUTED_VALUE"""),0.0)</f>
        <v>0</v>
      </c>
      <c r="AC339" s="26">
        <f>IFERROR(__xludf.DUMMYFUNCTION("""COMPUTED_VALUE"""),0.0)</f>
        <v>0</v>
      </c>
      <c r="AD339" s="26">
        <f>IFERROR(__xludf.DUMMYFUNCTION("""COMPUTED_VALUE"""),0.0)</f>
        <v>0</v>
      </c>
      <c r="AE339" s="26">
        <f>IFERROR(__xludf.DUMMYFUNCTION("""COMPUTED_VALUE"""),0.0)</f>
        <v>0</v>
      </c>
    </row>
    <row r="340">
      <c r="A340" s="26">
        <f>IFERROR(__xludf.DUMMYFUNCTION("""COMPUTED_VALUE"""),0.0)</f>
        <v>0</v>
      </c>
      <c r="B340" s="26">
        <f>IFERROR(__xludf.DUMMYFUNCTION("""COMPUTED_VALUE"""),0.0)</f>
        <v>0</v>
      </c>
      <c r="C340" s="26">
        <f>IFERROR(__xludf.DUMMYFUNCTION("""COMPUTED_VALUE"""),0.0)</f>
        <v>0</v>
      </c>
      <c r="D340" s="26">
        <f>IFERROR(__xludf.DUMMYFUNCTION("""COMPUTED_VALUE"""),0.0)</f>
        <v>0</v>
      </c>
      <c r="E340" s="26">
        <f>IFERROR(__xludf.DUMMYFUNCTION("""COMPUTED_VALUE"""),0.0)</f>
        <v>0</v>
      </c>
      <c r="F340" s="26">
        <f>IFERROR(__xludf.DUMMYFUNCTION("""COMPUTED_VALUE"""),0.0)</f>
        <v>0</v>
      </c>
      <c r="G340" s="26">
        <f>IFERROR(__xludf.DUMMYFUNCTION("""COMPUTED_VALUE"""),0.0)</f>
        <v>0</v>
      </c>
      <c r="H340" s="26">
        <f>IFERROR(__xludf.DUMMYFUNCTION("""COMPUTED_VALUE"""),0.0)</f>
        <v>0</v>
      </c>
      <c r="I340" s="26">
        <f>IFERROR(__xludf.DUMMYFUNCTION("""COMPUTED_VALUE"""),0.0)</f>
        <v>0</v>
      </c>
      <c r="J340" s="26">
        <f>IFERROR(__xludf.DUMMYFUNCTION("""COMPUTED_VALUE"""),0.0)</f>
        <v>0</v>
      </c>
      <c r="K340" s="26">
        <f>IFERROR(__xludf.DUMMYFUNCTION("""COMPUTED_VALUE"""),0.0)</f>
        <v>0</v>
      </c>
      <c r="L340" s="26"/>
      <c r="M340" s="26"/>
      <c r="N340" s="26"/>
      <c r="O340" s="26"/>
      <c r="P340" s="26"/>
      <c r="Q340" s="26"/>
      <c r="R340" s="26">
        <f>IFERROR(__xludf.DUMMYFUNCTION("""COMPUTED_VALUE"""),0.0)</f>
        <v>0</v>
      </c>
      <c r="S340" s="26">
        <f>IFERROR(__xludf.DUMMYFUNCTION("""COMPUTED_VALUE"""),0.0)</f>
        <v>0</v>
      </c>
      <c r="T340" s="26">
        <f>IFERROR(__xludf.DUMMYFUNCTION("""COMPUTED_VALUE"""),0.0)</f>
        <v>0</v>
      </c>
      <c r="U340" s="26">
        <f>IFERROR(__xludf.DUMMYFUNCTION("""COMPUTED_VALUE"""),0.0)</f>
        <v>0</v>
      </c>
      <c r="V340" s="26">
        <f>IFERROR(__xludf.DUMMYFUNCTION("""COMPUTED_VALUE"""),0.0)</f>
        <v>0</v>
      </c>
      <c r="W340" s="26">
        <f>IFERROR(__xludf.DUMMYFUNCTION("""COMPUTED_VALUE"""),0.0)</f>
        <v>0</v>
      </c>
      <c r="X340" s="26">
        <f>IFERROR(__xludf.DUMMYFUNCTION("""COMPUTED_VALUE"""),0.0)</f>
        <v>0</v>
      </c>
      <c r="Y340" s="26">
        <f>IFERROR(__xludf.DUMMYFUNCTION("""COMPUTED_VALUE"""),0.0)</f>
        <v>0</v>
      </c>
      <c r="Z340" s="26">
        <f>IFERROR(__xludf.DUMMYFUNCTION("""COMPUTED_VALUE"""),0.0)</f>
        <v>0</v>
      </c>
      <c r="AA340" s="26">
        <f>IFERROR(__xludf.DUMMYFUNCTION("""COMPUTED_VALUE"""),0.0)</f>
        <v>0</v>
      </c>
      <c r="AB340" s="26">
        <f>IFERROR(__xludf.DUMMYFUNCTION("""COMPUTED_VALUE"""),0.0)</f>
        <v>0</v>
      </c>
      <c r="AC340" s="26">
        <f>IFERROR(__xludf.DUMMYFUNCTION("""COMPUTED_VALUE"""),0.0)</f>
        <v>0</v>
      </c>
      <c r="AD340" s="26">
        <f>IFERROR(__xludf.DUMMYFUNCTION("""COMPUTED_VALUE"""),0.0)</f>
        <v>0</v>
      </c>
      <c r="AE340" s="26">
        <f>IFERROR(__xludf.DUMMYFUNCTION("""COMPUTED_VALUE"""),0.0)</f>
        <v>0</v>
      </c>
    </row>
    <row r="341">
      <c r="A341" s="26">
        <f>IFERROR(__xludf.DUMMYFUNCTION("""COMPUTED_VALUE"""),0.0)</f>
        <v>0</v>
      </c>
      <c r="B341" s="26">
        <f>IFERROR(__xludf.DUMMYFUNCTION("""COMPUTED_VALUE"""),0.0)</f>
        <v>0</v>
      </c>
      <c r="C341" s="26">
        <f>IFERROR(__xludf.DUMMYFUNCTION("""COMPUTED_VALUE"""),0.0)</f>
        <v>0</v>
      </c>
      <c r="D341" s="26">
        <f>IFERROR(__xludf.DUMMYFUNCTION("""COMPUTED_VALUE"""),0.0)</f>
        <v>0</v>
      </c>
      <c r="E341" s="26">
        <f>IFERROR(__xludf.DUMMYFUNCTION("""COMPUTED_VALUE"""),0.0)</f>
        <v>0</v>
      </c>
      <c r="F341" s="26">
        <f>IFERROR(__xludf.DUMMYFUNCTION("""COMPUTED_VALUE"""),0.0)</f>
        <v>0</v>
      </c>
      <c r="G341" s="26">
        <f>IFERROR(__xludf.DUMMYFUNCTION("""COMPUTED_VALUE"""),0.0)</f>
        <v>0</v>
      </c>
      <c r="H341" s="26">
        <f>IFERROR(__xludf.DUMMYFUNCTION("""COMPUTED_VALUE"""),0.0)</f>
        <v>0</v>
      </c>
      <c r="I341" s="26">
        <f>IFERROR(__xludf.DUMMYFUNCTION("""COMPUTED_VALUE"""),0.0)</f>
        <v>0</v>
      </c>
      <c r="J341" s="26">
        <f>IFERROR(__xludf.DUMMYFUNCTION("""COMPUTED_VALUE"""),0.0)</f>
        <v>0</v>
      </c>
      <c r="K341" s="26">
        <f>IFERROR(__xludf.DUMMYFUNCTION("""COMPUTED_VALUE"""),0.0)</f>
        <v>0</v>
      </c>
      <c r="L341" s="26"/>
      <c r="M341" s="26"/>
      <c r="N341" s="26"/>
      <c r="O341" s="26"/>
      <c r="P341" s="26"/>
      <c r="Q341" s="26"/>
      <c r="R341" s="26">
        <f>IFERROR(__xludf.DUMMYFUNCTION("""COMPUTED_VALUE"""),0.0)</f>
        <v>0</v>
      </c>
      <c r="S341" s="26">
        <f>IFERROR(__xludf.DUMMYFUNCTION("""COMPUTED_VALUE"""),0.0)</f>
        <v>0</v>
      </c>
      <c r="T341" s="26">
        <f>IFERROR(__xludf.DUMMYFUNCTION("""COMPUTED_VALUE"""),0.0)</f>
        <v>0</v>
      </c>
      <c r="U341" s="26">
        <f>IFERROR(__xludf.DUMMYFUNCTION("""COMPUTED_VALUE"""),0.0)</f>
        <v>0</v>
      </c>
      <c r="V341" s="26">
        <f>IFERROR(__xludf.DUMMYFUNCTION("""COMPUTED_VALUE"""),0.0)</f>
        <v>0</v>
      </c>
      <c r="W341" s="26">
        <f>IFERROR(__xludf.DUMMYFUNCTION("""COMPUTED_VALUE"""),0.0)</f>
        <v>0</v>
      </c>
      <c r="X341" s="26">
        <f>IFERROR(__xludf.DUMMYFUNCTION("""COMPUTED_VALUE"""),0.0)</f>
        <v>0</v>
      </c>
      <c r="Y341" s="26">
        <f>IFERROR(__xludf.DUMMYFUNCTION("""COMPUTED_VALUE"""),0.0)</f>
        <v>0</v>
      </c>
      <c r="Z341" s="26">
        <f>IFERROR(__xludf.DUMMYFUNCTION("""COMPUTED_VALUE"""),0.0)</f>
        <v>0</v>
      </c>
      <c r="AA341" s="26">
        <f>IFERROR(__xludf.DUMMYFUNCTION("""COMPUTED_VALUE"""),0.0)</f>
        <v>0</v>
      </c>
      <c r="AB341" s="26">
        <f>IFERROR(__xludf.DUMMYFUNCTION("""COMPUTED_VALUE"""),0.0)</f>
        <v>0</v>
      </c>
      <c r="AC341" s="26">
        <f>IFERROR(__xludf.DUMMYFUNCTION("""COMPUTED_VALUE"""),0.0)</f>
        <v>0</v>
      </c>
      <c r="AD341" s="26">
        <f>IFERROR(__xludf.DUMMYFUNCTION("""COMPUTED_VALUE"""),0.0)</f>
        <v>0</v>
      </c>
      <c r="AE341" s="26">
        <f>IFERROR(__xludf.DUMMYFUNCTION("""COMPUTED_VALUE"""),0.0)</f>
        <v>0</v>
      </c>
    </row>
    <row r="34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row>
    <row r="34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row>
    <row r="344">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row>
    <row r="34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row>
    <row r="346">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row>
    <row r="347">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row>
    <row r="348">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row>
    <row r="349">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row>
    <row r="350">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row>
    <row r="35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row>
    <row r="35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row>
    <row r="35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row>
    <row r="354">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row>
    <row r="35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row>
    <row r="356">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row>
    <row r="357">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row>
    <row r="358">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row>
    <row r="359">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row>
    <row r="360">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row>
    <row r="36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row>
    <row r="36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row>
    <row r="36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row>
    <row r="364">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row>
    <row r="36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row>
    <row r="366">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row>
    <row r="367">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row>
    <row r="368">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row>
    <row r="369">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row>
    <row r="370">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row>
    <row r="37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row>
    <row r="37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row>
    <row r="37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row>
    <row r="374">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row>
    <row r="37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row>
    <row r="376">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row>
    <row r="377">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row>
    <row r="378">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row>
    <row r="379">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row>
    <row r="380">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row>
    <row r="38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row>
    <row r="38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row>
    <row r="38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row>
    <row r="384">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row>
    <row r="38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row>
    <row r="386">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row>
    <row r="387">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row>
    <row r="388">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row>
    <row r="389">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row>
    <row r="390">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row>
    <row r="39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row>
    <row r="39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row>
    <row r="39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row>
    <row r="394">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row>
    <row r="39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row>
    <row r="396">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row>
    <row r="397">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row>
    <row r="398">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row>
    <row r="399">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row>
    <row r="400">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row>
    <row r="40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row>
    <row r="4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row>
    <row r="4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row>
    <row r="404">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row>
    <row r="40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row>
    <row r="406">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row>
    <row r="407">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row>
    <row r="40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row>
    <row r="409">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row>
    <row r="410">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row>
    <row r="41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row>
    <row r="41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row>
    <row r="41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row>
    <row r="414">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row>
    <row r="41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row>
    <row r="416">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row>
    <row r="417">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row>
    <row r="41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row>
    <row r="419">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row>
    <row r="420">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row>
    <row r="42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row>
    <row r="42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row>
    <row r="42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row>
    <row r="424">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row>
    <row r="4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row>
    <row r="426">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row>
    <row r="427">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row>
    <row r="42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row>
    <row r="429">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row>
    <row r="430">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row>
    <row r="43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row>
    <row r="43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row>
    <row r="43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row>
    <row r="434">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row>
    <row r="43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row>
    <row r="436">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row>
    <row r="437">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row>
    <row r="43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row>
    <row r="439">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row>
    <row r="440">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row>
    <row r="44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row>
    <row r="44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row>
    <row r="44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row>
    <row r="444">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row>
    <row r="44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row>
    <row r="446">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row>
    <row r="447">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row>
    <row r="44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row>
    <row r="449">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row>
    <row r="450">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row>
    <row r="45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row>
    <row r="45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row>
    <row r="45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row>
    <row r="454">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row>
    <row r="45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row>
    <row r="456">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row>
    <row r="457">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row>
    <row r="45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row>
    <row r="459">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row>
    <row r="460">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row>
    <row r="46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row>
    <row r="46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row>
    <row r="46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row>
    <row r="464">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row>
    <row r="46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row>
    <row r="466">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row>
    <row r="467">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row>
    <row r="46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row>
    <row r="469">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row>
    <row r="470">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row>
    <row r="47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row>
    <row r="47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row>
    <row r="47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row>
    <row r="474">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row>
    <row r="47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row>
    <row r="476">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row>
    <row r="477">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row>
    <row r="4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row>
    <row r="479">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row>
    <row r="480">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row>
    <row r="48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row>
    <row r="48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row>
    <row r="48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row>
    <row r="484">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row>
    <row r="48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row>
    <row r="486">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row>
    <row r="487">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row>
    <row r="48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row>
    <row r="489">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row>
    <row r="490">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row>
    <row r="49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row>
    <row r="49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row>
    <row r="49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row>
    <row r="494">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row>
    <row r="49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row>
    <row r="496">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row>
    <row r="497">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row>
    <row r="498">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row>
    <row r="499">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row>
    <row r="500">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row>
    <row r="50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row>
    <row r="5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row>
    <row r="5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row>
    <row r="504">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row>
    <row r="50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row>
    <row r="506">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row>
    <row r="507">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row>
    <row r="508">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row>
    <row r="509">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row>
    <row r="510">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row>
    <row r="51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row>
    <row r="51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row>
    <row r="51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row>
    <row r="514">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row>
    <row r="51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row>
    <row r="516">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row>
    <row r="517">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row>
    <row r="518">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row>
    <row r="519">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row>
    <row r="520">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row>
    <row r="52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row>
    <row r="52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row>
    <row r="52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row>
    <row r="524">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row>
    <row r="5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row>
    <row r="526">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row>
    <row r="527">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row>
    <row r="528">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row>
    <row r="529">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row>
    <row r="530">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row>
    <row r="53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row>
    <row r="53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row>
    <row r="53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row>
    <row r="534">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row>
    <row r="53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row>
    <row r="536">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row>
    <row r="537">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row>
    <row r="538">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row>
    <row r="539">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row>
    <row r="540">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row>
    <row r="54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row>
    <row r="54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row>
    <row r="54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row>
    <row r="544">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row>
    <row r="54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row>
    <row r="546">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row>
    <row r="547">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row>
    <row r="548">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row>
    <row r="549">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row>
    <row r="550">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row>
    <row r="55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row>
    <row r="55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row>
    <row r="55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row>
    <row r="554">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row>
    <row r="55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row>
    <row r="556">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row>
    <row r="557">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row>
    <row r="558">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row>
    <row r="559">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row>
    <row r="560">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row>
    <row r="56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row>
    <row r="56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row>
    <row r="56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row>
    <row r="564">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row>
    <row r="56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row>
    <row r="566">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row>
    <row r="567">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row>
    <row r="568">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row>
    <row r="569">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row>
    <row r="570">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row>
    <row r="57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row>
    <row r="57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row>
    <row r="57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row>
    <row r="574">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row>
    <row r="57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row>
    <row r="576">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row>
    <row r="577">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row>
    <row r="578">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row>
    <row r="579">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row>
    <row r="580">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row>
    <row r="58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row>
    <row r="58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row>
    <row r="58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row>
    <row r="584">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row>
    <row r="58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row>
    <row r="58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row>
    <row r="587">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row>
    <row r="588">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row>
    <row r="589">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row>
    <row r="590">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row>
    <row r="59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row>
    <row r="59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row>
    <row r="59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row>
    <row r="594">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row>
    <row r="59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row>
    <row r="59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row>
    <row r="597">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row>
    <row r="598">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row>
    <row r="599">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row>
    <row r="600">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row>
    <row r="60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row>
    <row r="6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row>
    <row r="6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row>
    <row r="604">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row>
    <row r="60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row>
    <row r="60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row>
    <row r="607">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row>
    <row r="608">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row>
    <row r="609">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row>
    <row r="610">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row>
    <row r="61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row>
    <row r="61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row>
    <row r="61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row>
    <row r="614">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row>
    <row r="61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row>
    <row r="61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row>
    <row r="617">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row>
    <row r="618">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row>
    <row r="619">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row>
    <row r="620">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row>
    <row r="62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row>
    <row r="62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row>
    <row r="62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row>
    <row r="624">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row>
    <row r="6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row>
    <row r="6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row>
    <row r="627">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row>
    <row r="628">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row>
    <row r="629">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row>
    <row r="630">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row>
    <row r="63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row>
    <row r="63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row>
    <row r="63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row>
    <row r="634">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row>
    <row r="63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row>
    <row r="63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row>
    <row r="637">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row>
    <row r="638">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row>
    <row r="639">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row>
    <row r="640">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row>
    <row r="64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row>
    <row r="64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row>
    <row r="64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row>
    <row r="644">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row>
    <row r="64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row>
    <row r="64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row>
    <row r="647">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row>
    <row r="648">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row>
    <row r="649">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row>
    <row r="650">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row>
    <row r="65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row>
    <row r="65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row>
    <row r="65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row>
    <row r="654">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row>
    <row r="65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row>
    <row r="65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row>
    <row r="657">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row>
    <row r="658">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row>
    <row r="659">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row>
    <row r="660">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row>
    <row r="66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row>
    <row r="66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row>
    <row r="66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row>
    <row r="664">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row>
    <row r="66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row>
    <row r="66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row>
    <row r="667">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row>
    <row r="668">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row>
    <row r="669">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row>
    <row r="670">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row>
    <row r="67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row>
    <row r="67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row>
    <row r="67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row>
    <row r="674">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row>
    <row r="67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row>
    <row r="67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row>
    <row r="677">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row>
    <row r="678">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row>
    <row r="679">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row>
    <row r="680">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row>
    <row r="68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row>
    <row r="68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row>
    <row r="68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row>
    <row r="684">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row>
    <row r="68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row>
    <row r="68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row>
    <row r="687">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row>
    <row r="688">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row>
    <row r="689">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row>
    <row r="690">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row>
    <row r="69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row>
    <row r="69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row>
    <row r="69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row>
    <row r="694">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row>
    <row r="69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row>
    <row r="69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row>
    <row r="697">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row>
    <row r="698">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row>
    <row r="699">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row>
    <row r="700">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row>
    <row r="70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row>
    <row r="7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row>
    <row r="7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row>
    <row r="704">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row>
    <row r="70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row>
    <row r="70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row>
    <row r="707">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row>
    <row r="708">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row>
    <row r="709">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row>
    <row r="710">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row>
    <row r="71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row>
    <row r="71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row>
    <row r="71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row>
    <row r="714">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row>
    <row r="71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row>
    <row r="71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row>
    <row r="717">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row>
    <row r="718">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row>
    <row r="719">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row>
    <row r="720">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row>
    <row r="72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row>
    <row r="72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row>
    <row r="72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row>
    <row r="724">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row>
    <row r="7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row>
    <row r="7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row>
    <row r="727">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row>
    <row r="728">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row>
    <row r="729">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row>
    <row r="730">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row>
    <row r="73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row>
    <row r="73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row>
    <row r="73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row>
    <row r="734">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row>
    <row r="73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row>
    <row r="73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row>
    <row r="737">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row>
    <row r="738">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row>
    <row r="739">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row>
    <row r="740">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row>
    <row r="74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row>
    <row r="74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row>
    <row r="74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row>
    <row r="744">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row>
    <row r="74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row>
    <row r="74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row>
    <row r="747">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row>
    <row r="748">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row>
    <row r="749">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row>
    <row r="750">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row>
    <row r="75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row>
    <row r="75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row>
    <row r="75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row>
    <row r="754">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row>
    <row r="75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row>
    <row r="75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row>
    <row r="757">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row>
    <row r="758">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row>
    <row r="759">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row>
    <row r="760">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row>
    <row r="76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row>
    <row r="76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row>
    <row r="76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row>
    <row r="764">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row>
    <row r="76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row>
    <row r="76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row>
    <row r="767">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row>
    <row r="768">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row>
    <row r="769">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row>
    <row r="770">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row>
    <row r="77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row>
    <row r="77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row>
    <row r="77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row>
    <row r="774">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row>
    <row r="77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row>
    <row r="77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row>
    <row r="777">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row>
    <row r="778">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row>
    <row r="779">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row>
    <row r="780">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row>
    <row r="78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row>
    <row r="78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row>
    <row r="78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row>
    <row r="784">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row>
    <row r="78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row>
    <row r="78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row>
    <row r="787">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row>
    <row r="788">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row>
    <row r="789">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row>
    <row r="790">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row>
    <row r="79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row>
    <row r="79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row>
    <row r="79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row>
    <row r="794">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row>
    <row r="79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row>
    <row r="79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row>
    <row r="797">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row>
    <row r="798">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row>
    <row r="799">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row>
    <row r="800">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row>
    <row r="80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row>
    <row r="8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row>
    <row r="8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row>
    <row r="804">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row>
    <row r="80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row>
    <row r="80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row>
    <row r="807">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row>
    <row r="808">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row>
    <row r="809">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row>
    <row r="810">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row>
    <row r="81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row>
    <row r="81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row>
    <row r="81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row>
    <row r="814">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row>
    <row r="81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row>
    <row r="81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row>
    <row r="817">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row>
    <row r="818">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row>
    <row r="819">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row>
    <row r="820">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row>
    <row r="82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row>
    <row r="82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row>
    <row r="82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row>
    <row r="824">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row>
    <row r="8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row>
    <row r="8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row>
    <row r="827">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row>
    <row r="828">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row>
    <row r="829">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row>
    <row r="830">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row>
    <row r="83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row>
    <row r="83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row>
    <row r="83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row>
    <row r="834">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row>
    <row r="83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row>
    <row r="83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row>
    <row r="837">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row>
    <row r="838">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row>
    <row r="839">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row>
    <row r="840">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row>
    <row r="84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row>
    <row r="84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row>
    <row r="84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row>
    <row r="844">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row>
    <row r="84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row>
    <row r="84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row>
    <row r="847">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row>
    <row r="848">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row>
    <row r="849">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row>
    <row r="850">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row>
    <row r="85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row>
    <row r="85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row>
    <row r="85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row>
    <row r="854">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row>
    <row r="85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row>
    <row r="85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row>
    <row r="857">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row>
    <row r="858">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row>
    <row r="859">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row>
    <row r="860">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row>
    <row r="86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row>
    <row r="86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row>
    <row r="86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row>
    <row r="864">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row>
    <row r="86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row>
    <row r="86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row>
    <row r="867">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row>
    <row r="868">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row>
    <row r="869">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row>
    <row r="870">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row>
    <row r="87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row>
    <row r="87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row>
    <row r="87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row>
    <row r="874">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row>
    <row r="87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row>
    <row r="87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row>
    <row r="877">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row>
    <row r="878">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row>
    <row r="879">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row>
    <row r="880">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row>
    <row r="88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row>
    <row r="88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row>
    <row r="88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row>
    <row r="884">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row>
    <row r="88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row>
    <row r="88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row>
    <row r="887">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row>
    <row r="888">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row>
    <row r="889">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row>
    <row r="890">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row>
    <row r="89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row>
    <row r="89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row>
    <row r="89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row>
    <row r="894">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row>
    <row r="89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row>
    <row r="89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row>
    <row r="897">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row>
    <row r="898">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row>
    <row r="899">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row>
    <row r="900">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row>
    <row r="90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row>
    <row r="9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row>
    <row r="9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row>
    <row r="904">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row>
    <row r="90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row>
    <row r="90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row>
    <row r="907">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row>
    <row r="908">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row>
    <row r="909">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row>
    <row r="910">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row>
    <row r="91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row>
    <row r="91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row>
    <row r="91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row>
    <row r="914">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row>
    <row r="91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row>
    <row r="91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row>
    <row r="917">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row>
    <row r="918">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row>
    <row r="919">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row>
    <row r="920">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row>
    <row r="92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row>
    <row r="92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row>
    <row r="92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row>
    <row r="924">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row>
    <row r="9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row>
    <row r="9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row>
    <row r="927">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row>
    <row r="928">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row>
    <row r="929">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row>
    <row r="930">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row>
    <row r="93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row>
    <row r="93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row>
    <row r="93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row>
    <row r="934">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row>
    <row r="93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row>
    <row r="93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row>
    <row r="937">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row>
    <row r="938">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row>
    <row r="939">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row>
    <row r="940">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row>
    <row r="94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row>
    <row r="94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row>
    <row r="94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row>
    <row r="944">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row>
    <row r="94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row>
    <row r="94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row>
    <row r="947">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row>
    <row r="948">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row>
    <row r="949">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row>
    <row r="950">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row>
    <row r="95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row>
    <row r="95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row>
    <row r="95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row>
    <row r="954">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row>
    <row r="95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row>
    <row r="95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row>
    <row r="957">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row>
    <row r="958">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row>
    <row r="959">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row>
    <row r="960">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row>
    <row r="96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row>
    <row r="96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row>
    <row r="96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row>
    <row r="964">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row>
    <row r="96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row>
    <row r="96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row>
    <row r="967">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row>
    <row r="968">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row>
    <row r="969">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row>
    <row r="970">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row>
    <row r="97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row>
    <row r="97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row>
    <row r="97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row>
    <row r="974">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row>
    <row r="97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row>
    <row r="97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row>
    <row r="977">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row>
    <row r="978">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row>
    <row r="979">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row>
    <row r="980">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row>
    <row r="98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row>
    <row r="98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row>
    <row r="98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row>
    <row r="984">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row>
    <row r="98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row>
    <row r="986">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row>
    <row r="987">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row>
    <row r="988">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row>
    <row r="989">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row>
    <row r="990">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row>
    <row r="99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row>
    <row r="99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row>
    <row r="99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row>
    <row r="994">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row>
    <row r="99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row>
    <row r="99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row>
    <row r="997">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row>
    <row r="998">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row>
    <row r="999">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row>
    <row r="1000">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 t="str">
        <f>IFERROR(__xludf.DUMMYFUNCTION("IMPORTRANGE(""1b-3XtXtNiPewC8Jbb5PF1kIMMblDxMNCtEk9pwxeXOs"", ""Combined Balance Sheet!D:D"")"),"Insurance Net Deduction")</f>
        <v>Insurance Net Deduction</v>
      </c>
    </row>
    <row r="2">
      <c r="A2" s="26">
        <f>IFERROR(__xludf.DUMMYFUNCTION("""COMPUTED_VALUE"""),-11316.7)</f>
        <v>-11316.7</v>
      </c>
    </row>
    <row r="3">
      <c r="A3" s="26">
        <f>IFERROR(__xludf.DUMMYFUNCTION("""COMPUTED_VALUE"""),0.0)</f>
        <v>0</v>
      </c>
    </row>
    <row r="4">
      <c r="A4" s="26">
        <f>IFERROR(__xludf.DUMMYFUNCTION("""COMPUTED_VALUE"""),0.0)</f>
        <v>0</v>
      </c>
    </row>
    <row r="5">
      <c r="A5" s="26">
        <f>IFERROR(__xludf.DUMMYFUNCTION("""COMPUTED_VALUE"""),0.0)</f>
        <v>0</v>
      </c>
    </row>
    <row r="6">
      <c r="A6" s="26">
        <f>IFERROR(__xludf.DUMMYFUNCTION("""COMPUTED_VALUE"""),0.0)</f>
        <v>0</v>
      </c>
    </row>
    <row r="7">
      <c r="A7" s="26">
        <f>IFERROR(__xludf.DUMMYFUNCTION("""COMPUTED_VALUE"""),0.0)</f>
        <v>0</v>
      </c>
    </row>
    <row r="8">
      <c r="A8" s="26">
        <f>IFERROR(__xludf.DUMMYFUNCTION("""COMPUTED_VALUE"""),-6538943.260000087)</f>
        <v>-6538943.26</v>
      </c>
    </row>
    <row r="9">
      <c r="A9" s="26">
        <f>IFERROR(__xludf.DUMMYFUNCTION("""COMPUTED_VALUE"""),0.0)</f>
        <v>0</v>
      </c>
    </row>
    <row r="10">
      <c r="A10" s="26">
        <f>IFERROR(__xludf.DUMMYFUNCTION("""COMPUTED_VALUE"""),0.0)</f>
        <v>0</v>
      </c>
    </row>
    <row r="11">
      <c r="A11" s="26">
        <f>IFERROR(__xludf.DUMMYFUNCTION("""COMPUTED_VALUE"""),0.0)</f>
        <v>0</v>
      </c>
    </row>
    <row r="12">
      <c r="A12" s="26">
        <f>IFERROR(__xludf.DUMMYFUNCTION("""COMPUTED_VALUE"""),0.0)</f>
        <v>0</v>
      </c>
    </row>
    <row r="13">
      <c r="A13" s="26">
        <f>IFERROR(__xludf.DUMMYFUNCTION("""COMPUTED_VALUE"""),0.0)</f>
        <v>0</v>
      </c>
    </row>
    <row r="14">
      <c r="A14" s="26">
        <f>IFERROR(__xludf.DUMMYFUNCTION("""COMPUTED_VALUE"""),0.0)</f>
        <v>0</v>
      </c>
    </row>
    <row r="15">
      <c r="A15" s="26">
        <f>IFERROR(__xludf.DUMMYFUNCTION("""COMPUTED_VALUE"""),0.0)</f>
        <v>0</v>
      </c>
    </row>
    <row r="16">
      <c r="A16" s="26">
        <f>IFERROR(__xludf.DUMMYFUNCTION("""COMPUTED_VALUE"""),0.0)</f>
        <v>0</v>
      </c>
    </row>
    <row r="17">
      <c r="A17" s="26">
        <f>IFERROR(__xludf.DUMMYFUNCTION("""COMPUTED_VALUE"""),0.0)</f>
        <v>0</v>
      </c>
    </row>
    <row r="18">
      <c r="A18" s="26">
        <f>IFERROR(__xludf.DUMMYFUNCTION("""COMPUTED_VALUE"""),0.0)</f>
        <v>0</v>
      </c>
    </row>
    <row r="19">
      <c r="A19" s="26">
        <f>IFERROR(__xludf.DUMMYFUNCTION("""COMPUTED_VALUE"""),0.0)</f>
        <v>0</v>
      </c>
    </row>
    <row r="20">
      <c r="A20" s="26">
        <f>IFERROR(__xludf.DUMMYFUNCTION("""COMPUTED_VALUE"""),-6039.3)</f>
        <v>-6039.3</v>
      </c>
    </row>
    <row r="21">
      <c r="A21" s="26">
        <f>IFERROR(__xludf.DUMMYFUNCTION("""COMPUTED_VALUE"""),0.0)</f>
        <v>0</v>
      </c>
    </row>
    <row r="22">
      <c r="A22" s="26">
        <f>IFERROR(__xludf.DUMMYFUNCTION("""COMPUTED_VALUE"""),0.0)</f>
        <v>0</v>
      </c>
    </row>
    <row r="23">
      <c r="A23" s="26">
        <f>IFERROR(__xludf.DUMMYFUNCTION("""COMPUTED_VALUE"""),0.0)</f>
        <v>0</v>
      </c>
    </row>
    <row r="24">
      <c r="A24" s="26">
        <f>IFERROR(__xludf.DUMMYFUNCTION("""COMPUTED_VALUE"""),0.0)</f>
        <v>0</v>
      </c>
    </row>
    <row r="25">
      <c r="A25" s="26">
        <f>IFERROR(__xludf.DUMMYFUNCTION("""COMPUTED_VALUE"""),0.0)</f>
        <v>0</v>
      </c>
    </row>
    <row r="26">
      <c r="A26" s="26">
        <f>IFERROR(__xludf.DUMMYFUNCTION("""COMPUTED_VALUE"""),0.0)</f>
        <v>0</v>
      </c>
    </row>
    <row r="27">
      <c r="A27" s="26">
        <f>IFERROR(__xludf.DUMMYFUNCTION("""COMPUTED_VALUE"""),0.0)</f>
        <v>0</v>
      </c>
    </row>
    <row r="28">
      <c r="A28" s="26">
        <f>IFERROR(__xludf.DUMMYFUNCTION("""COMPUTED_VALUE"""),0.0)</f>
        <v>0</v>
      </c>
    </row>
    <row r="29">
      <c r="A29" s="26">
        <f>IFERROR(__xludf.DUMMYFUNCTION("""COMPUTED_VALUE"""),0.0)</f>
        <v>0</v>
      </c>
    </row>
    <row r="30">
      <c r="A30" s="26">
        <f>IFERROR(__xludf.DUMMYFUNCTION("""COMPUTED_VALUE"""),0.0)</f>
        <v>0</v>
      </c>
    </row>
    <row r="31">
      <c r="A31" s="26">
        <f>IFERROR(__xludf.DUMMYFUNCTION("""COMPUTED_VALUE"""),0.0)</f>
        <v>0</v>
      </c>
    </row>
    <row r="32">
      <c r="A32" s="26">
        <f>IFERROR(__xludf.DUMMYFUNCTION("""COMPUTED_VALUE"""),0.0)</f>
        <v>0</v>
      </c>
    </row>
    <row r="33">
      <c r="A33" s="26">
        <f>IFERROR(__xludf.DUMMYFUNCTION("""COMPUTED_VALUE"""),0.0)</f>
        <v>0</v>
      </c>
    </row>
    <row r="34">
      <c r="A34" s="26">
        <f>IFERROR(__xludf.DUMMYFUNCTION("""COMPUTED_VALUE"""),0.0)</f>
        <v>0</v>
      </c>
    </row>
    <row r="35">
      <c r="A35" s="26">
        <f>IFERROR(__xludf.DUMMYFUNCTION("""COMPUTED_VALUE"""),0.0)</f>
        <v>0</v>
      </c>
    </row>
    <row r="36">
      <c r="A36" s="26">
        <f>IFERROR(__xludf.DUMMYFUNCTION("""COMPUTED_VALUE"""),0.0)</f>
        <v>0</v>
      </c>
    </row>
    <row r="37">
      <c r="A37" s="26">
        <f>IFERROR(__xludf.DUMMYFUNCTION("""COMPUTED_VALUE"""),0.0)</f>
        <v>0</v>
      </c>
    </row>
    <row r="38">
      <c r="A38" s="26">
        <f>IFERROR(__xludf.DUMMYFUNCTION("""COMPUTED_VALUE"""),0.0)</f>
        <v>0</v>
      </c>
    </row>
    <row r="39">
      <c r="A39" s="26">
        <f>IFERROR(__xludf.DUMMYFUNCTION("""COMPUTED_VALUE"""),0.0)</f>
        <v>0</v>
      </c>
    </row>
    <row r="40">
      <c r="A40" s="26">
        <f>IFERROR(__xludf.DUMMYFUNCTION("""COMPUTED_VALUE"""),0.0)</f>
        <v>0</v>
      </c>
    </row>
    <row r="41">
      <c r="A41" s="26">
        <f>IFERROR(__xludf.DUMMYFUNCTION("""COMPUTED_VALUE"""),0.0)</f>
        <v>0</v>
      </c>
    </row>
    <row r="42">
      <c r="A42" s="26">
        <f>IFERROR(__xludf.DUMMYFUNCTION("""COMPUTED_VALUE"""),0.0)</f>
        <v>0</v>
      </c>
    </row>
    <row r="43">
      <c r="A43" s="26">
        <f>IFERROR(__xludf.DUMMYFUNCTION("""COMPUTED_VALUE"""),0.0)</f>
        <v>0</v>
      </c>
    </row>
    <row r="44">
      <c r="A44" s="26">
        <f>IFERROR(__xludf.DUMMYFUNCTION("""COMPUTED_VALUE"""),0.0)</f>
        <v>0</v>
      </c>
    </row>
    <row r="45">
      <c r="A45" s="26">
        <f>IFERROR(__xludf.DUMMYFUNCTION("""COMPUTED_VALUE"""),-5788.74)</f>
        <v>-5788.74</v>
      </c>
    </row>
    <row r="46">
      <c r="A46" s="26">
        <f>IFERROR(__xludf.DUMMYFUNCTION("""COMPUTED_VALUE"""),0.0)</f>
        <v>0</v>
      </c>
    </row>
    <row r="47">
      <c r="A47" s="26">
        <f>IFERROR(__xludf.DUMMYFUNCTION("""COMPUTED_VALUE"""),0.0)</f>
        <v>0</v>
      </c>
    </row>
    <row r="48">
      <c r="A48" s="26">
        <f>IFERROR(__xludf.DUMMYFUNCTION("""COMPUTED_VALUE"""),0.0)</f>
        <v>0</v>
      </c>
    </row>
    <row r="49">
      <c r="A49" s="26">
        <f>IFERROR(__xludf.DUMMYFUNCTION("""COMPUTED_VALUE"""),0.0)</f>
        <v>0</v>
      </c>
    </row>
    <row r="50">
      <c r="A50" s="26">
        <f>IFERROR(__xludf.DUMMYFUNCTION("""COMPUTED_VALUE"""),0.0)</f>
        <v>0</v>
      </c>
    </row>
    <row r="51">
      <c r="A51" s="26">
        <f>IFERROR(__xludf.DUMMYFUNCTION("""COMPUTED_VALUE"""),0.0)</f>
        <v>0</v>
      </c>
    </row>
    <row r="52">
      <c r="A52" s="26">
        <f>IFERROR(__xludf.DUMMYFUNCTION("""COMPUTED_VALUE"""),0.0)</f>
        <v>0</v>
      </c>
    </row>
    <row r="53">
      <c r="A53" s="26">
        <f>IFERROR(__xludf.DUMMYFUNCTION("""COMPUTED_VALUE"""),0.0)</f>
        <v>0</v>
      </c>
    </row>
    <row r="54">
      <c r="A54" s="26">
        <f>IFERROR(__xludf.DUMMYFUNCTION("""COMPUTED_VALUE"""),0.0)</f>
        <v>0</v>
      </c>
    </row>
    <row r="55">
      <c r="A55" s="26">
        <f>IFERROR(__xludf.DUMMYFUNCTION("""COMPUTED_VALUE"""),0.0)</f>
        <v>0</v>
      </c>
    </row>
    <row r="56">
      <c r="A56" s="26">
        <f>IFERROR(__xludf.DUMMYFUNCTION("""COMPUTED_VALUE"""),0.0)</f>
        <v>0</v>
      </c>
    </row>
    <row r="57">
      <c r="A57" s="26">
        <f>IFERROR(__xludf.DUMMYFUNCTION("""COMPUTED_VALUE"""),0.0)</f>
        <v>0</v>
      </c>
    </row>
    <row r="58">
      <c r="A58" s="26">
        <f>IFERROR(__xludf.DUMMYFUNCTION("""COMPUTED_VALUE"""),0.0)</f>
        <v>0</v>
      </c>
    </row>
    <row r="59">
      <c r="A59" s="26">
        <f>IFERROR(__xludf.DUMMYFUNCTION("""COMPUTED_VALUE"""),0.0)</f>
        <v>0</v>
      </c>
    </row>
    <row r="60">
      <c r="A60" s="26">
        <f>IFERROR(__xludf.DUMMYFUNCTION("""COMPUTED_VALUE"""),0.0)</f>
        <v>0</v>
      </c>
    </row>
    <row r="61">
      <c r="A61" s="26">
        <f>IFERROR(__xludf.DUMMYFUNCTION("""COMPUTED_VALUE"""),0.0)</f>
        <v>0</v>
      </c>
    </row>
    <row r="62">
      <c r="A62" s="26">
        <f>IFERROR(__xludf.DUMMYFUNCTION("""COMPUTED_VALUE"""),0.0)</f>
        <v>0</v>
      </c>
    </row>
    <row r="63">
      <c r="A63" s="26">
        <f>IFERROR(__xludf.DUMMYFUNCTION("""COMPUTED_VALUE"""),0.0)</f>
        <v>0</v>
      </c>
    </row>
    <row r="64">
      <c r="A64" s="26">
        <f>IFERROR(__xludf.DUMMYFUNCTION("""COMPUTED_VALUE"""),0.0)</f>
        <v>0</v>
      </c>
    </row>
    <row r="65">
      <c r="A65" s="26">
        <f>IFERROR(__xludf.DUMMYFUNCTION("""COMPUTED_VALUE"""),0.0)</f>
        <v>0</v>
      </c>
    </row>
    <row r="66">
      <c r="A66" s="26">
        <f>IFERROR(__xludf.DUMMYFUNCTION("""COMPUTED_VALUE"""),0.0)</f>
        <v>0</v>
      </c>
    </row>
    <row r="67">
      <c r="A67" s="26">
        <f>IFERROR(__xludf.DUMMYFUNCTION("""COMPUTED_VALUE"""),0.0)</f>
        <v>0</v>
      </c>
    </row>
    <row r="68">
      <c r="A68" s="26">
        <f>IFERROR(__xludf.DUMMYFUNCTION("""COMPUTED_VALUE"""),0.0)</f>
        <v>0</v>
      </c>
    </row>
    <row r="69">
      <c r="A69" s="26">
        <f>IFERROR(__xludf.DUMMYFUNCTION("""COMPUTED_VALUE"""),0.0)</f>
        <v>0</v>
      </c>
    </row>
    <row r="70">
      <c r="A70" s="26">
        <f>IFERROR(__xludf.DUMMYFUNCTION("""COMPUTED_VALUE"""),0.0)</f>
        <v>0</v>
      </c>
    </row>
    <row r="71">
      <c r="A71" s="26">
        <f>IFERROR(__xludf.DUMMYFUNCTION("""COMPUTED_VALUE"""),0.0)</f>
        <v>0</v>
      </c>
    </row>
    <row r="72">
      <c r="A72" s="26">
        <f>IFERROR(__xludf.DUMMYFUNCTION("""COMPUTED_VALUE"""),0.0)</f>
        <v>0</v>
      </c>
    </row>
    <row r="73">
      <c r="A73" s="26">
        <f>IFERROR(__xludf.DUMMYFUNCTION("""COMPUTED_VALUE"""),0.0)</f>
        <v>0</v>
      </c>
    </row>
    <row r="74">
      <c r="A74" s="26">
        <f>IFERROR(__xludf.DUMMYFUNCTION("""COMPUTED_VALUE"""),0.0)</f>
        <v>0</v>
      </c>
    </row>
    <row r="75">
      <c r="A75" s="26">
        <f>IFERROR(__xludf.DUMMYFUNCTION("""COMPUTED_VALUE"""),0.0)</f>
        <v>0</v>
      </c>
    </row>
    <row r="76">
      <c r="A76" s="26">
        <f>IFERROR(__xludf.DUMMYFUNCTION("""COMPUTED_VALUE"""),0.0)</f>
        <v>0</v>
      </c>
    </row>
    <row r="77">
      <c r="A77" s="26">
        <f>IFERROR(__xludf.DUMMYFUNCTION("""COMPUTED_VALUE"""),0.0)</f>
        <v>0</v>
      </c>
    </row>
    <row r="78">
      <c r="A78" s="26">
        <f>IFERROR(__xludf.DUMMYFUNCTION("""COMPUTED_VALUE"""),0.0)</f>
        <v>0</v>
      </c>
    </row>
    <row r="79">
      <c r="A79" s="26">
        <f>IFERROR(__xludf.DUMMYFUNCTION("""COMPUTED_VALUE"""),0.0)</f>
        <v>0</v>
      </c>
    </row>
    <row r="80">
      <c r="A80" s="26">
        <f>IFERROR(__xludf.DUMMYFUNCTION("""COMPUTED_VALUE"""),0.0)</f>
        <v>0</v>
      </c>
    </row>
    <row r="81">
      <c r="A81" s="26">
        <f>IFERROR(__xludf.DUMMYFUNCTION("""COMPUTED_VALUE"""),0.0)</f>
        <v>0</v>
      </c>
    </row>
    <row r="82">
      <c r="A82" s="26">
        <f>IFERROR(__xludf.DUMMYFUNCTION("""COMPUTED_VALUE"""),0.0)</f>
        <v>0</v>
      </c>
    </row>
    <row r="83">
      <c r="A83" s="26">
        <f>IFERROR(__xludf.DUMMYFUNCTION("""COMPUTED_VALUE"""),0.0)</f>
        <v>0</v>
      </c>
    </row>
    <row r="84">
      <c r="A84" s="26">
        <f>IFERROR(__xludf.DUMMYFUNCTION("""COMPUTED_VALUE"""),0.0)</f>
        <v>0</v>
      </c>
    </row>
    <row r="85">
      <c r="A85" s="26">
        <f>IFERROR(__xludf.DUMMYFUNCTION("""COMPUTED_VALUE"""),0.0)</f>
        <v>0</v>
      </c>
    </row>
    <row r="86">
      <c r="A86" s="26">
        <f>IFERROR(__xludf.DUMMYFUNCTION("""COMPUTED_VALUE"""),0.0)</f>
        <v>0</v>
      </c>
    </row>
    <row r="87">
      <c r="A87" s="26">
        <f>IFERROR(__xludf.DUMMYFUNCTION("""COMPUTED_VALUE"""),0.0)</f>
        <v>0</v>
      </c>
    </row>
    <row r="88">
      <c r="A88" s="26">
        <f>IFERROR(__xludf.DUMMYFUNCTION("""COMPUTED_VALUE"""),0.0)</f>
        <v>0</v>
      </c>
    </row>
    <row r="89">
      <c r="A89" s="26">
        <f>IFERROR(__xludf.DUMMYFUNCTION("""COMPUTED_VALUE"""),0.0)</f>
        <v>0</v>
      </c>
    </row>
    <row r="90">
      <c r="A90" s="26">
        <f>IFERROR(__xludf.DUMMYFUNCTION("""COMPUTED_VALUE"""),0.0)</f>
        <v>0</v>
      </c>
    </row>
    <row r="91">
      <c r="A91" s="26">
        <f>IFERROR(__xludf.DUMMYFUNCTION("""COMPUTED_VALUE"""),0.0)</f>
        <v>0</v>
      </c>
    </row>
    <row r="92">
      <c r="A92" s="26">
        <f>IFERROR(__xludf.DUMMYFUNCTION("""COMPUTED_VALUE"""),0.0)</f>
        <v>0</v>
      </c>
    </row>
    <row r="93">
      <c r="A93" s="26">
        <f>IFERROR(__xludf.DUMMYFUNCTION("""COMPUTED_VALUE"""),0.0)</f>
        <v>0</v>
      </c>
    </row>
    <row r="94">
      <c r="A94" s="26">
        <f>IFERROR(__xludf.DUMMYFUNCTION("""COMPUTED_VALUE"""),0.0)</f>
        <v>0</v>
      </c>
    </row>
    <row r="95">
      <c r="A95" s="26">
        <f>IFERROR(__xludf.DUMMYFUNCTION("""COMPUTED_VALUE"""),0.0)</f>
        <v>0</v>
      </c>
    </row>
    <row r="96">
      <c r="A96" s="26">
        <f>IFERROR(__xludf.DUMMYFUNCTION("""COMPUTED_VALUE"""),0.0)</f>
        <v>0</v>
      </c>
    </row>
    <row r="97">
      <c r="A97" s="26">
        <f>IFERROR(__xludf.DUMMYFUNCTION("""COMPUTED_VALUE"""),0.0)</f>
        <v>0</v>
      </c>
    </row>
    <row r="98">
      <c r="A98" s="26">
        <f>IFERROR(__xludf.DUMMYFUNCTION("""COMPUTED_VALUE"""),0.0)</f>
        <v>0</v>
      </c>
    </row>
    <row r="99">
      <c r="A99" s="26">
        <f>IFERROR(__xludf.DUMMYFUNCTION("""COMPUTED_VALUE"""),0.0)</f>
        <v>0</v>
      </c>
    </row>
    <row r="100">
      <c r="A100" s="26">
        <f>IFERROR(__xludf.DUMMYFUNCTION("""COMPUTED_VALUE"""),0.0)</f>
        <v>0</v>
      </c>
    </row>
    <row r="101">
      <c r="A101" s="26">
        <f>IFERROR(__xludf.DUMMYFUNCTION("""COMPUTED_VALUE"""),0.0)</f>
        <v>0</v>
      </c>
    </row>
    <row r="102">
      <c r="A102" s="26">
        <f>IFERROR(__xludf.DUMMYFUNCTION("""COMPUTED_VALUE"""),0.0)</f>
        <v>0</v>
      </c>
    </row>
    <row r="103">
      <c r="A103" s="26">
        <f>IFERROR(__xludf.DUMMYFUNCTION("""COMPUTED_VALUE"""),0.0)</f>
        <v>0</v>
      </c>
    </row>
    <row r="104">
      <c r="A104" s="26">
        <f>IFERROR(__xludf.DUMMYFUNCTION("""COMPUTED_VALUE"""),0.0)</f>
        <v>0</v>
      </c>
    </row>
    <row r="105">
      <c r="A105" s="26">
        <f>IFERROR(__xludf.DUMMYFUNCTION("""COMPUTED_VALUE"""),0.0)</f>
        <v>0</v>
      </c>
    </row>
    <row r="106">
      <c r="A106" s="26">
        <f>IFERROR(__xludf.DUMMYFUNCTION("""COMPUTED_VALUE"""),0.0)</f>
        <v>0</v>
      </c>
    </row>
    <row r="107">
      <c r="A107" s="26">
        <f>IFERROR(__xludf.DUMMYFUNCTION("""COMPUTED_VALUE"""),0.0)</f>
        <v>0</v>
      </c>
    </row>
    <row r="108">
      <c r="A108" s="26">
        <f>IFERROR(__xludf.DUMMYFUNCTION("""COMPUTED_VALUE"""),0.0)</f>
        <v>0</v>
      </c>
    </row>
    <row r="109">
      <c r="A109" s="26">
        <f>IFERROR(__xludf.DUMMYFUNCTION("""COMPUTED_VALUE"""),0.0)</f>
        <v>0</v>
      </c>
    </row>
    <row r="110">
      <c r="A110" s="26">
        <f>IFERROR(__xludf.DUMMYFUNCTION("""COMPUTED_VALUE"""),0.0)</f>
        <v>0</v>
      </c>
    </row>
    <row r="111">
      <c r="A111" s="26">
        <f>IFERROR(__xludf.DUMMYFUNCTION("""COMPUTED_VALUE"""),0.0)</f>
        <v>0</v>
      </c>
    </row>
    <row r="112">
      <c r="A112" s="26">
        <f>IFERROR(__xludf.DUMMYFUNCTION("""COMPUTED_VALUE"""),0.0)</f>
        <v>0</v>
      </c>
    </row>
    <row r="113">
      <c r="A113" s="26">
        <f>IFERROR(__xludf.DUMMYFUNCTION("""COMPUTED_VALUE"""),0.0)</f>
        <v>0</v>
      </c>
    </row>
    <row r="114">
      <c r="A114" s="26">
        <f>IFERROR(__xludf.DUMMYFUNCTION("""COMPUTED_VALUE"""),0.0)</f>
        <v>0</v>
      </c>
    </row>
    <row r="115">
      <c r="A115" s="26">
        <f>IFERROR(__xludf.DUMMYFUNCTION("""COMPUTED_VALUE"""),0.0)</f>
        <v>0</v>
      </c>
    </row>
    <row r="116">
      <c r="A116" s="26">
        <f>IFERROR(__xludf.DUMMYFUNCTION("""COMPUTED_VALUE"""),0.0)</f>
        <v>0</v>
      </c>
    </row>
    <row r="117">
      <c r="A117" s="26">
        <f>IFERROR(__xludf.DUMMYFUNCTION("""COMPUTED_VALUE"""),0.0)</f>
        <v>0</v>
      </c>
    </row>
    <row r="118">
      <c r="A118" s="26">
        <f>IFERROR(__xludf.DUMMYFUNCTION("""COMPUTED_VALUE"""),0.0)</f>
        <v>0</v>
      </c>
    </row>
    <row r="119">
      <c r="A119" s="26">
        <f>IFERROR(__xludf.DUMMYFUNCTION("""COMPUTED_VALUE"""),0.0)</f>
        <v>0</v>
      </c>
    </row>
    <row r="120">
      <c r="A120" s="26">
        <f>IFERROR(__xludf.DUMMYFUNCTION("""COMPUTED_VALUE"""),0.0)</f>
        <v>0</v>
      </c>
    </row>
    <row r="121">
      <c r="A121" s="26">
        <f>IFERROR(__xludf.DUMMYFUNCTION("""COMPUTED_VALUE"""),0.0)</f>
        <v>0</v>
      </c>
    </row>
    <row r="122">
      <c r="A122" s="26">
        <f>IFERROR(__xludf.DUMMYFUNCTION("""COMPUTED_VALUE"""),0.0)</f>
        <v>0</v>
      </c>
    </row>
    <row r="123">
      <c r="A123" s="26">
        <f>IFERROR(__xludf.DUMMYFUNCTION("""COMPUTED_VALUE"""),0.0)</f>
        <v>0</v>
      </c>
    </row>
    <row r="124">
      <c r="A124" s="26">
        <f>IFERROR(__xludf.DUMMYFUNCTION("""COMPUTED_VALUE"""),0.0)</f>
        <v>0</v>
      </c>
    </row>
    <row r="125">
      <c r="A125" s="26">
        <f>IFERROR(__xludf.DUMMYFUNCTION("""COMPUTED_VALUE"""),0.0)</f>
        <v>0</v>
      </c>
    </row>
    <row r="126">
      <c r="A126" s="26">
        <f>IFERROR(__xludf.DUMMYFUNCTION("""COMPUTED_VALUE"""),0.0)</f>
        <v>0</v>
      </c>
    </row>
    <row r="127">
      <c r="A127" s="26">
        <f>IFERROR(__xludf.DUMMYFUNCTION("""COMPUTED_VALUE"""),0.0)</f>
        <v>0</v>
      </c>
    </row>
    <row r="128">
      <c r="A128" s="26">
        <f>IFERROR(__xludf.DUMMYFUNCTION("""COMPUTED_VALUE"""),0.0)</f>
        <v>0</v>
      </c>
    </row>
    <row r="129">
      <c r="A129" s="26">
        <f>IFERROR(__xludf.DUMMYFUNCTION("""COMPUTED_VALUE"""),0.0)</f>
        <v>0</v>
      </c>
    </row>
    <row r="130">
      <c r="A130" s="26">
        <f>IFERROR(__xludf.DUMMYFUNCTION("""COMPUTED_VALUE"""),0.0)</f>
        <v>0</v>
      </c>
    </row>
    <row r="131">
      <c r="A131" s="26">
        <f>IFERROR(__xludf.DUMMYFUNCTION("""COMPUTED_VALUE"""),0.0)</f>
        <v>0</v>
      </c>
    </row>
    <row r="132">
      <c r="A132" s="26">
        <f>IFERROR(__xludf.DUMMYFUNCTION("""COMPUTED_VALUE"""),0.0)</f>
        <v>0</v>
      </c>
    </row>
    <row r="133">
      <c r="A133" s="26">
        <f>IFERROR(__xludf.DUMMYFUNCTION("""COMPUTED_VALUE"""),0.0)</f>
        <v>0</v>
      </c>
    </row>
    <row r="134">
      <c r="A134" s="26">
        <f>IFERROR(__xludf.DUMMYFUNCTION("""COMPUTED_VALUE"""),0.0)</f>
        <v>0</v>
      </c>
    </row>
    <row r="135">
      <c r="A135" s="26">
        <f>IFERROR(__xludf.DUMMYFUNCTION("""COMPUTED_VALUE"""),0.0)</f>
        <v>0</v>
      </c>
    </row>
    <row r="136">
      <c r="A136" s="26">
        <f>IFERROR(__xludf.DUMMYFUNCTION("""COMPUTED_VALUE"""),0.0)</f>
        <v>0</v>
      </c>
    </row>
    <row r="137">
      <c r="A137" s="26">
        <f>IFERROR(__xludf.DUMMYFUNCTION("""COMPUTED_VALUE"""),0.0)</f>
        <v>0</v>
      </c>
    </row>
    <row r="138">
      <c r="A138" s="26">
        <f>IFERROR(__xludf.DUMMYFUNCTION("""COMPUTED_VALUE"""),0.0)</f>
        <v>0</v>
      </c>
    </row>
    <row r="139">
      <c r="A139" s="26">
        <f>IFERROR(__xludf.DUMMYFUNCTION("""COMPUTED_VALUE"""),0.0)</f>
        <v>0</v>
      </c>
    </row>
    <row r="140">
      <c r="A140" s="26">
        <f>IFERROR(__xludf.DUMMYFUNCTION("""COMPUTED_VALUE"""),0.0)</f>
        <v>0</v>
      </c>
    </row>
    <row r="141">
      <c r="A141" s="26">
        <f>IFERROR(__xludf.DUMMYFUNCTION("""COMPUTED_VALUE"""),0.0)</f>
        <v>0</v>
      </c>
    </row>
    <row r="142">
      <c r="A142" s="26">
        <f>IFERROR(__xludf.DUMMYFUNCTION("""COMPUTED_VALUE"""),0.0)</f>
        <v>0</v>
      </c>
    </row>
    <row r="143">
      <c r="A143" s="26">
        <f>IFERROR(__xludf.DUMMYFUNCTION("""COMPUTED_VALUE"""),0.0)</f>
        <v>0</v>
      </c>
    </row>
    <row r="144">
      <c r="A144" s="26">
        <f>IFERROR(__xludf.DUMMYFUNCTION("""COMPUTED_VALUE"""),0.0)</f>
        <v>0</v>
      </c>
    </row>
    <row r="145">
      <c r="A145" s="26">
        <f>IFERROR(__xludf.DUMMYFUNCTION("""COMPUTED_VALUE"""),0.0)</f>
        <v>0</v>
      </c>
    </row>
    <row r="146">
      <c r="A146" s="26">
        <f>IFERROR(__xludf.DUMMYFUNCTION("""COMPUTED_VALUE"""),0.0)</f>
        <v>0</v>
      </c>
    </row>
    <row r="147">
      <c r="A147" s="26">
        <f>IFERROR(__xludf.DUMMYFUNCTION("""COMPUTED_VALUE"""),0.0)</f>
        <v>0</v>
      </c>
    </row>
    <row r="148">
      <c r="A148" s="26">
        <f>IFERROR(__xludf.DUMMYFUNCTION("""COMPUTED_VALUE"""),0.0)</f>
        <v>0</v>
      </c>
    </row>
    <row r="149">
      <c r="A149" s="26">
        <f>IFERROR(__xludf.DUMMYFUNCTION("""COMPUTED_VALUE"""),0.0)</f>
        <v>0</v>
      </c>
    </row>
    <row r="150">
      <c r="A150" s="26">
        <f>IFERROR(__xludf.DUMMYFUNCTION("""COMPUTED_VALUE"""),0.0)</f>
        <v>0</v>
      </c>
    </row>
    <row r="151">
      <c r="A151" s="26">
        <f>IFERROR(__xludf.DUMMYFUNCTION("""COMPUTED_VALUE"""),0.0)</f>
        <v>0</v>
      </c>
    </row>
    <row r="152">
      <c r="A152" s="26">
        <f>IFERROR(__xludf.DUMMYFUNCTION("""COMPUTED_VALUE"""),0.0)</f>
        <v>0</v>
      </c>
    </row>
    <row r="153">
      <c r="A153" s="26">
        <f>IFERROR(__xludf.DUMMYFUNCTION("""COMPUTED_VALUE"""),0.0)</f>
        <v>0</v>
      </c>
    </row>
    <row r="154">
      <c r="A154" s="26">
        <f>IFERROR(__xludf.DUMMYFUNCTION("""COMPUTED_VALUE"""),0.0)</f>
        <v>0</v>
      </c>
    </row>
    <row r="155">
      <c r="A155" s="26">
        <f>IFERROR(__xludf.DUMMYFUNCTION("""COMPUTED_VALUE"""),0.0)</f>
        <v>0</v>
      </c>
    </row>
    <row r="156">
      <c r="A156" s="26">
        <f>IFERROR(__xludf.DUMMYFUNCTION("""COMPUTED_VALUE"""),0.0)</f>
        <v>0</v>
      </c>
    </row>
    <row r="157">
      <c r="A157" s="26">
        <f>IFERROR(__xludf.DUMMYFUNCTION("""COMPUTED_VALUE"""),0.0)</f>
        <v>0</v>
      </c>
    </row>
    <row r="158">
      <c r="A158" s="26">
        <f>IFERROR(__xludf.DUMMYFUNCTION("""COMPUTED_VALUE"""),0.0)</f>
        <v>0</v>
      </c>
    </row>
    <row r="159">
      <c r="A159" s="26">
        <f>IFERROR(__xludf.DUMMYFUNCTION("""COMPUTED_VALUE"""),0.0)</f>
        <v>0</v>
      </c>
    </row>
    <row r="160">
      <c r="A160" s="26">
        <f>IFERROR(__xludf.DUMMYFUNCTION("""COMPUTED_VALUE"""),0.0)</f>
        <v>0</v>
      </c>
    </row>
    <row r="161">
      <c r="A161" s="26">
        <f>IFERROR(__xludf.DUMMYFUNCTION("""COMPUTED_VALUE"""),0.0)</f>
        <v>0</v>
      </c>
    </row>
    <row r="162">
      <c r="A162" s="26">
        <f>IFERROR(__xludf.DUMMYFUNCTION("""COMPUTED_VALUE"""),0.0)</f>
        <v>0</v>
      </c>
    </row>
    <row r="163">
      <c r="A163" s="26">
        <f>IFERROR(__xludf.DUMMYFUNCTION("""COMPUTED_VALUE"""),0.0)</f>
        <v>0</v>
      </c>
    </row>
    <row r="164">
      <c r="A164" s="26">
        <f>IFERROR(__xludf.DUMMYFUNCTION("""COMPUTED_VALUE"""),0.0)</f>
        <v>0</v>
      </c>
    </row>
    <row r="165">
      <c r="A165" s="26">
        <f>IFERROR(__xludf.DUMMYFUNCTION("""COMPUTED_VALUE"""),0.0)</f>
        <v>0</v>
      </c>
    </row>
    <row r="166">
      <c r="A166" s="26">
        <f>IFERROR(__xludf.DUMMYFUNCTION("""COMPUTED_VALUE"""),0.0)</f>
        <v>0</v>
      </c>
    </row>
    <row r="167">
      <c r="A167" s="26">
        <f>IFERROR(__xludf.DUMMYFUNCTION("""COMPUTED_VALUE"""),0.0)</f>
        <v>0</v>
      </c>
    </row>
    <row r="168">
      <c r="A168" s="26">
        <f>IFERROR(__xludf.DUMMYFUNCTION("""COMPUTED_VALUE"""),0.0)</f>
        <v>0</v>
      </c>
    </row>
    <row r="169">
      <c r="A169" s="26">
        <f>IFERROR(__xludf.DUMMYFUNCTION("""COMPUTED_VALUE"""),0.0)</f>
        <v>0</v>
      </c>
    </row>
    <row r="170">
      <c r="A170" s="26">
        <f>IFERROR(__xludf.DUMMYFUNCTION("""COMPUTED_VALUE"""),0.0)</f>
        <v>0</v>
      </c>
    </row>
    <row r="171">
      <c r="A171" s="26">
        <f>IFERROR(__xludf.DUMMYFUNCTION("""COMPUTED_VALUE"""),0.0)</f>
        <v>0</v>
      </c>
    </row>
    <row r="172">
      <c r="A172" s="26">
        <f>IFERROR(__xludf.DUMMYFUNCTION("""COMPUTED_VALUE"""),0.0)</f>
        <v>0</v>
      </c>
    </row>
    <row r="173">
      <c r="A173" s="26">
        <f>IFERROR(__xludf.DUMMYFUNCTION("""COMPUTED_VALUE"""),0.0)</f>
        <v>0</v>
      </c>
    </row>
    <row r="174">
      <c r="A174" s="26">
        <f>IFERROR(__xludf.DUMMYFUNCTION("""COMPUTED_VALUE"""),0.0)</f>
        <v>0</v>
      </c>
    </row>
    <row r="175">
      <c r="A175" s="26">
        <f>IFERROR(__xludf.DUMMYFUNCTION("""COMPUTED_VALUE"""),0.0)</f>
        <v>0</v>
      </c>
    </row>
    <row r="176">
      <c r="A176" s="26">
        <f>IFERROR(__xludf.DUMMYFUNCTION("""COMPUTED_VALUE"""),0.0)</f>
        <v>0</v>
      </c>
    </row>
    <row r="177">
      <c r="A177" s="26">
        <f>IFERROR(__xludf.DUMMYFUNCTION("""COMPUTED_VALUE"""),0.0)</f>
        <v>0</v>
      </c>
    </row>
    <row r="178">
      <c r="A178" s="26">
        <f>IFERROR(__xludf.DUMMYFUNCTION("""COMPUTED_VALUE"""),0.0)</f>
        <v>0</v>
      </c>
    </row>
    <row r="179">
      <c r="A179" s="26">
        <f>IFERROR(__xludf.DUMMYFUNCTION("""COMPUTED_VALUE"""),0.0)</f>
        <v>0</v>
      </c>
    </row>
    <row r="180">
      <c r="A180" s="26">
        <f>IFERROR(__xludf.DUMMYFUNCTION("""COMPUTED_VALUE"""),0.0)</f>
        <v>0</v>
      </c>
    </row>
    <row r="181">
      <c r="A181" s="26">
        <f>IFERROR(__xludf.DUMMYFUNCTION("""COMPUTED_VALUE"""),0.0)</f>
        <v>0</v>
      </c>
    </row>
    <row r="182">
      <c r="A182" s="26">
        <f>IFERROR(__xludf.DUMMYFUNCTION("""COMPUTED_VALUE"""),0.0)</f>
        <v>0</v>
      </c>
    </row>
    <row r="183">
      <c r="A183" s="26">
        <f>IFERROR(__xludf.DUMMYFUNCTION("""COMPUTED_VALUE"""),0.0)</f>
        <v>0</v>
      </c>
    </row>
    <row r="184">
      <c r="A184" s="26">
        <f>IFERROR(__xludf.DUMMYFUNCTION("""COMPUTED_VALUE"""),0.0)</f>
        <v>0</v>
      </c>
    </row>
    <row r="185">
      <c r="A185" s="26">
        <f>IFERROR(__xludf.DUMMYFUNCTION("""COMPUTED_VALUE"""),0.0)</f>
        <v>0</v>
      </c>
    </row>
    <row r="186">
      <c r="A186" s="26">
        <f>IFERROR(__xludf.DUMMYFUNCTION("""COMPUTED_VALUE"""),0.0)</f>
        <v>0</v>
      </c>
    </row>
    <row r="187">
      <c r="A187" s="26">
        <f>IFERROR(__xludf.DUMMYFUNCTION("""COMPUTED_VALUE"""),0.0)</f>
        <v>0</v>
      </c>
    </row>
    <row r="188">
      <c r="A188" s="26">
        <f>IFERROR(__xludf.DUMMYFUNCTION("""COMPUTED_VALUE"""),0.0)</f>
        <v>0</v>
      </c>
    </row>
    <row r="189">
      <c r="A189" s="26">
        <f>IFERROR(__xludf.DUMMYFUNCTION("""COMPUTED_VALUE"""),0.0)</f>
        <v>0</v>
      </c>
    </row>
    <row r="190">
      <c r="A190" s="26">
        <f>IFERROR(__xludf.DUMMYFUNCTION("""COMPUTED_VALUE"""),0.0)</f>
        <v>0</v>
      </c>
    </row>
    <row r="191">
      <c r="A191" s="26">
        <f>IFERROR(__xludf.DUMMYFUNCTION("""COMPUTED_VALUE"""),0.0)</f>
        <v>0</v>
      </c>
    </row>
    <row r="192">
      <c r="A192" s="26">
        <f>IFERROR(__xludf.DUMMYFUNCTION("""COMPUTED_VALUE"""),0.0)</f>
        <v>0</v>
      </c>
    </row>
    <row r="193">
      <c r="A193" s="26">
        <f>IFERROR(__xludf.DUMMYFUNCTION("""COMPUTED_VALUE"""),0.0)</f>
        <v>0</v>
      </c>
    </row>
    <row r="194">
      <c r="A194" s="26">
        <f>IFERROR(__xludf.DUMMYFUNCTION("""COMPUTED_VALUE"""),0.0)</f>
        <v>0</v>
      </c>
    </row>
    <row r="195">
      <c r="A195" s="26">
        <f>IFERROR(__xludf.DUMMYFUNCTION("""COMPUTED_VALUE"""),0.0)</f>
        <v>0</v>
      </c>
    </row>
    <row r="196">
      <c r="A196" s="26">
        <f>IFERROR(__xludf.DUMMYFUNCTION("""COMPUTED_VALUE"""),0.0)</f>
        <v>0</v>
      </c>
    </row>
    <row r="197">
      <c r="A197" s="26">
        <f>IFERROR(__xludf.DUMMYFUNCTION("""COMPUTED_VALUE"""),0.0)</f>
        <v>0</v>
      </c>
    </row>
    <row r="198">
      <c r="A198" s="26">
        <f>IFERROR(__xludf.DUMMYFUNCTION("""COMPUTED_VALUE"""),0.0)</f>
        <v>0</v>
      </c>
    </row>
    <row r="199">
      <c r="A199" s="26">
        <f>IFERROR(__xludf.DUMMYFUNCTION("""COMPUTED_VALUE"""),0.0)</f>
        <v>0</v>
      </c>
    </row>
    <row r="200">
      <c r="A200" s="26">
        <f>IFERROR(__xludf.DUMMYFUNCTION("""COMPUTED_VALUE"""),0.0)</f>
        <v>0</v>
      </c>
    </row>
    <row r="201">
      <c r="A201" s="26">
        <f>IFERROR(__xludf.DUMMYFUNCTION("""COMPUTED_VALUE"""),0.0)</f>
        <v>0</v>
      </c>
    </row>
    <row r="202">
      <c r="A202" s="26">
        <f>IFERROR(__xludf.DUMMYFUNCTION("""COMPUTED_VALUE"""),0.0)</f>
        <v>0</v>
      </c>
    </row>
    <row r="203">
      <c r="A203" s="26">
        <f>IFERROR(__xludf.DUMMYFUNCTION("""COMPUTED_VALUE"""),0.0)</f>
        <v>0</v>
      </c>
    </row>
    <row r="204">
      <c r="A204" s="26">
        <f>IFERROR(__xludf.DUMMYFUNCTION("""COMPUTED_VALUE"""),0.0)</f>
        <v>0</v>
      </c>
    </row>
    <row r="205">
      <c r="A205" s="26">
        <f>IFERROR(__xludf.DUMMYFUNCTION("""COMPUTED_VALUE"""),0.0)</f>
        <v>0</v>
      </c>
    </row>
    <row r="206">
      <c r="A206" s="26">
        <f>IFERROR(__xludf.DUMMYFUNCTION("""COMPUTED_VALUE"""),0.0)</f>
        <v>0</v>
      </c>
    </row>
    <row r="207">
      <c r="A207" s="26">
        <f>IFERROR(__xludf.DUMMYFUNCTION("""COMPUTED_VALUE"""),0.0)</f>
        <v>0</v>
      </c>
    </row>
    <row r="208">
      <c r="A208" s="26">
        <f>IFERROR(__xludf.DUMMYFUNCTION("""COMPUTED_VALUE"""),0.0)</f>
        <v>0</v>
      </c>
    </row>
    <row r="209">
      <c r="A209" s="26">
        <f>IFERROR(__xludf.DUMMYFUNCTION("""COMPUTED_VALUE"""),0.0)</f>
        <v>0</v>
      </c>
    </row>
    <row r="210">
      <c r="A210" s="26">
        <f>IFERROR(__xludf.DUMMYFUNCTION("""COMPUTED_VALUE"""),0.0)</f>
        <v>0</v>
      </c>
    </row>
    <row r="211">
      <c r="A211" s="26">
        <f>IFERROR(__xludf.DUMMYFUNCTION("""COMPUTED_VALUE"""),0.0)</f>
        <v>0</v>
      </c>
    </row>
    <row r="212">
      <c r="A212" s="26">
        <f>IFERROR(__xludf.DUMMYFUNCTION("""COMPUTED_VALUE"""),0.0)</f>
        <v>0</v>
      </c>
    </row>
    <row r="213">
      <c r="A213" s="26">
        <f>IFERROR(__xludf.DUMMYFUNCTION("""COMPUTED_VALUE"""),0.0)</f>
        <v>0</v>
      </c>
    </row>
    <row r="214">
      <c r="A214" s="26">
        <f>IFERROR(__xludf.DUMMYFUNCTION("""COMPUTED_VALUE"""),0.0)</f>
        <v>0</v>
      </c>
    </row>
    <row r="215">
      <c r="A215" s="26">
        <f>IFERROR(__xludf.DUMMYFUNCTION("""COMPUTED_VALUE"""),0.0)</f>
        <v>0</v>
      </c>
    </row>
    <row r="216">
      <c r="A216" s="26">
        <f>IFERROR(__xludf.DUMMYFUNCTION("""COMPUTED_VALUE"""),0.0)</f>
        <v>0</v>
      </c>
    </row>
    <row r="217">
      <c r="A217" s="26">
        <f>IFERROR(__xludf.DUMMYFUNCTION("""COMPUTED_VALUE"""),0.0)</f>
        <v>0</v>
      </c>
    </row>
    <row r="218">
      <c r="A218" s="26">
        <f>IFERROR(__xludf.DUMMYFUNCTION("""COMPUTED_VALUE"""),0.0)</f>
        <v>0</v>
      </c>
    </row>
    <row r="219">
      <c r="A219" s="26">
        <f>IFERROR(__xludf.DUMMYFUNCTION("""COMPUTED_VALUE"""),0.0)</f>
        <v>0</v>
      </c>
    </row>
    <row r="220">
      <c r="A220" s="26">
        <f>IFERROR(__xludf.DUMMYFUNCTION("""COMPUTED_VALUE"""),0.0)</f>
        <v>0</v>
      </c>
    </row>
    <row r="221">
      <c r="A221" s="26">
        <f>IFERROR(__xludf.DUMMYFUNCTION("""COMPUTED_VALUE"""),0.0)</f>
        <v>0</v>
      </c>
    </row>
    <row r="222">
      <c r="A222" s="26">
        <f>IFERROR(__xludf.DUMMYFUNCTION("""COMPUTED_VALUE"""),0.0)</f>
        <v>0</v>
      </c>
    </row>
    <row r="223">
      <c r="A223" s="26">
        <f>IFERROR(__xludf.DUMMYFUNCTION("""COMPUTED_VALUE"""),0.0)</f>
        <v>0</v>
      </c>
    </row>
    <row r="224">
      <c r="A224" s="26">
        <f>IFERROR(__xludf.DUMMYFUNCTION("""COMPUTED_VALUE"""),0.0)</f>
        <v>0</v>
      </c>
    </row>
    <row r="225">
      <c r="A225" s="26">
        <f>IFERROR(__xludf.DUMMYFUNCTION("""COMPUTED_VALUE"""),0.0)</f>
        <v>0</v>
      </c>
    </row>
    <row r="226">
      <c r="A226" s="26">
        <f>IFERROR(__xludf.DUMMYFUNCTION("""COMPUTED_VALUE"""),0.0)</f>
        <v>0</v>
      </c>
    </row>
    <row r="227">
      <c r="A227" s="26">
        <f>IFERROR(__xludf.DUMMYFUNCTION("""COMPUTED_VALUE"""),0.0)</f>
        <v>0</v>
      </c>
    </row>
    <row r="228">
      <c r="A228" s="26">
        <f>IFERROR(__xludf.DUMMYFUNCTION("""COMPUTED_VALUE"""),0.0)</f>
        <v>0</v>
      </c>
    </row>
    <row r="229">
      <c r="A229" s="26">
        <f>IFERROR(__xludf.DUMMYFUNCTION("""COMPUTED_VALUE"""),0.0)</f>
        <v>0</v>
      </c>
    </row>
    <row r="230">
      <c r="A230" s="26">
        <f>IFERROR(__xludf.DUMMYFUNCTION("""COMPUTED_VALUE"""),0.0)</f>
        <v>0</v>
      </c>
    </row>
    <row r="231">
      <c r="A231" s="26">
        <f>IFERROR(__xludf.DUMMYFUNCTION("""COMPUTED_VALUE"""),0.0)</f>
        <v>0</v>
      </c>
    </row>
    <row r="232">
      <c r="A232" s="26">
        <f>IFERROR(__xludf.DUMMYFUNCTION("""COMPUTED_VALUE"""),0.0)</f>
        <v>0</v>
      </c>
    </row>
    <row r="233">
      <c r="A233" s="26">
        <f>IFERROR(__xludf.DUMMYFUNCTION("""COMPUTED_VALUE"""),0.0)</f>
        <v>0</v>
      </c>
    </row>
    <row r="234">
      <c r="A234" s="26">
        <f>IFERROR(__xludf.DUMMYFUNCTION("""COMPUTED_VALUE"""),0.0)</f>
        <v>0</v>
      </c>
    </row>
    <row r="235">
      <c r="A235" s="26">
        <f>IFERROR(__xludf.DUMMYFUNCTION("""COMPUTED_VALUE"""),0.0)</f>
        <v>0</v>
      </c>
    </row>
    <row r="236">
      <c r="A236" s="26">
        <f>IFERROR(__xludf.DUMMYFUNCTION("""COMPUTED_VALUE"""),0.0)</f>
        <v>0</v>
      </c>
    </row>
    <row r="237">
      <c r="A237" s="26">
        <f>IFERROR(__xludf.DUMMYFUNCTION("""COMPUTED_VALUE"""),0.0)</f>
        <v>0</v>
      </c>
    </row>
    <row r="238">
      <c r="A238" s="26">
        <f>IFERROR(__xludf.DUMMYFUNCTION("""COMPUTED_VALUE"""),0.0)</f>
        <v>0</v>
      </c>
    </row>
    <row r="239">
      <c r="A239" s="26">
        <f>IFERROR(__xludf.DUMMYFUNCTION("""COMPUTED_VALUE"""),0.0)</f>
        <v>0</v>
      </c>
    </row>
    <row r="240">
      <c r="A240" s="26">
        <f>IFERROR(__xludf.DUMMYFUNCTION("""COMPUTED_VALUE"""),0.0)</f>
        <v>0</v>
      </c>
    </row>
    <row r="241">
      <c r="A241" s="26">
        <f>IFERROR(__xludf.DUMMYFUNCTION("""COMPUTED_VALUE"""),0.0)</f>
        <v>0</v>
      </c>
    </row>
    <row r="242">
      <c r="A242" s="26">
        <f>IFERROR(__xludf.DUMMYFUNCTION("""COMPUTED_VALUE"""),0.0)</f>
        <v>0</v>
      </c>
    </row>
    <row r="243">
      <c r="A243" s="26">
        <f>IFERROR(__xludf.DUMMYFUNCTION("""COMPUTED_VALUE"""),0.0)</f>
        <v>0</v>
      </c>
    </row>
    <row r="244">
      <c r="A244" s="26">
        <f>IFERROR(__xludf.DUMMYFUNCTION("""COMPUTED_VALUE"""),0.0)</f>
        <v>0</v>
      </c>
    </row>
    <row r="245">
      <c r="A245" s="26">
        <f>IFERROR(__xludf.DUMMYFUNCTION("""COMPUTED_VALUE"""),0.0)</f>
        <v>0</v>
      </c>
    </row>
    <row r="246">
      <c r="A246" s="26">
        <f>IFERROR(__xludf.DUMMYFUNCTION("""COMPUTED_VALUE"""),0.0)</f>
        <v>0</v>
      </c>
    </row>
    <row r="247">
      <c r="A247" s="26">
        <f>IFERROR(__xludf.DUMMYFUNCTION("""COMPUTED_VALUE"""),0.0)</f>
        <v>0</v>
      </c>
    </row>
    <row r="248">
      <c r="A248" s="26">
        <f>IFERROR(__xludf.DUMMYFUNCTION("""COMPUTED_VALUE"""),0.0)</f>
        <v>0</v>
      </c>
    </row>
    <row r="249">
      <c r="A249" s="26">
        <f>IFERROR(__xludf.DUMMYFUNCTION("""COMPUTED_VALUE"""),0.0)</f>
        <v>0</v>
      </c>
    </row>
    <row r="250">
      <c r="A250" s="26">
        <f>IFERROR(__xludf.DUMMYFUNCTION("""COMPUTED_VALUE"""),0.0)</f>
        <v>0</v>
      </c>
    </row>
    <row r="251">
      <c r="A251" s="26">
        <f>IFERROR(__xludf.DUMMYFUNCTION("""COMPUTED_VALUE"""),0.0)</f>
        <v>0</v>
      </c>
    </row>
    <row r="252">
      <c r="A252" s="26">
        <f>IFERROR(__xludf.DUMMYFUNCTION("""COMPUTED_VALUE"""),0.0)</f>
        <v>0</v>
      </c>
    </row>
    <row r="253">
      <c r="A253" s="26">
        <f>IFERROR(__xludf.DUMMYFUNCTION("""COMPUTED_VALUE"""),0.0)</f>
        <v>0</v>
      </c>
    </row>
    <row r="254">
      <c r="A254" s="26">
        <f>IFERROR(__xludf.DUMMYFUNCTION("""COMPUTED_VALUE"""),0.0)</f>
        <v>0</v>
      </c>
    </row>
    <row r="255">
      <c r="A255" s="26">
        <f>IFERROR(__xludf.DUMMYFUNCTION("""COMPUTED_VALUE"""),0.0)</f>
        <v>0</v>
      </c>
    </row>
    <row r="256">
      <c r="A256" s="26">
        <f>IFERROR(__xludf.DUMMYFUNCTION("""COMPUTED_VALUE"""),0.0)</f>
        <v>0</v>
      </c>
    </row>
    <row r="257">
      <c r="A257" s="26">
        <f>IFERROR(__xludf.DUMMYFUNCTION("""COMPUTED_VALUE"""),0.0)</f>
        <v>0</v>
      </c>
    </row>
    <row r="258">
      <c r="A258" s="26">
        <f>IFERROR(__xludf.DUMMYFUNCTION("""COMPUTED_VALUE"""),0.0)</f>
        <v>0</v>
      </c>
    </row>
    <row r="259">
      <c r="A259" s="26">
        <f>IFERROR(__xludf.DUMMYFUNCTION("""COMPUTED_VALUE"""),0.0)</f>
        <v>0</v>
      </c>
    </row>
    <row r="260">
      <c r="A260" s="26">
        <f>IFERROR(__xludf.DUMMYFUNCTION("""COMPUTED_VALUE"""),0.0)</f>
        <v>0</v>
      </c>
    </row>
    <row r="261">
      <c r="A261" s="26">
        <f>IFERROR(__xludf.DUMMYFUNCTION("""COMPUTED_VALUE"""),0.0)</f>
        <v>0</v>
      </c>
    </row>
    <row r="262">
      <c r="A262" s="26">
        <f>IFERROR(__xludf.DUMMYFUNCTION("""COMPUTED_VALUE"""),-6732719.180000002)</f>
        <v>-6732719.18</v>
      </c>
    </row>
    <row r="263">
      <c r="A263" s="26">
        <f>IFERROR(__xludf.DUMMYFUNCTION("""COMPUTED_VALUE"""),0.0)</f>
        <v>0</v>
      </c>
    </row>
    <row r="264">
      <c r="A264" s="26">
        <f>IFERROR(__xludf.DUMMYFUNCTION("""COMPUTED_VALUE"""),0.0)</f>
        <v>0</v>
      </c>
    </row>
    <row r="265">
      <c r="A265" s="26">
        <f>IFERROR(__xludf.DUMMYFUNCTION("""COMPUTED_VALUE"""),0.0)</f>
        <v>0</v>
      </c>
    </row>
    <row r="266">
      <c r="A266" s="26">
        <f>IFERROR(__xludf.DUMMYFUNCTION("""COMPUTED_VALUE"""),0.0)</f>
        <v>0</v>
      </c>
    </row>
    <row r="267">
      <c r="A267" s="26">
        <f>IFERROR(__xludf.DUMMYFUNCTION("""COMPUTED_VALUE"""),0.0)</f>
        <v>0</v>
      </c>
    </row>
    <row r="268">
      <c r="A268" s="26">
        <f>IFERROR(__xludf.DUMMYFUNCTION("""COMPUTED_VALUE"""),0.0)</f>
        <v>0</v>
      </c>
    </row>
    <row r="269">
      <c r="A269" s="26">
        <f>IFERROR(__xludf.DUMMYFUNCTION("""COMPUTED_VALUE"""),0.0)</f>
        <v>0</v>
      </c>
    </row>
    <row r="270">
      <c r="A270" s="26">
        <f>IFERROR(__xludf.DUMMYFUNCTION("""COMPUTED_VALUE"""),0.0)</f>
        <v>0</v>
      </c>
    </row>
    <row r="271">
      <c r="A271" s="26">
        <f>IFERROR(__xludf.DUMMYFUNCTION("""COMPUTED_VALUE"""),0.0)</f>
        <v>0</v>
      </c>
    </row>
    <row r="272">
      <c r="A272" s="26">
        <f>IFERROR(__xludf.DUMMYFUNCTION("""COMPUTED_VALUE"""),0.0)</f>
        <v>0</v>
      </c>
    </row>
    <row r="273">
      <c r="A273" s="26">
        <f>IFERROR(__xludf.DUMMYFUNCTION("""COMPUTED_VALUE"""),0.0)</f>
        <v>0</v>
      </c>
    </row>
    <row r="274">
      <c r="A274" s="26">
        <f>IFERROR(__xludf.DUMMYFUNCTION("""COMPUTED_VALUE"""),0.0)</f>
        <v>0</v>
      </c>
    </row>
    <row r="275">
      <c r="A275" s="26">
        <f>IFERROR(__xludf.DUMMYFUNCTION("""COMPUTED_VALUE"""),0.0)</f>
        <v>0</v>
      </c>
    </row>
    <row r="276">
      <c r="A276" s="26">
        <f>IFERROR(__xludf.DUMMYFUNCTION("""COMPUTED_VALUE"""),0.0)</f>
        <v>0</v>
      </c>
    </row>
    <row r="277">
      <c r="A277" s="26">
        <f>IFERROR(__xludf.DUMMYFUNCTION("""COMPUTED_VALUE"""),0.0)</f>
        <v>0</v>
      </c>
    </row>
    <row r="278">
      <c r="A278" s="26">
        <f>IFERROR(__xludf.DUMMYFUNCTION("""COMPUTED_VALUE"""),0.0)</f>
        <v>0</v>
      </c>
    </row>
    <row r="279">
      <c r="A279" s="26">
        <f>IFERROR(__xludf.DUMMYFUNCTION("""COMPUTED_VALUE"""),0.0)</f>
        <v>0</v>
      </c>
    </row>
    <row r="280">
      <c r="A280" s="26">
        <f>IFERROR(__xludf.DUMMYFUNCTION("""COMPUTED_VALUE"""),0.0)</f>
        <v>0</v>
      </c>
    </row>
    <row r="281">
      <c r="A281" s="26">
        <f>IFERROR(__xludf.DUMMYFUNCTION("""COMPUTED_VALUE"""),0.0)</f>
        <v>0</v>
      </c>
    </row>
    <row r="282">
      <c r="A282" s="26">
        <f>IFERROR(__xludf.DUMMYFUNCTION("""COMPUTED_VALUE"""),0.0)</f>
        <v>0</v>
      </c>
    </row>
    <row r="283">
      <c r="A283" s="26">
        <f>IFERROR(__xludf.DUMMYFUNCTION("""COMPUTED_VALUE"""),0.0)</f>
        <v>0</v>
      </c>
    </row>
    <row r="284">
      <c r="A284" s="26">
        <f>IFERROR(__xludf.DUMMYFUNCTION("""COMPUTED_VALUE"""),0.0)</f>
        <v>0</v>
      </c>
    </row>
    <row r="285">
      <c r="A285" s="26">
        <f>IFERROR(__xludf.DUMMYFUNCTION("""COMPUTED_VALUE"""),0.0)</f>
        <v>0</v>
      </c>
    </row>
    <row r="286">
      <c r="A286" s="26">
        <f>IFERROR(__xludf.DUMMYFUNCTION("""COMPUTED_VALUE"""),0.0)</f>
        <v>0</v>
      </c>
    </row>
    <row r="287">
      <c r="A287" s="26">
        <f>IFERROR(__xludf.DUMMYFUNCTION("""COMPUTED_VALUE"""),0.0)</f>
        <v>0</v>
      </c>
    </row>
    <row r="288">
      <c r="A288" s="26">
        <f>IFERROR(__xludf.DUMMYFUNCTION("""COMPUTED_VALUE"""),0.0)</f>
        <v>0</v>
      </c>
    </row>
    <row r="289">
      <c r="A289" s="26">
        <f>IFERROR(__xludf.DUMMYFUNCTION("""COMPUTED_VALUE"""),0.0)</f>
        <v>0</v>
      </c>
    </row>
    <row r="290">
      <c r="A290" s="26">
        <f>IFERROR(__xludf.DUMMYFUNCTION("""COMPUTED_VALUE"""),0.0)</f>
        <v>0</v>
      </c>
    </row>
    <row r="291">
      <c r="A291" s="26">
        <f>IFERROR(__xludf.DUMMYFUNCTION("""COMPUTED_VALUE"""),0.0)</f>
        <v>0</v>
      </c>
    </row>
    <row r="292">
      <c r="A292" s="26">
        <f>IFERROR(__xludf.DUMMYFUNCTION("""COMPUTED_VALUE"""),0.0)</f>
        <v>0</v>
      </c>
    </row>
    <row r="293">
      <c r="A293" s="26">
        <f>IFERROR(__xludf.DUMMYFUNCTION("""COMPUTED_VALUE"""),0.0)</f>
        <v>0</v>
      </c>
    </row>
    <row r="294">
      <c r="A294" s="26">
        <f>IFERROR(__xludf.DUMMYFUNCTION("""COMPUTED_VALUE"""),0.0)</f>
        <v>0</v>
      </c>
    </row>
    <row r="295">
      <c r="A295" s="26">
        <f>IFERROR(__xludf.DUMMYFUNCTION("""COMPUTED_VALUE"""),0.0)</f>
        <v>0</v>
      </c>
    </row>
    <row r="296">
      <c r="A296" s="26">
        <f>IFERROR(__xludf.DUMMYFUNCTION("""COMPUTED_VALUE"""),-3429006.3999999906)</f>
        <v>-3429006.4</v>
      </c>
    </row>
    <row r="297">
      <c r="A297" s="26">
        <f>IFERROR(__xludf.DUMMYFUNCTION("""COMPUTED_VALUE"""),0.0)</f>
        <v>0</v>
      </c>
    </row>
    <row r="298">
      <c r="A298" s="26">
        <f>IFERROR(__xludf.DUMMYFUNCTION("""COMPUTED_VALUE"""),0.0)</f>
        <v>0</v>
      </c>
    </row>
    <row r="299">
      <c r="A299" s="26">
        <f>IFERROR(__xludf.DUMMYFUNCTION("""COMPUTED_VALUE"""),0.0)</f>
        <v>0</v>
      </c>
    </row>
    <row r="300">
      <c r="A300" s="26">
        <f>IFERROR(__xludf.DUMMYFUNCTION("""COMPUTED_VALUE"""),0.0)</f>
        <v>0</v>
      </c>
    </row>
    <row r="301">
      <c r="A301" s="26">
        <f>IFERROR(__xludf.DUMMYFUNCTION("""COMPUTED_VALUE"""),-36420.14)</f>
        <v>-36420.14</v>
      </c>
    </row>
    <row r="302">
      <c r="A302" s="26">
        <f>IFERROR(__xludf.DUMMYFUNCTION("""COMPUTED_VALUE"""),0.0)</f>
        <v>0</v>
      </c>
    </row>
    <row r="303">
      <c r="A303" s="26">
        <f>IFERROR(__xludf.DUMMYFUNCTION("""COMPUTED_VALUE"""),0.0)</f>
        <v>0</v>
      </c>
    </row>
    <row r="304">
      <c r="A304" s="26">
        <f>IFERROR(__xludf.DUMMYFUNCTION("""COMPUTED_VALUE"""),0.0)</f>
        <v>0</v>
      </c>
    </row>
    <row r="305">
      <c r="A305" s="26">
        <f>IFERROR(__xludf.DUMMYFUNCTION("""COMPUTED_VALUE"""),0.0)</f>
        <v>0</v>
      </c>
    </row>
    <row r="306">
      <c r="A306" s="26">
        <f>IFERROR(__xludf.DUMMYFUNCTION("""COMPUTED_VALUE"""),0.0)</f>
        <v>0</v>
      </c>
    </row>
    <row r="307">
      <c r="A307" s="26">
        <f>IFERROR(__xludf.DUMMYFUNCTION("""COMPUTED_VALUE"""),0.0)</f>
        <v>0</v>
      </c>
    </row>
    <row r="308">
      <c r="A308" s="26">
        <f>IFERROR(__xludf.DUMMYFUNCTION("""COMPUTED_VALUE"""),0.0)</f>
        <v>0</v>
      </c>
    </row>
    <row r="309">
      <c r="A309" s="26">
        <f>IFERROR(__xludf.DUMMYFUNCTION("""COMPUTED_VALUE"""),0.0)</f>
        <v>0</v>
      </c>
    </row>
    <row r="310">
      <c r="A310" s="26">
        <f>IFERROR(__xludf.DUMMYFUNCTION("""COMPUTED_VALUE"""),0.0)</f>
        <v>0</v>
      </c>
    </row>
    <row r="311">
      <c r="A311" s="26">
        <f>IFERROR(__xludf.DUMMYFUNCTION("""COMPUTED_VALUE"""),0.0)</f>
        <v>0</v>
      </c>
    </row>
    <row r="312">
      <c r="A312" s="26">
        <f>IFERROR(__xludf.DUMMYFUNCTION("""COMPUTED_VALUE"""),0.0)</f>
        <v>0</v>
      </c>
    </row>
    <row r="313">
      <c r="A313" s="26">
        <f>IFERROR(__xludf.DUMMYFUNCTION("""COMPUTED_VALUE"""),0.0)</f>
        <v>0</v>
      </c>
    </row>
    <row r="314">
      <c r="A314" s="26">
        <f>IFERROR(__xludf.DUMMYFUNCTION("""COMPUTED_VALUE"""),0.0)</f>
        <v>0</v>
      </c>
    </row>
    <row r="315">
      <c r="A315" s="26">
        <f>IFERROR(__xludf.DUMMYFUNCTION("""COMPUTED_VALUE"""),0.0)</f>
        <v>0</v>
      </c>
    </row>
    <row r="316">
      <c r="A316" s="26">
        <f>IFERROR(__xludf.DUMMYFUNCTION("""COMPUTED_VALUE"""),0.0)</f>
        <v>0</v>
      </c>
    </row>
    <row r="317">
      <c r="A317" s="26">
        <f>IFERROR(__xludf.DUMMYFUNCTION("""COMPUTED_VALUE"""),0.0)</f>
        <v>0</v>
      </c>
    </row>
    <row r="318">
      <c r="A318" s="26">
        <f>IFERROR(__xludf.DUMMYFUNCTION("""COMPUTED_VALUE"""),0.0)</f>
        <v>0</v>
      </c>
    </row>
    <row r="319">
      <c r="A319" s="26">
        <f>IFERROR(__xludf.DUMMYFUNCTION("""COMPUTED_VALUE"""),0.0)</f>
        <v>0</v>
      </c>
    </row>
    <row r="320">
      <c r="A320" s="26">
        <f>IFERROR(__xludf.DUMMYFUNCTION("""COMPUTED_VALUE"""),-964605.8199999989)</f>
        <v>-964605.82</v>
      </c>
    </row>
    <row r="321">
      <c r="A321" s="26">
        <f>IFERROR(__xludf.DUMMYFUNCTION("""COMPUTED_VALUE"""),0.0)</f>
        <v>0</v>
      </c>
    </row>
    <row r="322">
      <c r="A322" s="26">
        <f>IFERROR(__xludf.DUMMYFUNCTION("""COMPUTED_VALUE"""),0.0)</f>
        <v>0</v>
      </c>
    </row>
    <row r="323">
      <c r="A323" s="26">
        <f>IFERROR(__xludf.DUMMYFUNCTION("""COMPUTED_VALUE"""),0.0)</f>
        <v>0</v>
      </c>
    </row>
    <row r="324">
      <c r="A324" s="26">
        <f>IFERROR(__xludf.DUMMYFUNCTION("""COMPUTED_VALUE"""),0.0)</f>
        <v>0</v>
      </c>
    </row>
    <row r="325">
      <c r="A325" s="26">
        <f>IFERROR(__xludf.DUMMYFUNCTION("""COMPUTED_VALUE"""),0.0)</f>
        <v>0</v>
      </c>
    </row>
    <row r="326">
      <c r="A326" s="26">
        <f>IFERROR(__xludf.DUMMYFUNCTION("""COMPUTED_VALUE"""),0.0)</f>
        <v>0</v>
      </c>
    </row>
    <row r="327">
      <c r="A327" s="26">
        <f>IFERROR(__xludf.DUMMYFUNCTION("""COMPUTED_VALUE"""),0.0)</f>
        <v>0</v>
      </c>
    </row>
    <row r="328">
      <c r="A328" s="26">
        <f>IFERROR(__xludf.DUMMYFUNCTION("""COMPUTED_VALUE"""),0.0)</f>
        <v>0</v>
      </c>
    </row>
    <row r="329">
      <c r="A329" s="26">
        <f>IFERROR(__xludf.DUMMYFUNCTION("""COMPUTED_VALUE"""),-339671.80000000005)</f>
        <v>-339671.8</v>
      </c>
    </row>
    <row r="330">
      <c r="A330" s="26"/>
    </row>
    <row r="331">
      <c r="A331" s="26"/>
    </row>
    <row r="332">
      <c r="A332" s="26"/>
    </row>
    <row r="333">
      <c r="A333" s="26"/>
    </row>
    <row r="334">
      <c r="A334" s="26"/>
    </row>
    <row r="335">
      <c r="A335" s="26"/>
    </row>
    <row r="336">
      <c r="A336" s="26"/>
    </row>
    <row r="337">
      <c r="A337" s="26"/>
    </row>
    <row r="338">
      <c r="A338" s="26"/>
    </row>
    <row r="339">
      <c r="A339" s="26"/>
    </row>
    <row r="340">
      <c r="A340" s="26"/>
    </row>
    <row r="341">
      <c r="A341" s="26"/>
    </row>
    <row r="342">
      <c r="A342" s="26"/>
    </row>
    <row r="343">
      <c r="A343" s="26"/>
    </row>
    <row r="344">
      <c r="A344" s="26"/>
    </row>
    <row r="345">
      <c r="A345" s="26"/>
    </row>
    <row r="346">
      <c r="A346" s="26"/>
    </row>
    <row r="347">
      <c r="A347" s="26"/>
    </row>
    <row r="348">
      <c r="A348" s="26"/>
    </row>
    <row r="349">
      <c r="A349" s="26"/>
    </row>
    <row r="350">
      <c r="A350" s="26"/>
    </row>
    <row r="351">
      <c r="A351" s="26"/>
    </row>
    <row r="352">
      <c r="A352" s="26"/>
    </row>
    <row r="353">
      <c r="A353" s="26"/>
    </row>
    <row r="354">
      <c r="A354" s="26"/>
    </row>
    <row r="355">
      <c r="A355" s="26"/>
    </row>
    <row r="356">
      <c r="A356" s="26"/>
    </row>
    <row r="357">
      <c r="A357" s="26"/>
    </row>
    <row r="358">
      <c r="A358" s="26"/>
    </row>
    <row r="359">
      <c r="A359" s="26"/>
    </row>
    <row r="360">
      <c r="A360" s="26"/>
    </row>
    <row r="361">
      <c r="A361" s="26"/>
    </row>
    <row r="362">
      <c r="A362" s="26"/>
    </row>
    <row r="363">
      <c r="A363" s="26"/>
    </row>
    <row r="364">
      <c r="A364" s="26"/>
    </row>
    <row r="365">
      <c r="A365" s="26"/>
    </row>
    <row r="366">
      <c r="A366" s="26"/>
    </row>
    <row r="367">
      <c r="A367" s="26"/>
    </row>
    <row r="368">
      <c r="A368" s="26"/>
    </row>
    <row r="369">
      <c r="A369" s="26"/>
    </row>
    <row r="370">
      <c r="A370" s="26"/>
    </row>
    <row r="371">
      <c r="A371" s="26"/>
    </row>
    <row r="372">
      <c r="A372" s="26"/>
    </row>
    <row r="373">
      <c r="A373" s="26"/>
    </row>
    <row r="374">
      <c r="A374" s="26"/>
    </row>
    <row r="375">
      <c r="A375" s="26"/>
    </row>
    <row r="376">
      <c r="A376" s="26"/>
    </row>
    <row r="377">
      <c r="A377" s="26"/>
    </row>
    <row r="378">
      <c r="A378" s="26"/>
    </row>
    <row r="379">
      <c r="A379" s="26"/>
    </row>
    <row r="380">
      <c r="A380" s="26"/>
    </row>
    <row r="381">
      <c r="A381" s="26"/>
    </row>
    <row r="382">
      <c r="A382" s="26"/>
    </row>
    <row r="383">
      <c r="A383" s="26"/>
    </row>
    <row r="384">
      <c r="A384" s="26"/>
    </row>
    <row r="385">
      <c r="A385" s="26"/>
    </row>
    <row r="386">
      <c r="A386" s="26"/>
    </row>
    <row r="387">
      <c r="A387" s="26"/>
    </row>
    <row r="388">
      <c r="A388" s="26"/>
    </row>
    <row r="389">
      <c r="A389" s="26"/>
    </row>
    <row r="390">
      <c r="A390" s="26"/>
    </row>
    <row r="391">
      <c r="A391" s="26"/>
    </row>
    <row r="392">
      <c r="A392" s="26"/>
    </row>
    <row r="393">
      <c r="A393" s="26"/>
    </row>
    <row r="394">
      <c r="A394" s="26"/>
    </row>
    <row r="395">
      <c r="A395" s="26"/>
    </row>
    <row r="396">
      <c r="A396" s="26"/>
    </row>
    <row r="397">
      <c r="A397" s="26"/>
    </row>
    <row r="398">
      <c r="A398" s="26"/>
    </row>
    <row r="399">
      <c r="A399" s="26"/>
    </row>
    <row r="400">
      <c r="A400" s="26"/>
    </row>
    <row r="401">
      <c r="A401" s="26"/>
    </row>
    <row r="402">
      <c r="A402" s="26"/>
    </row>
    <row r="403">
      <c r="A403" s="26"/>
    </row>
    <row r="404">
      <c r="A404" s="26"/>
    </row>
    <row r="405">
      <c r="A405" s="26"/>
    </row>
    <row r="406">
      <c r="A406" s="26"/>
    </row>
    <row r="407">
      <c r="A407" s="26"/>
    </row>
    <row r="408">
      <c r="A408" s="26"/>
    </row>
    <row r="409">
      <c r="A409" s="26"/>
    </row>
    <row r="410">
      <c r="A410" s="26"/>
    </row>
    <row r="411">
      <c r="A411" s="26"/>
    </row>
    <row r="412">
      <c r="A412" s="26"/>
    </row>
    <row r="413">
      <c r="A413" s="26"/>
    </row>
    <row r="414">
      <c r="A414" s="26"/>
    </row>
    <row r="415">
      <c r="A415" s="26"/>
    </row>
    <row r="416">
      <c r="A416" s="26"/>
    </row>
    <row r="417">
      <c r="A417" s="26"/>
    </row>
    <row r="418">
      <c r="A418" s="26"/>
    </row>
    <row r="419">
      <c r="A419" s="26"/>
    </row>
    <row r="420">
      <c r="A420" s="26"/>
    </row>
    <row r="421">
      <c r="A421" s="26"/>
    </row>
    <row r="422">
      <c r="A422" s="26"/>
    </row>
    <row r="423">
      <c r="A423" s="26"/>
    </row>
    <row r="424">
      <c r="A424" s="26"/>
    </row>
    <row r="425">
      <c r="A425" s="26"/>
    </row>
    <row r="426">
      <c r="A426" s="26"/>
    </row>
    <row r="427">
      <c r="A427" s="26"/>
    </row>
    <row r="428">
      <c r="A428" s="26"/>
    </row>
    <row r="429">
      <c r="A429" s="26"/>
    </row>
    <row r="430">
      <c r="A430" s="26"/>
    </row>
    <row r="431">
      <c r="A431" s="26"/>
    </row>
    <row r="432">
      <c r="A432" s="26"/>
    </row>
    <row r="433">
      <c r="A433" s="26"/>
    </row>
    <row r="434">
      <c r="A434" s="26"/>
    </row>
    <row r="435">
      <c r="A435" s="26"/>
    </row>
    <row r="436">
      <c r="A436" s="26"/>
    </row>
    <row r="437">
      <c r="A437" s="26"/>
    </row>
    <row r="438">
      <c r="A438" s="26"/>
    </row>
    <row r="439">
      <c r="A439" s="26"/>
    </row>
    <row r="440">
      <c r="A440" s="26"/>
    </row>
    <row r="441">
      <c r="A441" s="26"/>
    </row>
    <row r="442">
      <c r="A442" s="26"/>
    </row>
    <row r="443">
      <c r="A443" s="26"/>
    </row>
    <row r="444">
      <c r="A444" s="26"/>
    </row>
    <row r="445">
      <c r="A445" s="26"/>
    </row>
    <row r="446">
      <c r="A446" s="26"/>
    </row>
    <row r="447">
      <c r="A447" s="26"/>
    </row>
    <row r="448">
      <c r="A448" s="26"/>
    </row>
    <row r="449">
      <c r="A449" s="26"/>
    </row>
    <row r="450">
      <c r="A450" s="26"/>
    </row>
    <row r="451">
      <c r="A451" s="26"/>
    </row>
    <row r="452">
      <c r="A452" s="26"/>
    </row>
    <row r="453">
      <c r="A453" s="26"/>
    </row>
    <row r="454">
      <c r="A454" s="26"/>
    </row>
    <row r="455">
      <c r="A455" s="26"/>
    </row>
    <row r="456">
      <c r="A456" s="26"/>
    </row>
    <row r="457">
      <c r="A457" s="26"/>
    </row>
    <row r="458">
      <c r="A458" s="26"/>
    </row>
    <row r="459">
      <c r="A459" s="26"/>
    </row>
    <row r="460">
      <c r="A460" s="26"/>
    </row>
    <row r="461">
      <c r="A461" s="26"/>
    </row>
    <row r="462">
      <c r="A462" s="26"/>
    </row>
    <row r="463">
      <c r="A463" s="26"/>
    </row>
    <row r="464">
      <c r="A464" s="26"/>
    </row>
    <row r="465">
      <c r="A465" s="26"/>
    </row>
    <row r="466">
      <c r="A466" s="26"/>
    </row>
    <row r="467">
      <c r="A467" s="26"/>
    </row>
    <row r="468">
      <c r="A468" s="26"/>
    </row>
    <row r="469">
      <c r="A469" s="26"/>
    </row>
    <row r="470">
      <c r="A470" s="26"/>
    </row>
    <row r="471">
      <c r="A471" s="26"/>
    </row>
    <row r="472">
      <c r="A472" s="26"/>
    </row>
    <row r="473">
      <c r="A473" s="26"/>
    </row>
    <row r="474">
      <c r="A474" s="26"/>
    </row>
    <row r="475">
      <c r="A475" s="26"/>
    </row>
    <row r="476">
      <c r="A476" s="26"/>
    </row>
    <row r="477">
      <c r="A477" s="26"/>
    </row>
    <row r="478">
      <c r="A478" s="26"/>
    </row>
    <row r="479">
      <c r="A479" s="26"/>
    </row>
    <row r="480">
      <c r="A480" s="26"/>
    </row>
    <row r="481">
      <c r="A481" s="26"/>
    </row>
    <row r="482">
      <c r="A482" s="26"/>
    </row>
    <row r="483">
      <c r="A483" s="26"/>
    </row>
    <row r="484">
      <c r="A484" s="26"/>
    </row>
    <row r="485">
      <c r="A485" s="26"/>
    </row>
    <row r="486">
      <c r="A486" s="26"/>
    </row>
    <row r="487">
      <c r="A487" s="26"/>
    </row>
    <row r="488">
      <c r="A488" s="26"/>
    </row>
    <row r="489">
      <c r="A489" s="26"/>
    </row>
    <row r="490">
      <c r="A490" s="26"/>
    </row>
    <row r="491">
      <c r="A491" s="26"/>
    </row>
    <row r="492">
      <c r="A492" s="26"/>
    </row>
    <row r="493">
      <c r="A493" s="26"/>
    </row>
    <row r="494">
      <c r="A494" s="26"/>
    </row>
    <row r="495">
      <c r="A495" s="26"/>
    </row>
    <row r="496">
      <c r="A496" s="26"/>
    </row>
    <row r="497">
      <c r="A497" s="26"/>
    </row>
    <row r="498">
      <c r="A498" s="26"/>
    </row>
    <row r="499">
      <c r="A499" s="26"/>
    </row>
    <row r="500">
      <c r="A500" s="26"/>
    </row>
    <row r="501">
      <c r="A501" s="26"/>
    </row>
    <row r="502">
      <c r="A502" s="26"/>
    </row>
    <row r="503">
      <c r="A503" s="26"/>
    </row>
    <row r="504">
      <c r="A504" s="26"/>
    </row>
    <row r="505">
      <c r="A505" s="26"/>
    </row>
    <row r="506">
      <c r="A506" s="26"/>
    </row>
    <row r="507">
      <c r="A507" s="26"/>
    </row>
    <row r="508">
      <c r="A508" s="26"/>
    </row>
    <row r="509">
      <c r="A509" s="26"/>
    </row>
    <row r="510">
      <c r="A510" s="26"/>
    </row>
    <row r="511">
      <c r="A511" s="26"/>
    </row>
    <row r="512">
      <c r="A512" s="26"/>
    </row>
    <row r="513">
      <c r="A513" s="26"/>
    </row>
    <row r="514">
      <c r="A514" s="26"/>
    </row>
    <row r="515">
      <c r="A515" s="26"/>
    </row>
    <row r="516">
      <c r="A516" s="26"/>
    </row>
    <row r="517">
      <c r="A517" s="26"/>
    </row>
    <row r="518">
      <c r="A518" s="26"/>
    </row>
    <row r="519">
      <c r="A519" s="26"/>
    </row>
    <row r="520">
      <c r="A520" s="26"/>
    </row>
    <row r="521">
      <c r="A521" s="26"/>
    </row>
    <row r="522">
      <c r="A522" s="26"/>
    </row>
    <row r="523">
      <c r="A523" s="26"/>
    </row>
    <row r="524">
      <c r="A524" s="26"/>
    </row>
    <row r="525">
      <c r="A525" s="26"/>
    </row>
    <row r="526">
      <c r="A526" s="26"/>
    </row>
    <row r="527">
      <c r="A527" s="26"/>
    </row>
    <row r="528">
      <c r="A528" s="26"/>
    </row>
    <row r="529">
      <c r="A529" s="26"/>
    </row>
    <row r="530">
      <c r="A530" s="26"/>
    </row>
    <row r="531">
      <c r="A531" s="26"/>
    </row>
    <row r="532">
      <c r="A532" s="26"/>
    </row>
    <row r="533">
      <c r="A533" s="26"/>
    </row>
    <row r="534">
      <c r="A534" s="26"/>
    </row>
    <row r="535">
      <c r="A535" s="26"/>
    </row>
    <row r="536">
      <c r="A536" s="26"/>
    </row>
    <row r="537">
      <c r="A537" s="26"/>
    </row>
    <row r="538">
      <c r="A538" s="26"/>
    </row>
    <row r="539">
      <c r="A539" s="26"/>
    </row>
    <row r="540">
      <c r="A540" s="26"/>
    </row>
    <row r="541">
      <c r="A541" s="26"/>
    </row>
    <row r="542">
      <c r="A542" s="26"/>
    </row>
    <row r="543">
      <c r="A543" s="26"/>
    </row>
    <row r="544">
      <c r="A544" s="26"/>
    </row>
    <row r="545">
      <c r="A545" s="26"/>
    </row>
    <row r="546">
      <c r="A546" s="26"/>
    </row>
    <row r="547">
      <c r="A547" s="26"/>
    </row>
    <row r="548">
      <c r="A548" s="26"/>
    </row>
    <row r="549">
      <c r="A549" s="26"/>
    </row>
    <row r="550">
      <c r="A550" s="26"/>
    </row>
    <row r="551">
      <c r="A551" s="26"/>
    </row>
    <row r="552">
      <c r="A552" s="26"/>
    </row>
    <row r="553">
      <c r="A553" s="26"/>
    </row>
    <row r="554">
      <c r="A554" s="26"/>
    </row>
    <row r="555">
      <c r="A555" s="26"/>
    </row>
    <row r="556">
      <c r="A556" s="26"/>
    </row>
    <row r="557">
      <c r="A557" s="26"/>
    </row>
    <row r="558">
      <c r="A558" s="26"/>
    </row>
    <row r="559">
      <c r="A559" s="26"/>
    </row>
    <row r="560">
      <c r="A560" s="26"/>
    </row>
    <row r="561">
      <c r="A561" s="26"/>
    </row>
    <row r="562">
      <c r="A562" s="26"/>
    </row>
    <row r="563">
      <c r="A563" s="26"/>
    </row>
    <row r="564">
      <c r="A564" s="26"/>
    </row>
    <row r="565">
      <c r="A565" s="26"/>
    </row>
    <row r="566">
      <c r="A566" s="26"/>
    </row>
    <row r="567">
      <c r="A567" s="26"/>
    </row>
    <row r="568">
      <c r="A568" s="26"/>
    </row>
    <row r="569">
      <c r="A569" s="26"/>
    </row>
    <row r="570">
      <c r="A570" s="26"/>
    </row>
    <row r="571">
      <c r="A571" s="26"/>
    </row>
    <row r="572">
      <c r="A572" s="26"/>
    </row>
    <row r="573">
      <c r="A573" s="26"/>
    </row>
    <row r="574">
      <c r="A574" s="26"/>
    </row>
    <row r="575">
      <c r="A575" s="26"/>
    </row>
    <row r="576">
      <c r="A576" s="26"/>
    </row>
    <row r="577">
      <c r="A577" s="26"/>
    </row>
    <row r="578">
      <c r="A578" s="26"/>
    </row>
    <row r="579">
      <c r="A579" s="26"/>
    </row>
    <row r="580">
      <c r="A580" s="26"/>
    </row>
    <row r="581">
      <c r="A581" s="26"/>
    </row>
    <row r="582">
      <c r="A582" s="26"/>
    </row>
    <row r="583">
      <c r="A583" s="26"/>
    </row>
    <row r="584">
      <c r="A584" s="26"/>
    </row>
    <row r="585">
      <c r="A585" s="26"/>
    </row>
    <row r="586">
      <c r="A586" s="26"/>
    </row>
    <row r="587">
      <c r="A587" s="26"/>
    </row>
    <row r="588">
      <c r="A588" s="26"/>
    </row>
    <row r="589">
      <c r="A589" s="26"/>
    </row>
    <row r="590">
      <c r="A590" s="26"/>
    </row>
    <row r="591">
      <c r="A591" s="26"/>
    </row>
    <row r="592">
      <c r="A592" s="26"/>
    </row>
    <row r="593">
      <c r="A593" s="26"/>
    </row>
    <row r="594">
      <c r="A594" s="26"/>
    </row>
    <row r="595">
      <c r="A595" s="26"/>
    </row>
    <row r="596">
      <c r="A596" s="26"/>
    </row>
    <row r="597">
      <c r="A597" s="26"/>
    </row>
    <row r="598">
      <c r="A598" s="26"/>
    </row>
    <row r="599">
      <c r="A599" s="26"/>
    </row>
    <row r="600">
      <c r="A600" s="26"/>
    </row>
    <row r="601">
      <c r="A601" s="26"/>
    </row>
    <row r="602">
      <c r="A602" s="26"/>
    </row>
    <row r="603">
      <c r="A603" s="26"/>
    </row>
    <row r="604">
      <c r="A604" s="26"/>
    </row>
    <row r="605">
      <c r="A605" s="26"/>
    </row>
    <row r="606">
      <c r="A606" s="26"/>
    </row>
    <row r="607">
      <c r="A607" s="26"/>
    </row>
    <row r="608">
      <c r="A608" s="26"/>
    </row>
    <row r="609">
      <c r="A609" s="26"/>
    </row>
    <row r="610">
      <c r="A610" s="26"/>
    </row>
    <row r="611">
      <c r="A611" s="26"/>
    </row>
    <row r="612">
      <c r="A612" s="26"/>
    </row>
    <row r="613">
      <c r="A613" s="26"/>
    </row>
    <row r="614">
      <c r="A614" s="26"/>
    </row>
    <row r="615">
      <c r="A615" s="26"/>
    </row>
    <row r="616">
      <c r="A616" s="26"/>
    </row>
    <row r="617">
      <c r="A617" s="26"/>
    </row>
    <row r="618">
      <c r="A618" s="26"/>
    </row>
    <row r="619">
      <c r="A619" s="26"/>
    </row>
    <row r="620">
      <c r="A620" s="26"/>
    </row>
    <row r="621">
      <c r="A621" s="26"/>
    </row>
    <row r="622">
      <c r="A622" s="26"/>
    </row>
    <row r="623">
      <c r="A623" s="26"/>
    </row>
    <row r="624">
      <c r="A624" s="26"/>
    </row>
    <row r="625">
      <c r="A625" s="26"/>
    </row>
    <row r="626">
      <c r="A626" s="26"/>
    </row>
    <row r="627">
      <c r="A627" s="26"/>
    </row>
    <row r="628">
      <c r="A628" s="26"/>
    </row>
    <row r="629">
      <c r="A629" s="26"/>
    </row>
    <row r="630">
      <c r="A630" s="26"/>
    </row>
    <row r="631">
      <c r="A631" s="26"/>
    </row>
    <row r="632">
      <c r="A632" s="26"/>
    </row>
    <row r="633">
      <c r="A633" s="26"/>
    </row>
    <row r="634">
      <c r="A634" s="26"/>
    </row>
    <row r="635">
      <c r="A635" s="26"/>
    </row>
    <row r="636">
      <c r="A636" s="26"/>
    </row>
    <row r="637">
      <c r="A637" s="26"/>
    </row>
    <row r="638">
      <c r="A638" s="26"/>
    </row>
    <row r="639">
      <c r="A639" s="26"/>
    </row>
    <row r="640">
      <c r="A640" s="26"/>
    </row>
    <row r="641">
      <c r="A641" s="26"/>
    </row>
    <row r="642">
      <c r="A642" s="26"/>
    </row>
    <row r="643">
      <c r="A643" s="26"/>
    </row>
    <row r="644">
      <c r="A644" s="26"/>
    </row>
    <row r="645">
      <c r="A645" s="26"/>
    </row>
    <row r="646">
      <c r="A646" s="26"/>
    </row>
    <row r="647">
      <c r="A647" s="26"/>
    </row>
    <row r="648">
      <c r="A648" s="26"/>
    </row>
    <row r="649">
      <c r="A649" s="26"/>
    </row>
    <row r="650">
      <c r="A650" s="26"/>
    </row>
    <row r="651">
      <c r="A651" s="26"/>
    </row>
    <row r="652">
      <c r="A652" s="26"/>
    </row>
    <row r="653">
      <c r="A653" s="26"/>
    </row>
    <row r="654">
      <c r="A654" s="26"/>
    </row>
    <row r="655">
      <c r="A655" s="26"/>
    </row>
    <row r="656">
      <c r="A656" s="26"/>
    </row>
    <row r="657">
      <c r="A657" s="26"/>
    </row>
    <row r="658">
      <c r="A658" s="26"/>
    </row>
    <row r="659">
      <c r="A659" s="26"/>
    </row>
    <row r="660">
      <c r="A660" s="26"/>
    </row>
    <row r="661">
      <c r="A661" s="26"/>
    </row>
    <row r="662">
      <c r="A662" s="26"/>
    </row>
    <row r="663">
      <c r="A663" s="26"/>
    </row>
    <row r="664">
      <c r="A664" s="26"/>
    </row>
    <row r="665">
      <c r="A665" s="26"/>
    </row>
    <row r="666">
      <c r="A666" s="26"/>
    </row>
    <row r="667">
      <c r="A667" s="26"/>
    </row>
    <row r="668">
      <c r="A668" s="26"/>
    </row>
    <row r="669">
      <c r="A669" s="26"/>
    </row>
    <row r="670">
      <c r="A670" s="26"/>
    </row>
    <row r="671">
      <c r="A671" s="26"/>
    </row>
    <row r="672">
      <c r="A672" s="26"/>
    </row>
    <row r="673">
      <c r="A673" s="26"/>
    </row>
    <row r="674">
      <c r="A674" s="26"/>
    </row>
    <row r="675">
      <c r="A675" s="26"/>
    </row>
    <row r="676">
      <c r="A676" s="26"/>
    </row>
    <row r="677">
      <c r="A677" s="26"/>
    </row>
    <row r="678">
      <c r="A678" s="26"/>
    </row>
    <row r="679">
      <c r="A679" s="26"/>
    </row>
    <row r="680">
      <c r="A680" s="26"/>
    </row>
    <row r="681">
      <c r="A681" s="26"/>
    </row>
    <row r="682">
      <c r="A682" s="26"/>
    </row>
    <row r="683">
      <c r="A683" s="26"/>
    </row>
    <row r="684">
      <c r="A684" s="26"/>
    </row>
    <row r="685">
      <c r="A685" s="26"/>
    </row>
    <row r="686">
      <c r="A686" s="26"/>
    </row>
    <row r="687">
      <c r="A687" s="26"/>
    </row>
    <row r="688">
      <c r="A688" s="26"/>
    </row>
    <row r="689">
      <c r="A689" s="26"/>
    </row>
    <row r="690">
      <c r="A690" s="26"/>
    </row>
    <row r="691">
      <c r="A691" s="26"/>
    </row>
    <row r="692">
      <c r="A692" s="26"/>
    </row>
    <row r="693">
      <c r="A693" s="26"/>
    </row>
    <row r="694">
      <c r="A694" s="26"/>
    </row>
    <row r="695">
      <c r="A695" s="26"/>
    </row>
    <row r="696">
      <c r="A696" s="26"/>
    </row>
    <row r="697">
      <c r="A697" s="26"/>
    </row>
    <row r="698">
      <c r="A698" s="26"/>
    </row>
    <row r="699">
      <c r="A699" s="26"/>
    </row>
    <row r="700">
      <c r="A700" s="26"/>
    </row>
    <row r="701">
      <c r="A701" s="26"/>
    </row>
    <row r="702">
      <c r="A702" s="26"/>
    </row>
    <row r="703">
      <c r="A703" s="26"/>
    </row>
    <row r="704">
      <c r="A704" s="26"/>
    </row>
    <row r="705">
      <c r="A705" s="26"/>
    </row>
    <row r="706">
      <c r="A706" s="26"/>
    </row>
    <row r="707">
      <c r="A707" s="26"/>
    </row>
    <row r="708">
      <c r="A708" s="26"/>
    </row>
    <row r="709">
      <c r="A709" s="26"/>
    </row>
    <row r="710">
      <c r="A710" s="26"/>
    </row>
    <row r="711">
      <c r="A711" s="26"/>
    </row>
    <row r="712">
      <c r="A712" s="26"/>
    </row>
    <row r="713">
      <c r="A713" s="26"/>
    </row>
    <row r="714">
      <c r="A714" s="26"/>
    </row>
    <row r="715">
      <c r="A715" s="26"/>
    </row>
    <row r="716">
      <c r="A716" s="26"/>
    </row>
    <row r="717">
      <c r="A717" s="26"/>
    </row>
    <row r="718">
      <c r="A718" s="26"/>
    </row>
    <row r="719">
      <c r="A719" s="26"/>
    </row>
    <row r="720">
      <c r="A720" s="26"/>
    </row>
    <row r="721">
      <c r="A721" s="26"/>
    </row>
    <row r="722">
      <c r="A722" s="26"/>
    </row>
    <row r="723">
      <c r="A723" s="26"/>
    </row>
    <row r="724">
      <c r="A724" s="26"/>
    </row>
    <row r="725">
      <c r="A725" s="26"/>
    </row>
    <row r="726">
      <c r="A726" s="26"/>
    </row>
    <row r="727">
      <c r="A727" s="26"/>
    </row>
    <row r="728">
      <c r="A728" s="26"/>
    </row>
    <row r="729">
      <c r="A729" s="26"/>
    </row>
    <row r="730">
      <c r="A730" s="26"/>
    </row>
    <row r="731">
      <c r="A731" s="26"/>
    </row>
    <row r="732">
      <c r="A732" s="26"/>
    </row>
    <row r="733">
      <c r="A733" s="26"/>
    </row>
    <row r="734">
      <c r="A734" s="26"/>
    </row>
    <row r="735">
      <c r="A735" s="26"/>
    </row>
    <row r="736">
      <c r="A736" s="26"/>
    </row>
    <row r="737">
      <c r="A737" s="26"/>
    </row>
    <row r="738">
      <c r="A738" s="26"/>
    </row>
    <row r="739">
      <c r="A739" s="26"/>
    </row>
    <row r="740">
      <c r="A740" s="26"/>
    </row>
    <row r="741">
      <c r="A741" s="26"/>
    </row>
    <row r="742">
      <c r="A742" s="26"/>
    </row>
    <row r="743">
      <c r="A743" s="26"/>
    </row>
    <row r="744">
      <c r="A744" s="26"/>
    </row>
    <row r="745">
      <c r="A745" s="26"/>
    </row>
    <row r="746">
      <c r="A746" s="26"/>
    </row>
    <row r="747">
      <c r="A747" s="26"/>
    </row>
    <row r="748">
      <c r="A748" s="26"/>
    </row>
    <row r="749">
      <c r="A749" s="26"/>
    </row>
    <row r="750">
      <c r="A750" s="26"/>
    </row>
    <row r="751">
      <c r="A751" s="26"/>
    </row>
    <row r="752">
      <c r="A752" s="26"/>
    </row>
    <row r="753">
      <c r="A753" s="26"/>
    </row>
    <row r="754">
      <c r="A754" s="26"/>
    </row>
    <row r="755">
      <c r="A755" s="26"/>
    </row>
    <row r="756">
      <c r="A756" s="26"/>
    </row>
    <row r="757">
      <c r="A757" s="26"/>
    </row>
    <row r="758">
      <c r="A758" s="26"/>
    </row>
    <row r="759">
      <c r="A759" s="26"/>
    </row>
    <row r="760">
      <c r="A760" s="26"/>
    </row>
    <row r="761">
      <c r="A761" s="26"/>
    </row>
    <row r="762">
      <c r="A762" s="26"/>
    </row>
    <row r="763">
      <c r="A763" s="26"/>
    </row>
    <row r="764">
      <c r="A764" s="26"/>
    </row>
    <row r="765">
      <c r="A765" s="26"/>
    </row>
    <row r="766">
      <c r="A766" s="26"/>
    </row>
    <row r="767">
      <c r="A767" s="26"/>
    </row>
    <row r="768">
      <c r="A768" s="26"/>
    </row>
    <row r="769">
      <c r="A769" s="26"/>
    </row>
    <row r="770">
      <c r="A770" s="26"/>
    </row>
    <row r="771">
      <c r="A771" s="26"/>
    </row>
    <row r="772">
      <c r="A772" s="26"/>
    </row>
    <row r="773">
      <c r="A773" s="26"/>
    </row>
    <row r="774">
      <c r="A774" s="26"/>
    </row>
    <row r="775">
      <c r="A775" s="26"/>
    </row>
    <row r="776">
      <c r="A776" s="26"/>
    </row>
    <row r="777">
      <c r="A777" s="26"/>
    </row>
    <row r="778">
      <c r="A778" s="26"/>
    </row>
    <row r="779">
      <c r="A779" s="26"/>
    </row>
    <row r="780">
      <c r="A780" s="26"/>
    </row>
    <row r="781">
      <c r="A781" s="26"/>
    </row>
    <row r="782">
      <c r="A782" s="26"/>
    </row>
    <row r="783">
      <c r="A783" s="26"/>
    </row>
    <row r="784">
      <c r="A784" s="26"/>
    </row>
    <row r="785">
      <c r="A785" s="26"/>
    </row>
    <row r="786">
      <c r="A786" s="26"/>
    </row>
    <row r="787">
      <c r="A787" s="26"/>
    </row>
    <row r="788">
      <c r="A788" s="26"/>
    </row>
    <row r="789">
      <c r="A789" s="26"/>
    </row>
    <row r="790">
      <c r="A790" s="26"/>
    </row>
    <row r="791">
      <c r="A791" s="26"/>
    </row>
    <row r="792">
      <c r="A792" s="26"/>
    </row>
    <row r="793">
      <c r="A793" s="26"/>
    </row>
    <row r="794">
      <c r="A794" s="26"/>
    </row>
    <row r="795">
      <c r="A795" s="26"/>
    </row>
    <row r="796">
      <c r="A796" s="26"/>
    </row>
    <row r="797">
      <c r="A797" s="26"/>
    </row>
    <row r="798">
      <c r="A798" s="26"/>
    </row>
    <row r="799">
      <c r="A799" s="26"/>
    </row>
    <row r="800">
      <c r="A800" s="26"/>
    </row>
    <row r="801">
      <c r="A801" s="26"/>
    </row>
    <row r="802">
      <c r="A802" s="26"/>
    </row>
    <row r="803">
      <c r="A803" s="26"/>
    </row>
    <row r="804">
      <c r="A804" s="26"/>
    </row>
    <row r="805">
      <c r="A805" s="26"/>
    </row>
    <row r="806">
      <c r="A806" s="26"/>
    </row>
    <row r="807">
      <c r="A807" s="26"/>
    </row>
    <row r="808">
      <c r="A808" s="26"/>
    </row>
    <row r="809">
      <c r="A809" s="26"/>
    </row>
    <row r="810">
      <c r="A810" s="26"/>
    </row>
    <row r="811">
      <c r="A811" s="26"/>
    </row>
    <row r="812">
      <c r="A812" s="26"/>
    </row>
    <row r="813">
      <c r="A813" s="26"/>
    </row>
    <row r="814">
      <c r="A814" s="26"/>
    </row>
    <row r="815">
      <c r="A815" s="26"/>
    </row>
    <row r="816">
      <c r="A816" s="26"/>
    </row>
    <row r="817">
      <c r="A817" s="26"/>
    </row>
    <row r="818">
      <c r="A818" s="26"/>
    </row>
    <row r="819">
      <c r="A819" s="26"/>
    </row>
    <row r="820">
      <c r="A820" s="26"/>
    </row>
    <row r="821">
      <c r="A821" s="26"/>
    </row>
    <row r="822">
      <c r="A822" s="26"/>
    </row>
    <row r="823">
      <c r="A823" s="26"/>
    </row>
    <row r="824">
      <c r="A824" s="26"/>
    </row>
    <row r="825">
      <c r="A825" s="26"/>
    </row>
    <row r="826">
      <c r="A826" s="26"/>
    </row>
    <row r="827">
      <c r="A827" s="26"/>
    </row>
    <row r="828">
      <c r="A828" s="26"/>
    </row>
    <row r="829">
      <c r="A829" s="26"/>
    </row>
    <row r="830">
      <c r="A830" s="26"/>
    </row>
    <row r="831">
      <c r="A831" s="26"/>
    </row>
    <row r="832">
      <c r="A832" s="26"/>
    </row>
    <row r="833">
      <c r="A833" s="26"/>
    </row>
    <row r="834">
      <c r="A834" s="26"/>
    </row>
    <row r="835">
      <c r="A835" s="26"/>
    </row>
    <row r="836">
      <c r="A836" s="26"/>
    </row>
    <row r="837">
      <c r="A837" s="26"/>
    </row>
    <row r="838">
      <c r="A838" s="26"/>
    </row>
    <row r="839">
      <c r="A839" s="26"/>
    </row>
    <row r="840">
      <c r="A840" s="26"/>
    </row>
    <row r="841">
      <c r="A841" s="26"/>
    </row>
    <row r="842">
      <c r="A842" s="26"/>
    </row>
    <row r="843">
      <c r="A843" s="26"/>
    </row>
    <row r="844">
      <c r="A844" s="26"/>
    </row>
    <row r="845">
      <c r="A845" s="26"/>
    </row>
    <row r="846">
      <c r="A846" s="26"/>
    </row>
    <row r="847">
      <c r="A847" s="26"/>
    </row>
    <row r="848">
      <c r="A848" s="26"/>
    </row>
    <row r="849">
      <c r="A849" s="26"/>
    </row>
    <row r="850">
      <c r="A850" s="26"/>
    </row>
    <row r="851">
      <c r="A851" s="26"/>
    </row>
    <row r="852">
      <c r="A852" s="26"/>
    </row>
    <row r="853">
      <c r="A853" s="26"/>
    </row>
    <row r="854">
      <c r="A854" s="26"/>
    </row>
    <row r="855">
      <c r="A855" s="26"/>
    </row>
    <row r="856">
      <c r="A856" s="26"/>
    </row>
    <row r="857">
      <c r="A857" s="26"/>
    </row>
    <row r="858">
      <c r="A858" s="26"/>
    </row>
    <row r="859">
      <c r="A859" s="26"/>
    </row>
    <row r="860">
      <c r="A860" s="26"/>
    </row>
    <row r="861">
      <c r="A861" s="26"/>
    </row>
    <row r="862">
      <c r="A862" s="26"/>
    </row>
    <row r="863">
      <c r="A863" s="26"/>
    </row>
    <row r="864">
      <c r="A864" s="26"/>
    </row>
    <row r="865">
      <c r="A865" s="26"/>
    </row>
    <row r="866">
      <c r="A866" s="26"/>
    </row>
    <row r="867">
      <c r="A867" s="26"/>
    </row>
    <row r="868">
      <c r="A868" s="26"/>
    </row>
    <row r="869">
      <c r="A869" s="26"/>
    </row>
    <row r="870">
      <c r="A870" s="26"/>
    </row>
    <row r="871">
      <c r="A871" s="26"/>
    </row>
    <row r="872">
      <c r="A872" s="26"/>
    </row>
    <row r="873">
      <c r="A873" s="26"/>
    </row>
    <row r="874">
      <c r="A874" s="26"/>
    </row>
    <row r="875">
      <c r="A875" s="26"/>
    </row>
    <row r="876">
      <c r="A876" s="26"/>
    </row>
    <row r="877">
      <c r="A877" s="26"/>
    </row>
    <row r="878">
      <c r="A878" s="26"/>
    </row>
    <row r="879">
      <c r="A879" s="26"/>
    </row>
    <row r="880">
      <c r="A880" s="26"/>
    </row>
    <row r="881">
      <c r="A881" s="26"/>
    </row>
    <row r="882">
      <c r="A882" s="26"/>
    </row>
    <row r="883">
      <c r="A883" s="26"/>
    </row>
    <row r="884">
      <c r="A884" s="26"/>
    </row>
    <row r="885">
      <c r="A885" s="26"/>
    </row>
    <row r="886">
      <c r="A886" s="26"/>
    </row>
    <row r="887">
      <c r="A887" s="26"/>
    </row>
    <row r="888">
      <c r="A888" s="26"/>
    </row>
    <row r="889">
      <c r="A889" s="26"/>
    </row>
    <row r="890">
      <c r="A890" s="26"/>
    </row>
    <row r="891">
      <c r="A891" s="26"/>
    </row>
    <row r="892">
      <c r="A892" s="26"/>
    </row>
    <row r="893">
      <c r="A893" s="26"/>
    </row>
    <row r="894">
      <c r="A894" s="26"/>
    </row>
    <row r="895">
      <c r="A895" s="26"/>
    </row>
    <row r="896">
      <c r="A896" s="26"/>
    </row>
    <row r="897">
      <c r="A897" s="26"/>
    </row>
    <row r="898">
      <c r="A898" s="26"/>
    </row>
    <row r="899">
      <c r="A899" s="26"/>
    </row>
    <row r="900">
      <c r="A900" s="26"/>
    </row>
    <row r="901">
      <c r="A901" s="26"/>
    </row>
    <row r="902">
      <c r="A902" s="26"/>
    </row>
    <row r="903">
      <c r="A903" s="26"/>
    </row>
    <row r="904">
      <c r="A904" s="26"/>
    </row>
    <row r="905">
      <c r="A905" s="26"/>
    </row>
    <row r="906">
      <c r="A906" s="26"/>
    </row>
    <row r="907">
      <c r="A907" s="26"/>
    </row>
    <row r="908">
      <c r="A908" s="26"/>
    </row>
    <row r="909">
      <c r="A909" s="26"/>
    </row>
    <row r="910">
      <c r="A910" s="26"/>
    </row>
    <row r="911">
      <c r="A911" s="26"/>
    </row>
    <row r="912">
      <c r="A912" s="26"/>
    </row>
    <row r="913">
      <c r="A913" s="26"/>
    </row>
    <row r="914">
      <c r="A914" s="26"/>
    </row>
    <row r="915">
      <c r="A915" s="26"/>
    </row>
    <row r="916">
      <c r="A916" s="26"/>
    </row>
    <row r="917">
      <c r="A917" s="26"/>
    </row>
    <row r="918">
      <c r="A918" s="26"/>
    </row>
    <row r="919">
      <c r="A919" s="26"/>
    </row>
    <row r="920">
      <c r="A920" s="26"/>
    </row>
    <row r="921">
      <c r="A921" s="26"/>
    </row>
    <row r="922">
      <c r="A922" s="26"/>
    </row>
    <row r="923">
      <c r="A923" s="26"/>
    </row>
    <row r="924">
      <c r="A924" s="26"/>
    </row>
    <row r="925">
      <c r="A925" s="26"/>
    </row>
    <row r="926">
      <c r="A926" s="26"/>
    </row>
    <row r="927">
      <c r="A927" s="26"/>
    </row>
    <row r="928">
      <c r="A928" s="26"/>
    </row>
    <row r="929">
      <c r="A929" s="26"/>
    </row>
    <row r="930">
      <c r="A930" s="26"/>
    </row>
    <row r="931">
      <c r="A931" s="26"/>
    </row>
    <row r="932">
      <c r="A932" s="26"/>
    </row>
    <row r="933">
      <c r="A933" s="26"/>
    </row>
    <row r="934">
      <c r="A934" s="26"/>
    </row>
    <row r="935">
      <c r="A935" s="26"/>
    </row>
    <row r="936">
      <c r="A936" s="26"/>
    </row>
    <row r="937">
      <c r="A937" s="26"/>
    </row>
    <row r="938">
      <c r="A938" s="26"/>
    </row>
    <row r="939">
      <c r="A939" s="26"/>
    </row>
    <row r="940">
      <c r="A940" s="26"/>
    </row>
    <row r="941">
      <c r="A941" s="26"/>
    </row>
    <row r="942">
      <c r="A942" s="26"/>
    </row>
    <row r="943">
      <c r="A943" s="26"/>
    </row>
    <row r="944">
      <c r="A944" s="26"/>
    </row>
    <row r="945">
      <c r="A945" s="26"/>
    </row>
    <row r="946">
      <c r="A946" s="26"/>
    </row>
    <row r="947">
      <c r="A947" s="26"/>
    </row>
    <row r="948">
      <c r="A948" s="26"/>
    </row>
    <row r="949">
      <c r="A949" s="26"/>
    </row>
    <row r="950">
      <c r="A950" s="26"/>
    </row>
    <row r="951">
      <c r="A951" s="26"/>
    </row>
    <row r="952">
      <c r="A952" s="26"/>
    </row>
    <row r="953">
      <c r="A953" s="26"/>
    </row>
    <row r="954">
      <c r="A954" s="26"/>
    </row>
    <row r="955">
      <c r="A955" s="26"/>
    </row>
    <row r="956">
      <c r="A956" s="26"/>
    </row>
    <row r="957">
      <c r="A957" s="26"/>
    </row>
    <row r="958">
      <c r="A958" s="26"/>
    </row>
    <row r="959">
      <c r="A959" s="26"/>
    </row>
    <row r="960">
      <c r="A960" s="26"/>
    </row>
    <row r="961">
      <c r="A961" s="26"/>
    </row>
    <row r="962">
      <c r="A962" s="26"/>
    </row>
    <row r="963">
      <c r="A963" s="26"/>
    </row>
    <row r="964">
      <c r="A964" s="26"/>
    </row>
    <row r="965">
      <c r="A965" s="26"/>
    </row>
    <row r="966">
      <c r="A966" s="26"/>
    </row>
    <row r="967">
      <c r="A967" s="26"/>
    </row>
    <row r="968">
      <c r="A968" s="26"/>
    </row>
    <row r="969">
      <c r="A969" s="26"/>
    </row>
    <row r="970">
      <c r="A970" s="26"/>
    </row>
    <row r="971">
      <c r="A971" s="26"/>
    </row>
    <row r="972">
      <c r="A972" s="26"/>
    </row>
    <row r="973">
      <c r="A973" s="26"/>
    </row>
    <row r="974">
      <c r="A974" s="26"/>
    </row>
    <row r="975">
      <c r="A975" s="26"/>
    </row>
    <row r="976">
      <c r="A976" s="26"/>
    </row>
    <row r="977">
      <c r="A977" s="26"/>
    </row>
    <row r="978">
      <c r="A978" s="26"/>
    </row>
    <row r="979">
      <c r="A979" s="26"/>
    </row>
    <row r="980">
      <c r="A980" s="26"/>
    </row>
    <row r="981">
      <c r="A981" s="26"/>
    </row>
    <row r="982">
      <c r="A982" s="26"/>
    </row>
    <row r="983">
      <c r="A983" s="26"/>
    </row>
    <row r="984">
      <c r="A984" s="26"/>
    </row>
    <row r="985">
      <c r="A985" s="26"/>
    </row>
    <row r="986">
      <c r="A986" s="26"/>
    </row>
    <row r="987">
      <c r="A987" s="26"/>
    </row>
    <row r="988">
      <c r="A988" s="26"/>
    </row>
    <row r="989">
      <c r="A989" s="26"/>
    </row>
    <row r="990">
      <c r="A990" s="26"/>
    </row>
    <row r="991">
      <c r="A991" s="26"/>
    </row>
    <row r="992">
      <c r="A992" s="26"/>
    </row>
    <row r="993">
      <c r="A993" s="26"/>
    </row>
    <row r="994">
      <c r="A994" s="26"/>
    </row>
    <row r="995">
      <c r="A995" s="26"/>
    </row>
    <row r="996">
      <c r="A996" s="26"/>
    </row>
    <row r="997">
      <c r="A997" s="26"/>
    </row>
    <row r="998">
      <c r="A998" s="26"/>
    </row>
    <row r="999">
      <c r="A999" s="26"/>
    </row>
    <row r="1000">
      <c r="A1000" s="2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8.5"/>
    <col customWidth="1" min="2" max="2" width="42.5"/>
    <col customWidth="1" min="3" max="3" width="13.38"/>
    <col customWidth="1" min="4" max="4" width="14.0"/>
    <col customWidth="1" min="5" max="5" width="21.13"/>
    <col customWidth="1" min="6" max="6" width="21.63"/>
    <col customWidth="1" min="7" max="7" width="15.75"/>
    <col customWidth="1" min="8" max="8" width="20.5"/>
    <col customWidth="1" min="9" max="9" width="24.88"/>
    <col customWidth="1" min="10" max="11" width="21.75"/>
    <col customWidth="1" min="12" max="12" width="24.38"/>
    <col customWidth="1" min="13" max="13" width="19.88"/>
    <col customWidth="1" min="14" max="14" width="33.88"/>
    <col customWidth="1" min="15" max="15" width="28.0"/>
    <col customWidth="1" min="16" max="16" width="36.63"/>
    <col customWidth="1" min="17" max="17" width="37.13"/>
    <col customWidth="1" min="18" max="18" width="51.63"/>
    <col customWidth="1" min="19" max="19" width="46.0"/>
    <col customWidth="1" min="20" max="20" width="48.75"/>
    <col customWidth="1" min="21" max="21" width="32.0"/>
    <col customWidth="1" min="22" max="22" width="28.63"/>
    <col customWidth="1" min="23" max="23" width="22.75"/>
    <col customWidth="1" min="24" max="28" width="28.0"/>
    <col customWidth="1" min="29" max="29" width="26.75"/>
    <col customWidth="1" min="30" max="30" width="19.5"/>
    <col customWidth="1" min="31" max="31" width="13.63"/>
    <col customWidth="1" min="32" max="36" width="28.0"/>
    <col customWidth="1" min="37" max="37" width="17.63"/>
    <col customWidth="1" min="38" max="38" width="28.63"/>
    <col customWidth="1" min="39" max="39" width="22.75"/>
    <col customWidth="1" min="40" max="44" width="28.0"/>
    <col customWidth="1" min="45" max="45" width="26.88"/>
    <col customWidth="1" hidden="1" min="46" max="69" width="14.13"/>
    <col customWidth="1" min="70" max="70" width="10.75"/>
    <col customWidth="1" min="71" max="71" width="26.5"/>
    <col customWidth="1" min="72" max="72" width="28.0"/>
    <col customWidth="1" min="73" max="73" width="24.63"/>
    <col customWidth="1" min="74" max="74" width="24.0"/>
    <col customWidth="1" min="75" max="75" width="17.25"/>
    <col customWidth="1" min="76" max="76" width="22.13"/>
    <col customWidth="1" min="77" max="77" width="16.5"/>
    <col customWidth="1" min="78" max="80" width="17.88"/>
    <col customWidth="1" min="81" max="81" width="10.0"/>
  </cols>
  <sheetData>
    <row r="1">
      <c r="A1" s="22" t="s">
        <v>3707</v>
      </c>
      <c r="B1" s="22" t="s">
        <v>1</v>
      </c>
      <c r="C1" s="24" t="s">
        <v>3822</v>
      </c>
      <c r="D1" s="24" t="s">
        <v>3712</v>
      </c>
      <c r="E1" s="24" t="s">
        <v>3816</v>
      </c>
      <c r="F1" s="24" t="s">
        <v>3724</v>
      </c>
      <c r="G1" s="24" t="s">
        <v>3725</v>
      </c>
      <c r="H1" s="24" t="s">
        <v>3823</v>
      </c>
      <c r="I1" s="24" t="s">
        <v>3824</v>
      </c>
      <c r="J1" s="24" t="s">
        <v>3825</v>
      </c>
      <c r="K1" s="24" t="s">
        <v>3826</v>
      </c>
      <c r="L1" s="24" t="s">
        <v>3827</v>
      </c>
      <c r="M1" s="24" t="s">
        <v>3728</v>
      </c>
      <c r="N1" s="24" t="s">
        <v>3734</v>
      </c>
      <c r="O1" s="24" t="s">
        <v>3735</v>
      </c>
      <c r="P1" s="24" t="s">
        <v>3828</v>
      </c>
      <c r="Q1" s="24" t="s">
        <v>3829</v>
      </c>
      <c r="R1" s="24" t="s">
        <v>3830</v>
      </c>
      <c r="S1" s="24" t="s">
        <v>3831</v>
      </c>
      <c r="T1" s="24" t="s">
        <v>3832</v>
      </c>
      <c r="U1" s="24" t="s">
        <v>3738</v>
      </c>
      <c r="V1" s="24" t="s">
        <v>3739</v>
      </c>
      <c r="W1" s="24" t="s">
        <v>3740</v>
      </c>
      <c r="X1" s="24" t="s">
        <v>3833</v>
      </c>
      <c r="Y1" s="24" t="s">
        <v>3834</v>
      </c>
      <c r="Z1" s="24" t="s">
        <v>3835</v>
      </c>
      <c r="AA1" s="24" t="s">
        <v>3836</v>
      </c>
      <c r="AB1" s="24" t="s">
        <v>3837</v>
      </c>
      <c r="AC1" s="24" t="s">
        <v>3743</v>
      </c>
      <c r="AD1" s="24" t="s">
        <v>3754</v>
      </c>
      <c r="AE1" s="24" t="s">
        <v>3755</v>
      </c>
      <c r="AF1" s="24" t="s">
        <v>3838</v>
      </c>
      <c r="AG1" s="24" t="s">
        <v>3839</v>
      </c>
      <c r="AH1" s="24" t="s">
        <v>3840</v>
      </c>
      <c r="AI1" s="24" t="s">
        <v>3841</v>
      </c>
      <c r="AJ1" s="24" t="s">
        <v>3842</v>
      </c>
      <c r="AK1" s="24" t="s">
        <v>3758</v>
      </c>
      <c r="AL1" s="24" t="s">
        <v>3759</v>
      </c>
      <c r="AM1" s="24" t="s">
        <v>3760</v>
      </c>
      <c r="AN1" s="24" t="s">
        <v>3843</v>
      </c>
      <c r="AO1" s="24" t="s">
        <v>3844</v>
      </c>
      <c r="AP1" s="24" t="s">
        <v>3845</v>
      </c>
      <c r="AQ1" s="24" t="s">
        <v>3845</v>
      </c>
      <c r="AR1" s="24" t="s">
        <v>3846</v>
      </c>
      <c r="AS1" s="24" t="s">
        <v>3763</v>
      </c>
      <c r="AT1" s="24" t="s">
        <v>3774</v>
      </c>
      <c r="AU1" s="24" t="s">
        <v>3774</v>
      </c>
      <c r="AV1" s="24" t="s">
        <v>3774</v>
      </c>
      <c r="AW1" s="24" t="s">
        <v>3774</v>
      </c>
      <c r="AX1" s="24" t="s">
        <v>3774</v>
      </c>
      <c r="AY1" s="24" t="s">
        <v>3774</v>
      </c>
      <c r="AZ1" s="24" t="s">
        <v>3774</v>
      </c>
      <c r="BA1" s="24" t="s">
        <v>3774</v>
      </c>
      <c r="BB1" s="24" t="s">
        <v>3774</v>
      </c>
      <c r="BC1" s="24" t="s">
        <v>3774</v>
      </c>
      <c r="BD1" s="24" t="s">
        <v>3774</v>
      </c>
      <c r="BE1" s="24" t="s">
        <v>3774</v>
      </c>
      <c r="BF1" s="24" t="s">
        <v>3774</v>
      </c>
      <c r="BG1" s="24" t="s">
        <v>3774</v>
      </c>
      <c r="BH1" s="24" t="s">
        <v>3774</v>
      </c>
      <c r="BI1" s="24" t="s">
        <v>3774</v>
      </c>
      <c r="BJ1" s="24" t="s">
        <v>3774</v>
      </c>
      <c r="BK1" s="24" t="s">
        <v>3774</v>
      </c>
      <c r="BL1" s="24" t="s">
        <v>3774</v>
      </c>
      <c r="BM1" s="24" t="s">
        <v>3774</v>
      </c>
      <c r="BN1" s="24" t="s">
        <v>3774</v>
      </c>
      <c r="BO1" s="24" t="s">
        <v>3774</v>
      </c>
      <c r="BP1" s="24" t="s">
        <v>3774</v>
      </c>
      <c r="BQ1" s="24" t="s">
        <v>3774</v>
      </c>
      <c r="BR1" s="24" t="s">
        <v>3775</v>
      </c>
      <c r="BS1" s="24" t="s">
        <v>3847</v>
      </c>
      <c r="BT1" s="24" t="s">
        <v>3848</v>
      </c>
      <c r="BU1" s="24" t="s">
        <v>3849</v>
      </c>
      <c r="BV1" s="24" t="s">
        <v>3850</v>
      </c>
      <c r="BW1" s="24" t="s">
        <v>3851</v>
      </c>
      <c r="BX1" s="24" t="s">
        <v>3852</v>
      </c>
      <c r="BY1" s="24" t="s">
        <v>13</v>
      </c>
      <c r="BZ1" s="24" t="s">
        <v>14</v>
      </c>
      <c r="CA1" s="24" t="s">
        <v>47</v>
      </c>
      <c r="CB1" s="24" t="s">
        <v>48</v>
      </c>
      <c r="CC1" s="24" t="s">
        <v>15</v>
      </c>
    </row>
    <row r="2">
      <c r="A2" s="25" t="str">
        <f>(Sheet1!A2)</f>
        <v>1ClXh28BQwwGN7Q42xt0Dc8b_R_3jweBItLcbwVq3Rj0</v>
      </c>
      <c r="B2" s="25" t="str">
        <f>(Sheet1!B2)</f>
        <v>MPS</v>
      </c>
      <c r="C2" s="30" t="str">
        <f>Sheet1!BB2</f>
        <v>Yes</v>
      </c>
      <c r="D2" s="30" t="s">
        <v>13</v>
      </c>
      <c r="E2" s="34" t="s">
        <v>13</v>
      </c>
      <c r="F2" s="30" t="s">
        <v>3817</v>
      </c>
      <c r="G2" s="31">
        <v>290.0</v>
      </c>
      <c r="H2" s="34" t="s">
        <v>3853</v>
      </c>
      <c r="I2" s="34">
        <v>0.0</v>
      </c>
      <c r="J2" s="34">
        <v>100.0</v>
      </c>
      <c r="K2" s="34">
        <v>0.0</v>
      </c>
      <c r="L2" s="34">
        <v>0.0</v>
      </c>
      <c r="M2" s="33">
        <f>COUNTIFS('Data For Calculation - Insuranc'!A:A,A2,'Data For Calculation - Insuranc'!E:E,"CPA + RSA")</f>
        <v>0</v>
      </c>
      <c r="N2" s="30" t="s">
        <v>3854</v>
      </c>
      <c r="O2" s="31">
        <v>460.0</v>
      </c>
      <c r="P2" s="34" t="s">
        <v>3853</v>
      </c>
      <c r="Q2" s="34">
        <v>20.0</v>
      </c>
      <c r="R2" s="34">
        <v>60.0</v>
      </c>
      <c r="S2" s="34">
        <v>20.0</v>
      </c>
      <c r="T2" s="34">
        <v>20.0</v>
      </c>
      <c r="U2" s="33">
        <f>COUNTIFS('Data For Calculation - Insuranc'!A:A,A2,'Data For Calculation - Insuranc'!E:E,"CPA + RSA + AHDC + DOC")</f>
        <v>0</v>
      </c>
      <c r="V2" s="30" t="s">
        <v>3817</v>
      </c>
      <c r="W2" s="34">
        <v>838.99</v>
      </c>
      <c r="X2" s="34" t="s">
        <v>3853</v>
      </c>
      <c r="Y2" s="34">
        <v>0.0</v>
      </c>
      <c r="Z2" s="34">
        <v>100.0</v>
      </c>
      <c r="AA2" s="34">
        <v>0.0</v>
      </c>
      <c r="AB2" s="34">
        <v>0.0</v>
      </c>
      <c r="AC2" s="33">
        <f>COUNTIFS('Data For Calculation - Insuranc'!A:A,A2,'Data For Calculation - Insuranc'!E:E,"CPA + RSA : 5 Years")</f>
        <v>0</v>
      </c>
      <c r="AD2" s="30" t="s">
        <v>3817</v>
      </c>
      <c r="AE2" s="31">
        <v>838.99</v>
      </c>
      <c r="AF2" s="34" t="s">
        <v>3853</v>
      </c>
      <c r="AG2" s="34">
        <v>0.0</v>
      </c>
      <c r="AH2" s="34">
        <v>100.0</v>
      </c>
      <c r="AI2" s="34">
        <v>0.0</v>
      </c>
      <c r="AJ2" s="34">
        <v>0.0</v>
      </c>
      <c r="AK2" s="33">
        <f>COUNTIFS('Data For Calculation - Insuranc'!A:A,A2,'Data For Calculation - Insuranc'!E:E,"Assistance + CPA : 5 Years")</f>
        <v>0</v>
      </c>
      <c r="AL2" s="30" t="s">
        <v>3817</v>
      </c>
      <c r="AM2" s="31">
        <v>290.0</v>
      </c>
      <c r="AN2" s="34" t="s">
        <v>3853</v>
      </c>
      <c r="AO2" s="34">
        <v>0.0</v>
      </c>
      <c r="AP2" s="34">
        <v>100.0</v>
      </c>
      <c r="AQ2" s="34">
        <v>0.0</v>
      </c>
      <c r="AR2" s="34">
        <v>0.0</v>
      </c>
      <c r="AS2" s="33">
        <f>COUNTIFS('Data For Calculation - Insuranc'!A:A,A2,'Data For Calculation - Insuranc'!E:E,"RSA + AHDC + DOC")</f>
        <v>0</v>
      </c>
      <c r="AT2" s="33"/>
      <c r="AU2" s="33"/>
      <c r="AV2" s="33"/>
      <c r="AW2" s="33"/>
      <c r="AX2" s="33"/>
      <c r="AY2" s="33"/>
      <c r="AZ2" s="33"/>
      <c r="BA2" s="33"/>
      <c r="BB2" s="33"/>
      <c r="BC2" s="33"/>
      <c r="BD2" s="33"/>
      <c r="BE2" s="33"/>
      <c r="BF2" s="33"/>
      <c r="BG2" s="33"/>
      <c r="BH2" s="33"/>
      <c r="BI2" s="33"/>
      <c r="BJ2" s="33"/>
      <c r="BK2" s="33"/>
      <c r="BL2" s="33"/>
      <c r="BM2" s="33"/>
      <c r="BN2" s="33"/>
      <c r="BO2" s="33"/>
      <c r="BP2" s="33"/>
      <c r="BQ2" s="33"/>
      <c r="BR2" s="33">
        <f t="shared" ref="BR2:BR329" si="1">SUM(M2, U2, AC2, AK2, AS2)</f>
        <v>0</v>
      </c>
      <c r="BS2" s="33">
        <f>SUMIFS('Data For Calculation - Insuranc'!I:I,'Data For Calculation - Insuranc'!$A:$A,$A2)</f>
        <v>0</v>
      </c>
      <c r="BT2" s="33">
        <f>SUMIFS('Data For Calculation - Insuranc'!J:J,'Data For Calculation - Insuranc'!$A:$A,$A2)</f>
        <v>0</v>
      </c>
      <c r="BU2" s="33">
        <f>SUMIFS('Data For Calculation - Insuranc'!K:K,'Data For Calculation - Insuranc'!$A:$A,$A2)</f>
        <v>0</v>
      </c>
      <c r="BV2" s="33">
        <f>IF($CC2 = "Dealer", SUMIFS('Data For Calculation - Insuranc'!I:I,'Data For Calculation - Insuranc'!$B:$B,$A2,'Data For Calculation - Insuranc'!$H:$H,"Master Dealer")) + SUMIFS('Data For Calculation - Insuranc'!I:I,'Data For Calculation - Insuranc'!$A:$A,$A2,'Data For Calculation - Insuranc'!$H:$H,"Self")</f>
        <v>0</v>
      </c>
      <c r="BW2" s="33">
        <f>IF($CC2 = "Dealer", SUMIFS('Data For Calculation - Insuranc'!J:J,'Data For Calculation - Insuranc'!$B:$B,$A2,'Data For Calculation - Insuranc'!$H:$H,"Master Dealer")) + SUMIFS('Data For Calculation - Insuranc'!J:J,'Data For Calculation - Insuranc'!$A:$A,$A2,'Data For Calculation - Insuranc'!$H:$H,"Self")</f>
        <v>0</v>
      </c>
      <c r="BX2" s="33">
        <f>IF($CC2 = "Dealer", SUMIFS('Data For Calculation - Insuranc'!K:K,'Data For Calculation - Insuranc'!$B:$B,$A2,'Data For Calculation - Insuranc'!$H:$H,"Master Dealer")) + SUMIFS('Data For Calculation - Insuranc'!K:K,'Data For Calculation - Insuranc'!$A:$A,$A2,'Data For Calculation - Insuranc'!$H:$H,"Self")</f>
        <v>0</v>
      </c>
      <c r="BY2" s="25" t="str">
        <f>(Sheet1!N2)</f>
        <v>MPS</v>
      </c>
      <c r="BZ2" s="25" t="str">
        <f>(Sheet1!O2)</f>
        <v>1ClXh28BQwwGN7Q42xt0Dc8b_R_3jweBItLcbwVq3Rj0</v>
      </c>
      <c r="CA2" s="25" t="str">
        <f>(Sheet1!AV2)</f>
        <v>5646aRFHGS76A</v>
      </c>
      <c r="CB2" s="25" t="str">
        <f>(Sheet1!AW2)</f>
        <v>Test Distributor</v>
      </c>
      <c r="CC2" s="26" t="str">
        <f>(Sheet1!P2)</f>
        <v>Dealer</v>
      </c>
    </row>
    <row r="3">
      <c r="A3" s="25" t="str">
        <f>(Sheet1!A3)</f>
        <v>1ksPRehLH7gfgZpnXgiBGZpTtFA-KHaKr32rTQGuz3WY</v>
      </c>
      <c r="B3" s="25" t="str">
        <f>(Sheet1!B3)</f>
        <v>Globe Agencies</v>
      </c>
      <c r="C3" s="30" t="str">
        <f>Sheet1!BB3</f>
        <v>No</v>
      </c>
      <c r="D3" s="30" t="s">
        <v>13</v>
      </c>
      <c r="E3" s="34" t="s">
        <v>13</v>
      </c>
      <c r="F3" s="30" t="s">
        <v>3820</v>
      </c>
      <c r="G3" s="31">
        <v>290.0</v>
      </c>
      <c r="H3" s="34" t="s">
        <v>3853</v>
      </c>
      <c r="I3" s="34">
        <v>0.0</v>
      </c>
      <c r="J3" s="34">
        <v>100.0</v>
      </c>
      <c r="K3" s="34">
        <v>0.0</v>
      </c>
      <c r="L3" s="34">
        <v>0.0</v>
      </c>
      <c r="M3" s="33">
        <f>COUNTIFS('Data For Calculation - Insuranc'!A:A,A3,'Data For Calculation - Insuranc'!E:E,"CPA + RSA")</f>
        <v>0</v>
      </c>
      <c r="N3" s="30" t="s">
        <v>3820</v>
      </c>
      <c r="O3" s="31">
        <v>460.0</v>
      </c>
      <c r="P3" s="34" t="s">
        <v>3853</v>
      </c>
      <c r="Q3" s="34">
        <v>0.0</v>
      </c>
      <c r="R3" s="34">
        <v>100.0</v>
      </c>
      <c r="S3" s="34">
        <v>0.0</v>
      </c>
      <c r="T3" s="34">
        <v>0.0</v>
      </c>
      <c r="U3" s="33">
        <f>COUNTIFS('Data For Calculation - Insuranc'!A:A,A3,'Data For Calculation - Insuranc'!E:E,"CPA + RSA + AHDC + DOC")</f>
        <v>0</v>
      </c>
      <c r="V3" s="30" t="s">
        <v>3820</v>
      </c>
      <c r="W3" s="34">
        <v>838.99</v>
      </c>
      <c r="X3" s="34" t="s">
        <v>3853</v>
      </c>
      <c r="Y3" s="34">
        <v>0.0</v>
      </c>
      <c r="Z3" s="34">
        <v>100.0</v>
      </c>
      <c r="AA3" s="34">
        <v>0.0</v>
      </c>
      <c r="AB3" s="34">
        <v>0.0</v>
      </c>
      <c r="AC3" s="33">
        <f>COUNTIFS('Data For Calculation - Insuranc'!A:A,A3,'Data For Calculation - Insuranc'!E:E,"CPA + RSA : 5 Years")</f>
        <v>0</v>
      </c>
      <c r="AD3" s="30" t="s">
        <v>3820</v>
      </c>
      <c r="AE3" s="31">
        <v>838.99</v>
      </c>
      <c r="AF3" s="34" t="s">
        <v>3853</v>
      </c>
      <c r="AG3" s="34">
        <v>0.0</v>
      </c>
      <c r="AH3" s="34">
        <v>100.0</v>
      </c>
      <c r="AI3" s="34">
        <v>0.0</v>
      </c>
      <c r="AJ3" s="34">
        <v>0.0</v>
      </c>
      <c r="AK3" s="33">
        <f>COUNTIFS('Data For Calculation - Insuranc'!A:A,A3,'Data For Calculation - Insuranc'!E:E,"Assistance + CPA : 5 Years")</f>
        <v>0</v>
      </c>
      <c r="AL3" s="30" t="s">
        <v>3820</v>
      </c>
      <c r="AM3" s="31">
        <v>290.0</v>
      </c>
      <c r="AN3" s="34" t="s">
        <v>3853</v>
      </c>
      <c r="AO3" s="34">
        <v>0.0</v>
      </c>
      <c r="AP3" s="34">
        <v>100.0</v>
      </c>
      <c r="AQ3" s="34">
        <v>0.0</v>
      </c>
      <c r="AR3" s="34">
        <v>0.0</v>
      </c>
      <c r="AS3" s="33">
        <f>COUNTIFS('Data For Calculation - Insuranc'!A:A,A3,'Data For Calculation - Insuranc'!E:E,"RSA + AHDC + DOC")</f>
        <v>0</v>
      </c>
      <c r="AT3" s="33"/>
      <c r="AU3" s="33"/>
      <c r="AV3" s="33"/>
      <c r="AW3" s="33"/>
      <c r="AX3" s="33"/>
      <c r="AY3" s="33"/>
      <c r="AZ3" s="33"/>
      <c r="BA3" s="33"/>
      <c r="BB3" s="33"/>
      <c r="BC3" s="33"/>
      <c r="BD3" s="33"/>
      <c r="BE3" s="33"/>
      <c r="BF3" s="33"/>
      <c r="BG3" s="33"/>
      <c r="BH3" s="33"/>
      <c r="BI3" s="33"/>
      <c r="BJ3" s="33"/>
      <c r="BK3" s="33"/>
      <c r="BL3" s="33"/>
      <c r="BM3" s="33"/>
      <c r="BN3" s="33"/>
      <c r="BO3" s="33"/>
      <c r="BP3" s="33"/>
      <c r="BQ3" s="33"/>
      <c r="BR3" s="33">
        <f t="shared" si="1"/>
        <v>0</v>
      </c>
      <c r="BS3" s="33">
        <f>SUMIFS('Data For Calculation - Insuranc'!I:I,'Data For Calculation - Insuranc'!$A:$A,$A3)</f>
        <v>0</v>
      </c>
      <c r="BT3" s="33">
        <f>SUMIFS('Data For Calculation - Insuranc'!J:J,'Data For Calculation - Insuranc'!$A:$A,$A3)</f>
        <v>0</v>
      </c>
      <c r="BU3" s="33">
        <f>SUMIFS('Data For Calculation - Insuranc'!K:K,'Data For Calculation - Insuranc'!$A:$A,$A3)</f>
        <v>0</v>
      </c>
      <c r="BV3" s="33">
        <f>IF($CC3 = "Dealer", SUMIFS('Data For Calculation - Insuranc'!I:I,'Data For Calculation - Insuranc'!$B:$B,$A3,'Data For Calculation - Insuranc'!$H:$H,"Master Dealer")) + SUMIFS('Data For Calculation - Insuranc'!I:I,'Data For Calculation - Insuranc'!$A:$A,$A3,'Data For Calculation - Insuranc'!$H:$H,"Self")</f>
        <v>0</v>
      </c>
      <c r="BW3" s="33">
        <f>IF($CC3 = "Dealer", SUMIFS('Data For Calculation - Insuranc'!J:J,'Data For Calculation - Insuranc'!$B:$B,$A3,'Data For Calculation - Insuranc'!$H:$H,"Master Dealer")) + SUMIFS('Data For Calculation - Insuranc'!J:J,'Data For Calculation - Insuranc'!$A:$A,$A3,'Data For Calculation - Insuranc'!$H:$H,"Self")</f>
        <v>0</v>
      </c>
      <c r="BX3" s="33">
        <f>IF($CC3 = "Dealer", SUMIFS('Data For Calculation - Insuranc'!K:K,'Data For Calculation - Insuranc'!$B:$B,$A3,'Data For Calculation - Insuranc'!$H:$H,"Master Dealer")) + SUMIFS('Data For Calculation - Insuranc'!K:K,'Data For Calculation - Insuranc'!$A:$A,$A3,'Data For Calculation - Insuranc'!$H:$H,"Self")</f>
        <v>0</v>
      </c>
      <c r="BY3" s="25" t="str">
        <f>(Sheet1!N3)</f>
        <v>Globe Agencies</v>
      </c>
      <c r="BZ3" s="25" t="str">
        <f>(Sheet1!O3)</f>
        <v>1ksPRehLH7gfgZpnXgiBGZpTtFA-KHaKr32rTQGuz3WY</v>
      </c>
      <c r="CA3" s="25" t="str">
        <f>(Sheet1!AV3)</f>
        <v/>
      </c>
      <c r="CB3" s="25" t="str">
        <f>(Sheet1!AW3)</f>
        <v/>
      </c>
      <c r="CC3" s="26" t="str">
        <f>(Sheet1!P3)</f>
        <v>Dealer</v>
      </c>
    </row>
    <row r="4">
      <c r="A4" s="25" t="str">
        <f>(Sheet1!A4)</f>
        <v>184Y3L-ZLT7vcLiFDItIcLa-18phpzEbgBCBDgt_LGCQ</v>
      </c>
      <c r="B4" s="25" t="str">
        <f>(Sheet1!B4)</f>
        <v>Jain Motorcycle Company</v>
      </c>
      <c r="C4" s="30" t="str">
        <f>Sheet1!BB4</f>
        <v>No</v>
      </c>
      <c r="D4" s="30" t="s">
        <v>13</v>
      </c>
      <c r="E4" s="34" t="s">
        <v>13</v>
      </c>
      <c r="F4" s="30" t="s">
        <v>3820</v>
      </c>
      <c r="G4" s="31">
        <v>170.0</v>
      </c>
      <c r="H4" s="34" t="s">
        <v>3853</v>
      </c>
      <c r="I4" s="34">
        <v>0.0</v>
      </c>
      <c r="J4" s="34">
        <v>100.0</v>
      </c>
      <c r="K4" s="34">
        <v>0.0</v>
      </c>
      <c r="L4" s="34">
        <v>0.0</v>
      </c>
      <c r="M4" s="33">
        <f>COUNTIFS('Data For Calculation - Insuranc'!A:A,A4,'Data For Calculation - Insuranc'!E:E,"CPA + RSA")</f>
        <v>0</v>
      </c>
      <c r="N4" s="30" t="s">
        <v>3820</v>
      </c>
      <c r="O4" s="31">
        <v>170.0</v>
      </c>
      <c r="P4" s="34" t="s">
        <v>3853</v>
      </c>
      <c r="Q4" s="34">
        <v>0.0</v>
      </c>
      <c r="R4" s="34">
        <v>100.0</v>
      </c>
      <c r="S4" s="34">
        <v>0.0</v>
      </c>
      <c r="T4" s="34">
        <v>0.0</v>
      </c>
      <c r="U4" s="33">
        <f>COUNTIFS('Data For Calculation - Insuranc'!A:A,A4,'Data For Calculation - Insuranc'!E:E,"CPA + RSA + AHDC + DOC")</f>
        <v>0</v>
      </c>
      <c r="V4" s="30" t="s">
        <v>3820</v>
      </c>
      <c r="W4" s="34">
        <v>838.99</v>
      </c>
      <c r="X4" s="34" t="s">
        <v>3853</v>
      </c>
      <c r="Y4" s="34">
        <v>0.0</v>
      </c>
      <c r="Z4" s="34">
        <v>100.0</v>
      </c>
      <c r="AA4" s="34">
        <v>0.0</v>
      </c>
      <c r="AB4" s="34">
        <v>0.0</v>
      </c>
      <c r="AC4" s="33">
        <f>COUNTIFS('Data For Calculation - Insuranc'!A:A,A4,'Data For Calculation - Insuranc'!E:E,"CPA + RSA : 5 Years")</f>
        <v>0</v>
      </c>
      <c r="AD4" s="30" t="s">
        <v>3820</v>
      </c>
      <c r="AE4" s="31">
        <v>838.99</v>
      </c>
      <c r="AF4" s="34" t="s">
        <v>3853</v>
      </c>
      <c r="AG4" s="34">
        <v>0.0</v>
      </c>
      <c r="AH4" s="34">
        <v>100.0</v>
      </c>
      <c r="AI4" s="34">
        <v>0.0</v>
      </c>
      <c r="AJ4" s="34">
        <v>0.0</v>
      </c>
      <c r="AK4" s="33">
        <f>COUNTIFS('Data For Calculation - Insuranc'!A:A,A4,'Data For Calculation - Insuranc'!E:E,"Assistance + CPA : 5 Years")</f>
        <v>0</v>
      </c>
      <c r="AL4" s="30" t="s">
        <v>3820</v>
      </c>
      <c r="AM4" s="31">
        <v>290.0</v>
      </c>
      <c r="AN4" s="34" t="s">
        <v>3853</v>
      </c>
      <c r="AO4" s="34">
        <v>0.0</v>
      </c>
      <c r="AP4" s="34">
        <v>100.0</v>
      </c>
      <c r="AQ4" s="34">
        <v>0.0</v>
      </c>
      <c r="AR4" s="34">
        <v>0.0</v>
      </c>
      <c r="AS4" s="33">
        <f>COUNTIFS('Data For Calculation - Insuranc'!A:A,A4,'Data For Calculation - Insuranc'!E:E,"RSA + AHDC + DOC")</f>
        <v>0</v>
      </c>
      <c r="AT4" s="33"/>
      <c r="AU4" s="33"/>
      <c r="AV4" s="33"/>
      <c r="AW4" s="33"/>
      <c r="AX4" s="33"/>
      <c r="AY4" s="33"/>
      <c r="AZ4" s="33"/>
      <c r="BA4" s="33"/>
      <c r="BB4" s="33"/>
      <c r="BC4" s="33"/>
      <c r="BD4" s="33"/>
      <c r="BE4" s="33"/>
      <c r="BF4" s="33"/>
      <c r="BG4" s="33"/>
      <c r="BH4" s="33"/>
      <c r="BI4" s="33"/>
      <c r="BJ4" s="33"/>
      <c r="BK4" s="33"/>
      <c r="BL4" s="33"/>
      <c r="BM4" s="33"/>
      <c r="BN4" s="33"/>
      <c r="BO4" s="33"/>
      <c r="BP4" s="33"/>
      <c r="BQ4" s="33"/>
      <c r="BR4" s="33">
        <f t="shared" si="1"/>
        <v>0</v>
      </c>
      <c r="BS4" s="33">
        <f>SUMIFS('Data For Calculation - Insuranc'!I:I,'Data For Calculation - Insuranc'!$A:$A,$A4)</f>
        <v>0</v>
      </c>
      <c r="BT4" s="33">
        <f>SUMIFS('Data For Calculation - Insuranc'!J:J,'Data For Calculation - Insuranc'!$A:$A,$A4)</f>
        <v>0</v>
      </c>
      <c r="BU4" s="33">
        <f>SUMIFS('Data For Calculation - Insuranc'!K:K,'Data For Calculation - Insuranc'!$A:$A,$A4)</f>
        <v>0</v>
      </c>
      <c r="BV4" s="33">
        <f>IF($CC4 = "Dealer", SUMIFS('Data For Calculation - Insuranc'!I:I,'Data For Calculation - Insuranc'!$B:$B,$A4,'Data For Calculation - Insuranc'!$H:$H,"Master Dealer")) + SUMIFS('Data For Calculation - Insuranc'!I:I,'Data For Calculation - Insuranc'!$A:$A,$A4,'Data For Calculation - Insuranc'!$H:$H,"Self")</f>
        <v>0</v>
      </c>
      <c r="BW4" s="33">
        <f>IF($CC4 = "Dealer", SUMIFS('Data For Calculation - Insuranc'!J:J,'Data For Calculation - Insuranc'!$B:$B,$A4,'Data For Calculation - Insuranc'!$H:$H,"Master Dealer")) + SUMIFS('Data For Calculation - Insuranc'!J:J,'Data For Calculation - Insuranc'!$A:$A,$A4,'Data For Calculation - Insuranc'!$H:$H,"Self")</f>
        <v>0</v>
      </c>
      <c r="BX4" s="33">
        <f>IF($CC4 = "Dealer", SUMIFS('Data For Calculation - Insuranc'!K:K,'Data For Calculation - Insuranc'!$B:$B,$A4,'Data For Calculation - Insuranc'!$H:$H,"Master Dealer")) + SUMIFS('Data For Calculation - Insuranc'!K:K,'Data For Calculation - Insuranc'!$A:$A,$A4,'Data For Calculation - Insuranc'!$H:$H,"Self")</f>
        <v>0</v>
      </c>
      <c r="BY4" s="25" t="str">
        <f>(Sheet1!N4)</f>
        <v>Jain Motorcycle Company</v>
      </c>
      <c r="BZ4" s="25" t="str">
        <f>(Sheet1!O4)</f>
        <v>184Y3L-ZLT7vcLiFDItIcLa-18phpzEbgBCBDgt_LGCQ</v>
      </c>
      <c r="CA4" s="25" t="str">
        <f>(Sheet1!AV4)</f>
        <v/>
      </c>
      <c r="CB4" s="25" t="str">
        <f>(Sheet1!AW4)</f>
        <v/>
      </c>
      <c r="CC4" s="26" t="str">
        <f>(Sheet1!P4)</f>
        <v>Dealer</v>
      </c>
    </row>
    <row r="5">
      <c r="A5" s="25" t="str">
        <f>(Sheet1!A5)</f>
        <v>1NdxdE379VcEgyTXyFtYxSA9RX1kAZOR0rPt76NDuLUw</v>
      </c>
      <c r="B5" s="25" t="str">
        <f>(Sheet1!B5)</f>
        <v>Solitaire Automotive</v>
      </c>
      <c r="C5" s="30" t="str">
        <f>Sheet1!BB5</f>
        <v>No</v>
      </c>
      <c r="D5" s="30" t="s">
        <v>13</v>
      </c>
      <c r="E5" s="34" t="s">
        <v>13</v>
      </c>
      <c r="F5" s="30" t="s">
        <v>3817</v>
      </c>
      <c r="G5" s="31">
        <v>290.0</v>
      </c>
      <c r="H5" s="34" t="s">
        <v>3853</v>
      </c>
      <c r="I5" s="34">
        <v>0.0</v>
      </c>
      <c r="J5" s="34">
        <v>100.0</v>
      </c>
      <c r="K5" s="34">
        <v>0.0</v>
      </c>
      <c r="L5" s="34">
        <v>0.0</v>
      </c>
      <c r="M5" s="33">
        <f>COUNTIFS('Data For Calculation - Insuranc'!A:A,A5,'Data For Calculation - Insuranc'!E:E,"CPA + RSA")</f>
        <v>0</v>
      </c>
      <c r="N5" s="30" t="s">
        <v>3817</v>
      </c>
      <c r="O5" s="31">
        <v>460.0</v>
      </c>
      <c r="P5" s="34" t="s">
        <v>3853</v>
      </c>
      <c r="Q5" s="34">
        <v>0.0</v>
      </c>
      <c r="R5" s="34">
        <v>100.0</v>
      </c>
      <c r="S5" s="34">
        <v>0.0</v>
      </c>
      <c r="T5" s="34">
        <v>0.0</v>
      </c>
      <c r="U5" s="33">
        <f>COUNTIFS('Data For Calculation - Insuranc'!A:A,A5,'Data For Calculation - Insuranc'!E:E,"CPA + RSA + AHDC + DOC")</f>
        <v>0</v>
      </c>
      <c r="V5" s="30" t="s">
        <v>3817</v>
      </c>
      <c r="W5" s="34">
        <v>838.99</v>
      </c>
      <c r="X5" s="34" t="s">
        <v>3853</v>
      </c>
      <c r="Y5" s="34">
        <v>0.0</v>
      </c>
      <c r="Z5" s="34">
        <v>100.0</v>
      </c>
      <c r="AA5" s="34">
        <v>0.0</v>
      </c>
      <c r="AB5" s="34">
        <v>0.0</v>
      </c>
      <c r="AC5" s="33">
        <f>COUNTIFS('Data For Calculation - Insuranc'!A:A,A5,'Data For Calculation - Insuranc'!E:E,"CPA + RSA : 5 Years")</f>
        <v>0</v>
      </c>
      <c r="AD5" s="30" t="s">
        <v>3817</v>
      </c>
      <c r="AE5" s="31">
        <v>838.99</v>
      </c>
      <c r="AF5" s="34" t="s">
        <v>3853</v>
      </c>
      <c r="AG5" s="34">
        <v>0.0</v>
      </c>
      <c r="AH5" s="34">
        <v>100.0</v>
      </c>
      <c r="AI5" s="34">
        <v>0.0</v>
      </c>
      <c r="AJ5" s="34">
        <v>0.0</v>
      </c>
      <c r="AK5" s="33">
        <f>COUNTIFS('Data For Calculation - Insuranc'!A:A,A5,'Data For Calculation - Insuranc'!E:E,"Assistance + CPA : 5 Years")</f>
        <v>0</v>
      </c>
      <c r="AL5" s="30" t="s">
        <v>3817</v>
      </c>
      <c r="AM5" s="31">
        <v>290.0</v>
      </c>
      <c r="AN5" s="34" t="s">
        <v>3853</v>
      </c>
      <c r="AO5" s="34">
        <v>0.0</v>
      </c>
      <c r="AP5" s="34">
        <v>100.0</v>
      </c>
      <c r="AQ5" s="34">
        <v>0.0</v>
      </c>
      <c r="AR5" s="34">
        <v>0.0</v>
      </c>
      <c r="AS5" s="33">
        <f>COUNTIFS('Data For Calculation - Insuranc'!A:A,A5,'Data For Calculation - Insuranc'!E:E,"RSA + AHDC + DOC")</f>
        <v>0</v>
      </c>
      <c r="AT5" s="33"/>
      <c r="AU5" s="33"/>
      <c r="AV5" s="33"/>
      <c r="AW5" s="33"/>
      <c r="AX5" s="33"/>
      <c r="AY5" s="33"/>
      <c r="AZ5" s="33"/>
      <c r="BA5" s="33"/>
      <c r="BB5" s="33"/>
      <c r="BC5" s="33"/>
      <c r="BD5" s="33"/>
      <c r="BE5" s="33"/>
      <c r="BF5" s="33"/>
      <c r="BG5" s="33"/>
      <c r="BH5" s="33"/>
      <c r="BI5" s="33"/>
      <c r="BJ5" s="33"/>
      <c r="BK5" s="33"/>
      <c r="BL5" s="33"/>
      <c r="BM5" s="33"/>
      <c r="BN5" s="33"/>
      <c r="BO5" s="33"/>
      <c r="BP5" s="33"/>
      <c r="BQ5" s="33"/>
      <c r="BR5" s="33">
        <f t="shared" si="1"/>
        <v>0</v>
      </c>
      <c r="BS5" s="33">
        <f>SUMIFS('Data For Calculation - Insuranc'!I:I,'Data For Calculation - Insuranc'!$A:$A,$A5)</f>
        <v>0</v>
      </c>
      <c r="BT5" s="33">
        <f>SUMIFS('Data For Calculation - Insuranc'!J:J,'Data For Calculation - Insuranc'!$A:$A,$A5)</f>
        <v>0</v>
      </c>
      <c r="BU5" s="33">
        <f>SUMIFS('Data For Calculation - Insuranc'!K:K,'Data For Calculation - Insuranc'!$A:$A,$A5)</f>
        <v>0</v>
      </c>
      <c r="BV5" s="33">
        <f>IF($CC5 = "Dealer", SUMIFS('Data For Calculation - Insuranc'!I:I,'Data For Calculation - Insuranc'!$B:$B,$A5,'Data For Calculation - Insuranc'!$H:$H,"Master Dealer")) + SUMIFS('Data For Calculation - Insuranc'!I:I,'Data For Calculation - Insuranc'!$A:$A,$A5,'Data For Calculation - Insuranc'!$H:$H,"Self")</f>
        <v>0</v>
      </c>
      <c r="BW5" s="33">
        <f>IF($CC5 = "Dealer", SUMIFS('Data For Calculation - Insuranc'!J:J,'Data For Calculation - Insuranc'!$B:$B,$A5,'Data For Calculation - Insuranc'!$H:$H,"Master Dealer")) + SUMIFS('Data For Calculation - Insuranc'!J:J,'Data For Calculation - Insuranc'!$A:$A,$A5,'Data For Calculation - Insuranc'!$H:$H,"Self")</f>
        <v>0</v>
      </c>
      <c r="BX5" s="33">
        <f>IF($CC5 = "Dealer", SUMIFS('Data For Calculation - Insuranc'!K:K,'Data For Calculation - Insuranc'!$B:$B,$A5,'Data For Calculation - Insuranc'!$H:$H,"Master Dealer")) + SUMIFS('Data For Calculation - Insuranc'!K:K,'Data For Calculation - Insuranc'!$A:$A,$A5,'Data For Calculation - Insuranc'!$H:$H,"Self")</f>
        <v>0</v>
      </c>
      <c r="BY5" s="25" t="str">
        <f>(Sheet1!N5)</f>
        <v>Solitaire Automotive</v>
      </c>
      <c r="BZ5" s="25" t="str">
        <f>(Sheet1!O5)</f>
        <v>1NdxdE379VcEgyTXyFtYxSA9RX1kAZOR0rPt76NDuLUw</v>
      </c>
      <c r="CA5" s="25" t="str">
        <f>(Sheet1!AV5)</f>
        <v/>
      </c>
      <c r="CB5" s="25" t="str">
        <f>(Sheet1!AW5)</f>
        <v/>
      </c>
      <c r="CC5" s="26" t="str">
        <f>(Sheet1!P5)</f>
        <v>Dealer</v>
      </c>
    </row>
    <row r="6">
      <c r="A6" s="25" t="str">
        <f>(Sheet1!A6)</f>
        <v>1gG6109tt997RZ0RZOh_BNdEtAIOwUW8ggEowedu-6Ck</v>
      </c>
      <c r="B6" s="25" t="str">
        <f>(Sheet1!B6)</f>
        <v>Asco Motors</v>
      </c>
      <c r="C6" s="30" t="str">
        <f>Sheet1!BB6</f>
        <v>No</v>
      </c>
      <c r="D6" s="30" t="s">
        <v>13</v>
      </c>
      <c r="E6" s="34" t="s">
        <v>13</v>
      </c>
      <c r="F6" s="30" t="s">
        <v>3817</v>
      </c>
      <c r="G6" s="31">
        <v>290.0</v>
      </c>
      <c r="H6" s="34" t="s">
        <v>3853</v>
      </c>
      <c r="I6" s="34">
        <v>0.0</v>
      </c>
      <c r="J6" s="34">
        <v>100.0</v>
      </c>
      <c r="K6" s="34">
        <v>0.0</v>
      </c>
      <c r="L6" s="34">
        <v>0.0</v>
      </c>
      <c r="M6" s="33">
        <f>COUNTIFS('Data For Calculation - Insuranc'!A:A,A6,'Data For Calculation - Insuranc'!E:E,"CPA + RSA")</f>
        <v>0</v>
      </c>
      <c r="N6" s="30" t="s">
        <v>3817</v>
      </c>
      <c r="O6" s="31">
        <v>460.0</v>
      </c>
      <c r="P6" s="34" t="s">
        <v>3853</v>
      </c>
      <c r="Q6" s="34">
        <v>0.0</v>
      </c>
      <c r="R6" s="34">
        <v>100.0</v>
      </c>
      <c r="S6" s="34">
        <v>0.0</v>
      </c>
      <c r="T6" s="34">
        <v>0.0</v>
      </c>
      <c r="U6" s="33">
        <f>COUNTIFS('Data For Calculation - Insuranc'!A:A,A6,'Data For Calculation - Insuranc'!E:E,"CPA + RSA + AHDC + DOC")</f>
        <v>0</v>
      </c>
      <c r="V6" s="30" t="s">
        <v>3817</v>
      </c>
      <c r="W6" s="34">
        <v>838.99</v>
      </c>
      <c r="X6" s="34" t="s">
        <v>3853</v>
      </c>
      <c r="Y6" s="34">
        <v>0.0</v>
      </c>
      <c r="Z6" s="34">
        <v>100.0</v>
      </c>
      <c r="AA6" s="34">
        <v>0.0</v>
      </c>
      <c r="AB6" s="34">
        <v>0.0</v>
      </c>
      <c r="AC6" s="33">
        <f>COUNTIFS('Data For Calculation - Insuranc'!A:A,A6,'Data For Calculation - Insuranc'!E:E,"CPA + RSA : 5 Years")</f>
        <v>0</v>
      </c>
      <c r="AD6" s="30" t="s">
        <v>3817</v>
      </c>
      <c r="AE6" s="31">
        <v>838.99</v>
      </c>
      <c r="AF6" s="34" t="s">
        <v>3853</v>
      </c>
      <c r="AG6" s="34">
        <v>0.0</v>
      </c>
      <c r="AH6" s="34">
        <v>100.0</v>
      </c>
      <c r="AI6" s="34">
        <v>0.0</v>
      </c>
      <c r="AJ6" s="34">
        <v>0.0</v>
      </c>
      <c r="AK6" s="33">
        <f>COUNTIFS('Data For Calculation - Insuranc'!A:A,A6,'Data For Calculation - Insuranc'!E:E,"Assistance + CPA : 5 Years")</f>
        <v>0</v>
      </c>
      <c r="AL6" s="30" t="s">
        <v>3817</v>
      </c>
      <c r="AM6" s="31">
        <v>290.0</v>
      </c>
      <c r="AN6" s="34" t="s">
        <v>3853</v>
      </c>
      <c r="AO6" s="34">
        <v>0.0</v>
      </c>
      <c r="AP6" s="34">
        <v>100.0</v>
      </c>
      <c r="AQ6" s="34">
        <v>0.0</v>
      </c>
      <c r="AR6" s="34">
        <v>0.0</v>
      </c>
      <c r="AS6" s="33">
        <f>COUNTIFS('Data For Calculation - Insuranc'!A:A,A6,'Data For Calculation - Insuranc'!E:E,"RSA + AHDC + DOC")</f>
        <v>0</v>
      </c>
      <c r="AT6" s="33"/>
      <c r="AU6" s="33"/>
      <c r="AV6" s="33"/>
      <c r="AW6" s="33"/>
      <c r="AX6" s="33"/>
      <c r="AY6" s="33"/>
      <c r="AZ6" s="33"/>
      <c r="BA6" s="33"/>
      <c r="BB6" s="33"/>
      <c r="BC6" s="33"/>
      <c r="BD6" s="33"/>
      <c r="BE6" s="33"/>
      <c r="BF6" s="33"/>
      <c r="BG6" s="33"/>
      <c r="BH6" s="33"/>
      <c r="BI6" s="33"/>
      <c r="BJ6" s="33"/>
      <c r="BK6" s="33"/>
      <c r="BL6" s="33"/>
      <c r="BM6" s="33"/>
      <c r="BN6" s="33"/>
      <c r="BO6" s="33"/>
      <c r="BP6" s="33"/>
      <c r="BQ6" s="33"/>
      <c r="BR6" s="33">
        <f t="shared" si="1"/>
        <v>0</v>
      </c>
      <c r="BS6" s="33">
        <f>SUMIFS('Data For Calculation - Insuranc'!I:I,'Data For Calculation - Insuranc'!$A:$A,$A6)</f>
        <v>0</v>
      </c>
      <c r="BT6" s="33">
        <f>SUMIFS('Data For Calculation - Insuranc'!J:J,'Data For Calculation - Insuranc'!$A:$A,$A6)</f>
        <v>0</v>
      </c>
      <c r="BU6" s="33">
        <f>SUMIFS('Data For Calculation - Insuranc'!K:K,'Data For Calculation - Insuranc'!$A:$A,$A6)</f>
        <v>0</v>
      </c>
      <c r="BV6" s="33">
        <f>IF($CC6 = "Dealer", SUMIFS('Data For Calculation - Insuranc'!I:I,'Data For Calculation - Insuranc'!$B:$B,$A6,'Data For Calculation - Insuranc'!$H:$H,"Master Dealer")) + SUMIFS('Data For Calculation - Insuranc'!I:I,'Data For Calculation - Insuranc'!$A:$A,$A6,'Data For Calculation - Insuranc'!$H:$H,"Self")</f>
        <v>0</v>
      </c>
      <c r="BW6" s="33">
        <f>IF($CC6 = "Dealer", SUMIFS('Data For Calculation - Insuranc'!J:J,'Data For Calculation - Insuranc'!$B:$B,$A6,'Data For Calculation - Insuranc'!$H:$H,"Master Dealer")) + SUMIFS('Data For Calculation - Insuranc'!J:J,'Data For Calculation - Insuranc'!$A:$A,$A6,'Data For Calculation - Insuranc'!$H:$H,"Self")</f>
        <v>0</v>
      </c>
      <c r="BX6" s="33">
        <f>IF($CC6 = "Dealer", SUMIFS('Data For Calculation - Insuranc'!K:K,'Data For Calculation - Insuranc'!$B:$B,$A6,'Data For Calculation - Insuranc'!$H:$H,"Master Dealer")) + SUMIFS('Data For Calculation - Insuranc'!K:K,'Data For Calculation - Insuranc'!$A:$A,$A6,'Data For Calculation - Insuranc'!$H:$H,"Self")</f>
        <v>0</v>
      </c>
      <c r="BY6" s="25" t="str">
        <f>(Sheet1!N6)</f>
        <v>Asco Motors</v>
      </c>
      <c r="BZ6" s="25" t="str">
        <f>(Sheet1!O6)</f>
        <v>1gG6109tt997RZ0RZOh_BNdEtAIOwUW8ggEowedu-6Ck</v>
      </c>
      <c r="CA6" s="25" t="str">
        <f>(Sheet1!AV6)</f>
        <v/>
      </c>
      <c r="CB6" s="25" t="str">
        <f>(Sheet1!AW6)</f>
        <v/>
      </c>
      <c r="CC6" s="26" t="str">
        <f>(Sheet1!P6)</f>
        <v>Dealer</v>
      </c>
    </row>
    <row r="7">
      <c r="A7" s="25" t="str">
        <f>(Sheet1!A7)</f>
        <v>1944RLX7T1M23YXRXYoMnJ6nD_bKLldQXRpFRA0rDLvg</v>
      </c>
      <c r="B7" s="25" t="str">
        <f>(Sheet1!B7)</f>
        <v>Vikas Autowheels</v>
      </c>
      <c r="C7" s="30" t="str">
        <f>Sheet1!BB7</f>
        <v>No</v>
      </c>
      <c r="D7" s="30" t="s">
        <v>13</v>
      </c>
      <c r="E7" s="34" t="s">
        <v>13</v>
      </c>
      <c r="F7" s="30" t="s">
        <v>3820</v>
      </c>
      <c r="G7" s="31">
        <v>170.0</v>
      </c>
      <c r="H7" s="34" t="s">
        <v>3853</v>
      </c>
      <c r="I7" s="34">
        <v>0.0</v>
      </c>
      <c r="J7" s="34">
        <v>100.0</v>
      </c>
      <c r="K7" s="34">
        <v>0.0</v>
      </c>
      <c r="L7" s="34">
        <v>0.0</v>
      </c>
      <c r="M7" s="33">
        <f>COUNTIFS('Data For Calculation - Insuranc'!A:A,A7,'Data For Calculation - Insuranc'!E:E,"CPA + RSA")</f>
        <v>0</v>
      </c>
      <c r="N7" s="30" t="s">
        <v>3820</v>
      </c>
      <c r="O7" s="31">
        <v>170.0</v>
      </c>
      <c r="P7" s="34" t="s">
        <v>3853</v>
      </c>
      <c r="Q7" s="34">
        <v>0.0</v>
      </c>
      <c r="R7" s="34">
        <v>100.0</v>
      </c>
      <c r="S7" s="34">
        <v>0.0</v>
      </c>
      <c r="T7" s="34">
        <v>0.0</v>
      </c>
      <c r="U7" s="33">
        <f>COUNTIFS('Data For Calculation - Insuranc'!A:A,A7,'Data For Calculation - Insuranc'!E:E,"CPA + RSA + AHDC + DOC")</f>
        <v>0</v>
      </c>
      <c r="V7" s="30" t="s">
        <v>3820</v>
      </c>
      <c r="W7" s="34">
        <v>838.99</v>
      </c>
      <c r="X7" s="34" t="s">
        <v>3853</v>
      </c>
      <c r="Y7" s="34">
        <v>0.0</v>
      </c>
      <c r="Z7" s="34">
        <v>100.0</v>
      </c>
      <c r="AA7" s="34">
        <v>0.0</v>
      </c>
      <c r="AB7" s="34">
        <v>0.0</v>
      </c>
      <c r="AC7" s="33">
        <f>COUNTIFS('Data For Calculation - Insuranc'!A:A,A7,'Data For Calculation - Insuranc'!E:E,"CPA + RSA : 5 Years")</f>
        <v>0</v>
      </c>
      <c r="AD7" s="30" t="s">
        <v>3820</v>
      </c>
      <c r="AE7" s="31">
        <v>838.99</v>
      </c>
      <c r="AF7" s="34" t="s">
        <v>3853</v>
      </c>
      <c r="AG7" s="34">
        <v>0.0</v>
      </c>
      <c r="AH7" s="34">
        <v>100.0</v>
      </c>
      <c r="AI7" s="34">
        <v>0.0</v>
      </c>
      <c r="AJ7" s="34">
        <v>0.0</v>
      </c>
      <c r="AK7" s="33">
        <f>COUNTIFS('Data For Calculation - Insuranc'!A:A,A7,'Data For Calculation - Insuranc'!E:E,"Assistance + CPA : 5 Years")</f>
        <v>0</v>
      </c>
      <c r="AL7" s="30" t="s">
        <v>3820</v>
      </c>
      <c r="AM7" s="31">
        <v>290.0</v>
      </c>
      <c r="AN7" s="34" t="s">
        <v>3853</v>
      </c>
      <c r="AO7" s="34">
        <v>0.0</v>
      </c>
      <c r="AP7" s="34">
        <v>100.0</v>
      </c>
      <c r="AQ7" s="34">
        <v>0.0</v>
      </c>
      <c r="AR7" s="34">
        <v>0.0</v>
      </c>
      <c r="AS7" s="33">
        <f>COUNTIFS('Data For Calculation - Insuranc'!A:A,A7,'Data For Calculation - Insuranc'!E:E,"RSA + AHDC + DOC")</f>
        <v>0</v>
      </c>
      <c r="AT7" s="33"/>
      <c r="AU7" s="33"/>
      <c r="AV7" s="33"/>
      <c r="AW7" s="33"/>
      <c r="AX7" s="33"/>
      <c r="AY7" s="33"/>
      <c r="AZ7" s="33"/>
      <c r="BA7" s="33"/>
      <c r="BB7" s="33"/>
      <c r="BC7" s="33"/>
      <c r="BD7" s="33"/>
      <c r="BE7" s="33"/>
      <c r="BF7" s="33"/>
      <c r="BG7" s="33"/>
      <c r="BH7" s="33"/>
      <c r="BI7" s="33"/>
      <c r="BJ7" s="33"/>
      <c r="BK7" s="33"/>
      <c r="BL7" s="33"/>
      <c r="BM7" s="33"/>
      <c r="BN7" s="33"/>
      <c r="BO7" s="33"/>
      <c r="BP7" s="33"/>
      <c r="BQ7" s="33"/>
      <c r="BR7" s="33">
        <f t="shared" si="1"/>
        <v>0</v>
      </c>
      <c r="BS7" s="33">
        <f>SUMIFS('Data For Calculation - Insuranc'!I:I,'Data For Calculation - Insuranc'!$A:$A,$A7)</f>
        <v>0</v>
      </c>
      <c r="BT7" s="33">
        <f>SUMIFS('Data For Calculation - Insuranc'!J:J,'Data For Calculation - Insuranc'!$A:$A,$A7)</f>
        <v>0</v>
      </c>
      <c r="BU7" s="33">
        <f>SUMIFS('Data For Calculation - Insuranc'!K:K,'Data For Calculation - Insuranc'!$A:$A,$A7)</f>
        <v>0</v>
      </c>
      <c r="BV7" s="33">
        <f>IF($CC7 = "Dealer", SUMIFS('Data For Calculation - Insuranc'!I:I,'Data For Calculation - Insuranc'!$B:$B,$A7,'Data For Calculation - Insuranc'!$H:$H,"Master Dealer")) + SUMIFS('Data For Calculation - Insuranc'!I:I,'Data For Calculation - Insuranc'!$A:$A,$A7,'Data For Calculation - Insuranc'!$H:$H,"Self")</f>
        <v>0</v>
      </c>
      <c r="BW7" s="33">
        <f>IF($CC7 = "Dealer", SUMIFS('Data For Calculation - Insuranc'!J:J,'Data For Calculation - Insuranc'!$B:$B,$A7,'Data For Calculation - Insuranc'!$H:$H,"Master Dealer")) + SUMIFS('Data For Calculation - Insuranc'!J:J,'Data For Calculation - Insuranc'!$A:$A,$A7,'Data For Calculation - Insuranc'!$H:$H,"Self")</f>
        <v>0</v>
      </c>
      <c r="BX7" s="33">
        <f>IF($CC7 = "Dealer", SUMIFS('Data For Calculation - Insuranc'!K:K,'Data For Calculation - Insuranc'!$B:$B,$A7,'Data For Calculation - Insuranc'!$H:$H,"Master Dealer")) + SUMIFS('Data For Calculation - Insuranc'!K:K,'Data For Calculation - Insuranc'!$A:$A,$A7,'Data For Calculation - Insuranc'!$H:$H,"Self")</f>
        <v>0</v>
      </c>
      <c r="BY7" s="25" t="str">
        <f>(Sheet1!N7)</f>
        <v>Vikas Autowheels</v>
      </c>
      <c r="BZ7" s="25" t="str">
        <f>(Sheet1!O7)</f>
        <v>1944RLX7T1M23YXRXYoMnJ6nD_bKLldQXRpFRA0rDLvg</v>
      </c>
      <c r="CA7" s="25" t="str">
        <f>(Sheet1!AV7)</f>
        <v/>
      </c>
      <c r="CB7" s="25" t="str">
        <f>(Sheet1!AW7)</f>
        <v/>
      </c>
      <c r="CC7" s="26" t="str">
        <f>(Sheet1!P7)</f>
        <v>Dealer</v>
      </c>
    </row>
    <row r="8">
      <c r="A8" s="25" t="str">
        <f>(Sheet1!A8)</f>
        <v>150xD2ZWlv_NqqijpFlWWgIoGhpbdGM3zmaQdQAd1q5M</v>
      </c>
      <c r="B8" s="25" t="str">
        <f>(Sheet1!B8)</f>
        <v>Singla Automobiles (Main Branch)</v>
      </c>
      <c r="C8" s="30" t="str">
        <f>Sheet1!BB8</f>
        <v>Yes</v>
      </c>
      <c r="D8" s="30" t="s">
        <v>13</v>
      </c>
      <c r="E8" s="34" t="s">
        <v>13</v>
      </c>
      <c r="F8" s="30" t="s">
        <v>3820</v>
      </c>
      <c r="G8" s="31">
        <v>290.0</v>
      </c>
      <c r="H8" s="34" t="s">
        <v>3853</v>
      </c>
      <c r="I8" s="34">
        <v>0.0</v>
      </c>
      <c r="J8" s="34">
        <v>100.0</v>
      </c>
      <c r="K8" s="34">
        <v>0.0</v>
      </c>
      <c r="L8" s="34">
        <v>0.0</v>
      </c>
      <c r="M8" s="33">
        <f>COUNTIFS('Data For Calculation - Insuranc'!A:A,A8,'Data For Calculation - Insuranc'!E:E,"CPA + RSA")</f>
        <v>0</v>
      </c>
      <c r="N8" s="30" t="s">
        <v>3854</v>
      </c>
      <c r="O8" s="31">
        <v>100.0</v>
      </c>
      <c r="P8" s="34" t="s">
        <v>3855</v>
      </c>
      <c r="Q8" s="34">
        <v>2000.0</v>
      </c>
      <c r="R8" s="34">
        <v>100.0</v>
      </c>
      <c r="S8" s="34">
        <v>0.0</v>
      </c>
      <c r="T8" s="34">
        <v>0.0</v>
      </c>
      <c r="U8" s="33">
        <f>COUNTIFS('Data For Calculation - Insuranc'!A:A,A8,'Data For Calculation - Insuranc'!E:E,"CPA + RSA + AHDC + DOC")</f>
        <v>0</v>
      </c>
      <c r="V8" s="30" t="s">
        <v>3856</v>
      </c>
      <c r="W8" s="34">
        <v>838.99</v>
      </c>
      <c r="X8" s="34" t="s">
        <v>3853</v>
      </c>
      <c r="Y8" s="34">
        <v>0.0</v>
      </c>
      <c r="Z8" s="34">
        <v>100.0</v>
      </c>
      <c r="AA8" s="34">
        <v>0.0</v>
      </c>
      <c r="AB8" s="34">
        <v>0.0</v>
      </c>
      <c r="AC8" s="33">
        <f>COUNTIFS('Data For Calculation - Insuranc'!A:A,A8,'Data For Calculation - Insuranc'!E:E,"CPA + RSA : 5 Years")</f>
        <v>0</v>
      </c>
      <c r="AD8" s="30" t="s">
        <v>3856</v>
      </c>
      <c r="AE8" s="31">
        <v>838.99</v>
      </c>
      <c r="AF8" s="34" t="s">
        <v>3853</v>
      </c>
      <c r="AG8" s="34">
        <v>0.0</v>
      </c>
      <c r="AH8" s="34">
        <v>100.0</v>
      </c>
      <c r="AI8" s="34">
        <v>0.0</v>
      </c>
      <c r="AJ8" s="34">
        <v>0.0</v>
      </c>
      <c r="AK8" s="33">
        <f>COUNTIFS('Data For Calculation - Insuranc'!A:A,A8,'Data For Calculation - Insuranc'!E:E,"Assistance + CPA : 5 Years")</f>
        <v>0</v>
      </c>
      <c r="AL8" s="30" t="s">
        <v>3854</v>
      </c>
      <c r="AM8" s="31">
        <v>100.0</v>
      </c>
      <c r="AN8" s="34" t="s">
        <v>3855</v>
      </c>
      <c r="AO8" s="34">
        <v>2000.0</v>
      </c>
      <c r="AP8" s="34">
        <v>100.0</v>
      </c>
      <c r="AQ8" s="34">
        <v>0.0</v>
      </c>
      <c r="AR8" s="34">
        <v>0.0</v>
      </c>
      <c r="AS8" s="33">
        <f>COUNTIFS('Data For Calculation - Insuranc'!A:A,A8,'Data For Calculation - Insuranc'!E:E,"RSA + AHDC + DOC")</f>
        <v>0</v>
      </c>
      <c r="AT8" s="33"/>
      <c r="AU8" s="33"/>
      <c r="AV8" s="33"/>
      <c r="AW8" s="33"/>
      <c r="AX8" s="33"/>
      <c r="AY8" s="33"/>
      <c r="AZ8" s="33"/>
      <c r="BA8" s="33"/>
      <c r="BB8" s="33"/>
      <c r="BC8" s="33"/>
      <c r="BD8" s="33"/>
      <c r="BE8" s="33"/>
      <c r="BF8" s="33"/>
      <c r="BG8" s="33"/>
      <c r="BH8" s="33"/>
      <c r="BI8" s="33"/>
      <c r="BJ8" s="33"/>
      <c r="BK8" s="33"/>
      <c r="BL8" s="33"/>
      <c r="BM8" s="33"/>
      <c r="BN8" s="33"/>
      <c r="BO8" s="33"/>
      <c r="BP8" s="33"/>
      <c r="BQ8" s="33"/>
      <c r="BR8" s="33">
        <f t="shared" si="1"/>
        <v>0</v>
      </c>
      <c r="BS8" s="33">
        <f>SUMIFS('Data For Calculation - Insuranc'!I:I,'Data For Calculation - Insuranc'!$A:$A,$A8)</f>
        <v>0</v>
      </c>
      <c r="BT8" s="33">
        <f>SUMIFS('Data For Calculation - Insuranc'!J:J,'Data For Calculation - Insuranc'!$A:$A,$A8)</f>
        <v>0</v>
      </c>
      <c r="BU8" s="33">
        <f>SUMIFS('Data For Calculation - Insuranc'!K:K,'Data For Calculation - Insuranc'!$A:$A,$A8)</f>
        <v>0</v>
      </c>
      <c r="BV8" s="33">
        <f>IF($CC8 = "Dealer", SUMIFS('Data For Calculation - Insuranc'!I:I,'Data For Calculation - Insuranc'!$B:$B,$A8,'Data For Calculation - Insuranc'!$H:$H,"Master Dealer")) + SUMIFS('Data For Calculation - Insuranc'!I:I,'Data For Calculation - Insuranc'!$A:$A,$A8,'Data For Calculation - Insuranc'!$H:$H,"Self")</f>
        <v>0</v>
      </c>
      <c r="BW8" s="33">
        <f>IF($CC8 = "Dealer", SUMIFS('Data For Calculation - Insuranc'!J:J,'Data For Calculation - Insuranc'!$B:$B,$A8,'Data For Calculation - Insuranc'!$H:$H,"Master Dealer")) + SUMIFS('Data For Calculation - Insuranc'!J:J,'Data For Calculation - Insuranc'!$A:$A,$A8,'Data For Calculation - Insuranc'!$H:$H,"Self")</f>
        <v>0</v>
      </c>
      <c r="BX8" s="33">
        <f>IF($CC8 = "Dealer", SUMIFS('Data For Calculation - Insuranc'!K:K,'Data For Calculation - Insuranc'!$B:$B,$A8,'Data For Calculation - Insuranc'!$H:$H,"Master Dealer")) + SUMIFS('Data For Calculation - Insuranc'!K:K,'Data For Calculation - Insuranc'!$A:$A,$A8,'Data For Calculation - Insuranc'!$H:$H,"Self")</f>
        <v>0</v>
      </c>
      <c r="BY8" s="25" t="str">
        <f>(Sheet1!N8)</f>
        <v>Singla Automobiles (Main Branch)</v>
      </c>
      <c r="BZ8" s="25" t="str">
        <f>(Sheet1!O8)</f>
        <v>150xD2ZWlv_NqqijpFlWWgIoGhpbdGM3zmaQdQAd1q5M</v>
      </c>
      <c r="CA8" s="25" t="str">
        <f>(Sheet1!AV8)</f>
        <v/>
      </c>
      <c r="CB8" s="25" t="str">
        <f>(Sheet1!AW8)</f>
        <v/>
      </c>
      <c r="CC8" s="26" t="str">
        <f>(Sheet1!P8)</f>
        <v>Dealer</v>
      </c>
    </row>
    <row r="9">
      <c r="A9" s="25" t="str">
        <f>(Sheet1!A9)</f>
        <v>1MWQVORKrBhvtNepdNE6EH-DkM2hXYvqfa0X-kEKcBAI</v>
      </c>
      <c r="B9" s="25" t="str">
        <f>(Sheet1!B9)</f>
        <v>Singla Automobiles (Rajapuri)</v>
      </c>
      <c r="C9" s="30" t="str">
        <f>Sheet1!BB9</f>
        <v>No</v>
      </c>
      <c r="D9" s="30" t="s">
        <v>13</v>
      </c>
      <c r="E9" s="34" t="s">
        <v>13</v>
      </c>
      <c r="F9" s="30" t="s">
        <v>3856</v>
      </c>
      <c r="G9" s="31">
        <v>290.0</v>
      </c>
      <c r="H9" s="34" t="s">
        <v>3853</v>
      </c>
      <c r="I9" s="34">
        <v>0.0</v>
      </c>
      <c r="J9" s="34">
        <v>100.0</v>
      </c>
      <c r="K9" s="34">
        <v>0.0</v>
      </c>
      <c r="L9" s="34">
        <v>0.0</v>
      </c>
      <c r="M9" s="33">
        <f>COUNTIFS('Data For Calculation - Insuranc'!A:A,A9,'Data For Calculation - Insuranc'!E:E,"CPA + RSA")</f>
        <v>0</v>
      </c>
      <c r="N9" s="30" t="s">
        <v>3856</v>
      </c>
      <c r="O9" s="31">
        <v>300.0</v>
      </c>
      <c r="P9" s="34" t="s">
        <v>3853</v>
      </c>
      <c r="Q9" s="34">
        <v>0.0</v>
      </c>
      <c r="R9" s="34">
        <v>100.0</v>
      </c>
      <c r="S9" s="34">
        <v>0.0</v>
      </c>
      <c r="T9" s="34">
        <v>0.0</v>
      </c>
      <c r="U9" s="33">
        <f>COUNTIFS('Data For Calculation - Insuranc'!A:A,A9,'Data For Calculation - Insuranc'!E:E,"CPA + RSA + AHDC + DOC")</f>
        <v>0</v>
      </c>
      <c r="V9" s="30" t="s">
        <v>3856</v>
      </c>
      <c r="W9" s="34">
        <v>838.99</v>
      </c>
      <c r="X9" s="34" t="s">
        <v>3853</v>
      </c>
      <c r="Y9" s="34">
        <v>0.0</v>
      </c>
      <c r="Z9" s="34">
        <v>100.0</v>
      </c>
      <c r="AA9" s="34">
        <v>0.0</v>
      </c>
      <c r="AB9" s="34">
        <v>0.0</v>
      </c>
      <c r="AC9" s="33">
        <f>COUNTIFS('Data For Calculation - Insuranc'!A:A,A9,'Data For Calculation - Insuranc'!E:E,"CPA + RSA : 5 Years")</f>
        <v>0</v>
      </c>
      <c r="AD9" s="30" t="s">
        <v>3856</v>
      </c>
      <c r="AE9" s="31">
        <v>838.99</v>
      </c>
      <c r="AF9" s="34" t="s">
        <v>3853</v>
      </c>
      <c r="AG9" s="34">
        <v>0.0</v>
      </c>
      <c r="AH9" s="34">
        <v>100.0</v>
      </c>
      <c r="AI9" s="34">
        <v>0.0</v>
      </c>
      <c r="AJ9" s="34">
        <v>0.0</v>
      </c>
      <c r="AK9" s="33">
        <f>COUNTIFS('Data For Calculation - Insuranc'!A:A,A9,'Data For Calculation - Insuranc'!E:E,"Assistance + CPA : 5 Years")</f>
        <v>0</v>
      </c>
      <c r="AL9" s="30" t="s">
        <v>3856</v>
      </c>
      <c r="AM9" s="31">
        <v>290.0</v>
      </c>
      <c r="AN9" s="34" t="s">
        <v>3853</v>
      </c>
      <c r="AO9" s="34">
        <v>0.0</v>
      </c>
      <c r="AP9" s="34">
        <v>100.0</v>
      </c>
      <c r="AQ9" s="34">
        <v>0.0</v>
      </c>
      <c r="AR9" s="34">
        <v>0.0</v>
      </c>
      <c r="AS9" s="33">
        <f>COUNTIFS('Data For Calculation - Insuranc'!A:A,A9,'Data For Calculation - Insuranc'!E:E,"RSA + AHDC + DOC")</f>
        <v>0</v>
      </c>
      <c r="AT9" s="33"/>
      <c r="AU9" s="33"/>
      <c r="AV9" s="33"/>
      <c r="AW9" s="33"/>
      <c r="AX9" s="33"/>
      <c r="AY9" s="33"/>
      <c r="AZ9" s="33"/>
      <c r="BA9" s="33"/>
      <c r="BB9" s="33"/>
      <c r="BC9" s="33"/>
      <c r="BD9" s="33"/>
      <c r="BE9" s="33"/>
      <c r="BF9" s="33"/>
      <c r="BG9" s="33"/>
      <c r="BH9" s="33"/>
      <c r="BI9" s="33"/>
      <c r="BJ9" s="33"/>
      <c r="BK9" s="33"/>
      <c r="BL9" s="33"/>
      <c r="BM9" s="33"/>
      <c r="BN9" s="33"/>
      <c r="BO9" s="33"/>
      <c r="BP9" s="33"/>
      <c r="BQ9" s="33"/>
      <c r="BR9" s="33">
        <f t="shared" si="1"/>
        <v>0</v>
      </c>
      <c r="BS9" s="33">
        <f>SUMIFS('Data For Calculation - Insuranc'!I:I,'Data For Calculation - Insuranc'!$A:$A,$A9)</f>
        <v>0</v>
      </c>
      <c r="BT9" s="33">
        <f>SUMIFS('Data For Calculation - Insuranc'!J:J,'Data For Calculation - Insuranc'!$A:$A,$A9)</f>
        <v>0</v>
      </c>
      <c r="BU9" s="33">
        <f>SUMIFS('Data For Calculation - Insuranc'!K:K,'Data For Calculation - Insuranc'!$A:$A,$A9)</f>
        <v>0</v>
      </c>
      <c r="BV9" s="33">
        <f>IF($CC9 = "Dealer", SUMIFS('Data For Calculation - Insuranc'!I:I,'Data For Calculation - Insuranc'!$B:$B,$A9,'Data For Calculation - Insuranc'!$H:$H,"Master Dealer")) + SUMIFS('Data For Calculation - Insuranc'!I:I,'Data For Calculation - Insuranc'!$A:$A,$A9,'Data For Calculation - Insuranc'!$H:$H,"Self")</f>
        <v>0</v>
      </c>
      <c r="BW9" s="33">
        <f>IF($CC9 = "Dealer", SUMIFS('Data For Calculation - Insuranc'!J:J,'Data For Calculation - Insuranc'!$B:$B,$A9,'Data For Calculation - Insuranc'!$H:$H,"Master Dealer")) + SUMIFS('Data For Calculation - Insuranc'!J:J,'Data For Calculation - Insuranc'!$A:$A,$A9,'Data For Calculation - Insuranc'!$H:$H,"Self")</f>
        <v>0</v>
      </c>
      <c r="BX9" s="33">
        <f>IF($CC9 = "Dealer", SUMIFS('Data For Calculation - Insuranc'!K:K,'Data For Calculation - Insuranc'!$B:$B,$A9,'Data For Calculation - Insuranc'!$H:$H,"Master Dealer")) + SUMIFS('Data For Calculation - Insuranc'!K:K,'Data For Calculation - Insuranc'!$A:$A,$A9,'Data For Calculation - Insuranc'!$H:$H,"Self")</f>
        <v>0</v>
      </c>
      <c r="BY9" s="25" t="str">
        <f>(Sheet1!N9)</f>
        <v>Singla Automobiles (Main Branch)</v>
      </c>
      <c r="BZ9" s="25" t="str">
        <f>(Sheet1!O9)</f>
        <v>150xD2ZWlv_NqqijpFlWWgIoGhpbdGM3zmaQdQAd1q5M</v>
      </c>
      <c r="CA9" s="25" t="str">
        <f>(Sheet1!AV9)</f>
        <v/>
      </c>
      <c r="CB9" s="25" t="str">
        <f>(Sheet1!AW9)</f>
        <v/>
      </c>
      <c r="CC9" s="26" t="str">
        <f>(Sheet1!P9)</f>
        <v>Sub Dealer</v>
      </c>
    </row>
    <row r="10">
      <c r="A10" s="25" t="str">
        <f>(Sheet1!A10)</f>
        <v>1K2kmTdQ29RE0odqH86t0j8wUvDVWe7UFRs_xfvl5r94</v>
      </c>
      <c r="B10" s="25" t="str">
        <f>(Sheet1!B10)</f>
        <v>Singla Automobiles (C1)</v>
      </c>
      <c r="C10" s="30" t="str">
        <f>Sheet1!BB10</f>
        <v>No</v>
      </c>
      <c r="D10" s="30" t="s">
        <v>13</v>
      </c>
      <c r="E10" s="34" t="s">
        <v>13</v>
      </c>
      <c r="F10" s="30" t="s">
        <v>3856</v>
      </c>
      <c r="G10" s="31">
        <v>290.0</v>
      </c>
      <c r="H10" s="34" t="s">
        <v>3853</v>
      </c>
      <c r="I10" s="34">
        <v>0.0</v>
      </c>
      <c r="J10" s="34">
        <v>100.0</v>
      </c>
      <c r="K10" s="34">
        <v>0.0</v>
      </c>
      <c r="L10" s="34">
        <v>0.0</v>
      </c>
      <c r="M10" s="33">
        <f>COUNTIFS('Data For Calculation - Insuranc'!A:A,A10,'Data For Calculation - Insuranc'!E:E,"CPA + RSA")</f>
        <v>0</v>
      </c>
      <c r="N10" s="30" t="s">
        <v>3856</v>
      </c>
      <c r="O10" s="31">
        <v>300.0</v>
      </c>
      <c r="P10" s="34" t="s">
        <v>3853</v>
      </c>
      <c r="Q10" s="34">
        <v>0.0</v>
      </c>
      <c r="R10" s="34">
        <v>100.0</v>
      </c>
      <c r="S10" s="34">
        <v>0.0</v>
      </c>
      <c r="T10" s="34">
        <v>0.0</v>
      </c>
      <c r="U10" s="33">
        <f>COUNTIFS('Data For Calculation - Insuranc'!A:A,A10,'Data For Calculation - Insuranc'!E:E,"CPA + RSA + AHDC + DOC")</f>
        <v>0</v>
      </c>
      <c r="V10" s="30" t="s">
        <v>3856</v>
      </c>
      <c r="W10" s="34">
        <v>838.99</v>
      </c>
      <c r="X10" s="34" t="s">
        <v>3853</v>
      </c>
      <c r="Y10" s="34">
        <v>0.0</v>
      </c>
      <c r="Z10" s="34">
        <v>100.0</v>
      </c>
      <c r="AA10" s="34">
        <v>0.0</v>
      </c>
      <c r="AB10" s="34">
        <v>0.0</v>
      </c>
      <c r="AC10" s="33">
        <f>COUNTIFS('Data For Calculation - Insuranc'!A:A,A10,'Data For Calculation - Insuranc'!E:E,"CPA + RSA : 5 Years")</f>
        <v>0</v>
      </c>
      <c r="AD10" s="30" t="s">
        <v>3856</v>
      </c>
      <c r="AE10" s="31">
        <v>838.99</v>
      </c>
      <c r="AF10" s="34" t="s">
        <v>3853</v>
      </c>
      <c r="AG10" s="34">
        <v>0.0</v>
      </c>
      <c r="AH10" s="34">
        <v>100.0</v>
      </c>
      <c r="AI10" s="34">
        <v>0.0</v>
      </c>
      <c r="AJ10" s="34">
        <v>0.0</v>
      </c>
      <c r="AK10" s="33">
        <f>COUNTIFS('Data For Calculation - Insuranc'!A:A,A10,'Data For Calculation - Insuranc'!E:E,"Assistance + CPA : 5 Years")</f>
        <v>0</v>
      </c>
      <c r="AL10" s="30" t="s">
        <v>3856</v>
      </c>
      <c r="AM10" s="31">
        <v>290.0</v>
      </c>
      <c r="AN10" s="34" t="s">
        <v>3853</v>
      </c>
      <c r="AO10" s="34">
        <v>0.0</v>
      </c>
      <c r="AP10" s="34">
        <v>100.0</v>
      </c>
      <c r="AQ10" s="34">
        <v>0.0</v>
      </c>
      <c r="AR10" s="34">
        <v>0.0</v>
      </c>
      <c r="AS10" s="33">
        <f>COUNTIFS('Data For Calculation - Insuranc'!A:A,A10,'Data For Calculation - Insuranc'!E:E,"RSA + AHDC + DOC")</f>
        <v>0</v>
      </c>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f t="shared" si="1"/>
        <v>0</v>
      </c>
      <c r="BS10" s="33">
        <f>SUMIFS('Data For Calculation - Insuranc'!I:I,'Data For Calculation - Insuranc'!$A:$A,$A10)</f>
        <v>0</v>
      </c>
      <c r="BT10" s="33">
        <f>SUMIFS('Data For Calculation - Insuranc'!J:J,'Data For Calculation - Insuranc'!$A:$A,$A10)</f>
        <v>0</v>
      </c>
      <c r="BU10" s="33">
        <f>SUMIFS('Data For Calculation - Insuranc'!K:K,'Data For Calculation - Insuranc'!$A:$A,$A10)</f>
        <v>0</v>
      </c>
      <c r="BV10" s="33">
        <f>IF($CC10 = "Dealer", SUMIFS('Data For Calculation - Insuranc'!I:I,'Data For Calculation - Insuranc'!$B:$B,$A10,'Data For Calculation - Insuranc'!$H:$H,"Master Dealer")) + SUMIFS('Data For Calculation - Insuranc'!I:I,'Data For Calculation - Insuranc'!$A:$A,$A10,'Data For Calculation - Insuranc'!$H:$H,"Self")</f>
        <v>0</v>
      </c>
      <c r="BW10" s="33">
        <f>IF($CC10 = "Dealer", SUMIFS('Data For Calculation - Insuranc'!J:J,'Data For Calculation - Insuranc'!$B:$B,$A10,'Data For Calculation - Insuranc'!$H:$H,"Master Dealer")) + SUMIFS('Data For Calculation - Insuranc'!J:J,'Data For Calculation - Insuranc'!$A:$A,$A10,'Data For Calculation - Insuranc'!$H:$H,"Self")</f>
        <v>0</v>
      </c>
      <c r="BX10" s="33">
        <f>IF($CC10 = "Dealer", SUMIFS('Data For Calculation - Insuranc'!K:K,'Data For Calculation - Insuranc'!$B:$B,$A10,'Data For Calculation - Insuranc'!$H:$H,"Master Dealer")) + SUMIFS('Data For Calculation - Insuranc'!K:K,'Data For Calculation - Insuranc'!$A:$A,$A10,'Data For Calculation - Insuranc'!$H:$H,"Self")</f>
        <v>0</v>
      </c>
      <c r="BY10" s="25" t="str">
        <f>(Sheet1!N10)</f>
        <v>Singla Automobiles (Main Branch)</v>
      </c>
      <c r="BZ10" s="25" t="str">
        <f>(Sheet1!O10)</f>
        <v>150xD2ZWlv_NqqijpFlWWgIoGhpbdGM3zmaQdQAd1q5M</v>
      </c>
      <c r="CA10" s="25" t="str">
        <f>(Sheet1!AV10)</f>
        <v/>
      </c>
      <c r="CB10" s="25" t="str">
        <f>(Sheet1!AW10)</f>
        <v/>
      </c>
      <c r="CC10" s="26" t="str">
        <f>(Sheet1!P10)</f>
        <v>Sub Dealer</v>
      </c>
    </row>
    <row r="11">
      <c r="A11" s="25" t="str">
        <f>(Sheet1!A11)</f>
        <v>1z3Kb0ZM3b0cYxMw2eBE8FLNbVZCR8EGVeEjtQyPaoso</v>
      </c>
      <c r="B11" s="25" t="str">
        <f>(Sheet1!B11)</f>
        <v>Singla Automobiles (Samalka)</v>
      </c>
      <c r="C11" s="30" t="str">
        <f>Sheet1!BB11</f>
        <v>No</v>
      </c>
      <c r="D11" s="30" t="s">
        <v>13</v>
      </c>
      <c r="E11" s="34" t="s">
        <v>13</v>
      </c>
      <c r="F11" s="30" t="s">
        <v>3856</v>
      </c>
      <c r="G11" s="31">
        <v>290.0</v>
      </c>
      <c r="H11" s="34" t="s">
        <v>3853</v>
      </c>
      <c r="I11" s="34">
        <v>0.0</v>
      </c>
      <c r="J11" s="34">
        <v>100.0</v>
      </c>
      <c r="K11" s="34">
        <v>0.0</v>
      </c>
      <c r="L11" s="34">
        <v>0.0</v>
      </c>
      <c r="M11" s="33">
        <f>COUNTIFS('Data For Calculation - Insuranc'!A:A,A11,'Data For Calculation - Insuranc'!E:E,"CPA + RSA")</f>
        <v>0</v>
      </c>
      <c r="N11" s="30" t="s">
        <v>3856</v>
      </c>
      <c r="O11" s="31">
        <v>300.0</v>
      </c>
      <c r="P11" s="34" t="s">
        <v>3853</v>
      </c>
      <c r="Q11" s="34">
        <v>0.0</v>
      </c>
      <c r="R11" s="34">
        <v>100.0</v>
      </c>
      <c r="S11" s="34">
        <v>0.0</v>
      </c>
      <c r="T11" s="34">
        <v>0.0</v>
      </c>
      <c r="U11" s="33">
        <f>COUNTIFS('Data For Calculation - Insuranc'!A:A,A11,'Data For Calculation - Insuranc'!E:E,"CPA + RSA + AHDC + DOC")</f>
        <v>0</v>
      </c>
      <c r="V11" s="30" t="s">
        <v>3856</v>
      </c>
      <c r="W11" s="34">
        <v>838.99</v>
      </c>
      <c r="X11" s="34" t="s">
        <v>3853</v>
      </c>
      <c r="Y11" s="34">
        <v>0.0</v>
      </c>
      <c r="Z11" s="34">
        <v>100.0</v>
      </c>
      <c r="AA11" s="34">
        <v>0.0</v>
      </c>
      <c r="AB11" s="34">
        <v>0.0</v>
      </c>
      <c r="AC11" s="33">
        <f>COUNTIFS('Data For Calculation - Insuranc'!A:A,A11,'Data For Calculation - Insuranc'!E:E,"CPA + RSA : 5 Years")</f>
        <v>0</v>
      </c>
      <c r="AD11" s="30" t="s">
        <v>3856</v>
      </c>
      <c r="AE11" s="31">
        <v>838.99</v>
      </c>
      <c r="AF11" s="34" t="s">
        <v>3853</v>
      </c>
      <c r="AG11" s="34">
        <v>0.0</v>
      </c>
      <c r="AH11" s="34">
        <v>100.0</v>
      </c>
      <c r="AI11" s="34">
        <v>0.0</v>
      </c>
      <c r="AJ11" s="34">
        <v>0.0</v>
      </c>
      <c r="AK11" s="33">
        <f>COUNTIFS('Data For Calculation - Insuranc'!A:A,A11,'Data For Calculation - Insuranc'!E:E,"Assistance + CPA : 5 Years")</f>
        <v>0</v>
      </c>
      <c r="AL11" s="30" t="s">
        <v>3856</v>
      </c>
      <c r="AM11" s="31">
        <v>290.0</v>
      </c>
      <c r="AN11" s="34" t="s">
        <v>3853</v>
      </c>
      <c r="AO11" s="34">
        <v>0.0</v>
      </c>
      <c r="AP11" s="34">
        <v>100.0</v>
      </c>
      <c r="AQ11" s="34">
        <v>0.0</v>
      </c>
      <c r="AR11" s="34">
        <v>0.0</v>
      </c>
      <c r="AS11" s="33">
        <f>COUNTIFS('Data For Calculation - Insuranc'!A:A,A11,'Data For Calculation - Insuranc'!E:E,"RSA + AHDC + DOC")</f>
        <v>0</v>
      </c>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f t="shared" si="1"/>
        <v>0</v>
      </c>
      <c r="BS11" s="33">
        <f>SUMIFS('Data For Calculation - Insuranc'!I:I,'Data For Calculation - Insuranc'!$A:$A,$A11)</f>
        <v>0</v>
      </c>
      <c r="BT11" s="33">
        <f>SUMIFS('Data For Calculation - Insuranc'!J:J,'Data For Calculation - Insuranc'!$A:$A,$A11)</f>
        <v>0</v>
      </c>
      <c r="BU11" s="33">
        <f>SUMIFS('Data For Calculation - Insuranc'!K:K,'Data For Calculation - Insuranc'!$A:$A,$A11)</f>
        <v>0</v>
      </c>
      <c r="BV11" s="33">
        <f>IF($CC11 = "Dealer", SUMIFS('Data For Calculation - Insuranc'!I:I,'Data For Calculation - Insuranc'!$B:$B,$A11,'Data For Calculation - Insuranc'!$H:$H,"Master Dealer")) + SUMIFS('Data For Calculation - Insuranc'!I:I,'Data For Calculation - Insuranc'!$A:$A,$A11,'Data For Calculation - Insuranc'!$H:$H,"Self")</f>
        <v>0</v>
      </c>
      <c r="BW11" s="33">
        <f>IF($CC11 = "Dealer", SUMIFS('Data For Calculation - Insuranc'!J:J,'Data For Calculation - Insuranc'!$B:$B,$A11,'Data For Calculation - Insuranc'!$H:$H,"Master Dealer")) + SUMIFS('Data For Calculation - Insuranc'!J:J,'Data For Calculation - Insuranc'!$A:$A,$A11,'Data For Calculation - Insuranc'!$H:$H,"Self")</f>
        <v>0</v>
      </c>
      <c r="BX11" s="33">
        <f>IF($CC11 = "Dealer", SUMIFS('Data For Calculation - Insuranc'!K:K,'Data For Calculation - Insuranc'!$B:$B,$A11,'Data For Calculation - Insuranc'!$H:$H,"Master Dealer")) + SUMIFS('Data For Calculation - Insuranc'!K:K,'Data For Calculation - Insuranc'!$A:$A,$A11,'Data For Calculation - Insuranc'!$H:$H,"Self")</f>
        <v>0</v>
      </c>
      <c r="BY11" s="25" t="str">
        <f>(Sheet1!N11)</f>
        <v>Singla Automobiles (Main Branch)</v>
      </c>
      <c r="BZ11" s="25" t="str">
        <f>(Sheet1!O11)</f>
        <v>150xD2ZWlv_NqqijpFlWWgIoGhpbdGM3zmaQdQAd1q5M</v>
      </c>
      <c r="CA11" s="25" t="str">
        <f>(Sheet1!AV11)</f>
        <v/>
      </c>
      <c r="CB11" s="25" t="str">
        <f>(Sheet1!AW11)</f>
        <v/>
      </c>
      <c r="CC11" s="26" t="str">
        <f>(Sheet1!P11)</f>
        <v>Sub Dealer</v>
      </c>
    </row>
    <row r="12">
      <c r="A12" s="25" t="str">
        <f>(Sheet1!A15)</f>
        <v>1ejtSq2pJ5r5wu-kZaMFvJrFblntdYFCvNJnKtYjMVzo</v>
      </c>
      <c r="B12" s="25" t="str">
        <f>(Sheet1!B15)</f>
        <v>Uppal Motors</v>
      </c>
      <c r="C12" s="30" t="str">
        <f>Sheet1!BB12</f>
        <v>No</v>
      </c>
      <c r="D12" s="30" t="s">
        <v>13</v>
      </c>
      <c r="E12" s="34" t="s">
        <v>13</v>
      </c>
      <c r="F12" s="30" t="s">
        <v>3817</v>
      </c>
      <c r="G12" s="31">
        <v>235.0</v>
      </c>
      <c r="H12" s="34" t="s">
        <v>3853</v>
      </c>
      <c r="I12" s="34">
        <v>0.0</v>
      </c>
      <c r="J12" s="34">
        <v>100.0</v>
      </c>
      <c r="K12" s="34">
        <v>0.0</v>
      </c>
      <c r="L12" s="34">
        <v>0.0</v>
      </c>
      <c r="M12" s="33">
        <f>COUNTIFS('Data For Calculation - Insuranc'!A:A,A12,'Data For Calculation - Insuranc'!E:E,"CPA + RSA")</f>
        <v>0</v>
      </c>
      <c r="N12" s="30" t="s">
        <v>3817</v>
      </c>
      <c r="O12" s="31">
        <v>350.0</v>
      </c>
      <c r="P12" s="34" t="s">
        <v>3853</v>
      </c>
      <c r="Q12" s="34">
        <v>0.0</v>
      </c>
      <c r="R12" s="34">
        <v>100.0</v>
      </c>
      <c r="S12" s="34">
        <v>0.0</v>
      </c>
      <c r="T12" s="34">
        <v>0.0</v>
      </c>
      <c r="U12" s="33">
        <f>COUNTIFS('Data For Calculation - Insuranc'!A:A,A12,'Data For Calculation - Insuranc'!E:E,"CPA + RSA + AHDC + DOC")</f>
        <v>0</v>
      </c>
      <c r="V12" s="30" t="s">
        <v>3817</v>
      </c>
      <c r="W12" s="34">
        <v>838.99</v>
      </c>
      <c r="X12" s="34" t="s">
        <v>3853</v>
      </c>
      <c r="Y12" s="34">
        <v>0.0</v>
      </c>
      <c r="Z12" s="34">
        <v>100.0</v>
      </c>
      <c r="AA12" s="34">
        <v>0.0</v>
      </c>
      <c r="AB12" s="34">
        <v>0.0</v>
      </c>
      <c r="AC12" s="33">
        <f>COUNTIFS('Data For Calculation - Insuranc'!A:A,A12,'Data For Calculation - Insuranc'!E:E,"CPA + RSA : 5 Years")</f>
        <v>0</v>
      </c>
      <c r="AD12" s="30" t="s">
        <v>3817</v>
      </c>
      <c r="AE12" s="31">
        <v>838.99</v>
      </c>
      <c r="AF12" s="34" t="s">
        <v>3853</v>
      </c>
      <c r="AG12" s="34">
        <v>0.0</v>
      </c>
      <c r="AH12" s="34">
        <v>100.0</v>
      </c>
      <c r="AI12" s="34">
        <v>0.0</v>
      </c>
      <c r="AJ12" s="34">
        <v>0.0</v>
      </c>
      <c r="AK12" s="33">
        <f>COUNTIFS('Data For Calculation - Insuranc'!A:A,A12,'Data For Calculation - Insuranc'!E:E,"Assistance + CPA : 5 Years")</f>
        <v>0</v>
      </c>
      <c r="AL12" s="30" t="s">
        <v>3817</v>
      </c>
      <c r="AM12" s="31">
        <v>290.0</v>
      </c>
      <c r="AN12" s="34" t="s">
        <v>3853</v>
      </c>
      <c r="AO12" s="34">
        <v>0.0</v>
      </c>
      <c r="AP12" s="34">
        <v>100.0</v>
      </c>
      <c r="AQ12" s="34">
        <v>0.0</v>
      </c>
      <c r="AR12" s="34">
        <v>0.0</v>
      </c>
      <c r="AS12" s="33">
        <f>COUNTIFS('Data For Calculation - Insuranc'!A:A,A12,'Data For Calculation - Insuranc'!E:E,"RSA + AHDC + DOC")</f>
        <v>0</v>
      </c>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f t="shared" si="1"/>
        <v>0</v>
      </c>
      <c r="BS12" s="33">
        <f>SUMIFS('Data For Calculation - Insuranc'!I:I,'Data For Calculation - Insuranc'!$A:$A,$A12)</f>
        <v>0</v>
      </c>
      <c r="BT12" s="33">
        <f>SUMIFS('Data For Calculation - Insuranc'!J:J,'Data For Calculation - Insuranc'!$A:$A,$A12)</f>
        <v>0</v>
      </c>
      <c r="BU12" s="33">
        <f>SUMIFS('Data For Calculation - Insuranc'!K:K,'Data For Calculation - Insuranc'!$A:$A,$A12)</f>
        <v>0</v>
      </c>
      <c r="BV12" s="33">
        <f>IF($CC12 = "Dealer", SUMIFS('Data For Calculation - Insuranc'!I:I,'Data For Calculation - Insuranc'!$B:$B,$A12,'Data For Calculation - Insuranc'!$H:$H,"Master Dealer")) + SUMIFS('Data For Calculation - Insuranc'!I:I,'Data For Calculation - Insuranc'!$A:$A,$A12,'Data For Calculation - Insuranc'!$H:$H,"Self")</f>
        <v>0</v>
      </c>
      <c r="BW12" s="33">
        <f>IF($CC12 = "Dealer", SUMIFS('Data For Calculation - Insuranc'!J:J,'Data For Calculation - Insuranc'!$B:$B,$A12,'Data For Calculation - Insuranc'!$H:$H,"Master Dealer")) + SUMIFS('Data For Calculation - Insuranc'!J:J,'Data For Calculation - Insuranc'!$A:$A,$A12,'Data For Calculation - Insuranc'!$H:$H,"Self")</f>
        <v>0</v>
      </c>
      <c r="BX12" s="33">
        <f>IF($CC12 = "Dealer", SUMIFS('Data For Calculation - Insuranc'!K:K,'Data For Calculation - Insuranc'!$B:$B,$A12,'Data For Calculation - Insuranc'!$H:$H,"Master Dealer")) + SUMIFS('Data For Calculation - Insuranc'!K:K,'Data For Calculation - Insuranc'!$A:$A,$A12,'Data For Calculation - Insuranc'!$H:$H,"Self")</f>
        <v>0</v>
      </c>
      <c r="BY12" s="25" t="str">
        <f>(Sheet1!N15)</f>
        <v>Uppal Motors</v>
      </c>
      <c r="BZ12" s="25" t="str">
        <f>(Sheet1!O15)</f>
        <v>1ejtSq2pJ5r5wu-kZaMFvJrFblntdYFCvNJnKtYjMVzo</v>
      </c>
      <c r="CA12" s="25" t="str">
        <f>(Sheet1!AV12)</f>
        <v/>
      </c>
      <c r="CB12" s="25" t="str">
        <f>(Sheet1!AW12)</f>
        <v/>
      </c>
      <c r="CC12" s="26" t="str">
        <f>(Sheet1!P15)</f>
        <v>Dealer</v>
      </c>
    </row>
    <row r="13">
      <c r="A13" s="25" t="str">
        <f>(Sheet1!A12)</f>
        <v>1hcMo_yCBmlA1T0WTeHgqUHMnzUUcjAMt7oOG7Fxhs7E</v>
      </c>
      <c r="B13" s="25" t="str">
        <f>(Sheet1!B12)</f>
        <v>ESS AAR Motors - Jhandewalan</v>
      </c>
      <c r="C13" s="30" t="str">
        <f>Sheet1!BB13</f>
        <v>No</v>
      </c>
      <c r="D13" s="30" t="s">
        <v>13</v>
      </c>
      <c r="E13" s="34" t="s">
        <v>13</v>
      </c>
      <c r="F13" s="30" t="s">
        <v>3817</v>
      </c>
      <c r="G13" s="31">
        <v>290.0</v>
      </c>
      <c r="H13" s="34" t="s">
        <v>3853</v>
      </c>
      <c r="I13" s="34">
        <v>0.0</v>
      </c>
      <c r="J13" s="34">
        <v>100.0</v>
      </c>
      <c r="K13" s="34">
        <v>0.0</v>
      </c>
      <c r="L13" s="34">
        <v>0.0</v>
      </c>
      <c r="M13" s="33">
        <f>COUNTIFS('Data For Calculation - Insuranc'!A:A,A13,'Data For Calculation - Insuranc'!E:E,"CPA + RSA")</f>
        <v>0</v>
      </c>
      <c r="N13" s="30" t="s">
        <v>3817</v>
      </c>
      <c r="O13" s="31">
        <v>460.0</v>
      </c>
      <c r="P13" s="34" t="s">
        <v>3853</v>
      </c>
      <c r="Q13" s="34">
        <v>0.0</v>
      </c>
      <c r="R13" s="34">
        <v>100.0</v>
      </c>
      <c r="S13" s="34">
        <v>0.0</v>
      </c>
      <c r="T13" s="34">
        <v>0.0</v>
      </c>
      <c r="U13" s="33">
        <f>COUNTIFS('Data For Calculation - Insuranc'!A:A,A13,'Data For Calculation - Insuranc'!E:E,"CPA + RSA + AHDC + DOC")</f>
        <v>0</v>
      </c>
      <c r="V13" s="30" t="s">
        <v>3817</v>
      </c>
      <c r="W13" s="34">
        <v>838.99</v>
      </c>
      <c r="X13" s="34" t="s">
        <v>3853</v>
      </c>
      <c r="Y13" s="34">
        <v>0.0</v>
      </c>
      <c r="Z13" s="34">
        <v>100.0</v>
      </c>
      <c r="AA13" s="34">
        <v>0.0</v>
      </c>
      <c r="AB13" s="34">
        <v>0.0</v>
      </c>
      <c r="AC13" s="33">
        <f>COUNTIFS('Data For Calculation - Insuranc'!A:A,A13,'Data For Calculation - Insuranc'!E:E,"CPA + RSA : 5 Years")</f>
        <v>0</v>
      </c>
      <c r="AD13" s="30" t="s">
        <v>3817</v>
      </c>
      <c r="AE13" s="31">
        <v>838.99</v>
      </c>
      <c r="AF13" s="34" t="s">
        <v>3853</v>
      </c>
      <c r="AG13" s="34">
        <v>0.0</v>
      </c>
      <c r="AH13" s="34">
        <v>100.0</v>
      </c>
      <c r="AI13" s="34">
        <v>0.0</v>
      </c>
      <c r="AJ13" s="34">
        <v>0.0</v>
      </c>
      <c r="AK13" s="33">
        <f>COUNTIFS('Data For Calculation - Insuranc'!A:A,A13,'Data For Calculation - Insuranc'!E:E,"Assistance + CPA : 5 Years")</f>
        <v>0</v>
      </c>
      <c r="AL13" s="30" t="s">
        <v>3817</v>
      </c>
      <c r="AM13" s="31">
        <v>290.0</v>
      </c>
      <c r="AN13" s="34" t="s">
        <v>3853</v>
      </c>
      <c r="AO13" s="34">
        <v>0.0</v>
      </c>
      <c r="AP13" s="34">
        <v>100.0</v>
      </c>
      <c r="AQ13" s="34">
        <v>0.0</v>
      </c>
      <c r="AR13" s="34">
        <v>0.0</v>
      </c>
      <c r="AS13" s="33">
        <f>COUNTIFS('Data For Calculation - Insuranc'!A:A,A13,'Data For Calculation - Insuranc'!E:E,"RSA + AHDC + DOC")</f>
        <v>0</v>
      </c>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f t="shared" si="1"/>
        <v>0</v>
      </c>
      <c r="BS13" s="33">
        <f>SUMIFS('Data For Calculation - Insuranc'!I:I,'Data For Calculation - Insuranc'!$A:$A,$A13)</f>
        <v>0</v>
      </c>
      <c r="BT13" s="33">
        <f>SUMIFS('Data For Calculation - Insuranc'!J:J,'Data For Calculation - Insuranc'!$A:$A,$A13)</f>
        <v>0</v>
      </c>
      <c r="BU13" s="33">
        <f>SUMIFS('Data For Calculation - Insuranc'!K:K,'Data For Calculation - Insuranc'!$A:$A,$A13)</f>
        <v>0</v>
      </c>
      <c r="BV13" s="33">
        <f>IF($CC13 = "Dealer", SUMIFS('Data For Calculation - Insuranc'!I:I,'Data For Calculation - Insuranc'!$B:$B,$A13,'Data For Calculation - Insuranc'!$H:$H,"Master Dealer")) + SUMIFS('Data For Calculation - Insuranc'!I:I,'Data For Calculation - Insuranc'!$A:$A,$A13,'Data For Calculation - Insuranc'!$H:$H,"Self")</f>
        <v>0</v>
      </c>
      <c r="BW13" s="33">
        <f>IF($CC13 = "Dealer", SUMIFS('Data For Calculation - Insuranc'!J:J,'Data For Calculation - Insuranc'!$B:$B,$A13,'Data For Calculation - Insuranc'!$H:$H,"Master Dealer")) + SUMIFS('Data For Calculation - Insuranc'!J:J,'Data For Calculation - Insuranc'!$A:$A,$A13,'Data For Calculation - Insuranc'!$H:$H,"Self")</f>
        <v>0</v>
      </c>
      <c r="BX13" s="33">
        <f>IF($CC13 = "Dealer", SUMIFS('Data For Calculation - Insuranc'!K:K,'Data For Calculation - Insuranc'!$B:$B,$A13,'Data For Calculation - Insuranc'!$H:$H,"Master Dealer")) + SUMIFS('Data For Calculation - Insuranc'!K:K,'Data For Calculation - Insuranc'!$A:$A,$A13,'Data For Calculation - Insuranc'!$H:$H,"Self")</f>
        <v>0</v>
      </c>
      <c r="BY13" s="25" t="str">
        <f>(Sheet1!N12)</f>
        <v>ESS AAR Motors - Jhandewalan</v>
      </c>
      <c r="BZ13" s="25" t="str">
        <f>(Sheet1!O12)</f>
        <v>1hcMo_yCBmlA1T0WTeHgqUHMnzUUcjAMt7oOG7Fxhs7E</v>
      </c>
      <c r="CA13" s="25" t="str">
        <f>(Sheet1!AV13)</f>
        <v/>
      </c>
      <c r="CB13" s="25" t="str">
        <f>(Sheet1!AW13)</f>
        <v/>
      </c>
      <c r="CC13" s="26" t="str">
        <f>(Sheet1!P12)</f>
        <v>Dealer</v>
      </c>
    </row>
    <row r="14">
      <c r="A14" s="25" t="str">
        <f>(Sheet1!A13)</f>
        <v>1uSmiJs1JBkFcacaTukzXG8U9ymYsNT0DhKFlj58ZKns</v>
      </c>
      <c r="B14" s="25" t="str">
        <f>(Sheet1!B13)</f>
        <v>ESS AAR Motors - Defence Colony</v>
      </c>
      <c r="C14" s="30" t="str">
        <f>Sheet1!BB14</f>
        <v>No</v>
      </c>
      <c r="D14" s="30" t="s">
        <v>13</v>
      </c>
      <c r="E14" s="34" t="s">
        <v>13</v>
      </c>
      <c r="F14" s="30" t="s">
        <v>3817</v>
      </c>
      <c r="G14" s="31">
        <v>290.0</v>
      </c>
      <c r="H14" s="34" t="s">
        <v>3853</v>
      </c>
      <c r="I14" s="34">
        <v>0.0</v>
      </c>
      <c r="J14" s="34">
        <v>100.0</v>
      </c>
      <c r="K14" s="34">
        <v>0.0</v>
      </c>
      <c r="L14" s="34">
        <v>0.0</v>
      </c>
      <c r="M14" s="33">
        <f>COUNTIFS('Data For Calculation - Insuranc'!A:A,A14,'Data For Calculation - Insuranc'!E:E,"CPA + RSA")</f>
        <v>0</v>
      </c>
      <c r="N14" s="30" t="s">
        <v>3817</v>
      </c>
      <c r="O14" s="31">
        <v>460.0</v>
      </c>
      <c r="P14" s="34" t="s">
        <v>3853</v>
      </c>
      <c r="Q14" s="34">
        <v>0.0</v>
      </c>
      <c r="R14" s="34">
        <v>100.0</v>
      </c>
      <c r="S14" s="34">
        <v>0.0</v>
      </c>
      <c r="T14" s="34">
        <v>0.0</v>
      </c>
      <c r="U14" s="33">
        <f>COUNTIFS('Data For Calculation - Insuranc'!A:A,A14,'Data For Calculation - Insuranc'!E:E,"CPA + RSA + AHDC + DOC")</f>
        <v>0</v>
      </c>
      <c r="V14" s="30" t="s">
        <v>3817</v>
      </c>
      <c r="W14" s="34">
        <v>838.99</v>
      </c>
      <c r="X14" s="34" t="s">
        <v>3853</v>
      </c>
      <c r="Y14" s="34">
        <v>0.0</v>
      </c>
      <c r="Z14" s="34">
        <v>100.0</v>
      </c>
      <c r="AA14" s="34">
        <v>0.0</v>
      </c>
      <c r="AB14" s="34">
        <v>0.0</v>
      </c>
      <c r="AC14" s="33">
        <f>COUNTIFS('Data For Calculation - Insuranc'!A:A,A14,'Data For Calculation - Insuranc'!E:E,"CPA + RSA : 5 Years")</f>
        <v>0</v>
      </c>
      <c r="AD14" s="30" t="s">
        <v>3817</v>
      </c>
      <c r="AE14" s="31">
        <v>838.99</v>
      </c>
      <c r="AF14" s="34" t="s">
        <v>3853</v>
      </c>
      <c r="AG14" s="34">
        <v>0.0</v>
      </c>
      <c r="AH14" s="34">
        <v>100.0</v>
      </c>
      <c r="AI14" s="34">
        <v>0.0</v>
      </c>
      <c r="AJ14" s="34">
        <v>0.0</v>
      </c>
      <c r="AK14" s="33">
        <f>COUNTIFS('Data For Calculation - Insuranc'!A:A,A14,'Data For Calculation - Insuranc'!E:E,"Assistance + CPA : 5 Years")</f>
        <v>0</v>
      </c>
      <c r="AL14" s="30" t="s">
        <v>3817</v>
      </c>
      <c r="AM14" s="31">
        <v>290.0</v>
      </c>
      <c r="AN14" s="34" t="s">
        <v>3853</v>
      </c>
      <c r="AO14" s="34">
        <v>0.0</v>
      </c>
      <c r="AP14" s="34">
        <v>100.0</v>
      </c>
      <c r="AQ14" s="34">
        <v>0.0</v>
      </c>
      <c r="AR14" s="34">
        <v>0.0</v>
      </c>
      <c r="AS14" s="33">
        <f>COUNTIFS('Data For Calculation - Insuranc'!A:A,A14,'Data For Calculation - Insuranc'!E:E,"RSA + AHDC + DOC")</f>
        <v>0</v>
      </c>
      <c r="AT14" s="33"/>
      <c r="AU14" s="33"/>
      <c r="AV14" s="33"/>
      <c r="AW14" s="33"/>
      <c r="AX14" s="33"/>
      <c r="AY14" s="33"/>
      <c r="AZ14" s="33"/>
      <c r="BA14" s="33"/>
      <c r="BB14" s="33"/>
      <c r="BC14" s="33"/>
      <c r="BD14" s="33"/>
      <c r="BE14" s="33"/>
      <c r="BF14" s="33"/>
      <c r="BG14" s="33"/>
      <c r="BH14" s="33"/>
      <c r="BI14" s="33"/>
      <c r="BJ14" s="33"/>
      <c r="BK14" s="33"/>
      <c r="BL14" s="33"/>
      <c r="BM14" s="33"/>
      <c r="BN14" s="33"/>
      <c r="BO14" s="33"/>
      <c r="BP14" s="33"/>
      <c r="BQ14" s="33"/>
      <c r="BR14" s="33">
        <f t="shared" si="1"/>
        <v>0</v>
      </c>
      <c r="BS14" s="33">
        <f>SUMIFS('Data For Calculation - Insuranc'!I:I,'Data For Calculation - Insuranc'!$A:$A,$A14)</f>
        <v>0</v>
      </c>
      <c r="BT14" s="33">
        <f>SUMIFS('Data For Calculation - Insuranc'!J:J,'Data For Calculation - Insuranc'!$A:$A,$A14)</f>
        <v>0</v>
      </c>
      <c r="BU14" s="33">
        <f>SUMIFS('Data For Calculation - Insuranc'!K:K,'Data For Calculation - Insuranc'!$A:$A,$A14)</f>
        <v>0</v>
      </c>
      <c r="BV14" s="33">
        <f>IF($CC14 = "Dealer", SUMIFS('Data For Calculation - Insuranc'!I:I,'Data For Calculation - Insuranc'!$B:$B,$A14,'Data For Calculation - Insuranc'!$H:$H,"Master Dealer")) + SUMIFS('Data For Calculation - Insuranc'!I:I,'Data For Calculation - Insuranc'!$A:$A,$A14,'Data For Calculation - Insuranc'!$H:$H,"Self")</f>
        <v>0</v>
      </c>
      <c r="BW14" s="33">
        <f>IF($CC14 = "Dealer", SUMIFS('Data For Calculation - Insuranc'!J:J,'Data For Calculation - Insuranc'!$B:$B,$A14,'Data For Calculation - Insuranc'!$H:$H,"Master Dealer")) + SUMIFS('Data For Calculation - Insuranc'!J:J,'Data For Calculation - Insuranc'!$A:$A,$A14,'Data For Calculation - Insuranc'!$H:$H,"Self")</f>
        <v>0</v>
      </c>
      <c r="BX14" s="33">
        <f>IF($CC14 = "Dealer", SUMIFS('Data For Calculation - Insuranc'!K:K,'Data For Calculation - Insuranc'!$B:$B,$A14,'Data For Calculation - Insuranc'!$H:$H,"Master Dealer")) + SUMIFS('Data For Calculation - Insuranc'!K:K,'Data For Calculation - Insuranc'!$A:$A,$A14,'Data For Calculation - Insuranc'!$H:$H,"Self")</f>
        <v>0</v>
      </c>
      <c r="BY14" s="25" t="str">
        <f>(Sheet1!N13)</f>
        <v>ESS AAR Motors - Jhandewalan</v>
      </c>
      <c r="BZ14" s="25" t="str">
        <f>(Sheet1!O13)</f>
        <v>1hcMo_yCBmlA1T0WTeHgqUHMnzUUcjAMt7oOG7Fxhs7E</v>
      </c>
      <c r="CA14" s="25" t="str">
        <f>(Sheet1!AV14)</f>
        <v/>
      </c>
      <c r="CB14" s="25" t="str">
        <f>(Sheet1!AW14)</f>
        <v/>
      </c>
      <c r="CC14" s="26" t="str">
        <f>(Sheet1!P13)</f>
        <v>Sub Dealer</v>
      </c>
    </row>
    <row r="15">
      <c r="A15" s="25" t="str">
        <f>(Sheet1!A14)</f>
        <v>1ywp9soScACCtKNm18S8bSV9jfI4bUChDWcowZ3Kbzws</v>
      </c>
      <c r="B15" s="25" t="str">
        <f>(Sheet1!B14)</f>
        <v>Varshney Auto Sales - Yamaha (MPS)</v>
      </c>
      <c r="C15" s="30" t="str">
        <f>Sheet1!BB15</f>
        <v>No</v>
      </c>
      <c r="D15" s="30" t="s">
        <v>13</v>
      </c>
      <c r="E15" s="34" t="s">
        <v>13</v>
      </c>
      <c r="F15" s="30" t="s">
        <v>3817</v>
      </c>
      <c r="G15" s="31">
        <v>290.0</v>
      </c>
      <c r="H15" s="34" t="s">
        <v>3853</v>
      </c>
      <c r="I15" s="34">
        <v>0.0</v>
      </c>
      <c r="J15" s="34">
        <v>100.0</v>
      </c>
      <c r="K15" s="34">
        <v>0.0</v>
      </c>
      <c r="L15" s="34">
        <v>0.0</v>
      </c>
      <c r="M15" s="33">
        <f>COUNTIFS('Data For Calculation - Insuranc'!A:A,A15,'Data For Calculation - Insuranc'!E:E,"CPA + RSA")</f>
        <v>0</v>
      </c>
      <c r="N15" s="30" t="s">
        <v>3817</v>
      </c>
      <c r="O15" s="31">
        <v>460.0</v>
      </c>
      <c r="P15" s="34" t="s">
        <v>3853</v>
      </c>
      <c r="Q15" s="34">
        <v>0.0</v>
      </c>
      <c r="R15" s="34">
        <v>100.0</v>
      </c>
      <c r="S15" s="34">
        <v>0.0</v>
      </c>
      <c r="T15" s="34">
        <v>0.0</v>
      </c>
      <c r="U15" s="33">
        <f>COUNTIFS('Data For Calculation - Insuranc'!A:A,A15,'Data For Calculation - Insuranc'!E:E,"CPA + RSA + AHDC + DOC")</f>
        <v>0</v>
      </c>
      <c r="V15" s="30" t="s">
        <v>3817</v>
      </c>
      <c r="W15" s="34">
        <v>838.99</v>
      </c>
      <c r="X15" s="34" t="s">
        <v>3853</v>
      </c>
      <c r="Y15" s="34">
        <v>0.0</v>
      </c>
      <c r="Z15" s="34">
        <v>100.0</v>
      </c>
      <c r="AA15" s="34">
        <v>0.0</v>
      </c>
      <c r="AB15" s="34">
        <v>0.0</v>
      </c>
      <c r="AC15" s="33">
        <f>COUNTIFS('Data For Calculation - Insuranc'!A:A,A15,'Data For Calculation - Insuranc'!E:E,"CPA + RSA : 5 Years")</f>
        <v>0</v>
      </c>
      <c r="AD15" s="30" t="s">
        <v>3817</v>
      </c>
      <c r="AE15" s="31">
        <v>838.99</v>
      </c>
      <c r="AF15" s="34" t="s">
        <v>3853</v>
      </c>
      <c r="AG15" s="34">
        <v>0.0</v>
      </c>
      <c r="AH15" s="34">
        <v>100.0</v>
      </c>
      <c r="AI15" s="34">
        <v>0.0</v>
      </c>
      <c r="AJ15" s="34">
        <v>0.0</v>
      </c>
      <c r="AK15" s="33">
        <f>COUNTIFS('Data For Calculation - Insuranc'!A:A,A15,'Data For Calculation - Insuranc'!E:E,"Assistance + CPA : 5 Years")</f>
        <v>0</v>
      </c>
      <c r="AL15" s="30" t="s">
        <v>3817</v>
      </c>
      <c r="AM15" s="31">
        <v>290.0</v>
      </c>
      <c r="AN15" s="34" t="s">
        <v>3853</v>
      </c>
      <c r="AO15" s="34">
        <v>0.0</v>
      </c>
      <c r="AP15" s="34">
        <v>100.0</v>
      </c>
      <c r="AQ15" s="34">
        <v>0.0</v>
      </c>
      <c r="AR15" s="34">
        <v>0.0</v>
      </c>
      <c r="AS15" s="33">
        <f>COUNTIFS('Data For Calculation - Insuranc'!A:A,A15,'Data For Calculation - Insuranc'!E:E,"RSA + AHDC + DOC")</f>
        <v>0</v>
      </c>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f t="shared" si="1"/>
        <v>0</v>
      </c>
      <c r="BS15" s="33">
        <f>SUMIFS('Data For Calculation - Insuranc'!I:I,'Data For Calculation - Insuranc'!$A:$A,$A15)</f>
        <v>0</v>
      </c>
      <c r="BT15" s="33">
        <f>SUMIFS('Data For Calculation - Insuranc'!J:J,'Data For Calculation - Insuranc'!$A:$A,$A15)</f>
        <v>0</v>
      </c>
      <c r="BU15" s="33">
        <f>SUMIFS('Data For Calculation - Insuranc'!K:K,'Data For Calculation - Insuranc'!$A:$A,$A15)</f>
        <v>0</v>
      </c>
      <c r="BV15" s="33">
        <f>IF($CC15 = "Dealer", SUMIFS('Data For Calculation - Insuranc'!I:I,'Data For Calculation - Insuranc'!$B:$B,$A15,'Data For Calculation - Insuranc'!$H:$H,"Master Dealer")) + SUMIFS('Data For Calculation - Insuranc'!I:I,'Data For Calculation - Insuranc'!$A:$A,$A15,'Data For Calculation - Insuranc'!$H:$H,"Self")</f>
        <v>0</v>
      </c>
      <c r="BW15" s="33">
        <f>IF($CC15 = "Dealer", SUMIFS('Data For Calculation - Insuranc'!J:J,'Data For Calculation - Insuranc'!$B:$B,$A15,'Data For Calculation - Insuranc'!$H:$H,"Master Dealer")) + SUMIFS('Data For Calculation - Insuranc'!J:J,'Data For Calculation - Insuranc'!$A:$A,$A15,'Data For Calculation - Insuranc'!$H:$H,"Self")</f>
        <v>0</v>
      </c>
      <c r="BX15" s="33">
        <f>IF($CC15 = "Dealer", SUMIFS('Data For Calculation - Insuranc'!K:K,'Data For Calculation - Insuranc'!$B:$B,$A15,'Data For Calculation - Insuranc'!$H:$H,"Master Dealer")) + SUMIFS('Data For Calculation - Insuranc'!K:K,'Data For Calculation - Insuranc'!$A:$A,$A15,'Data For Calculation - Insuranc'!$H:$H,"Self")</f>
        <v>0</v>
      </c>
      <c r="BY15" s="25" t="str">
        <f>(Sheet1!N14)</f>
        <v>Varshney Auto Sales - Yamaha (MPS)</v>
      </c>
      <c r="BZ15" s="25" t="str">
        <f>(Sheet1!O14)</f>
        <v>1ywp9soScACCtKNm18S8bSV9jfI4bUChDWcowZ3Kbzws</v>
      </c>
      <c r="CA15" s="25" t="str">
        <f>(Sheet1!AV15)</f>
        <v/>
      </c>
      <c r="CB15" s="25" t="str">
        <f>(Sheet1!AW15)</f>
        <v/>
      </c>
      <c r="CC15" s="26" t="str">
        <f>(Sheet1!P14)</f>
        <v>Dealer</v>
      </c>
    </row>
    <row r="16">
      <c r="A16" s="25" t="str">
        <f>(Sheet1!A16)</f>
        <v>1RYX1vfvY0jbK-8SlRPLYU11dr-HUe2ntxj5PumL7c0I</v>
      </c>
      <c r="B16" s="25" t="str">
        <f>(Sheet1!B16)</f>
        <v>Vidhi Trading</v>
      </c>
      <c r="C16" s="30" t="str">
        <f>Sheet1!BB16</f>
        <v>No</v>
      </c>
      <c r="D16" s="30" t="s">
        <v>13</v>
      </c>
      <c r="E16" s="34" t="s">
        <v>13</v>
      </c>
      <c r="F16" s="30" t="s">
        <v>3856</v>
      </c>
      <c r="G16" s="31">
        <v>170.0</v>
      </c>
      <c r="H16" s="34" t="s">
        <v>3853</v>
      </c>
      <c r="I16" s="34">
        <v>0.0</v>
      </c>
      <c r="J16" s="34">
        <v>100.0</v>
      </c>
      <c r="K16" s="34">
        <v>0.0</v>
      </c>
      <c r="L16" s="34">
        <v>0.0</v>
      </c>
      <c r="M16" s="33">
        <f>COUNTIFS('Data For Calculation - Insuranc'!A:A,A16,'Data For Calculation - Insuranc'!E:E,"CPA + RSA")</f>
        <v>0</v>
      </c>
      <c r="N16" s="30" t="s">
        <v>3856</v>
      </c>
      <c r="O16" s="31">
        <v>255.0</v>
      </c>
      <c r="P16" s="34" t="s">
        <v>3853</v>
      </c>
      <c r="Q16" s="34">
        <v>0.0</v>
      </c>
      <c r="R16" s="34">
        <v>100.0</v>
      </c>
      <c r="S16" s="34">
        <v>0.0</v>
      </c>
      <c r="T16" s="34">
        <v>0.0</v>
      </c>
      <c r="U16" s="33">
        <f>COUNTIFS('Data For Calculation - Insuranc'!A:A,A16,'Data For Calculation - Insuranc'!E:E,"CPA + RSA + AHDC + DOC")</f>
        <v>0</v>
      </c>
      <c r="V16" s="30" t="s">
        <v>3856</v>
      </c>
      <c r="W16" s="34">
        <v>838.99</v>
      </c>
      <c r="X16" s="34" t="s">
        <v>3853</v>
      </c>
      <c r="Y16" s="34">
        <v>0.0</v>
      </c>
      <c r="Z16" s="34">
        <v>100.0</v>
      </c>
      <c r="AA16" s="34">
        <v>0.0</v>
      </c>
      <c r="AB16" s="34">
        <v>0.0</v>
      </c>
      <c r="AC16" s="33">
        <f>COUNTIFS('Data For Calculation - Insuranc'!A:A,A16,'Data For Calculation - Insuranc'!E:E,"CPA + RSA : 5 Years")</f>
        <v>0</v>
      </c>
      <c r="AD16" s="30" t="s">
        <v>3856</v>
      </c>
      <c r="AE16" s="31">
        <v>838.99</v>
      </c>
      <c r="AF16" s="34" t="s">
        <v>3853</v>
      </c>
      <c r="AG16" s="34">
        <v>0.0</v>
      </c>
      <c r="AH16" s="34">
        <v>100.0</v>
      </c>
      <c r="AI16" s="34">
        <v>0.0</v>
      </c>
      <c r="AJ16" s="34">
        <v>0.0</v>
      </c>
      <c r="AK16" s="33">
        <f>COUNTIFS('Data For Calculation - Insuranc'!A:A,A16,'Data For Calculation - Insuranc'!E:E,"Assistance + CPA : 5 Years")</f>
        <v>0</v>
      </c>
      <c r="AL16" s="30" t="s">
        <v>3856</v>
      </c>
      <c r="AM16" s="31">
        <v>290.0</v>
      </c>
      <c r="AN16" s="34" t="s">
        <v>3853</v>
      </c>
      <c r="AO16" s="34">
        <v>0.0</v>
      </c>
      <c r="AP16" s="34">
        <v>100.0</v>
      </c>
      <c r="AQ16" s="34">
        <v>0.0</v>
      </c>
      <c r="AR16" s="34">
        <v>0.0</v>
      </c>
      <c r="AS16" s="33">
        <f>COUNTIFS('Data For Calculation - Insuranc'!A:A,A16,'Data For Calculation - Insuranc'!E:E,"RSA + AHDC + DOC")</f>
        <v>0</v>
      </c>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f t="shared" si="1"/>
        <v>0</v>
      </c>
      <c r="BS16" s="33">
        <f>SUMIFS('Data For Calculation - Insuranc'!I:I,'Data For Calculation - Insuranc'!$A:$A,$A16)</f>
        <v>0</v>
      </c>
      <c r="BT16" s="33">
        <f>SUMIFS('Data For Calculation - Insuranc'!J:J,'Data For Calculation - Insuranc'!$A:$A,$A16)</f>
        <v>0</v>
      </c>
      <c r="BU16" s="33">
        <f>SUMIFS('Data For Calculation - Insuranc'!K:K,'Data For Calculation - Insuranc'!$A:$A,$A16)</f>
        <v>0</v>
      </c>
      <c r="BV16" s="33">
        <f>IF($CC16 = "Dealer", SUMIFS('Data For Calculation - Insuranc'!I:I,'Data For Calculation - Insuranc'!$B:$B,$A16,'Data For Calculation - Insuranc'!$H:$H,"Master Dealer")) + SUMIFS('Data For Calculation - Insuranc'!I:I,'Data For Calculation - Insuranc'!$A:$A,$A16,'Data For Calculation - Insuranc'!$H:$H,"Self")</f>
        <v>0</v>
      </c>
      <c r="BW16" s="33">
        <f>IF($CC16 = "Dealer", SUMIFS('Data For Calculation - Insuranc'!J:J,'Data For Calculation - Insuranc'!$B:$B,$A16,'Data For Calculation - Insuranc'!$H:$H,"Master Dealer")) + SUMIFS('Data For Calculation - Insuranc'!J:J,'Data For Calculation - Insuranc'!$A:$A,$A16,'Data For Calculation - Insuranc'!$H:$H,"Self")</f>
        <v>0</v>
      </c>
      <c r="BX16" s="33">
        <f>IF($CC16 = "Dealer", SUMIFS('Data For Calculation - Insuranc'!K:K,'Data For Calculation - Insuranc'!$B:$B,$A16,'Data For Calculation - Insuranc'!$H:$H,"Master Dealer")) + SUMIFS('Data For Calculation - Insuranc'!K:K,'Data For Calculation - Insuranc'!$A:$A,$A16,'Data For Calculation - Insuranc'!$H:$H,"Self")</f>
        <v>0</v>
      </c>
      <c r="BY16" s="25" t="str">
        <f>(Sheet1!N16)</f>
        <v>Vidhi Trading</v>
      </c>
      <c r="BZ16" s="25" t="str">
        <f>(Sheet1!O16)</f>
        <v>1RYX1vfvY0jbK-8SlRPLYU11dr-HUe2ntxj5PumL7c0I</v>
      </c>
      <c r="CA16" s="25" t="str">
        <f>(Sheet1!AV16)</f>
        <v/>
      </c>
      <c r="CB16" s="25" t="str">
        <f>(Sheet1!AW16)</f>
        <v/>
      </c>
      <c r="CC16" s="26" t="str">
        <f>(Sheet1!P16)</f>
        <v>Dealer</v>
      </c>
    </row>
    <row r="17">
      <c r="A17" s="25" t="str">
        <f>(Sheet1!A17)</f>
        <v>1ju8_gZRiNRn30bHYva0xZCNhV81e9Nwm1ItAYdj4tiU</v>
      </c>
      <c r="B17" s="25" t="str">
        <f>(Sheet1!B17)</f>
        <v>JS</v>
      </c>
      <c r="C17" s="30" t="str">
        <f>Sheet1!BB17</f>
        <v>No</v>
      </c>
      <c r="D17" s="30" t="s">
        <v>13</v>
      </c>
      <c r="E17" s="34" t="s">
        <v>13</v>
      </c>
      <c r="F17" s="30" t="s">
        <v>3817</v>
      </c>
      <c r="G17" s="31">
        <v>290.0</v>
      </c>
      <c r="H17" s="34" t="s">
        <v>3853</v>
      </c>
      <c r="I17" s="34">
        <v>0.0</v>
      </c>
      <c r="J17" s="34">
        <v>100.0</v>
      </c>
      <c r="K17" s="34">
        <v>0.0</v>
      </c>
      <c r="L17" s="34">
        <v>0.0</v>
      </c>
      <c r="M17" s="33">
        <f>COUNTIFS('Data For Calculation - Insuranc'!A:A,A17,'Data For Calculation - Insuranc'!E:E,"CPA + RSA")</f>
        <v>0</v>
      </c>
      <c r="N17" s="30" t="s">
        <v>3817</v>
      </c>
      <c r="O17" s="31">
        <v>460.0</v>
      </c>
      <c r="P17" s="34" t="s">
        <v>3853</v>
      </c>
      <c r="Q17" s="34">
        <v>0.0</v>
      </c>
      <c r="R17" s="34">
        <v>100.0</v>
      </c>
      <c r="S17" s="34">
        <v>0.0</v>
      </c>
      <c r="T17" s="34">
        <v>0.0</v>
      </c>
      <c r="U17" s="33">
        <f>COUNTIFS('Data For Calculation - Insuranc'!A:A,A17,'Data For Calculation - Insuranc'!E:E,"CPA + RSA + AHDC + DOC")</f>
        <v>0</v>
      </c>
      <c r="V17" s="30" t="s">
        <v>3817</v>
      </c>
      <c r="W17" s="34">
        <v>838.99</v>
      </c>
      <c r="X17" s="34" t="s">
        <v>3853</v>
      </c>
      <c r="Y17" s="34">
        <v>0.0</v>
      </c>
      <c r="Z17" s="34">
        <v>100.0</v>
      </c>
      <c r="AA17" s="34">
        <v>0.0</v>
      </c>
      <c r="AB17" s="34">
        <v>0.0</v>
      </c>
      <c r="AC17" s="33">
        <f>COUNTIFS('Data For Calculation - Insuranc'!A:A,A17,'Data For Calculation - Insuranc'!E:E,"CPA + RSA : 5 Years")</f>
        <v>0</v>
      </c>
      <c r="AD17" s="30" t="s">
        <v>3817</v>
      </c>
      <c r="AE17" s="31">
        <v>838.99</v>
      </c>
      <c r="AF17" s="34" t="s">
        <v>3853</v>
      </c>
      <c r="AG17" s="34">
        <v>0.0</v>
      </c>
      <c r="AH17" s="34">
        <v>100.0</v>
      </c>
      <c r="AI17" s="34">
        <v>0.0</v>
      </c>
      <c r="AJ17" s="34">
        <v>0.0</v>
      </c>
      <c r="AK17" s="33">
        <f>COUNTIFS('Data For Calculation - Insuranc'!A:A,A17,'Data For Calculation - Insuranc'!E:E,"Assistance + CPA : 5 Years")</f>
        <v>0</v>
      </c>
      <c r="AL17" s="30" t="s">
        <v>3817</v>
      </c>
      <c r="AM17" s="31">
        <v>290.0</v>
      </c>
      <c r="AN17" s="34" t="s">
        <v>3853</v>
      </c>
      <c r="AO17" s="34">
        <v>0.0</v>
      </c>
      <c r="AP17" s="34">
        <v>100.0</v>
      </c>
      <c r="AQ17" s="34">
        <v>0.0</v>
      </c>
      <c r="AR17" s="34">
        <v>0.0</v>
      </c>
      <c r="AS17" s="33">
        <f>COUNTIFS('Data For Calculation - Insuranc'!A:A,A17,'Data For Calculation - Insuranc'!E:E,"RSA + AHDC + DOC")</f>
        <v>0</v>
      </c>
      <c r="AT17" s="33"/>
      <c r="AU17" s="33"/>
      <c r="AV17" s="33"/>
      <c r="AW17" s="33"/>
      <c r="AX17" s="33"/>
      <c r="AY17" s="33"/>
      <c r="AZ17" s="33"/>
      <c r="BA17" s="33"/>
      <c r="BB17" s="33"/>
      <c r="BC17" s="33"/>
      <c r="BD17" s="33"/>
      <c r="BE17" s="33"/>
      <c r="BF17" s="33"/>
      <c r="BG17" s="33"/>
      <c r="BH17" s="33"/>
      <c r="BI17" s="33"/>
      <c r="BJ17" s="33"/>
      <c r="BK17" s="33"/>
      <c r="BL17" s="33"/>
      <c r="BM17" s="33"/>
      <c r="BN17" s="33"/>
      <c r="BO17" s="33"/>
      <c r="BP17" s="33"/>
      <c r="BQ17" s="33"/>
      <c r="BR17" s="33">
        <f t="shared" si="1"/>
        <v>0</v>
      </c>
      <c r="BS17" s="33">
        <f>SUMIFS('Data For Calculation - Insuranc'!I:I,'Data For Calculation - Insuranc'!$A:$A,$A17)</f>
        <v>0</v>
      </c>
      <c r="BT17" s="33">
        <f>SUMIFS('Data For Calculation - Insuranc'!J:J,'Data For Calculation - Insuranc'!$A:$A,$A17)</f>
        <v>0</v>
      </c>
      <c r="BU17" s="33">
        <f>SUMIFS('Data For Calculation - Insuranc'!K:K,'Data For Calculation - Insuranc'!$A:$A,$A17)</f>
        <v>0</v>
      </c>
      <c r="BV17" s="33">
        <f>IF($CC17 = "Dealer", SUMIFS('Data For Calculation - Insuranc'!I:I,'Data For Calculation - Insuranc'!$B:$B,$A17,'Data For Calculation - Insuranc'!$H:$H,"Master Dealer")) + SUMIFS('Data For Calculation - Insuranc'!I:I,'Data For Calculation - Insuranc'!$A:$A,$A17,'Data For Calculation - Insuranc'!$H:$H,"Self")</f>
        <v>0</v>
      </c>
      <c r="BW17" s="33">
        <f>IF($CC17 = "Dealer", SUMIFS('Data For Calculation - Insuranc'!J:J,'Data For Calculation - Insuranc'!$B:$B,$A17,'Data For Calculation - Insuranc'!$H:$H,"Master Dealer")) + SUMIFS('Data For Calculation - Insuranc'!J:J,'Data For Calculation - Insuranc'!$A:$A,$A17,'Data For Calculation - Insuranc'!$H:$H,"Self")</f>
        <v>0</v>
      </c>
      <c r="BX17" s="33">
        <f>IF($CC17 = "Dealer", SUMIFS('Data For Calculation - Insuranc'!K:K,'Data For Calculation - Insuranc'!$B:$B,$A17,'Data For Calculation - Insuranc'!$H:$H,"Master Dealer")) + SUMIFS('Data For Calculation - Insuranc'!K:K,'Data For Calculation - Insuranc'!$A:$A,$A17,'Data For Calculation - Insuranc'!$H:$H,"Self")</f>
        <v>0</v>
      </c>
      <c r="BY17" s="25" t="str">
        <f>(Sheet1!N17)</f>
        <v>JS</v>
      </c>
      <c r="BZ17" s="25" t="str">
        <f>(Sheet1!O17)</f>
        <v>1ju8_gZRiNRn30bHYva0xZCNhV81e9Nwm1ItAYdj4tiU</v>
      </c>
      <c r="CA17" s="25" t="str">
        <f>(Sheet1!AV17)</f>
        <v/>
      </c>
      <c r="CB17" s="25" t="str">
        <f>(Sheet1!AW17)</f>
        <v/>
      </c>
      <c r="CC17" s="26" t="str">
        <f>(Sheet1!P17)</f>
        <v>Dealer</v>
      </c>
    </row>
    <row r="18">
      <c r="A18" s="25" t="str">
        <f>(Sheet1!A18)</f>
        <v>1fb4oZhqM5iGS888M6X7merPGQRxnlGglIXz2Xntr8zg</v>
      </c>
      <c r="B18" s="25" t="str">
        <f>(Sheet1!B18)</f>
        <v>Mongold World Hero</v>
      </c>
      <c r="C18" s="30" t="str">
        <f>Sheet1!BB18</f>
        <v>No</v>
      </c>
      <c r="D18" s="30" t="s">
        <v>13</v>
      </c>
      <c r="E18" s="34" t="s">
        <v>13</v>
      </c>
      <c r="F18" s="30" t="s">
        <v>3817</v>
      </c>
      <c r="G18" s="31">
        <v>290.0</v>
      </c>
      <c r="H18" s="34" t="s">
        <v>3853</v>
      </c>
      <c r="I18" s="34">
        <v>0.0</v>
      </c>
      <c r="J18" s="34">
        <v>100.0</v>
      </c>
      <c r="K18" s="34">
        <v>0.0</v>
      </c>
      <c r="L18" s="34">
        <v>0.0</v>
      </c>
      <c r="M18" s="33">
        <f>COUNTIFS('Data For Calculation - Insuranc'!A:A,A18,'Data For Calculation - Insuranc'!E:E,"CPA + RSA")</f>
        <v>0</v>
      </c>
      <c r="N18" s="30" t="s">
        <v>3817</v>
      </c>
      <c r="O18" s="31">
        <v>460.0</v>
      </c>
      <c r="P18" s="34" t="s">
        <v>3853</v>
      </c>
      <c r="Q18" s="34">
        <v>0.0</v>
      </c>
      <c r="R18" s="34">
        <v>100.0</v>
      </c>
      <c r="S18" s="34">
        <v>0.0</v>
      </c>
      <c r="T18" s="34">
        <v>0.0</v>
      </c>
      <c r="U18" s="33">
        <f>COUNTIFS('Data For Calculation - Insuranc'!A:A,A18,'Data For Calculation - Insuranc'!E:E,"CPA + RSA + AHDC + DOC")</f>
        <v>0</v>
      </c>
      <c r="V18" s="30" t="s">
        <v>3817</v>
      </c>
      <c r="W18" s="34">
        <v>838.99</v>
      </c>
      <c r="X18" s="34" t="s">
        <v>3853</v>
      </c>
      <c r="Y18" s="34">
        <v>0.0</v>
      </c>
      <c r="Z18" s="34">
        <v>100.0</v>
      </c>
      <c r="AA18" s="34">
        <v>0.0</v>
      </c>
      <c r="AB18" s="34">
        <v>0.0</v>
      </c>
      <c r="AC18" s="33">
        <f>COUNTIFS('Data For Calculation - Insuranc'!A:A,A18,'Data For Calculation - Insuranc'!E:E,"CPA + RSA : 5 Years")</f>
        <v>0</v>
      </c>
      <c r="AD18" s="30" t="s">
        <v>3817</v>
      </c>
      <c r="AE18" s="31">
        <v>838.99</v>
      </c>
      <c r="AF18" s="34" t="s">
        <v>3853</v>
      </c>
      <c r="AG18" s="34">
        <v>0.0</v>
      </c>
      <c r="AH18" s="34">
        <v>100.0</v>
      </c>
      <c r="AI18" s="34">
        <v>0.0</v>
      </c>
      <c r="AJ18" s="34">
        <v>0.0</v>
      </c>
      <c r="AK18" s="33">
        <f>COUNTIFS('Data For Calculation - Insuranc'!A:A,A18,'Data For Calculation - Insuranc'!E:E,"Assistance + CPA : 5 Years")</f>
        <v>0</v>
      </c>
      <c r="AL18" s="30" t="s">
        <v>3817</v>
      </c>
      <c r="AM18" s="31">
        <v>290.0</v>
      </c>
      <c r="AN18" s="34" t="s">
        <v>3853</v>
      </c>
      <c r="AO18" s="34">
        <v>0.0</v>
      </c>
      <c r="AP18" s="34">
        <v>100.0</v>
      </c>
      <c r="AQ18" s="34">
        <v>0.0</v>
      </c>
      <c r="AR18" s="34">
        <v>0.0</v>
      </c>
      <c r="AS18" s="33">
        <f>COUNTIFS('Data For Calculation - Insuranc'!A:A,A18,'Data For Calculation - Insuranc'!E:E,"RSA + AHDC + DOC")</f>
        <v>0</v>
      </c>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f t="shared" si="1"/>
        <v>0</v>
      </c>
      <c r="BS18" s="33">
        <f>SUMIFS('Data For Calculation - Insuranc'!I:I,'Data For Calculation - Insuranc'!$A:$A,$A18)</f>
        <v>0</v>
      </c>
      <c r="BT18" s="33">
        <f>SUMIFS('Data For Calculation - Insuranc'!J:J,'Data For Calculation - Insuranc'!$A:$A,$A18)</f>
        <v>0</v>
      </c>
      <c r="BU18" s="33">
        <f>SUMIFS('Data For Calculation - Insuranc'!K:K,'Data For Calculation - Insuranc'!$A:$A,$A18)</f>
        <v>0</v>
      </c>
      <c r="BV18" s="33">
        <f>IF($CC18 = "Dealer", SUMIFS('Data For Calculation - Insuranc'!I:I,'Data For Calculation - Insuranc'!$B:$B,$A18,'Data For Calculation - Insuranc'!$H:$H,"Master Dealer")) + SUMIFS('Data For Calculation - Insuranc'!I:I,'Data For Calculation - Insuranc'!$A:$A,$A18,'Data For Calculation - Insuranc'!$H:$H,"Self")</f>
        <v>0</v>
      </c>
      <c r="BW18" s="33">
        <f>IF($CC18 = "Dealer", SUMIFS('Data For Calculation - Insuranc'!J:J,'Data For Calculation - Insuranc'!$B:$B,$A18,'Data For Calculation - Insuranc'!$H:$H,"Master Dealer")) + SUMIFS('Data For Calculation - Insuranc'!J:J,'Data For Calculation - Insuranc'!$A:$A,$A18,'Data For Calculation - Insuranc'!$H:$H,"Self")</f>
        <v>0</v>
      </c>
      <c r="BX18" s="33">
        <f>IF($CC18 = "Dealer", SUMIFS('Data For Calculation - Insuranc'!K:K,'Data For Calculation - Insuranc'!$B:$B,$A18,'Data For Calculation - Insuranc'!$H:$H,"Master Dealer")) + SUMIFS('Data For Calculation - Insuranc'!K:K,'Data For Calculation - Insuranc'!$A:$A,$A18,'Data For Calculation - Insuranc'!$H:$H,"Self")</f>
        <v>0</v>
      </c>
      <c r="BY18" s="25" t="str">
        <f>(Sheet1!N18)</f>
        <v>Mongold World Hero</v>
      </c>
      <c r="BZ18" s="25" t="str">
        <f>(Sheet1!O18)</f>
        <v>1fb4oZhqM5iGS888M6X7merPGQRxnlGglIXz2Xntr8zg</v>
      </c>
      <c r="CA18" s="25" t="str">
        <f>(Sheet1!AV18)</f>
        <v/>
      </c>
      <c r="CB18" s="25" t="str">
        <f>(Sheet1!AW18)</f>
        <v/>
      </c>
      <c r="CC18" s="26" t="str">
        <f>(Sheet1!P18)</f>
        <v>Dealer</v>
      </c>
    </row>
    <row r="19">
      <c r="A19" s="26" t="str">
        <f>(Sheet1!A19)</f>
        <v>1xzNzUpRuyZzl8DSwrt-yCan_GYtxqCgVm5i_XkKZrso</v>
      </c>
      <c r="B19" s="26" t="str">
        <f>(Sheet1!B19)</f>
        <v>Metro Motors - Rohini</v>
      </c>
      <c r="C19" s="30" t="str">
        <f>Sheet1!BB19</f>
        <v>No</v>
      </c>
      <c r="D19" s="34" t="s">
        <v>13</v>
      </c>
      <c r="E19" s="34" t="s">
        <v>13</v>
      </c>
      <c r="F19" s="34" t="s">
        <v>3820</v>
      </c>
      <c r="G19" s="34">
        <v>290.0</v>
      </c>
      <c r="H19" s="34" t="s">
        <v>3853</v>
      </c>
      <c r="I19" s="34">
        <v>0.0</v>
      </c>
      <c r="J19" s="34">
        <v>100.0</v>
      </c>
      <c r="K19" s="34">
        <v>0.0</v>
      </c>
      <c r="L19" s="34">
        <v>0.0</v>
      </c>
      <c r="M19" s="33">
        <f>COUNTIFS('Data For Calculation - Insuranc'!A:A,A19,'Data For Calculation - Insuranc'!E:E,"CPA + RSA")</f>
        <v>0</v>
      </c>
      <c r="N19" s="34" t="s">
        <v>3854</v>
      </c>
      <c r="O19" s="34">
        <v>100.0</v>
      </c>
      <c r="P19" s="34" t="s">
        <v>3855</v>
      </c>
      <c r="Q19" s="34">
        <v>2000.0</v>
      </c>
      <c r="R19" s="34">
        <v>100.0</v>
      </c>
      <c r="S19" s="34">
        <v>0.0</v>
      </c>
      <c r="T19" s="34">
        <v>0.0</v>
      </c>
      <c r="U19" s="33">
        <f>COUNTIFS('Data For Calculation - Insuranc'!A:A,A19,'Data For Calculation - Insuranc'!E:E,"CPA + RSA + AHDC + DOC")</f>
        <v>0</v>
      </c>
      <c r="V19" s="34" t="s">
        <v>3820</v>
      </c>
      <c r="W19" s="34">
        <v>838.99</v>
      </c>
      <c r="X19" s="34" t="s">
        <v>3853</v>
      </c>
      <c r="Y19" s="34">
        <v>0.0</v>
      </c>
      <c r="Z19" s="34">
        <v>100.0</v>
      </c>
      <c r="AA19" s="34">
        <v>0.0</v>
      </c>
      <c r="AB19" s="34">
        <v>0.0</v>
      </c>
      <c r="AC19" s="33">
        <f>COUNTIFS('Data For Calculation - Insuranc'!A:A,A19,'Data For Calculation - Insuranc'!E:E,"CPA + RSA : 5 Years")</f>
        <v>0</v>
      </c>
      <c r="AD19" s="34" t="s">
        <v>3820</v>
      </c>
      <c r="AE19" s="34">
        <v>838.99</v>
      </c>
      <c r="AF19" s="34" t="s">
        <v>3853</v>
      </c>
      <c r="AG19" s="34">
        <v>0.0</v>
      </c>
      <c r="AH19" s="34">
        <v>100.0</v>
      </c>
      <c r="AI19" s="34">
        <v>0.0</v>
      </c>
      <c r="AJ19" s="34">
        <v>0.0</v>
      </c>
      <c r="AK19" s="33">
        <f>COUNTIFS('Data For Calculation - Insuranc'!A:A,A19,'Data For Calculation - Insuranc'!E:E,"Assistance + CPA : 5 Years")</f>
        <v>0</v>
      </c>
      <c r="AL19" s="34" t="s">
        <v>3854</v>
      </c>
      <c r="AM19" s="34">
        <v>100.0</v>
      </c>
      <c r="AN19" s="34" t="s">
        <v>3855</v>
      </c>
      <c r="AO19" s="34">
        <v>2000.0</v>
      </c>
      <c r="AP19" s="34">
        <v>100.0</v>
      </c>
      <c r="AQ19" s="34">
        <v>0.0</v>
      </c>
      <c r="AR19" s="34">
        <v>0.0</v>
      </c>
      <c r="AS19" s="33">
        <f>COUNTIFS('Data For Calculation - Insuranc'!A:A,A19,'Data For Calculation - Insuranc'!E:E,"RSA + AHDC + DOC")</f>
        <v>0</v>
      </c>
      <c r="BR19" s="33">
        <f t="shared" si="1"/>
        <v>0</v>
      </c>
      <c r="BS19" s="33">
        <f>SUMIFS('Data For Calculation - Insuranc'!I:I,'Data For Calculation - Insuranc'!$A:$A,$A19)</f>
        <v>0</v>
      </c>
      <c r="BT19" s="33">
        <f>SUMIFS('Data For Calculation - Insuranc'!J:J,'Data For Calculation - Insuranc'!$A:$A,$A19)</f>
        <v>0</v>
      </c>
      <c r="BU19" s="33">
        <f>SUMIFS('Data For Calculation - Insuranc'!K:K,'Data For Calculation - Insuranc'!$A:$A,$A19)</f>
        <v>0</v>
      </c>
      <c r="BV19" s="33">
        <f>IF($CC19 = "Dealer", SUMIFS('Data For Calculation - Insuranc'!I:I,'Data For Calculation - Insuranc'!$B:$B,$A19,'Data For Calculation - Insuranc'!$H:$H,"Master Dealer")) + SUMIFS('Data For Calculation - Insuranc'!I:I,'Data For Calculation - Insuranc'!$A:$A,$A19,'Data For Calculation - Insuranc'!$H:$H,"Self")</f>
        <v>0</v>
      </c>
      <c r="BW19" s="33">
        <f>IF($CC19 = "Dealer", SUMIFS('Data For Calculation - Insuranc'!J:J,'Data For Calculation - Insuranc'!$B:$B,$A19,'Data For Calculation - Insuranc'!$H:$H,"Master Dealer")) + SUMIFS('Data For Calculation - Insuranc'!J:J,'Data For Calculation - Insuranc'!$A:$A,$A19,'Data For Calculation - Insuranc'!$H:$H,"Self")</f>
        <v>0</v>
      </c>
      <c r="BX19" s="33">
        <f>IF($CC19 = "Dealer", SUMIFS('Data For Calculation - Insuranc'!K:K,'Data For Calculation - Insuranc'!$B:$B,$A19,'Data For Calculation - Insuranc'!$H:$H,"Master Dealer")) + SUMIFS('Data For Calculation - Insuranc'!K:K,'Data For Calculation - Insuranc'!$A:$A,$A19,'Data For Calculation - Insuranc'!$H:$H,"Self")</f>
        <v>0</v>
      </c>
      <c r="BY19" s="26" t="str">
        <f>(Sheet1!N19)</f>
        <v>Metro Motors - Rohini</v>
      </c>
      <c r="BZ19" s="26" t="str">
        <f>(Sheet1!O19)</f>
        <v>1xzNzUpRuyZzl8DSwrt-yCan_GYtxqCgVm5i_XkKZrso</v>
      </c>
      <c r="CA19" s="25" t="str">
        <f>(Sheet1!AV19)</f>
        <v/>
      </c>
      <c r="CB19" s="25" t="str">
        <f>(Sheet1!AW19)</f>
        <v/>
      </c>
      <c r="CC19" s="26" t="str">
        <f>(Sheet1!P19)</f>
        <v>Dealer</v>
      </c>
    </row>
    <row r="20">
      <c r="A20" s="25" t="str">
        <f>(Sheet1!A20)</f>
        <v>1aig_7rzTvnQej6pxtLbGhfZNPUH2VLzHk2NHcxmPOhg</v>
      </c>
      <c r="B20" s="25" t="str">
        <f>(Sheet1!B20)</f>
        <v>Singla Auto Agencies (Noida)</v>
      </c>
      <c r="C20" s="30" t="str">
        <f>Sheet1!BB20</f>
        <v>Yes</v>
      </c>
      <c r="D20" s="30" t="s">
        <v>13</v>
      </c>
      <c r="E20" s="34" t="s">
        <v>13</v>
      </c>
      <c r="F20" s="30" t="s">
        <v>3820</v>
      </c>
      <c r="G20" s="31">
        <v>290.0</v>
      </c>
      <c r="H20" s="34" t="s">
        <v>3853</v>
      </c>
      <c r="I20" s="34">
        <v>0.0</v>
      </c>
      <c r="J20" s="34">
        <v>100.0</v>
      </c>
      <c r="K20" s="34">
        <v>0.0</v>
      </c>
      <c r="L20" s="34">
        <v>0.0</v>
      </c>
      <c r="M20" s="33">
        <f>COUNTIFS('Data For Calculation - Insuranc'!A:A,A20,'Data For Calculation - Insuranc'!E:E,"CPA + RSA")</f>
        <v>0</v>
      </c>
      <c r="N20" s="30" t="s">
        <v>3820</v>
      </c>
      <c r="O20" s="34">
        <v>100.0</v>
      </c>
      <c r="P20" s="34" t="s">
        <v>3855</v>
      </c>
      <c r="Q20" s="34">
        <v>2300.0</v>
      </c>
      <c r="R20" s="34">
        <v>100.0</v>
      </c>
      <c r="S20" s="34">
        <v>0.0</v>
      </c>
      <c r="T20" s="34">
        <v>0.0</v>
      </c>
      <c r="U20" s="33">
        <f>COUNTIFS('Data For Calculation - Insuranc'!A:A,A20,'Data For Calculation - Insuranc'!E:E,"CPA + RSA + AHDC + DOC")</f>
        <v>0</v>
      </c>
      <c r="V20" s="30" t="s">
        <v>3820</v>
      </c>
      <c r="W20" s="34">
        <v>838.99</v>
      </c>
      <c r="X20" s="34" t="s">
        <v>3853</v>
      </c>
      <c r="Y20" s="34">
        <v>0.0</v>
      </c>
      <c r="Z20" s="34">
        <v>100.0</v>
      </c>
      <c r="AA20" s="34">
        <v>0.0</v>
      </c>
      <c r="AB20" s="34">
        <v>0.0</v>
      </c>
      <c r="AC20" s="33">
        <f>COUNTIFS('Data For Calculation - Insuranc'!A:A,A20,'Data For Calculation - Insuranc'!E:E,"CPA + RSA : 5 Years")</f>
        <v>0</v>
      </c>
      <c r="AD20" s="30" t="s">
        <v>3820</v>
      </c>
      <c r="AE20" s="31">
        <v>838.99</v>
      </c>
      <c r="AF20" s="34" t="s">
        <v>3853</v>
      </c>
      <c r="AG20" s="34">
        <v>0.0</v>
      </c>
      <c r="AH20" s="34">
        <v>100.0</v>
      </c>
      <c r="AI20" s="34">
        <v>0.0</v>
      </c>
      <c r="AJ20" s="34">
        <v>0.0</v>
      </c>
      <c r="AK20" s="33">
        <f>COUNTIFS('Data For Calculation - Insuranc'!A:A,A20,'Data For Calculation - Insuranc'!E:E,"Assistance + CPA : 5 Years")</f>
        <v>0</v>
      </c>
      <c r="AL20" s="30" t="s">
        <v>3820</v>
      </c>
      <c r="AM20" s="34">
        <v>100.0</v>
      </c>
      <c r="AN20" s="34" t="s">
        <v>3855</v>
      </c>
      <c r="AO20" s="34">
        <v>2300.0</v>
      </c>
      <c r="AP20" s="34">
        <v>100.0</v>
      </c>
      <c r="AQ20" s="34">
        <v>0.0</v>
      </c>
      <c r="AR20" s="34">
        <v>0.0</v>
      </c>
      <c r="AS20" s="33">
        <f>COUNTIFS('Data For Calculation - Insuranc'!A:A,A20,'Data For Calculation - Insuranc'!E:E,"RSA + AHDC + DOC")</f>
        <v>0</v>
      </c>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f t="shared" si="1"/>
        <v>0</v>
      </c>
      <c r="BS20" s="33">
        <f>SUMIFS('Data For Calculation - Insuranc'!I:I,'Data For Calculation - Insuranc'!$A:$A,$A20)</f>
        <v>0</v>
      </c>
      <c r="BT20" s="33">
        <f>SUMIFS('Data For Calculation - Insuranc'!J:J,'Data For Calculation - Insuranc'!$A:$A,$A20)</f>
        <v>0</v>
      </c>
      <c r="BU20" s="33">
        <f>SUMIFS('Data For Calculation - Insuranc'!K:K,'Data For Calculation - Insuranc'!$A:$A,$A20)</f>
        <v>0</v>
      </c>
      <c r="BV20" s="33">
        <f>IF($CC20 = "Dealer", SUMIFS('Data For Calculation - Insuranc'!I:I,'Data For Calculation - Insuranc'!$B:$B,$A20,'Data For Calculation - Insuranc'!$H:$H,"Master Dealer")) + SUMIFS('Data For Calculation - Insuranc'!I:I,'Data For Calculation - Insuranc'!$A:$A,$A20,'Data For Calculation - Insuranc'!$H:$H,"Self")</f>
        <v>0</v>
      </c>
      <c r="BW20" s="33">
        <f>IF($CC20 = "Dealer", SUMIFS('Data For Calculation - Insuranc'!J:J,'Data For Calculation - Insuranc'!$B:$B,$A20,'Data For Calculation - Insuranc'!$H:$H,"Master Dealer")) + SUMIFS('Data For Calculation - Insuranc'!J:J,'Data For Calculation - Insuranc'!$A:$A,$A20,'Data For Calculation - Insuranc'!$H:$H,"Self")</f>
        <v>0</v>
      </c>
      <c r="BX20" s="33">
        <f>IF($CC20 = "Dealer", SUMIFS('Data For Calculation - Insuranc'!K:K,'Data For Calculation - Insuranc'!$B:$B,$A20,'Data For Calculation - Insuranc'!$H:$H,"Master Dealer")) + SUMIFS('Data For Calculation - Insuranc'!K:K,'Data For Calculation - Insuranc'!$A:$A,$A20,'Data For Calculation - Insuranc'!$H:$H,"Self")</f>
        <v>0</v>
      </c>
      <c r="BY20" s="25" t="str">
        <f>(Sheet1!N20)</f>
        <v>Singla Auto Agencies (Noida)</v>
      </c>
      <c r="BZ20" s="25" t="str">
        <f>(Sheet1!O20)</f>
        <v>1aig_7rzTvnQej6pxtLbGhfZNPUH2VLzHk2NHcxmPOhg</v>
      </c>
      <c r="CA20" s="25" t="str">
        <f>(Sheet1!AV20)</f>
        <v/>
      </c>
      <c r="CB20" s="25" t="str">
        <f>(Sheet1!AW20)</f>
        <v/>
      </c>
      <c r="CC20" s="26" t="str">
        <f>(Sheet1!P20)</f>
        <v>Dealer</v>
      </c>
    </row>
    <row r="21">
      <c r="A21" s="25" t="str">
        <f>(Sheet1!A21)</f>
        <v>1Q3uII698FTgwSsGljmJBRy3Pnf7HltUwjiLdE7gTk3E</v>
      </c>
      <c r="B21" s="25" t="str">
        <f>(Sheet1!B21)</f>
        <v>Singla Auto Agencies (Chapraulla)</v>
      </c>
      <c r="C21" s="30" t="str">
        <f>Sheet1!BB21</f>
        <v>No</v>
      </c>
      <c r="D21" s="30" t="s">
        <v>13</v>
      </c>
      <c r="E21" s="34" t="s">
        <v>13</v>
      </c>
      <c r="F21" s="30" t="s">
        <v>3820</v>
      </c>
      <c r="G21" s="31">
        <v>290.0</v>
      </c>
      <c r="H21" s="34" t="s">
        <v>3853</v>
      </c>
      <c r="I21" s="34">
        <v>0.0</v>
      </c>
      <c r="J21" s="34">
        <v>100.0</v>
      </c>
      <c r="K21" s="34">
        <v>0.0</v>
      </c>
      <c r="L21" s="34">
        <v>0.0</v>
      </c>
      <c r="M21" s="33">
        <f>COUNTIFS('Data For Calculation - Insuranc'!A:A,A21,'Data For Calculation - Insuranc'!E:E,"CPA + RSA")</f>
        <v>0</v>
      </c>
      <c r="N21" s="30" t="s">
        <v>3820</v>
      </c>
      <c r="O21" s="31">
        <v>460.0</v>
      </c>
      <c r="P21" s="34" t="s">
        <v>3853</v>
      </c>
      <c r="Q21" s="34">
        <v>0.0</v>
      </c>
      <c r="R21" s="34">
        <v>100.0</v>
      </c>
      <c r="S21" s="34">
        <v>0.0</v>
      </c>
      <c r="T21" s="34">
        <v>0.0</v>
      </c>
      <c r="U21" s="33">
        <f>COUNTIFS('Data For Calculation - Insuranc'!A:A,A21,'Data For Calculation - Insuranc'!E:E,"CPA + RSA + AHDC + DOC")</f>
        <v>0</v>
      </c>
      <c r="V21" s="30" t="s">
        <v>3820</v>
      </c>
      <c r="W21" s="34">
        <v>838.99</v>
      </c>
      <c r="X21" s="34" t="s">
        <v>3853</v>
      </c>
      <c r="Y21" s="34">
        <v>0.0</v>
      </c>
      <c r="Z21" s="34">
        <v>100.0</v>
      </c>
      <c r="AA21" s="34">
        <v>0.0</v>
      </c>
      <c r="AB21" s="34">
        <v>0.0</v>
      </c>
      <c r="AC21" s="33">
        <f>COUNTIFS('Data For Calculation - Insuranc'!A:A,A21,'Data For Calculation - Insuranc'!E:E,"CPA + RSA : 5 Years")</f>
        <v>0</v>
      </c>
      <c r="AD21" s="30" t="s">
        <v>3820</v>
      </c>
      <c r="AE21" s="31">
        <v>838.99</v>
      </c>
      <c r="AF21" s="34" t="s">
        <v>3853</v>
      </c>
      <c r="AG21" s="34">
        <v>0.0</v>
      </c>
      <c r="AH21" s="34">
        <v>100.0</v>
      </c>
      <c r="AI21" s="34">
        <v>0.0</v>
      </c>
      <c r="AJ21" s="34">
        <v>0.0</v>
      </c>
      <c r="AK21" s="33">
        <f>COUNTIFS('Data For Calculation - Insuranc'!A:A,A21,'Data For Calculation - Insuranc'!E:E,"Assistance + CPA : 5 Years")</f>
        <v>0</v>
      </c>
      <c r="AL21" s="30" t="s">
        <v>3820</v>
      </c>
      <c r="AM21" s="31">
        <v>290.0</v>
      </c>
      <c r="AN21" s="34" t="s">
        <v>3853</v>
      </c>
      <c r="AO21" s="34">
        <v>0.0</v>
      </c>
      <c r="AP21" s="34">
        <v>100.0</v>
      </c>
      <c r="AQ21" s="34">
        <v>0.0</v>
      </c>
      <c r="AR21" s="34">
        <v>0.0</v>
      </c>
      <c r="AS21" s="33">
        <f>COUNTIFS('Data For Calculation - Insuranc'!A:A,A21,'Data For Calculation - Insuranc'!E:E,"RSA + AHDC + DOC")</f>
        <v>0</v>
      </c>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f t="shared" si="1"/>
        <v>0</v>
      </c>
      <c r="BS21" s="33">
        <f>SUMIFS('Data For Calculation - Insuranc'!I:I,'Data For Calculation - Insuranc'!$A:$A,$A21)</f>
        <v>0</v>
      </c>
      <c r="BT21" s="33">
        <f>SUMIFS('Data For Calculation - Insuranc'!J:J,'Data For Calculation - Insuranc'!$A:$A,$A21)</f>
        <v>0</v>
      </c>
      <c r="BU21" s="33">
        <f>SUMIFS('Data For Calculation - Insuranc'!K:K,'Data For Calculation - Insuranc'!$A:$A,$A21)</f>
        <v>0</v>
      </c>
      <c r="BV21" s="33">
        <f>IF($CC21 = "Dealer", SUMIFS('Data For Calculation - Insuranc'!I:I,'Data For Calculation - Insuranc'!$B:$B,$A21,'Data For Calculation - Insuranc'!$H:$H,"Master Dealer")) + SUMIFS('Data For Calculation - Insuranc'!I:I,'Data For Calculation - Insuranc'!$A:$A,$A21,'Data For Calculation - Insuranc'!$H:$H,"Self")</f>
        <v>0</v>
      </c>
      <c r="BW21" s="33">
        <f>IF($CC21 = "Dealer", SUMIFS('Data For Calculation - Insuranc'!J:J,'Data For Calculation - Insuranc'!$B:$B,$A21,'Data For Calculation - Insuranc'!$H:$H,"Master Dealer")) + SUMIFS('Data For Calculation - Insuranc'!J:J,'Data For Calculation - Insuranc'!$A:$A,$A21,'Data For Calculation - Insuranc'!$H:$H,"Self")</f>
        <v>0</v>
      </c>
      <c r="BX21" s="33">
        <f>IF($CC21 = "Dealer", SUMIFS('Data For Calculation - Insuranc'!K:K,'Data For Calculation - Insuranc'!$B:$B,$A21,'Data For Calculation - Insuranc'!$H:$H,"Master Dealer")) + SUMIFS('Data For Calculation - Insuranc'!K:K,'Data For Calculation - Insuranc'!$A:$A,$A21,'Data For Calculation - Insuranc'!$H:$H,"Self")</f>
        <v>0</v>
      </c>
      <c r="BY21" s="25" t="str">
        <f>(Sheet1!N21)</f>
        <v>Singla Auto Agencies (Noida)</v>
      </c>
      <c r="BZ21" s="25" t="str">
        <f>(Sheet1!O21)</f>
        <v>1aig_7rzTvnQej6pxtLbGhfZNPUH2VLzHk2NHcxmPOhg</v>
      </c>
      <c r="CA21" s="25" t="str">
        <f>(Sheet1!AV21)</f>
        <v/>
      </c>
      <c r="CB21" s="25" t="str">
        <f>(Sheet1!AW21)</f>
        <v/>
      </c>
      <c r="CC21" s="26" t="str">
        <f>(Sheet1!P21)</f>
        <v>Sub Dealer</v>
      </c>
    </row>
    <row r="22">
      <c r="A22" s="25" t="str">
        <f>(Sheet1!A22)</f>
        <v>1vUFSLp9ap8UTFwG791bhTrhPizHEeVuDln11hfH1j4w</v>
      </c>
      <c r="B22" s="25" t="str">
        <f>(Sheet1!B22)</f>
        <v>Singla Auto Agencies (Dadri)</v>
      </c>
      <c r="C22" s="30" t="str">
        <f>Sheet1!BB22</f>
        <v>No</v>
      </c>
      <c r="D22" s="30" t="s">
        <v>13</v>
      </c>
      <c r="E22" s="34" t="s">
        <v>13</v>
      </c>
      <c r="F22" s="30" t="s">
        <v>3820</v>
      </c>
      <c r="G22" s="31">
        <v>290.0</v>
      </c>
      <c r="H22" s="34" t="s">
        <v>3853</v>
      </c>
      <c r="I22" s="34">
        <v>0.0</v>
      </c>
      <c r="J22" s="34">
        <v>100.0</v>
      </c>
      <c r="K22" s="34">
        <v>0.0</v>
      </c>
      <c r="L22" s="34">
        <v>0.0</v>
      </c>
      <c r="M22" s="33">
        <f>COUNTIFS('Data For Calculation - Insuranc'!A:A,A22,'Data For Calculation - Insuranc'!E:E,"CPA + RSA")</f>
        <v>0</v>
      </c>
      <c r="N22" s="30" t="s">
        <v>3820</v>
      </c>
      <c r="O22" s="31">
        <v>460.0</v>
      </c>
      <c r="P22" s="34" t="s">
        <v>3853</v>
      </c>
      <c r="Q22" s="34">
        <v>0.0</v>
      </c>
      <c r="R22" s="34">
        <v>100.0</v>
      </c>
      <c r="S22" s="34">
        <v>0.0</v>
      </c>
      <c r="T22" s="34">
        <v>0.0</v>
      </c>
      <c r="U22" s="33">
        <f>COUNTIFS('Data For Calculation - Insuranc'!A:A,A22,'Data For Calculation - Insuranc'!E:E,"CPA + RSA + AHDC + DOC")</f>
        <v>0</v>
      </c>
      <c r="V22" s="30" t="s">
        <v>3820</v>
      </c>
      <c r="W22" s="34">
        <v>838.99</v>
      </c>
      <c r="X22" s="34" t="s">
        <v>3853</v>
      </c>
      <c r="Y22" s="34">
        <v>0.0</v>
      </c>
      <c r="Z22" s="34">
        <v>100.0</v>
      </c>
      <c r="AA22" s="34">
        <v>0.0</v>
      </c>
      <c r="AB22" s="34">
        <v>0.0</v>
      </c>
      <c r="AC22" s="33">
        <f>COUNTIFS('Data For Calculation - Insuranc'!A:A,A22,'Data For Calculation - Insuranc'!E:E,"CPA + RSA : 5 Years")</f>
        <v>0</v>
      </c>
      <c r="AD22" s="30" t="s">
        <v>3820</v>
      </c>
      <c r="AE22" s="31">
        <v>838.99</v>
      </c>
      <c r="AF22" s="34" t="s">
        <v>3853</v>
      </c>
      <c r="AG22" s="34">
        <v>0.0</v>
      </c>
      <c r="AH22" s="34">
        <v>100.0</v>
      </c>
      <c r="AI22" s="34">
        <v>0.0</v>
      </c>
      <c r="AJ22" s="34">
        <v>0.0</v>
      </c>
      <c r="AK22" s="33">
        <f>COUNTIFS('Data For Calculation - Insuranc'!A:A,A22,'Data For Calculation - Insuranc'!E:E,"Assistance + CPA : 5 Years")</f>
        <v>0</v>
      </c>
      <c r="AL22" s="30" t="s">
        <v>3820</v>
      </c>
      <c r="AM22" s="31">
        <v>290.0</v>
      </c>
      <c r="AN22" s="34" t="s">
        <v>3853</v>
      </c>
      <c r="AO22" s="34">
        <v>0.0</v>
      </c>
      <c r="AP22" s="34">
        <v>100.0</v>
      </c>
      <c r="AQ22" s="34">
        <v>0.0</v>
      </c>
      <c r="AR22" s="34">
        <v>0.0</v>
      </c>
      <c r="AS22" s="33">
        <f>COUNTIFS('Data For Calculation - Insuranc'!A:A,A22,'Data For Calculation - Insuranc'!E:E,"RSA + AHDC + DOC")</f>
        <v>0</v>
      </c>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f t="shared" si="1"/>
        <v>0</v>
      </c>
      <c r="BS22" s="33">
        <f>SUMIFS('Data For Calculation - Insuranc'!I:I,'Data For Calculation - Insuranc'!$A:$A,$A22)</f>
        <v>0</v>
      </c>
      <c r="BT22" s="33">
        <f>SUMIFS('Data For Calculation - Insuranc'!J:J,'Data For Calculation - Insuranc'!$A:$A,$A22)</f>
        <v>0</v>
      </c>
      <c r="BU22" s="33">
        <f>SUMIFS('Data For Calculation - Insuranc'!K:K,'Data For Calculation - Insuranc'!$A:$A,$A22)</f>
        <v>0</v>
      </c>
      <c r="BV22" s="33">
        <f>IF($CC22 = "Dealer", SUMIFS('Data For Calculation - Insuranc'!I:I,'Data For Calculation - Insuranc'!$B:$B,$A22,'Data For Calculation - Insuranc'!$H:$H,"Master Dealer")) + SUMIFS('Data For Calculation - Insuranc'!I:I,'Data For Calculation - Insuranc'!$A:$A,$A22,'Data For Calculation - Insuranc'!$H:$H,"Self")</f>
        <v>0</v>
      </c>
      <c r="BW22" s="33">
        <f>IF($CC22 = "Dealer", SUMIFS('Data For Calculation - Insuranc'!J:J,'Data For Calculation - Insuranc'!$B:$B,$A22,'Data For Calculation - Insuranc'!$H:$H,"Master Dealer")) + SUMIFS('Data For Calculation - Insuranc'!J:J,'Data For Calculation - Insuranc'!$A:$A,$A22,'Data For Calculation - Insuranc'!$H:$H,"Self")</f>
        <v>0</v>
      </c>
      <c r="BX22" s="33">
        <f>IF($CC22 = "Dealer", SUMIFS('Data For Calculation - Insuranc'!K:K,'Data For Calculation - Insuranc'!$B:$B,$A22,'Data For Calculation - Insuranc'!$H:$H,"Master Dealer")) + SUMIFS('Data For Calculation - Insuranc'!K:K,'Data For Calculation - Insuranc'!$A:$A,$A22,'Data For Calculation - Insuranc'!$H:$H,"Self")</f>
        <v>0</v>
      </c>
      <c r="BY22" s="25" t="str">
        <f>(Sheet1!N22)</f>
        <v>Singla Auto Agencies (Noida)</v>
      </c>
      <c r="BZ22" s="25" t="str">
        <f>(Sheet1!O22)</f>
        <v>1aig_7rzTvnQej6pxtLbGhfZNPUH2VLzHk2NHcxmPOhg</v>
      </c>
      <c r="CA22" s="25" t="str">
        <f>(Sheet1!AV22)</f>
        <v/>
      </c>
      <c r="CB22" s="25" t="str">
        <f>(Sheet1!AW22)</f>
        <v/>
      </c>
      <c r="CC22" s="26" t="str">
        <f>(Sheet1!P22)</f>
        <v>Sub Dealer</v>
      </c>
    </row>
    <row r="23">
      <c r="A23" s="25" t="str">
        <f>(Sheet1!A23)</f>
        <v>1RySEyS05cXvVcjfIhWh9Hhv1aLw7DmuiSqcsr3PfWVo</v>
      </c>
      <c r="B23" s="25" t="str">
        <f>(Sheet1!B23)</f>
        <v>Atmaram HERO</v>
      </c>
      <c r="C23" s="30" t="str">
        <f>Sheet1!BB23</f>
        <v>No</v>
      </c>
      <c r="D23" s="30" t="s">
        <v>13</v>
      </c>
      <c r="E23" s="34" t="s">
        <v>13</v>
      </c>
      <c r="F23" s="30" t="s">
        <v>3820</v>
      </c>
      <c r="G23" s="31">
        <v>290.0</v>
      </c>
      <c r="H23" s="34" t="s">
        <v>3853</v>
      </c>
      <c r="I23" s="34">
        <v>0.0</v>
      </c>
      <c r="J23" s="34">
        <v>100.0</v>
      </c>
      <c r="K23" s="34">
        <v>0.0</v>
      </c>
      <c r="L23" s="34">
        <v>0.0</v>
      </c>
      <c r="M23" s="33">
        <f>COUNTIFS('Data For Calculation - Insuranc'!A:A,A23,'Data For Calculation - Insuranc'!E:E,"CPA + RSA")</f>
        <v>0</v>
      </c>
      <c r="N23" s="30" t="s">
        <v>3820</v>
      </c>
      <c r="O23" s="31">
        <v>460.0</v>
      </c>
      <c r="P23" s="34" t="s">
        <v>3853</v>
      </c>
      <c r="Q23" s="34">
        <v>0.0</v>
      </c>
      <c r="R23" s="34">
        <v>100.0</v>
      </c>
      <c r="S23" s="34">
        <v>0.0</v>
      </c>
      <c r="T23" s="34">
        <v>0.0</v>
      </c>
      <c r="U23" s="33">
        <f>COUNTIFS('Data For Calculation - Insuranc'!A:A,A23,'Data For Calculation - Insuranc'!E:E,"CPA + RSA + AHDC + DOC")</f>
        <v>0</v>
      </c>
      <c r="V23" s="30" t="s">
        <v>3820</v>
      </c>
      <c r="W23" s="34">
        <v>838.99</v>
      </c>
      <c r="X23" s="34" t="s">
        <v>3853</v>
      </c>
      <c r="Y23" s="34">
        <v>0.0</v>
      </c>
      <c r="Z23" s="34">
        <v>100.0</v>
      </c>
      <c r="AA23" s="34">
        <v>0.0</v>
      </c>
      <c r="AB23" s="34">
        <v>0.0</v>
      </c>
      <c r="AC23" s="33">
        <f>COUNTIFS('Data For Calculation - Insuranc'!A:A,A23,'Data For Calculation - Insuranc'!E:E,"CPA + RSA : 5 Years")</f>
        <v>0</v>
      </c>
      <c r="AD23" s="30" t="s">
        <v>3820</v>
      </c>
      <c r="AE23" s="31">
        <v>838.99</v>
      </c>
      <c r="AF23" s="34" t="s">
        <v>3853</v>
      </c>
      <c r="AG23" s="34">
        <v>0.0</v>
      </c>
      <c r="AH23" s="34">
        <v>100.0</v>
      </c>
      <c r="AI23" s="34">
        <v>0.0</v>
      </c>
      <c r="AJ23" s="34">
        <v>0.0</v>
      </c>
      <c r="AK23" s="33">
        <f>COUNTIFS('Data For Calculation - Insuranc'!A:A,A23,'Data For Calculation - Insuranc'!E:E,"Assistance + CPA : 5 Years")</f>
        <v>0</v>
      </c>
      <c r="AL23" s="30" t="s">
        <v>3820</v>
      </c>
      <c r="AM23" s="31">
        <v>290.0</v>
      </c>
      <c r="AN23" s="34" t="s">
        <v>3853</v>
      </c>
      <c r="AO23" s="34">
        <v>0.0</v>
      </c>
      <c r="AP23" s="34">
        <v>100.0</v>
      </c>
      <c r="AQ23" s="34">
        <v>0.0</v>
      </c>
      <c r="AR23" s="34">
        <v>0.0</v>
      </c>
      <c r="AS23" s="33">
        <f>COUNTIFS('Data For Calculation - Insuranc'!A:A,A23,'Data For Calculation - Insuranc'!E:E,"RSA + AHDC + DOC")</f>
        <v>0</v>
      </c>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f t="shared" si="1"/>
        <v>0</v>
      </c>
      <c r="BS23" s="33">
        <f>SUMIFS('Data For Calculation - Insuranc'!I:I,'Data For Calculation - Insuranc'!$A:$A,$A23)</f>
        <v>0</v>
      </c>
      <c r="BT23" s="33">
        <f>SUMIFS('Data For Calculation - Insuranc'!J:J,'Data For Calculation - Insuranc'!$A:$A,$A23)</f>
        <v>0</v>
      </c>
      <c r="BU23" s="33">
        <f>SUMIFS('Data For Calculation - Insuranc'!K:K,'Data For Calculation - Insuranc'!$A:$A,$A23)</f>
        <v>0</v>
      </c>
      <c r="BV23" s="33">
        <f>IF($CC23 = "Dealer", SUMIFS('Data For Calculation - Insuranc'!I:I,'Data For Calculation - Insuranc'!$B:$B,$A23,'Data For Calculation - Insuranc'!$H:$H,"Master Dealer")) + SUMIFS('Data For Calculation - Insuranc'!I:I,'Data For Calculation - Insuranc'!$A:$A,$A23,'Data For Calculation - Insuranc'!$H:$H,"Self")</f>
        <v>0</v>
      </c>
      <c r="BW23" s="33">
        <f>IF($CC23 = "Dealer", SUMIFS('Data For Calculation - Insuranc'!J:J,'Data For Calculation - Insuranc'!$B:$B,$A23,'Data For Calculation - Insuranc'!$H:$H,"Master Dealer")) + SUMIFS('Data For Calculation - Insuranc'!J:J,'Data For Calculation - Insuranc'!$A:$A,$A23,'Data For Calculation - Insuranc'!$H:$H,"Self")</f>
        <v>0</v>
      </c>
      <c r="BX23" s="33">
        <f>IF($CC23 = "Dealer", SUMIFS('Data For Calculation - Insuranc'!K:K,'Data For Calculation - Insuranc'!$B:$B,$A23,'Data For Calculation - Insuranc'!$H:$H,"Master Dealer")) + SUMIFS('Data For Calculation - Insuranc'!K:K,'Data For Calculation - Insuranc'!$A:$A,$A23,'Data For Calculation - Insuranc'!$H:$H,"Self")</f>
        <v>0</v>
      </c>
      <c r="BY23" s="25" t="str">
        <f>(Sheet1!N23)</f>
        <v>Atmaram HERO</v>
      </c>
      <c r="BZ23" s="25" t="str">
        <f>(Sheet1!O23)</f>
        <v>1RySEyS05cXvVcjfIhWh9Hhv1aLw7DmuiSqcsr3PfWVo</v>
      </c>
      <c r="CA23" s="25" t="str">
        <f>(Sheet1!AV23)</f>
        <v/>
      </c>
      <c r="CB23" s="25" t="str">
        <f>(Sheet1!AW23)</f>
        <v/>
      </c>
      <c r="CC23" s="26" t="str">
        <f>(Sheet1!P23)</f>
        <v>Dealer</v>
      </c>
    </row>
    <row r="24">
      <c r="A24" s="25" t="str">
        <f>(Sheet1!A24)</f>
        <v>1mkGLSaVL5-IAXKq9KqXFgJH64Li9oMA9V0u_seCn1jg</v>
      </c>
      <c r="B24" s="25" t="str">
        <f>(Sheet1!B24)</f>
        <v>Maharaja Autoworld</v>
      </c>
      <c r="C24" s="30" t="str">
        <f>Sheet1!BB24</f>
        <v>No</v>
      </c>
      <c r="D24" s="30" t="s">
        <v>13</v>
      </c>
      <c r="E24" s="34" t="s">
        <v>13</v>
      </c>
      <c r="F24" s="30" t="s">
        <v>3820</v>
      </c>
      <c r="G24" s="31">
        <v>170.0</v>
      </c>
      <c r="H24" s="34" t="s">
        <v>3853</v>
      </c>
      <c r="I24" s="34">
        <v>0.0</v>
      </c>
      <c r="J24" s="34">
        <v>100.0</v>
      </c>
      <c r="K24" s="34">
        <v>0.0</v>
      </c>
      <c r="L24" s="34">
        <v>0.0</v>
      </c>
      <c r="M24" s="33">
        <f>COUNTIFS('Data For Calculation - Insuranc'!A:A,A24,'Data For Calculation - Insuranc'!E:E,"CPA + RSA")</f>
        <v>0</v>
      </c>
      <c r="N24" s="30" t="s">
        <v>3820</v>
      </c>
      <c r="O24" s="31">
        <v>170.0</v>
      </c>
      <c r="P24" s="34" t="s">
        <v>3853</v>
      </c>
      <c r="Q24" s="34">
        <v>0.0</v>
      </c>
      <c r="R24" s="34">
        <v>100.0</v>
      </c>
      <c r="S24" s="34">
        <v>0.0</v>
      </c>
      <c r="T24" s="34">
        <v>0.0</v>
      </c>
      <c r="U24" s="33">
        <f>COUNTIFS('Data For Calculation - Insuranc'!A:A,A24,'Data For Calculation - Insuranc'!E:E,"CPA + RSA + AHDC + DOC")</f>
        <v>0</v>
      </c>
      <c r="V24" s="30" t="s">
        <v>3820</v>
      </c>
      <c r="W24" s="34">
        <v>838.99</v>
      </c>
      <c r="X24" s="34" t="s">
        <v>3853</v>
      </c>
      <c r="Y24" s="34">
        <v>0.0</v>
      </c>
      <c r="Z24" s="34">
        <v>100.0</v>
      </c>
      <c r="AA24" s="34">
        <v>0.0</v>
      </c>
      <c r="AB24" s="34">
        <v>0.0</v>
      </c>
      <c r="AC24" s="33">
        <f>COUNTIFS('Data For Calculation - Insuranc'!A:A,A24,'Data For Calculation - Insuranc'!E:E,"CPA + RSA : 5 Years")</f>
        <v>0</v>
      </c>
      <c r="AD24" s="30" t="s">
        <v>3820</v>
      </c>
      <c r="AE24" s="31">
        <v>838.99</v>
      </c>
      <c r="AF24" s="34" t="s">
        <v>3853</v>
      </c>
      <c r="AG24" s="34">
        <v>0.0</v>
      </c>
      <c r="AH24" s="34">
        <v>100.0</v>
      </c>
      <c r="AI24" s="34">
        <v>0.0</v>
      </c>
      <c r="AJ24" s="34">
        <v>0.0</v>
      </c>
      <c r="AK24" s="33">
        <f>COUNTIFS('Data For Calculation - Insuranc'!A:A,A24,'Data For Calculation - Insuranc'!E:E,"Assistance + CPA : 5 Years")</f>
        <v>0</v>
      </c>
      <c r="AL24" s="30" t="s">
        <v>3820</v>
      </c>
      <c r="AM24" s="31">
        <v>170.0</v>
      </c>
      <c r="AN24" s="34" t="s">
        <v>3853</v>
      </c>
      <c r="AO24" s="34">
        <v>0.0</v>
      </c>
      <c r="AP24" s="34">
        <v>100.0</v>
      </c>
      <c r="AQ24" s="34">
        <v>0.0</v>
      </c>
      <c r="AR24" s="34">
        <v>0.0</v>
      </c>
      <c r="AS24" s="33">
        <f>COUNTIFS('Data For Calculation - Insuranc'!A:A,A24,'Data For Calculation - Insuranc'!E:E,"RSA + AHDC + DOC")</f>
        <v>0</v>
      </c>
      <c r="AT24" s="33"/>
      <c r="AU24" s="33"/>
      <c r="AV24" s="33"/>
      <c r="AW24" s="33"/>
      <c r="AX24" s="33"/>
      <c r="AY24" s="33"/>
      <c r="AZ24" s="33"/>
      <c r="BA24" s="33"/>
      <c r="BB24" s="33"/>
      <c r="BC24" s="33"/>
      <c r="BD24" s="33"/>
      <c r="BE24" s="33"/>
      <c r="BF24" s="33"/>
      <c r="BG24" s="33"/>
      <c r="BH24" s="33"/>
      <c r="BI24" s="33"/>
      <c r="BJ24" s="33"/>
      <c r="BK24" s="33"/>
      <c r="BL24" s="33"/>
      <c r="BM24" s="33"/>
      <c r="BN24" s="33"/>
      <c r="BO24" s="33"/>
      <c r="BP24" s="33"/>
      <c r="BQ24" s="33"/>
      <c r="BR24" s="33">
        <f t="shared" si="1"/>
        <v>0</v>
      </c>
      <c r="BS24" s="33">
        <f>SUMIFS('Data For Calculation - Insuranc'!I:I,'Data For Calculation - Insuranc'!$A:$A,$A24)</f>
        <v>0</v>
      </c>
      <c r="BT24" s="33">
        <f>SUMIFS('Data For Calculation - Insuranc'!J:J,'Data For Calculation - Insuranc'!$A:$A,$A24)</f>
        <v>0</v>
      </c>
      <c r="BU24" s="33">
        <f>SUMIFS('Data For Calculation - Insuranc'!K:K,'Data For Calculation - Insuranc'!$A:$A,$A24)</f>
        <v>0</v>
      </c>
      <c r="BV24" s="33">
        <f>IF($CC24 = "Dealer", SUMIFS('Data For Calculation - Insuranc'!I:I,'Data For Calculation - Insuranc'!$B:$B,$A24,'Data For Calculation - Insuranc'!$H:$H,"Master Dealer")) + SUMIFS('Data For Calculation - Insuranc'!I:I,'Data For Calculation - Insuranc'!$A:$A,$A24,'Data For Calculation - Insuranc'!$H:$H,"Self")</f>
        <v>0</v>
      </c>
      <c r="BW24" s="33">
        <f>IF($CC24 = "Dealer", SUMIFS('Data For Calculation - Insuranc'!J:J,'Data For Calculation - Insuranc'!$B:$B,$A24,'Data For Calculation - Insuranc'!$H:$H,"Master Dealer")) + SUMIFS('Data For Calculation - Insuranc'!J:J,'Data For Calculation - Insuranc'!$A:$A,$A24,'Data For Calculation - Insuranc'!$H:$H,"Self")</f>
        <v>0</v>
      </c>
      <c r="BX24" s="33">
        <f>IF($CC24 = "Dealer", SUMIFS('Data For Calculation - Insuranc'!K:K,'Data For Calculation - Insuranc'!$B:$B,$A24,'Data For Calculation - Insuranc'!$H:$H,"Master Dealer")) + SUMIFS('Data For Calculation - Insuranc'!K:K,'Data For Calculation - Insuranc'!$A:$A,$A24,'Data For Calculation - Insuranc'!$H:$H,"Self")</f>
        <v>0</v>
      </c>
      <c r="BY24" s="25" t="str">
        <f>(Sheet1!N24)</f>
        <v>Maharaja Autoworld</v>
      </c>
      <c r="BZ24" s="25" t="str">
        <f>(Sheet1!O24)</f>
        <v>1mkGLSaVL5-IAXKq9KqXFgJH64Li9oMA9V0u_seCn1jg</v>
      </c>
      <c r="CA24" s="25" t="str">
        <f>(Sheet1!AV24)</f>
        <v/>
      </c>
      <c r="CB24" s="25" t="str">
        <f>(Sheet1!AW24)</f>
        <v/>
      </c>
      <c r="CC24" s="26" t="str">
        <f>(Sheet1!P24)</f>
        <v>Dealer</v>
      </c>
    </row>
    <row r="25">
      <c r="A25" s="25" t="str">
        <f>(Sheet1!A25)</f>
        <v>1zcLyE9iYZSiWbBeptOlHKDUHdbuB0nnxanzAjCJdWSI</v>
      </c>
      <c r="B25" s="25" t="str">
        <f>(Sheet1!B25)</f>
        <v>G.S.TVS</v>
      </c>
      <c r="C25" s="30" t="str">
        <f>Sheet1!BB25</f>
        <v>No</v>
      </c>
      <c r="D25" s="30" t="s">
        <v>13</v>
      </c>
      <c r="E25" s="34" t="s">
        <v>13</v>
      </c>
      <c r="F25" s="30" t="s">
        <v>3817</v>
      </c>
      <c r="G25" s="31">
        <v>290.0</v>
      </c>
      <c r="H25" s="34" t="s">
        <v>3853</v>
      </c>
      <c r="I25" s="34">
        <v>0.0</v>
      </c>
      <c r="J25" s="34">
        <v>100.0</v>
      </c>
      <c r="K25" s="34">
        <v>0.0</v>
      </c>
      <c r="L25" s="34">
        <v>0.0</v>
      </c>
      <c r="M25" s="33">
        <f>COUNTIFS('Data For Calculation - Insuranc'!A:A,A25,'Data For Calculation - Insuranc'!E:E,"CPA + RSA")</f>
        <v>0</v>
      </c>
      <c r="N25" s="30" t="s">
        <v>3817</v>
      </c>
      <c r="O25" s="31">
        <v>460.0</v>
      </c>
      <c r="P25" s="34" t="s">
        <v>3853</v>
      </c>
      <c r="Q25" s="34">
        <v>0.0</v>
      </c>
      <c r="R25" s="34">
        <v>100.0</v>
      </c>
      <c r="S25" s="34">
        <v>0.0</v>
      </c>
      <c r="T25" s="34">
        <v>0.0</v>
      </c>
      <c r="U25" s="33">
        <f>COUNTIFS('Data For Calculation - Insuranc'!A:A,A25,'Data For Calculation - Insuranc'!E:E,"CPA + RSA + AHDC + DOC")</f>
        <v>0</v>
      </c>
      <c r="V25" s="30" t="s">
        <v>3817</v>
      </c>
      <c r="W25" s="34">
        <v>838.99</v>
      </c>
      <c r="X25" s="34" t="s">
        <v>3853</v>
      </c>
      <c r="Y25" s="34">
        <v>0.0</v>
      </c>
      <c r="Z25" s="34">
        <v>100.0</v>
      </c>
      <c r="AA25" s="34">
        <v>0.0</v>
      </c>
      <c r="AB25" s="34">
        <v>0.0</v>
      </c>
      <c r="AC25" s="33">
        <f>COUNTIFS('Data For Calculation - Insuranc'!A:A,A25,'Data For Calculation - Insuranc'!E:E,"CPA + RSA : 5 Years")</f>
        <v>0</v>
      </c>
      <c r="AD25" s="30" t="s">
        <v>3817</v>
      </c>
      <c r="AE25" s="31">
        <v>838.99</v>
      </c>
      <c r="AF25" s="34" t="s">
        <v>3853</v>
      </c>
      <c r="AG25" s="34">
        <v>0.0</v>
      </c>
      <c r="AH25" s="34">
        <v>100.0</v>
      </c>
      <c r="AI25" s="34">
        <v>0.0</v>
      </c>
      <c r="AJ25" s="34">
        <v>0.0</v>
      </c>
      <c r="AK25" s="33">
        <f>COUNTIFS('Data For Calculation - Insuranc'!A:A,A25,'Data For Calculation - Insuranc'!E:E,"Assistance + CPA : 5 Years")</f>
        <v>0</v>
      </c>
      <c r="AL25" s="30" t="s">
        <v>3817</v>
      </c>
      <c r="AM25" s="31">
        <v>290.0</v>
      </c>
      <c r="AN25" s="34" t="s">
        <v>3853</v>
      </c>
      <c r="AO25" s="34">
        <v>0.0</v>
      </c>
      <c r="AP25" s="34">
        <v>100.0</v>
      </c>
      <c r="AQ25" s="34">
        <v>0.0</v>
      </c>
      <c r="AR25" s="34">
        <v>0.0</v>
      </c>
      <c r="AS25" s="33">
        <f>COUNTIFS('Data For Calculation - Insuranc'!A:A,A25,'Data For Calculation - Insuranc'!E:E,"RSA + AHDC + DOC")</f>
        <v>0</v>
      </c>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f t="shared" si="1"/>
        <v>0</v>
      </c>
      <c r="BS25" s="33">
        <f>SUMIFS('Data For Calculation - Insuranc'!I:I,'Data For Calculation - Insuranc'!$A:$A,$A25)</f>
        <v>0</v>
      </c>
      <c r="BT25" s="33">
        <f>SUMIFS('Data For Calculation - Insuranc'!J:J,'Data For Calculation - Insuranc'!$A:$A,$A25)</f>
        <v>0</v>
      </c>
      <c r="BU25" s="33">
        <f>SUMIFS('Data For Calculation - Insuranc'!K:K,'Data For Calculation - Insuranc'!$A:$A,$A25)</f>
        <v>0</v>
      </c>
      <c r="BV25" s="33">
        <f>IF($CC25 = "Dealer", SUMIFS('Data For Calculation - Insuranc'!I:I,'Data For Calculation - Insuranc'!$B:$B,$A25,'Data For Calculation - Insuranc'!$H:$H,"Master Dealer")) + SUMIFS('Data For Calculation - Insuranc'!I:I,'Data For Calculation - Insuranc'!$A:$A,$A25,'Data For Calculation - Insuranc'!$H:$H,"Self")</f>
        <v>0</v>
      </c>
      <c r="BW25" s="33">
        <f>IF($CC25 = "Dealer", SUMIFS('Data For Calculation - Insuranc'!J:J,'Data For Calculation - Insuranc'!$B:$B,$A25,'Data For Calculation - Insuranc'!$H:$H,"Master Dealer")) + SUMIFS('Data For Calculation - Insuranc'!J:J,'Data For Calculation - Insuranc'!$A:$A,$A25,'Data For Calculation - Insuranc'!$H:$H,"Self")</f>
        <v>0</v>
      </c>
      <c r="BX25" s="33">
        <f>IF($CC25 = "Dealer", SUMIFS('Data For Calculation - Insuranc'!K:K,'Data For Calculation - Insuranc'!$B:$B,$A25,'Data For Calculation - Insuranc'!$H:$H,"Master Dealer")) + SUMIFS('Data For Calculation - Insuranc'!K:K,'Data For Calculation - Insuranc'!$A:$A,$A25,'Data For Calculation - Insuranc'!$H:$H,"Self")</f>
        <v>0</v>
      </c>
      <c r="BY25" s="25" t="str">
        <f>(Sheet1!N25)</f>
        <v>G.S.TVS</v>
      </c>
      <c r="BZ25" s="25" t="str">
        <f>(Sheet1!O25)</f>
        <v>1zcLyE9iYZSiWbBeptOlHKDUHdbuB0nnxanzAjCJdWSI</v>
      </c>
      <c r="CA25" s="25" t="str">
        <f>(Sheet1!AV25)</f>
        <v/>
      </c>
      <c r="CB25" s="25" t="str">
        <f>(Sheet1!AW25)</f>
        <v/>
      </c>
      <c r="CC25" s="26" t="str">
        <f>(Sheet1!P25)</f>
        <v>Dealer</v>
      </c>
    </row>
    <row r="26">
      <c r="A26" s="25" t="str">
        <f>(Sheet1!A26)</f>
        <v>1LnxzSZR-Hn1GFJEM91CqSDi8yQ1-11OqyVT04QUkFAM</v>
      </c>
      <c r="B26" s="25" t="str">
        <f>(Sheet1!B26)</f>
        <v>Shri Durga Motors</v>
      </c>
      <c r="C26" s="30" t="str">
        <f>Sheet1!BB26</f>
        <v>No</v>
      </c>
      <c r="D26" s="30" t="s">
        <v>13</v>
      </c>
      <c r="E26" s="34" t="s">
        <v>13</v>
      </c>
      <c r="F26" s="30" t="s">
        <v>3820</v>
      </c>
      <c r="G26" s="31">
        <v>290.0</v>
      </c>
      <c r="H26" s="34" t="s">
        <v>3853</v>
      </c>
      <c r="I26" s="34">
        <v>0.0</v>
      </c>
      <c r="J26" s="34">
        <v>100.0</v>
      </c>
      <c r="K26" s="34">
        <v>0.0</v>
      </c>
      <c r="L26" s="34">
        <v>0.0</v>
      </c>
      <c r="M26" s="33">
        <f>COUNTIFS('Data For Calculation - Insuranc'!A:A,A26,'Data For Calculation - Insuranc'!E:E,"CPA + RSA")</f>
        <v>0</v>
      </c>
      <c r="N26" s="30" t="s">
        <v>3820</v>
      </c>
      <c r="O26" s="31">
        <v>460.0</v>
      </c>
      <c r="P26" s="34" t="s">
        <v>3853</v>
      </c>
      <c r="Q26" s="34">
        <v>0.0</v>
      </c>
      <c r="R26" s="34">
        <v>100.0</v>
      </c>
      <c r="S26" s="34">
        <v>0.0</v>
      </c>
      <c r="T26" s="34">
        <v>0.0</v>
      </c>
      <c r="U26" s="33">
        <f>COUNTIFS('Data For Calculation - Insuranc'!A:A,A26,'Data For Calculation - Insuranc'!E:E,"CPA + RSA + AHDC + DOC")</f>
        <v>0</v>
      </c>
      <c r="V26" s="30" t="s">
        <v>3820</v>
      </c>
      <c r="W26" s="34">
        <v>838.99</v>
      </c>
      <c r="X26" s="34" t="s">
        <v>3853</v>
      </c>
      <c r="Y26" s="34">
        <v>0.0</v>
      </c>
      <c r="Z26" s="34">
        <v>100.0</v>
      </c>
      <c r="AA26" s="34">
        <v>0.0</v>
      </c>
      <c r="AB26" s="34">
        <v>0.0</v>
      </c>
      <c r="AC26" s="33">
        <f>COUNTIFS('Data For Calculation - Insuranc'!A:A,A26,'Data For Calculation - Insuranc'!E:E,"CPA + RSA : 5 Years")</f>
        <v>0</v>
      </c>
      <c r="AD26" s="30" t="s">
        <v>3820</v>
      </c>
      <c r="AE26" s="31">
        <v>838.99</v>
      </c>
      <c r="AF26" s="34" t="s">
        <v>3853</v>
      </c>
      <c r="AG26" s="34">
        <v>0.0</v>
      </c>
      <c r="AH26" s="34">
        <v>100.0</v>
      </c>
      <c r="AI26" s="34">
        <v>0.0</v>
      </c>
      <c r="AJ26" s="34">
        <v>0.0</v>
      </c>
      <c r="AK26" s="33">
        <f>COUNTIFS('Data For Calculation - Insuranc'!A:A,A26,'Data For Calculation - Insuranc'!E:E,"Assistance + CPA : 5 Years")</f>
        <v>0</v>
      </c>
      <c r="AL26" s="30" t="s">
        <v>3820</v>
      </c>
      <c r="AM26" s="31">
        <v>290.0</v>
      </c>
      <c r="AN26" s="34" t="s">
        <v>3853</v>
      </c>
      <c r="AO26" s="34">
        <v>0.0</v>
      </c>
      <c r="AP26" s="34">
        <v>100.0</v>
      </c>
      <c r="AQ26" s="34">
        <v>0.0</v>
      </c>
      <c r="AR26" s="34">
        <v>0.0</v>
      </c>
      <c r="AS26" s="33">
        <f>COUNTIFS('Data For Calculation - Insuranc'!A:A,A26,'Data For Calculation - Insuranc'!E:E,"RSA + AHDC + DOC")</f>
        <v>0</v>
      </c>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f t="shared" si="1"/>
        <v>0</v>
      </c>
      <c r="BS26" s="33">
        <f>SUMIFS('Data For Calculation - Insuranc'!I:I,'Data For Calculation - Insuranc'!$A:$A,$A26)</f>
        <v>0</v>
      </c>
      <c r="BT26" s="33">
        <f>SUMIFS('Data For Calculation - Insuranc'!J:J,'Data For Calculation - Insuranc'!$A:$A,$A26)</f>
        <v>0</v>
      </c>
      <c r="BU26" s="33">
        <f>SUMIFS('Data For Calculation - Insuranc'!K:K,'Data For Calculation - Insuranc'!$A:$A,$A26)</f>
        <v>0</v>
      </c>
      <c r="BV26" s="33">
        <f>IF($CC26 = "Dealer", SUMIFS('Data For Calculation - Insuranc'!I:I,'Data For Calculation - Insuranc'!$B:$B,$A26,'Data For Calculation - Insuranc'!$H:$H,"Master Dealer")) + SUMIFS('Data For Calculation - Insuranc'!I:I,'Data For Calculation - Insuranc'!$A:$A,$A26,'Data For Calculation - Insuranc'!$H:$H,"Self")</f>
        <v>0</v>
      </c>
      <c r="BW26" s="33">
        <f>IF($CC26 = "Dealer", SUMIFS('Data For Calculation - Insuranc'!J:J,'Data For Calculation - Insuranc'!$B:$B,$A26,'Data For Calculation - Insuranc'!$H:$H,"Master Dealer")) + SUMIFS('Data For Calculation - Insuranc'!J:J,'Data For Calculation - Insuranc'!$A:$A,$A26,'Data For Calculation - Insuranc'!$H:$H,"Self")</f>
        <v>0</v>
      </c>
      <c r="BX26" s="33">
        <f>IF($CC26 = "Dealer", SUMIFS('Data For Calculation - Insuranc'!K:K,'Data For Calculation - Insuranc'!$B:$B,$A26,'Data For Calculation - Insuranc'!$H:$H,"Master Dealer")) + SUMIFS('Data For Calculation - Insuranc'!K:K,'Data For Calculation - Insuranc'!$A:$A,$A26,'Data For Calculation - Insuranc'!$H:$H,"Self")</f>
        <v>0</v>
      </c>
      <c r="BY26" s="25" t="str">
        <f>(Sheet1!N26)</f>
        <v>Shri Durga Motors</v>
      </c>
      <c r="BZ26" s="25" t="str">
        <f>(Sheet1!O26)</f>
        <v>1LnxzSZR-Hn1GFJEM91CqSDi8yQ1-11OqyVT04QUkFAM</v>
      </c>
      <c r="CA26" s="25" t="str">
        <f>(Sheet1!AV26)</f>
        <v/>
      </c>
      <c r="CB26" s="25" t="str">
        <f>(Sheet1!AW26)</f>
        <v/>
      </c>
      <c r="CC26" s="26" t="str">
        <f>(Sheet1!P26)</f>
        <v>Dealer</v>
      </c>
    </row>
    <row r="27">
      <c r="A27" s="25" t="str">
        <f>(Sheet1!A27)</f>
        <v>1ytBGcO8tIze81xKkAa9lWDcflthsPL6SuADAXbhmuwA</v>
      </c>
      <c r="B27" s="25" t="str">
        <f>(Sheet1!B27)</f>
        <v>Brij Biwheelers</v>
      </c>
      <c r="C27" s="30" t="str">
        <f>Sheet1!BB27</f>
        <v>No</v>
      </c>
      <c r="D27" s="30" t="s">
        <v>13</v>
      </c>
      <c r="E27" s="34" t="s">
        <v>13</v>
      </c>
      <c r="F27" s="30" t="s">
        <v>3820</v>
      </c>
      <c r="G27" s="31">
        <v>290.0</v>
      </c>
      <c r="H27" s="34" t="s">
        <v>3853</v>
      </c>
      <c r="I27" s="34">
        <v>0.0</v>
      </c>
      <c r="J27" s="34">
        <v>100.0</v>
      </c>
      <c r="K27" s="34">
        <v>0.0</v>
      </c>
      <c r="L27" s="34">
        <v>0.0</v>
      </c>
      <c r="M27" s="33">
        <f>COUNTIFS('Data For Calculation - Insuranc'!A:A,A27,'Data For Calculation - Insuranc'!E:E,"CPA + RSA")</f>
        <v>0</v>
      </c>
      <c r="N27" s="30" t="s">
        <v>3820</v>
      </c>
      <c r="O27" s="31">
        <v>460.0</v>
      </c>
      <c r="P27" s="34" t="s">
        <v>3853</v>
      </c>
      <c r="Q27" s="34">
        <v>0.0</v>
      </c>
      <c r="R27" s="34">
        <v>100.0</v>
      </c>
      <c r="S27" s="34">
        <v>0.0</v>
      </c>
      <c r="T27" s="34">
        <v>0.0</v>
      </c>
      <c r="U27" s="33">
        <f>COUNTIFS('Data For Calculation - Insuranc'!A:A,A27,'Data For Calculation - Insuranc'!E:E,"CPA + RSA + AHDC + DOC")</f>
        <v>0</v>
      </c>
      <c r="V27" s="30" t="s">
        <v>3820</v>
      </c>
      <c r="W27" s="34">
        <v>838.99</v>
      </c>
      <c r="X27" s="34" t="s">
        <v>3853</v>
      </c>
      <c r="Y27" s="34">
        <v>0.0</v>
      </c>
      <c r="Z27" s="34">
        <v>100.0</v>
      </c>
      <c r="AA27" s="34">
        <v>0.0</v>
      </c>
      <c r="AB27" s="34">
        <v>0.0</v>
      </c>
      <c r="AC27" s="33">
        <f>COUNTIFS('Data For Calculation - Insuranc'!A:A,A27,'Data For Calculation - Insuranc'!E:E,"CPA + RSA : 5 Years")</f>
        <v>0</v>
      </c>
      <c r="AD27" s="30" t="s">
        <v>3820</v>
      </c>
      <c r="AE27" s="31">
        <v>838.99</v>
      </c>
      <c r="AF27" s="34" t="s">
        <v>3853</v>
      </c>
      <c r="AG27" s="34">
        <v>0.0</v>
      </c>
      <c r="AH27" s="34">
        <v>100.0</v>
      </c>
      <c r="AI27" s="34">
        <v>0.0</v>
      </c>
      <c r="AJ27" s="34">
        <v>0.0</v>
      </c>
      <c r="AK27" s="33">
        <f>COUNTIFS('Data For Calculation - Insuranc'!A:A,A27,'Data For Calculation - Insuranc'!E:E,"Assistance + CPA : 5 Years")</f>
        <v>0</v>
      </c>
      <c r="AL27" s="30" t="s">
        <v>3820</v>
      </c>
      <c r="AM27" s="31">
        <v>290.0</v>
      </c>
      <c r="AN27" s="34" t="s">
        <v>3853</v>
      </c>
      <c r="AO27" s="34">
        <v>0.0</v>
      </c>
      <c r="AP27" s="34">
        <v>100.0</v>
      </c>
      <c r="AQ27" s="34">
        <v>0.0</v>
      </c>
      <c r="AR27" s="34">
        <v>0.0</v>
      </c>
      <c r="AS27" s="33">
        <f>COUNTIFS('Data For Calculation - Insuranc'!A:A,A27,'Data For Calculation - Insuranc'!E:E,"RSA + AHDC + DOC")</f>
        <v>0</v>
      </c>
      <c r="AT27" s="33"/>
      <c r="AU27" s="33"/>
      <c r="AV27" s="33"/>
      <c r="AW27" s="33"/>
      <c r="AX27" s="33"/>
      <c r="AY27" s="33"/>
      <c r="AZ27" s="33"/>
      <c r="BA27" s="33"/>
      <c r="BB27" s="33"/>
      <c r="BC27" s="33"/>
      <c r="BD27" s="33"/>
      <c r="BE27" s="33"/>
      <c r="BF27" s="33"/>
      <c r="BG27" s="33"/>
      <c r="BH27" s="33"/>
      <c r="BI27" s="33"/>
      <c r="BJ27" s="33"/>
      <c r="BK27" s="33"/>
      <c r="BL27" s="33"/>
      <c r="BM27" s="33"/>
      <c r="BN27" s="33"/>
      <c r="BO27" s="33"/>
      <c r="BP27" s="33"/>
      <c r="BQ27" s="33"/>
      <c r="BR27" s="33">
        <f t="shared" si="1"/>
        <v>0</v>
      </c>
      <c r="BS27" s="33">
        <f>SUMIFS('Data For Calculation - Insuranc'!I:I,'Data For Calculation - Insuranc'!$A:$A,$A27)</f>
        <v>0</v>
      </c>
      <c r="BT27" s="33">
        <f>SUMIFS('Data For Calculation - Insuranc'!J:J,'Data For Calculation - Insuranc'!$A:$A,$A27)</f>
        <v>0</v>
      </c>
      <c r="BU27" s="33">
        <f>SUMIFS('Data For Calculation - Insuranc'!K:K,'Data For Calculation - Insuranc'!$A:$A,$A27)</f>
        <v>0</v>
      </c>
      <c r="BV27" s="33">
        <f>IF($CC27 = "Dealer", SUMIFS('Data For Calculation - Insuranc'!I:I,'Data For Calculation - Insuranc'!$B:$B,$A27,'Data For Calculation - Insuranc'!$H:$H,"Master Dealer")) + SUMIFS('Data For Calculation - Insuranc'!I:I,'Data For Calculation - Insuranc'!$A:$A,$A27,'Data For Calculation - Insuranc'!$H:$H,"Self")</f>
        <v>0</v>
      </c>
      <c r="BW27" s="33">
        <f>IF($CC27 = "Dealer", SUMIFS('Data For Calculation - Insuranc'!J:J,'Data For Calculation - Insuranc'!$B:$B,$A27,'Data For Calculation - Insuranc'!$H:$H,"Master Dealer")) + SUMIFS('Data For Calculation - Insuranc'!J:J,'Data For Calculation - Insuranc'!$A:$A,$A27,'Data For Calculation - Insuranc'!$H:$H,"Self")</f>
        <v>0</v>
      </c>
      <c r="BX27" s="33">
        <f>IF($CC27 = "Dealer", SUMIFS('Data For Calculation - Insuranc'!K:K,'Data For Calculation - Insuranc'!$B:$B,$A27,'Data For Calculation - Insuranc'!$H:$H,"Master Dealer")) + SUMIFS('Data For Calculation - Insuranc'!K:K,'Data For Calculation - Insuranc'!$A:$A,$A27,'Data For Calculation - Insuranc'!$H:$H,"Self")</f>
        <v>0</v>
      </c>
      <c r="BY27" s="25" t="str">
        <f>(Sheet1!N27)</f>
        <v>Brij Biwheelers</v>
      </c>
      <c r="BZ27" s="25" t="str">
        <f>(Sheet1!O27)</f>
        <v>1ytBGcO8tIze81xKkAa9lWDcflthsPL6SuADAXbhmuwA</v>
      </c>
      <c r="CA27" s="25" t="str">
        <f>(Sheet1!AV27)</f>
        <v/>
      </c>
      <c r="CB27" s="25" t="str">
        <f>(Sheet1!AW27)</f>
        <v/>
      </c>
      <c r="CC27" s="26" t="str">
        <f>(Sheet1!P27)</f>
        <v>Dealer</v>
      </c>
    </row>
    <row r="28">
      <c r="A28" s="25" t="str">
        <f>(Sheet1!A28)</f>
        <v>1Yfv0ZT_aQDLFHljdKtMo2aojtvVSEhmBaoVtpPdjPPo</v>
      </c>
      <c r="B28" s="25" t="str">
        <f>(Sheet1!B28)</f>
        <v>Globe Agencies - Hapur</v>
      </c>
      <c r="C28" s="30" t="str">
        <f>Sheet1!BB28</f>
        <v>No</v>
      </c>
      <c r="D28" s="30" t="s">
        <v>13</v>
      </c>
      <c r="E28" s="34" t="s">
        <v>13</v>
      </c>
      <c r="F28" s="30" t="s">
        <v>3820</v>
      </c>
      <c r="G28" s="31">
        <v>290.0</v>
      </c>
      <c r="H28" s="34" t="s">
        <v>3853</v>
      </c>
      <c r="I28" s="34">
        <v>0.0</v>
      </c>
      <c r="J28" s="34">
        <v>100.0</v>
      </c>
      <c r="K28" s="34">
        <v>0.0</v>
      </c>
      <c r="L28" s="34">
        <v>0.0</v>
      </c>
      <c r="M28" s="33">
        <f>COUNTIFS('Data For Calculation - Insuranc'!A:A,A28,'Data For Calculation - Insuranc'!E:E,"CPA + RSA")</f>
        <v>0</v>
      </c>
      <c r="N28" s="30" t="s">
        <v>3820</v>
      </c>
      <c r="O28" s="31">
        <v>460.0</v>
      </c>
      <c r="P28" s="34" t="s">
        <v>3853</v>
      </c>
      <c r="Q28" s="34">
        <v>0.0</v>
      </c>
      <c r="R28" s="34">
        <v>100.0</v>
      </c>
      <c r="S28" s="34">
        <v>0.0</v>
      </c>
      <c r="T28" s="34">
        <v>0.0</v>
      </c>
      <c r="U28" s="33">
        <f>COUNTIFS('Data For Calculation - Insuranc'!A:A,A28,'Data For Calculation - Insuranc'!E:E,"CPA + RSA + AHDC + DOC")</f>
        <v>0</v>
      </c>
      <c r="V28" s="30" t="s">
        <v>3820</v>
      </c>
      <c r="W28" s="34">
        <v>838.99</v>
      </c>
      <c r="X28" s="34" t="s">
        <v>3853</v>
      </c>
      <c r="Y28" s="34">
        <v>0.0</v>
      </c>
      <c r="Z28" s="34">
        <v>100.0</v>
      </c>
      <c r="AA28" s="34">
        <v>0.0</v>
      </c>
      <c r="AB28" s="34">
        <v>0.0</v>
      </c>
      <c r="AC28" s="33">
        <f>COUNTIFS('Data For Calculation - Insuranc'!A:A,A28,'Data For Calculation - Insuranc'!E:E,"CPA + RSA : 5 Years")</f>
        <v>0</v>
      </c>
      <c r="AD28" s="30" t="s">
        <v>3820</v>
      </c>
      <c r="AE28" s="31">
        <v>838.99</v>
      </c>
      <c r="AF28" s="34" t="s">
        <v>3853</v>
      </c>
      <c r="AG28" s="34">
        <v>0.0</v>
      </c>
      <c r="AH28" s="34">
        <v>100.0</v>
      </c>
      <c r="AI28" s="34">
        <v>0.0</v>
      </c>
      <c r="AJ28" s="34">
        <v>0.0</v>
      </c>
      <c r="AK28" s="33">
        <f>COUNTIFS('Data For Calculation - Insuranc'!A:A,A28,'Data For Calculation - Insuranc'!E:E,"Assistance + CPA : 5 Years")</f>
        <v>0</v>
      </c>
      <c r="AL28" s="30" t="s">
        <v>3820</v>
      </c>
      <c r="AM28" s="31">
        <v>290.0</v>
      </c>
      <c r="AN28" s="34" t="s">
        <v>3853</v>
      </c>
      <c r="AO28" s="34">
        <v>0.0</v>
      </c>
      <c r="AP28" s="34">
        <v>100.0</v>
      </c>
      <c r="AQ28" s="34">
        <v>0.0</v>
      </c>
      <c r="AR28" s="34">
        <v>0.0</v>
      </c>
      <c r="AS28" s="33">
        <f>COUNTIFS('Data For Calculation - Insuranc'!A:A,A28,'Data For Calculation - Insuranc'!E:E,"RSA + AHDC + DOC")</f>
        <v>0</v>
      </c>
      <c r="AT28" s="33"/>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f t="shared" si="1"/>
        <v>0</v>
      </c>
      <c r="BS28" s="33">
        <f>SUMIFS('Data For Calculation - Insuranc'!I:I,'Data For Calculation - Insuranc'!$A:$A,$A28)</f>
        <v>0</v>
      </c>
      <c r="BT28" s="33">
        <f>SUMIFS('Data For Calculation - Insuranc'!J:J,'Data For Calculation - Insuranc'!$A:$A,$A28)</f>
        <v>0</v>
      </c>
      <c r="BU28" s="33">
        <f>SUMIFS('Data For Calculation - Insuranc'!K:K,'Data For Calculation - Insuranc'!$A:$A,$A28)</f>
        <v>0</v>
      </c>
      <c r="BV28" s="33">
        <f>IF($CC28 = "Dealer", SUMIFS('Data For Calculation - Insuranc'!I:I,'Data For Calculation - Insuranc'!$B:$B,$A28,'Data For Calculation - Insuranc'!$H:$H,"Master Dealer")) + SUMIFS('Data For Calculation - Insuranc'!I:I,'Data For Calculation - Insuranc'!$A:$A,$A28,'Data For Calculation - Insuranc'!$H:$H,"Self")</f>
        <v>0</v>
      </c>
      <c r="BW28" s="33">
        <f>IF($CC28 = "Dealer", SUMIFS('Data For Calculation - Insuranc'!J:J,'Data For Calculation - Insuranc'!$B:$B,$A28,'Data For Calculation - Insuranc'!$H:$H,"Master Dealer")) + SUMIFS('Data For Calculation - Insuranc'!J:J,'Data For Calculation - Insuranc'!$A:$A,$A28,'Data For Calculation - Insuranc'!$H:$H,"Self")</f>
        <v>0</v>
      </c>
      <c r="BX28" s="33">
        <f>IF($CC28 = "Dealer", SUMIFS('Data For Calculation - Insuranc'!K:K,'Data For Calculation - Insuranc'!$B:$B,$A28,'Data For Calculation - Insuranc'!$H:$H,"Master Dealer")) + SUMIFS('Data For Calculation - Insuranc'!K:K,'Data For Calculation - Insuranc'!$A:$A,$A28,'Data For Calculation - Insuranc'!$H:$H,"Self")</f>
        <v>0</v>
      </c>
      <c r="BY28" s="30" t="s">
        <v>74</v>
      </c>
      <c r="BZ28" s="25" t="str">
        <f>(Sheet1!O28)</f>
        <v>1ksPRehLH7gfgZpnXgiBGZpTtFA-KHaKr32rTQGuz3WY</v>
      </c>
      <c r="CA28" s="25" t="str">
        <f>(Sheet1!AV28)</f>
        <v/>
      </c>
      <c r="CB28" s="25" t="str">
        <f>(Sheet1!AW28)</f>
        <v/>
      </c>
      <c r="CC28" s="26" t="str">
        <f>(Sheet1!P28)</f>
        <v>Sub Dealer</v>
      </c>
    </row>
    <row r="29">
      <c r="A29" s="25" t="str">
        <f>(Sheet1!A29)</f>
        <v>1sJ2STkoqQ3nTzfRPt0AHHPB6KjkvtyOHIVnE3dDR6mk</v>
      </c>
      <c r="B29" s="25" t="str">
        <f>(Sheet1!B29)</f>
        <v>Shiv Motors (JMC)</v>
      </c>
      <c r="C29" s="30" t="str">
        <f>Sheet1!BB29</f>
        <v>No</v>
      </c>
      <c r="D29" s="30" t="s">
        <v>13</v>
      </c>
      <c r="E29" s="34" t="s">
        <v>13</v>
      </c>
      <c r="F29" s="30" t="s">
        <v>3820</v>
      </c>
      <c r="G29" s="31">
        <v>170.0</v>
      </c>
      <c r="H29" s="34" t="s">
        <v>3853</v>
      </c>
      <c r="I29" s="34">
        <v>0.0</v>
      </c>
      <c r="J29" s="34">
        <v>100.0</v>
      </c>
      <c r="K29" s="34">
        <v>0.0</v>
      </c>
      <c r="L29" s="34">
        <v>0.0</v>
      </c>
      <c r="M29" s="33">
        <f>COUNTIFS('Data For Calculation - Insuranc'!A:A,A29,'Data For Calculation - Insuranc'!E:E,"CPA + RSA")</f>
        <v>0</v>
      </c>
      <c r="N29" s="30" t="s">
        <v>3820</v>
      </c>
      <c r="O29" s="31">
        <v>170.0</v>
      </c>
      <c r="P29" s="34" t="s">
        <v>3853</v>
      </c>
      <c r="Q29" s="34">
        <v>0.0</v>
      </c>
      <c r="R29" s="34">
        <v>100.0</v>
      </c>
      <c r="S29" s="34">
        <v>0.0</v>
      </c>
      <c r="T29" s="34">
        <v>0.0</v>
      </c>
      <c r="U29" s="33">
        <f>COUNTIFS('Data For Calculation - Insuranc'!A:A,A29,'Data For Calculation - Insuranc'!E:E,"CPA + RSA + AHDC + DOC")</f>
        <v>0</v>
      </c>
      <c r="V29" s="30" t="s">
        <v>3820</v>
      </c>
      <c r="W29" s="34">
        <v>838.99</v>
      </c>
      <c r="X29" s="34" t="s">
        <v>3853</v>
      </c>
      <c r="Y29" s="34">
        <v>0.0</v>
      </c>
      <c r="Z29" s="34">
        <v>100.0</v>
      </c>
      <c r="AA29" s="34">
        <v>0.0</v>
      </c>
      <c r="AB29" s="34">
        <v>0.0</v>
      </c>
      <c r="AC29" s="33">
        <f>COUNTIFS('Data For Calculation - Insuranc'!A:A,A29,'Data For Calculation - Insuranc'!E:E,"CPA + RSA : 5 Years")</f>
        <v>0</v>
      </c>
      <c r="AD29" s="30" t="s">
        <v>3820</v>
      </c>
      <c r="AE29" s="31">
        <v>838.99</v>
      </c>
      <c r="AF29" s="34" t="s">
        <v>3853</v>
      </c>
      <c r="AG29" s="34">
        <v>0.0</v>
      </c>
      <c r="AH29" s="34">
        <v>100.0</v>
      </c>
      <c r="AI29" s="34">
        <v>0.0</v>
      </c>
      <c r="AJ29" s="34">
        <v>0.0</v>
      </c>
      <c r="AK29" s="33">
        <f>COUNTIFS('Data For Calculation - Insuranc'!A:A,A29,'Data For Calculation - Insuranc'!E:E,"Assistance + CPA : 5 Years")</f>
        <v>0</v>
      </c>
      <c r="AL29" s="30" t="s">
        <v>3820</v>
      </c>
      <c r="AM29" s="31">
        <v>290.0</v>
      </c>
      <c r="AN29" s="34" t="s">
        <v>3853</v>
      </c>
      <c r="AO29" s="34">
        <v>0.0</v>
      </c>
      <c r="AP29" s="34">
        <v>100.0</v>
      </c>
      <c r="AQ29" s="34">
        <v>0.0</v>
      </c>
      <c r="AR29" s="34">
        <v>0.0</v>
      </c>
      <c r="AS29" s="33">
        <f>COUNTIFS('Data For Calculation - Insuranc'!A:A,A29,'Data For Calculation - Insuranc'!E:E,"RSA + AHDC + DOC")</f>
        <v>0</v>
      </c>
      <c r="AT29" s="33"/>
      <c r="AU29" s="33"/>
      <c r="AV29" s="33"/>
      <c r="AW29" s="33"/>
      <c r="AX29" s="33"/>
      <c r="AY29" s="33"/>
      <c r="AZ29" s="33"/>
      <c r="BA29" s="33"/>
      <c r="BB29" s="33"/>
      <c r="BC29" s="33"/>
      <c r="BD29" s="33"/>
      <c r="BE29" s="33"/>
      <c r="BF29" s="33"/>
      <c r="BG29" s="33"/>
      <c r="BH29" s="33"/>
      <c r="BI29" s="33"/>
      <c r="BJ29" s="33"/>
      <c r="BK29" s="33"/>
      <c r="BL29" s="33"/>
      <c r="BM29" s="33"/>
      <c r="BN29" s="33"/>
      <c r="BO29" s="33"/>
      <c r="BP29" s="33"/>
      <c r="BQ29" s="33"/>
      <c r="BR29" s="33">
        <f t="shared" si="1"/>
        <v>0</v>
      </c>
      <c r="BS29" s="33">
        <f>SUMIFS('Data For Calculation - Insuranc'!I:I,'Data For Calculation - Insuranc'!$A:$A,$A29)</f>
        <v>0</v>
      </c>
      <c r="BT29" s="33">
        <f>SUMIFS('Data For Calculation - Insuranc'!J:J,'Data For Calculation - Insuranc'!$A:$A,$A29)</f>
        <v>0</v>
      </c>
      <c r="BU29" s="33">
        <f>SUMIFS('Data For Calculation - Insuranc'!K:K,'Data For Calculation - Insuranc'!$A:$A,$A29)</f>
        <v>0</v>
      </c>
      <c r="BV29" s="33">
        <f>IF($CC29 = "Dealer", SUMIFS('Data For Calculation - Insuranc'!I:I,'Data For Calculation - Insuranc'!$B:$B,$A29,'Data For Calculation - Insuranc'!$H:$H,"Master Dealer")) + SUMIFS('Data For Calculation - Insuranc'!I:I,'Data For Calculation - Insuranc'!$A:$A,$A29,'Data For Calculation - Insuranc'!$H:$H,"Self")</f>
        <v>0</v>
      </c>
      <c r="BW29" s="33">
        <f>IF($CC29 = "Dealer", SUMIFS('Data For Calculation - Insuranc'!J:J,'Data For Calculation - Insuranc'!$B:$B,$A29,'Data For Calculation - Insuranc'!$H:$H,"Master Dealer")) + SUMIFS('Data For Calculation - Insuranc'!J:J,'Data For Calculation - Insuranc'!$A:$A,$A29,'Data For Calculation - Insuranc'!$H:$H,"Self")</f>
        <v>0</v>
      </c>
      <c r="BX29" s="33">
        <f>IF($CC29 = "Dealer", SUMIFS('Data For Calculation - Insuranc'!K:K,'Data For Calculation - Insuranc'!$B:$B,$A29,'Data For Calculation - Insuranc'!$H:$H,"Master Dealer")) + SUMIFS('Data For Calculation - Insuranc'!K:K,'Data For Calculation - Insuranc'!$A:$A,$A29,'Data For Calculation - Insuranc'!$H:$H,"Self")</f>
        <v>0</v>
      </c>
      <c r="BY29" s="25" t="str">
        <f>(Sheet1!N29)</f>
        <v>Jain Motorcycle Company</v>
      </c>
      <c r="BZ29" s="25" t="str">
        <f>(Sheet1!O29)</f>
        <v>184Y3L-ZLT7vcLiFDItIcLa-18phpzEbgBCBDgt_LGCQ</v>
      </c>
      <c r="CA29" s="25" t="str">
        <f>(Sheet1!AV29)</f>
        <v/>
      </c>
      <c r="CB29" s="25" t="str">
        <f>(Sheet1!AW29)</f>
        <v/>
      </c>
      <c r="CC29" s="26" t="str">
        <f>(Sheet1!P29)</f>
        <v>Sub Dealer</v>
      </c>
    </row>
    <row r="30">
      <c r="A30" s="25" t="str">
        <f>(Sheet1!A30)</f>
        <v>1WH65I6cboV1MjKQhx3zM2QiEmuHtQjnKUssDiU-VP7k</v>
      </c>
      <c r="B30" s="25" t="str">
        <f>(Sheet1!B30)</f>
        <v>Upadhayay Motors (JMC)</v>
      </c>
      <c r="C30" s="30" t="str">
        <f>Sheet1!BB30</f>
        <v>No</v>
      </c>
      <c r="D30" s="30" t="s">
        <v>13</v>
      </c>
      <c r="E30" s="34" t="s">
        <v>13</v>
      </c>
      <c r="F30" s="30" t="s">
        <v>3820</v>
      </c>
      <c r="G30" s="31">
        <v>170.0</v>
      </c>
      <c r="H30" s="34" t="s">
        <v>3853</v>
      </c>
      <c r="I30" s="34">
        <v>0.0</v>
      </c>
      <c r="J30" s="34">
        <v>100.0</v>
      </c>
      <c r="K30" s="34">
        <v>0.0</v>
      </c>
      <c r="L30" s="34">
        <v>0.0</v>
      </c>
      <c r="M30" s="33">
        <f>COUNTIFS('Data For Calculation - Insuranc'!A:A,A30,'Data For Calculation - Insuranc'!E:E,"CPA + RSA")</f>
        <v>0</v>
      </c>
      <c r="N30" s="30" t="s">
        <v>3820</v>
      </c>
      <c r="O30" s="31">
        <v>170.0</v>
      </c>
      <c r="P30" s="34" t="s">
        <v>3853</v>
      </c>
      <c r="Q30" s="34">
        <v>0.0</v>
      </c>
      <c r="R30" s="34">
        <v>100.0</v>
      </c>
      <c r="S30" s="34">
        <v>0.0</v>
      </c>
      <c r="T30" s="34">
        <v>0.0</v>
      </c>
      <c r="U30" s="33">
        <f>COUNTIFS('Data For Calculation - Insuranc'!A:A,A30,'Data For Calculation - Insuranc'!E:E,"CPA + RSA + AHDC + DOC")</f>
        <v>0</v>
      </c>
      <c r="V30" s="30" t="s">
        <v>3820</v>
      </c>
      <c r="W30" s="34">
        <v>838.99</v>
      </c>
      <c r="X30" s="34" t="s">
        <v>3853</v>
      </c>
      <c r="Y30" s="34">
        <v>0.0</v>
      </c>
      <c r="Z30" s="34">
        <v>100.0</v>
      </c>
      <c r="AA30" s="34">
        <v>0.0</v>
      </c>
      <c r="AB30" s="34">
        <v>0.0</v>
      </c>
      <c r="AC30" s="33">
        <f>COUNTIFS('Data For Calculation - Insuranc'!A:A,A30,'Data For Calculation - Insuranc'!E:E,"CPA + RSA : 5 Years")</f>
        <v>0</v>
      </c>
      <c r="AD30" s="30" t="s">
        <v>3820</v>
      </c>
      <c r="AE30" s="31">
        <v>838.99</v>
      </c>
      <c r="AF30" s="34" t="s">
        <v>3853</v>
      </c>
      <c r="AG30" s="34">
        <v>0.0</v>
      </c>
      <c r="AH30" s="34">
        <v>100.0</v>
      </c>
      <c r="AI30" s="34">
        <v>0.0</v>
      </c>
      <c r="AJ30" s="34">
        <v>0.0</v>
      </c>
      <c r="AK30" s="33">
        <f>COUNTIFS('Data For Calculation - Insuranc'!A:A,A30,'Data For Calculation - Insuranc'!E:E,"Assistance + CPA : 5 Years")</f>
        <v>0</v>
      </c>
      <c r="AL30" s="30" t="s">
        <v>3820</v>
      </c>
      <c r="AM30" s="31">
        <v>290.0</v>
      </c>
      <c r="AN30" s="34" t="s">
        <v>3853</v>
      </c>
      <c r="AO30" s="34">
        <v>0.0</v>
      </c>
      <c r="AP30" s="34">
        <v>100.0</v>
      </c>
      <c r="AQ30" s="34">
        <v>0.0</v>
      </c>
      <c r="AR30" s="34">
        <v>0.0</v>
      </c>
      <c r="AS30" s="33">
        <f>COUNTIFS('Data For Calculation - Insuranc'!A:A,A30,'Data For Calculation - Insuranc'!E:E,"RSA + AHDC + DOC")</f>
        <v>0</v>
      </c>
      <c r="AT30" s="33"/>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f t="shared" si="1"/>
        <v>0</v>
      </c>
      <c r="BS30" s="33">
        <f>SUMIFS('Data For Calculation - Insuranc'!I:I,'Data For Calculation - Insuranc'!$A:$A,$A30)</f>
        <v>0</v>
      </c>
      <c r="BT30" s="33">
        <f>SUMIFS('Data For Calculation - Insuranc'!J:J,'Data For Calculation - Insuranc'!$A:$A,$A30)</f>
        <v>0</v>
      </c>
      <c r="BU30" s="33">
        <f>SUMIFS('Data For Calculation - Insuranc'!K:K,'Data For Calculation - Insuranc'!$A:$A,$A30)</f>
        <v>0</v>
      </c>
      <c r="BV30" s="33">
        <f>IF($CC30 = "Dealer", SUMIFS('Data For Calculation - Insuranc'!I:I,'Data For Calculation - Insuranc'!$B:$B,$A30,'Data For Calculation - Insuranc'!$H:$H,"Master Dealer")) + SUMIFS('Data For Calculation - Insuranc'!I:I,'Data For Calculation - Insuranc'!$A:$A,$A30,'Data For Calculation - Insuranc'!$H:$H,"Self")</f>
        <v>0</v>
      </c>
      <c r="BW30" s="33">
        <f>IF($CC30 = "Dealer", SUMIFS('Data For Calculation - Insuranc'!J:J,'Data For Calculation - Insuranc'!$B:$B,$A30,'Data For Calculation - Insuranc'!$H:$H,"Master Dealer")) + SUMIFS('Data For Calculation - Insuranc'!J:J,'Data For Calculation - Insuranc'!$A:$A,$A30,'Data For Calculation - Insuranc'!$H:$H,"Self")</f>
        <v>0</v>
      </c>
      <c r="BX30" s="33">
        <f>IF($CC30 = "Dealer", SUMIFS('Data For Calculation - Insuranc'!K:K,'Data For Calculation - Insuranc'!$B:$B,$A30,'Data For Calculation - Insuranc'!$H:$H,"Master Dealer")) + SUMIFS('Data For Calculation - Insuranc'!K:K,'Data For Calculation - Insuranc'!$A:$A,$A30,'Data For Calculation - Insuranc'!$H:$H,"Self")</f>
        <v>0</v>
      </c>
      <c r="BY30" s="25" t="str">
        <f>(Sheet1!N30)</f>
        <v>Jain Motorcycle Company</v>
      </c>
      <c r="BZ30" s="25" t="str">
        <f>(Sheet1!O30)</f>
        <v>184Y3L-ZLT7vcLiFDItIcLa-18phpzEbgBCBDgt_LGCQ</v>
      </c>
      <c r="CA30" s="25" t="str">
        <f>(Sheet1!AV30)</f>
        <v/>
      </c>
      <c r="CB30" s="25" t="str">
        <f>(Sheet1!AW30)</f>
        <v/>
      </c>
      <c r="CC30" s="26" t="str">
        <f>(Sheet1!P30)</f>
        <v>Sub Dealer</v>
      </c>
    </row>
    <row r="31">
      <c r="A31" s="25" t="str">
        <f>(Sheet1!A31)</f>
        <v>1ipiizJhZiRSwa-HGPYAXoFXM18mwPYV5FEGfOTvybvk</v>
      </c>
      <c r="B31" s="25" t="str">
        <f>(Sheet1!B31)</f>
        <v>Mahendra Motors (JMC)</v>
      </c>
      <c r="C31" s="30" t="str">
        <f>Sheet1!BB31</f>
        <v>No</v>
      </c>
      <c r="D31" s="30" t="s">
        <v>13</v>
      </c>
      <c r="E31" s="34" t="s">
        <v>13</v>
      </c>
      <c r="F31" s="30" t="s">
        <v>3820</v>
      </c>
      <c r="G31" s="31">
        <v>170.0</v>
      </c>
      <c r="H31" s="34" t="s">
        <v>3853</v>
      </c>
      <c r="I31" s="34">
        <v>0.0</v>
      </c>
      <c r="J31" s="34">
        <v>100.0</v>
      </c>
      <c r="K31" s="34">
        <v>0.0</v>
      </c>
      <c r="L31" s="34">
        <v>0.0</v>
      </c>
      <c r="M31" s="33">
        <f>COUNTIFS('Data For Calculation - Insuranc'!A:A,A31,'Data For Calculation - Insuranc'!E:E,"CPA + RSA")</f>
        <v>0</v>
      </c>
      <c r="N31" s="30" t="s">
        <v>3820</v>
      </c>
      <c r="O31" s="31">
        <v>170.0</v>
      </c>
      <c r="P31" s="34" t="s">
        <v>3853</v>
      </c>
      <c r="Q31" s="34">
        <v>0.0</v>
      </c>
      <c r="R31" s="34">
        <v>100.0</v>
      </c>
      <c r="S31" s="34">
        <v>0.0</v>
      </c>
      <c r="T31" s="34">
        <v>0.0</v>
      </c>
      <c r="U31" s="33">
        <f>COUNTIFS('Data For Calculation - Insuranc'!A:A,A31,'Data For Calculation - Insuranc'!E:E,"CPA + RSA + AHDC + DOC")</f>
        <v>0</v>
      </c>
      <c r="V31" s="30" t="s">
        <v>3820</v>
      </c>
      <c r="W31" s="34">
        <v>838.99</v>
      </c>
      <c r="X31" s="34" t="s">
        <v>3853</v>
      </c>
      <c r="Y31" s="34">
        <v>0.0</v>
      </c>
      <c r="Z31" s="34">
        <v>100.0</v>
      </c>
      <c r="AA31" s="34">
        <v>0.0</v>
      </c>
      <c r="AB31" s="34">
        <v>0.0</v>
      </c>
      <c r="AC31" s="33">
        <f>COUNTIFS('Data For Calculation - Insuranc'!A:A,A31,'Data For Calculation - Insuranc'!E:E,"CPA + RSA : 5 Years")</f>
        <v>0</v>
      </c>
      <c r="AD31" s="30" t="s">
        <v>3820</v>
      </c>
      <c r="AE31" s="31">
        <v>838.99</v>
      </c>
      <c r="AF31" s="34" t="s">
        <v>3853</v>
      </c>
      <c r="AG31" s="34">
        <v>0.0</v>
      </c>
      <c r="AH31" s="34">
        <v>100.0</v>
      </c>
      <c r="AI31" s="34">
        <v>0.0</v>
      </c>
      <c r="AJ31" s="34">
        <v>0.0</v>
      </c>
      <c r="AK31" s="33">
        <f>COUNTIFS('Data For Calculation - Insuranc'!A:A,A31,'Data For Calculation - Insuranc'!E:E,"Assistance + CPA : 5 Years")</f>
        <v>0</v>
      </c>
      <c r="AL31" s="30" t="s">
        <v>3820</v>
      </c>
      <c r="AM31" s="31">
        <v>290.0</v>
      </c>
      <c r="AN31" s="34" t="s">
        <v>3853</v>
      </c>
      <c r="AO31" s="34">
        <v>0.0</v>
      </c>
      <c r="AP31" s="34">
        <v>100.0</v>
      </c>
      <c r="AQ31" s="34">
        <v>0.0</v>
      </c>
      <c r="AR31" s="34">
        <v>0.0</v>
      </c>
      <c r="AS31" s="33">
        <f>COUNTIFS('Data For Calculation - Insuranc'!A:A,A31,'Data For Calculation - Insuranc'!E:E,"RSA + AHDC + DOC")</f>
        <v>0</v>
      </c>
      <c r="AT31" s="33"/>
      <c r="AU31" s="33"/>
      <c r="AV31" s="33"/>
      <c r="AW31" s="33"/>
      <c r="AX31" s="33"/>
      <c r="AY31" s="33"/>
      <c r="AZ31" s="33"/>
      <c r="BA31" s="33"/>
      <c r="BB31" s="33"/>
      <c r="BC31" s="33"/>
      <c r="BD31" s="33"/>
      <c r="BE31" s="33"/>
      <c r="BF31" s="33"/>
      <c r="BG31" s="33"/>
      <c r="BH31" s="33"/>
      <c r="BI31" s="33"/>
      <c r="BJ31" s="33"/>
      <c r="BK31" s="33"/>
      <c r="BL31" s="33"/>
      <c r="BM31" s="33"/>
      <c r="BN31" s="33"/>
      <c r="BO31" s="33"/>
      <c r="BP31" s="33"/>
      <c r="BQ31" s="33"/>
      <c r="BR31" s="33">
        <f t="shared" si="1"/>
        <v>0</v>
      </c>
      <c r="BS31" s="33">
        <f>SUMIFS('Data For Calculation - Insuranc'!I:I,'Data For Calculation - Insuranc'!$A:$A,$A31)</f>
        <v>0</v>
      </c>
      <c r="BT31" s="33">
        <f>SUMIFS('Data For Calculation - Insuranc'!J:J,'Data For Calculation - Insuranc'!$A:$A,$A31)</f>
        <v>0</v>
      </c>
      <c r="BU31" s="33">
        <f>SUMIFS('Data For Calculation - Insuranc'!K:K,'Data For Calculation - Insuranc'!$A:$A,$A31)</f>
        <v>0</v>
      </c>
      <c r="BV31" s="33">
        <f>IF($CC31 = "Dealer", SUMIFS('Data For Calculation - Insuranc'!I:I,'Data For Calculation - Insuranc'!$B:$B,$A31,'Data For Calculation - Insuranc'!$H:$H,"Master Dealer")) + SUMIFS('Data For Calculation - Insuranc'!I:I,'Data For Calculation - Insuranc'!$A:$A,$A31,'Data For Calculation - Insuranc'!$H:$H,"Self")</f>
        <v>0</v>
      </c>
      <c r="BW31" s="33">
        <f>IF($CC31 = "Dealer", SUMIFS('Data For Calculation - Insuranc'!J:J,'Data For Calculation - Insuranc'!$B:$B,$A31,'Data For Calculation - Insuranc'!$H:$H,"Master Dealer")) + SUMIFS('Data For Calculation - Insuranc'!J:J,'Data For Calculation - Insuranc'!$A:$A,$A31,'Data For Calculation - Insuranc'!$H:$H,"Self")</f>
        <v>0</v>
      </c>
      <c r="BX31" s="33">
        <f>IF($CC31 = "Dealer", SUMIFS('Data For Calculation - Insuranc'!K:K,'Data For Calculation - Insuranc'!$B:$B,$A31,'Data For Calculation - Insuranc'!$H:$H,"Master Dealer")) + SUMIFS('Data For Calculation - Insuranc'!K:K,'Data For Calculation - Insuranc'!$A:$A,$A31,'Data For Calculation - Insuranc'!$H:$H,"Self")</f>
        <v>0</v>
      </c>
      <c r="BY31" s="25" t="str">
        <f>(Sheet1!N31)</f>
        <v>Jain Motorcycle Company</v>
      </c>
      <c r="BZ31" s="25" t="str">
        <f>(Sheet1!O31)</f>
        <v>184Y3L-ZLT7vcLiFDItIcLa-18phpzEbgBCBDgt_LGCQ</v>
      </c>
      <c r="CA31" s="25" t="str">
        <f>(Sheet1!AV31)</f>
        <v/>
      </c>
      <c r="CB31" s="25" t="str">
        <f>(Sheet1!AW31)</f>
        <v/>
      </c>
      <c r="CC31" s="26" t="str">
        <f>(Sheet1!P31)</f>
        <v>Sub Dealer</v>
      </c>
    </row>
    <row r="32">
      <c r="A32" s="25" t="str">
        <f>(Sheet1!A32)</f>
        <v>19bXssdH9Vj9S4-hnqEvDKXxBYkCZb2YideGN1EcSGyk</v>
      </c>
      <c r="B32" s="25" t="str">
        <f>(Sheet1!B32)</f>
        <v>Radha Motors (JMC)</v>
      </c>
      <c r="C32" s="30" t="str">
        <f>Sheet1!BB32</f>
        <v>No</v>
      </c>
      <c r="D32" s="30" t="s">
        <v>13</v>
      </c>
      <c r="E32" s="34" t="s">
        <v>13</v>
      </c>
      <c r="F32" s="30" t="s">
        <v>3820</v>
      </c>
      <c r="G32" s="31">
        <v>170.0</v>
      </c>
      <c r="H32" s="34" t="s">
        <v>3853</v>
      </c>
      <c r="I32" s="34">
        <v>0.0</v>
      </c>
      <c r="J32" s="34">
        <v>100.0</v>
      </c>
      <c r="K32" s="34">
        <v>0.0</v>
      </c>
      <c r="L32" s="34">
        <v>0.0</v>
      </c>
      <c r="M32" s="33">
        <f>COUNTIFS('Data For Calculation - Insuranc'!A:A,A32,'Data For Calculation - Insuranc'!E:E,"CPA + RSA")</f>
        <v>0</v>
      </c>
      <c r="N32" s="30" t="s">
        <v>3820</v>
      </c>
      <c r="O32" s="31">
        <v>170.0</v>
      </c>
      <c r="P32" s="34" t="s">
        <v>3853</v>
      </c>
      <c r="Q32" s="34">
        <v>0.0</v>
      </c>
      <c r="R32" s="34">
        <v>100.0</v>
      </c>
      <c r="S32" s="34">
        <v>0.0</v>
      </c>
      <c r="T32" s="34">
        <v>0.0</v>
      </c>
      <c r="U32" s="33">
        <f>COUNTIFS('Data For Calculation - Insuranc'!A:A,A32,'Data For Calculation - Insuranc'!E:E,"CPA + RSA + AHDC + DOC")</f>
        <v>0</v>
      </c>
      <c r="V32" s="30" t="s">
        <v>3820</v>
      </c>
      <c r="W32" s="34">
        <v>838.99</v>
      </c>
      <c r="X32" s="34" t="s">
        <v>3853</v>
      </c>
      <c r="Y32" s="34">
        <v>0.0</v>
      </c>
      <c r="Z32" s="34">
        <v>100.0</v>
      </c>
      <c r="AA32" s="34">
        <v>0.0</v>
      </c>
      <c r="AB32" s="34">
        <v>0.0</v>
      </c>
      <c r="AC32" s="33">
        <f>COUNTIFS('Data For Calculation - Insuranc'!A:A,A32,'Data For Calculation - Insuranc'!E:E,"CPA + RSA : 5 Years")</f>
        <v>0</v>
      </c>
      <c r="AD32" s="30" t="s">
        <v>3820</v>
      </c>
      <c r="AE32" s="31">
        <v>838.99</v>
      </c>
      <c r="AF32" s="34" t="s">
        <v>3853</v>
      </c>
      <c r="AG32" s="34">
        <v>0.0</v>
      </c>
      <c r="AH32" s="34">
        <v>100.0</v>
      </c>
      <c r="AI32" s="34">
        <v>0.0</v>
      </c>
      <c r="AJ32" s="34">
        <v>0.0</v>
      </c>
      <c r="AK32" s="33">
        <f>COUNTIFS('Data For Calculation - Insuranc'!A:A,A32,'Data For Calculation - Insuranc'!E:E,"Assistance + CPA : 5 Years")</f>
        <v>0</v>
      </c>
      <c r="AL32" s="30" t="s">
        <v>3820</v>
      </c>
      <c r="AM32" s="31">
        <v>290.0</v>
      </c>
      <c r="AN32" s="34" t="s">
        <v>3853</v>
      </c>
      <c r="AO32" s="34">
        <v>0.0</v>
      </c>
      <c r="AP32" s="34">
        <v>100.0</v>
      </c>
      <c r="AQ32" s="34">
        <v>0.0</v>
      </c>
      <c r="AR32" s="34">
        <v>0.0</v>
      </c>
      <c r="AS32" s="33">
        <f>COUNTIFS('Data For Calculation - Insuranc'!A:A,A32,'Data For Calculation - Insuranc'!E:E,"RSA + AHDC + DOC")</f>
        <v>0</v>
      </c>
      <c r="AT32" s="33"/>
      <c r="AU32" s="33"/>
      <c r="AV32" s="33"/>
      <c r="AW32" s="33"/>
      <c r="AX32" s="33"/>
      <c r="AY32" s="33"/>
      <c r="AZ32" s="33"/>
      <c r="BA32" s="33"/>
      <c r="BB32" s="33"/>
      <c r="BC32" s="33"/>
      <c r="BD32" s="33"/>
      <c r="BE32" s="33"/>
      <c r="BF32" s="33"/>
      <c r="BG32" s="33"/>
      <c r="BH32" s="33"/>
      <c r="BI32" s="33"/>
      <c r="BJ32" s="33"/>
      <c r="BK32" s="33"/>
      <c r="BL32" s="33"/>
      <c r="BM32" s="33"/>
      <c r="BN32" s="33"/>
      <c r="BO32" s="33"/>
      <c r="BP32" s="33"/>
      <c r="BQ32" s="33"/>
      <c r="BR32" s="33">
        <f t="shared" si="1"/>
        <v>0</v>
      </c>
      <c r="BS32" s="33">
        <f>SUMIFS('Data For Calculation - Insuranc'!I:I,'Data For Calculation - Insuranc'!$A:$A,$A32)</f>
        <v>0</v>
      </c>
      <c r="BT32" s="33">
        <f>SUMIFS('Data For Calculation - Insuranc'!J:J,'Data For Calculation - Insuranc'!$A:$A,$A32)</f>
        <v>0</v>
      </c>
      <c r="BU32" s="33">
        <f>SUMIFS('Data For Calculation - Insuranc'!K:K,'Data For Calculation - Insuranc'!$A:$A,$A32)</f>
        <v>0</v>
      </c>
      <c r="BV32" s="33">
        <f>IF($CC32 = "Dealer", SUMIFS('Data For Calculation - Insuranc'!I:I,'Data For Calculation - Insuranc'!$B:$B,$A32,'Data For Calculation - Insuranc'!$H:$H,"Master Dealer")) + SUMIFS('Data For Calculation - Insuranc'!I:I,'Data For Calculation - Insuranc'!$A:$A,$A32,'Data For Calculation - Insuranc'!$H:$H,"Self")</f>
        <v>0</v>
      </c>
      <c r="BW32" s="33">
        <f>IF($CC32 = "Dealer", SUMIFS('Data For Calculation - Insuranc'!J:J,'Data For Calculation - Insuranc'!$B:$B,$A32,'Data For Calculation - Insuranc'!$H:$H,"Master Dealer")) + SUMIFS('Data For Calculation - Insuranc'!J:J,'Data For Calculation - Insuranc'!$A:$A,$A32,'Data For Calculation - Insuranc'!$H:$H,"Self")</f>
        <v>0</v>
      </c>
      <c r="BX32" s="33">
        <f>IF($CC32 = "Dealer", SUMIFS('Data For Calculation - Insuranc'!K:K,'Data For Calculation - Insuranc'!$B:$B,$A32,'Data For Calculation - Insuranc'!$H:$H,"Master Dealer")) + SUMIFS('Data For Calculation - Insuranc'!K:K,'Data For Calculation - Insuranc'!$A:$A,$A32,'Data For Calculation - Insuranc'!$H:$H,"Self")</f>
        <v>0</v>
      </c>
      <c r="BY32" s="25" t="str">
        <f>(Sheet1!N32)</f>
        <v>Jain Motorcycle Company</v>
      </c>
      <c r="BZ32" s="25" t="str">
        <f>(Sheet1!O32)</f>
        <v>184Y3L-ZLT7vcLiFDItIcLa-18phpzEbgBCBDgt_LGCQ</v>
      </c>
      <c r="CA32" s="25" t="str">
        <f>(Sheet1!AV32)</f>
        <v/>
      </c>
      <c r="CB32" s="25" t="str">
        <f>(Sheet1!AW32)</f>
        <v/>
      </c>
      <c r="CC32" s="26" t="str">
        <f>(Sheet1!P32)</f>
        <v>Sub Dealer</v>
      </c>
    </row>
    <row r="33">
      <c r="A33" s="25" t="str">
        <f>(Sheet1!A33)</f>
        <v>1EKUX2g7taP0J1K7X0BVbZcttQIgEqnHtNldFX8ZYPLQ</v>
      </c>
      <c r="B33" s="25" t="str">
        <f>(Sheet1!B33)</f>
        <v>Agrawal Auto Sales (JMC)</v>
      </c>
      <c r="C33" s="30" t="str">
        <f>Sheet1!BB33</f>
        <v>No</v>
      </c>
      <c r="D33" s="30" t="s">
        <v>13</v>
      </c>
      <c r="E33" s="34" t="s">
        <v>13</v>
      </c>
      <c r="F33" s="30" t="s">
        <v>3820</v>
      </c>
      <c r="G33" s="31">
        <v>170.0</v>
      </c>
      <c r="H33" s="34" t="s">
        <v>3853</v>
      </c>
      <c r="I33" s="34">
        <v>0.0</v>
      </c>
      <c r="J33" s="34">
        <v>100.0</v>
      </c>
      <c r="K33" s="34">
        <v>0.0</v>
      </c>
      <c r="L33" s="34">
        <v>0.0</v>
      </c>
      <c r="M33" s="33">
        <f>COUNTIFS('Data For Calculation - Insuranc'!A:A,A33,'Data For Calculation - Insuranc'!E:E,"CPA + RSA")</f>
        <v>0</v>
      </c>
      <c r="N33" s="30" t="s">
        <v>3820</v>
      </c>
      <c r="O33" s="31">
        <v>170.0</v>
      </c>
      <c r="P33" s="34" t="s">
        <v>3853</v>
      </c>
      <c r="Q33" s="34">
        <v>0.0</v>
      </c>
      <c r="R33" s="34">
        <v>100.0</v>
      </c>
      <c r="S33" s="34">
        <v>0.0</v>
      </c>
      <c r="T33" s="34">
        <v>0.0</v>
      </c>
      <c r="U33" s="33">
        <f>COUNTIFS('Data For Calculation - Insuranc'!A:A,A33,'Data For Calculation - Insuranc'!E:E,"CPA + RSA + AHDC + DOC")</f>
        <v>0</v>
      </c>
      <c r="V33" s="30" t="s">
        <v>3820</v>
      </c>
      <c r="W33" s="34">
        <v>838.99</v>
      </c>
      <c r="X33" s="34" t="s">
        <v>3853</v>
      </c>
      <c r="Y33" s="34">
        <v>0.0</v>
      </c>
      <c r="Z33" s="34">
        <v>100.0</v>
      </c>
      <c r="AA33" s="34">
        <v>0.0</v>
      </c>
      <c r="AB33" s="34">
        <v>0.0</v>
      </c>
      <c r="AC33" s="33">
        <f>COUNTIFS('Data For Calculation - Insuranc'!A:A,A33,'Data For Calculation - Insuranc'!E:E,"CPA + RSA : 5 Years")</f>
        <v>0</v>
      </c>
      <c r="AD33" s="30" t="s">
        <v>3820</v>
      </c>
      <c r="AE33" s="31">
        <v>838.99</v>
      </c>
      <c r="AF33" s="34" t="s">
        <v>3853</v>
      </c>
      <c r="AG33" s="34">
        <v>0.0</v>
      </c>
      <c r="AH33" s="34">
        <v>100.0</v>
      </c>
      <c r="AI33" s="34">
        <v>0.0</v>
      </c>
      <c r="AJ33" s="34">
        <v>0.0</v>
      </c>
      <c r="AK33" s="33">
        <f>COUNTIFS('Data For Calculation - Insuranc'!A:A,A33,'Data For Calculation - Insuranc'!E:E,"Assistance + CPA : 5 Years")</f>
        <v>0</v>
      </c>
      <c r="AL33" s="30" t="s">
        <v>3820</v>
      </c>
      <c r="AM33" s="31">
        <v>290.0</v>
      </c>
      <c r="AN33" s="34" t="s">
        <v>3853</v>
      </c>
      <c r="AO33" s="34">
        <v>0.0</v>
      </c>
      <c r="AP33" s="34">
        <v>100.0</v>
      </c>
      <c r="AQ33" s="34">
        <v>0.0</v>
      </c>
      <c r="AR33" s="34">
        <v>0.0</v>
      </c>
      <c r="AS33" s="33">
        <f>COUNTIFS('Data For Calculation - Insuranc'!A:A,A33,'Data For Calculation - Insuranc'!E:E,"RSA + AHDC + DOC")</f>
        <v>0</v>
      </c>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f t="shared" si="1"/>
        <v>0</v>
      </c>
      <c r="BS33" s="33">
        <f>SUMIFS('Data For Calculation - Insuranc'!I:I,'Data For Calculation - Insuranc'!$A:$A,$A33)</f>
        <v>0</v>
      </c>
      <c r="BT33" s="33">
        <f>SUMIFS('Data For Calculation - Insuranc'!J:J,'Data For Calculation - Insuranc'!$A:$A,$A33)</f>
        <v>0</v>
      </c>
      <c r="BU33" s="33">
        <f>SUMIFS('Data For Calculation - Insuranc'!K:K,'Data For Calculation - Insuranc'!$A:$A,$A33)</f>
        <v>0</v>
      </c>
      <c r="BV33" s="33">
        <f>IF($CC33 = "Dealer", SUMIFS('Data For Calculation - Insuranc'!I:I,'Data For Calculation - Insuranc'!$B:$B,$A33,'Data For Calculation - Insuranc'!$H:$H,"Master Dealer")) + SUMIFS('Data For Calculation - Insuranc'!I:I,'Data For Calculation - Insuranc'!$A:$A,$A33,'Data For Calculation - Insuranc'!$H:$H,"Self")</f>
        <v>0</v>
      </c>
      <c r="BW33" s="33">
        <f>IF($CC33 = "Dealer", SUMIFS('Data For Calculation - Insuranc'!J:J,'Data For Calculation - Insuranc'!$B:$B,$A33,'Data For Calculation - Insuranc'!$H:$H,"Master Dealer")) + SUMIFS('Data For Calculation - Insuranc'!J:J,'Data For Calculation - Insuranc'!$A:$A,$A33,'Data For Calculation - Insuranc'!$H:$H,"Self")</f>
        <v>0</v>
      </c>
      <c r="BX33" s="33">
        <f>IF($CC33 = "Dealer", SUMIFS('Data For Calculation - Insuranc'!K:K,'Data For Calculation - Insuranc'!$B:$B,$A33,'Data For Calculation - Insuranc'!$H:$H,"Master Dealer")) + SUMIFS('Data For Calculation - Insuranc'!K:K,'Data For Calculation - Insuranc'!$A:$A,$A33,'Data For Calculation - Insuranc'!$H:$H,"Self")</f>
        <v>0</v>
      </c>
      <c r="BY33" s="25" t="str">
        <f>(Sheet1!N33)</f>
        <v>Jain Motorcycle Company</v>
      </c>
      <c r="BZ33" s="25" t="str">
        <f>(Sheet1!O33)</f>
        <v>184Y3L-ZLT7vcLiFDItIcLa-18phpzEbgBCBDgt_LGCQ</v>
      </c>
      <c r="CA33" s="25" t="str">
        <f>(Sheet1!AV33)</f>
        <v/>
      </c>
      <c r="CB33" s="25" t="str">
        <f>(Sheet1!AW33)</f>
        <v/>
      </c>
      <c r="CC33" s="26" t="str">
        <f>(Sheet1!P33)</f>
        <v>Sub Dealer</v>
      </c>
    </row>
    <row r="34">
      <c r="A34" s="25" t="str">
        <f>(Sheet1!A34)</f>
        <v>1HtysfhpGiYy4pDXvahWxBmR24wGrNyOL6Yy9V9oDnB4</v>
      </c>
      <c r="B34" s="25" t="str">
        <f>(Sheet1!B34)</f>
        <v>SB Khandelwal Motors (JMC)</v>
      </c>
      <c r="C34" s="30" t="str">
        <f>Sheet1!BB34</f>
        <v>No</v>
      </c>
      <c r="D34" s="30" t="s">
        <v>13</v>
      </c>
      <c r="E34" s="34" t="s">
        <v>13</v>
      </c>
      <c r="F34" s="30" t="s">
        <v>3820</v>
      </c>
      <c r="G34" s="31">
        <v>170.0</v>
      </c>
      <c r="H34" s="34" t="s">
        <v>3853</v>
      </c>
      <c r="I34" s="34">
        <v>0.0</v>
      </c>
      <c r="J34" s="34">
        <v>100.0</v>
      </c>
      <c r="K34" s="34">
        <v>0.0</v>
      </c>
      <c r="L34" s="34">
        <v>0.0</v>
      </c>
      <c r="M34" s="33">
        <f>COUNTIFS('Data For Calculation - Insuranc'!A:A,A34,'Data For Calculation - Insuranc'!E:E,"CPA + RSA")</f>
        <v>0</v>
      </c>
      <c r="N34" s="30" t="s">
        <v>3820</v>
      </c>
      <c r="O34" s="31">
        <v>170.0</v>
      </c>
      <c r="P34" s="34" t="s">
        <v>3853</v>
      </c>
      <c r="Q34" s="34">
        <v>0.0</v>
      </c>
      <c r="R34" s="34">
        <v>100.0</v>
      </c>
      <c r="S34" s="34">
        <v>0.0</v>
      </c>
      <c r="T34" s="34">
        <v>0.0</v>
      </c>
      <c r="U34" s="33">
        <f>COUNTIFS('Data For Calculation - Insuranc'!A:A,A34,'Data For Calculation - Insuranc'!E:E,"CPA + RSA + AHDC + DOC")</f>
        <v>0</v>
      </c>
      <c r="V34" s="30" t="s">
        <v>3820</v>
      </c>
      <c r="W34" s="34">
        <v>838.99</v>
      </c>
      <c r="X34" s="34" t="s">
        <v>3853</v>
      </c>
      <c r="Y34" s="34">
        <v>0.0</v>
      </c>
      <c r="Z34" s="34">
        <v>100.0</v>
      </c>
      <c r="AA34" s="34">
        <v>0.0</v>
      </c>
      <c r="AB34" s="34">
        <v>0.0</v>
      </c>
      <c r="AC34" s="33">
        <f>COUNTIFS('Data For Calculation - Insuranc'!A:A,A34,'Data For Calculation - Insuranc'!E:E,"CPA + RSA : 5 Years")</f>
        <v>0</v>
      </c>
      <c r="AD34" s="30" t="s">
        <v>3820</v>
      </c>
      <c r="AE34" s="31">
        <v>838.99</v>
      </c>
      <c r="AF34" s="34" t="s">
        <v>3853</v>
      </c>
      <c r="AG34" s="34">
        <v>0.0</v>
      </c>
      <c r="AH34" s="34">
        <v>100.0</v>
      </c>
      <c r="AI34" s="34">
        <v>0.0</v>
      </c>
      <c r="AJ34" s="34">
        <v>0.0</v>
      </c>
      <c r="AK34" s="33">
        <f>COUNTIFS('Data For Calculation - Insuranc'!A:A,A34,'Data For Calculation - Insuranc'!E:E,"Assistance + CPA : 5 Years")</f>
        <v>0</v>
      </c>
      <c r="AL34" s="30" t="s">
        <v>3820</v>
      </c>
      <c r="AM34" s="31">
        <v>290.0</v>
      </c>
      <c r="AN34" s="34" t="s">
        <v>3853</v>
      </c>
      <c r="AO34" s="34">
        <v>0.0</v>
      </c>
      <c r="AP34" s="34">
        <v>100.0</v>
      </c>
      <c r="AQ34" s="34">
        <v>0.0</v>
      </c>
      <c r="AR34" s="34">
        <v>0.0</v>
      </c>
      <c r="AS34" s="33">
        <f>COUNTIFS('Data For Calculation - Insuranc'!A:A,A34,'Data For Calculation - Insuranc'!E:E,"RSA + AHDC + DOC")</f>
        <v>0</v>
      </c>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f t="shared" si="1"/>
        <v>0</v>
      </c>
      <c r="BS34" s="33">
        <f>SUMIFS('Data For Calculation - Insuranc'!I:I,'Data For Calculation - Insuranc'!$A:$A,$A34)</f>
        <v>0</v>
      </c>
      <c r="BT34" s="33">
        <f>SUMIFS('Data For Calculation - Insuranc'!J:J,'Data For Calculation - Insuranc'!$A:$A,$A34)</f>
        <v>0</v>
      </c>
      <c r="BU34" s="33">
        <f>SUMIFS('Data For Calculation - Insuranc'!K:K,'Data For Calculation - Insuranc'!$A:$A,$A34)</f>
        <v>0</v>
      </c>
      <c r="BV34" s="33">
        <f>IF($CC34 = "Dealer", SUMIFS('Data For Calculation - Insuranc'!I:I,'Data For Calculation - Insuranc'!$B:$B,$A34,'Data For Calculation - Insuranc'!$H:$H,"Master Dealer")) + SUMIFS('Data For Calculation - Insuranc'!I:I,'Data For Calculation - Insuranc'!$A:$A,$A34,'Data For Calculation - Insuranc'!$H:$H,"Self")</f>
        <v>0</v>
      </c>
      <c r="BW34" s="33">
        <f>IF($CC34 = "Dealer", SUMIFS('Data For Calculation - Insuranc'!J:J,'Data For Calculation - Insuranc'!$B:$B,$A34,'Data For Calculation - Insuranc'!$H:$H,"Master Dealer")) + SUMIFS('Data For Calculation - Insuranc'!J:J,'Data For Calculation - Insuranc'!$A:$A,$A34,'Data For Calculation - Insuranc'!$H:$H,"Self")</f>
        <v>0</v>
      </c>
      <c r="BX34" s="33">
        <f>IF($CC34 = "Dealer", SUMIFS('Data For Calculation - Insuranc'!K:K,'Data For Calculation - Insuranc'!$B:$B,$A34,'Data For Calculation - Insuranc'!$H:$H,"Master Dealer")) + SUMIFS('Data For Calculation - Insuranc'!K:K,'Data For Calculation - Insuranc'!$A:$A,$A34,'Data For Calculation - Insuranc'!$H:$H,"Self")</f>
        <v>0</v>
      </c>
      <c r="BY34" s="25" t="str">
        <f>(Sheet1!N34)</f>
        <v>Jain Motorcycle Company</v>
      </c>
      <c r="BZ34" s="25" t="str">
        <f>(Sheet1!O34)</f>
        <v>184Y3L-ZLT7vcLiFDItIcLa-18phpzEbgBCBDgt_LGCQ</v>
      </c>
      <c r="CA34" s="25" t="str">
        <f>(Sheet1!AV34)</f>
        <v/>
      </c>
      <c r="CB34" s="25" t="str">
        <f>(Sheet1!AW34)</f>
        <v/>
      </c>
      <c r="CC34" s="26" t="str">
        <f>(Sheet1!P34)</f>
        <v>Sub Dealer</v>
      </c>
    </row>
    <row r="35">
      <c r="A35" s="25" t="str">
        <f>(Sheet1!A35)</f>
        <v>1eZlt3K2rssS_3hpp5DKow70BJWa_wksndc0ag7yiUs4</v>
      </c>
      <c r="B35" s="25" t="str">
        <f>(Sheet1!B35)</f>
        <v>SK financial services (MPS)</v>
      </c>
      <c r="C35" s="30" t="str">
        <f>Sheet1!BB35</f>
        <v>No</v>
      </c>
      <c r="D35" s="30" t="s">
        <v>13</v>
      </c>
      <c r="E35" s="34" t="s">
        <v>13</v>
      </c>
      <c r="F35" s="30" t="s">
        <v>3817</v>
      </c>
      <c r="G35" s="31">
        <v>290.0</v>
      </c>
      <c r="H35" s="34" t="s">
        <v>3853</v>
      </c>
      <c r="I35" s="34">
        <v>0.0</v>
      </c>
      <c r="J35" s="34">
        <v>100.0</v>
      </c>
      <c r="K35" s="34">
        <v>0.0</v>
      </c>
      <c r="L35" s="34">
        <v>0.0</v>
      </c>
      <c r="M35" s="33">
        <f>COUNTIFS('Data For Calculation - Insuranc'!A:A,A35,'Data For Calculation - Insuranc'!E:E,"CPA + RSA")</f>
        <v>0</v>
      </c>
      <c r="N35" s="30" t="s">
        <v>3817</v>
      </c>
      <c r="O35" s="31">
        <v>460.0</v>
      </c>
      <c r="P35" s="34" t="s">
        <v>3853</v>
      </c>
      <c r="Q35" s="34">
        <v>0.0</v>
      </c>
      <c r="R35" s="34">
        <v>100.0</v>
      </c>
      <c r="S35" s="34">
        <v>0.0</v>
      </c>
      <c r="T35" s="34">
        <v>0.0</v>
      </c>
      <c r="U35" s="33">
        <f>COUNTIFS('Data For Calculation - Insuranc'!A:A,A35,'Data For Calculation - Insuranc'!E:E,"CPA + RSA + AHDC + DOC")</f>
        <v>0</v>
      </c>
      <c r="V35" s="30" t="s">
        <v>3817</v>
      </c>
      <c r="W35" s="34">
        <v>838.99</v>
      </c>
      <c r="X35" s="34" t="s">
        <v>3853</v>
      </c>
      <c r="Y35" s="34">
        <v>0.0</v>
      </c>
      <c r="Z35" s="34">
        <v>100.0</v>
      </c>
      <c r="AA35" s="34">
        <v>0.0</v>
      </c>
      <c r="AB35" s="34">
        <v>0.0</v>
      </c>
      <c r="AC35" s="33">
        <f>COUNTIFS('Data For Calculation - Insuranc'!A:A,A35,'Data For Calculation - Insuranc'!E:E,"CPA + RSA : 5 Years")</f>
        <v>0</v>
      </c>
      <c r="AD35" s="30" t="s">
        <v>3817</v>
      </c>
      <c r="AE35" s="31">
        <v>838.99</v>
      </c>
      <c r="AF35" s="34" t="s">
        <v>3853</v>
      </c>
      <c r="AG35" s="34">
        <v>0.0</v>
      </c>
      <c r="AH35" s="34">
        <v>100.0</v>
      </c>
      <c r="AI35" s="34">
        <v>0.0</v>
      </c>
      <c r="AJ35" s="34">
        <v>0.0</v>
      </c>
      <c r="AK35" s="33">
        <f>COUNTIFS('Data For Calculation - Insuranc'!A:A,A35,'Data For Calculation - Insuranc'!E:E,"Assistance + CPA : 5 Years")</f>
        <v>0</v>
      </c>
      <c r="AL35" s="30" t="s">
        <v>3817</v>
      </c>
      <c r="AM35" s="31">
        <v>290.0</v>
      </c>
      <c r="AN35" s="34" t="s">
        <v>3853</v>
      </c>
      <c r="AO35" s="34">
        <v>0.0</v>
      </c>
      <c r="AP35" s="34">
        <v>100.0</v>
      </c>
      <c r="AQ35" s="34">
        <v>0.0</v>
      </c>
      <c r="AR35" s="34">
        <v>0.0</v>
      </c>
      <c r="AS35" s="33">
        <f>COUNTIFS('Data For Calculation - Insuranc'!A:A,A35,'Data For Calculation - Insuranc'!E:E,"RSA + AHDC + DOC")</f>
        <v>0</v>
      </c>
      <c r="AT35" s="33"/>
      <c r="AU35" s="33"/>
      <c r="AV35" s="33"/>
      <c r="AW35" s="33"/>
      <c r="AX35" s="33"/>
      <c r="AY35" s="33"/>
      <c r="AZ35" s="33"/>
      <c r="BA35" s="33"/>
      <c r="BB35" s="33"/>
      <c r="BC35" s="33"/>
      <c r="BD35" s="33"/>
      <c r="BE35" s="33"/>
      <c r="BF35" s="33"/>
      <c r="BG35" s="33"/>
      <c r="BH35" s="33"/>
      <c r="BI35" s="33"/>
      <c r="BJ35" s="33"/>
      <c r="BK35" s="33"/>
      <c r="BL35" s="33"/>
      <c r="BM35" s="33"/>
      <c r="BN35" s="33"/>
      <c r="BO35" s="33"/>
      <c r="BP35" s="33"/>
      <c r="BQ35" s="33"/>
      <c r="BR35" s="33">
        <f t="shared" si="1"/>
        <v>0</v>
      </c>
      <c r="BS35" s="33">
        <f>SUMIFS('Data For Calculation - Insuranc'!I:I,'Data For Calculation - Insuranc'!$A:$A,$A35)</f>
        <v>0</v>
      </c>
      <c r="BT35" s="33">
        <f>SUMIFS('Data For Calculation - Insuranc'!J:J,'Data For Calculation - Insuranc'!$A:$A,$A35)</f>
        <v>0</v>
      </c>
      <c r="BU35" s="33">
        <f>SUMIFS('Data For Calculation - Insuranc'!K:K,'Data For Calculation - Insuranc'!$A:$A,$A35)</f>
        <v>0</v>
      </c>
      <c r="BV35" s="33">
        <f>IF($CC35 = "Dealer", SUMIFS('Data For Calculation - Insuranc'!I:I,'Data For Calculation - Insuranc'!$B:$B,$A35,'Data For Calculation - Insuranc'!$H:$H,"Master Dealer")) + SUMIFS('Data For Calculation - Insuranc'!I:I,'Data For Calculation - Insuranc'!$A:$A,$A35,'Data For Calculation - Insuranc'!$H:$H,"Self")</f>
        <v>0</v>
      </c>
      <c r="BW35" s="33">
        <f>IF($CC35 = "Dealer", SUMIFS('Data For Calculation - Insuranc'!J:J,'Data For Calculation - Insuranc'!$B:$B,$A35,'Data For Calculation - Insuranc'!$H:$H,"Master Dealer")) + SUMIFS('Data For Calculation - Insuranc'!J:J,'Data For Calculation - Insuranc'!$A:$A,$A35,'Data For Calculation - Insuranc'!$H:$H,"Self")</f>
        <v>0</v>
      </c>
      <c r="BX35" s="33">
        <f>IF($CC35 = "Dealer", SUMIFS('Data For Calculation - Insuranc'!K:K,'Data For Calculation - Insuranc'!$B:$B,$A35,'Data For Calculation - Insuranc'!$H:$H,"Master Dealer")) + SUMIFS('Data For Calculation - Insuranc'!K:K,'Data For Calculation - Insuranc'!$A:$A,$A35,'Data For Calculation - Insuranc'!$H:$H,"Self")</f>
        <v>0</v>
      </c>
      <c r="BY35" s="25" t="str">
        <f>(Sheet1!N35)</f>
        <v>SK financial services (MPS)</v>
      </c>
      <c r="BZ35" s="25" t="str">
        <f>(Sheet1!O35)</f>
        <v>1eZlt3K2rssS_3hpp5DKow70BJWa_wksndc0ag7yiUs4</v>
      </c>
      <c r="CA35" s="25" t="str">
        <f>(Sheet1!AV35)</f>
        <v/>
      </c>
      <c r="CB35" s="25" t="str">
        <f>(Sheet1!AW35)</f>
        <v/>
      </c>
      <c r="CC35" s="26" t="str">
        <f>(Sheet1!P35)</f>
        <v>Dealer</v>
      </c>
    </row>
    <row r="36">
      <c r="A36" s="25" t="str">
        <f>(Sheet1!A36)</f>
        <v>1AjVyIHPgPw3jscNmkTH1qzR2RokK5FZaJLjeNfOiYAA</v>
      </c>
      <c r="B36" s="25" t="str">
        <f>(Sheet1!B36)</f>
        <v>AAA</v>
      </c>
      <c r="C36" s="30" t="str">
        <f>Sheet1!BB36</f>
        <v>No</v>
      </c>
      <c r="D36" s="30" t="s">
        <v>13</v>
      </c>
      <c r="E36" s="34" t="s">
        <v>13</v>
      </c>
      <c r="F36" s="30" t="s">
        <v>3856</v>
      </c>
      <c r="G36" s="31">
        <v>155.0</v>
      </c>
      <c r="H36" s="34" t="s">
        <v>3853</v>
      </c>
      <c r="I36" s="34">
        <v>0.0</v>
      </c>
      <c r="J36" s="34">
        <v>100.0</v>
      </c>
      <c r="K36" s="34">
        <v>0.0</v>
      </c>
      <c r="L36" s="34">
        <v>0.0</v>
      </c>
      <c r="M36" s="33">
        <f>COUNTIFS('Data For Calculation - Insuranc'!A:A,A36,'Data For Calculation - Insuranc'!E:E,"CPA + RSA")</f>
        <v>0</v>
      </c>
      <c r="N36" s="30" t="s">
        <v>3856</v>
      </c>
      <c r="O36" s="41">
        <v>155.0</v>
      </c>
      <c r="P36" s="34" t="s">
        <v>3853</v>
      </c>
      <c r="Q36" s="34">
        <v>0.0</v>
      </c>
      <c r="R36" s="34">
        <v>100.0</v>
      </c>
      <c r="S36" s="34">
        <v>0.0</v>
      </c>
      <c r="T36" s="34">
        <v>0.0</v>
      </c>
      <c r="U36" s="33">
        <f>COUNTIFS('Data For Calculation - Insuranc'!A:A,A36,'Data For Calculation - Insuranc'!E:E,"CPA + RSA + AHDC + DOC")</f>
        <v>0</v>
      </c>
      <c r="V36" s="30" t="s">
        <v>3856</v>
      </c>
      <c r="W36" s="34">
        <v>838.99</v>
      </c>
      <c r="X36" s="34" t="s">
        <v>3853</v>
      </c>
      <c r="Y36" s="34">
        <v>0.0</v>
      </c>
      <c r="Z36" s="34">
        <v>100.0</v>
      </c>
      <c r="AA36" s="34">
        <v>0.0</v>
      </c>
      <c r="AB36" s="34">
        <v>0.0</v>
      </c>
      <c r="AC36" s="33">
        <f>COUNTIFS('Data For Calculation - Insuranc'!A:A,A36,'Data For Calculation - Insuranc'!E:E,"CPA + RSA : 5 Years")</f>
        <v>0</v>
      </c>
      <c r="AD36" s="30" t="s">
        <v>3856</v>
      </c>
      <c r="AE36" s="31">
        <v>838.99</v>
      </c>
      <c r="AF36" s="34" t="s">
        <v>3853</v>
      </c>
      <c r="AG36" s="34">
        <v>0.0</v>
      </c>
      <c r="AH36" s="34">
        <v>100.0</v>
      </c>
      <c r="AI36" s="34">
        <v>0.0</v>
      </c>
      <c r="AJ36" s="34">
        <v>0.0</v>
      </c>
      <c r="AK36" s="33">
        <f>COUNTIFS('Data For Calculation - Insuranc'!A:A,A36,'Data For Calculation - Insuranc'!E:E,"Assistance + CPA : 5 Years")</f>
        <v>0</v>
      </c>
      <c r="AL36" s="30" t="s">
        <v>3856</v>
      </c>
      <c r="AM36" s="31">
        <v>155.0</v>
      </c>
      <c r="AN36" s="34" t="s">
        <v>3853</v>
      </c>
      <c r="AO36" s="34">
        <v>0.0</v>
      </c>
      <c r="AP36" s="34">
        <v>100.0</v>
      </c>
      <c r="AQ36" s="34">
        <v>0.0</v>
      </c>
      <c r="AR36" s="34">
        <v>0.0</v>
      </c>
      <c r="AS36" s="33">
        <f>COUNTIFS('Data For Calculation - Insuranc'!A:A,A36,'Data For Calculation - Insuranc'!E:E,"RSA + AHDC + DOC")</f>
        <v>0</v>
      </c>
      <c r="AT36" s="33"/>
      <c r="AU36" s="33"/>
      <c r="AV36" s="33"/>
      <c r="AW36" s="33"/>
      <c r="AX36" s="33"/>
      <c r="AY36" s="33"/>
      <c r="AZ36" s="33"/>
      <c r="BA36" s="33"/>
      <c r="BB36" s="33"/>
      <c r="BC36" s="33"/>
      <c r="BD36" s="33"/>
      <c r="BE36" s="33"/>
      <c r="BF36" s="33"/>
      <c r="BG36" s="33"/>
      <c r="BH36" s="33"/>
      <c r="BI36" s="33"/>
      <c r="BJ36" s="33"/>
      <c r="BK36" s="33"/>
      <c r="BL36" s="33"/>
      <c r="BM36" s="33"/>
      <c r="BN36" s="33"/>
      <c r="BO36" s="33"/>
      <c r="BP36" s="33"/>
      <c r="BQ36" s="33"/>
      <c r="BR36" s="33">
        <f t="shared" si="1"/>
        <v>0</v>
      </c>
      <c r="BS36" s="33">
        <f>SUMIFS('Data For Calculation - Insuranc'!I:I,'Data For Calculation - Insuranc'!$A:$A,$A36)</f>
        <v>0</v>
      </c>
      <c r="BT36" s="33">
        <f>SUMIFS('Data For Calculation - Insuranc'!J:J,'Data For Calculation - Insuranc'!$A:$A,$A36)</f>
        <v>0</v>
      </c>
      <c r="BU36" s="33">
        <f>SUMIFS('Data For Calculation - Insuranc'!K:K,'Data For Calculation - Insuranc'!$A:$A,$A36)</f>
        <v>0</v>
      </c>
      <c r="BV36" s="33">
        <f>IF($CC36 = "Dealer", SUMIFS('Data For Calculation - Insuranc'!I:I,'Data For Calculation - Insuranc'!$B:$B,$A36,'Data For Calculation - Insuranc'!$H:$H,"Master Dealer")) + SUMIFS('Data For Calculation - Insuranc'!I:I,'Data For Calculation - Insuranc'!$A:$A,$A36,'Data For Calculation - Insuranc'!$H:$H,"Self")</f>
        <v>0</v>
      </c>
      <c r="BW36" s="33">
        <f>IF($CC36 = "Dealer", SUMIFS('Data For Calculation - Insuranc'!J:J,'Data For Calculation - Insuranc'!$B:$B,$A36,'Data For Calculation - Insuranc'!$H:$H,"Master Dealer")) + SUMIFS('Data For Calculation - Insuranc'!J:J,'Data For Calculation - Insuranc'!$A:$A,$A36,'Data For Calculation - Insuranc'!$H:$H,"Self")</f>
        <v>0</v>
      </c>
      <c r="BX36" s="33">
        <f>IF($CC36 = "Dealer", SUMIFS('Data For Calculation - Insuranc'!K:K,'Data For Calculation - Insuranc'!$B:$B,$A36,'Data For Calculation - Insuranc'!$H:$H,"Master Dealer")) + SUMIFS('Data For Calculation - Insuranc'!K:K,'Data For Calculation - Insuranc'!$A:$A,$A36,'Data For Calculation - Insuranc'!$H:$H,"Self")</f>
        <v>0</v>
      </c>
      <c r="BY36" s="25" t="str">
        <f>(Sheet1!N36)</f>
        <v>AAA</v>
      </c>
      <c r="BZ36" s="25" t="str">
        <f>(Sheet1!O36)</f>
        <v>1AjVyIHPgPw3jscNmkTH1qzR2RokK5FZaJLjeNfOiYAA</v>
      </c>
      <c r="CA36" s="25" t="str">
        <f>(Sheet1!AV36)</f>
        <v/>
      </c>
      <c r="CB36" s="25" t="str">
        <f>(Sheet1!AW36)</f>
        <v/>
      </c>
      <c r="CC36" s="26" t="str">
        <f>(Sheet1!P36)</f>
        <v>Dealer</v>
      </c>
    </row>
    <row r="37">
      <c r="A37" s="25" t="str">
        <f>(Sheet1!A37)</f>
        <v>1txqT-r-3rrz_JL6hfpj1nayS9LkA6F-X3hyZ3XTUiO8</v>
      </c>
      <c r="B37" s="25" t="str">
        <f>(Sheet1!B37)</f>
        <v>FRIENDS AUTOMOBILES (BBW)</v>
      </c>
      <c r="C37" s="30" t="str">
        <f>Sheet1!BB37</f>
        <v>No</v>
      </c>
      <c r="D37" s="30" t="s">
        <v>13</v>
      </c>
      <c r="E37" s="34" t="s">
        <v>13</v>
      </c>
      <c r="F37" s="30" t="s">
        <v>3820</v>
      </c>
      <c r="G37" s="31">
        <v>290.0</v>
      </c>
      <c r="H37" s="34" t="s">
        <v>3853</v>
      </c>
      <c r="I37" s="34">
        <v>0.0</v>
      </c>
      <c r="J37" s="34">
        <v>100.0</v>
      </c>
      <c r="K37" s="34">
        <v>0.0</v>
      </c>
      <c r="L37" s="34">
        <v>0.0</v>
      </c>
      <c r="M37" s="33">
        <f>COUNTIFS('Data For Calculation - Insuranc'!A:A,A37,'Data For Calculation - Insuranc'!E:E,"CPA + RSA")</f>
        <v>0</v>
      </c>
      <c r="N37" s="30" t="s">
        <v>3820</v>
      </c>
      <c r="O37" s="31">
        <v>460.0</v>
      </c>
      <c r="P37" s="34" t="s">
        <v>3853</v>
      </c>
      <c r="Q37" s="34">
        <v>0.0</v>
      </c>
      <c r="R37" s="34">
        <v>100.0</v>
      </c>
      <c r="S37" s="34">
        <v>0.0</v>
      </c>
      <c r="T37" s="34">
        <v>0.0</v>
      </c>
      <c r="U37" s="33">
        <f>COUNTIFS('Data For Calculation - Insuranc'!A:A,A37,'Data For Calculation - Insuranc'!E:E,"CPA + RSA + AHDC + DOC")</f>
        <v>0</v>
      </c>
      <c r="V37" s="30" t="s">
        <v>3820</v>
      </c>
      <c r="W37" s="34">
        <v>838.99</v>
      </c>
      <c r="X37" s="34" t="s">
        <v>3853</v>
      </c>
      <c r="Y37" s="34">
        <v>0.0</v>
      </c>
      <c r="Z37" s="34">
        <v>100.0</v>
      </c>
      <c r="AA37" s="34">
        <v>0.0</v>
      </c>
      <c r="AB37" s="34">
        <v>0.0</v>
      </c>
      <c r="AC37" s="33">
        <f>COUNTIFS('Data For Calculation - Insuranc'!A:A,A37,'Data For Calculation - Insuranc'!E:E,"CPA + RSA : 5 Years")</f>
        <v>0</v>
      </c>
      <c r="AD37" s="30" t="s">
        <v>3820</v>
      </c>
      <c r="AE37" s="31">
        <v>838.99</v>
      </c>
      <c r="AF37" s="34" t="s">
        <v>3853</v>
      </c>
      <c r="AG37" s="34">
        <v>0.0</v>
      </c>
      <c r="AH37" s="34">
        <v>100.0</v>
      </c>
      <c r="AI37" s="34">
        <v>0.0</v>
      </c>
      <c r="AJ37" s="34">
        <v>0.0</v>
      </c>
      <c r="AK37" s="33">
        <f>COUNTIFS('Data For Calculation - Insuranc'!A:A,A37,'Data For Calculation - Insuranc'!E:E,"Assistance + CPA : 5 Years")</f>
        <v>0</v>
      </c>
      <c r="AL37" s="30" t="s">
        <v>3820</v>
      </c>
      <c r="AM37" s="31">
        <v>290.0</v>
      </c>
      <c r="AN37" s="34" t="s">
        <v>3853</v>
      </c>
      <c r="AO37" s="34">
        <v>0.0</v>
      </c>
      <c r="AP37" s="34">
        <v>100.0</v>
      </c>
      <c r="AQ37" s="34">
        <v>0.0</v>
      </c>
      <c r="AR37" s="34">
        <v>0.0</v>
      </c>
      <c r="AS37" s="33">
        <f>COUNTIFS('Data For Calculation - Insuranc'!A:A,A37,'Data For Calculation - Insuranc'!E:E,"RSA + AHDC + DOC")</f>
        <v>0</v>
      </c>
      <c r="AT37" s="33"/>
      <c r="AU37" s="33"/>
      <c r="AV37" s="33"/>
      <c r="AW37" s="33"/>
      <c r="AX37" s="33"/>
      <c r="AY37" s="33"/>
      <c r="AZ37" s="33"/>
      <c r="BA37" s="33"/>
      <c r="BB37" s="33"/>
      <c r="BC37" s="33"/>
      <c r="BD37" s="33"/>
      <c r="BE37" s="33"/>
      <c r="BF37" s="33"/>
      <c r="BG37" s="33"/>
      <c r="BH37" s="33"/>
      <c r="BI37" s="33"/>
      <c r="BJ37" s="33"/>
      <c r="BK37" s="33"/>
      <c r="BL37" s="33"/>
      <c r="BM37" s="33"/>
      <c r="BN37" s="33"/>
      <c r="BO37" s="33"/>
      <c r="BP37" s="33"/>
      <c r="BQ37" s="33"/>
      <c r="BR37" s="33">
        <f t="shared" si="1"/>
        <v>0</v>
      </c>
      <c r="BS37" s="33">
        <f>SUMIFS('Data For Calculation - Insuranc'!I:I,'Data For Calculation - Insuranc'!$A:$A,$A37)</f>
        <v>0</v>
      </c>
      <c r="BT37" s="33">
        <f>SUMIFS('Data For Calculation - Insuranc'!J:J,'Data For Calculation - Insuranc'!$A:$A,$A37)</f>
        <v>0</v>
      </c>
      <c r="BU37" s="33">
        <f>SUMIFS('Data For Calculation - Insuranc'!K:K,'Data For Calculation - Insuranc'!$A:$A,$A37)</f>
        <v>0</v>
      </c>
      <c r="BV37" s="33">
        <f>IF($CC37 = "Dealer", SUMIFS('Data For Calculation - Insuranc'!I:I,'Data For Calculation - Insuranc'!$B:$B,$A37,'Data For Calculation - Insuranc'!$H:$H,"Master Dealer")) + SUMIFS('Data For Calculation - Insuranc'!I:I,'Data For Calculation - Insuranc'!$A:$A,$A37,'Data For Calculation - Insuranc'!$H:$H,"Self")</f>
        <v>0</v>
      </c>
      <c r="BW37" s="33">
        <f>IF($CC37 = "Dealer", SUMIFS('Data For Calculation - Insuranc'!J:J,'Data For Calculation - Insuranc'!$B:$B,$A37,'Data For Calculation - Insuranc'!$H:$H,"Master Dealer")) + SUMIFS('Data For Calculation - Insuranc'!J:J,'Data For Calculation - Insuranc'!$A:$A,$A37,'Data For Calculation - Insuranc'!$H:$H,"Self")</f>
        <v>0</v>
      </c>
      <c r="BX37" s="33">
        <f>IF($CC37 = "Dealer", SUMIFS('Data For Calculation - Insuranc'!K:K,'Data For Calculation - Insuranc'!$B:$B,$A37,'Data For Calculation - Insuranc'!$H:$H,"Master Dealer")) + SUMIFS('Data For Calculation - Insuranc'!K:K,'Data For Calculation - Insuranc'!$A:$A,$A37,'Data For Calculation - Insuranc'!$H:$H,"Self")</f>
        <v>0</v>
      </c>
      <c r="BY37" s="25" t="str">
        <f>(Sheet1!N37)</f>
        <v>Brij Biwheelers</v>
      </c>
      <c r="BZ37" s="25" t="str">
        <f>(Sheet1!O37)</f>
        <v>1ytBGcO8tIze81xKkAa9lWDcflthsPL6SuADAXbhmuwA</v>
      </c>
      <c r="CA37" s="25" t="str">
        <f>(Sheet1!AV37)</f>
        <v/>
      </c>
      <c r="CB37" s="25" t="str">
        <f>(Sheet1!AW37)</f>
        <v/>
      </c>
      <c r="CC37" s="26" t="str">
        <f>(Sheet1!P37)</f>
        <v>Sub Dealer</v>
      </c>
    </row>
    <row r="38">
      <c r="A38" s="25" t="str">
        <f>(Sheet1!A38)</f>
        <v>16TwAyLbRSQfXo00SFqwkhgj4ImKvtFd_ORftHCn3L9g</v>
      </c>
      <c r="B38" s="25" t="str">
        <f>(Sheet1!B38)</f>
        <v>GHANSHYAM MOTORS (BBW)</v>
      </c>
      <c r="C38" s="30" t="str">
        <f>Sheet1!BB38</f>
        <v>No</v>
      </c>
      <c r="D38" s="30" t="s">
        <v>13</v>
      </c>
      <c r="E38" s="34" t="s">
        <v>13</v>
      </c>
      <c r="F38" s="30" t="s">
        <v>3820</v>
      </c>
      <c r="G38" s="31">
        <v>290.0</v>
      </c>
      <c r="H38" s="34" t="s">
        <v>3853</v>
      </c>
      <c r="I38" s="34">
        <v>0.0</v>
      </c>
      <c r="J38" s="34">
        <v>100.0</v>
      </c>
      <c r="K38" s="34">
        <v>0.0</v>
      </c>
      <c r="L38" s="34">
        <v>0.0</v>
      </c>
      <c r="M38" s="33">
        <f>COUNTIFS('Data For Calculation - Insuranc'!A:A,A38,'Data For Calculation - Insuranc'!E:E,"CPA + RSA")</f>
        <v>0</v>
      </c>
      <c r="N38" s="30" t="s">
        <v>3820</v>
      </c>
      <c r="O38" s="31">
        <v>460.0</v>
      </c>
      <c r="P38" s="34" t="s">
        <v>3853</v>
      </c>
      <c r="Q38" s="34">
        <v>0.0</v>
      </c>
      <c r="R38" s="34">
        <v>100.0</v>
      </c>
      <c r="S38" s="34">
        <v>0.0</v>
      </c>
      <c r="T38" s="34">
        <v>0.0</v>
      </c>
      <c r="U38" s="33">
        <f>COUNTIFS('Data For Calculation - Insuranc'!A:A,A38,'Data For Calculation - Insuranc'!E:E,"CPA + RSA + AHDC + DOC")</f>
        <v>0</v>
      </c>
      <c r="V38" s="30" t="s">
        <v>3820</v>
      </c>
      <c r="W38" s="34">
        <v>838.99</v>
      </c>
      <c r="X38" s="34" t="s">
        <v>3853</v>
      </c>
      <c r="Y38" s="34">
        <v>0.0</v>
      </c>
      <c r="Z38" s="34">
        <v>100.0</v>
      </c>
      <c r="AA38" s="34">
        <v>0.0</v>
      </c>
      <c r="AB38" s="34">
        <v>0.0</v>
      </c>
      <c r="AC38" s="33">
        <f>COUNTIFS('Data For Calculation - Insuranc'!A:A,A38,'Data For Calculation - Insuranc'!E:E,"CPA + RSA : 5 Years")</f>
        <v>0</v>
      </c>
      <c r="AD38" s="30" t="s">
        <v>3820</v>
      </c>
      <c r="AE38" s="31">
        <v>838.99</v>
      </c>
      <c r="AF38" s="34" t="s">
        <v>3853</v>
      </c>
      <c r="AG38" s="34">
        <v>0.0</v>
      </c>
      <c r="AH38" s="34">
        <v>100.0</v>
      </c>
      <c r="AI38" s="34">
        <v>0.0</v>
      </c>
      <c r="AJ38" s="34">
        <v>0.0</v>
      </c>
      <c r="AK38" s="33">
        <f>COUNTIFS('Data For Calculation - Insuranc'!A:A,A38,'Data For Calculation - Insuranc'!E:E,"Assistance + CPA : 5 Years")</f>
        <v>0</v>
      </c>
      <c r="AL38" s="30" t="s">
        <v>3820</v>
      </c>
      <c r="AM38" s="31">
        <v>290.0</v>
      </c>
      <c r="AN38" s="34" t="s">
        <v>3853</v>
      </c>
      <c r="AO38" s="34">
        <v>0.0</v>
      </c>
      <c r="AP38" s="34">
        <v>100.0</v>
      </c>
      <c r="AQ38" s="34">
        <v>0.0</v>
      </c>
      <c r="AR38" s="34">
        <v>0.0</v>
      </c>
      <c r="AS38" s="33">
        <f>COUNTIFS('Data For Calculation - Insuranc'!A:A,A38,'Data For Calculation - Insuranc'!E:E,"RSA + AHDC + DOC")</f>
        <v>0</v>
      </c>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f t="shared" si="1"/>
        <v>0</v>
      </c>
      <c r="BS38" s="33">
        <f>SUMIFS('Data For Calculation - Insuranc'!I:I,'Data For Calculation - Insuranc'!$A:$A,$A38)</f>
        <v>0</v>
      </c>
      <c r="BT38" s="33">
        <f>SUMIFS('Data For Calculation - Insuranc'!J:J,'Data For Calculation - Insuranc'!$A:$A,$A38)</f>
        <v>0</v>
      </c>
      <c r="BU38" s="33">
        <f>SUMIFS('Data For Calculation - Insuranc'!K:K,'Data For Calculation - Insuranc'!$A:$A,$A38)</f>
        <v>0</v>
      </c>
      <c r="BV38" s="33">
        <f>IF($CC38 = "Dealer", SUMIFS('Data For Calculation - Insuranc'!I:I,'Data For Calculation - Insuranc'!$B:$B,$A38,'Data For Calculation - Insuranc'!$H:$H,"Master Dealer")) + SUMIFS('Data For Calculation - Insuranc'!I:I,'Data For Calculation - Insuranc'!$A:$A,$A38,'Data For Calculation - Insuranc'!$H:$H,"Self")</f>
        <v>0</v>
      </c>
      <c r="BW38" s="33">
        <f>IF($CC38 = "Dealer", SUMIFS('Data For Calculation - Insuranc'!J:J,'Data For Calculation - Insuranc'!$B:$B,$A38,'Data For Calculation - Insuranc'!$H:$H,"Master Dealer")) + SUMIFS('Data For Calculation - Insuranc'!J:J,'Data For Calculation - Insuranc'!$A:$A,$A38,'Data For Calculation - Insuranc'!$H:$H,"Self")</f>
        <v>0</v>
      </c>
      <c r="BX38" s="33">
        <f>IF($CC38 = "Dealer", SUMIFS('Data For Calculation - Insuranc'!K:K,'Data For Calculation - Insuranc'!$B:$B,$A38,'Data For Calculation - Insuranc'!$H:$H,"Master Dealer")) + SUMIFS('Data For Calculation - Insuranc'!K:K,'Data For Calculation - Insuranc'!$A:$A,$A38,'Data For Calculation - Insuranc'!$H:$H,"Self")</f>
        <v>0</v>
      </c>
      <c r="BY38" s="25" t="str">
        <f>(Sheet1!N38)</f>
        <v>Brij Biwheelers</v>
      </c>
      <c r="BZ38" s="25" t="str">
        <f>(Sheet1!O38)</f>
        <v>1ytBGcO8tIze81xKkAa9lWDcflthsPL6SuADAXbhmuwA</v>
      </c>
      <c r="CA38" s="25" t="str">
        <f>(Sheet1!AV38)</f>
        <v/>
      </c>
      <c r="CB38" s="25" t="str">
        <f>(Sheet1!AW38)</f>
        <v/>
      </c>
      <c r="CC38" s="26" t="str">
        <f>(Sheet1!P38)</f>
        <v>Sub Dealer</v>
      </c>
    </row>
    <row r="39">
      <c r="A39" s="25" t="str">
        <f>(Sheet1!A39)</f>
        <v>1Qutstkt7wbcw29p7VfI97VmiQ6zXlElNsNewjyPJF-E</v>
      </c>
      <c r="B39" s="25" t="str">
        <f>(Sheet1!B39)</f>
        <v>SHRI BADAM AUTO AGENCY (BBW)</v>
      </c>
      <c r="C39" s="30" t="str">
        <f>Sheet1!BB39</f>
        <v>No</v>
      </c>
      <c r="D39" s="30" t="s">
        <v>13</v>
      </c>
      <c r="E39" s="34" t="s">
        <v>13</v>
      </c>
      <c r="F39" s="30" t="s">
        <v>3820</v>
      </c>
      <c r="G39" s="31">
        <v>290.0</v>
      </c>
      <c r="H39" s="34" t="s">
        <v>3853</v>
      </c>
      <c r="I39" s="34">
        <v>0.0</v>
      </c>
      <c r="J39" s="34">
        <v>100.0</v>
      </c>
      <c r="K39" s="34">
        <v>0.0</v>
      </c>
      <c r="L39" s="34">
        <v>0.0</v>
      </c>
      <c r="M39" s="33">
        <f>COUNTIFS('Data For Calculation - Insuranc'!A:A,A39,'Data For Calculation - Insuranc'!E:E,"CPA + RSA")</f>
        <v>0</v>
      </c>
      <c r="N39" s="30" t="s">
        <v>3820</v>
      </c>
      <c r="O39" s="31">
        <v>460.0</v>
      </c>
      <c r="P39" s="34" t="s">
        <v>3853</v>
      </c>
      <c r="Q39" s="34">
        <v>0.0</v>
      </c>
      <c r="R39" s="34">
        <v>100.0</v>
      </c>
      <c r="S39" s="34">
        <v>0.0</v>
      </c>
      <c r="T39" s="34">
        <v>0.0</v>
      </c>
      <c r="U39" s="33">
        <f>COUNTIFS('Data For Calculation - Insuranc'!A:A,A39,'Data For Calculation - Insuranc'!E:E,"CPA + RSA + AHDC + DOC")</f>
        <v>0</v>
      </c>
      <c r="V39" s="30" t="s">
        <v>3820</v>
      </c>
      <c r="W39" s="34">
        <v>838.99</v>
      </c>
      <c r="X39" s="34" t="s">
        <v>3853</v>
      </c>
      <c r="Y39" s="34">
        <v>0.0</v>
      </c>
      <c r="Z39" s="34">
        <v>100.0</v>
      </c>
      <c r="AA39" s="34">
        <v>0.0</v>
      </c>
      <c r="AB39" s="34">
        <v>0.0</v>
      </c>
      <c r="AC39" s="33">
        <f>COUNTIFS('Data For Calculation - Insuranc'!A:A,A39,'Data For Calculation - Insuranc'!E:E,"CPA + RSA : 5 Years")</f>
        <v>0</v>
      </c>
      <c r="AD39" s="30" t="s">
        <v>3820</v>
      </c>
      <c r="AE39" s="31">
        <v>838.99</v>
      </c>
      <c r="AF39" s="34" t="s">
        <v>3853</v>
      </c>
      <c r="AG39" s="34">
        <v>0.0</v>
      </c>
      <c r="AH39" s="34">
        <v>100.0</v>
      </c>
      <c r="AI39" s="34">
        <v>0.0</v>
      </c>
      <c r="AJ39" s="34">
        <v>0.0</v>
      </c>
      <c r="AK39" s="33">
        <f>COUNTIFS('Data For Calculation - Insuranc'!A:A,A39,'Data For Calculation - Insuranc'!E:E,"Assistance + CPA : 5 Years")</f>
        <v>0</v>
      </c>
      <c r="AL39" s="30" t="s">
        <v>3820</v>
      </c>
      <c r="AM39" s="31">
        <v>290.0</v>
      </c>
      <c r="AN39" s="34" t="s">
        <v>3853</v>
      </c>
      <c r="AO39" s="34">
        <v>0.0</v>
      </c>
      <c r="AP39" s="34">
        <v>100.0</v>
      </c>
      <c r="AQ39" s="34">
        <v>0.0</v>
      </c>
      <c r="AR39" s="34">
        <v>0.0</v>
      </c>
      <c r="AS39" s="33">
        <f>COUNTIFS('Data For Calculation - Insuranc'!A:A,A39,'Data For Calculation - Insuranc'!E:E,"RSA + AHDC + DOC")</f>
        <v>0</v>
      </c>
      <c r="AT39" s="33"/>
      <c r="AU39" s="33"/>
      <c r="AV39" s="33"/>
      <c r="AW39" s="33"/>
      <c r="AX39" s="33"/>
      <c r="AY39" s="33"/>
      <c r="AZ39" s="33"/>
      <c r="BA39" s="33"/>
      <c r="BB39" s="33"/>
      <c r="BC39" s="33"/>
      <c r="BD39" s="33"/>
      <c r="BE39" s="33"/>
      <c r="BF39" s="33"/>
      <c r="BG39" s="33"/>
      <c r="BH39" s="33"/>
      <c r="BI39" s="33"/>
      <c r="BJ39" s="33"/>
      <c r="BK39" s="33"/>
      <c r="BL39" s="33"/>
      <c r="BM39" s="33"/>
      <c r="BN39" s="33"/>
      <c r="BO39" s="33"/>
      <c r="BP39" s="33"/>
      <c r="BQ39" s="33"/>
      <c r="BR39" s="33">
        <f t="shared" si="1"/>
        <v>0</v>
      </c>
      <c r="BS39" s="33">
        <f>SUMIFS('Data For Calculation - Insuranc'!I:I,'Data For Calculation - Insuranc'!$A:$A,$A39)</f>
        <v>0</v>
      </c>
      <c r="BT39" s="33">
        <f>SUMIFS('Data For Calculation - Insuranc'!J:J,'Data For Calculation - Insuranc'!$A:$A,$A39)</f>
        <v>0</v>
      </c>
      <c r="BU39" s="33">
        <f>SUMIFS('Data For Calculation - Insuranc'!K:K,'Data For Calculation - Insuranc'!$A:$A,$A39)</f>
        <v>0</v>
      </c>
      <c r="BV39" s="33">
        <f>IF($CC39 = "Dealer", SUMIFS('Data For Calculation - Insuranc'!I:I,'Data For Calculation - Insuranc'!$B:$B,$A39,'Data For Calculation - Insuranc'!$H:$H,"Master Dealer")) + SUMIFS('Data For Calculation - Insuranc'!I:I,'Data For Calculation - Insuranc'!$A:$A,$A39,'Data For Calculation - Insuranc'!$H:$H,"Self")</f>
        <v>0</v>
      </c>
      <c r="BW39" s="33">
        <f>IF($CC39 = "Dealer", SUMIFS('Data For Calculation - Insuranc'!J:J,'Data For Calculation - Insuranc'!$B:$B,$A39,'Data For Calculation - Insuranc'!$H:$H,"Master Dealer")) + SUMIFS('Data For Calculation - Insuranc'!J:J,'Data For Calculation - Insuranc'!$A:$A,$A39,'Data For Calculation - Insuranc'!$H:$H,"Self")</f>
        <v>0</v>
      </c>
      <c r="BX39" s="33">
        <f>IF($CC39 = "Dealer", SUMIFS('Data For Calculation - Insuranc'!K:K,'Data For Calculation - Insuranc'!$B:$B,$A39,'Data For Calculation - Insuranc'!$H:$H,"Master Dealer")) + SUMIFS('Data For Calculation - Insuranc'!K:K,'Data For Calculation - Insuranc'!$A:$A,$A39,'Data For Calculation - Insuranc'!$H:$H,"Self")</f>
        <v>0</v>
      </c>
      <c r="BY39" s="25" t="str">
        <f>(Sheet1!N39)</f>
        <v>Brij Biwheelers</v>
      </c>
      <c r="BZ39" s="25" t="str">
        <f>(Sheet1!O39)</f>
        <v>1ytBGcO8tIze81xKkAa9lWDcflthsPL6SuADAXbhmuwA</v>
      </c>
      <c r="CA39" s="25" t="str">
        <f>(Sheet1!AV39)</f>
        <v/>
      </c>
      <c r="CB39" s="25" t="str">
        <f>(Sheet1!AW39)</f>
        <v/>
      </c>
      <c r="CC39" s="26" t="str">
        <f>(Sheet1!P39)</f>
        <v>Sub Dealer</v>
      </c>
    </row>
    <row r="40">
      <c r="A40" s="25" t="str">
        <f>(Sheet1!A40)</f>
        <v>1g3nFfjwGQ3RXkt5LgZuD7QgSRAiUn3W90lh8RCiEGqg</v>
      </c>
      <c r="B40" s="25" t="str">
        <f>(Sheet1!B40)</f>
        <v>LV MOTORS (BBW)</v>
      </c>
      <c r="C40" s="30" t="str">
        <f>Sheet1!BB40</f>
        <v>No</v>
      </c>
      <c r="D40" s="30" t="s">
        <v>13</v>
      </c>
      <c r="E40" s="34" t="s">
        <v>13</v>
      </c>
      <c r="F40" s="30" t="s">
        <v>3820</v>
      </c>
      <c r="G40" s="31">
        <v>290.0</v>
      </c>
      <c r="H40" s="34" t="s">
        <v>3853</v>
      </c>
      <c r="I40" s="34">
        <v>0.0</v>
      </c>
      <c r="J40" s="34">
        <v>100.0</v>
      </c>
      <c r="K40" s="34">
        <v>0.0</v>
      </c>
      <c r="L40" s="34">
        <v>0.0</v>
      </c>
      <c r="M40" s="33">
        <f>COUNTIFS('Data For Calculation - Insuranc'!A:A,A40,'Data For Calculation - Insuranc'!E:E,"CPA + RSA")</f>
        <v>0</v>
      </c>
      <c r="N40" s="30" t="s">
        <v>3820</v>
      </c>
      <c r="O40" s="31">
        <v>460.0</v>
      </c>
      <c r="P40" s="34" t="s">
        <v>3853</v>
      </c>
      <c r="Q40" s="34">
        <v>0.0</v>
      </c>
      <c r="R40" s="34">
        <v>100.0</v>
      </c>
      <c r="S40" s="34">
        <v>0.0</v>
      </c>
      <c r="T40" s="34">
        <v>0.0</v>
      </c>
      <c r="U40" s="33">
        <f>COUNTIFS('Data For Calculation - Insuranc'!A:A,A40,'Data For Calculation - Insuranc'!E:E,"CPA + RSA + AHDC + DOC")</f>
        <v>0</v>
      </c>
      <c r="V40" s="30" t="s">
        <v>3820</v>
      </c>
      <c r="W40" s="34">
        <v>838.99</v>
      </c>
      <c r="X40" s="34" t="s">
        <v>3853</v>
      </c>
      <c r="Y40" s="34">
        <v>0.0</v>
      </c>
      <c r="Z40" s="34">
        <v>100.0</v>
      </c>
      <c r="AA40" s="34">
        <v>0.0</v>
      </c>
      <c r="AB40" s="34">
        <v>0.0</v>
      </c>
      <c r="AC40" s="33">
        <f>COUNTIFS('Data For Calculation - Insuranc'!A:A,A40,'Data For Calculation - Insuranc'!E:E,"CPA + RSA : 5 Years")</f>
        <v>0</v>
      </c>
      <c r="AD40" s="30" t="s">
        <v>3820</v>
      </c>
      <c r="AE40" s="31">
        <v>838.99</v>
      </c>
      <c r="AF40" s="34" t="s">
        <v>3853</v>
      </c>
      <c r="AG40" s="34">
        <v>0.0</v>
      </c>
      <c r="AH40" s="34">
        <v>100.0</v>
      </c>
      <c r="AI40" s="34">
        <v>0.0</v>
      </c>
      <c r="AJ40" s="34">
        <v>0.0</v>
      </c>
      <c r="AK40" s="33">
        <f>COUNTIFS('Data For Calculation - Insuranc'!A:A,A40,'Data For Calculation - Insuranc'!E:E,"Assistance + CPA : 5 Years")</f>
        <v>0</v>
      </c>
      <c r="AL40" s="30" t="s">
        <v>3820</v>
      </c>
      <c r="AM40" s="31">
        <v>290.0</v>
      </c>
      <c r="AN40" s="34" t="s">
        <v>3853</v>
      </c>
      <c r="AO40" s="34">
        <v>0.0</v>
      </c>
      <c r="AP40" s="34">
        <v>100.0</v>
      </c>
      <c r="AQ40" s="34">
        <v>0.0</v>
      </c>
      <c r="AR40" s="34">
        <v>0.0</v>
      </c>
      <c r="AS40" s="33">
        <f>COUNTIFS('Data For Calculation - Insuranc'!A:A,A40,'Data For Calculation - Insuranc'!E:E,"RSA + AHDC + DOC")</f>
        <v>0</v>
      </c>
      <c r="AT40" s="33"/>
      <c r="AU40" s="33"/>
      <c r="AV40" s="33"/>
      <c r="AW40" s="33"/>
      <c r="AX40" s="33"/>
      <c r="AY40" s="33"/>
      <c r="AZ40" s="33"/>
      <c r="BA40" s="33"/>
      <c r="BB40" s="33"/>
      <c r="BC40" s="33"/>
      <c r="BD40" s="33"/>
      <c r="BE40" s="33"/>
      <c r="BF40" s="33"/>
      <c r="BG40" s="33"/>
      <c r="BH40" s="33"/>
      <c r="BI40" s="33"/>
      <c r="BJ40" s="33"/>
      <c r="BK40" s="33"/>
      <c r="BL40" s="33"/>
      <c r="BM40" s="33"/>
      <c r="BN40" s="33"/>
      <c r="BO40" s="33"/>
      <c r="BP40" s="33"/>
      <c r="BQ40" s="33"/>
      <c r="BR40" s="33">
        <f t="shared" si="1"/>
        <v>0</v>
      </c>
      <c r="BS40" s="33">
        <f>SUMIFS('Data For Calculation - Insuranc'!I:I,'Data For Calculation - Insuranc'!$A:$A,$A40)</f>
        <v>0</v>
      </c>
      <c r="BT40" s="33">
        <f>SUMIFS('Data For Calculation - Insuranc'!J:J,'Data For Calculation - Insuranc'!$A:$A,$A40)</f>
        <v>0</v>
      </c>
      <c r="BU40" s="33">
        <f>SUMIFS('Data For Calculation - Insuranc'!K:K,'Data For Calculation - Insuranc'!$A:$A,$A40)</f>
        <v>0</v>
      </c>
      <c r="BV40" s="33">
        <f>IF($CC40 = "Dealer", SUMIFS('Data For Calculation - Insuranc'!I:I,'Data For Calculation - Insuranc'!$B:$B,$A40,'Data For Calculation - Insuranc'!$H:$H,"Master Dealer")) + SUMIFS('Data For Calculation - Insuranc'!I:I,'Data For Calculation - Insuranc'!$A:$A,$A40,'Data For Calculation - Insuranc'!$H:$H,"Self")</f>
        <v>0</v>
      </c>
      <c r="BW40" s="33">
        <f>IF($CC40 = "Dealer", SUMIFS('Data For Calculation - Insuranc'!J:J,'Data For Calculation - Insuranc'!$B:$B,$A40,'Data For Calculation - Insuranc'!$H:$H,"Master Dealer")) + SUMIFS('Data For Calculation - Insuranc'!J:J,'Data For Calculation - Insuranc'!$A:$A,$A40,'Data For Calculation - Insuranc'!$H:$H,"Self")</f>
        <v>0</v>
      </c>
      <c r="BX40" s="33">
        <f>IF($CC40 = "Dealer", SUMIFS('Data For Calculation - Insuranc'!K:K,'Data For Calculation - Insuranc'!$B:$B,$A40,'Data For Calculation - Insuranc'!$H:$H,"Master Dealer")) + SUMIFS('Data For Calculation - Insuranc'!K:K,'Data For Calculation - Insuranc'!$A:$A,$A40,'Data For Calculation - Insuranc'!$H:$H,"Self")</f>
        <v>0</v>
      </c>
      <c r="BY40" s="25" t="str">
        <f>(Sheet1!N40)</f>
        <v>Brij Biwheelers</v>
      </c>
      <c r="BZ40" s="25" t="str">
        <f>(Sheet1!O40)</f>
        <v>1ytBGcO8tIze81xKkAa9lWDcflthsPL6SuADAXbhmuwA</v>
      </c>
      <c r="CA40" s="25" t="str">
        <f>(Sheet1!AV40)</f>
        <v/>
      </c>
      <c r="CB40" s="25" t="str">
        <f>(Sheet1!AW40)</f>
        <v/>
      </c>
      <c r="CC40" s="26" t="str">
        <f>(Sheet1!P40)</f>
        <v>Sub Dealer</v>
      </c>
    </row>
    <row r="41">
      <c r="A41" s="25" t="str">
        <f>(Sheet1!A41)</f>
        <v>1mh6Ew8Xo6CDWTwSaZz97uDQi3oGwOh-iBN44riWn7aM</v>
      </c>
      <c r="B41" s="25" t="str">
        <f>(Sheet1!B41)</f>
        <v>JAMUNA MOTORS (BBW)</v>
      </c>
      <c r="C41" s="30" t="str">
        <f>Sheet1!BB41</f>
        <v>No</v>
      </c>
      <c r="D41" s="30" t="s">
        <v>13</v>
      </c>
      <c r="E41" s="34" t="s">
        <v>13</v>
      </c>
      <c r="F41" s="30" t="s">
        <v>3820</v>
      </c>
      <c r="G41" s="31">
        <v>290.0</v>
      </c>
      <c r="H41" s="34" t="s">
        <v>3853</v>
      </c>
      <c r="I41" s="34">
        <v>0.0</v>
      </c>
      <c r="J41" s="34">
        <v>100.0</v>
      </c>
      <c r="K41" s="34">
        <v>0.0</v>
      </c>
      <c r="L41" s="34">
        <v>0.0</v>
      </c>
      <c r="M41" s="33">
        <f>COUNTIFS('Data For Calculation - Insuranc'!A:A,A41,'Data For Calculation - Insuranc'!E:E,"CPA + RSA")</f>
        <v>0</v>
      </c>
      <c r="N41" s="30" t="s">
        <v>3820</v>
      </c>
      <c r="O41" s="31">
        <v>460.0</v>
      </c>
      <c r="P41" s="34" t="s">
        <v>3853</v>
      </c>
      <c r="Q41" s="34">
        <v>0.0</v>
      </c>
      <c r="R41" s="34">
        <v>100.0</v>
      </c>
      <c r="S41" s="34">
        <v>0.0</v>
      </c>
      <c r="T41" s="34">
        <v>0.0</v>
      </c>
      <c r="U41" s="33">
        <f>COUNTIFS('Data For Calculation - Insuranc'!A:A,A41,'Data For Calculation - Insuranc'!E:E,"CPA + RSA + AHDC + DOC")</f>
        <v>0</v>
      </c>
      <c r="V41" s="30" t="s">
        <v>3820</v>
      </c>
      <c r="W41" s="34">
        <v>838.99</v>
      </c>
      <c r="X41" s="34" t="s">
        <v>3853</v>
      </c>
      <c r="Y41" s="34">
        <v>0.0</v>
      </c>
      <c r="Z41" s="34">
        <v>100.0</v>
      </c>
      <c r="AA41" s="34">
        <v>0.0</v>
      </c>
      <c r="AB41" s="34">
        <v>0.0</v>
      </c>
      <c r="AC41" s="33">
        <f>COUNTIFS('Data For Calculation - Insuranc'!A:A,A41,'Data For Calculation - Insuranc'!E:E,"CPA + RSA : 5 Years")</f>
        <v>0</v>
      </c>
      <c r="AD41" s="30" t="s">
        <v>3820</v>
      </c>
      <c r="AE41" s="31">
        <v>838.99</v>
      </c>
      <c r="AF41" s="34" t="s">
        <v>3853</v>
      </c>
      <c r="AG41" s="34">
        <v>0.0</v>
      </c>
      <c r="AH41" s="34">
        <v>100.0</v>
      </c>
      <c r="AI41" s="34">
        <v>0.0</v>
      </c>
      <c r="AJ41" s="34">
        <v>0.0</v>
      </c>
      <c r="AK41" s="33">
        <f>COUNTIFS('Data For Calculation - Insuranc'!A:A,A41,'Data For Calculation - Insuranc'!E:E,"Assistance + CPA : 5 Years")</f>
        <v>0</v>
      </c>
      <c r="AL41" s="30" t="s">
        <v>3820</v>
      </c>
      <c r="AM41" s="31">
        <v>290.0</v>
      </c>
      <c r="AN41" s="34" t="s">
        <v>3853</v>
      </c>
      <c r="AO41" s="34">
        <v>0.0</v>
      </c>
      <c r="AP41" s="34">
        <v>100.0</v>
      </c>
      <c r="AQ41" s="34">
        <v>0.0</v>
      </c>
      <c r="AR41" s="34">
        <v>0.0</v>
      </c>
      <c r="AS41" s="33">
        <f>COUNTIFS('Data For Calculation - Insuranc'!A:A,A41,'Data For Calculation - Insuranc'!E:E,"RSA + AHDC + DOC")</f>
        <v>0</v>
      </c>
      <c r="AT41" s="33"/>
      <c r="AU41" s="33"/>
      <c r="AV41" s="33"/>
      <c r="AW41" s="33"/>
      <c r="AX41" s="33"/>
      <c r="AY41" s="33"/>
      <c r="AZ41" s="33"/>
      <c r="BA41" s="33"/>
      <c r="BB41" s="33"/>
      <c r="BC41" s="33"/>
      <c r="BD41" s="33"/>
      <c r="BE41" s="33"/>
      <c r="BF41" s="33"/>
      <c r="BG41" s="33"/>
      <c r="BH41" s="33"/>
      <c r="BI41" s="33"/>
      <c r="BJ41" s="33"/>
      <c r="BK41" s="33"/>
      <c r="BL41" s="33"/>
      <c r="BM41" s="33"/>
      <c r="BN41" s="33"/>
      <c r="BO41" s="33"/>
      <c r="BP41" s="33"/>
      <c r="BQ41" s="33"/>
      <c r="BR41" s="33">
        <f t="shared" si="1"/>
        <v>0</v>
      </c>
      <c r="BS41" s="33">
        <f>SUMIFS('Data For Calculation - Insuranc'!I:I,'Data For Calculation - Insuranc'!$A:$A,$A41)</f>
        <v>0</v>
      </c>
      <c r="BT41" s="33">
        <f>SUMIFS('Data For Calculation - Insuranc'!J:J,'Data For Calculation - Insuranc'!$A:$A,$A41)</f>
        <v>0</v>
      </c>
      <c r="BU41" s="33">
        <f>SUMIFS('Data For Calculation - Insuranc'!K:K,'Data For Calculation - Insuranc'!$A:$A,$A41)</f>
        <v>0</v>
      </c>
      <c r="BV41" s="33">
        <f>IF($CC41 = "Dealer", SUMIFS('Data For Calculation - Insuranc'!I:I,'Data For Calculation - Insuranc'!$B:$B,$A41,'Data For Calculation - Insuranc'!$H:$H,"Master Dealer")) + SUMIFS('Data For Calculation - Insuranc'!I:I,'Data For Calculation - Insuranc'!$A:$A,$A41,'Data For Calculation - Insuranc'!$H:$H,"Self")</f>
        <v>0</v>
      </c>
      <c r="BW41" s="33">
        <f>IF($CC41 = "Dealer", SUMIFS('Data For Calculation - Insuranc'!J:J,'Data For Calculation - Insuranc'!$B:$B,$A41,'Data For Calculation - Insuranc'!$H:$H,"Master Dealer")) + SUMIFS('Data For Calculation - Insuranc'!J:J,'Data For Calculation - Insuranc'!$A:$A,$A41,'Data For Calculation - Insuranc'!$H:$H,"Self")</f>
        <v>0</v>
      </c>
      <c r="BX41" s="33">
        <f>IF($CC41 = "Dealer", SUMIFS('Data For Calculation - Insuranc'!K:K,'Data For Calculation - Insuranc'!$B:$B,$A41,'Data For Calculation - Insuranc'!$H:$H,"Master Dealer")) + SUMIFS('Data For Calculation - Insuranc'!K:K,'Data For Calculation - Insuranc'!$A:$A,$A41,'Data For Calculation - Insuranc'!$H:$H,"Self")</f>
        <v>0</v>
      </c>
      <c r="BY41" s="25" t="str">
        <f>(Sheet1!N41)</f>
        <v>Brij Biwheelers</v>
      </c>
      <c r="BZ41" s="25" t="str">
        <f>(Sheet1!O41)</f>
        <v>1ytBGcO8tIze81xKkAa9lWDcflthsPL6SuADAXbhmuwA</v>
      </c>
      <c r="CA41" s="25" t="str">
        <f>(Sheet1!AV41)</f>
        <v/>
      </c>
      <c r="CB41" s="25" t="str">
        <f>(Sheet1!AW41)</f>
        <v/>
      </c>
      <c r="CC41" s="26" t="str">
        <f>(Sheet1!P41)</f>
        <v>Sub Dealer</v>
      </c>
    </row>
    <row r="42">
      <c r="A42" s="25" t="str">
        <f>(Sheet1!A42)</f>
        <v>1HvellLIIt0McYf2irXwhP04Oc9HTCBdhkpvifuxyx8g</v>
      </c>
      <c r="B42" s="25" t="str">
        <f>(Sheet1!B42)</f>
        <v>KULDEEP AUTO ENTERPRISES (BBW)</v>
      </c>
      <c r="C42" s="30" t="str">
        <f>Sheet1!BB42</f>
        <v>No</v>
      </c>
      <c r="D42" s="30" t="s">
        <v>13</v>
      </c>
      <c r="E42" s="34" t="s">
        <v>13</v>
      </c>
      <c r="F42" s="30" t="s">
        <v>3820</v>
      </c>
      <c r="G42" s="31">
        <v>290.0</v>
      </c>
      <c r="H42" s="34" t="s">
        <v>3853</v>
      </c>
      <c r="I42" s="34">
        <v>0.0</v>
      </c>
      <c r="J42" s="34">
        <v>100.0</v>
      </c>
      <c r="K42" s="34">
        <v>0.0</v>
      </c>
      <c r="L42" s="34">
        <v>0.0</v>
      </c>
      <c r="M42" s="33">
        <f>COUNTIFS('Data For Calculation - Insuranc'!A:A,A42,'Data For Calculation - Insuranc'!E:E,"CPA + RSA")</f>
        <v>0</v>
      </c>
      <c r="N42" s="30" t="s">
        <v>3820</v>
      </c>
      <c r="O42" s="31">
        <v>460.0</v>
      </c>
      <c r="P42" s="34" t="s">
        <v>3853</v>
      </c>
      <c r="Q42" s="34">
        <v>0.0</v>
      </c>
      <c r="R42" s="34">
        <v>100.0</v>
      </c>
      <c r="S42" s="34">
        <v>0.0</v>
      </c>
      <c r="T42" s="34">
        <v>0.0</v>
      </c>
      <c r="U42" s="33">
        <f>COUNTIFS('Data For Calculation - Insuranc'!A:A,A42,'Data For Calculation - Insuranc'!E:E,"CPA + RSA + AHDC + DOC")</f>
        <v>0</v>
      </c>
      <c r="V42" s="30" t="s">
        <v>3820</v>
      </c>
      <c r="W42" s="34">
        <v>838.99</v>
      </c>
      <c r="X42" s="34" t="s">
        <v>3853</v>
      </c>
      <c r="Y42" s="34">
        <v>0.0</v>
      </c>
      <c r="Z42" s="34">
        <v>100.0</v>
      </c>
      <c r="AA42" s="34">
        <v>0.0</v>
      </c>
      <c r="AB42" s="34">
        <v>0.0</v>
      </c>
      <c r="AC42" s="33">
        <f>COUNTIFS('Data For Calculation - Insuranc'!A:A,A42,'Data For Calculation - Insuranc'!E:E,"CPA + RSA : 5 Years")</f>
        <v>0</v>
      </c>
      <c r="AD42" s="30" t="s">
        <v>3820</v>
      </c>
      <c r="AE42" s="31">
        <v>838.99</v>
      </c>
      <c r="AF42" s="34" t="s">
        <v>3853</v>
      </c>
      <c r="AG42" s="34">
        <v>0.0</v>
      </c>
      <c r="AH42" s="34">
        <v>100.0</v>
      </c>
      <c r="AI42" s="34">
        <v>0.0</v>
      </c>
      <c r="AJ42" s="34">
        <v>0.0</v>
      </c>
      <c r="AK42" s="33">
        <f>COUNTIFS('Data For Calculation - Insuranc'!A:A,A42,'Data For Calculation - Insuranc'!E:E,"Assistance + CPA : 5 Years")</f>
        <v>0</v>
      </c>
      <c r="AL42" s="30" t="s">
        <v>3820</v>
      </c>
      <c r="AM42" s="31">
        <v>290.0</v>
      </c>
      <c r="AN42" s="34" t="s">
        <v>3853</v>
      </c>
      <c r="AO42" s="34">
        <v>0.0</v>
      </c>
      <c r="AP42" s="34">
        <v>100.0</v>
      </c>
      <c r="AQ42" s="34">
        <v>0.0</v>
      </c>
      <c r="AR42" s="34">
        <v>0.0</v>
      </c>
      <c r="AS42" s="33">
        <f>COUNTIFS('Data For Calculation - Insuranc'!A:A,A42,'Data For Calculation - Insuranc'!E:E,"RSA + AHDC + DOC")</f>
        <v>0</v>
      </c>
      <c r="AT42" s="33"/>
      <c r="AU42" s="33"/>
      <c r="AV42" s="33"/>
      <c r="AW42" s="33"/>
      <c r="AX42" s="33"/>
      <c r="AY42" s="33"/>
      <c r="AZ42" s="33"/>
      <c r="BA42" s="33"/>
      <c r="BB42" s="33"/>
      <c r="BC42" s="33"/>
      <c r="BD42" s="33"/>
      <c r="BE42" s="33"/>
      <c r="BF42" s="33"/>
      <c r="BG42" s="33"/>
      <c r="BH42" s="33"/>
      <c r="BI42" s="33"/>
      <c r="BJ42" s="33"/>
      <c r="BK42" s="33"/>
      <c r="BL42" s="33"/>
      <c r="BM42" s="33"/>
      <c r="BN42" s="33"/>
      <c r="BO42" s="33"/>
      <c r="BP42" s="33"/>
      <c r="BQ42" s="33"/>
      <c r="BR42" s="33">
        <f t="shared" si="1"/>
        <v>0</v>
      </c>
      <c r="BS42" s="33">
        <f>SUMIFS('Data For Calculation - Insuranc'!I:I,'Data For Calculation - Insuranc'!$A:$A,$A42)</f>
        <v>0</v>
      </c>
      <c r="BT42" s="33">
        <f>SUMIFS('Data For Calculation - Insuranc'!J:J,'Data For Calculation - Insuranc'!$A:$A,$A42)</f>
        <v>0</v>
      </c>
      <c r="BU42" s="33">
        <f>SUMIFS('Data For Calculation - Insuranc'!K:K,'Data For Calculation - Insuranc'!$A:$A,$A42)</f>
        <v>0</v>
      </c>
      <c r="BV42" s="33">
        <f>IF($CC42 = "Dealer", SUMIFS('Data For Calculation - Insuranc'!I:I,'Data For Calculation - Insuranc'!$B:$B,$A42,'Data For Calculation - Insuranc'!$H:$H,"Master Dealer")) + SUMIFS('Data For Calculation - Insuranc'!I:I,'Data For Calculation - Insuranc'!$A:$A,$A42,'Data For Calculation - Insuranc'!$H:$H,"Self")</f>
        <v>0</v>
      </c>
      <c r="BW42" s="33">
        <f>IF($CC42 = "Dealer", SUMIFS('Data For Calculation - Insuranc'!J:J,'Data For Calculation - Insuranc'!$B:$B,$A42,'Data For Calculation - Insuranc'!$H:$H,"Master Dealer")) + SUMIFS('Data For Calculation - Insuranc'!J:J,'Data For Calculation - Insuranc'!$A:$A,$A42,'Data For Calculation - Insuranc'!$H:$H,"Self")</f>
        <v>0</v>
      </c>
      <c r="BX42" s="33">
        <f>IF($CC42 = "Dealer", SUMIFS('Data For Calculation - Insuranc'!K:K,'Data For Calculation - Insuranc'!$B:$B,$A42,'Data For Calculation - Insuranc'!$H:$H,"Master Dealer")) + SUMIFS('Data For Calculation - Insuranc'!K:K,'Data For Calculation - Insuranc'!$A:$A,$A42,'Data For Calculation - Insuranc'!$H:$H,"Self")</f>
        <v>0</v>
      </c>
      <c r="BY42" s="25" t="str">
        <f>(Sheet1!N42)</f>
        <v>Brij Biwheelers</v>
      </c>
      <c r="BZ42" s="25" t="str">
        <f>(Sheet1!O42)</f>
        <v>1ytBGcO8tIze81xKkAa9lWDcflthsPL6SuADAXbhmuwA</v>
      </c>
      <c r="CA42" s="25" t="str">
        <f>(Sheet1!AV42)</f>
        <v/>
      </c>
      <c r="CB42" s="25" t="str">
        <f>(Sheet1!AW42)</f>
        <v/>
      </c>
      <c r="CC42" s="26" t="str">
        <f>(Sheet1!P42)</f>
        <v>Sub Dealer</v>
      </c>
    </row>
    <row r="43">
      <c r="A43" s="25" t="str">
        <f>(Sheet1!A43)</f>
        <v>10y5zpV0ufroZh5B-Qo1GwJlSJsEyRLymOo-gShU03gk</v>
      </c>
      <c r="B43" s="25" t="str">
        <f>(Sheet1!B43)</f>
        <v>JAJAMPATTI (BBW)</v>
      </c>
      <c r="C43" s="30" t="str">
        <f>Sheet1!BB43</f>
        <v>No</v>
      </c>
      <c r="D43" s="30" t="s">
        <v>13</v>
      </c>
      <c r="E43" s="34" t="s">
        <v>13</v>
      </c>
      <c r="F43" s="30" t="s">
        <v>3820</v>
      </c>
      <c r="G43" s="31">
        <v>290.0</v>
      </c>
      <c r="H43" s="34" t="s">
        <v>3853</v>
      </c>
      <c r="I43" s="34">
        <v>0.0</v>
      </c>
      <c r="J43" s="34">
        <v>100.0</v>
      </c>
      <c r="K43" s="34">
        <v>0.0</v>
      </c>
      <c r="L43" s="34">
        <v>0.0</v>
      </c>
      <c r="M43" s="33">
        <f>COUNTIFS('Data For Calculation - Insuranc'!A:A,A43,'Data For Calculation - Insuranc'!E:E,"CPA + RSA")</f>
        <v>0</v>
      </c>
      <c r="N43" s="30" t="s">
        <v>3820</v>
      </c>
      <c r="O43" s="31">
        <v>460.0</v>
      </c>
      <c r="P43" s="34" t="s">
        <v>3853</v>
      </c>
      <c r="Q43" s="34">
        <v>0.0</v>
      </c>
      <c r="R43" s="34">
        <v>100.0</v>
      </c>
      <c r="S43" s="34">
        <v>0.0</v>
      </c>
      <c r="T43" s="34">
        <v>0.0</v>
      </c>
      <c r="U43" s="33">
        <f>COUNTIFS('Data For Calculation - Insuranc'!A:A,A43,'Data For Calculation - Insuranc'!E:E,"CPA + RSA + AHDC + DOC")</f>
        <v>0</v>
      </c>
      <c r="V43" s="30" t="s">
        <v>3820</v>
      </c>
      <c r="W43" s="34">
        <v>838.99</v>
      </c>
      <c r="X43" s="34" t="s">
        <v>3853</v>
      </c>
      <c r="Y43" s="34">
        <v>0.0</v>
      </c>
      <c r="Z43" s="34">
        <v>100.0</v>
      </c>
      <c r="AA43" s="34">
        <v>0.0</v>
      </c>
      <c r="AB43" s="34">
        <v>0.0</v>
      </c>
      <c r="AC43" s="33">
        <f>COUNTIFS('Data For Calculation - Insuranc'!A:A,A43,'Data For Calculation - Insuranc'!E:E,"CPA + RSA : 5 Years")</f>
        <v>0</v>
      </c>
      <c r="AD43" s="30" t="s">
        <v>3820</v>
      </c>
      <c r="AE43" s="31">
        <v>838.99</v>
      </c>
      <c r="AF43" s="34" t="s">
        <v>3853</v>
      </c>
      <c r="AG43" s="34">
        <v>0.0</v>
      </c>
      <c r="AH43" s="34">
        <v>100.0</v>
      </c>
      <c r="AI43" s="34">
        <v>0.0</v>
      </c>
      <c r="AJ43" s="34">
        <v>0.0</v>
      </c>
      <c r="AK43" s="33">
        <f>COUNTIFS('Data For Calculation - Insuranc'!A:A,A43,'Data For Calculation - Insuranc'!E:E,"Assistance + CPA : 5 Years")</f>
        <v>0</v>
      </c>
      <c r="AL43" s="30" t="s">
        <v>3820</v>
      </c>
      <c r="AM43" s="31">
        <v>290.0</v>
      </c>
      <c r="AN43" s="34" t="s">
        <v>3853</v>
      </c>
      <c r="AO43" s="34">
        <v>0.0</v>
      </c>
      <c r="AP43" s="34">
        <v>100.0</v>
      </c>
      <c r="AQ43" s="34">
        <v>0.0</v>
      </c>
      <c r="AR43" s="34">
        <v>0.0</v>
      </c>
      <c r="AS43" s="33">
        <f>COUNTIFS('Data For Calculation - Insuranc'!A:A,A43,'Data For Calculation - Insuranc'!E:E,"RSA + AHDC + DOC")</f>
        <v>0</v>
      </c>
      <c r="AT43" s="33"/>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f t="shared" si="1"/>
        <v>0</v>
      </c>
      <c r="BS43" s="33">
        <f>SUMIFS('Data For Calculation - Insuranc'!I:I,'Data For Calculation - Insuranc'!$A:$A,$A43)</f>
        <v>0</v>
      </c>
      <c r="BT43" s="33">
        <f>SUMIFS('Data For Calculation - Insuranc'!J:J,'Data For Calculation - Insuranc'!$A:$A,$A43)</f>
        <v>0</v>
      </c>
      <c r="BU43" s="33">
        <f>SUMIFS('Data For Calculation - Insuranc'!K:K,'Data For Calculation - Insuranc'!$A:$A,$A43)</f>
        <v>0</v>
      </c>
      <c r="BV43" s="33">
        <f>IF($CC43 = "Dealer", SUMIFS('Data For Calculation - Insuranc'!I:I,'Data For Calculation - Insuranc'!$B:$B,$A43,'Data For Calculation - Insuranc'!$H:$H,"Master Dealer")) + SUMIFS('Data For Calculation - Insuranc'!I:I,'Data For Calculation - Insuranc'!$A:$A,$A43,'Data For Calculation - Insuranc'!$H:$H,"Self")</f>
        <v>0</v>
      </c>
      <c r="BW43" s="33">
        <f>IF($CC43 = "Dealer", SUMIFS('Data For Calculation - Insuranc'!J:J,'Data For Calculation - Insuranc'!$B:$B,$A43,'Data For Calculation - Insuranc'!$H:$H,"Master Dealer")) + SUMIFS('Data For Calculation - Insuranc'!J:J,'Data For Calculation - Insuranc'!$A:$A,$A43,'Data For Calculation - Insuranc'!$H:$H,"Self")</f>
        <v>0</v>
      </c>
      <c r="BX43" s="33">
        <f>IF($CC43 = "Dealer", SUMIFS('Data For Calculation - Insuranc'!K:K,'Data For Calculation - Insuranc'!$B:$B,$A43,'Data For Calculation - Insuranc'!$H:$H,"Master Dealer")) + SUMIFS('Data For Calculation - Insuranc'!K:K,'Data For Calculation - Insuranc'!$A:$A,$A43,'Data For Calculation - Insuranc'!$H:$H,"Self")</f>
        <v>0</v>
      </c>
      <c r="BY43" s="25" t="str">
        <f>(Sheet1!N43)</f>
        <v>Brij Biwheelers</v>
      </c>
      <c r="BZ43" s="25" t="str">
        <f>(Sheet1!O43)</f>
        <v>1ytBGcO8tIze81xKkAa9lWDcflthsPL6SuADAXbhmuwA</v>
      </c>
      <c r="CA43" s="25" t="str">
        <f>(Sheet1!AV43)</f>
        <v/>
      </c>
      <c r="CB43" s="25" t="str">
        <f>(Sheet1!AW43)</f>
        <v/>
      </c>
      <c r="CC43" s="26" t="str">
        <f>(Sheet1!P43)</f>
        <v>Sub Dealer</v>
      </c>
    </row>
    <row r="44">
      <c r="A44" s="25" t="str">
        <f>(Sheet1!A44)</f>
        <v>10OrFTKO4yhmJjB2PdJsPBFWFJQhFkWOzdv4SLQemIhs</v>
      </c>
      <c r="B44" s="25" t="str">
        <f>(Sheet1!B44)</f>
        <v>BRIJ HERO RENEWAL (BBW)</v>
      </c>
      <c r="C44" s="30" t="str">
        <f>Sheet1!BB44</f>
        <v>No</v>
      </c>
      <c r="D44" s="30" t="s">
        <v>13</v>
      </c>
      <c r="E44" s="34" t="s">
        <v>13</v>
      </c>
      <c r="F44" s="30" t="s">
        <v>3820</v>
      </c>
      <c r="G44" s="31">
        <v>290.0</v>
      </c>
      <c r="H44" s="34" t="s">
        <v>3853</v>
      </c>
      <c r="I44" s="34">
        <v>0.0</v>
      </c>
      <c r="J44" s="34">
        <v>100.0</v>
      </c>
      <c r="K44" s="34">
        <v>0.0</v>
      </c>
      <c r="L44" s="34">
        <v>0.0</v>
      </c>
      <c r="M44" s="33">
        <f>COUNTIFS('Data For Calculation - Insuranc'!A:A,A44,'Data For Calculation - Insuranc'!E:E,"CPA + RSA")</f>
        <v>0</v>
      </c>
      <c r="N44" s="30" t="s">
        <v>3820</v>
      </c>
      <c r="O44" s="31">
        <v>460.0</v>
      </c>
      <c r="P44" s="34" t="s">
        <v>3853</v>
      </c>
      <c r="Q44" s="34">
        <v>0.0</v>
      </c>
      <c r="R44" s="34">
        <v>100.0</v>
      </c>
      <c r="S44" s="34">
        <v>0.0</v>
      </c>
      <c r="T44" s="34">
        <v>0.0</v>
      </c>
      <c r="U44" s="33">
        <f>COUNTIFS('Data For Calculation - Insuranc'!A:A,A44,'Data For Calculation - Insuranc'!E:E,"CPA + RSA + AHDC + DOC")</f>
        <v>0</v>
      </c>
      <c r="V44" s="30" t="s">
        <v>3820</v>
      </c>
      <c r="W44" s="34">
        <v>838.99</v>
      </c>
      <c r="X44" s="34" t="s">
        <v>3853</v>
      </c>
      <c r="Y44" s="34">
        <v>0.0</v>
      </c>
      <c r="Z44" s="34">
        <v>100.0</v>
      </c>
      <c r="AA44" s="34">
        <v>0.0</v>
      </c>
      <c r="AB44" s="34">
        <v>0.0</v>
      </c>
      <c r="AC44" s="33">
        <f>COUNTIFS('Data For Calculation - Insuranc'!A:A,A44,'Data For Calculation - Insuranc'!E:E,"CPA + RSA : 5 Years")</f>
        <v>0</v>
      </c>
      <c r="AD44" s="30" t="s">
        <v>3820</v>
      </c>
      <c r="AE44" s="31">
        <v>838.99</v>
      </c>
      <c r="AF44" s="34" t="s">
        <v>3853</v>
      </c>
      <c r="AG44" s="34">
        <v>0.0</v>
      </c>
      <c r="AH44" s="34">
        <v>100.0</v>
      </c>
      <c r="AI44" s="34">
        <v>0.0</v>
      </c>
      <c r="AJ44" s="34">
        <v>0.0</v>
      </c>
      <c r="AK44" s="33">
        <f>COUNTIFS('Data For Calculation - Insuranc'!A:A,A44,'Data For Calculation - Insuranc'!E:E,"Assistance + CPA : 5 Years")</f>
        <v>0</v>
      </c>
      <c r="AL44" s="30" t="s">
        <v>3820</v>
      </c>
      <c r="AM44" s="31">
        <v>290.0</v>
      </c>
      <c r="AN44" s="34" t="s">
        <v>3853</v>
      </c>
      <c r="AO44" s="34">
        <v>0.0</v>
      </c>
      <c r="AP44" s="34">
        <v>100.0</v>
      </c>
      <c r="AQ44" s="34">
        <v>0.0</v>
      </c>
      <c r="AR44" s="34">
        <v>0.0</v>
      </c>
      <c r="AS44" s="33">
        <f>COUNTIFS('Data For Calculation - Insuranc'!A:A,A44,'Data For Calculation - Insuranc'!E:E,"RSA + AHDC + DOC")</f>
        <v>0</v>
      </c>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f t="shared" si="1"/>
        <v>0</v>
      </c>
      <c r="BS44" s="33">
        <f>SUMIFS('Data For Calculation - Insuranc'!I:I,'Data For Calculation - Insuranc'!$A:$A,$A44)</f>
        <v>0</v>
      </c>
      <c r="BT44" s="33">
        <f>SUMIFS('Data For Calculation - Insuranc'!J:J,'Data For Calculation - Insuranc'!$A:$A,$A44)</f>
        <v>0</v>
      </c>
      <c r="BU44" s="33">
        <f>SUMIFS('Data For Calculation - Insuranc'!K:K,'Data For Calculation - Insuranc'!$A:$A,$A44)</f>
        <v>0</v>
      </c>
      <c r="BV44" s="33">
        <f>IF($CC44 = "Dealer", SUMIFS('Data For Calculation - Insuranc'!I:I,'Data For Calculation - Insuranc'!$B:$B,$A44,'Data For Calculation - Insuranc'!$H:$H,"Master Dealer")) + SUMIFS('Data For Calculation - Insuranc'!I:I,'Data For Calculation - Insuranc'!$A:$A,$A44,'Data For Calculation - Insuranc'!$H:$H,"Self")</f>
        <v>0</v>
      </c>
      <c r="BW44" s="33">
        <f>IF($CC44 = "Dealer", SUMIFS('Data For Calculation - Insuranc'!J:J,'Data For Calculation - Insuranc'!$B:$B,$A44,'Data For Calculation - Insuranc'!$H:$H,"Master Dealer")) + SUMIFS('Data For Calculation - Insuranc'!J:J,'Data For Calculation - Insuranc'!$A:$A,$A44,'Data For Calculation - Insuranc'!$H:$H,"Self")</f>
        <v>0</v>
      </c>
      <c r="BX44" s="33">
        <f>IF($CC44 = "Dealer", SUMIFS('Data For Calculation - Insuranc'!K:K,'Data For Calculation - Insuranc'!$B:$B,$A44,'Data For Calculation - Insuranc'!$H:$H,"Master Dealer")) + SUMIFS('Data For Calculation - Insuranc'!K:K,'Data For Calculation - Insuranc'!$A:$A,$A44,'Data For Calculation - Insuranc'!$H:$H,"Self")</f>
        <v>0</v>
      </c>
      <c r="BY44" s="25" t="str">
        <f>(Sheet1!N44)</f>
        <v>Brij Biwheelers</v>
      </c>
      <c r="BZ44" s="25" t="str">
        <f>(Sheet1!O44)</f>
        <v>1ytBGcO8tIze81xKkAa9lWDcflthsPL6SuADAXbhmuwA</v>
      </c>
      <c r="CA44" s="25" t="str">
        <f>(Sheet1!AV44)</f>
        <v/>
      </c>
      <c r="CB44" s="25" t="str">
        <f>(Sheet1!AW44)</f>
        <v/>
      </c>
      <c r="CC44" s="26" t="str">
        <f>(Sheet1!P44)</f>
        <v>Sub Dealer</v>
      </c>
    </row>
    <row r="45">
      <c r="A45" s="25" t="str">
        <f>(Sheet1!A45)</f>
        <v>1XmVYrBOLuyIm0rpXhFaYpcRQ1t4YH3PN3pmiTosn08E</v>
      </c>
      <c r="B45" s="25" t="str">
        <f>(Sheet1!B45)</f>
        <v>Shraman Hero - GT Karnal Road</v>
      </c>
      <c r="C45" s="30" t="str">
        <f>Sheet1!BB45</f>
        <v>Yes</v>
      </c>
      <c r="D45" s="30" t="s">
        <v>13</v>
      </c>
      <c r="E45" s="34" t="s">
        <v>13</v>
      </c>
      <c r="F45" s="30" t="s">
        <v>3820</v>
      </c>
      <c r="G45" s="31">
        <v>290.0</v>
      </c>
      <c r="H45" s="34" t="s">
        <v>3853</v>
      </c>
      <c r="I45" s="34">
        <v>0.0</v>
      </c>
      <c r="J45" s="34">
        <v>100.0</v>
      </c>
      <c r="K45" s="34">
        <v>0.0</v>
      </c>
      <c r="L45" s="34">
        <v>0.0</v>
      </c>
      <c r="M45" s="33">
        <f>COUNTIFS('Data For Calculation - Insuranc'!A:A,A45,'Data For Calculation - Insuranc'!E:E,"CPA + RSA")</f>
        <v>0</v>
      </c>
      <c r="N45" s="42" t="s">
        <v>3854</v>
      </c>
      <c r="O45" s="43">
        <v>100.0</v>
      </c>
      <c r="P45" s="42" t="s">
        <v>3855</v>
      </c>
      <c r="Q45" s="43">
        <v>2000.0</v>
      </c>
      <c r="R45" s="43">
        <v>100.0</v>
      </c>
      <c r="S45" s="43">
        <v>0.0</v>
      </c>
      <c r="T45" s="43">
        <v>0.0</v>
      </c>
      <c r="U45" s="33">
        <f>COUNTIFS('Data For Calculation - Insuranc'!A:A,A45,'Data For Calculation - Insuranc'!E:E,"CPA + RSA + AHDC + DOC")</f>
        <v>0</v>
      </c>
      <c r="V45" s="30" t="s">
        <v>3820</v>
      </c>
      <c r="W45" s="34">
        <v>838.99</v>
      </c>
      <c r="X45" s="34" t="s">
        <v>3853</v>
      </c>
      <c r="Y45" s="34">
        <v>0.0</v>
      </c>
      <c r="Z45" s="34">
        <v>100.0</v>
      </c>
      <c r="AA45" s="34">
        <v>0.0</v>
      </c>
      <c r="AB45" s="34">
        <v>0.0</v>
      </c>
      <c r="AC45" s="33">
        <f>COUNTIFS('Data For Calculation - Insuranc'!A:A,A45,'Data For Calculation - Insuranc'!E:E,"CPA + RSA : 5 Years")</f>
        <v>0</v>
      </c>
      <c r="AD45" s="30" t="s">
        <v>3820</v>
      </c>
      <c r="AE45" s="31">
        <v>838.99</v>
      </c>
      <c r="AF45" s="34" t="s">
        <v>3853</v>
      </c>
      <c r="AG45" s="34">
        <v>0.0</v>
      </c>
      <c r="AH45" s="34">
        <v>100.0</v>
      </c>
      <c r="AI45" s="34">
        <v>0.0</v>
      </c>
      <c r="AJ45" s="34">
        <v>0.0</v>
      </c>
      <c r="AK45" s="33">
        <f>COUNTIFS('Data For Calculation - Insuranc'!A:A,A45,'Data For Calculation - Insuranc'!E:E,"Assistance + CPA : 5 Years")</f>
        <v>0</v>
      </c>
      <c r="AL45" s="42" t="s">
        <v>3854</v>
      </c>
      <c r="AM45" s="43">
        <v>100.0</v>
      </c>
      <c r="AN45" s="42" t="s">
        <v>3855</v>
      </c>
      <c r="AO45" s="43">
        <v>2000.0</v>
      </c>
      <c r="AP45" s="43">
        <v>100.0</v>
      </c>
      <c r="AQ45" s="43">
        <v>0.0</v>
      </c>
      <c r="AR45" s="43">
        <v>0.0</v>
      </c>
      <c r="AS45" s="33">
        <f>COUNTIFS('Data For Calculation - Insuranc'!A:A,A45,'Data For Calculation - Insuranc'!E:E,"RSA + AHDC + DOC")</f>
        <v>0</v>
      </c>
      <c r="AT45" s="33"/>
      <c r="AU45" s="33"/>
      <c r="AV45" s="33"/>
      <c r="AW45" s="33"/>
      <c r="AX45" s="33"/>
      <c r="AY45" s="33"/>
      <c r="AZ45" s="33"/>
      <c r="BA45" s="33"/>
      <c r="BB45" s="33"/>
      <c r="BC45" s="33"/>
      <c r="BD45" s="33"/>
      <c r="BE45" s="33"/>
      <c r="BF45" s="33"/>
      <c r="BG45" s="33"/>
      <c r="BH45" s="33"/>
      <c r="BI45" s="33"/>
      <c r="BJ45" s="33"/>
      <c r="BK45" s="33"/>
      <c r="BL45" s="33"/>
      <c r="BM45" s="33"/>
      <c r="BN45" s="33"/>
      <c r="BO45" s="33"/>
      <c r="BP45" s="33"/>
      <c r="BQ45" s="33"/>
      <c r="BR45" s="33">
        <f t="shared" si="1"/>
        <v>0</v>
      </c>
      <c r="BS45" s="33">
        <f>SUMIFS('Data For Calculation - Insuranc'!I:I,'Data For Calculation - Insuranc'!$A:$A,$A45)</f>
        <v>0</v>
      </c>
      <c r="BT45" s="33">
        <f>SUMIFS('Data For Calculation - Insuranc'!J:J,'Data For Calculation - Insuranc'!$A:$A,$A45)</f>
        <v>0</v>
      </c>
      <c r="BU45" s="33">
        <f>SUMIFS('Data For Calculation - Insuranc'!K:K,'Data For Calculation - Insuranc'!$A:$A,$A45)</f>
        <v>0</v>
      </c>
      <c r="BV45" s="33">
        <f>IF($CC45 = "Dealer", SUMIFS('Data For Calculation - Insuranc'!I:I,'Data For Calculation - Insuranc'!$B:$B,$A45,'Data For Calculation - Insuranc'!$H:$H,"Master Dealer")) + SUMIFS('Data For Calculation - Insuranc'!I:I,'Data For Calculation - Insuranc'!$A:$A,$A45,'Data For Calculation - Insuranc'!$H:$H,"Self")</f>
        <v>0</v>
      </c>
      <c r="BW45" s="33">
        <f>IF($CC45 = "Dealer", SUMIFS('Data For Calculation - Insuranc'!J:J,'Data For Calculation - Insuranc'!$B:$B,$A45,'Data For Calculation - Insuranc'!$H:$H,"Master Dealer")) + SUMIFS('Data For Calculation - Insuranc'!J:J,'Data For Calculation - Insuranc'!$A:$A,$A45,'Data For Calculation - Insuranc'!$H:$H,"Self")</f>
        <v>0</v>
      </c>
      <c r="BX45" s="33">
        <f>IF($CC45 = "Dealer", SUMIFS('Data For Calculation - Insuranc'!K:K,'Data For Calculation - Insuranc'!$B:$B,$A45,'Data For Calculation - Insuranc'!$H:$H,"Master Dealer")) + SUMIFS('Data For Calculation - Insuranc'!K:K,'Data For Calculation - Insuranc'!$A:$A,$A45,'Data For Calculation - Insuranc'!$H:$H,"Self")</f>
        <v>0</v>
      </c>
      <c r="BY45" s="25" t="str">
        <f>(Sheet1!N45)</f>
        <v>Shraman Hero - GT Karnal Road</v>
      </c>
      <c r="BZ45" s="25" t="str">
        <f>(Sheet1!O45)</f>
        <v>1XmVYrBOLuyIm0rpXhFaYpcRQ1t4YH3PN3pmiTosn08E</v>
      </c>
      <c r="CA45" s="25" t="str">
        <f>(Sheet1!AV45)</f>
        <v/>
      </c>
      <c r="CB45" s="25" t="str">
        <f>(Sheet1!AW45)</f>
        <v/>
      </c>
      <c r="CC45" s="26" t="str">
        <f>(Sheet1!P45)</f>
        <v>Dealer</v>
      </c>
    </row>
    <row r="46">
      <c r="A46" s="25" t="str">
        <f>(Sheet1!A46)</f>
        <v>1qJGCYN0EdS2nWGXVYAHwXqSjiLE2C95anQkkbLONbKQ</v>
      </c>
      <c r="B46" s="25" t="str">
        <f>(Sheet1!B46)</f>
        <v>Shri Balaji Hero - Muzaffarnagar</v>
      </c>
      <c r="C46" s="30" t="str">
        <f>Sheet1!BB46</f>
        <v>No</v>
      </c>
      <c r="D46" s="30" t="s">
        <v>13</v>
      </c>
      <c r="E46" s="34" t="s">
        <v>13</v>
      </c>
      <c r="F46" s="30" t="s">
        <v>3856</v>
      </c>
      <c r="G46" s="31">
        <v>290.0</v>
      </c>
      <c r="H46" s="34" t="s">
        <v>3853</v>
      </c>
      <c r="I46" s="34">
        <v>0.0</v>
      </c>
      <c r="J46" s="34">
        <v>100.0</v>
      </c>
      <c r="K46" s="34">
        <v>0.0</v>
      </c>
      <c r="L46" s="34">
        <v>0.0</v>
      </c>
      <c r="M46" s="33">
        <f>COUNTIFS('Data For Calculation - Insuranc'!A:A,A46,'Data For Calculation - Insuranc'!E:E,"CPA + RSA")</f>
        <v>0</v>
      </c>
      <c r="N46" s="30" t="s">
        <v>3856</v>
      </c>
      <c r="O46" s="31">
        <v>339.0</v>
      </c>
      <c r="P46" s="34" t="s">
        <v>3853</v>
      </c>
      <c r="Q46" s="34">
        <v>0.0</v>
      </c>
      <c r="R46" s="34">
        <v>100.0</v>
      </c>
      <c r="S46" s="34">
        <v>0.0</v>
      </c>
      <c r="T46" s="34">
        <v>0.0</v>
      </c>
      <c r="U46" s="33">
        <f>COUNTIFS('Data For Calculation - Insuranc'!A:A,A46,'Data For Calculation - Insuranc'!E:E,"CPA + RSA + AHDC + DOC")</f>
        <v>0</v>
      </c>
      <c r="V46" s="30" t="s">
        <v>3856</v>
      </c>
      <c r="W46" s="34">
        <v>838.99</v>
      </c>
      <c r="X46" s="34" t="s">
        <v>3853</v>
      </c>
      <c r="Y46" s="34">
        <v>0.0</v>
      </c>
      <c r="Z46" s="34">
        <v>100.0</v>
      </c>
      <c r="AA46" s="34">
        <v>0.0</v>
      </c>
      <c r="AB46" s="34">
        <v>0.0</v>
      </c>
      <c r="AC46" s="33">
        <f>COUNTIFS('Data For Calculation - Insuranc'!A:A,A46,'Data For Calculation - Insuranc'!E:E,"CPA + RSA : 5 Years")</f>
        <v>0</v>
      </c>
      <c r="AD46" s="30" t="s">
        <v>3856</v>
      </c>
      <c r="AE46" s="31">
        <v>838.99</v>
      </c>
      <c r="AF46" s="34" t="s">
        <v>3853</v>
      </c>
      <c r="AG46" s="34">
        <v>0.0</v>
      </c>
      <c r="AH46" s="34">
        <v>100.0</v>
      </c>
      <c r="AI46" s="34">
        <v>0.0</v>
      </c>
      <c r="AJ46" s="34">
        <v>0.0</v>
      </c>
      <c r="AK46" s="33">
        <f>COUNTIFS('Data For Calculation - Insuranc'!A:A,A46,'Data For Calculation - Insuranc'!E:E,"Assistance + CPA : 5 Years")</f>
        <v>0</v>
      </c>
      <c r="AL46" s="30" t="s">
        <v>3856</v>
      </c>
      <c r="AM46" s="31">
        <v>290.0</v>
      </c>
      <c r="AN46" s="34" t="s">
        <v>3853</v>
      </c>
      <c r="AO46" s="34">
        <v>0.0</v>
      </c>
      <c r="AP46" s="34">
        <v>100.0</v>
      </c>
      <c r="AQ46" s="34">
        <v>0.0</v>
      </c>
      <c r="AR46" s="34">
        <v>0.0</v>
      </c>
      <c r="AS46" s="33">
        <f>COUNTIFS('Data For Calculation - Insuranc'!A:A,A46,'Data For Calculation - Insuranc'!E:E,"RSA + AHDC + DOC")</f>
        <v>0</v>
      </c>
      <c r="AT46" s="33"/>
      <c r="AU46" s="33"/>
      <c r="AV46" s="33"/>
      <c r="AW46" s="33"/>
      <c r="AX46" s="33"/>
      <c r="AY46" s="33"/>
      <c r="AZ46" s="33"/>
      <c r="BA46" s="33"/>
      <c r="BB46" s="33"/>
      <c r="BC46" s="33"/>
      <c r="BD46" s="33"/>
      <c r="BE46" s="33"/>
      <c r="BF46" s="33"/>
      <c r="BG46" s="33"/>
      <c r="BH46" s="33"/>
      <c r="BI46" s="33"/>
      <c r="BJ46" s="33"/>
      <c r="BK46" s="33"/>
      <c r="BL46" s="33"/>
      <c r="BM46" s="33"/>
      <c r="BN46" s="33"/>
      <c r="BO46" s="33"/>
      <c r="BP46" s="33"/>
      <c r="BQ46" s="33"/>
      <c r="BR46" s="33">
        <f t="shared" si="1"/>
        <v>0</v>
      </c>
      <c r="BS46" s="33">
        <f>SUMIFS('Data For Calculation - Insuranc'!I:I,'Data For Calculation - Insuranc'!$A:$A,$A46)</f>
        <v>0</v>
      </c>
      <c r="BT46" s="33">
        <f>SUMIFS('Data For Calculation - Insuranc'!J:J,'Data For Calculation - Insuranc'!$A:$A,$A46)</f>
        <v>0</v>
      </c>
      <c r="BU46" s="33">
        <f>SUMIFS('Data For Calculation - Insuranc'!K:K,'Data For Calculation - Insuranc'!$A:$A,$A46)</f>
        <v>0</v>
      </c>
      <c r="BV46" s="33">
        <f>IF($CC46 = "Dealer", SUMIFS('Data For Calculation - Insuranc'!I:I,'Data For Calculation - Insuranc'!$B:$B,$A46,'Data For Calculation - Insuranc'!$H:$H,"Master Dealer")) + SUMIFS('Data For Calculation - Insuranc'!I:I,'Data For Calculation - Insuranc'!$A:$A,$A46,'Data For Calculation - Insuranc'!$H:$H,"Self")</f>
        <v>0</v>
      </c>
      <c r="BW46" s="33">
        <f>IF($CC46 = "Dealer", SUMIFS('Data For Calculation - Insuranc'!J:J,'Data For Calculation - Insuranc'!$B:$B,$A46,'Data For Calculation - Insuranc'!$H:$H,"Master Dealer")) + SUMIFS('Data For Calculation - Insuranc'!J:J,'Data For Calculation - Insuranc'!$A:$A,$A46,'Data For Calculation - Insuranc'!$H:$H,"Self")</f>
        <v>0</v>
      </c>
      <c r="BX46" s="33">
        <f>IF($CC46 = "Dealer", SUMIFS('Data For Calculation - Insuranc'!K:K,'Data For Calculation - Insuranc'!$B:$B,$A46,'Data For Calculation - Insuranc'!$H:$H,"Master Dealer")) + SUMIFS('Data For Calculation - Insuranc'!K:K,'Data For Calculation - Insuranc'!$A:$A,$A46,'Data For Calculation - Insuranc'!$H:$H,"Self")</f>
        <v>0</v>
      </c>
      <c r="BY46" s="25" t="str">
        <f>(Sheet1!N46)</f>
        <v>Shri Balaji Hero - Muzaffarnagar</v>
      </c>
      <c r="BZ46" s="25" t="str">
        <f>(Sheet1!O46)</f>
        <v>1qJGCYN0EdS2nWGXVYAHwXqSjiLE2C95anQkkbLONbKQ</v>
      </c>
      <c r="CA46" s="25" t="str">
        <f>(Sheet1!AV46)</f>
        <v/>
      </c>
      <c r="CB46" s="25" t="str">
        <f>(Sheet1!AW46)</f>
        <v/>
      </c>
      <c r="CC46" s="26" t="str">
        <f>(Sheet1!P46)</f>
        <v>Dealer</v>
      </c>
    </row>
    <row r="47">
      <c r="A47" s="25" t="str">
        <f>(Sheet1!A47)</f>
        <v>1p3Bu4mvhlVeVMP3Ogpf0F-2KWPlAp07JNr-X652uW0U</v>
      </c>
      <c r="B47" s="25" t="str">
        <f>(Sheet1!B47)</f>
        <v>Kavita Motors - Bijnor</v>
      </c>
      <c r="C47" s="30" t="str">
        <f>Sheet1!BB47</f>
        <v>No</v>
      </c>
      <c r="D47" s="30" t="s">
        <v>13</v>
      </c>
      <c r="E47" s="34" t="s">
        <v>13</v>
      </c>
      <c r="F47" s="30" t="s">
        <v>3820</v>
      </c>
      <c r="G47" s="31">
        <v>290.0</v>
      </c>
      <c r="H47" s="34" t="s">
        <v>3853</v>
      </c>
      <c r="I47" s="34">
        <v>0.0</v>
      </c>
      <c r="J47" s="34">
        <v>100.0</v>
      </c>
      <c r="K47" s="34">
        <v>0.0</v>
      </c>
      <c r="L47" s="34">
        <v>0.0</v>
      </c>
      <c r="M47" s="33">
        <f>COUNTIFS('Data For Calculation - Insuranc'!A:A,A47,'Data For Calculation - Insuranc'!E:E,"CPA + RSA")</f>
        <v>0</v>
      </c>
      <c r="N47" s="30" t="s">
        <v>3820</v>
      </c>
      <c r="O47" s="31">
        <v>460.0</v>
      </c>
      <c r="P47" s="34" t="s">
        <v>3853</v>
      </c>
      <c r="Q47" s="34">
        <v>0.0</v>
      </c>
      <c r="R47" s="34">
        <v>100.0</v>
      </c>
      <c r="S47" s="34">
        <v>0.0</v>
      </c>
      <c r="T47" s="34">
        <v>0.0</v>
      </c>
      <c r="U47" s="33">
        <f>COUNTIFS('Data For Calculation - Insuranc'!A:A,A47,'Data For Calculation - Insuranc'!E:E,"CPA + RSA + AHDC + DOC")</f>
        <v>0</v>
      </c>
      <c r="V47" s="30" t="s">
        <v>3820</v>
      </c>
      <c r="W47" s="34">
        <v>838.99</v>
      </c>
      <c r="X47" s="34" t="s">
        <v>3853</v>
      </c>
      <c r="Y47" s="34">
        <v>0.0</v>
      </c>
      <c r="Z47" s="34">
        <v>100.0</v>
      </c>
      <c r="AA47" s="34">
        <v>0.0</v>
      </c>
      <c r="AB47" s="34">
        <v>0.0</v>
      </c>
      <c r="AC47" s="33">
        <f>COUNTIFS('Data For Calculation - Insuranc'!A:A,A47,'Data For Calculation - Insuranc'!E:E,"CPA + RSA : 5 Years")</f>
        <v>0</v>
      </c>
      <c r="AD47" s="30" t="s">
        <v>3820</v>
      </c>
      <c r="AE47" s="31">
        <v>838.99</v>
      </c>
      <c r="AF47" s="34" t="s">
        <v>3853</v>
      </c>
      <c r="AG47" s="34">
        <v>0.0</v>
      </c>
      <c r="AH47" s="34">
        <v>100.0</v>
      </c>
      <c r="AI47" s="34">
        <v>0.0</v>
      </c>
      <c r="AJ47" s="34">
        <v>0.0</v>
      </c>
      <c r="AK47" s="33">
        <f>COUNTIFS('Data For Calculation - Insuranc'!A:A,A47,'Data For Calculation - Insuranc'!E:E,"Assistance + CPA : 5 Years")</f>
        <v>0</v>
      </c>
      <c r="AL47" s="30" t="s">
        <v>3820</v>
      </c>
      <c r="AM47" s="31">
        <v>290.0</v>
      </c>
      <c r="AN47" s="34" t="s">
        <v>3853</v>
      </c>
      <c r="AO47" s="34">
        <v>0.0</v>
      </c>
      <c r="AP47" s="34">
        <v>100.0</v>
      </c>
      <c r="AQ47" s="34">
        <v>0.0</v>
      </c>
      <c r="AR47" s="34">
        <v>0.0</v>
      </c>
      <c r="AS47" s="33">
        <f>COUNTIFS('Data For Calculation - Insuranc'!A:A,A47,'Data For Calculation - Insuranc'!E:E,"RSA + AHDC + DOC")</f>
        <v>0</v>
      </c>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33">
        <f t="shared" si="1"/>
        <v>0</v>
      </c>
      <c r="BS47" s="33">
        <f>SUMIFS('Data For Calculation - Insuranc'!I:I,'Data For Calculation - Insuranc'!$A:$A,$A47)</f>
        <v>0</v>
      </c>
      <c r="BT47" s="33">
        <f>SUMIFS('Data For Calculation - Insuranc'!J:J,'Data For Calculation - Insuranc'!$A:$A,$A47)</f>
        <v>0</v>
      </c>
      <c r="BU47" s="33">
        <f>SUMIFS('Data For Calculation - Insuranc'!K:K,'Data For Calculation - Insuranc'!$A:$A,$A47)</f>
        <v>0</v>
      </c>
      <c r="BV47" s="33">
        <f>IF($CC47 = "Dealer", SUMIFS('Data For Calculation - Insuranc'!I:I,'Data For Calculation - Insuranc'!$B:$B,$A47,'Data For Calculation - Insuranc'!$H:$H,"Master Dealer")) + SUMIFS('Data For Calculation - Insuranc'!I:I,'Data For Calculation - Insuranc'!$A:$A,$A47,'Data For Calculation - Insuranc'!$H:$H,"Self")</f>
        <v>0</v>
      </c>
      <c r="BW47" s="33">
        <f>IF($CC47 = "Dealer", SUMIFS('Data For Calculation - Insuranc'!J:J,'Data For Calculation - Insuranc'!$B:$B,$A47,'Data For Calculation - Insuranc'!$H:$H,"Master Dealer")) + SUMIFS('Data For Calculation - Insuranc'!J:J,'Data For Calculation - Insuranc'!$A:$A,$A47,'Data For Calculation - Insuranc'!$H:$H,"Self")</f>
        <v>0</v>
      </c>
      <c r="BX47" s="33">
        <f>IF($CC47 = "Dealer", SUMIFS('Data For Calculation - Insuranc'!K:K,'Data For Calculation - Insuranc'!$B:$B,$A47,'Data For Calculation - Insuranc'!$H:$H,"Master Dealer")) + SUMIFS('Data For Calculation - Insuranc'!K:K,'Data For Calculation - Insuranc'!$A:$A,$A47,'Data For Calculation - Insuranc'!$H:$H,"Self")</f>
        <v>0</v>
      </c>
      <c r="BY47" s="25" t="str">
        <f>(Sheet1!N47)</f>
        <v>Kavita Motors - Bijnor</v>
      </c>
      <c r="BZ47" s="25" t="str">
        <f>(Sheet1!O47)</f>
        <v>1p3Bu4mvhlVeVMP3Ogpf0F-2KWPlAp07JNr-X652uW0U</v>
      </c>
      <c r="CA47" s="25" t="str">
        <f>(Sheet1!AV47)</f>
        <v/>
      </c>
      <c r="CB47" s="25" t="str">
        <f>(Sheet1!AW47)</f>
        <v/>
      </c>
      <c r="CC47" s="26" t="str">
        <f>(Sheet1!P47)</f>
        <v>Dealer</v>
      </c>
    </row>
    <row r="48">
      <c r="A48" s="25" t="str">
        <f>(Sheet1!A48)</f>
        <v>14s_HeeebHqLRTUCX5FSlJ3K7aiTvnkajbPMefm6jg1M</v>
      </c>
      <c r="B48" s="25" t="str">
        <f>(Sheet1!B48)</f>
        <v>Bharat Auto - Kasganj</v>
      </c>
      <c r="C48" s="30" t="str">
        <f>Sheet1!BB48</f>
        <v>No</v>
      </c>
      <c r="D48" s="30" t="s">
        <v>13</v>
      </c>
      <c r="E48" s="34" t="s">
        <v>13</v>
      </c>
      <c r="F48" s="30" t="s">
        <v>3820</v>
      </c>
      <c r="G48" s="31">
        <v>290.0</v>
      </c>
      <c r="H48" s="34" t="s">
        <v>3853</v>
      </c>
      <c r="I48" s="34">
        <v>0.0</v>
      </c>
      <c r="J48" s="34">
        <v>100.0</v>
      </c>
      <c r="K48" s="34">
        <v>0.0</v>
      </c>
      <c r="L48" s="34">
        <v>0.0</v>
      </c>
      <c r="M48" s="33">
        <f>COUNTIFS('Data For Calculation - Insuranc'!A:A,A48,'Data For Calculation - Insuranc'!E:E,"CPA + RSA")</f>
        <v>0</v>
      </c>
      <c r="N48" s="30" t="s">
        <v>3820</v>
      </c>
      <c r="O48" s="31">
        <v>460.0</v>
      </c>
      <c r="P48" s="34" t="s">
        <v>3853</v>
      </c>
      <c r="Q48" s="34">
        <v>0.0</v>
      </c>
      <c r="R48" s="34">
        <v>100.0</v>
      </c>
      <c r="S48" s="34">
        <v>0.0</v>
      </c>
      <c r="T48" s="34">
        <v>0.0</v>
      </c>
      <c r="U48" s="33">
        <f>COUNTIFS('Data For Calculation - Insuranc'!A:A,A48,'Data For Calculation - Insuranc'!E:E,"CPA + RSA + AHDC + DOC")</f>
        <v>0</v>
      </c>
      <c r="V48" s="30" t="s">
        <v>3820</v>
      </c>
      <c r="W48" s="34">
        <v>838.99</v>
      </c>
      <c r="X48" s="34" t="s">
        <v>3853</v>
      </c>
      <c r="Y48" s="34">
        <v>0.0</v>
      </c>
      <c r="Z48" s="34">
        <v>100.0</v>
      </c>
      <c r="AA48" s="34">
        <v>0.0</v>
      </c>
      <c r="AB48" s="34">
        <v>0.0</v>
      </c>
      <c r="AC48" s="33">
        <f>COUNTIFS('Data For Calculation - Insuranc'!A:A,A48,'Data For Calculation - Insuranc'!E:E,"CPA + RSA : 5 Years")</f>
        <v>0</v>
      </c>
      <c r="AD48" s="30" t="s">
        <v>3820</v>
      </c>
      <c r="AE48" s="31">
        <v>838.99</v>
      </c>
      <c r="AF48" s="34" t="s">
        <v>3853</v>
      </c>
      <c r="AG48" s="34">
        <v>0.0</v>
      </c>
      <c r="AH48" s="34">
        <v>100.0</v>
      </c>
      <c r="AI48" s="34">
        <v>0.0</v>
      </c>
      <c r="AJ48" s="34">
        <v>0.0</v>
      </c>
      <c r="AK48" s="33">
        <f>COUNTIFS('Data For Calculation - Insuranc'!A:A,A48,'Data For Calculation - Insuranc'!E:E,"Assistance + CPA : 5 Years")</f>
        <v>0</v>
      </c>
      <c r="AL48" s="30" t="s">
        <v>3820</v>
      </c>
      <c r="AM48" s="31">
        <v>290.0</v>
      </c>
      <c r="AN48" s="34" t="s">
        <v>3853</v>
      </c>
      <c r="AO48" s="34">
        <v>0.0</v>
      </c>
      <c r="AP48" s="34">
        <v>100.0</v>
      </c>
      <c r="AQ48" s="34">
        <v>0.0</v>
      </c>
      <c r="AR48" s="34">
        <v>0.0</v>
      </c>
      <c r="AS48" s="33">
        <f>COUNTIFS('Data For Calculation - Insuranc'!A:A,A48,'Data For Calculation - Insuranc'!E:E,"RSA + AHDC + DOC")</f>
        <v>0</v>
      </c>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33">
        <f t="shared" si="1"/>
        <v>0</v>
      </c>
      <c r="BS48" s="33">
        <f>SUMIFS('Data For Calculation - Insuranc'!I:I,'Data For Calculation - Insuranc'!$A:$A,$A48)</f>
        <v>0</v>
      </c>
      <c r="BT48" s="33">
        <f>SUMIFS('Data For Calculation - Insuranc'!J:J,'Data For Calculation - Insuranc'!$A:$A,$A48)</f>
        <v>0</v>
      </c>
      <c r="BU48" s="33">
        <f>SUMIFS('Data For Calculation - Insuranc'!K:K,'Data For Calculation - Insuranc'!$A:$A,$A48)</f>
        <v>0</v>
      </c>
      <c r="BV48" s="33">
        <f>IF($CC48 = "Dealer", SUMIFS('Data For Calculation - Insuranc'!I:I,'Data For Calculation - Insuranc'!$B:$B,$A48,'Data For Calculation - Insuranc'!$H:$H,"Master Dealer")) + SUMIFS('Data For Calculation - Insuranc'!I:I,'Data For Calculation - Insuranc'!$A:$A,$A48,'Data For Calculation - Insuranc'!$H:$H,"Self")</f>
        <v>0</v>
      </c>
      <c r="BW48" s="33">
        <f>IF($CC48 = "Dealer", SUMIFS('Data For Calculation - Insuranc'!J:J,'Data For Calculation - Insuranc'!$B:$B,$A48,'Data For Calculation - Insuranc'!$H:$H,"Master Dealer")) + SUMIFS('Data For Calculation - Insuranc'!J:J,'Data For Calculation - Insuranc'!$A:$A,$A48,'Data For Calculation - Insuranc'!$H:$H,"Self")</f>
        <v>0</v>
      </c>
      <c r="BX48" s="33">
        <f>IF($CC48 = "Dealer", SUMIFS('Data For Calculation - Insuranc'!K:K,'Data For Calculation - Insuranc'!$B:$B,$A48,'Data For Calculation - Insuranc'!$H:$H,"Master Dealer")) + SUMIFS('Data For Calculation - Insuranc'!K:K,'Data For Calculation - Insuranc'!$A:$A,$A48,'Data For Calculation - Insuranc'!$H:$H,"Self")</f>
        <v>0</v>
      </c>
      <c r="BY48" s="25" t="str">
        <f>(Sheet1!N48)</f>
        <v>Bharat Auto - Kasganj</v>
      </c>
      <c r="BZ48" s="25" t="str">
        <f>(Sheet1!O48)</f>
        <v>14s_HeeebHqLRTUCX5FSlJ3K7aiTvnkajbPMefm6jg1M</v>
      </c>
      <c r="CA48" s="25" t="str">
        <f>(Sheet1!AV48)</f>
        <v/>
      </c>
      <c r="CB48" s="25" t="str">
        <f>(Sheet1!AW48)</f>
        <v/>
      </c>
      <c r="CC48" s="26" t="str">
        <f>(Sheet1!P48)</f>
        <v>Dealer</v>
      </c>
    </row>
    <row r="49">
      <c r="A49" s="25" t="str">
        <f>(Sheet1!A49)</f>
        <v>1IGdLk1wrvnQTH7dsivMQu4VKWg4A7FvDBYsKsxwLpsE</v>
      </c>
      <c r="B49" s="25" t="str">
        <f>(Sheet1!B49)</f>
        <v>Gupta HERO</v>
      </c>
      <c r="C49" s="30" t="str">
        <f>Sheet1!BB49</f>
        <v>No</v>
      </c>
      <c r="D49" s="30" t="s">
        <v>13</v>
      </c>
      <c r="E49" s="34" t="s">
        <v>13</v>
      </c>
      <c r="F49" s="30" t="s">
        <v>3820</v>
      </c>
      <c r="G49" s="31">
        <v>290.0</v>
      </c>
      <c r="H49" s="34" t="s">
        <v>3853</v>
      </c>
      <c r="I49" s="34">
        <v>0.0</v>
      </c>
      <c r="J49" s="34">
        <v>100.0</v>
      </c>
      <c r="K49" s="34">
        <v>0.0</v>
      </c>
      <c r="L49" s="34">
        <v>0.0</v>
      </c>
      <c r="M49" s="33">
        <f>COUNTIFS('Data For Calculation - Insuranc'!A:A,A49,'Data For Calculation - Insuranc'!E:E,"CPA + RSA")</f>
        <v>0</v>
      </c>
      <c r="N49" s="30" t="s">
        <v>3820</v>
      </c>
      <c r="O49" s="31">
        <v>460.0</v>
      </c>
      <c r="P49" s="34" t="s">
        <v>3853</v>
      </c>
      <c r="Q49" s="34">
        <v>0.0</v>
      </c>
      <c r="R49" s="34">
        <v>100.0</v>
      </c>
      <c r="S49" s="34">
        <v>0.0</v>
      </c>
      <c r="T49" s="34">
        <v>0.0</v>
      </c>
      <c r="U49" s="33">
        <f>COUNTIFS('Data For Calculation - Insuranc'!A:A,A49,'Data For Calculation - Insuranc'!E:E,"CPA + RSA + AHDC + DOC")</f>
        <v>0</v>
      </c>
      <c r="V49" s="30" t="s">
        <v>3820</v>
      </c>
      <c r="W49" s="34">
        <v>838.99</v>
      </c>
      <c r="X49" s="34" t="s">
        <v>3853</v>
      </c>
      <c r="Y49" s="34">
        <v>0.0</v>
      </c>
      <c r="Z49" s="34">
        <v>100.0</v>
      </c>
      <c r="AA49" s="34">
        <v>0.0</v>
      </c>
      <c r="AB49" s="34">
        <v>0.0</v>
      </c>
      <c r="AC49" s="33">
        <f>COUNTIFS('Data For Calculation - Insuranc'!A:A,A49,'Data For Calculation - Insuranc'!E:E,"CPA + RSA : 5 Years")</f>
        <v>0</v>
      </c>
      <c r="AD49" s="30" t="s">
        <v>3820</v>
      </c>
      <c r="AE49" s="31">
        <v>838.99</v>
      </c>
      <c r="AF49" s="34" t="s">
        <v>3853</v>
      </c>
      <c r="AG49" s="34">
        <v>0.0</v>
      </c>
      <c r="AH49" s="34">
        <v>100.0</v>
      </c>
      <c r="AI49" s="34">
        <v>0.0</v>
      </c>
      <c r="AJ49" s="34">
        <v>0.0</v>
      </c>
      <c r="AK49" s="33">
        <f>COUNTIFS('Data For Calculation - Insuranc'!A:A,A49,'Data For Calculation - Insuranc'!E:E,"Assistance + CPA : 5 Years")</f>
        <v>0</v>
      </c>
      <c r="AL49" s="30" t="s">
        <v>3820</v>
      </c>
      <c r="AM49" s="31">
        <v>290.0</v>
      </c>
      <c r="AN49" s="34" t="s">
        <v>3853</v>
      </c>
      <c r="AO49" s="34">
        <v>0.0</v>
      </c>
      <c r="AP49" s="34">
        <v>100.0</v>
      </c>
      <c r="AQ49" s="34">
        <v>0.0</v>
      </c>
      <c r="AR49" s="34">
        <v>0.0</v>
      </c>
      <c r="AS49" s="33">
        <f>COUNTIFS('Data For Calculation - Insuranc'!A:A,A49,'Data For Calculation - Insuranc'!E:E,"RSA + AHDC + DOC")</f>
        <v>0</v>
      </c>
      <c r="AT49" s="33"/>
      <c r="AU49" s="33"/>
      <c r="AV49" s="33"/>
      <c r="AW49" s="33"/>
      <c r="AX49" s="33"/>
      <c r="AY49" s="33"/>
      <c r="AZ49" s="33"/>
      <c r="BA49" s="33"/>
      <c r="BB49" s="33"/>
      <c r="BC49" s="33"/>
      <c r="BD49" s="33"/>
      <c r="BE49" s="33"/>
      <c r="BF49" s="33"/>
      <c r="BG49" s="33"/>
      <c r="BH49" s="33"/>
      <c r="BI49" s="33"/>
      <c r="BJ49" s="33"/>
      <c r="BK49" s="33"/>
      <c r="BL49" s="33"/>
      <c r="BM49" s="33"/>
      <c r="BN49" s="33"/>
      <c r="BO49" s="33"/>
      <c r="BP49" s="33"/>
      <c r="BQ49" s="33"/>
      <c r="BR49" s="33">
        <f t="shared" si="1"/>
        <v>0</v>
      </c>
      <c r="BS49" s="33">
        <f>SUMIFS('Data For Calculation - Insuranc'!I:I,'Data For Calculation - Insuranc'!$A:$A,$A49)</f>
        <v>0</v>
      </c>
      <c r="BT49" s="33">
        <f>SUMIFS('Data For Calculation - Insuranc'!J:J,'Data For Calculation - Insuranc'!$A:$A,$A49)</f>
        <v>0</v>
      </c>
      <c r="BU49" s="33">
        <f>SUMIFS('Data For Calculation - Insuranc'!K:K,'Data For Calculation - Insuranc'!$A:$A,$A49)</f>
        <v>0</v>
      </c>
      <c r="BV49" s="33">
        <f>IF($CC49 = "Dealer", SUMIFS('Data For Calculation - Insuranc'!I:I,'Data For Calculation - Insuranc'!$B:$B,$A49,'Data For Calculation - Insuranc'!$H:$H,"Master Dealer")) + SUMIFS('Data For Calculation - Insuranc'!I:I,'Data For Calculation - Insuranc'!$A:$A,$A49,'Data For Calculation - Insuranc'!$H:$H,"Self")</f>
        <v>0</v>
      </c>
      <c r="BW49" s="33">
        <f>IF($CC49 = "Dealer", SUMIFS('Data For Calculation - Insuranc'!J:J,'Data For Calculation - Insuranc'!$B:$B,$A49,'Data For Calculation - Insuranc'!$H:$H,"Master Dealer")) + SUMIFS('Data For Calculation - Insuranc'!J:J,'Data For Calculation - Insuranc'!$A:$A,$A49,'Data For Calculation - Insuranc'!$H:$H,"Self")</f>
        <v>0</v>
      </c>
      <c r="BX49" s="33">
        <f>IF($CC49 = "Dealer", SUMIFS('Data For Calculation - Insuranc'!K:K,'Data For Calculation - Insuranc'!$B:$B,$A49,'Data For Calculation - Insuranc'!$H:$H,"Master Dealer")) + SUMIFS('Data For Calculation - Insuranc'!K:K,'Data For Calculation - Insuranc'!$A:$A,$A49,'Data For Calculation - Insuranc'!$H:$H,"Self")</f>
        <v>0</v>
      </c>
      <c r="BY49" s="25" t="str">
        <f>(Sheet1!N49)</f>
        <v>Gupta HERO</v>
      </c>
      <c r="BZ49" s="25" t="str">
        <f>(Sheet1!O49)</f>
        <v>1IGdLk1wrvnQTH7dsivMQu4VKWg4A7FvDBYsKsxwLpsE</v>
      </c>
      <c r="CA49" s="25" t="str">
        <f>(Sheet1!AV49)</f>
        <v/>
      </c>
      <c r="CB49" s="25" t="str">
        <f>(Sheet1!AW49)</f>
        <v/>
      </c>
      <c r="CC49" s="26" t="str">
        <f>(Sheet1!P49)</f>
        <v>Dealer</v>
      </c>
    </row>
    <row r="50">
      <c r="A50" s="25" t="str">
        <f>(Sheet1!A50)</f>
        <v>1MBxpc-2szFmqG3B_-ha57uL3XLkYoaeI5koRIOiedfw</v>
      </c>
      <c r="B50" s="25" t="str">
        <f>(Sheet1!B50)</f>
        <v>OLE MATHURA (BBW)</v>
      </c>
      <c r="C50" s="30" t="str">
        <f>Sheet1!BB50</f>
        <v>No</v>
      </c>
      <c r="D50" s="30" t="s">
        <v>13</v>
      </c>
      <c r="E50" s="34" t="s">
        <v>13</v>
      </c>
      <c r="F50" s="30" t="s">
        <v>3820</v>
      </c>
      <c r="G50" s="31">
        <v>290.0</v>
      </c>
      <c r="H50" s="34" t="s">
        <v>3853</v>
      </c>
      <c r="I50" s="34">
        <v>0.0</v>
      </c>
      <c r="J50" s="34">
        <v>100.0</v>
      </c>
      <c r="K50" s="34">
        <v>0.0</v>
      </c>
      <c r="L50" s="34">
        <v>0.0</v>
      </c>
      <c r="M50" s="33">
        <f>COUNTIFS('Data For Calculation - Insuranc'!A:A,A50,'Data For Calculation - Insuranc'!E:E,"CPA + RSA")</f>
        <v>0</v>
      </c>
      <c r="N50" s="30" t="s">
        <v>3820</v>
      </c>
      <c r="O50" s="31">
        <v>460.0</v>
      </c>
      <c r="P50" s="34" t="s">
        <v>3853</v>
      </c>
      <c r="Q50" s="34">
        <v>0.0</v>
      </c>
      <c r="R50" s="34">
        <v>100.0</v>
      </c>
      <c r="S50" s="34">
        <v>0.0</v>
      </c>
      <c r="T50" s="34">
        <v>0.0</v>
      </c>
      <c r="U50" s="33">
        <f>COUNTIFS('Data For Calculation - Insuranc'!A:A,A50,'Data For Calculation - Insuranc'!E:E,"CPA + RSA + AHDC + DOC")</f>
        <v>0</v>
      </c>
      <c r="V50" s="30" t="s">
        <v>3820</v>
      </c>
      <c r="W50" s="34">
        <v>838.99</v>
      </c>
      <c r="X50" s="34" t="s">
        <v>3853</v>
      </c>
      <c r="Y50" s="34">
        <v>0.0</v>
      </c>
      <c r="Z50" s="34">
        <v>100.0</v>
      </c>
      <c r="AA50" s="34">
        <v>0.0</v>
      </c>
      <c r="AB50" s="34">
        <v>0.0</v>
      </c>
      <c r="AC50" s="33">
        <f>COUNTIFS('Data For Calculation - Insuranc'!A:A,A50,'Data For Calculation - Insuranc'!E:E,"CPA + RSA : 5 Years")</f>
        <v>0</v>
      </c>
      <c r="AD50" s="30" t="s">
        <v>3820</v>
      </c>
      <c r="AE50" s="31">
        <v>838.99</v>
      </c>
      <c r="AF50" s="34" t="s">
        <v>3853</v>
      </c>
      <c r="AG50" s="34">
        <v>0.0</v>
      </c>
      <c r="AH50" s="34">
        <v>100.0</v>
      </c>
      <c r="AI50" s="34">
        <v>0.0</v>
      </c>
      <c r="AJ50" s="34">
        <v>0.0</v>
      </c>
      <c r="AK50" s="33">
        <f>COUNTIFS('Data For Calculation - Insuranc'!A:A,A50,'Data For Calculation - Insuranc'!E:E,"Assistance + CPA : 5 Years")</f>
        <v>0</v>
      </c>
      <c r="AL50" s="30" t="s">
        <v>3820</v>
      </c>
      <c r="AM50" s="31">
        <v>290.0</v>
      </c>
      <c r="AN50" s="34" t="s">
        <v>3853</v>
      </c>
      <c r="AO50" s="34">
        <v>0.0</v>
      </c>
      <c r="AP50" s="34">
        <v>100.0</v>
      </c>
      <c r="AQ50" s="34">
        <v>0.0</v>
      </c>
      <c r="AR50" s="34">
        <v>0.0</v>
      </c>
      <c r="AS50" s="33">
        <f>COUNTIFS('Data For Calculation - Insuranc'!A:A,A50,'Data For Calculation - Insuranc'!E:E,"RSA + AHDC + DOC")</f>
        <v>0</v>
      </c>
      <c r="AT50" s="33"/>
      <c r="AU50" s="33"/>
      <c r="AV50" s="33"/>
      <c r="AW50" s="33"/>
      <c r="AX50" s="33"/>
      <c r="AY50" s="33"/>
      <c r="AZ50" s="33"/>
      <c r="BA50" s="33"/>
      <c r="BB50" s="33"/>
      <c r="BC50" s="33"/>
      <c r="BD50" s="33"/>
      <c r="BE50" s="33"/>
      <c r="BF50" s="33"/>
      <c r="BG50" s="33"/>
      <c r="BH50" s="33"/>
      <c r="BI50" s="33"/>
      <c r="BJ50" s="33"/>
      <c r="BK50" s="33"/>
      <c r="BL50" s="33"/>
      <c r="BM50" s="33"/>
      <c r="BN50" s="33"/>
      <c r="BO50" s="33"/>
      <c r="BP50" s="33"/>
      <c r="BQ50" s="33"/>
      <c r="BR50" s="33">
        <f t="shared" si="1"/>
        <v>0</v>
      </c>
      <c r="BS50" s="33">
        <f>SUMIFS('Data For Calculation - Insuranc'!I:I,'Data For Calculation - Insuranc'!$A:$A,$A50)</f>
        <v>0</v>
      </c>
      <c r="BT50" s="33">
        <f>SUMIFS('Data For Calculation - Insuranc'!J:J,'Data For Calculation - Insuranc'!$A:$A,$A50)</f>
        <v>0</v>
      </c>
      <c r="BU50" s="33">
        <f>SUMIFS('Data For Calculation - Insuranc'!K:K,'Data For Calculation - Insuranc'!$A:$A,$A50)</f>
        <v>0</v>
      </c>
      <c r="BV50" s="33">
        <f>IF($CC50 = "Dealer", SUMIFS('Data For Calculation - Insuranc'!I:I,'Data For Calculation - Insuranc'!$B:$B,$A50,'Data For Calculation - Insuranc'!$H:$H,"Master Dealer")) + SUMIFS('Data For Calculation - Insuranc'!I:I,'Data For Calculation - Insuranc'!$A:$A,$A50,'Data For Calculation - Insuranc'!$H:$H,"Self")</f>
        <v>0</v>
      </c>
      <c r="BW50" s="33">
        <f>IF($CC50 = "Dealer", SUMIFS('Data For Calculation - Insuranc'!J:J,'Data For Calculation - Insuranc'!$B:$B,$A50,'Data For Calculation - Insuranc'!$H:$H,"Master Dealer")) + SUMIFS('Data For Calculation - Insuranc'!J:J,'Data For Calculation - Insuranc'!$A:$A,$A50,'Data For Calculation - Insuranc'!$H:$H,"Self")</f>
        <v>0</v>
      </c>
      <c r="BX50" s="33">
        <f>IF($CC50 = "Dealer", SUMIFS('Data For Calculation - Insuranc'!K:K,'Data For Calculation - Insuranc'!$B:$B,$A50,'Data For Calculation - Insuranc'!$H:$H,"Master Dealer")) + SUMIFS('Data For Calculation - Insuranc'!K:K,'Data For Calculation - Insuranc'!$A:$A,$A50,'Data For Calculation - Insuranc'!$H:$H,"Self")</f>
        <v>0</v>
      </c>
      <c r="BY50" s="25" t="str">
        <f>(Sheet1!N50)</f>
        <v>Brij Biwheelers</v>
      </c>
      <c r="BZ50" s="25" t="str">
        <f>(Sheet1!O50)</f>
        <v>1ytBGcO8tIze81xKkAa9lWDcflthsPL6SuADAXbhmuwA</v>
      </c>
      <c r="CA50" s="25" t="str">
        <f>(Sheet1!AV50)</f>
        <v/>
      </c>
      <c r="CB50" s="25" t="str">
        <f>(Sheet1!AW50)</f>
        <v/>
      </c>
      <c r="CC50" s="26" t="str">
        <f>(Sheet1!P50)</f>
        <v>Sub Dealer</v>
      </c>
    </row>
    <row r="51">
      <c r="A51" s="25" t="str">
        <f>(Sheet1!A51)</f>
        <v>1QJxVLeWFwDHR5Ssq189MMPEhhDqC6Su0kxd8dVVMql0</v>
      </c>
      <c r="B51" s="25" t="str">
        <f>(Sheet1!B51)</f>
        <v>Sarman Lal Agrawal (JMC)</v>
      </c>
      <c r="C51" s="30" t="str">
        <f>Sheet1!BB51</f>
        <v>No</v>
      </c>
      <c r="D51" s="30" t="s">
        <v>13</v>
      </c>
      <c r="E51" s="34" t="s">
        <v>13</v>
      </c>
      <c r="F51" s="30" t="s">
        <v>3820</v>
      </c>
      <c r="G51" s="31">
        <v>170.0</v>
      </c>
      <c r="H51" s="34" t="s">
        <v>3853</v>
      </c>
      <c r="I51" s="34">
        <v>0.0</v>
      </c>
      <c r="J51" s="34">
        <v>100.0</v>
      </c>
      <c r="K51" s="34">
        <v>0.0</v>
      </c>
      <c r="L51" s="34">
        <v>0.0</v>
      </c>
      <c r="M51" s="33">
        <f>COUNTIFS('Data For Calculation - Insuranc'!A:A,A51,'Data For Calculation - Insuranc'!E:E,"CPA + RSA")</f>
        <v>0</v>
      </c>
      <c r="N51" s="30" t="s">
        <v>3820</v>
      </c>
      <c r="O51" s="31">
        <v>170.0</v>
      </c>
      <c r="P51" s="34" t="s">
        <v>3853</v>
      </c>
      <c r="Q51" s="34">
        <v>0.0</v>
      </c>
      <c r="R51" s="34">
        <v>100.0</v>
      </c>
      <c r="S51" s="34">
        <v>0.0</v>
      </c>
      <c r="T51" s="34">
        <v>0.0</v>
      </c>
      <c r="U51" s="33">
        <f>COUNTIFS('Data For Calculation - Insuranc'!A:A,A51,'Data For Calculation - Insuranc'!E:E,"CPA + RSA + AHDC + DOC")</f>
        <v>0</v>
      </c>
      <c r="V51" s="30" t="s">
        <v>3820</v>
      </c>
      <c r="W51" s="34">
        <v>838.99</v>
      </c>
      <c r="X51" s="34" t="s">
        <v>3853</v>
      </c>
      <c r="Y51" s="34">
        <v>0.0</v>
      </c>
      <c r="Z51" s="34">
        <v>100.0</v>
      </c>
      <c r="AA51" s="34">
        <v>0.0</v>
      </c>
      <c r="AB51" s="34">
        <v>0.0</v>
      </c>
      <c r="AC51" s="33">
        <f>COUNTIFS('Data For Calculation - Insuranc'!A:A,A51,'Data For Calculation - Insuranc'!E:E,"CPA + RSA : 5 Years")</f>
        <v>0</v>
      </c>
      <c r="AD51" s="30" t="s">
        <v>3820</v>
      </c>
      <c r="AE51" s="31">
        <v>838.99</v>
      </c>
      <c r="AF51" s="34" t="s">
        <v>3853</v>
      </c>
      <c r="AG51" s="34">
        <v>0.0</v>
      </c>
      <c r="AH51" s="34">
        <v>100.0</v>
      </c>
      <c r="AI51" s="34">
        <v>0.0</v>
      </c>
      <c r="AJ51" s="34">
        <v>0.0</v>
      </c>
      <c r="AK51" s="33">
        <f>COUNTIFS('Data For Calculation - Insuranc'!A:A,A51,'Data For Calculation - Insuranc'!E:E,"Assistance + CPA : 5 Years")</f>
        <v>0</v>
      </c>
      <c r="AL51" s="30" t="s">
        <v>3820</v>
      </c>
      <c r="AM51" s="31">
        <v>290.0</v>
      </c>
      <c r="AN51" s="34" t="s">
        <v>3853</v>
      </c>
      <c r="AO51" s="34">
        <v>0.0</v>
      </c>
      <c r="AP51" s="34">
        <v>100.0</v>
      </c>
      <c r="AQ51" s="34">
        <v>0.0</v>
      </c>
      <c r="AR51" s="34">
        <v>0.0</v>
      </c>
      <c r="AS51" s="33">
        <f>COUNTIFS('Data For Calculation - Insuranc'!A:A,A51,'Data For Calculation - Insuranc'!E:E,"RSA + AHDC + DOC")</f>
        <v>0</v>
      </c>
      <c r="AT51" s="33"/>
      <c r="AU51" s="33"/>
      <c r="AV51" s="33"/>
      <c r="AW51" s="33"/>
      <c r="AX51" s="33"/>
      <c r="AY51" s="33"/>
      <c r="AZ51" s="33"/>
      <c r="BA51" s="33"/>
      <c r="BB51" s="33"/>
      <c r="BC51" s="33"/>
      <c r="BD51" s="33"/>
      <c r="BE51" s="33"/>
      <c r="BF51" s="33"/>
      <c r="BG51" s="33"/>
      <c r="BH51" s="33"/>
      <c r="BI51" s="33"/>
      <c r="BJ51" s="33"/>
      <c r="BK51" s="33"/>
      <c r="BL51" s="33"/>
      <c r="BM51" s="33"/>
      <c r="BN51" s="33"/>
      <c r="BO51" s="33"/>
      <c r="BP51" s="33"/>
      <c r="BQ51" s="33"/>
      <c r="BR51" s="33">
        <f t="shared" si="1"/>
        <v>0</v>
      </c>
      <c r="BS51" s="33">
        <f>SUMIFS('Data For Calculation - Insuranc'!I:I,'Data For Calculation - Insuranc'!$A:$A,$A51)</f>
        <v>0</v>
      </c>
      <c r="BT51" s="33">
        <f>SUMIFS('Data For Calculation - Insuranc'!J:J,'Data For Calculation - Insuranc'!$A:$A,$A51)</f>
        <v>0</v>
      </c>
      <c r="BU51" s="33">
        <f>SUMIFS('Data For Calculation - Insuranc'!K:K,'Data For Calculation - Insuranc'!$A:$A,$A51)</f>
        <v>0</v>
      </c>
      <c r="BV51" s="33">
        <f>IF($CC51 = "Dealer", SUMIFS('Data For Calculation - Insuranc'!I:I,'Data For Calculation - Insuranc'!$B:$B,$A51,'Data For Calculation - Insuranc'!$H:$H,"Master Dealer")) + SUMIFS('Data For Calculation - Insuranc'!I:I,'Data For Calculation - Insuranc'!$A:$A,$A51,'Data For Calculation - Insuranc'!$H:$H,"Self")</f>
        <v>0</v>
      </c>
      <c r="BW51" s="33">
        <f>IF($CC51 = "Dealer", SUMIFS('Data For Calculation - Insuranc'!J:J,'Data For Calculation - Insuranc'!$B:$B,$A51,'Data For Calculation - Insuranc'!$H:$H,"Master Dealer")) + SUMIFS('Data For Calculation - Insuranc'!J:J,'Data For Calculation - Insuranc'!$A:$A,$A51,'Data For Calculation - Insuranc'!$H:$H,"Self")</f>
        <v>0</v>
      </c>
      <c r="BX51" s="33">
        <f>IF($CC51 = "Dealer", SUMIFS('Data For Calculation - Insuranc'!K:K,'Data For Calculation - Insuranc'!$B:$B,$A51,'Data For Calculation - Insuranc'!$H:$H,"Master Dealer")) + SUMIFS('Data For Calculation - Insuranc'!K:K,'Data For Calculation - Insuranc'!$A:$A,$A51,'Data For Calculation - Insuranc'!$H:$H,"Self")</f>
        <v>0</v>
      </c>
      <c r="BY51" s="25" t="str">
        <f>(Sheet1!N51)</f>
        <v>Jain Motorcycle Company</v>
      </c>
      <c r="BZ51" s="25" t="str">
        <f>(Sheet1!O51)</f>
        <v>184Y3L-ZLT7vcLiFDItIcLa-18phpzEbgBCBDgt_LGCQ</v>
      </c>
      <c r="CA51" s="25" t="str">
        <f>(Sheet1!AV51)</f>
        <v/>
      </c>
      <c r="CB51" s="25" t="str">
        <f>(Sheet1!AW51)</f>
        <v/>
      </c>
      <c r="CC51" s="26" t="str">
        <f>(Sheet1!P51)</f>
        <v>Sub Dealer</v>
      </c>
    </row>
    <row r="52">
      <c r="A52" s="25" t="str">
        <f>(Sheet1!A52)</f>
        <v>1csqV0P6rAjfUqgWrDmILPq5QMP6GfGOsFVhZ25vdQsw</v>
      </c>
      <c r="B52" s="25" t="str">
        <f>(Sheet1!B52)</f>
        <v>Kiran TVS - Meerut</v>
      </c>
      <c r="C52" s="30" t="str">
        <f>Sheet1!BB52</f>
        <v>No</v>
      </c>
      <c r="D52" s="30" t="s">
        <v>13</v>
      </c>
      <c r="E52" s="34" t="s">
        <v>13</v>
      </c>
      <c r="F52" s="30" t="s">
        <v>3817</v>
      </c>
      <c r="G52" s="31">
        <v>290.0</v>
      </c>
      <c r="H52" s="34" t="s">
        <v>3853</v>
      </c>
      <c r="I52" s="34">
        <v>0.0</v>
      </c>
      <c r="J52" s="34">
        <v>100.0</v>
      </c>
      <c r="K52" s="34">
        <v>0.0</v>
      </c>
      <c r="L52" s="34">
        <v>0.0</v>
      </c>
      <c r="M52" s="33">
        <f>COUNTIFS('Data For Calculation - Insuranc'!A:A,A52,'Data For Calculation - Insuranc'!E:E,"CPA + RSA")</f>
        <v>0</v>
      </c>
      <c r="N52" s="30" t="s">
        <v>3817</v>
      </c>
      <c r="O52" s="31">
        <v>460.0</v>
      </c>
      <c r="P52" s="34" t="s">
        <v>3853</v>
      </c>
      <c r="Q52" s="34">
        <v>0.0</v>
      </c>
      <c r="R52" s="34">
        <v>100.0</v>
      </c>
      <c r="S52" s="34">
        <v>0.0</v>
      </c>
      <c r="T52" s="34">
        <v>0.0</v>
      </c>
      <c r="U52" s="33">
        <f>COUNTIFS('Data For Calculation - Insuranc'!A:A,A52,'Data For Calculation - Insuranc'!E:E,"CPA + RSA + AHDC + DOC")</f>
        <v>0</v>
      </c>
      <c r="V52" s="30" t="s">
        <v>3817</v>
      </c>
      <c r="W52" s="34">
        <v>838.99</v>
      </c>
      <c r="X52" s="34" t="s">
        <v>3853</v>
      </c>
      <c r="Y52" s="34">
        <v>0.0</v>
      </c>
      <c r="Z52" s="34">
        <v>100.0</v>
      </c>
      <c r="AA52" s="34">
        <v>0.0</v>
      </c>
      <c r="AB52" s="34">
        <v>0.0</v>
      </c>
      <c r="AC52" s="33">
        <f>COUNTIFS('Data For Calculation - Insuranc'!A:A,A52,'Data For Calculation - Insuranc'!E:E,"CPA + RSA : 5 Years")</f>
        <v>0</v>
      </c>
      <c r="AD52" s="30" t="s">
        <v>3817</v>
      </c>
      <c r="AE52" s="31">
        <v>838.99</v>
      </c>
      <c r="AF52" s="34" t="s">
        <v>3853</v>
      </c>
      <c r="AG52" s="34">
        <v>0.0</v>
      </c>
      <c r="AH52" s="34">
        <v>100.0</v>
      </c>
      <c r="AI52" s="34">
        <v>0.0</v>
      </c>
      <c r="AJ52" s="34">
        <v>0.0</v>
      </c>
      <c r="AK52" s="33">
        <f>COUNTIFS('Data For Calculation - Insuranc'!A:A,A52,'Data For Calculation - Insuranc'!E:E,"Assistance + CPA : 5 Years")</f>
        <v>0</v>
      </c>
      <c r="AL52" s="30" t="s">
        <v>3817</v>
      </c>
      <c r="AM52" s="31">
        <v>290.0</v>
      </c>
      <c r="AN52" s="34" t="s">
        <v>3853</v>
      </c>
      <c r="AO52" s="34">
        <v>0.0</v>
      </c>
      <c r="AP52" s="34">
        <v>100.0</v>
      </c>
      <c r="AQ52" s="34">
        <v>0.0</v>
      </c>
      <c r="AR52" s="34">
        <v>0.0</v>
      </c>
      <c r="AS52" s="33">
        <f>COUNTIFS('Data For Calculation - Insuranc'!A:A,A52,'Data For Calculation - Insuranc'!E:E,"RSA + AHDC + DOC")</f>
        <v>0</v>
      </c>
      <c r="AT52" s="33"/>
      <c r="AU52" s="33"/>
      <c r="AV52" s="33"/>
      <c r="AW52" s="33"/>
      <c r="AX52" s="33"/>
      <c r="AY52" s="33"/>
      <c r="AZ52" s="33"/>
      <c r="BA52" s="33"/>
      <c r="BB52" s="33"/>
      <c r="BC52" s="33"/>
      <c r="BD52" s="33"/>
      <c r="BE52" s="33"/>
      <c r="BF52" s="33"/>
      <c r="BG52" s="33"/>
      <c r="BH52" s="33"/>
      <c r="BI52" s="33"/>
      <c r="BJ52" s="33"/>
      <c r="BK52" s="33"/>
      <c r="BL52" s="33"/>
      <c r="BM52" s="33"/>
      <c r="BN52" s="33"/>
      <c r="BO52" s="33"/>
      <c r="BP52" s="33"/>
      <c r="BQ52" s="33"/>
      <c r="BR52" s="33">
        <f t="shared" si="1"/>
        <v>0</v>
      </c>
      <c r="BS52" s="33">
        <f>SUMIFS('Data For Calculation - Insuranc'!I:I,'Data For Calculation - Insuranc'!$A:$A,$A52)</f>
        <v>0</v>
      </c>
      <c r="BT52" s="33">
        <f>SUMIFS('Data For Calculation - Insuranc'!J:J,'Data For Calculation - Insuranc'!$A:$A,$A52)</f>
        <v>0</v>
      </c>
      <c r="BU52" s="33">
        <f>SUMIFS('Data For Calculation - Insuranc'!K:K,'Data For Calculation - Insuranc'!$A:$A,$A52)</f>
        <v>0</v>
      </c>
      <c r="BV52" s="33">
        <f>IF($CC52 = "Dealer", SUMIFS('Data For Calculation - Insuranc'!I:I,'Data For Calculation - Insuranc'!$B:$B,$A52,'Data For Calculation - Insuranc'!$H:$H,"Master Dealer")) + SUMIFS('Data For Calculation - Insuranc'!I:I,'Data For Calculation - Insuranc'!$A:$A,$A52,'Data For Calculation - Insuranc'!$H:$H,"Self")</f>
        <v>0</v>
      </c>
      <c r="BW52" s="33">
        <f>IF($CC52 = "Dealer", SUMIFS('Data For Calculation - Insuranc'!J:J,'Data For Calculation - Insuranc'!$B:$B,$A52,'Data For Calculation - Insuranc'!$H:$H,"Master Dealer")) + SUMIFS('Data For Calculation - Insuranc'!J:J,'Data For Calculation - Insuranc'!$A:$A,$A52,'Data For Calculation - Insuranc'!$H:$H,"Self")</f>
        <v>0</v>
      </c>
      <c r="BX52" s="33">
        <f>IF($CC52 = "Dealer", SUMIFS('Data For Calculation - Insuranc'!K:K,'Data For Calculation - Insuranc'!$B:$B,$A52,'Data For Calculation - Insuranc'!$H:$H,"Master Dealer")) + SUMIFS('Data For Calculation - Insuranc'!K:K,'Data For Calculation - Insuranc'!$A:$A,$A52,'Data For Calculation - Insuranc'!$H:$H,"Self")</f>
        <v>0</v>
      </c>
      <c r="BY52" s="25" t="str">
        <f>(Sheet1!N52)</f>
        <v>Kiran TVS - Meerut</v>
      </c>
      <c r="BZ52" s="25" t="str">
        <f>(Sheet1!O52)</f>
        <v>1csqV0P6rAjfUqgWrDmILPq5QMP6GfGOsFVhZ25vdQsw</v>
      </c>
      <c r="CA52" s="25" t="str">
        <f>(Sheet1!AV52)</f>
        <v/>
      </c>
      <c r="CB52" s="25" t="str">
        <f>(Sheet1!AW52)</f>
        <v/>
      </c>
      <c r="CC52" s="26" t="str">
        <f>(Sheet1!P52)</f>
        <v>Dealer</v>
      </c>
    </row>
    <row r="53">
      <c r="A53" s="25" t="str">
        <f>(Sheet1!A53)</f>
        <v>1LiAiRR9BTHdMZEU0Z7g2BJlBE_7_a2qafAw9zkJ1c8U</v>
      </c>
      <c r="B53" s="25" t="str">
        <f>(Sheet1!B53)</f>
        <v>Namokar Honda - Meerut</v>
      </c>
      <c r="C53" s="30" t="str">
        <f>Sheet1!BB53</f>
        <v>No</v>
      </c>
      <c r="D53" s="30" t="s">
        <v>13</v>
      </c>
      <c r="E53" s="34" t="s">
        <v>13</v>
      </c>
      <c r="F53" s="30" t="s">
        <v>3817</v>
      </c>
      <c r="G53" s="31">
        <v>290.0</v>
      </c>
      <c r="H53" s="34" t="s">
        <v>3853</v>
      </c>
      <c r="I53" s="34">
        <v>0.0</v>
      </c>
      <c r="J53" s="34">
        <v>100.0</v>
      </c>
      <c r="K53" s="34">
        <v>0.0</v>
      </c>
      <c r="L53" s="34">
        <v>0.0</v>
      </c>
      <c r="M53" s="33">
        <f>COUNTIFS('Data For Calculation - Insuranc'!A:A,A53,'Data For Calculation - Insuranc'!E:E,"CPA + RSA")</f>
        <v>0</v>
      </c>
      <c r="N53" s="30" t="s">
        <v>3817</v>
      </c>
      <c r="O53" s="31">
        <v>460.0</v>
      </c>
      <c r="P53" s="34" t="s">
        <v>3853</v>
      </c>
      <c r="Q53" s="34">
        <v>0.0</v>
      </c>
      <c r="R53" s="34">
        <v>100.0</v>
      </c>
      <c r="S53" s="34">
        <v>0.0</v>
      </c>
      <c r="T53" s="34">
        <v>0.0</v>
      </c>
      <c r="U53" s="33">
        <f>COUNTIFS('Data For Calculation - Insuranc'!A:A,A53,'Data For Calculation - Insuranc'!E:E,"CPA + RSA + AHDC + DOC")</f>
        <v>0</v>
      </c>
      <c r="V53" s="30" t="s">
        <v>3817</v>
      </c>
      <c r="W53" s="34">
        <v>838.99</v>
      </c>
      <c r="X53" s="34" t="s">
        <v>3853</v>
      </c>
      <c r="Y53" s="34">
        <v>0.0</v>
      </c>
      <c r="Z53" s="34">
        <v>100.0</v>
      </c>
      <c r="AA53" s="34">
        <v>0.0</v>
      </c>
      <c r="AB53" s="34">
        <v>0.0</v>
      </c>
      <c r="AC53" s="33">
        <f>COUNTIFS('Data For Calculation - Insuranc'!A:A,A53,'Data For Calculation - Insuranc'!E:E,"CPA + RSA : 5 Years")</f>
        <v>0</v>
      </c>
      <c r="AD53" s="30" t="s">
        <v>3817</v>
      </c>
      <c r="AE53" s="31">
        <v>838.99</v>
      </c>
      <c r="AF53" s="34" t="s">
        <v>3853</v>
      </c>
      <c r="AG53" s="34">
        <v>0.0</v>
      </c>
      <c r="AH53" s="34">
        <v>100.0</v>
      </c>
      <c r="AI53" s="34">
        <v>0.0</v>
      </c>
      <c r="AJ53" s="34">
        <v>0.0</v>
      </c>
      <c r="AK53" s="33">
        <f>COUNTIFS('Data For Calculation - Insuranc'!A:A,A53,'Data For Calculation - Insuranc'!E:E,"Assistance + CPA : 5 Years")</f>
        <v>0</v>
      </c>
      <c r="AL53" s="30" t="s">
        <v>3817</v>
      </c>
      <c r="AM53" s="31">
        <v>290.0</v>
      </c>
      <c r="AN53" s="34" t="s">
        <v>3853</v>
      </c>
      <c r="AO53" s="34">
        <v>0.0</v>
      </c>
      <c r="AP53" s="34">
        <v>100.0</v>
      </c>
      <c r="AQ53" s="34">
        <v>0.0</v>
      </c>
      <c r="AR53" s="34">
        <v>0.0</v>
      </c>
      <c r="AS53" s="33">
        <f>COUNTIFS('Data For Calculation - Insuranc'!A:A,A53,'Data For Calculation - Insuranc'!E:E,"RSA + AHDC + DOC")</f>
        <v>0</v>
      </c>
      <c r="AT53" s="33"/>
      <c r="AU53" s="33"/>
      <c r="AV53" s="33"/>
      <c r="AW53" s="33"/>
      <c r="AX53" s="33"/>
      <c r="AY53" s="33"/>
      <c r="AZ53" s="33"/>
      <c r="BA53" s="33"/>
      <c r="BB53" s="33"/>
      <c r="BC53" s="33"/>
      <c r="BD53" s="33"/>
      <c r="BE53" s="33"/>
      <c r="BF53" s="33"/>
      <c r="BG53" s="33"/>
      <c r="BH53" s="33"/>
      <c r="BI53" s="33"/>
      <c r="BJ53" s="33"/>
      <c r="BK53" s="33"/>
      <c r="BL53" s="33"/>
      <c r="BM53" s="33"/>
      <c r="BN53" s="33"/>
      <c r="BO53" s="33"/>
      <c r="BP53" s="33"/>
      <c r="BQ53" s="33"/>
      <c r="BR53" s="33">
        <f t="shared" si="1"/>
        <v>0</v>
      </c>
      <c r="BS53" s="33">
        <f>SUMIFS('Data For Calculation - Insuranc'!I:I,'Data For Calculation - Insuranc'!$A:$A,$A53)</f>
        <v>0</v>
      </c>
      <c r="BT53" s="33">
        <f>SUMIFS('Data For Calculation - Insuranc'!J:J,'Data For Calculation - Insuranc'!$A:$A,$A53)</f>
        <v>0</v>
      </c>
      <c r="BU53" s="33">
        <f>SUMIFS('Data For Calculation - Insuranc'!K:K,'Data For Calculation - Insuranc'!$A:$A,$A53)</f>
        <v>0</v>
      </c>
      <c r="BV53" s="33">
        <f>IF($CC53 = "Dealer", SUMIFS('Data For Calculation - Insuranc'!I:I,'Data For Calculation - Insuranc'!$B:$B,$A53,'Data For Calculation - Insuranc'!$H:$H,"Master Dealer")) + SUMIFS('Data For Calculation - Insuranc'!I:I,'Data For Calculation - Insuranc'!$A:$A,$A53,'Data For Calculation - Insuranc'!$H:$H,"Self")</f>
        <v>0</v>
      </c>
      <c r="BW53" s="33">
        <f>IF($CC53 = "Dealer", SUMIFS('Data For Calculation - Insuranc'!J:J,'Data For Calculation - Insuranc'!$B:$B,$A53,'Data For Calculation - Insuranc'!$H:$H,"Master Dealer")) + SUMIFS('Data For Calculation - Insuranc'!J:J,'Data For Calculation - Insuranc'!$A:$A,$A53,'Data For Calculation - Insuranc'!$H:$H,"Self")</f>
        <v>0</v>
      </c>
      <c r="BX53" s="33">
        <f>IF($CC53 = "Dealer", SUMIFS('Data For Calculation - Insuranc'!K:K,'Data For Calculation - Insuranc'!$B:$B,$A53,'Data For Calculation - Insuranc'!$H:$H,"Master Dealer")) + SUMIFS('Data For Calculation - Insuranc'!K:K,'Data For Calculation - Insuranc'!$A:$A,$A53,'Data For Calculation - Insuranc'!$H:$H,"Self")</f>
        <v>0</v>
      </c>
      <c r="BY53" s="25" t="str">
        <f>(Sheet1!N53)</f>
        <v>Namokar Honda - Meerut</v>
      </c>
      <c r="BZ53" s="25" t="str">
        <f>(Sheet1!O53)</f>
        <v>1LiAiRR9BTHdMZEU0Z7g2BJlBE_7_a2qafAw9zkJ1c8U</v>
      </c>
      <c r="CA53" s="25" t="str">
        <f>(Sheet1!AV53)</f>
        <v/>
      </c>
      <c r="CB53" s="25" t="str">
        <f>(Sheet1!AW53)</f>
        <v/>
      </c>
      <c r="CC53" s="26" t="str">
        <f>(Sheet1!P53)</f>
        <v>Dealer</v>
      </c>
    </row>
    <row r="54">
      <c r="A54" s="25" t="str">
        <f>(Sheet1!A54)</f>
        <v>11i_cNFE5Ehj2PGllhMsAFP46O_rn6I78xO4mvWr7hEo</v>
      </c>
      <c r="B54" s="25" t="str">
        <f>(Sheet1!B54)</f>
        <v>Shree Shiv Shakti Hero - Meerut</v>
      </c>
      <c r="C54" s="30" t="str">
        <f>Sheet1!BB54</f>
        <v>No</v>
      </c>
      <c r="D54" s="30" t="s">
        <v>13</v>
      </c>
      <c r="E54" s="34" t="s">
        <v>13</v>
      </c>
      <c r="F54" s="30" t="s">
        <v>3856</v>
      </c>
      <c r="G54" s="31">
        <v>290.0</v>
      </c>
      <c r="H54" s="34" t="s">
        <v>3853</v>
      </c>
      <c r="I54" s="34">
        <v>0.0</v>
      </c>
      <c r="J54" s="34">
        <v>100.0</v>
      </c>
      <c r="K54" s="34">
        <v>0.0</v>
      </c>
      <c r="L54" s="34">
        <v>0.0</v>
      </c>
      <c r="M54" s="33">
        <f>COUNTIFS('Data For Calculation - Insuranc'!A:A,A54,'Data For Calculation - Insuranc'!E:E,"CPA + RSA")</f>
        <v>0</v>
      </c>
      <c r="N54" s="30" t="s">
        <v>3856</v>
      </c>
      <c r="O54" s="31">
        <v>340.0</v>
      </c>
      <c r="P54" s="34" t="s">
        <v>3853</v>
      </c>
      <c r="Q54" s="34">
        <v>0.0</v>
      </c>
      <c r="R54" s="34">
        <v>100.0</v>
      </c>
      <c r="S54" s="34">
        <v>0.0</v>
      </c>
      <c r="T54" s="34">
        <v>0.0</v>
      </c>
      <c r="U54" s="33">
        <f>COUNTIFS('Data For Calculation - Insuranc'!A:A,A54,'Data For Calculation - Insuranc'!E:E,"CPA + RSA + AHDC + DOC")</f>
        <v>0</v>
      </c>
      <c r="V54" s="30" t="s">
        <v>3856</v>
      </c>
      <c r="W54" s="34">
        <v>838.99</v>
      </c>
      <c r="X54" s="34" t="s">
        <v>3853</v>
      </c>
      <c r="Y54" s="34">
        <v>0.0</v>
      </c>
      <c r="Z54" s="34">
        <v>100.0</v>
      </c>
      <c r="AA54" s="34">
        <v>0.0</v>
      </c>
      <c r="AB54" s="34">
        <v>0.0</v>
      </c>
      <c r="AC54" s="33">
        <f>COUNTIFS('Data For Calculation - Insuranc'!A:A,A54,'Data For Calculation - Insuranc'!E:E,"CPA + RSA : 5 Years")</f>
        <v>0</v>
      </c>
      <c r="AD54" s="30" t="s">
        <v>3856</v>
      </c>
      <c r="AE54" s="31">
        <v>838.99</v>
      </c>
      <c r="AF54" s="34" t="s">
        <v>3853</v>
      </c>
      <c r="AG54" s="34">
        <v>0.0</v>
      </c>
      <c r="AH54" s="34">
        <v>100.0</v>
      </c>
      <c r="AI54" s="34">
        <v>0.0</v>
      </c>
      <c r="AJ54" s="34">
        <v>0.0</v>
      </c>
      <c r="AK54" s="33">
        <f>COUNTIFS('Data For Calculation - Insuranc'!A:A,A54,'Data For Calculation - Insuranc'!E:E,"Assistance + CPA : 5 Years")</f>
        <v>0</v>
      </c>
      <c r="AL54" s="30" t="s">
        <v>3856</v>
      </c>
      <c r="AM54" s="31">
        <v>290.0</v>
      </c>
      <c r="AN54" s="34" t="s">
        <v>3853</v>
      </c>
      <c r="AO54" s="34">
        <v>0.0</v>
      </c>
      <c r="AP54" s="34">
        <v>100.0</v>
      </c>
      <c r="AQ54" s="34">
        <v>0.0</v>
      </c>
      <c r="AR54" s="34">
        <v>0.0</v>
      </c>
      <c r="AS54" s="33">
        <f>COUNTIFS('Data For Calculation - Insuranc'!A:A,A54,'Data For Calculation - Insuranc'!E:E,"RSA + AHDC + DOC")</f>
        <v>0</v>
      </c>
      <c r="AT54" s="33"/>
      <c r="AU54" s="33"/>
      <c r="AV54" s="33"/>
      <c r="AW54" s="33"/>
      <c r="AX54" s="33"/>
      <c r="AY54" s="33"/>
      <c r="AZ54" s="33"/>
      <c r="BA54" s="33"/>
      <c r="BB54" s="33"/>
      <c r="BC54" s="33"/>
      <c r="BD54" s="33"/>
      <c r="BE54" s="33"/>
      <c r="BF54" s="33"/>
      <c r="BG54" s="33"/>
      <c r="BH54" s="33"/>
      <c r="BI54" s="33"/>
      <c r="BJ54" s="33"/>
      <c r="BK54" s="33"/>
      <c r="BL54" s="33"/>
      <c r="BM54" s="33"/>
      <c r="BN54" s="33"/>
      <c r="BO54" s="33"/>
      <c r="BP54" s="33"/>
      <c r="BQ54" s="33"/>
      <c r="BR54" s="33">
        <f t="shared" si="1"/>
        <v>0</v>
      </c>
      <c r="BS54" s="33">
        <f>SUMIFS('Data For Calculation - Insuranc'!I:I,'Data For Calculation - Insuranc'!$A:$A,$A54)</f>
        <v>0</v>
      </c>
      <c r="BT54" s="33">
        <f>SUMIFS('Data For Calculation - Insuranc'!J:J,'Data For Calculation - Insuranc'!$A:$A,$A54)</f>
        <v>0</v>
      </c>
      <c r="BU54" s="33">
        <f>SUMIFS('Data For Calculation - Insuranc'!K:K,'Data For Calculation - Insuranc'!$A:$A,$A54)</f>
        <v>0</v>
      </c>
      <c r="BV54" s="33">
        <f>IF($CC54 = "Dealer", SUMIFS('Data For Calculation - Insuranc'!I:I,'Data For Calculation - Insuranc'!$B:$B,$A54,'Data For Calculation - Insuranc'!$H:$H,"Master Dealer")) + SUMIFS('Data For Calculation - Insuranc'!I:I,'Data For Calculation - Insuranc'!$A:$A,$A54,'Data For Calculation - Insuranc'!$H:$H,"Self")</f>
        <v>0</v>
      </c>
      <c r="BW54" s="33">
        <f>IF($CC54 = "Dealer", SUMIFS('Data For Calculation - Insuranc'!J:J,'Data For Calculation - Insuranc'!$B:$B,$A54,'Data For Calculation - Insuranc'!$H:$H,"Master Dealer")) + SUMIFS('Data For Calculation - Insuranc'!J:J,'Data For Calculation - Insuranc'!$A:$A,$A54,'Data For Calculation - Insuranc'!$H:$H,"Self")</f>
        <v>0</v>
      </c>
      <c r="BX54" s="33">
        <f>IF($CC54 = "Dealer", SUMIFS('Data For Calculation - Insuranc'!K:K,'Data For Calculation - Insuranc'!$B:$B,$A54,'Data For Calculation - Insuranc'!$H:$H,"Master Dealer")) + SUMIFS('Data For Calculation - Insuranc'!K:K,'Data For Calculation - Insuranc'!$A:$A,$A54,'Data For Calculation - Insuranc'!$H:$H,"Self")</f>
        <v>0</v>
      </c>
      <c r="BY54" s="25" t="str">
        <f>(Sheet1!N54)</f>
        <v>Shree Shiv Shakti Hero - Meerut</v>
      </c>
      <c r="BZ54" s="25" t="str">
        <f>(Sheet1!O54)</f>
        <v>11i_cNFE5Ehj2PGllhMsAFP46O_rn6I78xO4mvWr7hEo</v>
      </c>
      <c r="CA54" s="25" t="str">
        <f>(Sheet1!AV54)</f>
        <v/>
      </c>
      <c r="CB54" s="25" t="str">
        <f>(Sheet1!AW54)</f>
        <v/>
      </c>
      <c r="CC54" s="26" t="str">
        <f>(Sheet1!P54)</f>
        <v>Dealer</v>
      </c>
    </row>
    <row r="55">
      <c r="A55" s="25" t="str">
        <f>(Sheet1!A55)</f>
        <v>1mX_ZCiMgVCd3AONQ2zBbbc9wQ6Mlj2RvmkSWdpWht-8</v>
      </c>
      <c r="B55" s="25" t="str">
        <f>(Sheet1!B55)</f>
        <v>Krishna Hero - Bulandshahr</v>
      </c>
      <c r="C55" s="30" t="str">
        <f>Sheet1!BB55</f>
        <v>No</v>
      </c>
      <c r="D55" s="30" t="s">
        <v>13</v>
      </c>
      <c r="E55" s="34" t="s">
        <v>13</v>
      </c>
      <c r="F55" s="30" t="s">
        <v>3856</v>
      </c>
      <c r="G55" s="31">
        <v>155.0</v>
      </c>
      <c r="H55" s="34" t="s">
        <v>3853</v>
      </c>
      <c r="I55" s="34">
        <v>0.0</v>
      </c>
      <c r="J55" s="34">
        <v>100.0</v>
      </c>
      <c r="K55" s="34">
        <v>0.0</v>
      </c>
      <c r="L55" s="34">
        <v>0.0</v>
      </c>
      <c r="M55" s="33">
        <f>COUNTIFS('Data For Calculation - Insuranc'!A:A,A55,'Data For Calculation - Insuranc'!E:E,"CPA + RSA")</f>
        <v>0</v>
      </c>
      <c r="N55" s="30" t="s">
        <v>3856</v>
      </c>
      <c r="O55" s="41">
        <v>155.0</v>
      </c>
      <c r="P55" s="34" t="s">
        <v>3853</v>
      </c>
      <c r="Q55" s="34">
        <v>0.0</v>
      </c>
      <c r="R55" s="34">
        <v>100.0</v>
      </c>
      <c r="S55" s="34">
        <v>0.0</v>
      </c>
      <c r="T55" s="34">
        <v>0.0</v>
      </c>
      <c r="U55" s="33">
        <f>COUNTIFS('Data For Calculation - Insuranc'!A:A,A55,'Data For Calculation - Insuranc'!E:E,"CPA + RSA + AHDC + DOC")</f>
        <v>0</v>
      </c>
      <c r="V55" s="30" t="s">
        <v>3856</v>
      </c>
      <c r="W55" s="34">
        <v>838.99</v>
      </c>
      <c r="X55" s="34" t="s">
        <v>3853</v>
      </c>
      <c r="Y55" s="34">
        <v>0.0</v>
      </c>
      <c r="Z55" s="34">
        <v>100.0</v>
      </c>
      <c r="AA55" s="34">
        <v>0.0</v>
      </c>
      <c r="AB55" s="34">
        <v>0.0</v>
      </c>
      <c r="AC55" s="33">
        <f>COUNTIFS('Data For Calculation - Insuranc'!A:A,A55,'Data For Calculation - Insuranc'!E:E,"CPA + RSA : 5 Years")</f>
        <v>0</v>
      </c>
      <c r="AD55" s="30" t="s">
        <v>3856</v>
      </c>
      <c r="AE55" s="31">
        <v>838.99</v>
      </c>
      <c r="AF55" s="34" t="s">
        <v>3853</v>
      </c>
      <c r="AG55" s="34">
        <v>0.0</v>
      </c>
      <c r="AH55" s="34">
        <v>100.0</v>
      </c>
      <c r="AI55" s="34">
        <v>0.0</v>
      </c>
      <c r="AJ55" s="34">
        <v>0.0</v>
      </c>
      <c r="AK55" s="33">
        <f>COUNTIFS('Data For Calculation - Insuranc'!A:A,A55,'Data For Calculation - Insuranc'!E:E,"Assistance + CPA : 5 Years")</f>
        <v>0</v>
      </c>
      <c r="AL55" s="30" t="s">
        <v>3856</v>
      </c>
      <c r="AM55" s="31">
        <v>155.0</v>
      </c>
      <c r="AN55" s="34" t="s">
        <v>3853</v>
      </c>
      <c r="AO55" s="34">
        <v>0.0</v>
      </c>
      <c r="AP55" s="34">
        <v>100.0</v>
      </c>
      <c r="AQ55" s="34">
        <v>0.0</v>
      </c>
      <c r="AR55" s="34">
        <v>0.0</v>
      </c>
      <c r="AS55" s="33">
        <f>COUNTIFS('Data For Calculation - Insuranc'!A:A,A55,'Data For Calculation - Insuranc'!E:E,"RSA + AHDC + DOC")</f>
        <v>0</v>
      </c>
      <c r="AT55" s="33"/>
      <c r="AU55" s="33"/>
      <c r="AV55" s="33"/>
      <c r="AW55" s="33"/>
      <c r="AX55" s="33"/>
      <c r="AY55" s="33"/>
      <c r="AZ55" s="33"/>
      <c r="BA55" s="33"/>
      <c r="BB55" s="33"/>
      <c r="BC55" s="33"/>
      <c r="BD55" s="33"/>
      <c r="BE55" s="33"/>
      <c r="BF55" s="33"/>
      <c r="BG55" s="33"/>
      <c r="BH55" s="33"/>
      <c r="BI55" s="33"/>
      <c r="BJ55" s="33"/>
      <c r="BK55" s="33"/>
      <c r="BL55" s="33"/>
      <c r="BM55" s="33"/>
      <c r="BN55" s="33"/>
      <c r="BO55" s="33"/>
      <c r="BP55" s="33"/>
      <c r="BQ55" s="33"/>
      <c r="BR55" s="33">
        <f t="shared" si="1"/>
        <v>0</v>
      </c>
      <c r="BS55" s="33">
        <f>SUMIFS('Data For Calculation - Insuranc'!I:I,'Data For Calculation - Insuranc'!$A:$A,$A55)</f>
        <v>0</v>
      </c>
      <c r="BT55" s="33">
        <f>SUMIFS('Data For Calculation - Insuranc'!J:J,'Data For Calculation - Insuranc'!$A:$A,$A55)</f>
        <v>0</v>
      </c>
      <c r="BU55" s="33">
        <f>SUMIFS('Data For Calculation - Insuranc'!K:K,'Data For Calculation - Insuranc'!$A:$A,$A55)</f>
        <v>0</v>
      </c>
      <c r="BV55" s="33">
        <f>IF($CC55 = "Dealer", SUMIFS('Data For Calculation - Insuranc'!I:I,'Data For Calculation - Insuranc'!$B:$B,$A55,'Data For Calculation - Insuranc'!$H:$H,"Master Dealer")) + SUMIFS('Data For Calculation - Insuranc'!I:I,'Data For Calculation - Insuranc'!$A:$A,$A55,'Data For Calculation - Insuranc'!$H:$H,"Self")</f>
        <v>0</v>
      </c>
      <c r="BW55" s="33">
        <f>IF($CC55 = "Dealer", SUMIFS('Data For Calculation - Insuranc'!J:J,'Data For Calculation - Insuranc'!$B:$B,$A55,'Data For Calculation - Insuranc'!$H:$H,"Master Dealer")) + SUMIFS('Data For Calculation - Insuranc'!J:J,'Data For Calculation - Insuranc'!$A:$A,$A55,'Data For Calculation - Insuranc'!$H:$H,"Self")</f>
        <v>0</v>
      </c>
      <c r="BX55" s="33">
        <f>IF($CC55 = "Dealer", SUMIFS('Data For Calculation - Insuranc'!K:K,'Data For Calculation - Insuranc'!$B:$B,$A55,'Data For Calculation - Insuranc'!$H:$H,"Master Dealer")) + SUMIFS('Data For Calculation - Insuranc'!K:K,'Data For Calculation - Insuranc'!$A:$A,$A55,'Data For Calculation - Insuranc'!$H:$H,"Self")</f>
        <v>0</v>
      </c>
      <c r="BY55" s="25" t="str">
        <f>(Sheet1!N55)</f>
        <v>Krishna Hero - Bulandshahr</v>
      </c>
      <c r="BZ55" s="25" t="str">
        <f>(Sheet1!O55)</f>
        <v>1mX_ZCiMgVCd3AONQ2zBbbc9wQ6Mlj2RvmkSWdpWht-8</v>
      </c>
      <c r="CA55" s="25" t="str">
        <f>(Sheet1!AV55)</f>
        <v/>
      </c>
      <c r="CB55" s="25" t="str">
        <f>(Sheet1!AW55)</f>
        <v/>
      </c>
      <c r="CC55" s="26" t="str">
        <f>(Sheet1!P55)</f>
        <v>Dealer</v>
      </c>
    </row>
    <row r="56">
      <c r="A56" s="25" t="str">
        <f>(Sheet1!A56)</f>
        <v>1ecmgrivVWy8bdxOJUWTrTjFZtV6_I7l8EtXiRkAOpIg</v>
      </c>
      <c r="B56" s="25" t="str">
        <f>(Sheet1!B56)</f>
        <v>Pradip Auto (JMC)</v>
      </c>
      <c r="C56" s="30" t="str">
        <f>Sheet1!BB56</f>
        <v>No</v>
      </c>
      <c r="D56" s="30" t="s">
        <v>13</v>
      </c>
      <c r="E56" s="34" t="s">
        <v>13</v>
      </c>
      <c r="F56" s="30" t="s">
        <v>3820</v>
      </c>
      <c r="G56" s="31">
        <v>170.0</v>
      </c>
      <c r="H56" s="34" t="s">
        <v>3853</v>
      </c>
      <c r="I56" s="34">
        <v>0.0</v>
      </c>
      <c r="J56" s="34">
        <v>100.0</v>
      </c>
      <c r="K56" s="34">
        <v>0.0</v>
      </c>
      <c r="L56" s="34">
        <v>0.0</v>
      </c>
      <c r="M56" s="33">
        <f>COUNTIFS('Data For Calculation - Insuranc'!A:A,A56,'Data For Calculation - Insuranc'!E:E,"CPA + RSA")</f>
        <v>0</v>
      </c>
      <c r="N56" s="30" t="s">
        <v>3820</v>
      </c>
      <c r="O56" s="31">
        <v>170.0</v>
      </c>
      <c r="P56" s="34" t="s">
        <v>3853</v>
      </c>
      <c r="Q56" s="34">
        <v>0.0</v>
      </c>
      <c r="R56" s="34">
        <v>100.0</v>
      </c>
      <c r="S56" s="34">
        <v>0.0</v>
      </c>
      <c r="T56" s="34">
        <v>0.0</v>
      </c>
      <c r="U56" s="33">
        <f>COUNTIFS('Data For Calculation - Insuranc'!A:A,A56,'Data For Calculation - Insuranc'!E:E,"CPA + RSA + AHDC + DOC")</f>
        <v>0</v>
      </c>
      <c r="V56" s="30" t="s">
        <v>3820</v>
      </c>
      <c r="W56" s="34">
        <v>838.99</v>
      </c>
      <c r="X56" s="34" t="s">
        <v>3853</v>
      </c>
      <c r="Y56" s="34">
        <v>0.0</v>
      </c>
      <c r="Z56" s="34">
        <v>100.0</v>
      </c>
      <c r="AA56" s="34">
        <v>0.0</v>
      </c>
      <c r="AB56" s="34">
        <v>0.0</v>
      </c>
      <c r="AC56" s="33">
        <f>COUNTIFS('Data For Calculation - Insuranc'!A:A,A56,'Data For Calculation - Insuranc'!E:E,"CPA + RSA : 5 Years")</f>
        <v>0</v>
      </c>
      <c r="AD56" s="30" t="s">
        <v>3820</v>
      </c>
      <c r="AE56" s="31">
        <v>838.99</v>
      </c>
      <c r="AF56" s="34" t="s">
        <v>3853</v>
      </c>
      <c r="AG56" s="34">
        <v>0.0</v>
      </c>
      <c r="AH56" s="34">
        <v>100.0</v>
      </c>
      <c r="AI56" s="34">
        <v>0.0</v>
      </c>
      <c r="AJ56" s="34">
        <v>0.0</v>
      </c>
      <c r="AK56" s="33">
        <f>COUNTIFS('Data For Calculation - Insuranc'!A:A,A56,'Data For Calculation - Insuranc'!E:E,"Assistance + CPA : 5 Years")</f>
        <v>0</v>
      </c>
      <c r="AL56" s="30" t="s">
        <v>3820</v>
      </c>
      <c r="AM56" s="31">
        <v>290.0</v>
      </c>
      <c r="AN56" s="34" t="s">
        <v>3853</v>
      </c>
      <c r="AO56" s="34">
        <v>0.0</v>
      </c>
      <c r="AP56" s="34">
        <v>100.0</v>
      </c>
      <c r="AQ56" s="34">
        <v>0.0</v>
      </c>
      <c r="AR56" s="34">
        <v>0.0</v>
      </c>
      <c r="AS56" s="33">
        <f>COUNTIFS('Data For Calculation - Insuranc'!A:A,A56,'Data For Calculation - Insuranc'!E:E,"RSA + AHDC + DOC")</f>
        <v>0</v>
      </c>
      <c r="AT56" s="33"/>
      <c r="AU56" s="33"/>
      <c r="AV56" s="33"/>
      <c r="AW56" s="33"/>
      <c r="AX56" s="33"/>
      <c r="AY56" s="33"/>
      <c r="AZ56" s="33"/>
      <c r="BA56" s="33"/>
      <c r="BB56" s="33"/>
      <c r="BC56" s="33"/>
      <c r="BD56" s="33"/>
      <c r="BE56" s="33"/>
      <c r="BF56" s="33"/>
      <c r="BG56" s="33"/>
      <c r="BH56" s="33"/>
      <c r="BI56" s="33"/>
      <c r="BJ56" s="33"/>
      <c r="BK56" s="33"/>
      <c r="BL56" s="33"/>
      <c r="BM56" s="33"/>
      <c r="BN56" s="33"/>
      <c r="BO56" s="33"/>
      <c r="BP56" s="33"/>
      <c r="BQ56" s="33"/>
      <c r="BR56" s="33">
        <f t="shared" si="1"/>
        <v>0</v>
      </c>
      <c r="BS56" s="33">
        <f>SUMIFS('Data For Calculation - Insuranc'!I:I,'Data For Calculation - Insuranc'!$A:$A,$A56)</f>
        <v>0</v>
      </c>
      <c r="BT56" s="33">
        <f>SUMIFS('Data For Calculation - Insuranc'!J:J,'Data For Calculation - Insuranc'!$A:$A,$A56)</f>
        <v>0</v>
      </c>
      <c r="BU56" s="33">
        <f>SUMIFS('Data For Calculation - Insuranc'!K:K,'Data For Calculation - Insuranc'!$A:$A,$A56)</f>
        <v>0</v>
      </c>
      <c r="BV56" s="33">
        <f>IF($CC56 = "Dealer", SUMIFS('Data For Calculation - Insuranc'!I:I,'Data For Calculation - Insuranc'!$B:$B,$A56,'Data For Calculation - Insuranc'!$H:$H,"Master Dealer")) + SUMIFS('Data For Calculation - Insuranc'!I:I,'Data For Calculation - Insuranc'!$A:$A,$A56,'Data For Calculation - Insuranc'!$H:$H,"Self")</f>
        <v>0</v>
      </c>
      <c r="BW56" s="33">
        <f>IF($CC56 = "Dealer", SUMIFS('Data For Calculation - Insuranc'!J:J,'Data For Calculation - Insuranc'!$B:$B,$A56,'Data For Calculation - Insuranc'!$H:$H,"Master Dealer")) + SUMIFS('Data For Calculation - Insuranc'!J:J,'Data For Calculation - Insuranc'!$A:$A,$A56,'Data For Calculation - Insuranc'!$H:$H,"Self")</f>
        <v>0</v>
      </c>
      <c r="BX56" s="33">
        <f>IF($CC56 = "Dealer", SUMIFS('Data For Calculation - Insuranc'!K:K,'Data For Calculation - Insuranc'!$B:$B,$A56,'Data For Calculation - Insuranc'!$H:$H,"Master Dealer")) + SUMIFS('Data For Calculation - Insuranc'!K:K,'Data For Calculation - Insuranc'!$A:$A,$A56,'Data For Calculation - Insuranc'!$H:$H,"Self")</f>
        <v>0</v>
      </c>
      <c r="BY56" s="25" t="str">
        <f>(Sheet1!N56)</f>
        <v>Jain Motorcycle Company</v>
      </c>
      <c r="BZ56" s="25" t="str">
        <f>(Sheet1!O56)</f>
        <v>184Y3L-ZLT7vcLiFDItIcLa-18phpzEbgBCBDgt_LGCQ</v>
      </c>
      <c r="CA56" s="25" t="str">
        <f>(Sheet1!AV56)</f>
        <v/>
      </c>
      <c r="CB56" s="25" t="str">
        <f>(Sheet1!AW56)</f>
        <v/>
      </c>
      <c r="CC56" s="26" t="str">
        <f>(Sheet1!P56)</f>
        <v>Sub Dealer</v>
      </c>
    </row>
    <row r="57">
      <c r="A57" s="25" t="str">
        <f>(Sheet1!A57)</f>
        <v>16aXNdb7stgyV46CI_ogqmp_5tjDYpkbvhkdKtyDUa8U</v>
      </c>
      <c r="B57" s="25" t="str">
        <f>(Sheet1!B57)</f>
        <v>VAW Atrauli (VAW)</v>
      </c>
      <c r="C57" s="30" t="str">
        <f>Sheet1!BB57</f>
        <v>No</v>
      </c>
      <c r="D57" s="30" t="s">
        <v>13</v>
      </c>
      <c r="E57" s="34" t="s">
        <v>13</v>
      </c>
      <c r="F57" s="30" t="s">
        <v>3820</v>
      </c>
      <c r="G57" s="31">
        <v>170.0</v>
      </c>
      <c r="H57" s="34" t="s">
        <v>3853</v>
      </c>
      <c r="I57" s="34">
        <v>0.0</v>
      </c>
      <c r="J57" s="34">
        <v>100.0</v>
      </c>
      <c r="K57" s="34">
        <v>0.0</v>
      </c>
      <c r="L57" s="34">
        <v>0.0</v>
      </c>
      <c r="M57" s="33">
        <f>COUNTIFS('Data For Calculation - Insuranc'!A:A,A57,'Data For Calculation - Insuranc'!E:E,"CPA + RSA")</f>
        <v>0</v>
      </c>
      <c r="N57" s="30" t="s">
        <v>3820</v>
      </c>
      <c r="O57" s="31">
        <v>170.0</v>
      </c>
      <c r="P57" s="34" t="s">
        <v>3853</v>
      </c>
      <c r="Q57" s="34">
        <v>0.0</v>
      </c>
      <c r="R57" s="34">
        <v>100.0</v>
      </c>
      <c r="S57" s="34">
        <v>0.0</v>
      </c>
      <c r="T57" s="34">
        <v>0.0</v>
      </c>
      <c r="U57" s="33">
        <f>COUNTIFS('Data For Calculation - Insuranc'!A:A,A57,'Data For Calculation - Insuranc'!E:E,"CPA + RSA + AHDC + DOC")</f>
        <v>0</v>
      </c>
      <c r="V57" s="30" t="s">
        <v>3820</v>
      </c>
      <c r="W57" s="34">
        <v>838.99</v>
      </c>
      <c r="X57" s="34" t="s">
        <v>3853</v>
      </c>
      <c r="Y57" s="34">
        <v>0.0</v>
      </c>
      <c r="Z57" s="34">
        <v>100.0</v>
      </c>
      <c r="AA57" s="34">
        <v>0.0</v>
      </c>
      <c r="AB57" s="34">
        <v>0.0</v>
      </c>
      <c r="AC57" s="33">
        <f>COUNTIFS('Data For Calculation - Insuranc'!A:A,A57,'Data For Calculation - Insuranc'!E:E,"CPA + RSA : 5 Years")</f>
        <v>0</v>
      </c>
      <c r="AD57" s="30" t="s">
        <v>3820</v>
      </c>
      <c r="AE57" s="31">
        <v>838.99</v>
      </c>
      <c r="AF57" s="34" t="s">
        <v>3853</v>
      </c>
      <c r="AG57" s="34">
        <v>0.0</v>
      </c>
      <c r="AH57" s="34">
        <v>100.0</v>
      </c>
      <c r="AI57" s="34">
        <v>0.0</v>
      </c>
      <c r="AJ57" s="34">
        <v>0.0</v>
      </c>
      <c r="AK57" s="33">
        <f>COUNTIFS('Data For Calculation - Insuranc'!A:A,A57,'Data For Calculation - Insuranc'!E:E,"Assistance + CPA : 5 Years")</f>
        <v>0</v>
      </c>
      <c r="AL57" s="30" t="s">
        <v>3820</v>
      </c>
      <c r="AM57" s="31">
        <v>290.0</v>
      </c>
      <c r="AN57" s="34" t="s">
        <v>3853</v>
      </c>
      <c r="AO57" s="34">
        <v>0.0</v>
      </c>
      <c r="AP57" s="34">
        <v>100.0</v>
      </c>
      <c r="AQ57" s="34">
        <v>0.0</v>
      </c>
      <c r="AR57" s="34">
        <v>0.0</v>
      </c>
      <c r="AS57" s="33">
        <f>COUNTIFS('Data For Calculation - Insuranc'!A:A,A57,'Data For Calculation - Insuranc'!E:E,"RSA + AHDC + DOC")</f>
        <v>0</v>
      </c>
      <c r="AT57" s="33"/>
      <c r="AU57" s="33"/>
      <c r="AV57" s="33"/>
      <c r="AW57" s="33"/>
      <c r="AX57" s="33"/>
      <c r="AY57" s="33"/>
      <c r="AZ57" s="33"/>
      <c r="BA57" s="33"/>
      <c r="BB57" s="33"/>
      <c r="BC57" s="33"/>
      <c r="BD57" s="33"/>
      <c r="BE57" s="33"/>
      <c r="BF57" s="33"/>
      <c r="BG57" s="33"/>
      <c r="BH57" s="33"/>
      <c r="BI57" s="33"/>
      <c r="BJ57" s="33"/>
      <c r="BK57" s="33"/>
      <c r="BL57" s="33"/>
      <c r="BM57" s="33"/>
      <c r="BN57" s="33"/>
      <c r="BO57" s="33"/>
      <c r="BP57" s="33"/>
      <c r="BQ57" s="33"/>
      <c r="BR57" s="33">
        <f t="shared" si="1"/>
        <v>0</v>
      </c>
      <c r="BS57" s="33">
        <f>SUMIFS('Data For Calculation - Insuranc'!I:I,'Data For Calculation - Insuranc'!$A:$A,$A57)</f>
        <v>0</v>
      </c>
      <c r="BT57" s="33">
        <f>SUMIFS('Data For Calculation - Insuranc'!J:J,'Data For Calculation - Insuranc'!$A:$A,$A57)</f>
        <v>0</v>
      </c>
      <c r="BU57" s="33">
        <f>SUMIFS('Data For Calculation - Insuranc'!K:K,'Data For Calculation - Insuranc'!$A:$A,$A57)</f>
        <v>0</v>
      </c>
      <c r="BV57" s="33">
        <f>IF($CC57 = "Dealer", SUMIFS('Data For Calculation - Insuranc'!I:I,'Data For Calculation - Insuranc'!$B:$B,$A57,'Data For Calculation - Insuranc'!$H:$H,"Master Dealer")) + SUMIFS('Data For Calculation - Insuranc'!I:I,'Data For Calculation - Insuranc'!$A:$A,$A57,'Data For Calculation - Insuranc'!$H:$H,"Self")</f>
        <v>0</v>
      </c>
      <c r="BW57" s="33">
        <f>IF($CC57 = "Dealer", SUMIFS('Data For Calculation - Insuranc'!J:J,'Data For Calculation - Insuranc'!$B:$B,$A57,'Data For Calculation - Insuranc'!$H:$H,"Master Dealer")) + SUMIFS('Data For Calculation - Insuranc'!J:J,'Data For Calculation - Insuranc'!$A:$A,$A57,'Data For Calculation - Insuranc'!$H:$H,"Self")</f>
        <v>0</v>
      </c>
      <c r="BX57" s="33">
        <f>IF($CC57 = "Dealer", SUMIFS('Data For Calculation - Insuranc'!K:K,'Data For Calculation - Insuranc'!$B:$B,$A57,'Data For Calculation - Insuranc'!$H:$H,"Master Dealer")) + SUMIFS('Data For Calculation - Insuranc'!K:K,'Data For Calculation - Insuranc'!$A:$A,$A57,'Data For Calculation - Insuranc'!$H:$H,"Self")</f>
        <v>0</v>
      </c>
      <c r="BY57" s="25" t="str">
        <f>(Sheet1!N57)</f>
        <v>Vikas Autowheels</v>
      </c>
      <c r="BZ57" s="25" t="str">
        <f>(Sheet1!O57)</f>
        <v>1944RLX7T1M23YXRXYoMnJ6nD_bKLldQXRpFRA0rDLvg</v>
      </c>
      <c r="CA57" s="25" t="str">
        <f>(Sheet1!AV57)</f>
        <v/>
      </c>
      <c r="CB57" s="25" t="str">
        <f>(Sheet1!AW57)</f>
        <v/>
      </c>
      <c r="CC57" s="26" t="str">
        <f>(Sheet1!P57)</f>
        <v>Sub Dealer</v>
      </c>
    </row>
    <row r="58">
      <c r="A58" s="25" t="str">
        <f>(Sheet1!A58)</f>
        <v>1geel52z8WCTlGIS5yuTVHXXiwt6tFtcJPqsUJk3zExI</v>
      </c>
      <c r="B58" s="25" t="str">
        <f>(Sheet1!B58)</f>
        <v>Saanvi Hero - Dehradun</v>
      </c>
      <c r="C58" s="30" t="str">
        <f>Sheet1!BB58</f>
        <v>No</v>
      </c>
      <c r="D58" s="30" t="s">
        <v>13</v>
      </c>
      <c r="E58" s="34" t="s">
        <v>13</v>
      </c>
      <c r="F58" s="30" t="s">
        <v>3817</v>
      </c>
      <c r="G58" s="31">
        <v>290.0</v>
      </c>
      <c r="H58" s="34" t="s">
        <v>3853</v>
      </c>
      <c r="I58" s="34">
        <v>0.0</v>
      </c>
      <c r="J58" s="34">
        <v>100.0</v>
      </c>
      <c r="K58" s="34">
        <v>0.0</v>
      </c>
      <c r="L58" s="34">
        <v>0.0</v>
      </c>
      <c r="M58" s="33">
        <f>COUNTIFS('Data For Calculation - Insuranc'!A:A,A58,'Data For Calculation - Insuranc'!E:E,"CPA + RSA")</f>
        <v>0</v>
      </c>
      <c r="N58" s="30" t="s">
        <v>3817</v>
      </c>
      <c r="O58" s="31">
        <v>425.0</v>
      </c>
      <c r="P58" s="34" t="s">
        <v>3853</v>
      </c>
      <c r="Q58" s="34">
        <v>0.0</v>
      </c>
      <c r="R58" s="34">
        <v>100.0</v>
      </c>
      <c r="S58" s="34">
        <v>0.0</v>
      </c>
      <c r="T58" s="34">
        <v>0.0</v>
      </c>
      <c r="U58" s="33">
        <f>COUNTIFS('Data For Calculation - Insuranc'!A:A,A58,'Data For Calculation - Insuranc'!E:E,"CPA + RSA + AHDC + DOC")</f>
        <v>0</v>
      </c>
      <c r="V58" s="30" t="s">
        <v>3817</v>
      </c>
      <c r="W58" s="34">
        <v>838.99</v>
      </c>
      <c r="X58" s="34" t="s">
        <v>3853</v>
      </c>
      <c r="Y58" s="34">
        <v>0.0</v>
      </c>
      <c r="Z58" s="34">
        <v>100.0</v>
      </c>
      <c r="AA58" s="34">
        <v>0.0</v>
      </c>
      <c r="AB58" s="34">
        <v>0.0</v>
      </c>
      <c r="AC58" s="33">
        <f>COUNTIFS('Data For Calculation - Insuranc'!A:A,A58,'Data For Calculation - Insuranc'!E:E,"CPA + RSA : 5 Years")</f>
        <v>0</v>
      </c>
      <c r="AD58" s="30" t="s">
        <v>3817</v>
      </c>
      <c r="AE58" s="31">
        <v>838.99</v>
      </c>
      <c r="AF58" s="34" t="s">
        <v>3853</v>
      </c>
      <c r="AG58" s="34">
        <v>0.0</v>
      </c>
      <c r="AH58" s="34">
        <v>100.0</v>
      </c>
      <c r="AI58" s="34">
        <v>0.0</v>
      </c>
      <c r="AJ58" s="34">
        <v>0.0</v>
      </c>
      <c r="AK58" s="33">
        <f>COUNTIFS('Data For Calculation - Insuranc'!A:A,A58,'Data For Calculation - Insuranc'!E:E,"Assistance + CPA : 5 Years")</f>
        <v>0</v>
      </c>
      <c r="AL58" s="30" t="s">
        <v>3817</v>
      </c>
      <c r="AM58" s="31">
        <v>290.0</v>
      </c>
      <c r="AN58" s="34" t="s">
        <v>3853</v>
      </c>
      <c r="AO58" s="34">
        <v>0.0</v>
      </c>
      <c r="AP58" s="34">
        <v>100.0</v>
      </c>
      <c r="AQ58" s="34">
        <v>0.0</v>
      </c>
      <c r="AR58" s="34">
        <v>0.0</v>
      </c>
      <c r="AS58" s="33">
        <f>COUNTIFS('Data For Calculation - Insuranc'!A:A,A58,'Data For Calculation - Insuranc'!E:E,"RSA + AHDC + DOC")</f>
        <v>0</v>
      </c>
      <c r="AT58" s="33"/>
      <c r="AU58" s="33"/>
      <c r="AV58" s="33"/>
      <c r="AW58" s="33"/>
      <c r="AX58" s="33"/>
      <c r="AY58" s="33"/>
      <c r="AZ58" s="33"/>
      <c r="BA58" s="33"/>
      <c r="BB58" s="33"/>
      <c r="BC58" s="33"/>
      <c r="BD58" s="33"/>
      <c r="BE58" s="33"/>
      <c r="BF58" s="33"/>
      <c r="BG58" s="33"/>
      <c r="BH58" s="33"/>
      <c r="BI58" s="33"/>
      <c r="BJ58" s="33"/>
      <c r="BK58" s="33"/>
      <c r="BL58" s="33"/>
      <c r="BM58" s="33"/>
      <c r="BN58" s="33"/>
      <c r="BO58" s="33"/>
      <c r="BP58" s="33"/>
      <c r="BQ58" s="33"/>
      <c r="BR58" s="33">
        <f t="shared" si="1"/>
        <v>0</v>
      </c>
      <c r="BS58" s="33">
        <f>SUMIFS('Data For Calculation - Insuranc'!I:I,'Data For Calculation - Insuranc'!$A:$A,$A58)</f>
        <v>0</v>
      </c>
      <c r="BT58" s="33">
        <f>SUMIFS('Data For Calculation - Insuranc'!J:J,'Data For Calculation - Insuranc'!$A:$A,$A58)</f>
        <v>0</v>
      </c>
      <c r="BU58" s="33">
        <f>SUMIFS('Data For Calculation - Insuranc'!K:K,'Data For Calculation - Insuranc'!$A:$A,$A58)</f>
        <v>0</v>
      </c>
      <c r="BV58" s="33">
        <f>IF($CC58 = "Dealer", SUMIFS('Data For Calculation - Insuranc'!I:I,'Data For Calculation - Insuranc'!$B:$B,$A58,'Data For Calculation - Insuranc'!$H:$H,"Master Dealer")) + SUMIFS('Data For Calculation - Insuranc'!I:I,'Data For Calculation - Insuranc'!$A:$A,$A58,'Data For Calculation - Insuranc'!$H:$H,"Self")</f>
        <v>0</v>
      </c>
      <c r="BW58" s="33">
        <f>IF($CC58 = "Dealer", SUMIFS('Data For Calculation - Insuranc'!J:J,'Data For Calculation - Insuranc'!$B:$B,$A58,'Data For Calculation - Insuranc'!$H:$H,"Master Dealer")) + SUMIFS('Data For Calculation - Insuranc'!J:J,'Data For Calculation - Insuranc'!$A:$A,$A58,'Data For Calculation - Insuranc'!$H:$H,"Self")</f>
        <v>0</v>
      </c>
      <c r="BX58" s="33">
        <f>IF($CC58 = "Dealer", SUMIFS('Data For Calculation - Insuranc'!K:K,'Data For Calculation - Insuranc'!$B:$B,$A58,'Data For Calculation - Insuranc'!$H:$H,"Master Dealer")) + SUMIFS('Data For Calculation - Insuranc'!K:K,'Data For Calculation - Insuranc'!$A:$A,$A58,'Data For Calculation - Insuranc'!$H:$H,"Self")</f>
        <v>0</v>
      </c>
      <c r="BY58" s="25" t="str">
        <f>(Sheet1!N58)</f>
        <v>Saanvi Hero - Dehradun</v>
      </c>
      <c r="BZ58" s="25" t="str">
        <f>(Sheet1!O58)</f>
        <v>1geel52z8WCTlGIS5yuTVHXXiwt6tFtcJPqsUJk3zExI</v>
      </c>
      <c r="CA58" s="25" t="str">
        <f>(Sheet1!AV58)</f>
        <v/>
      </c>
      <c r="CB58" s="25" t="str">
        <f>(Sheet1!AW58)</f>
        <v/>
      </c>
      <c r="CC58" s="26" t="str">
        <f>(Sheet1!P58)</f>
        <v>Dealer</v>
      </c>
    </row>
    <row r="59">
      <c r="A59" s="25" t="str">
        <f>(Sheet1!A59)</f>
        <v>1ZHGDvOVAJIc2OBgE48Z8YcdJsudhxavgOBsoHLuIwlA</v>
      </c>
      <c r="B59" s="25" t="str">
        <f>(Sheet1!B59)</f>
        <v>AAA2</v>
      </c>
      <c r="C59" s="30" t="str">
        <f>Sheet1!BB59</f>
        <v>No</v>
      </c>
      <c r="D59" s="30" t="s">
        <v>13</v>
      </c>
      <c r="E59" s="34" t="s">
        <v>13</v>
      </c>
      <c r="F59" s="30" t="s">
        <v>3817</v>
      </c>
      <c r="G59" s="31">
        <v>155.0</v>
      </c>
      <c r="H59" s="34" t="s">
        <v>3853</v>
      </c>
      <c r="I59" s="34">
        <v>0.0</v>
      </c>
      <c r="J59" s="34">
        <v>100.0</v>
      </c>
      <c r="K59" s="34">
        <v>0.0</v>
      </c>
      <c r="L59" s="34">
        <v>0.0</v>
      </c>
      <c r="M59" s="33">
        <f>COUNTIFS('Data For Calculation - Insuranc'!A:A,A59,'Data For Calculation - Insuranc'!E:E,"CPA + RSA")</f>
        <v>0</v>
      </c>
      <c r="N59" s="30" t="s">
        <v>3817</v>
      </c>
      <c r="O59" s="41">
        <v>155.0</v>
      </c>
      <c r="P59" s="34" t="s">
        <v>3853</v>
      </c>
      <c r="Q59" s="34">
        <v>0.0</v>
      </c>
      <c r="R59" s="34">
        <v>100.0</v>
      </c>
      <c r="S59" s="34">
        <v>0.0</v>
      </c>
      <c r="T59" s="34">
        <v>0.0</v>
      </c>
      <c r="U59" s="33">
        <f>COUNTIFS('Data For Calculation - Insuranc'!A:A,A59,'Data For Calculation - Insuranc'!E:E,"CPA + RSA + AHDC + DOC")</f>
        <v>0</v>
      </c>
      <c r="V59" s="30" t="s">
        <v>3817</v>
      </c>
      <c r="W59" s="34">
        <v>838.99</v>
      </c>
      <c r="X59" s="34" t="s">
        <v>3853</v>
      </c>
      <c r="Y59" s="34">
        <v>0.0</v>
      </c>
      <c r="Z59" s="34">
        <v>100.0</v>
      </c>
      <c r="AA59" s="34">
        <v>0.0</v>
      </c>
      <c r="AB59" s="34">
        <v>0.0</v>
      </c>
      <c r="AC59" s="33">
        <f>COUNTIFS('Data For Calculation - Insuranc'!A:A,A59,'Data For Calculation - Insuranc'!E:E,"CPA + RSA : 5 Years")</f>
        <v>0</v>
      </c>
      <c r="AD59" s="30" t="s">
        <v>3817</v>
      </c>
      <c r="AE59" s="31">
        <v>838.99</v>
      </c>
      <c r="AF59" s="34" t="s">
        <v>3853</v>
      </c>
      <c r="AG59" s="34">
        <v>0.0</v>
      </c>
      <c r="AH59" s="34">
        <v>100.0</v>
      </c>
      <c r="AI59" s="34">
        <v>0.0</v>
      </c>
      <c r="AJ59" s="34">
        <v>0.0</v>
      </c>
      <c r="AK59" s="33">
        <f>COUNTIFS('Data For Calculation - Insuranc'!A:A,A59,'Data For Calculation - Insuranc'!E:E,"Assistance + CPA : 5 Years")</f>
        <v>0</v>
      </c>
      <c r="AL59" s="30" t="s">
        <v>3817</v>
      </c>
      <c r="AM59" s="31">
        <v>155.0</v>
      </c>
      <c r="AN59" s="34" t="s">
        <v>3853</v>
      </c>
      <c r="AO59" s="34">
        <v>0.0</v>
      </c>
      <c r="AP59" s="34">
        <v>100.0</v>
      </c>
      <c r="AQ59" s="34">
        <v>0.0</v>
      </c>
      <c r="AR59" s="34">
        <v>0.0</v>
      </c>
      <c r="AS59" s="33">
        <f>COUNTIFS('Data For Calculation - Insuranc'!A:A,A59,'Data For Calculation - Insuranc'!E:E,"RSA + AHDC + DOC")</f>
        <v>0</v>
      </c>
      <c r="AT59" s="33"/>
      <c r="AU59" s="33"/>
      <c r="AV59" s="33"/>
      <c r="AW59" s="33"/>
      <c r="AX59" s="33"/>
      <c r="AY59" s="33"/>
      <c r="AZ59" s="33"/>
      <c r="BA59" s="33"/>
      <c r="BB59" s="33"/>
      <c r="BC59" s="33"/>
      <c r="BD59" s="33"/>
      <c r="BE59" s="33"/>
      <c r="BF59" s="33"/>
      <c r="BG59" s="33"/>
      <c r="BH59" s="33"/>
      <c r="BI59" s="33"/>
      <c r="BJ59" s="33"/>
      <c r="BK59" s="33"/>
      <c r="BL59" s="33"/>
      <c r="BM59" s="33"/>
      <c r="BN59" s="33"/>
      <c r="BO59" s="33"/>
      <c r="BP59" s="33"/>
      <c r="BQ59" s="33"/>
      <c r="BR59" s="33">
        <f t="shared" si="1"/>
        <v>0</v>
      </c>
      <c r="BS59" s="33">
        <f>SUMIFS('Data For Calculation - Insuranc'!I:I,'Data For Calculation - Insuranc'!$A:$A,$A59)</f>
        <v>0</v>
      </c>
      <c r="BT59" s="33">
        <f>SUMIFS('Data For Calculation - Insuranc'!J:J,'Data For Calculation - Insuranc'!$A:$A,$A59)</f>
        <v>0</v>
      </c>
      <c r="BU59" s="33">
        <f>SUMIFS('Data For Calculation - Insuranc'!K:K,'Data For Calculation - Insuranc'!$A:$A,$A59)</f>
        <v>0</v>
      </c>
      <c r="BV59" s="33">
        <f>IF($CC59 = "Dealer", SUMIFS('Data For Calculation - Insuranc'!I:I,'Data For Calculation - Insuranc'!$B:$B,$A59,'Data For Calculation - Insuranc'!$H:$H,"Master Dealer")) + SUMIFS('Data For Calculation - Insuranc'!I:I,'Data For Calculation - Insuranc'!$A:$A,$A59,'Data For Calculation - Insuranc'!$H:$H,"Self")</f>
        <v>0</v>
      </c>
      <c r="BW59" s="33">
        <f>IF($CC59 = "Dealer", SUMIFS('Data For Calculation - Insuranc'!J:J,'Data For Calculation - Insuranc'!$B:$B,$A59,'Data For Calculation - Insuranc'!$H:$H,"Master Dealer")) + SUMIFS('Data For Calculation - Insuranc'!J:J,'Data For Calculation - Insuranc'!$A:$A,$A59,'Data For Calculation - Insuranc'!$H:$H,"Self")</f>
        <v>0</v>
      </c>
      <c r="BX59" s="33">
        <f>IF($CC59 = "Dealer", SUMIFS('Data For Calculation - Insuranc'!K:K,'Data For Calculation - Insuranc'!$B:$B,$A59,'Data For Calculation - Insuranc'!$H:$H,"Master Dealer")) + SUMIFS('Data For Calculation - Insuranc'!K:K,'Data For Calculation - Insuranc'!$A:$A,$A59,'Data For Calculation - Insuranc'!$H:$H,"Self")</f>
        <v>0</v>
      </c>
      <c r="BY59" s="25" t="str">
        <f>(Sheet1!N59)</f>
        <v>AAA</v>
      </c>
      <c r="BZ59" s="25" t="str">
        <f>(Sheet1!O59)</f>
        <v>1AjVyIHPgPw3jscNmkTH1qzR2RokK5FZaJLjeNfOiYAA</v>
      </c>
      <c r="CA59" s="25" t="str">
        <f>(Sheet1!AV59)</f>
        <v/>
      </c>
      <c r="CB59" s="25" t="str">
        <f>(Sheet1!AW59)</f>
        <v/>
      </c>
      <c r="CC59" s="26" t="str">
        <f>(Sheet1!P59)</f>
        <v>Sub Dealer</v>
      </c>
    </row>
    <row r="60">
      <c r="A60" s="25" t="str">
        <f>(Sheet1!A60)</f>
        <v>1U9bRcPYtMNqh59ZIlDmozxitTaIZXHOWv4l1PG1zN_U</v>
      </c>
      <c r="B60" s="25" t="str">
        <f>(Sheet1!B60)</f>
        <v>Shakun Motors (MAW)</v>
      </c>
      <c r="C60" s="30" t="str">
        <f>Sheet1!BB60</f>
        <v>No</v>
      </c>
      <c r="D60" s="30" t="s">
        <v>13</v>
      </c>
      <c r="E60" s="34" t="s">
        <v>13</v>
      </c>
      <c r="F60" s="30" t="s">
        <v>3820</v>
      </c>
      <c r="G60" s="31">
        <v>170.0</v>
      </c>
      <c r="H60" s="34" t="s">
        <v>3853</v>
      </c>
      <c r="I60" s="34">
        <v>0.0</v>
      </c>
      <c r="J60" s="34">
        <v>100.0</v>
      </c>
      <c r="K60" s="34">
        <v>0.0</v>
      </c>
      <c r="L60" s="34">
        <v>0.0</v>
      </c>
      <c r="M60" s="33">
        <f>COUNTIFS('Data For Calculation - Insuranc'!A:A,A60,'Data For Calculation - Insuranc'!E:E,"CPA + RSA")</f>
        <v>0</v>
      </c>
      <c r="N60" s="30" t="s">
        <v>3820</v>
      </c>
      <c r="O60" s="31">
        <v>170.0</v>
      </c>
      <c r="P60" s="34" t="s">
        <v>3853</v>
      </c>
      <c r="Q60" s="34">
        <v>0.0</v>
      </c>
      <c r="R60" s="34">
        <v>100.0</v>
      </c>
      <c r="S60" s="34">
        <v>0.0</v>
      </c>
      <c r="T60" s="34">
        <v>0.0</v>
      </c>
      <c r="U60" s="33">
        <f>COUNTIFS('Data For Calculation - Insuranc'!A:A,A60,'Data For Calculation - Insuranc'!E:E,"CPA + RSA + AHDC + DOC")</f>
        <v>0</v>
      </c>
      <c r="V60" s="30" t="s">
        <v>3820</v>
      </c>
      <c r="W60" s="34">
        <v>838.99</v>
      </c>
      <c r="X60" s="34" t="s">
        <v>3853</v>
      </c>
      <c r="Y60" s="34">
        <v>0.0</v>
      </c>
      <c r="Z60" s="34">
        <v>100.0</v>
      </c>
      <c r="AA60" s="34">
        <v>0.0</v>
      </c>
      <c r="AB60" s="34">
        <v>0.0</v>
      </c>
      <c r="AC60" s="33">
        <f>COUNTIFS('Data For Calculation - Insuranc'!A:A,A60,'Data For Calculation - Insuranc'!E:E,"CPA + RSA : 5 Years")</f>
        <v>0</v>
      </c>
      <c r="AD60" s="30" t="s">
        <v>3820</v>
      </c>
      <c r="AE60" s="31">
        <v>838.99</v>
      </c>
      <c r="AF60" s="34" t="s">
        <v>3853</v>
      </c>
      <c r="AG60" s="34">
        <v>0.0</v>
      </c>
      <c r="AH60" s="34">
        <v>100.0</v>
      </c>
      <c r="AI60" s="34">
        <v>0.0</v>
      </c>
      <c r="AJ60" s="34">
        <v>0.0</v>
      </c>
      <c r="AK60" s="33">
        <f>COUNTIFS('Data For Calculation - Insuranc'!A:A,A60,'Data For Calculation - Insuranc'!E:E,"Assistance + CPA : 5 Years")</f>
        <v>0</v>
      </c>
      <c r="AL60" s="30" t="s">
        <v>3820</v>
      </c>
      <c r="AM60" s="31">
        <v>170.0</v>
      </c>
      <c r="AN60" s="34" t="s">
        <v>3853</v>
      </c>
      <c r="AO60" s="34">
        <v>0.0</v>
      </c>
      <c r="AP60" s="34">
        <v>100.0</v>
      </c>
      <c r="AQ60" s="34">
        <v>0.0</v>
      </c>
      <c r="AR60" s="34">
        <v>0.0</v>
      </c>
      <c r="AS60" s="33">
        <f>COUNTIFS('Data For Calculation - Insuranc'!A:A,A60,'Data For Calculation - Insuranc'!E:E,"RSA + AHDC + DOC")</f>
        <v>0</v>
      </c>
      <c r="AT60" s="33"/>
      <c r="AU60" s="33"/>
      <c r="AV60" s="33"/>
      <c r="AW60" s="33"/>
      <c r="AX60" s="33"/>
      <c r="AY60" s="33"/>
      <c r="AZ60" s="33"/>
      <c r="BA60" s="33"/>
      <c r="BB60" s="33"/>
      <c r="BC60" s="33"/>
      <c r="BD60" s="33"/>
      <c r="BE60" s="33"/>
      <c r="BF60" s="33"/>
      <c r="BG60" s="33"/>
      <c r="BH60" s="33"/>
      <c r="BI60" s="33"/>
      <c r="BJ60" s="33"/>
      <c r="BK60" s="33"/>
      <c r="BL60" s="33"/>
      <c r="BM60" s="33"/>
      <c r="BN60" s="33"/>
      <c r="BO60" s="33"/>
      <c r="BP60" s="33"/>
      <c r="BQ60" s="33"/>
      <c r="BR60" s="33">
        <f t="shared" si="1"/>
        <v>0</v>
      </c>
      <c r="BS60" s="33">
        <f>SUMIFS('Data For Calculation - Insuranc'!I:I,'Data For Calculation - Insuranc'!$A:$A,$A60)</f>
        <v>0</v>
      </c>
      <c r="BT60" s="33">
        <f>SUMIFS('Data For Calculation - Insuranc'!J:J,'Data For Calculation - Insuranc'!$A:$A,$A60)</f>
        <v>0</v>
      </c>
      <c r="BU60" s="33">
        <f>SUMIFS('Data For Calculation - Insuranc'!K:K,'Data For Calculation - Insuranc'!$A:$A,$A60)</f>
        <v>0</v>
      </c>
      <c r="BV60" s="33">
        <f>IF($CC60 = "Dealer", SUMIFS('Data For Calculation - Insuranc'!I:I,'Data For Calculation - Insuranc'!$B:$B,$A60,'Data For Calculation - Insuranc'!$H:$H,"Master Dealer")) + SUMIFS('Data For Calculation - Insuranc'!I:I,'Data For Calculation - Insuranc'!$A:$A,$A60,'Data For Calculation - Insuranc'!$H:$H,"Self")</f>
        <v>0</v>
      </c>
      <c r="BW60" s="33">
        <f>IF($CC60 = "Dealer", SUMIFS('Data For Calculation - Insuranc'!J:J,'Data For Calculation - Insuranc'!$B:$B,$A60,'Data For Calculation - Insuranc'!$H:$H,"Master Dealer")) + SUMIFS('Data For Calculation - Insuranc'!J:J,'Data For Calculation - Insuranc'!$A:$A,$A60,'Data For Calculation - Insuranc'!$H:$H,"Self")</f>
        <v>0</v>
      </c>
      <c r="BX60" s="33">
        <f>IF($CC60 = "Dealer", SUMIFS('Data For Calculation - Insuranc'!K:K,'Data For Calculation - Insuranc'!$B:$B,$A60,'Data For Calculation - Insuranc'!$H:$H,"Master Dealer")) + SUMIFS('Data For Calculation - Insuranc'!K:K,'Data For Calculation - Insuranc'!$A:$A,$A60,'Data For Calculation - Insuranc'!$H:$H,"Self")</f>
        <v>0</v>
      </c>
      <c r="BY60" s="25" t="str">
        <f>(Sheet1!N60)</f>
        <v>Maharaja Autoworld</v>
      </c>
      <c r="BZ60" s="25" t="str">
        <f>(Sheet1!O60)</f>
        <v>1mkGLSaVL5-IAXKq9KqXFgJH64Li9oMA9V0u_seCn1jg</v>
      </c>
      <c r="CA60" s="25" t="str">
        <f>(Sheet1!AV60)</f>
        <v/>
      </c>
      <c r="CB60" s="25" t="str">
        <f>(Sheet1!AW60)</f>
        <v/>
      </c>
      <c r="CC60" s="26" t="str">
        <f>(Sheet1!P60)</f>
        <v>Sub Dealer</v>
      </c>
    </row>
    <row r="61">
      <c r="A61" s="25" t="str">
        <f>(Sheet1!A61)</f>
        <v>1A6lNt4Snbf2zCmcVnV2gegTZ60jgsKSMfqe-lbk0irU</v>
      </c>
      <c r="B61" s="25" t="str">
        <f>(Sheet1!B61)</f>
        <v>Mahadev Automobiles (SBH)</v>
      </c>
      <c r="C61" s="30" t="str">
        <f>Sheet1!BB61</f>
        <v>No</v>
      </c>
      <c r="D61" s="30" t="s">
        <v>13</v>
      </c>
      <c r="E61" s="34" t="s">
        <v>13</v>
      </c>
      <c r="F61" s="30" t="s">
        <v>3856</v>
      </c>
      <c r="G61" s="31">
        <v>290.0</v>
      </c>
      <c r="H61" s="34" t="s">
        <v>3853</v>
      </c>
      <c r="I61" s="34">
        <v>0.0</v>
      </c>
      <c r="J61" s="34">
        <v>100.0</v>
      </c>
      <c r="K61" s="34">
        <v>0.0</v>
      </c>
      <c r="L61" s="34">
        <v>0.0</v>
      </c>
      <c r="M61" s="33">
        <f>COUNTIFS('Data For Calculation - Insuranc'!A:A,A61,'Data For Calculation - Insuranc'!E:E,"CPA + RSA")</f>
        <v>0</v>
      </c>
      <c r="N61" s="30" t="s">
        <v>3856</v>
      </c>
      <c r="O61" s="31">
        <v>339.0</v>
      </c>
      <c r="P61" s="34" t="s">
        <v>3853</v>
      </c>
      <c r="Q61" s="34">
        <v>0.0</v>
      </c>
      <c r="R61" s="34">
        <v>100.0</v>
      </c>
      <c r="S61" s="34">
        <v>0.0</v>
      </c>
      <c r="T61" s="34">
        <v>0.0</v>
      </c>
      <c r="U61" s="33">
        <f>COUNTIFS('Data For Calculation - Insuranc'!A:A,A61,'Data For Calculation - Insuranc'!E:E,"CPA + RSA + AHDC + DOC")</f>
        <v>0</v>
      </c>
      <c r="V61" s="30" t="s">
        <v>3856</v>
      </c>
      <c r="W61" s="34">
        <v>838.99</v>
      </c>
      <c r="X61" s="34" t="s">
        <v>3853</v>
      </c>
      <c r="Y61" s="34">
        <v>0.0</v>
      </c>
      <c r="Z61" s="34">
        <v>100.0</v>
      </c>
      <c r="AA61" s="34">
        <v>0.0</v>
      </c>
      <c r="AB61" s="34">
        <v>0.0</v>
      </c>
      <c r="AC61" s="33">
        <f>COUNTIFS('Data For Calculation - Insuranc'!A:A,A61,'Data For Calculation - Insuranc'!E:E,"CPA + RSA : 5 Years")</f>
        <v>0</v>
      </c>
      <c r="AD61" s="30" t="s">
        <v>3856</v>
      </c>
      <c r="AE61" s="31">
        <v>838.99</v>
      </c>
      <c r="AF61" s="34" t="s">
        <v>3853</v>
      </c>
      <c r="AG61" s="34">
        <v>0.0</v>
      </c>
      <c r="AH61" s="34">
        <v>100.0</v>
      </c>
      <c r="AI61" s="34">
        <v>0.0</v>
      </c>
      <c r="AJ61" s="34">
        <v>0.0</v>
      </c>
      <c r="AK61" s="33">
        <f>COUNTIFS('Data For Calculation - Insuranc'!A:A,A61,'Data For Calculation - Insuranc'!E:E,"Assistance + CPA : 5 Years")</f>
        <v>0</v>
      </c>
      <c r="AL61" s="30" t="s">
        <v>3856</v>
      </c>
      <c r="AM61" s="31">
        <v>290.0</v>
      </c>
      <c r="AN61" s="34" t="s">
        <v>3853</v>
      </c>
      <c r="AO61" s="34">
        <v>0.0</v>
      </c>
      <c r="AP61" s="34">
        <v>100.0</v>
      </c>
      <c r="AQ61" s="34">
        <v>0.0</v>
      </c>
      <c r="AR61" s="34">
        <v>0.0</v>
      </c>
      <c r="AS61" s="33">
        <f>COUNTIFS('Data For Calculation - Insuranc'!A:A,A61,'Data For Calculation - Insuranc'!E:E,"RSA + AHDC + DOC")</f>
        <v>0</v>
      </c>
      <c r="AT61" s="33"/>
      <c r="AU61" s="33"/>
      <c r="AV61" s="33"/>
      <c r="AW61" s="33"/>
      <c r="AX61" s="33"/>
      <c r="AY61" s="33"/>
      <c r="AZ61" s="33"/>
      <c r="BA61" s="33"/>
      <c r="BB61" s="33"/>
      <c r="BC61" s="33"/>
      <c r="BD61" s="33"/>
      <c r="BE61" s="33"/>
      <c r="BF61" s="33"/>
      <c r="BG61" s="33"/>
      <c r="BH61" s="33"/>
      <c r="BI61" s="33"/>
      <c r="BJ61" s="33"/>
      <c r="BK61" s="33"/>
      <c r="BL61" s="33"/>
      <c r="BM61" s="33"/>
      <c r="BN61" s="33"/>
      <c r="BO61" s="33"/>
      <c r="BP61" s="33"/>
      <c r="BQ61" s="33"/>
      <c r="BR61" s="33">
        <f t="shared" si="1"/>
        <v>0</v>
      </c>
      <c r="BS61" s="33">
        <f>SUMIFS('Data For Calculation - Insuranc'!I:I,'Data For Calculation - Insuranc'!$A:$A,$A61)</f>
        <v>0</v>
      </c>
      <c r="BT61" s="33">
        <f>SUMIFS('Data For Calculation - Insuranc'!J:J,'Data For Calculation - Insuranc'!$A:$A,$A61)</f>
        <v>0</v>
      </c>
      <c r="BU61" s="33">
        <f>SUMIFS('Data For Calculation - Insuranc'!K:K,'Data For Calculation - Insuranc'!$A:$A,$A61)</f>
        <v>0</v>
      </c>
      <c r="BV61" s="33">
        <f>IF($CC61 = "Dealer", SUMIFS('Data For Calculation - Insuranc'!I:I,'Data For Calculation - Insuranc'!$B:$B,$A61,'Data For Calculation - Insuranc'!$H:$H,"Master Dealer")) + SUMIFS('Data For Calculation - Insuranc'!I:I,'Data For Calculation - Insuranc'!$A:$A,$A61,'Data For Calculation - Insuranc'!$H:$H,"Self")</f>
        <v>0</v>
      </c>
      <c r="BW61" s="33">
        <f>IF($CC61 = "Dealer", SUMIFS('Data For Calculation - Insuranc'!J:J,'Data For Calculation - Insuranc'!$B:$B,$A61,'Data For Calculation - Insuranc'!$H:$H,"Master Dealer")) + SUMIFS('Data For Calculation - Insuranc'!J:J,'Data For Calculation - Insuranc'!$A:$A,$A61,'Data For Calculation - Insuranc'!$H:$H,"Self")</f>
        <v>0</v>
      </c>
      <c r="BX61" s="33">
        <f>IF($CC61 = "Dealer", SUMIFS('Data For Calculation - Insuranc'!K:K,'Data For Calculation - Insuranc'!$B:$B,$A61,'Data For Calculation - Insuranc'!$H:$H,"Master Dealer")) + SUMIFS('Data For Calculation - Insuranc'!K:K,'Data For Calculation - Insuranc'!$A:$A,$A61,'Data For Calculation - Insuranc'!$H:$H,"Self")</f>
        <v>0</v>
      </c>
      <c r="BY61" s="25" t="str">
        <f>(Sheet1!N61)</f>
        <v>Shri Balaji Hero - Muzaffarnagar</v>
      </c>
      <c r="BZ61" s="25" t="str">
        <f>(Sheet1!O61)</f>
        <v>1qJGCYN0EdS2nWGXVYAHwXqSjiLE2C95anQkkbLONbKQ</v>
      </c>
      <c r="CA61" s="25" t="str">
        <f>(Sheet1!AV61)</f>
        <v/>
      </c>
      <c r="CB61" s="25" t="str">
        <f>(Sheet1!AW61)</f>
        <v/>
      </c>
      <c r="CC61" s="26" t="str">
        <f>(Sheet1!P61)</f>
        <v>Sub Dealer</v>
      </c>
    </row>
    <row r="62">
      <c r="A62" s="25" t="str">
        <f>(Sheet1!A62)</f>
        <v>1eRW_MDmJeHGFDVrDu4lhY4sLKH3AbCEJuXm_MUC1mBk</v>
      </c>
      <c r="B62" s="25" t="str">
        <f>(Sheet1!B62)</f>
        <v>V K Auto Center (MAW)</v>
      </c>
      <c r="C62" s="30" t="str">
        <f>Sheet1!BB62</f>
        <v>No</v>
      </c>
      <c r="D62" s="30" t="s">
        <v>13</v>
      </c>
      <c r="E62" s="34" t="s">
        <v>13</v>
      </c>
      <c r="F62" s="30" t="s">
        <v>3820</v>
      </c>
      <c r="G62" s="31">
        <v>170.0</v>
      </c>
      <c r="H62" s="34" t="s">
        <v>3853</v>
      </c>
      <c r="I62" s="34">
        <v>0.0</v>
      </c>
      <c r="J62" s="34">
        <v>100.0</v>
      </c>
      <c r="K62" s="34">
        <v>0.0</v>
      </c>
      <c r="L62" s="34">
        <v>0.0</v>
      </c>
      <c r="M62" s="33">
        <f>COUNTIFS('Data For Calculation - Insuranc'!A:A,A62,'Data For Calculation - Insuranc'!E:E,"CPA + RSA")</f>
        <v>0</v>
      </c>
      <c r="N62" s="30" t="s">
        <v>3820</v>
      </c>
      <c r="O62" s="31">
        <v>170.0</v>
      </c>
      <c r="P62" s="34" t="s">
        <v>3853</v>
      </c>
      <c r="Q62" s="34">
        <v>0.0</v>
      </c>
      <c r="R62" s="34">
        <v>100.0</v>
      </c>
      <c r="S62" s="34">
        <v>0.0</v>
      </c>
      <c r="T62" s="34">
        <v>0.0</v>
      </c>
      <c r="U62" s="33">
        <f>COUNTIFS('Data For Calculation - Insuranc'!A:A,A62,'Data For Calculation - Insuranc'!E:E,"CPA + RSA + AHDC + DOC")</f>
        <v>0</v>
      </c>
      <c r="V62" s="30" t="s">
        <v>3820</v>
      </c>
      <c r="W62" s="34">
        <v>838.99</v>
      </c>
      <c r="X62" s="34" t="s">
        <v>3853</v>
      </c>
      <c r="Y62" s="34">
        <v>0.0</v>
      </c>
      <c r="Z62" s="34">
        <v>100.0</v>
      </c>
      <c r="AA62" s="34">
        <v>0.0</v>
      </c>
      <c r="AB62" s="34">
        <v>0.0</v>
      </c>
      <c r="AC62" s="33">
        <f>COUNTIFS('Data For Calculation - Insuranc'!A:A,A62,'Data For Calculation - Insuranc'!E:E,"CPA + RSA : 5 Years")</f>
        <v>0</v>
      </c>
      <c r="AD62" s="30" t="s">
        <v>3820</v>
      </c>
      <c r="AE62" s="31">
        <v>838.99</v>
      </c>
      <c r="AF62" s="34" t="s">
        <v>3853</v>
      </c>
      <c r="AG62" s="34">
        <v>0.0</v>
      </c>
      <c r="AH62" s="34">
        <v>100.0</v>
      </c>
      <c r="AI62" s="34">
        <v>0.0</v>
      </c>
      <c r="AJ62" s="34">
        <v>0.0</v>
      </c>
      <c r="AK62" s="33">
        <f>COUNTIFS('Data For Calculation - Insuranc'!A:A,A62,'Data For Calculation - Insuranc'!E:E,"Assistance + CPA : 5 Years")</f>
        <v>0</v>
      </c>
      <c r="AL62" s="30" t="s">
        <v>3820</v>
      </c>
      <c r="AM62" s="31">
        <v>170.0</v>
      </c>
      <c r="AN62" s="34" t="s">
        <v>3853</v>
      </c>
      <c r="AO62" s="34">
        <v>0.0</v>
      </c>
      <c r="AP62" s="34">
        <v>100.0</v>
      </c>
      <c r="AQ62" s="34">
        <v>0.0</v>
      </c>
      <c r="AR62" s="34">
        <v>0.0</v>
      </c>
      <c r="AS62" s="33">
        <f>COUNTIFS('Data For Calculation - Insuranc'!A:A,A62,'Data For Calculation - Insuranc'!E:E,"RSA + AHDC + DOC")</f>
        <v>0</v>
      </c>
      <c r="AT62" s="33"/>
      <c r="AU62" s="33"/>
      <c r="AV62" s="33"/>
      <c r="AW62" s="33"/>
      <c r="AX62" s="33"/>
      <c r="AY62" s="33"/>
      <c r="AZ62" s="33"/>
      <c r="BA62" s="33"/>
      <c r="BB62" s="33"/>
      <c r="BC62" s="33"/>
      <c r="BD62" s="33"/>
      <c r="BE62" s="33"/>
      <c r="BF62" s="33"/>
      <c r="BG62" s="33"/>
      <c r="BH62" s="33"/>
      <c r="BI62" s="33"/>
      <c r="BJ62" s="33"/>
      <c r="BK62" s="33"/>
      <c r="BL62" s="33"/>
      <c r="BM62" s="33"/>
      <c r="BN62" s="33"/>
      <c r="BO62" s="33"/>
      <c r="BP62" s="33"/>
      <c r="BQ62" s="33"/>
      <c r="BR62" s="33">
        <f t="shared" si="1"/>
        <v>0</v>
      </c>
      <c r="BS62" s="33">
        <f>SUMIFS('Data For Calculation - Insuranc'!I:I,'Data For Calculation - Insuranc'!$A:$A,$A62)</f>
        <v>0</v>
      </c>
      <c r="BT62" s="33">
        <f>SUMIFS('Data For Calculation - Insuranc'!J:J,'Data For Calculation - Insuranc'!$A:$A,$A62)</f>
        <v>0</v>
      </c>
      <c r="BU62" s="33">
        <f>SUMIFS('Data For Calculation - Insuranc'!K:K,'Data For Calculation - Insuranc'!$A:$A,$A62)</f>
        <v>0</v>
      </c>
      <c r="BV62" s="33">
        <f>IF($CC62 = "Dealer", SUMIFS('Data For Calculation - Insuranc'!I:I,'Data For Calculation - Insuranc'!$B:$B,$A62,'Data For Calculation - Insuranc'!$H:$H,"Master Dealer")) + SUMIFS('Data For Calculation - Insuranc'!I:I,'Data For Calculation - Insuranc'!$A:$A,$A62,'Data For Calculation - Insuranc'!$H:$H,"Self")</f>
        <v>0</v>
      </c>
      <c r="BW62" s="33">
        <f>IF($CC62 = "Dealer", SUMIFS('Data For Calculation - Insuranc'!J:J,'Data For Calculation - Insuranc'!$B:$B,$A62,'Data For Calculation - Insuranc'!$H:$H,"Master Dealer")) + SUMIFS('Data For Calculation - Insuranc'!J:J,'Data For Calculation - Insuranc'!$A:$A,$A62,'Data For Calculation - Insuranc'!$H:$H,"Self")</f>
        <v>0</v>
      </c>
      <c r="BX62" s="33">
        <f>IF($CC62 = "Dealer", SUMIFS('Data For Calculation - Insuranc'!K:K,'Data For Calculation - Insuranc'!$B:$B,$A62,'Data For Calculation - Insuranc'!$H:$H,"Master Dealer")) + SUMIFS('Data For Calculation - Insuranc'!K:K,'Data For Calculation - Insuranc'!$A:$A,$A62,'Data For Calculation - Insuranc'!$H:$H,"Self")</f>
        <v>0</v>
      </c>
      <c r="BY62" s="25" t="str">
        <f>(Sheet1!N62)</f>
        <v>Maharaja Autoworld</v>
      </c>
      <c r="BZ62" s="25" t="str">
        <f>(Sheet1!O62)</f>
        <v>1mkGLSaVL5-IAXKq9KqXFgJH64Li9oMA9V0u_seCn1jg</v>
      </c>
      <c r="CA62" s="25" t="str">
        <f>(Sheet1!AV62)</f>
        <v/>
      </c>
      <c r="CB62" s="25" t="str">
        <f>(Sheet1!AW62)</f>
        <v/>
      </c>
      <c r="CC62" s="26" t="str">
        <f>(Sheet1!P62)</f>
        <v>Sub Dealer</v>
      </c>
    </row>
    <row r="63">
      <c r="A63" s="25" t="str">
        <f>(Sheet1!A63)</f>
        <v>10Boa663-jOP90LwqXAfooqmBUweTsg0kbbPLy7E8GaM</v>
      </c>
      <c r="B63" s="25" t="str">
        <f>(Sheet1!B63)</f>
        <v>Manvik Motor - TVS Faridabad</v>
      </c>
      <c r="C63" s="30" t="str">
        <f>Sheet1!BB63</f>
        <v>No</v>
      </c>
      <c r="D63" s="30" t="s">
        <v>13</v>
      </c>
      <c r="E63" s="34" t="s">
        <v>13</v>
      </c>
      <c r="F63" s="30" t="s">
        <v>3817</v>
      </c>
      <c r="G63" s="31">
        <v>290.0</v>
      </c>
      <c r="H63" s="34" t="s">
        <v>3853</v>
      </c>
      <c r="I63" s="34">
        <v>0.0</v>
      </c>
      <c r="J63" s="34">
        <v>100.0</v>
      </c>
      <c r="K63" s="34">
        <v>0.0</v>
      </c>
      <c r="L63" s="34">
        <v>0.0</v>
      </c>
      <c r="M63" s="33">
        <f>COUNTIFS('Data For Calculation - Insuranc'!A:A,A63,'Data For Calculation - Insuranc'!E:E,"CPA + RSA")</f>
        <v>0</v>
      </c>
      <c r="N63" s="30" t="s">
        <v>3817</v>
      </c>
      <c r="O63" s="31">
        <v>460.0</v>
      </c>
      <c r="P63" s="34" t="s">
        <v>3853</v>
      </c>
      <c r="Q63" s="34">
        <v>0.0</v>
      </c>
      <c r="R63" s="34">
        <v>100.0</v>
      </c>
      <c r="S63" s="34">
        <v>0.0</v>
      </c>
      <c r="T63" s="34">
        <v>0.0</v>
      </c>
      <c r="U63" s="33">
        <f>COUNTIFS('Data For Calculation - Insuranc'!A:A,A63,'Data For Calculation - Insuranc'!E:E,"CPA + RSA + AHDC + DOC")</f>
        <v>0</v>
      </c>
      <c r="V63" s="30" t="s">
        <v>3817</v>
      </c>
      <c r="W63" s="34">
        <v>838.99</v>
      </c>
      <c r="X63" s="34" t="s">
        <v>3853</v>
      </c>
      <c r="Y63" s="34">
        <v>0.0</v>
      </c>
      <c r="Z63" s="34">
        <v>100.0</v>
      </c>
      <c r="AA63" s="34">
        <v>0.0</v>
      </c>
      <c r="AB63" s="34">
        <v>0.0</v>
      </c>
      <c r="AC63" s="33">
        <f>COUNTIFS('Data For Calculation - Insuranc'!A:A,A63,'Data For Calculation - Insuranc'!E:E,"CPA + RSA : 5 Years")</f>
        <v>0</v>
      </c>
      <c r="AD63" s="30" t="s">
        <v>3817</v>
      </c>
      <c r="AE63" s="31">
        <v>838.99</v>
      </c>
      <c r="AF63" s="34" t="s">
        <v>3853</v>
      </c>
      <c r="AG63" s="34">
        <v>0.0</v>
      </c>
      <c r="AH63" s="34">
        <v>100.0</v>
      </c>
      <c r="AI63" s="34">
        <v>0.0</v>
      </c>
      <c r="AJ63" s="34">
        <v>0.0</v>
      </c>
      <c r="AK63" s="33">
        <f>COUNTIFS('Data For Calculation - Insuranc'!A:A,A63,'Data For Calculation - Insuranc'!E:E,"Assistance + CPA : 5 Years")</f>
        <v>0</v>
      </c>
      <c r="AL63" s="30" t="s">
        <v>3817</v>
      </c>
      <c r="AM63" s="31">
        <v>290.0</v>
      </c>
      <c r="AN63" s="34" t="s">
        <v>3853</v>
      </c>
      <c r="AO63" s="34">
        <v>0.0</v>
      </c>
      <c r="AP63" s="34">
        <v>100.0</v>
      </c>
      <c r="AQ63" s="34">
        <v>0.0</v>
      </c>
      <c r="AR63" s="34">
        <v>0.0</v>
      </c>
      <c r="AS63" s="33">
        <f>COUNTIFS('Data For Calculation - Insuranc'!A:A,A63,'Data For Calculation - Insuranc'!E:E,"RSA + AHDC + DOC")</f>
        <v>0</v>
      </c>
      <c r="AT63" s="33"/>
      <c r="AU63" s="33"/>
      <c r="AV63" s="33"/>
      <c r="AW63" s="33"/>
      <c r="AX63" s="33"/>
      <c r="AY63" s="33"/>
      <c r="AZ63" s="33"/>
      <c r="BA63" s="33"/>
      <c r="BB63" s="33"/>
      <c r="BC63" s="33"/>
      <c r="BD63" s="33"/>
      <c r="BE63" s="33"/>
      <c r="BF63" s="33"/>
      <c r="BG63" s="33"/>
      <c r="BH63" s="33"/>
      <c r="BI63" s="33"/>
      <c r="BJ63" s="33"/>
      <c r="BK63" s="33"/>
      <c r="BL63" s="33"/>
      <c r="BM63" s="33"/>
      <c r="BN63" s="33"/>
      <c r="BO63" s="33"/>
      <c r="BP63" s="33"/>
      <c r="BQ63" s="33"/>
      <c r="BR63" s="33">
        <f t="shared" si="1"/>
        <v>0</v>
      </c>
      <c r="BS63" s="33">
        <f>SUMIFS('Data For Calculation - Insuranc'!I:I,'Data For Calculation - Insuranc'!$A:$A,$A63)</f>
        <v>0</v>
      </c>
      <c r="BT63" s="33">
        <f>SUMIFS('Data For Calculation - Insuranc'!J:J,'Data For Calculation - Insuranc'!$A:$A,$A63)</f>
        <v>0</v>
      </c>
      <c r="BU63" s="33">
        <f>SUMIFS('Data For Calculation - Insuranc'!K:K,'Data For Calculation - Insuranc'!$A:$A,$A63)</f>
        <v>0</v>
      </c>
      <c r="BV63" s="33">
        <f>IF($CC63 = "Dealer", SUMIFS('Data For Calculation - Insuranc'!I:I,'Data For Calculation - Insuranc'!$B:$B,$A63,'Data For Calculation - Insuranc'!$H:$H,"Master Dealer")) + SUMIFS('Data For Calculation - Insuranc'!I:I,'Data For Calculation - Insuranc'!$A:$A,$A63,'Data For Calculation - Insuranc'!$H:$H,"Self")</f>
        <v>0</v>
      </c>
      <c r="BW63" s="33">
        <f>IF($CC63 = "Dealer", SUMIFS('Data For Calculation - Insuranc'!J:J,'Data For Calculation - Insuranc'!$B:$B,$A63,'Data For Calculation - Insuranc'!$H:$H,"Master Dealer")) + SUMIFS('Data For Calculation - Insuranc'!J:J,'Data For Calculation - Insuranc'!$A:$A,$A63,'Data For Calculation - Insuranc'!$H:$H,"Self")</f>
        <v>0</v>
      </c>
      <c r="BX63" s="33">
        <f>IF($CC63 = "Dealer", SUMIFS('Data For Calculation - Insuranc'!K:K,'Data For Calculation - Insuranc'!$B:$B,$A63,'Data For Calculation - Insuranc'!$H:$H,"Master Dealer")) + SUMIFS('Data For Calculation - Insuranc'!K:K,'Data For Calculation - Insuranc'!$A:$A,$A63,'Data For Calculation - Insuranc'!$H:$H,"Self")</f>
        <v>0</v>
      </c>
      <c r="BY63" s="25" t="str">
        <f>(Sheet1!N63)</f>
        <v>Manvik Motor - TVS Faridabad</v>
      </c>
      <c r="BZ63" s="25" t="str">
        <f>(Sheet1!O63)</f>
        <v>10Boa663-jOP90LwqXAfooqmBUweTsg0kbbPLy7E8GaM</v>
      </c>
      <c r="CA63" s="25" t="str">
        <f>(Sheet1!AV63)</f>
        <v/>
      </c>
      <c r="CB63" s="25" t="str">
        <f>(Sheet1!AW63)</f>
        <v/>
      </c>
      <c r="CC63" s="26" t="str">
        <f>(Sheet1!P63)</f>
        <v>Dealer</v>
      </c>
    </row>
    <row r="64">
      <c r="A64" s="25" t="str">
        <f>(Sheet1!A64)</f>
        <v>1RXGf0MnZWZO90gEU-wJzAFw-CxPPIv2RLUwr1sE1N44</v>
      </c>
      <c r="B64" s="25" t="str">
        <f>(Sheet1!B64)</f>
        <v>Gopi Auto World - Ahemdabad</v>
      </c>
      <c r="C64" s="30" t="str">
        <f>Sheet1!BB64</f>
        <v>No</v>
      </c>
      <c r="D64" s="30" t="s">
        <v>13</v>
      </c>
      <c r="E64" s="34" t="s">
        <v>13</v>
      </c>
      <c r="F64" s="30" t="s">
        <v>3817</v>
      </c>
      <c r="G64" s="31">
        <v>290.0</v>
      </c>
      <c r="H64" s="34" t="s">
        <v>3853</v>
      </c>
      <c r="I64" s="34">
        <v>0.0</v>
      </c>
      <c r="J64" s="34">
        <v>100.0</v>
      </c>
      <c r="K64" s="34">
        <v>0.0</v>
      </c>
      <c r="L64" s="34">
        <v>0.0</v>
      </c>
      <c r="M64" s="33">
        <f>COUNTIFS('Data For Calculation - Insuranc'!A:A,A64,'Data For Calculation - Insuranc'!E:E,"CPA + RSA")</f>
        <v>0</v>
      </c>
      <c r="N64" s="30" t="s">
        <v>3817</v>
      </c>
      <c r="O64" s="31">
        <v>460.0</v>
      </c>
      <c r="P64" s="34" t="s">
        <v>3853</v>
      </c>
      <c r="Q64" s="34">
        <v>0.0</v>
      </c>
      <c r="R64" s="34">
        <v>100.0</v>
      </c>
      <c r="S64" s="34">
        <v>0.0</v>
      </c>
      <c r="T64" s="34">
        <v>0.0</v>
      </c>
      <c r="U64" s="33">
        <f>COUNTIFS('Data For Calculation - Insuranc'!A:A,A64,'Data For Calculation - Insuranc'!E:E,"CPA + RSA + AHDC + DOC")</f>
        <v>0</v>
      </c>
      <c r="V64" s="30" t="s">
        <v>3817</v>
      </c>
      <c r="W64" s="34">
        <v>838.99</v>
      </c>
      <c r="X64" s="34" t="s">
        <v>3853</v>
      </c>
      <c r="Y64" s="34">
        <v>0.0</v>
      </c>
      <c r="Z64" s="34">
        <v>100.0</v>
      </c>
      <c r="AA64" s="34">
        <v>0.0</v>
      </c>
      <c r="AB64" s="34">
        <v>0.0</v>
      </c>
      <c r="AC64" s="33">
        <f>COUNTIFS('Data For Calculation - Insuranc'!A:A,A64,'Data For Calculation - Insuranc'!E:E,"CPA + RSA : 5 Years")</f>
        <v>0</v>
      </c>
      <c r="AD64" s="30" t="s">
        <v>3817</v>
      </c>
      <c r="AE64" s="31">
        <v>838.99</v>
      </c>
      <c r="AF64" s="34" t="s">
        <v>3853</v>
      </c>
      <c r="AG64" s="34">
        <v>0.0</v>
      </c>
      <c r="AH64" s="34">
        <v>100.0</v>
      </c>
      <c r="AI64" s="34">
        <v>0.0</v>
      </c>
      <c r="AJ64" s="34">
        <v>0.0</v>
      </c>
      <c r="AK64" s="33">
        <f>COUNTIFS('Data For Calculation - Insuranc'!A:A,A64,'Data For Calculation - Insuranc'!E:E,"Assistance + CPA : 5 Years")</f>
        <v>0</v>
      </c>
      <c r="AL64" s="30" t="s">
        <v>3817</v>
      </c>
      <c r="AM64" s="31">
        <v>290.0</v>
      </c>
      <c r="AN64" s="34" t="s">
        <v>3853</v>
      </c>
      <c r="AO64" s="34">
        <v>0.0</v>
      </c>
      <c r="AP64" s="34">
        <v>100.0</v>
      </c>
      <c r="AQ64" s="34">
        <v>0.0</v>
      </c>
      <c r="AR64" s="34">
        <v>0.0</v>
      </c>
      <c r="AS64" s="33">
        <f>COUNTIFS('Data For Calculation - Insuranc'!A:A,A64,'Data For Calculation - Insuranc'!E:E,"RSA + AHDC + DOC")</f>
        <v>0</v>
      </c>
      <c r="AT64" s="33"/>
      <c r="AU64" s="33"/>
      <c r="AV64" s="33"/>
      <c r="AW64" s="33"/>
      <c r="AX64" s="33"/>
      <c r="AY64" s="33"/>
      <c r="AZ64" s="33"/>
      <c r="BA64" s="33"/>
      <c r="BB64" s="33"/>
      <c r="BC64" s="33"/>
      <c r="BD64" s="33"/>
      <c r="BE64" s="33"/>
      <c r="BF64" s="33"/>
      <c r="BG64" s="33"/>
      <c r="BH64" s="33"/>
      <c r="BI64" s="33"/>
      <c r="BJ64" s="33"/>
      <c r="BK64" s="33"/>
      <c r="BL64" s="33"/>
      <c r="BM64" s="33"/>
      <c r="BN64" s="33"/>
      <c r="BO64" s="33"/>
      <c r="BP64" s="33"/>
      <c r="BQ64" s="33"/>
      <c r="BR64" s="33">
        <f t="shared" si="1"/>
        <v>0</v>
      </c>
      <c r="BS64" s="33">
        <f>SUMIFS('Data For Calculation - Insuranc'!I:I,'Data For Calculation - Insuranc'!$A:$A,$A64)</f>
        <v>0</v>
      </c>
      <c r="BT64" s="33">
        <f>SUMIFS('Data For Calculation - Insuranc'!J:J,'Data For Calculation - Insuranc'!$A:$A,$A64)</f>
        <v>0</v>
      </c>
      <c r="BU64" s="33">
        <f>SUMIFS('Data For Calculation - Insuranc'!K:K,'Data For Calculation - Insuranc'!$A:$A,$A64)</f>
        <v>0</v>
      </c>
      <c r="BV64" s="33">
        <f>IF($CC64 = "Dealer", SUMIFS('Data For Calculation - Insuranc'!I:I,'Data For Calculation - Insuranc'!$B:$B,$A64,'Data For Calculation - Insuranc'!$H:$H,"Master Dealer")) + SUMIFS('Data For Calculation - Insuranc'!I:I,'Data For Calculation - Insuranc'!$A:$A,$A64,'Data For Calculation - Insuranc'!$H:$H,"Self")</f>
        <v>0</v>
      </c>
      <c r="BW64" s="33">
        <f>IF($CC64 = "Dealer", SUMIFS('Data For Calculation - Insuranc'!J:J,'Data For Calculation - Insuranc'!$B:$B,$A64,'Data For Calculation - Insuranc'!$H:$H,"Master Dealer")) + SUMIFS('Data For Calculation - Insuranc'!J:J,'Data For Calculation - Insuranc'!$A:$A,$A64,'Data For Calculation - Insuranc'!$H:$H,"Self")</f>
        <v>0</v>
      </c>
      <c r="BX64" s="33">
        <f>IF($CC64 = "Dealer", SUMIFS('Data For Calculation - Insuranc'!K:K,'Data For Calculation - Insuranc'!$B:$B,$A64,'Data For Calculation - Insuranc'!$H:$H,"Master Dealer")) + SUMIFS('Data For Calculation - Insuranc'!K:K,'Data For Calculation - Insuranc'!$A:$A,$A64,'Data For Calculation - Insuranc'!$H:$H,"Self")</f>
        <v>0</v>
      </c>
      <c r="BY64" s="25" t="str">
        <f>(Sheet1!N64)</f>
        <v>Gopi Auto World - Ahemdabad</v>
      </c>
      <c r="BZ64" s="25" t="str">
        <f>(Sheet1!O64)</f>
        <v>1RXGf0MnZWZO90gEU-wJzAFw-CxPPIv2RLUwr1sE1N44</v>
      </c>
      <c r="CA64" s="25" t="str">
        <f>(Sheet1!AV64)</f>
        <v/>
      </c>
      <c r="CB64" s="25" t="str">
        <f>(Sheet1!AW64)</f>
        <v/>
      </c>
      <c r="CC64" s="26" t="str">
        <f>(Sheet1!P64)</f>
        <v>Dealer</v>
      </c>
    </row>
    <row r="65">
      <c r="A65" s="25" t="str">
        <f>(Sheet1!A65)</f>
        <v>1o-kgAGYwJQGPJwLj0hYgwKABboMbPKDLAWI9iRmz2LU</v>
      </c>
      <c r="B65" s="25" t="str">
        <f>(Sheet1!B65)</f>
        <v>Dhruv Hero - Ambala</v>
      </c>
      <c r="C65" s="30" t="str">
        <f>Sheet1!BB65</f>
        <v>No</v>
      </c>
      <c r="D65" s="30" t="s">
        <v>13</v>
      </c>
      <c r="E65" s="34" t="s">
        <v>13</v>
      </c>
      <c r="F65" s="30" t="s">
        <v>3817</v>
      </c>
      <c r="G65" s="31">
        <v>290.0</v>
      </c>
      <c r="H65" s="34" t="s">
        <v>3853</v>
      </c>
      <c r="I65" s="34">
        <v>0.0</v>
      </c>
      <c r="J65" s="34">
        <v>100.0</v>
      </c>
      <c r="K65" s="34">
        <v>0.0</v>
      </c>
      <c r="L65" s="34">
        <v>0.0</v>
      </c>
      <c r="M65" s="33">
        <f>COUNTIFS('Data For Calculation - Insuranc'!A:A,A65,'Data For Calculation - Insuranc'!E:E,"CPA + RSA")</f>
        <v>0</v>
      </c>
      <c r="N65" s="30" t="s">
        <v>3817</v>
      </c>
      <c r="O65" s="31">
        <v>460.0</v>
      </c>
      <c r="P65" s="34" t="s">
        <v>3853</v>
      </c>
      <c r="Q65" s="34">
        <v>0.0</v>
      </c>
      <c r="R65" s="34">
        <v>100.0</v>
      </c>
      <c r="S65" s="34">
        <v>0.0</v>
      </c>
      <c r="T65" s="34">
        <v>0.0</v>
      </c>
      <c r="U65" s="33">
        <f>COUNTIFS('Data For Calculation - Insuranc'!A:A,A65,'Data For Calculation - Insuranc'!E:E,"CPA + RSA + AHDC + DOC")</f>
        <v>0</v>
      </c>
      <c r="V65" s="30" t="s">
        <v>3817</v>
      </c>
      <c r="W65" s="34">
        <v>838.99</v>
      </c>
      <c r="X65" s="34" t="s">
        <v>3853</v>
      </c>
      <c r="Y65" s="34">
        <v>0.0</v>
      </c>
      <c r="Z65" s="34">
        <v>100.0</v>
      </c>
      <c r="AA65" s="34">
        <v>0.0</v>
      </c>
      <c r="AB65" s="34">
        <v>0.0</v>
      </c>
      <c r="AC65" s="33">
        <f>COUNTIFS('Data For Calculation - Insuranc'!A:A,A65,'Data For Calculation - Insuranc'!E:E,"CPA + RSA : 5 Years")</f>
        <v>0</v>
      </c>
      <c r="AD65" s="30" t="s">
        <v>3817</v>
      </c>
      <c r="AE65" s="31">
        <v>838.99</v>
      </c>
      <c r="AF65" s="34" t="s">
        <v>3853</v>
      </c>
      <c r="AG65" s="34">
        <v>0.0</v>
      </c>
      <c r="AH65" s="34">
        <v>100.0</v>
      </c>
      <c r="AI65" s="34">
        <v>0.0</v>
      </c>
      <c r="AJ65" s="34">
        <v>0.0</v>
      </c>
      <c r="AK65" s="33">
        <f>COUNTIFS('Data For Calculation - Insuranc'!A:A,A65,'Data For Calculation - Insuranc'!E:E,"Assistance + CPA : 5 Years")</f>
        <v>0</v>
      </c>
      <c r="AL65" s="30" t="s">
        <v>3817</v>
      </c>
      <c r="AM65" s="31">
        <v>290.0</v>
      </c>
      <c r="AN65" s="34" t="s">
        <v>3853</v>
      </c>
      <c r="AO65" s="34">
        <v>0.0</v>
      </c>
      <c r="AP65" s="34">
        <v>100.0</v>
      </c>
      <c r="AQ65" s="34">
        <v>0.0</v>
      </c>
      <c r="AR65" s="34">
        <v>0.0</v>
      </c>
      <c r="AS65" s="33">
        <f>COUNTIFS('Data For Calculation - Insuranc'!A:A,A65,'Data For Calculation - Insuranc'!E:E,"RSA + AHDC + DOC")</f>
        <v>0</v>
      </c>
      <c r="AT65" s="33"/>
      <c r="AU65" s="33"/>
      <c r="AV65" s="33"/>
      <c r="AW65" s="33"/>
      <c r="AX65" s="33"/>
      <c r="AY65" s="33"/>
      <c r="AZ65" s="33"/>
      <c r="BA65" s="33"/>
      <c r="BB65" s="33"/>
      <c r="BC65" s="33"/>
      <c r="BD65" s="33"/>
      <c r="BE65" s="33"/>
      <c r="BF65" s="33"/>
      <c r="BG65" s="33"/>
      <c r="BH65" s="33"/>
      <c r="BI65" s="33"/>
      <c r="BJ65" s="33"/>
      <c r="BK65" s="33"/>
      <c r="BL65" s="33"/>
      <c r="BM65" s="33"/>
      <c r="BN65" s="33"/>
      <c r="BO65" s="33"/>
      <c r="BP65" s="33"/>
      <c r="BQ65" s="33"/>
      <c r="BR65" s="33">
        <f t="shared" si="1"/>
        <v>0</v>
      </c>
      <c r="BS65" s="33">
        <f>SUMIFS('Data For Calculation - Insuranc'!I:I,'Data For Calculation - Insuranc'!$A:$A,$A65)</f>
        <v>0</v>
      </c>
      <c r="BT65" s="33">
        <f>SUMIFS('Data For Calculation - Insuranc'!J:J,'Data For Calculation - Insuranc'!$A:$A,$A65)</f>
        <v>0</v>
      </c>
      <c r="BU65" s="33">
        <f>SUMIFS('Data For Calculation - Insuranc'!K:K,'Data For Calculation - Insuranc'!$A:$A,$A65)</f>
        <v>0</v>
      </c>
      <c r="BV65" s="33">
        <f>IF($CC65 = "Dealer", SUMIFS('Data For Calculation - Insuranc'!I:I,'Data For Calculation - Insuranc'!$B:$B,$A65,'Data For Calculation - Insuranc'!$H:$H,"Master Dealer")) + SUMIFS('Data For Calculation - Insuranc'!I:I,'Data For Calculation - Insuranc'!$A:$A,$A65,'Data For Calculation - Insuranc'!$H:$H,"Self")</f>
        <v>0</v>
      </c>
      <c r="BW65" s="33">
        <f>IF($CC65 = "Dealer", SUMIFS('Data For Calculation - Insuranc'!J:J,'Data For Calculation - Insuranc'!$B:$B,$A65,'Data For Calculation - Insuranc'!$H:$H,"Master Dealer")) + SUMIFS('Data For Calculation - Insuranc'!J:J,'Data For Calculation - Insuranc'!$A:$A,$A65,'Data For Calculation - Insuranc'!$H:$H,"Self")</f>
        <v>0</v>
      </c>
      <c r="BX65" s="33">
        <f>IF($CC65 = "Dealer", SUMIFS('Data For Calculation - Insuranc'!K:K,'Data For Calculation - Insuranc'!$B:$B,$A65,'Data For Calculation - Insuranc'!$H:$H,"Master Dealer")) + SUMIFS('Data For Calculation - Insuranc'!K:K,'Data For Calculation - Insuranc'!$A:$A,$A65,'Data For Calculation - Insuranc'!$H:$H,"Self")</f>
        <v>0</v>
      </c>
      <c r="BY65" s="25" t="str">
        <f>(Sheet1!N65)</f>
        <v>Dhruv Hero - Ambala</v>
      </c>
      <c r="BZ65" s="25" t="str">
        <f>(Sheet1!O65)</f>
        <v>1o-kgAGYwJQGPJwLj0hYgwKABboMbPKDLAWI9iRmz2LU</v>
      </c>
      <c r="CA65" s="25" t="str">
        <f>(Sheet1!AV65)</f>
        <v/>
      </c>
      <c r="CB65" s="25" t="str">
        <f>(Sheet1!AW65)</f>
        <v/>
      </c>
      <c r="CC65" s="26" t="str">
        <f>(Sheet1!P65)</f>
        <v>Dealer</v>
      </c>
    </row>
    <row r="66">
      <c r="A66" s="25" t="str">
        <f>(Sheet1!A66)</f>
        <v>1brEaJJIr9CUuMyBbZl1_6v1V659tqpHO6omaGzj0JnM</v>
      </c>
      <c r="B66" s="25" t="str">
        <f>(Sheet1!B66)</f>
        <v>Mahi Motors (KMB)</v>
      </c>
      <c r="C66" s="30" t="str">
        <f>Sheet1!BB66</f>
        <v>No</v>
      </c>
      <c r="D66" s="30" t="s">
        <v>13</v>
      </c>
      <c r="E66" s="34" t="s">
        <v>13</v>
      </c>
      <c r="F66" s="30" t="s">
        <v>3820</v>
      </c>
      <c r="G66" s="31">
        <v>290.0</v>
      </c>
      <c r="H66" s="34" t="s">
        <v>3853</v>
      </c>
      <c r="I66" s="34">
        <v>0.0</v>
      </c>
      <c r="J66" s="34">
        <v>100.0</v>
      </c>
      <c r="K66" s="34">
        <v>0.0</v>
      </c>
      <c r="L66" s="34">
        <v>0.0</v>
      </c>
      <c r="M66" s="33">
        <f>COUNTIFS('Data For Calculation - Insuranc'!A:A,A66,'Data For Calculation - Insuranc'!E:E,"CPA + RSA")</f>
        <v>0</v>
      </c>
      <c r="N66" s="30" t="s">
        <v>3820</v>
      </c>
      <c r="O66" s="31">
        <v>460.0</v>
      </c>
      <c r="P66" s="34" t="s">
        <v>3853</v>
      </c>
      <c r="Q66" s="34">
        <v>0.0</v>
      </c>
      <c r="R66" s="34">
        <v>100.0</v>
      </c>
      <c r="S66" s="34">
        <v>0.0</v>
      </c>
      <c r="T66" s="34">
        <v>0.0</v>
      </c>
      <c r="U66" s="33">
        <f>COUNTIFS('Data For Calculation - Insuranc'!A:A,A66,'Data For Calculation - Insuranc'!E:E,"CPA + RSA + AHDC + DOC")</f>
        <v>0</v>
      </c>
      <c r="V66" s="30" t="s">
        <v>3820</v>
      </c>
      <c r="W66" s="34">
        <v>838.99</v>
      </c>
      <c r="X66" s="34" t="s">
        <v>3853</v>
      </c>
      <c r="Y66" s="34">
        <v>0.0</v>
      </c>
      <c r="Z66" s="34">
        <v>100.0</v>
      </c>
      <c r="AA66" s="34">
        <v>0.0</v>
      </c>
      <c r="AB66" s="34">
        <v>0.0</v>
      </c>
      <c r="AC66" s="33">
        <f>COUNTIFS('Data For Calculation - Insuranc'!A:A,A66,'Data For Calculation - Insuranc'!E:E,"CPA + RSA : 5 Years")</f>
        <v>0</v>
      </c>
      <c r="AD66" s="30" t="s">
        <v>3820</v>
      </c>
      <c r="AE66" s="31">
        <v>838.99</v>
      </c>
      <c r="AF66" s="34" t="s">
        <v>3853</v>
      </c>
      <c r="AG66" s="34">
        <v>0.0</v>
      </c>
      <c r="AH66" s="34">
        <v>100.0</v>
      </c>
      <c r="AI66" s="34">
        <v>0.0</v>
      </c>
      <c r="AJ66" s="34">
        <v>0.0</v>
      </c>
      <c r="AK66" s="33">
        <f>COUNTIFS('Data For Calculation - Insuranc'!A:A,A66,'Data For Calculation - Insuranc'!E:E,"Assistance + CPA : 5 Years")</f>
        <v>0</v>
      </c>
      <c r="AL66" s="30" t="s">
        <v>3820</v>
      </c>
      <c r="AM66" s="31">
        <v>290.0</v>
      </c>
      <c r="AN66" s="34" t="s">
        <v>3853</v>
      </c>
      <c r="AO66" s="34">
        <v>0.0</v>
      </c>
      <c r="AP66" s="34">
        <v>100.0</v>
      </c>
      <c r="AQ66" s="34">
        <v>0.0</v>
      </c>
      <c r="AR66" s="34">
        <v>0.0</v>
      </c>
      <c r="AS66" s="33">
        <f>COUNTIFS('Data For Calculation - Insuranc'!A:A,A66,'Data For Calculation - Insuranc'!E:E,"RSA + AHDC + DOC")</f>
        <v>0</v>
      </c>
      <c r="AT66" s="33"/>
      <c r="AU66" s="33"/>
      <c r="AV66" s="33"/>
      <c r="AW66" s="33"/>
      <c r="AX66" s="33"/>
      <c r="AY66" s="33"/>
      <c r="AZ66" s="33"/>
      <c r="BA66" s="33"/>
      <c r="BB66" s="33"/>
      <c r="BC66" s="33"/>
      <c r="BD66" s="33"/>
      <c r="BE66" s="33"/>
      <c r="BF66" s="33"/>
      <c r="BG66" s="33"/>
      <c r="BH66" s="33"/>
      <c r="BI66" s="33"/>
      <c r="BJ66" s="33"/>
      <c r="BK66" s="33"/>
      <c r="BL66" s="33"/>
      <c r="BM66" s="33"/>
      <c r="BN66" s="33"/>
      <c r="BO66" s="33"/>
      <c r="BP66" s="33"/>
      <c r="BQ66" s="33"/>
      <c r="BR66" s="33">
        <f t="shared" si="1"/>
        <v>0</v>
      </c>
      <c r="BS66" s="33">
        <f>SUMIFS('Data For Calculation - Insuranc'!I:I,'Data For Calculation - Insuranc'!$A:$A,$A66)</f>
        <v>0</v>
      </c>
      <c r="BT66" s="33">
        <f>SUMIFS('Data For Calculation - Insuranc'!J:J,'Data For Calculation - Insuranc'!$A:$A,$A66)</f>
        <v>0</v>
      </c>
      <c r="BU66" s="33">
        <f>SUMIFS('Data For Calculation - Insuranc'!K:K,'Data For Calculation - Insuranc'!$A:$A,$A66)</f>
        <v>0</v>
      </c>
      <c r="BV66" s="33">
        <f>IF($CC66 = "Dealer", SUMIFS('Data For Calculation - Insuranc'!I:I,'Data For Calculation - Insuranc'!$B:$B,$A66,'Data For Calculation - Insuranc'!$H:$H,"Master Dealer")) + SUMIFS('Data For Calculation - Insuranc'!I:I,'Data For Calculation - Insuranc'!$A:$A,$A66,'Data For Calculation - Insuranc'!$H:$H,"Self")</f>
        <v>0</v>
      </c>
      <c r="BW66" s="33">
        <f>IF($CC66 = "Dealer", SUMIFS('Data For Calculation - Insuranc'!J:J,'Data For Calculation - Insuranc'!$B:$B,$A66,'Data For Calculation - Insuranc'!$H:$H,"Master Dealer")) + SUMIFS('Data For Calculation - Insuranc'!J:J,'Data For Calculation - Insuranc'!$A:$A,$A66,'Data For Calculation - Insuranc'!$H:$H,"Self")</f>
        <v>0</v>
      </c>
      <c r="BX66" s="33">
        <f>IF($CC66 = "Dealer", SUMIFS('Data For Calculation - Insuranc'!K:K,'Data For Calculation - Insuranc'!$B:$B,$A66,'Data For Calculation - Insuranc'!$H:$H,"Master Dealer")) + SUMIFS('Data For Calculation - Insuranc'!K:K,'Data For Calculation - Insuranc'!$A:$A,$A66,'Data For Calculation - Insuranc'!$H:$H,"Self")</f>
        <v>0</v>
      </c>
      <c r="BY66" s="25" t="str">
        <f>(Sheet1!N66)</f>
        <v>Kavita Motors - Bijnor</v>
      </c>
      <c r="BZ66" s="25" t="str">
        <f>(Sheet1!O66)</f>
        <v>1p3Bu4mvhlVeVMP3Ogpf0F-2KWPlAp07JNr-X652uW0U</v>
      </c>
      <c r="CA66" s="25" t="str">
        <f>(Sheet1!AV66)</f>
        <v/>
      </c>
      <c r="CB66" s="25" t="str">
        <f>(Sheet1!AW66)</f>
        <v/>
      </c>
      <c r="CC66" s="26" t="str">
        <f>(Sheet1!P66)</f>
        <v>Sub Dealer</v>
      </c>
    </row>
    <row r="67">
      <c r="A67" s="25" t="str">
        <f>(Sheet1!A67)</f>
        <v>1DS5NtcGph94jJUNKazFINpAqRSIEGCBtibwVxAM7-qM</v>
      </c>
      <c r="B67" s="25" t="str">
        <f>(Sheet1!B67)</f>
        <v>NV Automobiles - TVS Mathura</v>
      </c>
      <c r="C67" s="30" t="str">
        <f>Sheet1!BB67</f>
        <v>No</v>
      </c>
      <c r="D67" s="30" t="s">
        <v>13</v>
      </c>
      <c r="E67" s="34" t="s">
        <v>13</v>
      </c>
      <c r="F67" s="30" t="s">
        <v>3817</v>
      </c>
      <c r="G67" s="31">
        <v>290.0</v>
      </c>
      <c r="H67" s="34" t="s">
        <v>3853</v>
      </c>
      <c r="I67" s="34">
        <v>0.0</v>
      </c>
      <c r="J67" s="34">
        <v>100.0</v>
      </c>
      <c r="K67" s="34">
        <v>0.0</v>
      </c>
      <c r="L67" s="34">
        <v>0.0</v>
      </c>
      <c r="M67" s="33">
        <f>COUNTIFS('Data For Calculation - Insuranc'!A:A,A67,'Data For Calculation - Insuranc'!E:E,"CPA + RSA")</f>
        <v>0</v>
      </c>
      <c r="N67" s="30" t="s">
        <v>3817</v>
      </c>
      <c r="O67" s="31">
        <v>460.0</v>
      </c>
      <c r="P67" s="34" t="s">
        <v>3853</v>
      </c>
      <c r="Q67" s="34">
        <v>0.0</v>
      </c>
      <c r="R67" s="34">
        <v>100.0</v>
      </c>
      <c r="S67" s="34">
        <v>0.0</v>
      </c>
      <c r="T67" s="34">
        <v>0.0</v>
      </c>
      <c r="U67" s="33">
        <f>COUNTIFS('Data For Calculation - Insuranc'!A:A,A67,'Data For Calculation - Insuranc'!E:E,"CPA + RSA + AHDC + DOC")</f>
        <v>0</v>
      </c>
      <c r="V67" s="30" t="s">
        <v>3817</v>
      </c>
      <c r="W67" s="34">
        <v>838.99</v>
      </c>
      <c r="X67" s="34" t="s">
        <v>3853</v>
      </c>
      <c r="Y67" s="34">
        <v>0.0</v>
      </c>
      <c r="Z67" s="34">
        <v>100.0</v>
      </c>
      <c r="AA67" s="34">
        <v>0.0</v>
      </c>
      <c r="AB67" s="34">
        <v>0.0</v>
      </c>
      <c r="AC67" s="33">
        <f>COUNTIFS('Data For Calculation - Insuranc'!A:A,A67,'Data For Calculation - Insuranc'!E:E,"CPA + RSA : 5 Years")</f>
        <v>0</v>
      </c>
      <c r="AD67" s="30" t="s">
        <v>3817</v>
      </c>
      <c r="AE67" s="31">
        <v>838.99</v>
      </c>
      <c r="AF67" s="34" t="s">
        <v>3853</v>
      </c>
      <c r="AG67" s="34">
        <v>0.0</v>
      </c>
      <c r="AH67" s="34">
        <v>100.0</v>
      </c>
      <c r="AI67" s="34">
        <v>0.0</v>
      </c>
      <c r="AJ67" s="34">
        <v>0.0</v>
      </c>
      <c r="AK67" s="33">
        <f>COUNTIFS('Data For Calculation - Insuranc'!A:A,A67,'Data For Calculation - Insuranc'!E:E,"Assistance + CPA : 5 Years")</f>
        <v>0</v>
      </c>
      <c r="AL67" s="30" t="s">
        <v>3817</v>
      </c>
      <c r="AM67" s="31">
        <v>290.0</v>
      </c>
      <c r="AN67" s="34" t="s">
        <v>3853</v>
      </c>
      <c r="AO67" s="34">
        <v>0.0</v>
      </c>
      <c r="AP67" s="34">
        <v>100.0</v>
      </c>
      <c r="AQ67" s="34">
        <v>0.0</v>
      </c>
      <c r="AR67" s="34">
        <v>0.0</v>
      </c>
      <c r="AS67" s="33">
        <f>COUNTIFS('Data For Calculation - Insuranc'!A:A,A67,'Data For Calculation - Insuranc'!E:E,"RSA + AHDC + DOC")</f>
        <v>0</v>
      </c>
      <c r="AT67" s="33"/>
      <c r="AU67" s="33"/>
      <c r="AV67" s="33"/>
      <c r="AW67" s="33"/>
      <c r="AX67" s="33"/>
      <c r="AY67" s="33"/>
      <c r="AZ67" s="33"/>
      <c r="BA67" s="33"/>
      <c r="BB67" s="33"/>
      <c r="BC67" s="33"/>
      <c r="BD67" s="33"/>
      <c r="BE67" s="33"/>
      <c r="BF67" s="33"/>
      <c r="BG67" s="33"/>
      <c r="BH67" s="33"/>
      <c r="BI67" s="33"/>
      <c r="BJ67" s="33"/>
      <c r="BK67" s="33"/>
      <c r="BL67" s="33"/>
      <c r="BM67" s="33"/>
      <c r="BN67" s="33"/>
      <c r="BO67" s="33"/>
      <c r="BP67" s="33"/>
      <c r="BQ67" s="33"/>
      <c r="BR67" s="33">
        <f t="shared" si="1"/>
        <v>0</v>
      </c>
      <c r="BS67" s="33">
        <f>SUMIFS('Data For Calculation - Insuranc'!I:I,'Data For Calculation - Insuranc'!$A:$A,$A67)</f>
        <v>0</v>
      </c>
      <c r="BT67" s="33">
        <f>SUMIFS('Data For Calculation - Insuranc'!J:J,'Data For Calculation - Insuranc'!$A:$A,$A67)</f>
        <v>0</v>
      </c>
      <c r="BU67" s="33">
        <f>SUMIFS('Data For Calculation - Insuranc'!K:K,'Data For Calculation - Insuranc'!$A:$A,$A67)</f>
        <v>0</v>
      </c>
      <c r="BV67" s="33">
        <f>IF($CC67 = "Dealer", SUMIFS('Data For Calculation - Insuranc'!I:I,'Data For Calculation - Insuranc'!$B:$B,$A67,'Data For Calculation - Insuranc'!$H:$H,"Master Dealer")) + SUMIFS('Data For Calculation - Insuranc'!I:I,'Data For Calculation - Insuranc'!$A:$A,$A67,'Data For Calculation - Insuranc'!$H:$H,"Self")</f>
        <v>0</v>
      </c>
      <c r="BW67" s="33">
        <f>IF($CC67 = "Dealer", SUMIFS('Data For Calculation - Insuranc'!J:J,'Data For Calculation - Insuranc'!$B:$B,$A67,'Data For Calculation - Insuranc'!$H:$H,"Master Dealer")) + SUMIFS('Data For Calculation - Insuranc'!J:J,'Data For Calculation - Insuranc'!$A:$A,$A67,'Data For Calculation - Insuranc'!$H:$H,"Self")</f>
        <v>0</v>
      </c>
      <c r="BX67" s="33">
        <f>IF($CC67 = "Dealer", SUMIFS('Data For Calculation - Insuranc'!K:K,'Data For Calculation - Insuranc'!$B:$B,$A67,'Data For Calculation - Insuranc'!$H:$H,"Master Dealer")) + SUMIFS('Data For Calculation - Insuranc'!K:K,'Data For Calculation - Insuranc'!$A:$A,$A67,'Data For Calculation - Insuranc'!$H:$H,"Self")</f>
        <v>0</v>
      </c>
      <c r="BY67" s="25" t="str">
        <f>(Sheet1!N67)</f>
        <v>NV Automobiles - TVS Mathura</v>
      </c>
      <c r="BZ67" s="25" t="str">
        <f>(Sheet1!O67)</f>
        <v>1DS5NtcGph94jJUNKazFINpAqRSIEGCBtibwVxAM7-qM</v>
      </c>
      <c r="CA67" s="25" t="str">
        <f>(Sheet1!AV67)</f>
        <v/>
      </c>
      <c r="CB67" s="25" t="str">
        <f>(Sheet1!AW67)</f>
        <v/>
      </c>
      <c r="CC67" s="26" t="str">
        <f>(Sheet1!P67)</f>
        <v>Dealer</v>
      </c>
    </row>
    <row r="68">
      <c r="A68" s="25" t="str">
        <f>(Sheet1!A68)</f>
        <v>1_xzpyB0amoYhYfY1WdkZ6GVcQiaJKzjQJfus2Cafu-I</v>
      </c>
      <c r="B68" s="25" t="str">
        <f>(Sheet1!B68)</f>
        <v>Saheb Hero - Sahibabad</v>
      </c>
      <c r="C68" s="30" t="str">
        <f>Sheet1!BB68</f>
        <v>No</v>
      </c>
      <c r="D68" s="30" t="s">
        <v>13</v>
      </c>
      <c r="E68" s="34" t="s">
        <v>13</v>
      </c>
      <c r="F68" s="30" t="s">
        <v>3817</v>
      </c>
      <c r="G68" s="31">
        <v>290.0</v>
      </c>
      <c r="H68" s="34" t="s">
        <v>3853</v>
      </c>
      <c r="I68" s="34">
        <v>0.0</v>
      </c>
      <c r="J68" s="34">
        <v>100.0</v>
      </c>
      <c r="K68" s="34">
        <v>0.0</v>
      </c>
      <c r="L68" s="34">
        <v>0.0</v>
      </c>
      <c r="M68" s="33">
        <f>COUNTIFS('Data For Calculation - Insuranc'!A:A,A68,'Data For Calculation - Insuranc'!E:E,"CPA + RSA")</f>
        <v>0</v>
      </c>
      <c r="N68" s="30" t="s">
        <v>3817</v>
      </c>
      <c r="O68" s="31">
        <v>460.0</v>
      </c>
      <c r="P68" s="34" t="s">
        <v>3853</v>
      </c>
      <c r="Q68" s="34">
        <v>0.0</v>
      </c>
      <c r="R68" s="34">
        <v>100.0</v>
      </c>
      <c r="S68" s="34">
        <v>0.0</v>
      </c>
      <c r="T68" s="34">
        <v>0.0</v>
      </c>
      <c r="U68" s="33">
        <f>COUNTIFS('Data For Calculation - Insuranc'!A:A,A68,'Data For Calculation - Insuranc'!E:E,"CPA + RSA + AHDC + DOC")</f>
        <v>0</v>
      </c>
      <c r="V68" s="30" t="s">
        <v>3817</v>
      </c>
      <c r="W68" s="34">
        <v>838.99</v>
      </c>
      <c r="X68" s="34" t="s">
        <v>3853</v>
      </c>
      <c r="Y68" s="34">
        <v>0.0</v>
      </c>
      <c r="Z68" s="34">
        <v>100.0</v>
      </c>
      <c r="AA68" s="34">
        <v>0.0</v>
      </c>
      <c r="AB68" s="34">
        <v>0.0</v>
      </c>
      <c r="AC68" s="33">
        <f>COUNTIFS('Data For Calculation - Insuranc'!A:A,A68,'Data For Calculation - Insuranc'!E:E,"CPA + RSA : 5 Years")</f>
        <v>0</v>
      </c>
      <c r="AD68" s="30" t="s">
        <v>3817</v>
      </c>
      <c r="AE68" s="31">
        <v>838.99</v>
      </c>
      <c r="AF68" s="34" t="s">
        <v>3853</v>
      </c>
      <c r="AG68" s="34">
        <v>0.0</v>
      </c>
      <c r="AH68" s="34">
        <v>100.0</v>
      </c>
      <c r="AI68" s="34">
        <v>0.0</v>
      </c>
      <c r="AJ68" s="34">
        <v>0.0</v>
      </c>
      <c r="AK68" s="33">
        <f>COUNTIFS('Data For Calculation - Insuranc'!A:A,A68,'Data For Calculation - Insuranc'!E:E,"Assistance + CPA : 5 Years")</f>
        <v>0</v>
      </c>
      <c r="AL68" s="30" t="s">
        <v>3817</v>
      </c>
      <c r="AM68" s="31">
        <v>290.0</v>
      </c>
      <c r="AN68" s="34" t="s">
        <v>3853</v>
      </c>
      <c r="AO68" s="34">
        <v>0.0</v>
      </c>
      <c r="AP68" s="34">
        <v>100.0</v>
      </c>
      <c r="AQ68" s="34">
        <v>0.0</v>
      </c>
      <c r="AR68" s="34">
        <v>0.0</v>
      </c>
      <c r="AS68" s="33">
        <f>COUNTIFS('Data For Calculation - Insuranc'!A:A,A68,'Data For Calculation - Insuranc'!E:E,"RSA + AHDC + DOC")</f>
        <v>0</v>
      </c>
      <c r="AT68" s="33"/>
      <c r="AU68" s="33"/>
      <c r="AV68" s="33"/>
      <c r="AW68" s="33"/>
      <c r="AX68" s="33"/>
      <c r="AY68" s="33"/>
      <c r="AZ68" s="33"/>
      <c r="BA68" s="33"/>
      <c r="BB68" s="33"/>
      <c r="BC68" s="33"/>
      <c r="BD68" s="33"/>
      <c r="BE68" s="33"/>
      <c r="BF68" s="33"/>
      <c r="BG68" s="33"/>
      <c r="BH68" s="33"/>
      <c r="BI68" s="33"/>
      <c r="BJ68" s="33"/>
      <c r="BK68" s="33"/>
      <c r="BL68" s="33"/>
      <c r="BM68" s="33"/>
      <c r="BN68" s="33"/>
      <c r="BO68" s="33"/>
      <c r="BP68" s="33"/>
      <c r="BQ68" s="33"/>
      <c r="BR68" s="33">
        <f t="shared" si="1"/>
        <v>0</v>
      </c>
      <c r="BS68" s="33">
        <f>SUMIFS('Data For Calculation - Insuranc'!I:I,'Data For Calculation - Insuranc'!$A:$A,$A68)</f>
        <v>0</v>
      </c>
      <c r="BT68" s="33">
        <f>SUMIFS('Data For Calculation - Insuranc'!J:J,'Data For Calculation - Insuranc'!$A:$A,$A68)</f>
        <v>0</v>
      </c>
      <c r="BU68" s="33">
        <f>SUMIFS('Data For Calculation - Insuranc'!K:K,'Data For Calculation - Insuranc'!$A:$A,$A68)</f>
        <v>0</v>
      </c>
      <c r="BV68" s="33">
        <f>IF($CC68 = "Dealer", SUMIFS('Data For Calculation - Insuranc'!I:I,'Data For Calculation - Insuranc'!$B:$B,$A68,'Data For Calculation - Insuranc'!$H:$H,"Master Dealer")) + SUMIFS('Data For Calculation - Insuranc'!I:I,'Data For Calculation - Insuranc'!$A:$A,$A68,'Data For Calculation - Insuranc'!$H:$H,"Self")</f>
        <v>0</v>
      </c>
      <c r="BW68" s="33">
        <f>IF($CC68 = "Dealer", SUMIFS('Data For Calculation - Insuranc'!J:J,'Data For Calculation - Insuranc'!$B:$B,$A68,'Data For Calculation - Insuranc'!$H:$H,"Master Dealer")) + SUMIFS('Data For Calculation - Insuranc'!J:J,'Data For Calculation - Insuranc'!$A:$A,$A68,'Data For Calculation - Insuranc'!$H:$H,"Self")</f>
        <v>0</v>
      </c>
      <c r="BX68" s="33">
        <f>IF($CC68 = "Dealer", SUMIFS('Data For Calculation - Insuranc'!K:K,'Data For Calculation - Insuranc'!$B:$B,$A68,'Data For Calculation - Insuranc'!$H:$H,"Master Dealer")) + SUMIFS('Data For Calculation - Insuranc'!K:K,'Data For Calculation - Insuranc'!$A:$A,$A68,'Data For Calculation - Insuranc'!$H:$H,"Self")</f>
        <v>0</v>
      </c>
      <c r="BY68" s="25" t="str">
        <f>(Sheet1!N68)</f>
        <v>Saheb Hero - Sahibabad</v>
      </c>
      <c r="BZ68" s="25" t="str">
        <f>(Sheet1!O68)</f>
        <v>1_xzpyB0amoYhYfY1WdkZ6GVcQiaJKzjQJfus2Cafu-I</v>
      </c>
      <c r="CA68" s="25" t="str">
        <f>(Sheet1!AV68)</f>
        <v/>
      </c>
      <c r="CB68" s="25" t="str">
        <f>(Sheet1!AW68)</f>
        <v/>
      </c>
      <c r="CC68" s="26" t="str">
        <f>(Sheet1!P68)</f>
        <v>Dealer</v>
      </c>
    </row>
    <row r="69">
      <c r="A69" s="25" t="str">
        <f>(Sheet1!A69)</f>
        <v>1ek5ZSLYEG8WzBo8pYbS1V3846hx1xCXCDzzgtbytVUQ</v>
      </c>
      <c r="B69" s="25" t="str">
        <f>(Sheet1!B69)</f>
        <v>MAA JAGDAMBA AUTOS VAW- GANGIRI</v>
      </c>
      <c r="C69" s="30" t="str">
        <f>Sheet1!BB69</f>
        <v>No</v>
      </c>
      <c r="D69" s="30" t="s">
        <v>13</v>
      </c>
      <c r="E69" s="34" t="s">
        <v>13</v>
      </c>
      <c r="F69" s="30" t="s">
        <v>3820</v>
      </c>
      <c r="G69" s="31">
        <v>170.0</v>
      </c>
      <c r="H69" s="34" t="s">
        <v>3853</v>
      </c>
      <c r="I69" s="34">
        <v>0.0</v>
      </c>
      <c r="J69" s="34">
        <v>100.0</v>
      </c>
      <c r="K69" s="34">
        <v>0.0</v>
      </c>
      <c r="L69" s="34">
        <v>0.0</v>
      </c>
      <c r="M69" s="33">
        <f>COUNTIFS('Data For Calculation - Insuranc'!A:A,A69,'Data For Calculation - Insuranc'!E:E,"CPA + RSA")</f>
        <v>0</v>
      </c>
      <c r="N69" s="30" t="s">
        <v>3820</v>
      </c>
      <c r="O69" s="31">
        <v>170.0</v>
      </c>
      <c r="P69" s="34" t="s">
        <v>3853</v>
      </c>
      <c r="Q69" s="34">
        <v>0.0</v>
      </c>
      <c r="R69" s="34">
        <v>100.0</v>
      </c>
      <c r="S69" s="34">
        <v>0.0</v>
      </c>
      <c r="T69" s="34">
        <v>0.0</v>
      </c>
      <c r="U69" s="33">
        <f>COUNTIFS('Data For Calculation - Insuranc'!A:A,A69,'Data For Calculation - Insuranc'!E:E,"CPA + RSA + AHDC + DOC")</f>
        <v>0</v>
      </c>
      <c r="V69" s="30" t="s">
        <v>3820</v>
      </c>
      <c r="W69" s="34">
        <v>838.99</v>
      </c>
      <c r="X69" s="34" t="s">
        <v>3853</v>
      </c>
      <c r="Y69" s="34">
        <v>0.0</v>
      </c>
      <c r="Z69" s="34">
        <v>100.0</v>
      </c>
      <c r="AA69" s="34">
        <v>0.0</v>
      </c>
      <c r="AB69" s="34">
        <v>0.0</v>
      </c>
      <c r="AC69" s="33">
        <f>COUNTIFS('Data For Calculation - Insuranc'!A:A,A69,'Data For Calculation - Insuranc'!E:E,"CPA + RSA : 5 Years")</f>
        <v>0</v>
      </c>
      <c r="AD69" s="30" t="s">
        <v>3820</v>
      </c>
      <c r="AE69" s="31">
        <v>838.99</v>
      </c>
      <c r="AF69" s="34" t="s">
        <v>3853</v>
      </c>
      <c r="AG69" s="34">
        <v>0.0</v>
      </c>
      <c r="AH69" s="34">
        <v>100.0</v>
      </c>
      <c r="AI69" s="34">
        <v>0.0</v>
      </c>
      <c r="AJ69" s="34">
        <v>0.0</v>
      </c>
      <c r="AK69" s="33">
        <f>COUNTIFS('Data For Calculation - Insuranc'!A:A,A69,'Data For Calculation - Insuranc'!E:E,"Assistance + CPA : 5 Years")</f>
        <v>0</v>
      </c>
      <c r="AL69" s="30" t="s">
        <v>3820</v>
      </c>
      <c r="AM69" s="31">
        <v>290.0</v>
      </c>
      <c r="AN69" s="34" t="s">
        <v>3853</v>
      </c>
      <c r="AO69" s="34">
        <v>0.0</v>
      </c>
      <c r="AP69" s="34">
        <v>100.0</v>
      </c>
      <c r="AQ69" s="34">
        <v>0.0</v>
      </c>
      <c r="AR69" s="34">
        <v>0.0</v>
      </c>
      <c r="AS69" s="33">
        <f>COUNTIFS('Data For Calculation - Insuranc'!A:A,A69,'Data For Calculation - Insuranc'!E:E,"RSA + AHDC + DOC")</f>
        <v>0</v>
      </c>
      <c r="AT69" s="33"/>
      <c r="AU69" s="33"/>
      <c r="AV69" s="33"/>
      <c r="AW69" s="33"/>
      <c r="AX69" s="33"/>
      <c r="AY69" s="33"/>
      <c r="AZ69" s="33"/>
      <c r="BA69" s="33"/>
      <c r="BB69" s="33"/>
      <c r="BC69" s="33"/>
      <c r="BD69" s="33"/>
      <c r="BE69" s="33"/>
      <c r="BF69" s="33"/>
      <c r="BG69" s="33"/>
      <c r="BH69" s="33"/>
      <c r="BI69" s="33"/>
      <c r="BJ69" s="33"/>
      <c r="BK69" s="33"/>
      <c r="BL69" s="33"/>
      <c r="BM69" s="33"/>
      <c r="BN69" s="33"/>
      <c r="BO69" s="33"/>
      <c r="BP69" s="33"/>
      <c r="BQ69" s="33"/>
      <c r="BR69" s="33">
        <f t="shared" si="1"/>
        <v>0</v>
      </c>
      <c r="BS69" s="33">
        <f>SUMIFS('Data For Calculation - Insuranc'!I:I,'Data For Calculation - Insuranc'!$A:$A,$A69)</f>
        <v>0</v>
      </c>
      <c r="BT69" s="33">
        <f>SUMIFS('Data For Calculation - Insuranc'!J:J,'Data For Calculation - Insuranc'!$A:$A,$A69)</f>
        <v>0</v>
      </c>
      <c r="BU69" s="33">
        <f>SUMIFS('Data For Calculation - Insuranc'!K:K,'Data For Calculation - Insuranc'!$A:$A,$A69)</f>
        <v>0</v>
      </c>
      <c r="BV69" s="33">
        <f>IF($CC69 = "Dealer", SUMIFS('Data For Calculation - Insuranc'!I:I,'Data For Calculation - Insuranc'!$B:$B,$A69,'Data For Calculation - Insuranc'!$H:$H,"Master Dealer")) + SUMIFS('Data For Calculation - Insuranc'!I:I,'Data For Calculation - Insuranc'!$A:$A,$A69,'Data For Calculation - Insuranc'!$H:$H,"Self")</f>
        <v>0</v>
      </c>
      <c r="BW69" s="33">
        <f>IF($CC69 = "Dealer", SUMIFS('Data For Calculation - Insuranc'!J:J,'Data For Calculation - Insuranc'!$B:$B,$A69,'Data For Calculation - Insuranc'!$H:$H,"Master Dealer")) + SUMIFS('Data For Calculation - Insuranc'!J:J,'Data For Calculation - Insuranc'!$A:$A,$A69,'Data For Calculation - Insuranc'!$H:$H,"Self")</f>
        <v>0</v>
      </c>
      <c r="BX69" s="33">
        <f>IF($CC69 = "Dealer", SUMIFS('Data For Calculation - Insuranc'!K:K,'Data For Calculation - Insuranc'!$B:$B,$A69,'Data For Calculation - Insuranc'!$H:$H,"Master Dealer")) + SUMIFS('Data For Calculation - Insuranc'!K:K,'Data For Calculation - Insuranc'!$A:$A,$A69,'Data For Calculation - Insuranc'!$H:$H,"Self")</f>
        <v>0</v>
      </c>
      <c r="BY69" s="25" t="str">
        <f>(Sheet1!N69)</f>
        <v>Vikas Autowheels</v>
      </c>
      <c r="BZ69" s="25" t="str">
        <f>(Sheet1!O69)</f>
        <v>1944RLX7T1M23YXRXYoMnJ6nD_bKLldQXRpFRA0rDLvg</v>
      </c>
      <c r="CA69" s="25" t="str">
        <f>(Sheet1!AV69)</f>
        <v/>
      </c>
      <c r="CB69" s="25" t="str">
        <f>(Sheet1!AW69)</f>
        <v/>
      </c>
      <c r="CC69" s="26" t="str">
        <f>(Sheet1!P69)</f>
        <v>Sub Dealer</v>
      </c>
    </row>
    <row r="70">
      <c r="A70" s="25" t="str">
        <f>(Sheet1!A70)</f>
        <v>1IXY2NfdDO9vHV01RX_OjMzkaXNv8-PJpgaemIeYfL2M</v>
      </c>
      <c r="B70" s="25" t="str">
        <f>(Sheet1!B70)</f>
        <v>VAW - Beswan</v>
      </c>
      <c r="C70" s="30" t="str">
        <f>Sheet1!BB70</f>
        <v>No</v>
      </c>
      <c r="D70" s="30" t="s">
        <v>13</v>
      </c>
      <c r="E70" s="34" t="s">
        <v>13</v>
      </c>
      <c r="F70" s="30" t="s">
        <v>3820</v>
      </c>
      <c r="G70" s="31">
        <v>170.0</v>
      </c>
      <c r="H70" s="34" t="s">
        <v>3853</v>
      </c>
      <c r="I70" s="34">
        <v>0.0</v>
      </c>
      <c r="J70" s="34">
        <v>100.0</v>
      </c>
      <c r="K70" s="34">
        <v>0.0</v>
      </c>
      <c r="L70" s="34">
        <v>0.0</v>
      </c>
      <c r="M70" s="33">
        <f>COUNTIFS('Data For Calculation - Insuranc'!A:A,A70,'Data For Calculation - Insuranc'!E:E,"CPA + RSA")</f>
        <v>0</v>
      </c>
      <c r="N70" s="30" t="s">
        <v>3820</v>
      </c>
      <c r="O70" s="31">
        <v>170.0</v>
      </c>
      <c r="P70" s="34" t="s">
        <v>3853</v>
      </c>
      <c r="Q70" s="34">
        <v>0.0</v>
      </c>
      <c r="R70" s="34">
        <v>100.0</v>
      </c>
      <c r="S70" s="34">
        <v>0.0</v>
      </c>
      <c r="T70" s="34">
        <v>0.0</v>
      </c>
      <c r="U70" s="33">
        <f>COUNTIFS('Data For Calculation - Insuranc'!A:A,A70,'Data For Calculation - Insuranc'!E:E,"CPA + RSA + AHDC + DOC")</f>
        <v>0</v>
      </c>
      <c r="V70" s="30" t="s">
        <v>3820</v>
      </c>
      <c r="W70" s="34">
        <v>838.99</v>
      </c>
      <c r="X70" s="34" t="s">
        <v>3853</v>
      </c>
      <c r="Y70" s="34">
        <v>0.0</v>
      </c>
      <c r="Z70" s="34">
        <v>100.0</v>
      </c>
      <c r="AA70" s="34">
        <v>0.0</v>
      </c>
      <c r="AB70" s="34">
        <v>0.0</v>
      </c>
      <c r="AC70" s="33">
        <f>COUNTIFS('Data For Calculation - Insuranc'!A:A,A70,'Data For Calculation - Insuranc'!E:E,"CPA + RSA : 5 Years")</f>
        <v>0</v>
      </c>
      <c r="AD70" s="30" t="s">
        <v>3820</v>
      </c>
      <c r="AE70" s="31">
        <v>838.99</v>
      </c>
      <c r="AF70" s="34" t="s">
        <v>3853</v>
      </c>
      <c r="AG70" s="34">
        <v>0.0</v>
      </c>
      <c r="AH70" s="34">
        <v>100.0</v>
      </c>
      <c r="AI70" s="34">
        <v>0.0</v>
      </c>
      <c r="AJ70" s="34">
        <v>0.0</v>
      </c>
      <c r="AK70" s="33">
        <f>COUNTIFS('Data For Calculation - Insuranc'!A:A,A70,'Data For Calculation - Insuranc'!E:E,"Assistance + CPA : 5 Years")</f>
        <v>0</v>
      </c>
      <c r="AL70" s="30" t="s">
        <v>3820</v>
      </c>
      <c r="AM70" s="31">
        <v>290.0</v>
      </c>
      <c r="AN70" s="34" t="s">
        <v>3853</v>
      </c>
      <c r="AO70" s="34">
        <v>0.0</v>
      </c>
      <c r="AP70" s="34">
        <v>100.0</v>
      </c>
      <c r="AQ70" s="34">
        <v>0.0</v>
      </c>
      <c r="AR70" s="34">
        <v>0.0</v>
      </c>
      <c r="AS70" s="33">
        <f>COUNTIFS('Data For Calculation - Insuranc'!A:A,A70,'Data For Calculation - Insuranc'!E:E,"RSA + AHDC + DOC")</f>
        <v>0</v>
      </c>
      <c r="AT70" s="33"/>
      <c r="AU70" s="33"/>
      <c r="AV70" s="33"/>
      <c r="AW70" s="33"/>
      <c r="AX70" s="33"/>
      <c r="AY70" s="33"/>
      <c r="AZ70" s="33"/>
      <c r="BA70" s="33"/>
      <c r="BB70" s="33"/>
      <c r="BC70" s="33"/>
      <c r="BD70" s="33"/>
      <c r="BE70" s="33"/>
      <c r="BF70" s="33"/>
      <c r="BG70" s="33"/>
      <c r="BH70" s="33"/>
      <c r="BI70" s="33"/>
      <c r="BJ70" s="33"/>
      <c r="BK70" s="33"/>
      <c r="BL70" s="33"/>
      <c r="BM70" s="33"/>
      <c r="BN70" s="33"/>
      <c r="BO70" s="33"/>
      <c r="BP70" s="33"/>
      <c r="BQ70" s="33"/>
      <c r="BR70" s="33">
        <f t="shared" si="1"/>
        <v>0</v>
      </c>
      <c r="BS70" s="33">
        <f>SUMIFS('Data For Calculation - Insuranc'!I:I,'Data For Calculation - Insuranc'!$A:$A,$A70)</f>
        <v>0</v>
      </c>
      <c r="BT70" s="33">
        <f>SUMIFS('Data For Calculation - Insuranc'!J:J,'Data For Calculation - Insuranc'!$A:$A,$A70)</f>
        <v>0</v>
      </c>
      <c r="BU70" s="33">
        <f>SUMIFS('Data For Calculation - Insuranc'!K:K,'Data For Calculation - Insuranc'!$A:$A,$A70)</f>
        <v>0</v>
      </c>
      <c r="BV70" s="33">
        <f>IF($CC70 = "Dealer", SUMIFS('Data For Calculation - Insuranc'!I:I,'Data For Calculation - Insuranc'!$B:$B,$A70,'Data For Calculation - Insuranc'!$H:$H,"Master Dealer")) + SUMIFS('Data For Calculation - Insuranc'!I:I,'Data For Calculation - Insuranc'!$A:$A,$A70,'Data For Calculation - Insuranc'!$H:$H,"Self")</f>
        <v>0</v>
      </c>
      <c r="BW70" s="33">
        <f>IF($CC70 = "Dealer", SUMIFS('Data For Calculation - Insuranc'!J:J,'Data For Calculation - Insuranc'!$B:$B,$A70,'Data For Calculation - Insuranc'!$H:$H,"Master Dealer")) + SUMIFS('Data For Calculation - Insuranc'!J:J,'Data For Calculation - Insuranc'!$A:$A,$A70,'Data For Calculation - Insuranc'!$H:$H,"Self")</f>
        <v>0</v>
      </c>
      <c r="BX70" s="33">
        <f>IF($CC70 = "Dealer", SUMIFS('Data For Calculation - Insuranc'!K:K,'Data For Calculation - Insuranc'!$B:$B,$A70,'Data For Calculation - Insuranc'!$H:$H,"Master Dealer")) + SUMIFS('Data For Calculation - Insuranc'!K:K,'Data For Calculation - Insuranc'!$A:$A,$A70,'Data For Calculation - Insuranc'!$H:$H,"Self")</f>
        <v>0</v>
      </c>
      <c r="BY70" s="25" t="str">
        <f>(Sheet1!N70)</f>
        <v>Vikas Autowheels</v>
      </c>
      <c r="BZ70" s="25" t="str">
        <f>(Sheet1!O70)</f>
        <v>1944RLX7T1M23YXRXYoMnJ6nD_bKLldQXRpFRA0rDLvg</v>
      </c>
      <c r="CA70" s="25" t="str">
        <f>(Sheet1!AV70)</f>
        <v/>
      </c>
      <c r="CB70" s="25" t="str">
        <f>(Sheet1!AW70)</f>
        <v/>
      </c>
      <c r="CC70" s="26" t="str">
        <f>(Sheet1!P70)</f>
        <v>Sub Dealer</v>
      </c>
    </row>
    <row r="71">
      <c r="A71" s="25" t="str">
        <f>(Sheet1!A71)</f>
        <v>1fuov6VFDdW_GQYt6JqaxRJIc_DBrPxXJBPo_jAzr9aE</v>
      </c>
      <c r="B71" s="25" t="str">
        <f>(Sheet1!B71)</f>
        <v>AutoDeals Hero - Narnaul</v>
      </c>
      <c r="C71" s="30" t="str">
        <f>Sheet1!BB71</f>
        <v>No</v>
      </c>
      <c r="D71" s="30" t="s">
        <v>13</v>
      </c>
      <c r="E71" s="34" t="s">
        <v>13</v>
      </c>
      <c r="F71" s="30" t="s">
        <v>3820</v>
      </c>
      <c r="G71" s="31">
        <v>290.0</v>
      </c>
      <c r="H71" s="34" t="s">
        <v>3853</v>
      </c>
      <c r="I71" s="34">
        <v>0.0</v>
      </c>
      <c r="J71" s="34">
        <v>100.0</v>
      </c>
      <c r="K71" s="34">
        <v>0.0</v>
      </c>
      <c r="L71" s="34">
        <v>0.0</v>
      </c>
      <c r="M71" s="33">
        <f>COUNTIFS('Data For Calculation - Insuranc'!A:A,A71,'Data For Calculation - Insuranc'!E:E,"CPA + RSA")</f>
        <v>0</v>
      </c>
      <c r="N71" s="30" t="s">
        <v>3820</v>
      </c>
      <c r="O71" s="31">
        <v>460.0</v>
      </c>
      <c r="P71" s="34" t="s">
        <v>3853</v>
      </c>
      <c r="Q71" s="34">
        <v>0.0</v>
      </c>
      <c r="R71" s="34">
        <v>100.0</v>
      </c>
      <c r="S71" s="34">
        <v>0.0</v>
      </c>
      <c r="T71" s="34">
        <v>0.0</v>
      </c>
      <c r="U71" s="33">
        <f>COUNTIFS('Data For Calculation - Insuranc'!A:A,A71,'Data For Calculation - Insuranc'!E:E,"CPA + RSA + AHDC + DOC")</f>
        <v>0</v>
      </c>
      <c r="V71" s="30" t="s">
        <v>3820</v>
      </c>
      <c r="W71" s="34">
        <v>838.99</v>
      </c>
      <c r="X71" s="34" t="s">
        <v>3853</v>
      </c>
      <c r="Y71" s="34">
        <v>0.0</v>
      </c>
      <c r="Z71" s="34">
        <v>100.0</v>
      </c>
      <c r="AA71" s="34">
        <v>0.0</v>
      </c>
      <c r="AB71" s="34">
        <v>0.0</v>
      </c>
      <c r="AC71" s="33">
        <f>COUNTIFS('Data For Calculation - Insuranc'!A:A,A71,'Data For Calculation - Insuranc'!E:E,"CPA + RSA : 5 Years")</f>
        <v>0</v>
      </c>
      <c r="AD71" s="30" t="s">
        <v>3820</v>
      </c>
      <c r="AE71" s="31">
        <v>838.99</v>
      </c>
      <c r="AF71" s="34" t="s">
        <v>3853</v>
      </c>
      <c r="AG71" s="34">
        <v>0.0</v>
      </c>
      <c r="AH71" s="34">
        <v>100.0</v>
      </c>
      <c r="AI71" s="34">
        <v>0.0</v>
      </c>
      <c r="AJ71" s="34">
        <v>0.0</v>
      </c>
      <c r="AK71" s="33">
        <f>COUNTIFS('Data For Calculation - Insuranc'!A:A,A71,'Data For Calculation - Insuranc'!E:E,"Assistance + CPA : 5 Years")</f>
        <v>0</v>
      </c>
      <c r="AL71" s="30" t="s">
        <v>3820</v>
      </c>
      <c r="AM71" s="31">
        <v>290.0</v>
      </c>
      <c r="AN71" s="34" t="s">
        <v>3853</v>
      </c>
      <c r="AO71" s="34">
        <v>0.0</v>
      </c>
      <c r="AP71" s="34">
        <v>100.0</v>
      </c>
      <c r="AQ71" s="34">
        <v>0.0</v>
      </c>
      <c r="AR71" s="34">
        <v>0.0</v>
      </c>
      <c r="AS71" s="33">
        <f>COUNTIFS('Data For Calculation - Insuranc'!A:A,A71,'Data For Calculation - Insuranc'!E:E,"RSA + AHDC + DOC")</f>
        <v>0</v>
      </c>
      <c r="AT71" s="33"/>
      <c r="AU71" s="33"/>
      <c r="AV71" s="33"/>
      <c r="AW71" s="33"/>
      <c r="AX71" s="33"/>
      <c r="AY71" s="33"/>
      <c r="AZ71" s="33"/>
      <c r="BA71" s="33"/>
      <c r="BB71" s="33"/>
      <c r="BC71" s="33"/>
      <c r="BD71" s="33"/>
      <c r="BE71" s="33"/>
      <c r="BF71" s="33"/>
      <c r="BG71" s="33"/>
      <c r="BH71" s="33"/>
      <c r="BI71" s="33"/>
      <c r="BJ71" s="33"/>
      <c r="BK71" s="33"/>
      <c r="BL71" s="33"/>
      <c r="BM71" s="33"/>
      <c r="BN71" s="33"/>
      <c r="BO71" s="33"/>
      <c r="BP71" s="33"/>
      <c r="BQ71" s="33"/>
      <c r="BR71" s="33">
        <f t="shared" si="1"/>
        <v>0</v>
      </c>
      <c r="BS71" s="33">
        <f>SUMIFS('Data For Calculation - Insuranc'!I:I,'Data For Calculation - Insuranc'!$A:$A,$A71)</f>
        <v>0</v>
      </c>
      <c r="BT71" s="33">
        <f>SUMIFS('Data For Calculation - Insuranc'!J:J,'Data For Calculation - Insuranc'!$A:$A,$A71)</f>
        <v>0</v>
      </c>
      <c r="BU71" s="33">
        <f>SUMIFS('Data For Calculation - Insuranc'!K:K,'Data For Calculation - Insuranc'!$A:$A,$A71)</f>
        <v>0</v>
      </c>
      <c r="BV71" s="33">
        <f>IF($CC71 = "Dealer", SUMIFS('Data For Calculation - Insuranc'!I:I,'Data For Calculation - Insuranc'!$B:$B,$A71,'Data For Calculation - Insuranc'!$H:$H,"Master Dealer")) + SUMIFS('Data For Calculation - Insuranc'!I:I,'Data For Calculation - Insuranc'!$A:$A,$A71,'Data For Calculation - Insuranc'!$H:$H,"Self")</f>
        <v>0</v>
      </c>
      <c r="BW71" s="33">
        <f>IF($CC71 = "Dealer", SUMIFS('Data For Calculation - Insuranc'!J:J,'Data For Calculation - Insuranc'!$B:$B,$A71,'Data For Calculation - Insuranc'!$H:$H,"Master Dealer")) + SUMIFS('Data For Calculation - Insuranc'!J:J,'Data For Calculation - Insuranc'!$A:$A,$A71,'Data For Calculation - Insuranc'!$H:$H,"Self")</f>
        <v>0</v>
      </c>
      <c r="BX71" s="33">
        <f>IF($CC71 = "Dealer", SUMIFS('Data For Calculation - Insuranc'!K:K,'Data For Calculation - Insuranc'!$B:$B,$A71,'Data For Calculation - Insuranc'!$H:$H,"Master Dealer")) + SUMIFS('Data For Calculation - Insuranc'!K:K,'Data For Calculation - Insuranc'!$A:$A,$A71,'Data For Calculation - Insuranc'!$H:$H,"Self")</f>
        <v>0</v>
      </c>
      <c r="BY71" s="25" t="str">
        <f>(Sheet1!N71)</f>
        <v>AutoDeals Hero - Narnaul</v>
      </c>
      <c r="BZ71" s="25" t="str">
        <f>(Sheet1!O71)</f>
        <v>1fuov6VFDdW_GQYt6JqaxRJIc_DBrPxXJBPo_jAzr9aE</v>
      </c>
      <c r="CA71" s="25" t="str">
        <f>(Sheet1!AV71)</f>
        <v/>
      </c>
      <c r="CB71" s="25" t="str">
        <f>(Sheet1!AW71)</f>
        <v/>
      </c>
      <c r="CC71" s="26" t="str">
        <f>(Sheet1!P71)</f>
        <v>Dealer</v>
      </c>
    </row>
    <row r="72">
      <c r="A72" s="25" t="str">
        <f>(Sheet1!A72)</f>
        <v>1nVez-s51qjTfP2ibHDiiELEFanG-2ZCG66Y-ueax5G4</v>
      </c>
      <c r="B72" s="25" t="str">
        <f>(Sheet1!B72)</f>
        <v>Virendra Automobile - Rewari</v>
      </c>
      <c r="C72" s="30" t="str">
        <f>Sheet1!BB72</f>
        <v>No</v>
      </c>
      <c r="D72" s="30" t="s">
        <v>13</v>
      </c>
      <c r="E72" s="34" t="s">
        <v>13</v>
      </c>
      <c r="F72" s="30" t="s">
        <v>3817</v>
      </c>
      <c r="G72" s="31">
        <v>290.0</v>
      </c>
      <c r="H72" s="34" t="s">
        <v>3853</v>
      </c>
      <c r="I72" s="34">
        <v>0.0</v>
      </c>
      <c r="J72" s="34">
        <v>100.0</v>
      </c>
      <c r="K72" s="34">
        <v>0.0</v>
      </c>
      <c r="L72" s="34">
        <v>0.0</v>
      </c>
      <c r="M72" s="33">
        <f>COUNTIFS('Data For Calculation - Insuranc'!A:A,A72,'Data For Calculation - Insuranc'!E:E,"CPA + RSA")</f>
        <v>0</v>
      </c>
      <c r="N72" s="30" t="s">
        <v>3817</v>
      </c>
      <c r="O72" s="31">
        <v>460.0</v>
      </c>
      <c r="P72" s="34" t="s">
        <v>3853</v>
      </c>
      <c r="Q72" s="34">
        <v>0.0</v>
      </c>
      <c r="R72" s="34">
        <v>100.0</v>
      </c>
      <c r="S72" s="34">
        <v>0.0</v>
      </c>
      <c r="T72" s="34">
        <v>0.0</v>
      </c>
      <c r="U72" s="33">
        <f>COUNTIFS('Data For Calculation - Insuranc'!A:A,A72,'Data For Calculation - Insuranc'!E:E,"CPA + RSA + AHDC + DOC")</f>
        <v>0</v>
      </c>
      <c r="V72" s="30" t="s">
        <v>3817</v>
      </c>
      <c r="W72" s="34">
        <v>838.99</v>
      </c>
      <c r="X72" s="34" t="s">
        <v>3853</v>
      </c>
      <c r="Y72" s="34">
        <v>0.0</v>
      </c>
      <c r="Z72" s="34">
        <v>100.0</v>
      </c>
      <c r="AA72" s="34">
        <v>0.0</v>
      </c>
      <c r="AB72" s="34">
        <v>0.0</v>
      </c>
      <c r="AC72" s="33">
        <f>COUNTIFS('Data For Calculation - Insuranc'!A:A,A72,'Data For Calculation - Insuranc'!E:E,"CPA + RSA : 5 Years")</f>
        <v>0</v>
      </c>
      <c r="AD72" s="30" t="s">
        <v>3817</v>
      </c>
      <c r="AE72" s="31">
        <v>838.99</v>
      </c>
      <c r="AF72" s="34" t="s">
        <v>3853</v>
      </c>
      <c r="AG72" s="34">
        <v>0.0</v>
      </c>
      <c r="AH72" s="34">
        <v>100.0</v>
      </c>
      <c r="AI72" s="34">
        <v>0.0</v>
      </c>
      <c r="AJ72" s="34">
        <v>0.0</v>
      </c>
      <c r="AK72" s="33">
        <f>COUNTIFS('Data For Calculation - Insuranc'!A:A,A72,'Data For Calculation - Insuranc'!E:E,"Assistance + CPA : 5 Years")</f>
        <v>0</v>
      </c>
      <c r="AL72" s="30" t="s">
        <v>3817</v>
      </c>
      <c r="AM72" s="31">
        <v>290.0</v>
      </c>
      <c r="AN72" s="34" t="s">
        <v>3853</v>
      </c>
      <c r="AO72" s="34">
        <v>0.0</v>
      </c>
      <c r="AP72" s="34">
        <v>100.0</v>
      </c>
      <c r="AQ72" s="34">
        <v>0.0</v>
      </c>
      <c r="AR72" s="34">
        <v>0.0</v>
      </c>
      <c r="AS72" s="33">
        <f>COUNTIFS('Data For Calculation - Insuranc'!A:A,A72,'Data For Calculation - Insuranc'!E:E,"RSA + AHDC + DOC")</f>
        <v>0</v>
      </c>
      <c r="AT72" s="33"/>
      <c r="AU72" s="33"/>
      <c r="AV72" s="33"/>
      <c r="AW72" s="33"/>
      <c r="AX72" s="33"/>
      <c r="AY72" s="33"/>
      <c r="AZ72" s="33"/>
      <c r="BA72" s="33"/>
      <c r="BB72" s="33"/>
      <c r="BC72" s="33"/>
      <c r="BD72" s="33"/>
      <c r="BE72" s="33"/>
      <c r="BF72" s="33"/>
      <c r="BG72" s="33"/>
      <c r="BH72" s="33"/>
      <c r="BI72" s="33"/>
      <c r="BJ72" s="33"/>
      <c r="BK72" s="33"/>
      <c r="BL72" s="33"/>
      <c r="BM72" s="33"/>
      <c r="BN72" s="33"/>
      <c r="BO72" s="33"/>
      <c r="BP72" s="33"/>
      <c r="BQ72" s="33"/>
      <c r="BR72" s="33">
        <f t="shared" si="1"/>
        <v>0</v>
      </c>
      <c r="BS72" s="33">
        <f>SUMIFS('Data For Calculation - Insuranc'!I:I,'Data For Calculation - Insuranc'!$A:$A,$A72)</f>
        <v>0</v>
      </c>
      <c r="BT72" s="33">
        <f>SUMIFS('Data For Calculation - Insuranc'!J:J,'Data For Calculation - Insuranc'!$A:$A,$A72)</f>
        <v>0</v>
      </c>
      <c r="BU72" s="33">
        <f>SUMIFS('Data For Calculation - Insuranc'!K:K,'Data For Calculation - Insuranc'!$A:$A,$A72)</f>
        <v>0</v>
      </c>
      <c r="BV72" s="33">
        <f>IF($CC72 = "Dealer", SUMIFS('Data For Calculation - Insuranc'!I:I,'Data For Calculation - Insuranc'!$B:$B,$A72,'Data For Calculation - Insuranc'!$H:$H,"Master Dealer")) + SUMIFS('Data For Calculation - Insuranc'!I:I,'Data For Calculation - Insuranc'!$A:$A,$A72,'Data For Calculation - Insuranc'!$H:$H,"Self")</f>
        <v>0</v>
      </c>
      <c r="BW72" s="33">
        <f>IF($CC72 = "Dealer", SUMIFS('Data For Calculation - Insuranc'!J:J,'Data For Calculation - Insuranc'!$B:$B,$A72,'Data For Calculation - Insuranc'!$H:$H,"Master Dealer")) + SUMIFS('Data For Calculation - Insuranc'!J:J,'Data For Calculation - Insuranc'!$A:$A,$A72,'Data For Calculation - Insuranc'!$H:$H,"Self")</f>
        <v>0</v>
      </c>
      <c r="BX72" s="33">
        <f>IF($CC72 = "Dealer", SUMIFS('Data For Calculation - Insuranc'!K:K,'Data For Calculation - Insuranc'!$B:$B,$A72,'Data For Calculation - Insuranc'!$H:$H,"Master Dealer")) + SUMIFS('Data For Calculation - Insuranc'!K:K,'Data For Calculation - Insuranc'!$A:$A,$A72,'Data For Calculation - Insuranc'!$H:$H,"Self")</f>
        <v>0</v>
      </c>
      <c r="BY72" s="25" t="str">
        <f>(Sheet1!N72)</f>
        <v>Virendra Automobile - Rewari</v>
      </c>
      <c r="BZ72" s="25" t="str">
        <f>(Sheet1!O72)</f>
        <v>1nVez-s51qjTfP2ibHDiiELEFanG-2ZCG66Y-ueax5G4</v>
      </c>
      <c r="CA72" s="25" t="str">
        <f>(Sheet1!AV72)</f>
        <v/>
      </c>
      <c r="CB72" s="25" t="str">
        <f>(Sheet1!AW72)</f>
        <v/>
      </c>
      <c r="CC72" s="26" t="str">
        <f>(Sheet1!P72)</f>
        <v>Dealer</v>
      </c>
    </row>
    <row r="73">
      <c r="A73" s="25" t="str">
        <f>(Sheet1!A73)</f>
        <v>1Hj8E2ES-ce_eurfq39LWslS96OwPRrBIoxBx48204Vk</v>
      </c>
      <c r="B73" s="25" t="str">
        <f>(Sheet1!B73)</f>
        <v>Jasodha Hero - Gurgaon</v>
      </c>
      <c r="C73" s="30" t="str">
        <f>Sheet1!BB73</f>
        <v>No</v>
      </c>
      <c r="D73" s="30" t="s">
        <v>13</v>
      </c>
      <c r="E73" s="34" t="s">
        <v>13</v>
      </c>
      <c r="F73" s="30" t="s">
        <v>3817</v>
      </c>
      <c r="G73" s="31">
        <v>290.0</v>
      </c>
      <c r="H73" s="34" t="s">
        <v>3853</v>
      </c>
      <c r="I73" s="34">
        <v>0.0</v>
      </c>
      <c r="J73" s="34">
        <v>100.0</v>
      </c>
      <c r="K73" s="34">
        <v>0.0</v>
      </c>
      <c r="L73" s="34">
        <v>0.0</v>
      </c>
      <c r="M73" s="33">
        <f>COUNTIFS('Data For Calculation - Insuranc'!A:A,A73,'Data For Calculation - Insuranc'!E:E,"CPA + RSA")</f>
        <v>0</v>
      </c>
      <c r="N73" s="30" t="s">
        <v>3817</v>
      </c>
      <c r="O73" s="31">
        <v>460.0</v>
      </c>
      <c r="P73" s="34" t="s">
        <v>3853</v>
      </c>
      <c r="Q73" s="34">
        <v>0.0</v>
      </c>
      <c r="R73" s="34">
        <v>100.0</v>
      </c>
      <c r="S73" s="34">
        <v>0.0</v>
      </c>
      <c r="T73" s="34">
        <v>0.0</v>
      </c>
      <c r="U73" s="33">
        <f>COUNTIFS('Data For Calculation - Insuranc'!A:A,A73,'Data For Calculation - Insuranc'!E:E,"CPA + RSA + AHDC + DOC")</f>
        <v>0</v>
      </c>
      <c r="V73" s="30" t="s">
        <v>3817</v>
      </c>
      <c r="W73" s="34">
        <v>838.99</v>
      </c>
      <c r="X73" s="34" t="s">
        <v>3853</v>
      </c>
      <c r="Y73" s="34">
        <v>0.0</v>
      </c>
      <c r="Z73" s="34">
        <v>100.0</v>
      </c>
      <c r="AA73" s="34">
        <v>0.0</v>
      </c>
      <c r="AB73" s="34">
        <v>0.0</v>
      </c>
      <c r="AC73" s="33">
        <f>COUNTIFS('Data For Calculation - Insuranc'!A:A,A73,'Data For Calculation - Insuranc'!E:E,"CPA + RSA : 5 Years")</f>
        <v>0</v>
      </c>
      <c r="AD73" s="30" t="s">
        <v>3817</v>
      </c>
      <c r="AE73" s="31">
        <v>838.99</v>
      </c>
      <c r="AF73" s="34" t="s">
        <v>3853</v>
      </c>
      <c r="AG73" s="34">
        <v>0.0</v>
      </c>
      <c r="AH73" s="34">
        <v>100.0</v>
      </c>
      <c r="AI73" s="34">
        <v>0.0</v>
      </c>
      <c r="AJ73" s="34">
        <v>0.0</v>
      </c>
      <c r="AK73" s="33">
        <f>COUNTIFS('Data For Calculation - Insuranc'!A:A,A73,'Data For Calculation - Insuranc'!E:E,"Assistance + CPA : 5 Years")</f>
        <v>0</v>
      </c>
      <c r="AL73" s="30" t="s">
        <v>3817</v>
      </c>
      <c r="AM73" s="31">
        <v>290.0</v>
      </c>
      <c r="AN73" s="34" t="s">
        <v>3853</v>
      </c>
      <c r="AO73" s="34">
        <v>0.0</v>
      </c>
      <c r="AP73" s="34">
        <v>100.0</v>
      </c>
      <c r="AQ73" s="34">
        <v>0.0</v>
      </c>
      <c r="AR73" s="34">
        <v>0.0</v>
      </c>
      <c r="AS73" s="33">
        <f>COUNTIFS('Data For Calculation - Insuranc'!A:A,A73,'Data For Calculation - Insuranc'!E:E,"RSA + AHDC + DOC")</f>
        <v>0</v>
      </c>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f t="shared" si="1"/>
        <v>0</v>
      </c>
      <c r="BS73" s="33">
        <f>SUMIFS('Data For Calculation - Insuranc'!I:I,'Data For Calculation - Insuranc'!$A:$A,$A73)</f>
        <v>0</v>
      </c>
      <c r="BT73" s="33">
        <f>SUMIFS('Data For Calculation - Insuranc'!J:J,'Data For Calculation - Insuranc'!$A:$A,$A73)</f>
        <v>0</v>
      </c>
      <c r="BU73" s="33">
        <f>SUMIFS('Data For Calculation - Insuranc'!K:K,'Data For Calculation - Insuranc'!$A:$A,$A73)</f>
        <v>0</v>
      </c>
      <c r="BV73" s="33">
        <f>IF($CC73 = "Dealer", SUMIFS('Data For Calculation - Insuranc'!I:I,'Data For Calculation - Insuranc'!$B:$B,$A73,'Data For Calculation - Insuranc'!$H:$H,"Master Dealer")) + SUMIFS('Data For Calculation - Insuranc'!I:I,'Data For Calculation - Insuranc'!$A:$A,$A73,'Data For Calculation - Insuranc'!$H:$H,"Self")</f>
        <v>0</v>
      </c>
      <c r="BW73" s="33">
        <f>IF($CC73 = "Dealer", SUMIFS('Data For Calculation - Insuranc'!J:J,'Data For Calculation - Insuranc'!$B:$B,$A73,'Data For Calculation - Insuranc'!$H:$H,"Master Dealer")) + SUMIFS('Data For Calculation - Insuranc'!J:J,'Data For Calculation - Insuranc'!$A:$A,$A73,'Data For Calculation - Insuranc'!$H:$H,"Self")</f>
        <v>0</v>
      </c>
      <c r="BX73" s="33">
        <f>IF($CC73 = "Dealer", SUMIFS('Data For Calculation - Insuranc'!K:K,'Data For Calculation - Insuranc'!$B:$B,$A73,'Data For Calculation - Insuranc'!$H:$H,"Master Dealer")) + SUMIFS('Data For Calculation - Insuranc'!K:K,'Data For Calculation - Insuranc'!$A:$A,$A73,'Data For Calculation - Insuranc'!$H:$H,"Self")</f>
        <v>0</v>
      </c>
      <c r="BY73" s="25" t="str">
        <f>(Sheet1!N73)</f>
        <v>Jasodha Hero - Gurgaon</v>
      </c>
      <c r="BZ73" s="25" t="str">
        <f>(Sheet1!O73)</f>
        <v>1Hj8E2ES-ce_eurfq39LWslS96OwPRrBIoxBx48204Vk</v>
      </c>
      <c r="CA73" s="25" t="str">
        <f>(Sheet1!AV73)</f>
        <v/>
      </c>
      <c r="CB73" s="25" t="str">
        <f>(Sheet1!AW73)</f>
        <v/>
      </c>
      <c r="CC73" s="26" t="str">
        <f>(Sheet1!P73)</f>
        <v>Dealer</v>
      </c>
    </row>
    <row r="74">
      <c r="A74" s="25" t="str">
        <f>(Sheet1!A74)</f>
        <v>1BJ0lIBkIWL2G8UcRM-WzcxFubQ2MW_l4KTFXv6wfKiU</v>
      </c>
      <c r="B74" s="25" t="str">
        <f>(Sheet1!B74)</f>
        <v>Jattari VAW - Hero</v>
      </c>
      <c r="C74" s="30" t="str">
        <f>Sheet1!BB74</f>
        <v>No</v>
      </c>
      <c r="D74" s="30" t="s">
        <v>13</v>
      </c>
      <c r="E74" s="34" t="s">
        <v>13</v>
      </c>
      <c r="F74" s="30" t="s">
        <v>3820</v>
      </c>
      <c r="G74" s="31">
        <v>170.0</v>
      </c>
      <c r="H74" s="34" t="s">
        <v>3853</v>
      </c>
      <c r="I74" s="34">
        <v>0.0</v>
      </c>
      <c r="J74" s="34">
        <v>100.0</v>
      </c>
      <c r="K74" s="34">
        <v>0.0</v>
      </c>
      <c r="L74" s="34">
        <v>0.0</v>
      </c>
      <c r="M74" s="33">
        <f>COUNTIFS('Data For Calculation - Insuranc'!A:A,A74,'Data For Calculation - Insuranc'!E:E,"CPA + RSA")</f>
        <v>0</v>
      </c>
      <c r="N74" s="30" t="s">
        <v>3820</v>
      </c>
      <c r="O74" s="31">
        <v>170.0</v>
      </c>
      <c r="P74" s="34" t="s">
        <v>3853</v>
      </c>
      <c r="Q74" s="34">
        <v>0.0</v>
      </c>
      <c r="R74" s="34">
        <v>100.0</v>
      </c>
      <c r="S74" s="34">
        <v>0.0</v>
      </c>
      <c r="T74" s="34">
        <v>0.0</v>
      </c>
      <c r="U74" s="33">
        <f>COUNTIFS('Data For Calculation - Insuranc'!A:A,A74,'Data For Calculation - Insuranc'!E:E,"CPA + RSA + AHDC + DOC")</f>
        <v>0</v>
      </c>
      <c r="V74" s="30" t="s">
        <v>3820</v>
      </c>
      <c r="W74" s="34">
        <v>838.99</v>
      </c>
      <c r="X74" s="34" t="s">
        <v>3853</v>
      </c>
      <c r="Y74" s="34">
        <v>0.0</v>
      </c>
      <c r="Z74" s="34">
        <v>100.0</v>
      </c>
      <c r="AA74" s="34">
        <v>0.0</v>
      </c>
      <c r="AB74" s="34">
        <v>0.0</v>
      </c>
      <c r="AC74" s="33">
        <f>COUNTIFS('Data For Calculation - Insuranc'!A:A,A74,'Data For Calculation - Insuranc'!E:E,"CPA + RSA : 5 Years")</f>
        <v>0</v>
      </c>
      <c r="AD74" s="30" t="s">
        <v>3820</v>
      </c>
      <c r="AE74" s="31">
        <v>838.99</v>
      </c>
      <c r="AF74" s="34" t="s">
        <v>3853</v>
      </c>
      <c r="AG74" s="34">
        <v>0.0</v>
      </c>
      <c r="AH74" s="34">
        <v>100.0</v>
      </c>
      <c r="AI74" s="34">
        <v>0.0</v>
      </c>
      <c r="AJ74" s="34">
        <v>0.0</v>
      </c>
      <c r="AK74" s="33">
        <f>COUNTIFS('Data For Calculation - Insuranc'!A:A,A74,'Data For Calculation - Insuranc'!E:E,"Assistance + CPA : 5 Years")</f>
        <v>0</v>
      </c>
      <c r="AL74" s="30" t="s">
        <v>3820</v>
      </c>
      <c r="AM74" s="31">
        <v>290.0</v>
      </c>
      <c r="AN74" s="34" t="s">
        <v>3853</v>
      </c>
      <c r="AO74" s="34">
        <v>0.0</v>
      </c>
      <c r="AP74" s="34">
        <v>100.0</v>
      </c>
      <c r="AQ74" s="34">
        <v>0.0</v>
      </c>
      <c r="AR74" s="34">
        <v>0.0</v>
      </c>
      <c r="AS74" s="33">
        <f>COUNTIFS('Data For Calculation - Insuranc'!A:A,A74,'Data For Calculation - Insuranc'!E:E,"RSA + AHDC + DOC")</f>
        <v>0</v>
      </c>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f t="shared" si="1"/>
        <v>0</v>
      </c>
      <c r="BS74" s="33">
        <f>SUMIFS('Data For Calculation - Insuranc'!I:I,'Data For Calculation - Insuranc'!$A:$A,$A74)</f>
        <v>0</v>
      </c>
      <c r="BT74" s="33">
        <f>SUMIFS('Data For Calculation - Insuranc'!J:J,'Data For Calculation - Insuranc'!$A:$A,$A74)</f>
        <v>0</v>
      </c>
      <c r="BU74" s="33">
        <f>SUMIFS('Data For Calculation - Insuranc'!K:K,'Data For Calculation - Insuranc'!$A:$A,$A74)</f>
        <v>0</v>
      </c>
      <c r="BV74" s="33">
        <f>IF($CC74 = "Dealer", SUMIFS('Data For Calculation - Insuranc'!I:I,'Data For Calculation - Insuranc'!$B:$B,$A74,'Data For Calculation - Insuranc'!$H:$H,"Master Dealer")) + SUMIFS('Data For Calculation - Insuranc'!I:I,'Data For Calculation - Insuranc'!$A:$A,$A74,'Data For Calculation - Insuranc'!$H:$H,"Self")</f>
        <v>0</v>
      </c>
      <c r="BW74" s="33">
        <f>IF($CC74 = "Dealer", SUMIFS('Data For Calculation - Insuranc'!J:J,'Data For Calculation - Insuranc'!$B:$B,$A74,'Data For Calculation - Insuranc'!$H:$H,"Master Dealer")) + SUMIFS('Data For Calculation - Insuranc'!J:J,'Data For Calculation - Insuranc'!$A:$A,$A74,'Data For Calculation - Insuranc'!$H:$H,"Self")</f>
        <v>0</v>
      </c>
      <c r="BX74" s="33">
        <f>IF($CC74 = "Dealer", SUMIFS('Data For Calculation - Insuranc'!K:K,'Data For Calculation - Insuranc'!$B:$B,$A74,'Data For Calculation - Insuranc'!$H:$H,"Master Dealer")) + SUMIFS('Data For Calculation - Insuranc'!K:K,'Data For Calculation - Insuranc'!$A:$A,$A74,'Data For Calculation - Insuranc'!$H:$H,"Self")</f>
        <v>0</v>
      </c>
      <c r="BY74" s="25" t="str">
        <f>(Sheet1!N74)</f>
        <v>Vikas Autowheels</v>
      </c>
      <c r="BZ74" s="25" t="str">
        <f>(Sheet1!O74)</f>
        <v>1944RLX7T1M23YXRXYoMnJ6nD_bKLldQXRpFRA0rDLvg</v>
      </c>
      <c r="CA74" s="25" t="str">
        <f>(Sheet1!AV74)</f>
        <v/>
      </c>
      <c r="CB74" s="25" t="str">
        <f>(Sheet1!AW74)</f>
        <v/>
      </c>
      <c r="CC74" s="26" t="str">
        <f>(Sheet1!P74)</f>
        <v>Sub Dealer</v>
      </c>
    </row>
    <row r="75">
      <c r="A75" s="25" t="str">
        <f>(Sheet1!A75)</f>
        <v>1D1RDdqE2mkZVvfOLgpQ-u1EshCLZ1JGUYX0wKpQg268</v>
      </c>
      <c r="B75" s="25" t="str">
        <f>(Sheet1!B75)</f>
        <v>HLB Motors TVS - Meerut</v>
      </c>
      <c r="C75" s="30" t="str">
        <f>Sheet1!BB75</f>
        <v>No</v>
      </c>
      <c r="D75" s="30" t="s">
        <v>13</v>
      </c>
      <c r="E75" s="34" t="s">
        <v>13</v>
      </c>
      <c r="F75" s="30" t="s">
        <v>3820</v>
      </c>
      <c r="G75" s="31">
        <v>290.0</v>
      </c>
      <c r="H75" s="34" t="s">
        <v>3853</v>
      </c>
      <c r="I75" s="34">
        <v>0.0</v>
      </c>
      <c r="J75" s="34">
        <v>100.0</v>
      </c>
      <c r="K75" s="34">
        <v>0.0</v>
      </c>
      <c r="L75" s="34">
        <v>0.0</v>
      </c>
      <c r="M75" s="33">
        <f>COUNTIFS('Data For Calculation - Insuranc'!A:A,A75,'Data For Calculation - Insuranc'!E:E,"CPA + RSA")</f>
        <v>0</v>
      </c>
      <c r="N75" s="30" t="s">
        <v>3820</v>
      </c>
      <c r="O75" s="31">
        <v>460.0</v>
      </c>
      <c r="P75" s="34" t="s">
        <v>3853</v>
      </c>
      <c r="Q75" s="34">
        <v>0.0</v>
      </c>
      <c r="R75" s="34">
        <v>100.0</v>
      </c>
      <c r="S75" s="34">
        <v>0.0</v>
      </c>
      <c r="T75" s="34">
        <v>0.0</v>
      </c>
      <c r="U75" s="33">
        <f>COUNTIFS('Data For Calculation - Insuranc'!A:A,A75,'Data For Calculation - Insuranc'!E:E,"CPA + RSA + AHDC + DOC")</f>
        <v>0</v>
      </c>
      <c r="V75" s="30" t="s">
        <v>3820</v>
      </c>
      <c r="W75" s="34">
        <v>838.99</v>
      </c>
      <c r="X75" s="34" t="s">
        <v>3853</v>
      </c>
      <c r="Y75" s="34">
        <v>0.0</v>
      </c>
      <c r="Z75" s="34">
        <v>100.0</v>
      </c>
      <c r="AA75" s="34">
        <v>0.0</v>
      </c>
      <c r="AB75" s="34">
        <v>0.0</v>
      </c>
      <c r="AC75" s="33">
        <f>COUNTIFS('Data For Calculation - Insuranc'!A:A,A75,'Data For Calculation - Insuranc'!E:E,"CPA + RSA : 5 Years")</f>
        <v>0</v>
      </c>
      <c r="AD75" s="30" t="s">
        <v>3820</v>
      </c>
      <c r="AE75" s="31">
        <v>838.99</v>
      </c>
      <c r="AF75" s="34" t="s">
        <v>3853</v>
      </c>
      <c r="AG75" s="34">
        <v>0.0</v>
      </c>
      <c r="AH75" s="34">
        <v>100.0</v>
      </c>
      <c r="AI75" s="34">
        <v>0.0</v>
      </c>
      <c r="AJ75" s="34">
        <v>0.0</v>
      </c>
      <c r="AK75" s="33">
        <f>COUNTIFS('Data For Calculation - Insuranc'!A:A,A75,'Data For Calculation - Insuranc'!E:E,"Assistance + CPA : 5 Years")</f>
        <v>0</v>
      </c>
      <c r="AL75" s="30" t="s">
        <v>3820</v>
      </c>
      <c r="AM75" s="31">
        <v>290.0</v>
      </c>
      <c r="AN75" s="34" t="s">
        <v>3853</v>
      </c>
      <c r="AO75" s="34">
        <v>0.0</v>
      </c>
      <c r="AP75" s="34">
        <v>100.0</v>
      </c>
      <c r="AQ75" s="34">
        <v>0.0</v>
      </c>
      <c r="AR75" s="34">
        <v>0.0</v>
      </c>
      <c r="AS75" s="33">
        <f>COUNTIFS('Data For Calculation - Insuranc'!A:A,A75,'Data For Calculation - Insuranc'!E:E,"RSA + AHDC + DOC")</f>
        <v>0</v>
      </c>
      <c r="AT75" s="33"/>
      <c r="AU75" s="33"/>
      <c r="AV75" s="33"/>
      <c r="AW75" s="33"/>
      <c r="AX75" s="33"/>
      <c r="AY75" s="33"/>
      <c r="AZ75" s="33"/>
      <c r="BA75" s="33"/>
      <c r="BB75" s="33"/>
      <c r="BC75" s="33"/>
      <c r="BD75" s="33"/>
      <c r="BE75" s="33"/>
      <c r="BF75" s="33"/>
      <c r="BG75" s="33"/>
      <c r="BH75" s="33"/>
      <c r="BI75" s="33"/>
      <c r="BJ75" s="33"/>
      <c r="BK75" s="33"/>
      <c r="BL75" s="33"/>
      <c r="BM75" s="33"/>
      <c r="BN75" s="33"/>
      <c r="BO75" s="33"/>
      <c r="BP75" s="33"/>
      <c r="BQ75" s="33"/>
      <c r="BR75" s="33">
        <f t="shared" si="1"/>
        <v>0</v>
      </c>
      <c r="BS75" s="33">
        <f>SUMIFS('Data For Calculation - Insuranc'!I:I,'Data For Calculation - Insuranc'!$A:$A,$A75)</f>
        <v>0</v>
      </c>
      <c r="BT75" s="33">
        <f>SUMIFS('Data For Calculation - Insuranc'!J:J,'Data For Calculation - Insuranc'!$A:$A,$A75)</f>
        <v>0</v>
      </c>
      <c r="BU75" s="33">
        <f>SUMIFS('Data For Calculation - Insuranc'!K:K,'Data For Calculation - Insuranc'!$A:$A,$A75)</f>
        <v>0</v>
      </c>
      <c r="BV75" s="33">
        <f>IF($CC75 = "Dealer", SUMIFS('Data For Calculation - Insuranc'!I:I,'Data For Calculation - Insuranc'!$B:$B,$A75,'Data For Calculation - Insuranc'!$H:$H,"Master Dealer")) + SUMIFS('Data For Calculation - Insuranc'!I:I,'Data For Calculation - Insuranc'!$A:$A,$A75,'Data For Calculation - Insuranc'!$H:$H,"Self")</f>
        <v>0</v>
      </c>
      <c r="BW75" s="33">
        <f>IF($CC75 = "Dealer", SUMIFS('Data For Calculation - Insuranc'!J:J,'Data For Calculation - Insuranc'!$B:$B,$A75,'Data For Calculation - Insuranc'!$H:$H,"Master Dealer")) + SUMIFS('Data For Calculation - Insuranc'!J:J,'Data For Calculation - Insuranc'!$A:$A,$A75,'Data For Calculation - Insuranc'!$H:$H,"Self")</f>
        <v>0</v>
      </c>
      <c r="BX75" s="33">
        <f>IF($CC75 = "Dealer", SUMIFS('Data For Calculation - Insuranc'!K:K,'Data For Calculation - Insuranc'!$B:$B,$A75,'Data For Calculation - Insuranc'!$H:$H,"Master Dealer")) + SUMIFS('Data For Calculation - Insuranc'!K:K,'Data For Calculation - Insuranc'!$A:$A,$A75,'Data For Calculation - Insuranc'!$H:$H,"Self")</f>
        <v>0</v>
      </c>
      <c r="BY75" s="25" t="str">
        <f>(Sheet1!N75)</f>
        <v>HLB Motors TVS - Meerut</v>
      </c>
      <c r="BZ75" s="25" t="str">
        <f>(Sheet1!O75)</f>
        <v>1D1RDdqE2mkZVvfOLgpQ-u1EshCLZ1JGUYX0wKpQg268</v>
      </c>
      <c r="CA75" s="25" t="str">
        <f>(Sheet1!AV75)</f>
        <v/>
      </c>
      <c r="CB75" s="25" t="str">
        <f>(Sheet1!AW75)</f>
        <v/>
      </c>
      <c r="CC75" s="26" t="str">
        <f>(Sheet1!P75)</f>
        <v>Dealer</v>
      </c>
    </row>
    <row r="76">
      <c r="A76" s="25" t="str">
        <f>(Sheet1!A76)</f>
        <v>1ILnccgV7ri-O_RSwKJB1lo_gnaD6qL7mq_rwEC50RFA</v>
      </c>
      <c r="B76" s="25" t="str">
        <f>(Sheet1!B76)</f>
        <v>SUNIL MOTORS</v>
      </c>
      <c r="C76" s="30" t="str">
        <f>Sheet1!BB76</f>
        <v>No</v>
      </c>
      <c r="D76" s="30" t="s">
        <v>13</v>
      </c>
      <c r="E76" s="34" t="s">
        <v>13</v>
      </c>
      <c r="F76" s="30" t="s">
        <v>3817</v>
      </c>
      <c r="G76" s="31">
        <v>290.0</v>
      </c>
      <c r="H76" s="34" t="s">
        <v>3853</v>
      </c>
      <c r="I76" s="34">
        <v>0.0</v>
      </c>
      <c r="J76" s="34">
        <v>100.0</v>
      </c>
      <c r="K76" s="34">
        <v>0.0</v>
      </c>
      <c r="L76" s="34">
        <v>0.0</v>
      </c>
      <c r="M76" s="33">
        <f>COUNTIFS('Data For Calculation - Insuranc'!A:A,A76,'Data For Calculation - Insuranc'!E:E,"CPA + RSA")</f>
        <v>0</v>
      </c>
      <c r="N76" s="30" t="s">
        <v>3817</v>
      </c>
      <c r="O76" s="31">
        <v>460.0</v>
      </c>
      <c r="P76" s="34" t="s">
        <v>3853</v>
      </c>
      <c r="Q76" s="34">
        <v>0.0</v>
      </c>
      <c r="R76" s="34">
        <v>100.0</v>
      </c>
      <c r="S76" s="34">
        <v>0.0</v>
      </c>
      <c r="T76" s="34">
        <v>0.0</v>
      </c>
      <c r="U76" s="33">
        <f>COUNTIFS('Data For Calculation - Insuranc'!A:A,A76,'Data For Calculation - Insuranc'!E:E,"CPA + RSA + AHDC + DOC")</f>
        <v>0</v>
      </c>
      <c r="V76" s="30" t="s">
        <v>3817</v>
      </c>
      <c r="W76" s="34">
        <v>838.99</v>
      </c>
      <c r="X76" s="34" t="s">
        <v>3853</v>
      </c>
      <c r="Y76" s="34">
        <v>0.0</v>
      </c>
      <c r="Z76" s="34">
        <v>100.0</v>
      </c>
      <c r="AA76" s="34">
        <v>0.0</v>
      </c>
      <c r="AB76" s="34">
        <v>0.0</v>
      </c>
      <c r="AC76" s="33">
        <f>COUNTIFS('Data For Calculation - Insuranc'!A:A,A76,'Data For Calculation - Insuranc'!E:E,"CPA + RSA : 5 Years")</f>
        <v>0</v>
      </c>
      <c r="AD76" s="30" t="s">
        <v>3817</v>
      </c>
      <c r="AE76" s="31">
        <v>838.99</v>
      </c>
      <c r="AF76" s="34" t="s">
        <v>3853</v>
      </c>
      <c r="AG76" s="34">
        <v>0.0</v>
      </c>
      <c r="AH76" s="34">
        <v>100.0</v>
      </c>
      <c r="AI76" s="34">
        <v>0.0</v>
      </c>
      <c r="AJ76" s="34">
        <v>0.0</v>
      </c>
      <c r="AK76" s="33">
        <f>COUNTIFS('Data For Calculation - Insuranc'!A:A,A76,'Data For Calculation - Insuranc'!E:E,"Assistance + CPA : 5 Years")</f>
        <v>0</v>
      </c>
      <c r="AL76" s="30" t="s">
        <v>3817</v>
      </c>
      <c r="AM76" s="31">
        <v>290.0</v>
      </c>
      <c r="AN76" s="34" t="s">
        <v>3853</v>
      </c>
      <c r="AO76" s="34">
        <v>0.0</v>
      </c>
      <c r="AP76" s="34">
        <v>100.0</v>
      </c>
      <c r="AQ76" s="34">
        <v>0.0</v>
      </c>
      <c r="AR76" s="34">
        <v>0.0</v>
      </c>
      <c r="AS76" s="33">
        <f>COUNTIFS('Data For Calculation - Insuranc'!A:A,A76,'Data For Calculation - Insuranc'!E:E,"RSA + AHDC + DOC")</f>
        <v>0</v>
      </c>
      <c r="AT76" s="33"/>
      <c r="AU76" s="33"/>
      <c r="AV76" s="33"/>
      <c r="AW76" s="33"/>
      <c r="AX76" s="33"/>
      <c r="AY76" s="33"/>
      <c r="AZ76" s="33"/>
      <c r="BA76" s="33"/>
      <c r="BB76" s="33"/>
      <c r="BC76" s="33"/>
      <c r="BD76" s="33"/>
      <c r="BE76" s="33"/>
      <c r="BF76" s="33"/>
      <c r="BG76" s="33"/>
      <c r="BH76" s="33"/>
      <c r="BI76" s="33"/>
      <c r="BJ76" s="33"/>
      <c r="BK76" s="33"/>
      <c r="BL76" s="33"/>
      <c r="BM76" s="33"/>
      <c r="BN76" s="33"/>
      <c r="BO76" s="33"/>
      <c r="BP76" s="33"/>
      <c r="BQ76" s="33"/>
      <c r="BR76" s="33">
        <f t="shared" si="1"/>
        <v>0</v>
      </c>
      <c r="BS76" s="33">
        <f>SUMIFS('Data For Calculation - Insuranc'!I:I,'Data For Calculation - Insuranc'!$A:$A,$A76)</f>
        <v>0</v>
      </c>
      <c r="BT76" s="33">
        <f>SUMIFS('Data For Calculation - Insuranc'!J:J,'Data For Calculation - Insuranc'!$A:$A,$A76)</f>
        <v>0</v>
      </c>
      <c r="BU76" s="33">
        <f>SUMIFS('Data For Calculation - Insuranc'!K:K,'Data For Calculation - Insuranc'!$A:$A,$A76)</f>
        <v>0</v>
      </c>
      <c r="BV76" s="33">
        <f>IF($CC76 = "Dealer", SUMIFS('Data For Calculation - Insuranc'!I:I,'Data For Calculation - Insuranc'!$B:$B,$A76,'Data For Calculation - Insuranc'!$H:$H,"Master Dealer")) + SUMIFS('Data For Calculation - Insuranc'!I:I,'Data For Calculation - Insuranc'!$A:$A,$A76,'Data For Calculation - Insuranc'!$H:$H,"Self")</f>
        <v>0</v>
      </c>
      <c r="BW76" s="33">
        <f>IF($CC76 = "Dealer", SUMIFS('Data For Calculation - Insuranc'!J:J,'Data For Calculation - Insuranc'!$B:$B,$A76,'Data For Calculation - Insuranc'!$H:$H,"Master Dealer")) + SUMIFS('Data For Calculation - Insuranc'!J:J,'Data For Calculation - Insuranc'!$A:$A,$A76,'Data For Calculation - Insuranc'!$H:$H,"Self")</f>
        <v>0</v>
      </c>
      <c r="BX76" s="33">
        <f>IF($CC76 = "Dealer", SUMIFS('Data For Calculation - Insuranc'!K:K,'Data For Calculation - Insuranc'!$B:$B,$A76,'Data For Calculation - Insuranc'!$H:$H,"Master Dealer")) + SUMIFS('Data For Calculation - Insuranc'!K:K,'Data For Calculation - Insuranc'!$A:$A,$A76,'Data For Calculation - Insuranc'!$H:$H,"Self")</f>
        <v>0</v>
      </c>
      <c r="BY76" s="25" t="str">
        <f>(Sheet1!N76)</f>
        <v>SUNIL MOTORS</v>
      </c>
      <c r="BZ76" s="25" t="str">
        <f>(Sheet1!O76)</f>
        <v>1ILnccgV7ri-O_RSwKJB1lo_gnaD6qL7mq_rwEC50RFA</v>
      </c>
      <c r="CA76" s="25" t="str">
        <f>(Sheet1!AV76)</f>
        <v/>
      </c>
      <c r="CB76" s="25" t="str">
        <f>(Sheet1!AW76)</f>
        <v/>
      </c>
      <c r="CC76" s="26" t="str">
        <f>(Sheet1!P76)</f>
        <v>Dealer</v>
      </c>
    </row>
    <row r="77">
      <c r="A77" s="25" t="str">
        <f>(Sheet1!A77)</f>
        <v>1fjdj_DWneQ6p5FeCIXPzszsySoRSx2_LgStCjca5XsY</v>
      </c>
      <c r="B77" s="25" t="str">
        <f>(Sheet1!B77)</f>
        <v>Jaya Automobiles - Bhiwani</v>
      </c>
      <c r="C77" s="30" t="str">
        <f>Sheet1!BB77</f>
        <v>No</v>
      </c>
      <c r="D77" s="30" t="s">
        <v>13</v>
      </c>
      <c r="E77" s="34" t="s">
        <v>13</v>
      </c>
      <c r="F77" s="30" t="s">
        <v>3817</v>
      </c>
      <c r="G77" s="31">
        <v>290.0</v>
      </c>
      <c r="H77" s="34" t="s">
        <v>3853</v>
      </c>
      <c r="I77" s="34">
        <v>0.0</v>
      </c>
      <c r="J77" s="34">
        <v>100.0</v>
      </c>
      <c r="K77" s="34">
        <v>0.0</v>
      </c>
      <c r="L77" s="34">
        <v>0.0</v>
      </c>
      <c r="M77" s="33">
        <f>COUNTIFS('Data For Calculation - Insuranc'!A:A,A77,'Data For Calculation - Insuranc'!E:E,"CPA + RSA")</f>
        <v>0</v>
      </c>
      <c r="N77" s="30" t="s">
        <v>3817</v>
      </c>
      <c r="O77" s="31">
        <v>460.0</v>
      </c>
      <c r="P77" s="34" t="s">
        <v>3853</v>
      </c>
      <c r="Q77" s="34">
        <v>0.0</v>
      </c>
      <c r="R77" s="34">
        <v>100.0</v>
      </c>
      <c r="S77" s="34">
        <v>0.0</v>
      </c>
      <c r="T77" s="34">
        <v>0.0</v>
      </c>
      <c r="U77" s="33">
        <f>COUNTIFS('Data For Calculation - Insuranc'!A:A,A77,'Data For Calculation - Insuranc'!E:E,"CPA + RSA + AHDC + DOC")</f>
        <v>0</v>
      </c>
      <c r="V77" s="30" t="s">
        <v>3817</v>
      </c>
      <c r="W77" s="34">
        <v>838.99</v>
      </c>
      <c r="X77" s="34" t="s">
        <v>3853</v>
      </c>
      <c r="Y77" s="34">
        <v>0.0</v>
      </c>
      <c r="Z77" s="34">
        <v>100.0</v>
      </c>
      <c r="AA77" s="34">
        <v>0.0</v>
      </c>
      <c r="AB77" s="34">
        <v>0.0</v>
      </c>
      <c r="AC77" s="33">
        <f>COUNTIFS('Data For Calculation - Insuranc'!A:A,A77,'Data For Calculation - Insuranc'!E:E,"CPA + RSA : 5 Years")</f>
        <v>0</v>
      </c>
      <c r="AD77" s="30" t="s">
        <v>3817</v>
      </c>
      <c r="AE77" s="31">
        <v>838.99</v>
      </c>
      <c r="AF77" s="34" t="s">
        <v>3853</v>
      </c>
      <c r="AG77" s="34">
        <v>0.0</v>
      </c>
      <c r="AH77" s="34">
        <v>100.0</v>
      </c>
      <c r="AI77" s="34">
        <v>0.0</v>
      </c>
      <c r="AJ77" s="34">
        <v>0.0</v>
      </c>
      <c r="AK77" s="33">
        <f>COUNTIFS('Data For Calculation - Insuranc'!A:A,A77,'Data For Calculation - Insuranc'!E:E,"Assistance + CPA : 5 Years")</f>
        <v>0</v>
      </c>
      <c r="AL77" s="30" t="s">
        <v>3817</v>
      </c>
      <c r="AM77" s="31">
        <v>290.0</v>
      </c>
      <c r="AN77" s="34" t="s">
        <v>3853</v>
      </c>
      <c r="AO77" s="34">
        <v>0.0</v>
      </c>
      <c r="AP77" s="34">
        <v>100.0</v>
      </c>
      <c r="AQ77" s="34">
        <v>0.0</v>
      </c>
      <c r="AR77" s="34">
        <v>0.0</v>
      </c>
      <c r="AS77" s="33">
        <f>COUNTIFS('Data For Calculation - Insuranc'!A:A,A77,'Data For Calculation - Insuranc'!E:E,"RSA + AHDC + DOC")</f>
        <v>0</v>
      </c>
      <c r="AT77" s="33"/>
      <c r="AU77" s="33"/>
      <c r="AV77" s="33"/>
      <c r="AW77" s="33"/>
      <c r="AX77" s="33"/>
      <c r="AY77" s="33"/>
      <c r="AZ77" s="33"/>
      <c r="BA77" s="33"/>
      <c r="BB77" s="33"/>
      <c r="BC77" s="33"/>
      <c r="BD77" s="33"/>
      <c r="BE77" s="33"/>
      <c r="BF77" s="33"/>
      <c r="BG77" s="33"/>
      <c r="BH77" s="33"/>
      <c r="BI77" s="33"/>
      <c r="BJ77" s="33"/>
      <c r="BK77" s="33"/>
      <c r="BL77" s="33"/>
      <c r="BM77" s="33"/>
      <c r="BN77" s="33"/>
      <c r="BO77" s="33"/>
      <c r="BP77" s="33"/>
      <c r="BQ77" s="33"/>
      <c r="BR77" s="33">
        <f t="shared" si="1"/>
        <v>0</v>
      </c>
      <c r="BS77" s="33">
        <f>SUMIFS('Data For Calculation - Insuranc'!I:I,'Data For Calculation - Insuranc'!$A:$A,$A77)</f>
        <v>0</v>
      </c>
      <c r="BT77" s="33">
        <f>SUMIFS('Data For Calculation - Insuranc'!J:J,'Data For Calculation - Insuranc'!$A:$A,$A77)</f>
        <v>0</v>
      </c>
      <c r="BU77" s="33">
        <f>SUMIFS('Data For Calculation - Insuranc'!K:K,'Data For Calculation - Insuranc'!$A:$A,$A77)</f>
        <v>0</v>
      </c>
      <c r="BV77" s="33">
        <f>IF($CC77 = "Dealer", SUMIFS('Data For Calculation - Insuranc'!I:I,'Data For Calculation - Insuranc'!$B:$B,$A77,'Data For Calculation - Insuranc'!$H:$H,"Master Dealer")) + SUMIFS('Data For Calculation - Insuranc'!I:I,'Data For Calculation - Insuranc'!$A:$A,$A77,'Data For Calculation - Insuranc'!$H:$H,"Self")</f>
        <v>0</v>
      </c>
      <c r="BW77" s="33">
        <f>IF($CC77 = "Dealer", SUMIFS('Data For Calculation - Insuranc'!J:J,'Data For Calculation - Insuranc'!$B:$B,$A77,'Data For Calculation - Insuranc'!$H:$H,"Master Dealer")) + SUMIFS('Data For Calculation - Insuranc'!J:J,'Data For Calculation - Insuranc'!$A:$A,$A77,'Data For Calculation - Insuranc'!$H:$H,"Self")</f>
        <v>0</v>
      </c>
      <c r="BX77" s="33">
        <f>IF($CC77 = "Dealer", SUMIFS('Data For Calculation - Insuranc'!K:K,'Data For Calculation - Insuranc'!$B:$B,$A77,'Data For Calculation - Insuranc'!$H:$H,"Master Dealer")) + SUMIFS('Data For Calculation - Insuranc'!K:K,'Data For Calculation - Insuranc'!$A:$A,$A77,'Data For Calculation - Insuranc'!$H:$H,"Self")</f>
        <v>0</v>
      </c>
      <c r="BY77" s="25" t="str">
        <f>(Sheet1!N77)</f>
        <v>Jaya Automobiles - Bhiwani</v>
      </c>
      <c r="BZ77" s="25" t="str">
        <f>(Sheet1!O77)</f>
        <v>1fjdj_DWneQ6p5FeCIXPzszsySoRSx2_LgStCjca5XsY</v>
      </c>
      <c r="CA77" s="25" t="str">
        <f>(Sheet1!AV77)</f>
        <v/>
      </c>
      <c r="CB77" s="25" t="str">
        <f>(Sheet1!AW77)</f>
        <v/>
      </c>
      <c r="CC77" s="26" t="str">
        <f>(Sheet1!P77)</f>
        <v>Dealer</v>
      </c>
    </row>
    <row r="78">
      <c r="A78" s="25" t="str">
        <f>(Sheet1!A78)</f>
        <v>17IQU0-K8aHZCBdscVJssP97WqFoWmGSZpvE9qk-0w_g</v>
      </c>
      <c r="B78" s="25" t="str">
        <f>(Sheet1!B78)</f>
        <v>Shree Shyam Bajaj - Bhiwani</v>
      </c>
      <c r="C78" s="30" t="str">
        <f>Sheet1!BB78</f>
        <v>No</v>
      </c>
      <c r="D78" s="30" t="s">
        <v>13</v>
      </c>
      <c r="E78" s="34" t="s">
        <v>13</v>
      </c>
      <c r="F78" s="30" t="s">
        <v>3820</v>
      </c>
      <c r="G78" s="31">
        <v>290.0</v>
      </c>
      <c r="H78" s="34" t="s">
        <v>3853</v>
      </c>
      <c r="I78" s="34">
        <v>0.0</v>
      </c>
      <c r="J78" s="34">
        <v>100.0</v>
      </c>
      <c r="K78" s="34">
        <v>0.0</v>
      </c>
      <c r="L78" s="34">
        <v>0.0</v>
      </c>
      <c r="M78" s="33">
        <f>COUNTIFS('Data For Calculation - Insuranc'!A:A,A78,'Data For Calculation - Insuranc'!E:E,"CPA + RSA")</f>
        <v>0</v>
      </c>
      <c r="N78" s="30" t="s">
        <v>3820</v>
      </c>
      <c r="O78" s="31">
        <v>460.0</v>
      </c>
      <c r="P78" s="34" t="s">
        <v>3853</v>
      </c>
      <c r="Q78" s="34">
        <v>0.0</v>
      </c>
      <c r="R78" s="34">
        <v>100.0</v>
      </c>
      <c r="S78" s="34">
        <v>0.0</v>
      </c>
      <c r="T78" s="34">
        <v>0.0</v>
      </c>
      <c r="U78" s="33">
        <f>COUNTIFS('Data For Calculation - Insuranc'!A:A,A78,'Data For Calculation - Insuranc'!E:E,"CPA + RSA + AHDC + DOC")</f>
        <v>0</v>
      </c>
      <c r="V78" s="30" t="s">
        <v>3820</v>
      </c>
      <c r="W78" s="34">
        <v>838.99</v>
      </c>
      <c r="X78" s="34" t="s">
        <v>3853</v>
      </c>
      <c r="Y78" s="34">
        <v>0.0</v>
      </c>
      <c r="Z78" s="34">
        <v>100.0</v>
      </c>
      <c r="AA78" s="34">
        <v>0.0</v>
      </c>
      <c r="AB78" s="34">
        <v>0.0</v>
      </c>
      <c r="AC78" s="33">
        <f>COUNTIFS('Data For Calculation - Insuranc'!A:A,A78,'Data For Calculation - Insuranc'!E:E,"CPA + RSA : 5 Years")</f>
        <v>0</v>
      </c>
      <c r="AD78" s="30" t="s">
        <v>3820</v>
      </c>
      <c r="AE78" s="31">
        <v>838.99</v>
      </c>
      <c r="AF78" s="34" t="s">
        <v>3853</v>
      </c>
      <c r="AG78" s="34">
        <v>0.0</v>
      </c>
      <c r="AH78" s="34">
        <v>100.0</v>
      </c>
      <c r="AI78" s="34">
        <v>0.0</v>
      </c>
      <c r="AJ78" s="34">
        <v>0.0</v>
      </c>
      <c r="AK78" s="33">
        <f>COUNTIFS('Data For Calculation - Insuranc'!A:A,A78,'Data For Calculation - Insuranc'!E:E,"Assistance + CPA : 5 Years")</f>
        <v>0</v>
      </c>
      <c r="AL78" s="30" t="s">
        <v>3820</v>
      </c>
      <c r="AM78" s="31">
        <v>290.0</v>
      </c>
      <c r="AN78" s="34" t="s">
        <v>3853</v>
      </c>
      <c r="AO78" s="34">
        <v>0.0</v>
      </c>
      <c r="AP78" s="34">
        <v>100.0</v>
      </c>
      <c r="AQ78" s="34">
        <v>0.0</v>
      </c>
      <c r="AR78" s="34">
        <v>0.0</v>
      </c>
      <c r="AS78" s="33">
        <f>COUNTIFS('Data For Calculation - Insuranc'!A:A,A78,'Data For Calculation - Insuranc'!E:E,"RSA + AHDC + DOC")</f>
        <v>0</v>
      </c>
      <c r="AT78" s="33"/>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f t="shared" si="1"/>
        <v>0</v>
      </c>
      <c r="BS78" s="33">
        <f>SUMIFS('Data For Calculation - Insuranc'!I:I,'Data For Calculation - Insuranc'!$A:$A,$A78)</f>
        <v>0</v>
      </c>
      <c r="BT78" s="33">
        <f>SUMIFS('Data For Calculation - Insuranc'!J:J,'Data For Calculation - Insuranc'!$A:$A,$A78)</f>
        <v>0</v>
      </c>
      <c r="BU78" s="33">
        <f>SUMIFS('Data For Calculation - Insuranc'!K:K,'Data For Calculation - Insuranc'!$A:$A,$A78)</f>
        <v>0</v>
      </c>
      <c r="BV78" s="33">
        <f>IF($CC78 = "Dealer", SUMIFS('Data For Calculation - Insuranc'!I:I,'Data For Calculation - Insuranc'!$B:$B,$A78,'Data For Calculation - Insuranc'!$H:$H,"Master Dealer")) + SUMIFS('Data For Calculation - Insuranc'!I:I,'Data For Calculation - Insuranc'!$A:$A,$A78,'Data For Calculation - Insuranc'!$H:$H,"Self")</f>
        <v>0</v>
      </c>
      <c r="BW78" s="33">
        <f>IF($CC78 = "Dealer", SUMIFS('Data For Calculation - Insuranc'!J:J,'Data For Calculation - Insuranc'!$B:$B,$A78,'Data For Calculation - Insuranc'!$H:$H,"Master Dealer")) + SUMIFS('Data For Calculation - Insuranc'!J:J,'Data For Calculation - Insuranc'!$A:$A,$A78,'Data For Calculation - Insuranc'!$H:$H,"Self")</f>
        <v>0</v>
      </c>
      <c r="BX78" s="33">
        <f>IF($CC78 = "Dealer", SUMIFS('Data For Calculation - Insuranc'!K:K,'Data For Calculation - Insuranc'!$B:$B,$A78,'Data For Calculation - Insuranc'!$H:$H,"Master Dealer")) + SUMIFS('Data For Calculation - Insuranc'!K:K,'Data For Calculation - Insuranc'!$A:$A,$A78,'Data For Calculation - Insuranc'!$H:$H,"Self")</f>
        <v>0</v>
      </c>
      <c r="BY78" s="25" t="str">
        <f>(Sheet1!N78)</f>
        <v>Shree Shyam Bajaj - Bhiwani</v>
      </c>
      <c r="BZ78" s="25" t="str">
        <f>(Sheet1!O78)</f>
        <v>17IQU0-K8aHZCBdscVJssP97WqFoWmGSZpvE9qk-0w_g</v>
      </c>
      <c r="CA78" s="25" t="str">
        <f>(Sheet1!AV78)</f>
        <v/>
      </c>
      <c r="CB78" s="25" t="str">
        <f>(Sheet1!AW78)</f>
        <v/>
      </c>
      <c r="CC78" s="26" t="str">
        <f>(Sheet1!P78)</f>
        <v>Dealer</v>
      </c>
    </row>
    <row r="79">
      <c r="A79" s="25" t="str">
        <f>(Sheet1!A79)</f>
        <v>1pI_tDns4A7jbcl0nEvEO_u0FclM2PyV1AT-2Q2Dx2Jo</v>
      </c>
      <c r="B79" s="25" t="str">
        <f>(Sheet1!B79)</f>
        <v>Chaudhary Automobiles - Hisar</v>
      </c>
      <c r="C79" s="30" t="str">
        <f>Sheet1!BB79</f>
        <v>No</v>
      </c>
      <c r="D79" s="30" t="s">
        <v>13</v>
      </c>
      <c r="E79" s="34" t="s">
        <v>13</v>
      </c>
      <c r="F79" s="30" t="s">
        <v>3817</v>
      </c>
      <c r="G79" s="31">
        <v>290.0</v>
      </c>
      <c r="H79" s="34" t="s">
        <v>3853</v>
      </c>
      <c r="I79" s="34">
        <v>0.0</v>
      </c>
      <c r="J79" s="34">
        <v>100.0</v>
      </c>
      <c r="K79" s="34">
        <v>0.0</v>
      </c>
      <c r="L79" s="34">
        <v>0.0</v>
      </c>
      <c r="M79" s="33">
        <f>COUNTIFS('Data For Calculation - Insuranc'!A:A,A79,'Data For Calculation - Insuranc'!E:E,"CPA + RSA")</f>
        <v>0</v>
      </c>
      <c r="N79" s="30" t="s">
        <v>3817</v>
      </c>
      <c r="O79" s="31">
        <v>460.0</v>
      </c>
      <c r="P79" s="34" t="s">
        <v>3853</v>
      </c>
      <c r="Q79" s="34">
        <v>0.0</v>
      </c>
      <c r="R79" s="34">
        <v>100.0</v>
      </c>
      <c r="S79" s="34">
        <v>0.0</v>
      </c>
      <c r="T79" s="34">
        <v>0.0</v>
      </c>
      <c r="U79" s="33">
        <f>COUNTIFS('Data For Calculation - Insuranc'!A:A,A79,'Data For Calculation - Insuranc'!E:E,"CPA + RSA + AHDC + DOC")</f>
        <v>0</v>
      </c>
      <c r="V79" s="30" t="s">
        <v>3817</v>
      </c>
      <c r="W79" s="34">
        <v>838.99</v>
      </c>
      <c r="X79" s="34" t="s">
        <v>3853</v>
      </c>
      <c r="Y79" s="34">
        <v>0.0</v>
      </c>
      <c r="Z79" s="34">
        <v>100.0</v>
      </c>
      <c r="AA79" s="34">
        <v>0.0</v>
      </c>
      <c r="AB79" s="34">
        <v>0.0</v>
      </c>
      <c r="AC79" s="33">
        <f>COUNTIFS('Data For Calculation - Insuranc'!A:A,A79,'Data For Calculation - Insuranc'!E:E,"CPA + RSA : 5 Years")</f>
        <v>0</v>
      </c>
      <c r="AD79" s="30" t="s">
        <v>3817</v>
      </c>
      <c r="AE79" s="31">
        <v>838.99</v>
      </c>
      <c r="AF79" s="34" t="s">
        <v>3853</v>
      </c>
      <c r="AG79" s="34">
        <v>0.0</v>
      </c>
      <c r="AH79" s="34">
        <v>100.0</v>
      </c>
      <c r="AI79" s="34">
        <v>0.0</v>
      </c>
      <c r="AJ79" s="34">
        <v>0.0</v>
      </c>
      <c r="AK79" s="33">
        <f>COUNTIFS('Data For Calculation - Insuranc'!A:A,A79,'Data For Calculation - Insuranc'!E:E,"Assistance + CPA : 5 Years")</f>
        <v>0</v>
      </c>
      <c r="AL79" s="30" t="s">
        <v>3817</v>
      </c>
      <c r="AM79" s="31">
        <v>290.0</v>
      </c>
      <c r="AN79" s="34" t="s">
        <v>3853</v>
      </c>
      <c r="AO79" s="34">
        <v>0.0</v>
      </c>
      <c r="AP79" s="34">
        <v>100.0</v>
      </c>
      <c r="AQ79" s="34">
        <v>0.0</v>
      </c>
      <c r="AR79" s="34">
        <v>0.0</v>
      </c>
      <c r="AS79" s="33">
        <f>COUNTIFS('Data For Calculation - Insuranc'!A:A,A79,'Data For Calculation - Insuranc'!E:E,"RSA + AHDC + DOC")</f>
        <v>0</v>
      </c>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f t="shared" si="1"/>
        <v>0</v>
      </c>
      <c r="BS79" s="33">
        <f>SUMIFS('Data For Calculation - Insuranc'!I:I,'Data For Calculation - Insuranc'!$A:$A,$A79)</f>
        <v>0</v>
      </c>
      <c r="BT79" s="33">
        <f>SUMIFS('Data For Calculation - Insuranc'!J:J,'Data For Calculation - Insuranc'!$A:$A,$A79)</f>
        <v>0</v>
      </c>
      <c r="BU79" s="33">
        <f>SUMIFS('Data For Calculation - Insuranc'!K:K,'Data For Calculation - Insuranc'!$A:$A,$A79)</f>
        <v>0</v>
      </c>
      <c r="BV79" s="33">
        <f>IF($CC79 = "Dealer", SUMIFS('Data For Calculation - Insuranc'!I:I,'Data For Calculation - Insuranc'!$B:$B,$A79,'Data For Calculation - Insuranc'!$H:$H,"Master Dealer")) + SUMIFS('Data For Calculation - Insuranc'!I:I,'Data For Calculation - Insuranc'!$A:$A,$A79,'Data For Calculation - Insuranc'!$H:$H,"Self")</f>
        <v>0</v>
      </c>
      <c r="BW79" s="33">
        <f>IF($CC79 = "Dealer", SUMIFS('Data For Calculation - Insuranc'!J:J,'Data For Calculation - Insuranc'!$B:$B,$A79,'Data For Calculation - Insuranc'!$H:$H,"Master Dealer")) + SUMIFS('Data For Calculation - Insuranc'!J:J,'Data For Calculation - Insuranc'!$A:$A,$A79,'Data For Calculation - Insuranc'!$H:$H,"Self")</f>
        <v>0</v>
      </c>
      <c r="BX79" s="33">
        <f>IF($CC79 = "Dealer", SUMIFS('Data For Calculation - Insuranc'!K:K,'Data For Calculation - Insuranc'!$B:$B,$A79,'Data For Calculation - Insuranc'!$H:$H,"Master Dealer")) + SUMIFS('Data For Calculation - Insuranc'!K:K,'Data For Calculation - Insuranc'!$A:$A,$A79,'Data For Calculation - Insuranc'!$H:$H,"Self")</f>
        <v>0</v>
      </c>
      <c r="BY79" s="25" t="str">
        <f>(Sheet1!N79)</f>
        <v>Chaudhary Automobiles - Hisar</v>
      </c>
      <c r="BZ79" s="25" t="str">
        <f>(Sheet1!O79)</f>
        <v>1pI_tDns4A7jbcl0nEvEO_u0FclM2PyV1AT-2Q2Dx2Jo</v>
      </c>
      <c r="CA79" s="25" t="str">
        <f>(Sheet1!AV79)</f>
        <v/>
      </c>
      <c r="CB79" s="25" t="str">
        <f>(Sheet1!AW79)</f>
        <v/>
      </c>
      <c r="CC79" s="26" t="str">
        <f>(Sheet1!P79)</f>
        <v>Dealer</v>
      </c>
    </row>
    <row r="80">
      <c r="A80" s="25" t="str">
        <f>(Sheet1!A80)</f>
        <v>1hR0JpXiceB7xWAHLNEwMyaE9wlUgF4ljP0RD80dtSd0</v>
      </c>
      <c r="B80" s="25" t="str">
        <f>(Sheet1!B80)</f>
        <v>Krishna Enterprise - Gohana</v>
      </c>
      <c r="C80" s="30" t="str">
        <f>Sheet1!BB80</f>
        <v>No</v>
      </c>
      <c r="D80" s="30" t="s">
        <v>13</v>
      </c>
      <c r="E80" s="34" t="s">
        <v>13</v>
      </c>
      <c r="F80" s="30" t="s">
        <v>3820</v>
      </c>
      <c r="G80" s="31">
        <v>290.0</v>
      </c>
      <c r="H80" s="34" t="s">
        <v>3853</v>
      </c>
      <c r="I80" s="34">
        <v>0.0</v>
      </c>
      <c r="J80" s="34">
        <v>100.0</v>
      </c>
      <c r="K80" s="34">
        <v>0.0</v>
      </c>
      <c r="L80" s="34">
        <v>0.0</v>
      </c>
      <c r="M80" s="33">
        <f>COUNTIFS('Data For Calculation - Insuranc'!A:A,A80,'Data For Calculation - Insuranc'!E:E,"CPA + RSA")</f>
        <v>0</v>
      </c>
      <c r="N80" s="30" t="s">
        <v>3820</v>
      </c>
      <c r="O80" s="31">
        <v>460.0</v>
      </c>
      <c r="P80" s="34" t="s">
        <v>3853</v>
      </c>
      <c r="Q80" s="34">
        <v>0.0</v>
      </c>
      <c r="R80" s="34">
        <v>100.0</v>
      </c>
      <c r="S80" s="34">
        <v>0.0</v>
      </c>
      <c r="T80" s="34">
        <v>0.0</v>
      </c>
      <c r="U80" s="33">
        <f>COUNTIFS('Data For Calculation - Insuranc'!A:A,A80,'Data For Calculation - Insuranc'!E:E,"CPA + RSA + AHDC + DOC")</f>
        <v>0</v>
      </c>
      <c r="V80" s="30" t="s">
        <v>3820</v>
      </c>
      <c r="W80" s="34">
        <v>838.99</v>
      </c>
      <c r="X80" s="34" t="s">
        <v>3853</v>
      </c>
      <c r="Y80" s="34">
        <v>0.0</v>
      </c>
      <c r="Z80" s="34">
        <v>100.0</v>
      </c>
      <c r="AA80" s="34">
        <v>0.0</v>
      </c>
      <c r="AB80" s="34">
        <v>0.0</v>
      </c>
      <c r="AC80" s="33">
        <f>COUNTIFS('Data For Calculation - Insuranc'!A:A,A80,'Data For Calculation - Insuranc'!E:E,"CPA + RSA : 5 Years")</f>
        <v>0</v>
      </c>
      <c r="AD80" s="30" t="s">
        <v>3820</v>
      </c>
      <c r="AE80" s="31">
        <v>838.99</v>
      </c>
      <c r="AF80" s="34" t="s">
        <v>3853</v>
      </c>
      <c r="AG80" s="34">
        <v>0.0</v>
      </c>
      <c r="AH80" s="34">
        <v>100.0</v>
      </c>
      <c r="AI80" s="34">
        <v>0.0</v>
      </c>
      <c r="AJ80" s="34">
        <v>0.0</v>
      </c>
      <c r="AK80" s="33">
        <f>COUNTIFS('Data For Calculation - Insuranc'!A:A,A80,'Data For Calculation - Insuranc'!E:E,"Assistance + CPA : 5 Years")</f>
        <v>0</v>
      </c>
      <c r="AL80" s="30" t="s">
        <v>3820</v>
      </c>
      <c r="AM80" s="31">
        <v>290.0</v>
      </c>
      <c r="AN80" s="34" t="s">
        <v>3853</v>
      </c>
      <c r="AO80" s="34">
        <v>0.0</v>
      </c>
      <c r="AP80" s="34">
        <v>100.0</v>
      </c>
      <c r="AQ80" s="34">
        <v>0.0</v>
      </c>
      <c r="AR80" s="34">
        <v>0.0</v>
      </c>
      <c r="AS80" s="33">
        <f>COUNTIFS('Data For Calculation - Insuranc'!A:A,A80,'Data For Calculation - Insuranc'!E:E,"RSA + AHDC + DOC")</f>
        <v>0</v>
      </c>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f t="shared" si="1"/>
        <v>0</v>
      </c>
      <c r="BS80" s="33">
        <f>SUMIFS('Data For Calculation - Insuranc'!I:I,'Data For Calculation - Insuranc'!$A:$A,$A80)</f>
        <v>0</v>
      </c>
      <c r="BT80" s="33">
        <f>SUMIFS('Data For Calculation - Insuranc'!J:J,'Data For Calculation - Insuranc'!$A:$A,$A80)</f>
        <v>0</v>
      </c>
      <c r="BU80" s="33">
        <f>SUMIFS('Data For Calculation - Insuranc'!K:K,'Data For Calculation - Insuranc'!$A:$A,$A80)</f>
        <v>0</v>
      </c>
      <c r="BV80" s="33">
        <f>IF($CC80 = "Dealer", SUMIFS('Data For Calculation - Insuranc'!I:I,'Data For Calculation - Insuranc'!$B:$B,$A80,'Data For Calculation - Insuranc'!$H:$H,"Master Dealer")) + SUMIFS('Data For Calculation - Insuranc'!I:I,'Data For Calculation - Insuranc'!$A:$A,$A80,'Data For Calculation - Insuranc'!$H:$H,"Self")</f>
        <v>0</v>
      </c>
      <c r="BW80" s="33">
        <f>IF($CC80 = "Dealer", SUMIFS('Data For Calculation - Insuranc'!J:J,'Data For Calculation - Insuranc'!$B:$B,$A80,'Data For Calculation - Insuranc'!$H:$H,"Master Dealer")) + SUMIFS('Data For Calculation - Insuranc'!J:J,'Data For Calculation - Insuranc'!$A:$A,$A80,'Data For Calculation - Insuranc'!$H:$H,"Self")</f>
        <v>0</v>
      </c>
      <c r="BX80" s="33">
        <f>IF($CC80 = "Dealer", SUMIFS('Data For Calculation - Insuranc'!K:K,'Data For Calculation - Insuranc'!$B:$B,$A80,'Data For Calculation - Insuranc'!$H:$H,"Master Dealer")) + SUMIFS('Data For Calculation - Insuranc'!K:K,'Data For Calculation - Insuranc'!$A:$A,$A80,'Data For Calculation - Insuranc'!$H:$H,"Self")</f>
        <v>0</v>
      </c>
      <c r="BY80" s="25" t="str">
        <f>(Sheet1!N80)</f>
        <v>Krishna Enterprise - Gohana</v>
      </c>
      <c r="BZ80" s="25" t="str">
        <f>(Sheet1!O80)</f>
        <v>1hR0JpXiceB7xWAHLNEwMyaE9wlUgF4ljP0RD80dtSd0</v>
      </c>
      <c r="CA80" s="25" t="str">
        <f>(Sheet1!AV80)</f>
        <v/>
      </c>
      <c r="CB80" s="25" t="str">
        <f>(Sheet1!AW80)</f>
        <v/>
      </c>
      <c r="CC80" s="26" t="str">
        <f>(Sheet1!P80)</f>
        <v>Dealer</v>
      </c>
    </row>
    <row r="81">
      <c r="A81" s="25" t="str">
        <f>(Sheet1!A81)</f>
        <v>1T--GiX2IFe0RYo58Hf-j_i7C4y0B-AEmeo-kncwUWcg</v>
      </c>
      <c r="B81" s="25" t="str">
        <f>(Sheet1!B81)</f>
        <v>Vikrant Automobiles (CAH)</v>
      </c>
      <c r="C81" s="30" t="str">
        <f>Sheet1!BB81</f>
        <v>No</v>
      </c>
      <c r="D81" s="30" t="s">
        <v>13</v>
      </c>
      <c r="E81" s="34" t="s">
        <v>13</v>
      </c>
      <c r="F81" s="30" t="s">
        <v>3817</v>
      </c>
      <c r="G81" s="31">
        <v>290.0</v>
      </c>
      <c r="H81" s="34" t="s">
        <v>3853</v>
      </c>
      <c r="I81" s="34">
        <v>0.0</v>
      </c>
      <c r="J81" s="34">
        <v>100.0</v>
      </c>
      <c r="K81" s="34">
        <v>0.0</v>
      </c>
      <c r="L81" s="34">
        <v>0.0</v>
      </c>
      <c r="M81" s="33">
        <f>COUNTIFS('Data For Calculation - Insuranc'!A:A,A81,'Data For Calculation - Insuranc'!E:E,"CPA + RSA")</f>
        <v>0</v>
      </c>
      <c r="N81" s="30" t="s">
        <v>3817</v>
      </c>
      <c r="O81" s="31">
        <v>460.0</v>
      </c>
      <c r="P81" s="34" t="s">
        <v>3853</v>
      </c>
      <c r="Q81" s="34">
        <v>0.0</v>
      </c>
      <c r="R81" s="34">
        <v>100.0</v>
      </c>
      <c r="S81" s="34">
        <v>0.0</v>
      </c>
      <c r="T81" s="34">
        <v>0.0</v>
      </c>
      <c r="U81" s="33">
        <f>COUNTIFS('Data For Calculation - Insuranc'!A:A,A81,'Data For Calculation - Insuranc'!E:E,"CPA + RSA + AHDC + DOC")</f>
        <v>0</v>
      </c>
      <c r="V81" s="30" t="s">
        <v>3817</v>
      </c>
      <c r="W81" s="34">
        <v>838.99</v>
      </c>
      <c r="X81" s="34" t="s">
        <v>3853</v>
      </c>
      <c r="Y81" s="34">
        <v>0.0</v>
      </c>
      <c r="Z81" s="34">
        <v>100.0</v>
      </c>
      <c r="AA81" s="34">
        <v>0.0</v>
      </c>
      <c r="AB81" s="34">
        <v>0.0</v>
      </c>
      <c r="AC81" s="33">
        <f>COUNTIFS('Data For Calculation - Insuranc'!A:A,A81,'Data For Calculation - Insuranc'!E:E,"CPA + RSA : 5 Years")</f>
        <v>0</v>
      </c>
      <c r="AD81" s="30" t="s">
        <v>3817</v>
      </c>
      <c r="AE81" s="31">
        <v>838.99</v>
      </c>
      <c r="AF81" s="34" t="s">
        <v>3853</v>
      </c>
      <c r="AG81" s="34">
        <v>0.0</v>
      </c>
      <c r="AH81" s="34">
        <v>100.0</v>
      </c>
      <c r="AI81" s="34">
        <v>0.0</v>
      </c>
      <c r="AJ81" s="34">
        <v>0.0</v>
      </c>
      <c r="AK81" s="33">
        <f>COUNTIFS('Data For Calculation - Insuranc'!A:A,A81,'Data For Calculation - Insuranc'!E:E,"Assistance + CPA : 5 Years")</f>
        <v>0</v>
      </c>
      <c r="AL81" s="30" t="s">
        <v>3817</v>
      </c>
      <c r="AM81" s="31">
        <v>290.0</v>
      </c>
      <c r="AN81" s="34" t="s">
        <v>3853</v>
      </c>
      <c r="AO81" s="34">
        <v>0.0</v>
      </c>
      <c r="AP81" s="34">
        <v>100.0</v>
      </c>
      <c r="AQ81" s="34">
        <v>0.0</v>
      </c>
      <c r="AR81" s="34">
        <v>0.0</v>
      </c>
      <c r="AS81" s="33">
        <f>COUNTIFS('Data For Calculation - Insuranc'!A:A,A81,'Data For Calculation - Insuranc'!E:E,"RSA + AHDC + DOC")</f>
        <v>0</v>
      </c>
      <c r="AT81" s="33"/>
      <c r="AU81" s="33"/>
      <c r="AV81" s="33"/>
      <c r="AW81" s="33"/>
      <c r="AX81" s="33"/>
      <c r="AY81" s="33"/>
      <c r="AZ81" s="33"/>
      <c r="BA81" s="33"/>
      <c r="BB81" s="33"/>
      <c r="BC81" s="33"/>
      <c r="BD81" s="33"/>
      <c r="BE81" s="33"/>
      <c r="BF81" s="33"/>
      <c r="BG81" s="33"/>
      <c r="BH81" s="33"/>
      <c r="BI81" s="33"/>
      <c r="BJ81" s="33"/>
      <c r="BK81" s="33"/>
      <c r="BL81" s="33"/>
      <c r="BM81" s="33"/>
      <c r="BN81" s="33"/>
      <c r="BO81" s="33"/>
      <c r="BP81" s="33"/>
      <c r="BQ81" s="33"/>
      <c r="BR81" s="33">
        <f t="shared" si="1"/>
        <v>0</v>
      </c>
      <c r="BS81" s="33">
        <f>SUMIFS('Data For Calculation - Insuranc'!I:I,'Data For Calculation - Insuranc'!$A:$A,$A81)</f>
        <v>0</v>
      </c>
      <c r="BT81" s="33">
        <f>SUMIFS('Data For Calculation - Insuranc'!J:J,'Data For Calculation - Insuranc'!$A:$A,$A81)</f>
        <v>0</v>
      </c>
      <c r="BU81" s="33">
        <f>SUMIFS('Data For Calculation - Insuranc'!K:K,'Data For Calculation - Insuranc'!$A:$A,$A81)</f>
        <v>0</v>
      </c>
      <c r="BV81" s="33">
        <f>IF($CC81 = "Dealer", SUMIFS('Data For Calculation - Insuranc'!I:I,'Data For Calculation - Insuranc'!$B:$B,$A81,'Data For Calculation - Insuranc'!$H:$H,"Master Dealer")) + SUMIFS('Data For Calculation - Insuranc'!I:I,'Data For Calculation - Insuranc'!$A:$A,$A81,'Data For Calculation - Insuranc'!$H:$H,"Self")</f>
        <v>0</v>
      </c>
      <c r="BW81" s="33">
        <f>IF($CC81 = "Dealer", SUMIFS('Data For Calculation - Insuranc'!J:J,'Data For Calculation - Insuranc'!$B:$B,$A81,'Data For Calculation - Insuranc'!$H:$H,"Master Dealer")) + SUMIFS('Data For Calculation - Insuranc'!J:J,'Data For Calculation - Insuranc'!$A:$A,$A81,'Data For Calculation - Insuranc'!$H:$H,"Self")</f>
        <v>0</v>
      </c>
      <c r="BX81" s="33">
        <f>IF($CC81 = "Dealer", SUMIFS('Data For Calculation - Insuranc'!K:K,'Data For Calculation - Insuranc'!$B:$B,$A81,'Data For Calculation - Insuranc'!$H:$H,"Master Dealer")) + SUMIFS('Data For Calculation - Insuranc'!K:K,'Data For Calculation - Insuranc'!$A:$A,$A81,'Data For Calculation - Insuranc'!$H:$H,"Self")</f>
        <v>0</v>
      </c>
      <c r="BY81" s="25" t="str">
        <f>(Sheet1!N81)</f>
        <v>Chaudhary Automobiles - Hisar</v>
      </c>
      <c r="BZ81" s="25" t="str">
        <f>(Sheet1!O81)</f>
        <v>1pI_tDns4A7jbcl0nEvEO_u0FclM2PyV1AT-2Q2Dx2Jo</v>
      </c>
      <c r="CA81" s="25" t="str">
        <f>(Sheet1!AV81)</f>
        <v/>
      </c>
      <c r="CB81" s="25" t="str">
        <f>(Sheet1!AW81)</f>
        <v/>
      </c>
      <c r="CC81" s="26" t="str">
        <f>(Sheet1!P81)</f>
        <v>Sub Dealer</v>
      </c>
    </row>
    <row r="82">
      <c r="A82" s="25" t="str">
        <f>(Sheet1!A82)</f>
        <v>1te-rw28wyEruXSSOAJhw4UGEPXdsOYHDVLF_IaZTrdY</v>
      </c>
      <c r="B82" s="25" t="str">
        <f>(Sheet1!B82)</f>
        <v>Himanshu Automobile (KHG)</v>
      </c>
      <c r="C82" s="30" t="str">
        <f>Sheet1!BB82</f>
        <v>No</v>
      </c>
      <c r="D82" s="30" t="s">
        <v>13</v>
      </c>
      <c r="E82" s="34" t="s">
        <v>13</v>
      </c>
      <c r="F82" s="30" t="s">
        <v>3820</v>
      </c>
      <c r="G82" s="31">
        <v>290.0</v>
      </c>
      <c r="H82" s="34" t="s">
        <v>3853</v>
      </c>
      <c r="I82" s="34">
        <v>0.0</v>
      </c>
      <c r="J82" s="34">
        <v>100.0</v>
      </c>
      <c r="K82" s="34">
        <v>0.0</v>
      </c>
      <c r="L82" s="34">
        <v>0.0</v>
      </c>
      <c r="M82" s="33">
        <f>COUNTIFS('Data For Calculation - Insuranc'!A:A,A82,'Data For Calculation - Insuranc'!E:E,"CPA + RSA")</f>
        <v>0</v>
      </c>
      <c r="N82" s="30" t="s">
        <v>3820</v>
      </c>
      <c r="O82" s="31">
        <v>460.0</v>
      </c>
      <c r="P82" s="34" t="s">
        <v>3853</v>
      </c>
      <c r="Q82" s="34">
        <v>0.0</v>
      </c>
      <c r="R82" s="34">
        <v>100.0</v>
      </c>
      <c r="S82" s="34">
        <v>0.0</v>
      </c>
      <c r="T82" s="34">
        <v>0.0</v>
      </c>
      <c r="U82" s="33">
        <f>COUNTIFS('Data For Calculation - Insuranc'!A:A,A82,'Data For Calculation - Insuranc'!E:E,"CPA + RSA + AHDC + DOC")</f>
        <v>0</v>
      </c>
      <c r="V82" s="30" t="s">
        <v>3820</v>
      </c>
      <c r="W82" s="34">
        <v>838.99</v>
      </c>
      <c r="X82" s="34" t="s">
        <v>3853</v>
      </c>
      <c r="Y82" s="34">
        <v>0.0</v>
      </c>
      <c r="Z82" s="34">
        <v>100.0</v>
      </c>
      <c r="AA82" s="34">
        <v>0.0</v>
      </c>
      <c r="AB82" s="34">
        <v>0.0</v>
      </c>
      <c r="AC82" s="33">
        <f>COUNTIFS('Data For Calculation - Insuranc'!A:A,A82,'Data For Calculation - Insuranc'!E:E,"CPA + RSA : 5 Years")</f>
        <v>0</v>
      </c>
      <c r="AD82" s="30" t="s">
        <v>3820</v>
      </c>
      <c r="AE82" s="31">
        <v>838.99</v>
      </c>
      <c r="AF82" s="34" t="s">
        <v>3853</v>
      </c>
      <c r="AG82" s="34">
        <v>0.0</v>
      </c>
      <c r="AH82" s="34">
        <v>100.0</v>
      </c>
      <c r="AI82" s="34">
        <v>0.0</v>
      </c>
      <c r="AJ82" s="34">
        <v>0.0</v>
      </c>
      <c r="AK82" s="33">
        <f>COUNTIFS('Data For Calculation - Insuranc'!A:A,A82,'Data For Calculation - Insuranc'!E:E,"Assistance + CPA : 5 Years")</f>
        <v>0</v>
      </c>
      <c r="AL82" s="30" t="s">
        <v>3820</v>
      </c>
      <c r="AM82" s="31">
        <v>290.0</v>
      </c>
      <c r="AN82" s="34" t="s">
        <v>3853</v>
      </c>
      <c r="AO82" s="34">
        <v>0.0</v>
      </c>
      <c r="AP82" s="34">
        <v>100.0</v>
      </c>
      <c r="AQ82" s="34">
        <v>0.0</v>
      </c>
      <c r="AR82" s="34">
        <v>0.0</v>
      </c>
      <c r="AS82" s="33">
        <f>COUNTIFS('Data For Calculation - Insuranc'!A:A,A82,'Data For Calculation - Insuranc'!E:E,"RSA + AHDC + DOC")</f>
        <v>0</v>
      </c>
      <c r="AT82" s="33"/>
      <c r="AU82" s="33"/>
      <c r="AV82" s="33"/>
      <c r="AW82" s="33"/>
      <c r="AX82" s="33"/>
      <c r="AY82" s="33"/>
      <c r="AZ82" s="33"/>
      <c r="BA82" s="33"/>
      <c r="BB82" s="33"/>
      <c r="BC82" s="33"/>
      <c r="BD82" s="33"/>
      <c r="BE82" s="33"/>
      <c r="BF82" s="33"/>
      <c r="BG82" s="33"/>
      <c r="BH82" s="33"/>
      <c r="BI82" s="33"/>
      <c r="BJ82" s="33"/>
      <c r="BK82" s="33"/>
      <c r="BL82" s="33"/>
      <c r="BM82" s="33"/>
      <c r="BN82" s="33"/>
      <c r="BO82" s="33"/>
      <c r="BP82" s="33"/>
      <c r="BQ82" s="33"/>
      <c r="BR82" s="33">
        <f t="shared" si="1"/>
        <v>0</v>
      </c>
      <c r="BS82" s="33">
        <f>SUMIFS('Data For Calculation - Insuranc'!I:I,'Data For Calculation - Insuranc'!$A:$A,$A82)</f>
        <v>0</v>
      </c>
      <c r="BT82" s="33">
        <f>SUMIFS('Data For Calculation - Insuranc'!J:J,'Data For Calculation - Insuranc'!$A:$A,$A82)</f>
        <v>0</v>
      </c>
      <c r="BU82" s="33">
        <f>SUMIFS('Data For Calculation - Insuranc'!K:K,'Data For Calculation - Insuranc'!$A:$A,$A82)</f>
        <v>0</v>
      </c>
      <c r="BV82" s="33">
        <f>IF($CC82 = "Dealer", SUMIFS('Data For Calculation - Insuranc'!I:I,'Data For Calculation - Insuranc'!$B:$B,$A82,'Data For Calculation - Insuranc'!$H:$H,"Master Dealer")) + SUMIFS('Data For Calculation - Insuranc'!I:I,'Data For Calculation - Insuranc'!$A:$A,$A82,'Data For Calculation - Insuranc'!$H:$H,"Self")</f>
        <v>0</v>
      </c>
      <c r="BW82" s="33">
        <f>IF($CC82 = "Dealer", SUMIFS('Data For Calculation - Insuranc'!J:J,'Data For Calculation - Insuranc'!$B:$B,$A82,'Data For Calculation - Insuranc'!$H:$H,"Master Dealer")) + SUMIFS('Data For Calculation - Insuranc'!J:J,'Data For Calculation - Insuranc'!$A:$A,$A82,'Data For Calculation - Insuranc'!$H:$H,"Self")</f>
        <v>0</v>
      </c>
      <c r="BX82" s="33">
        <f>IF($CC82 = "Dealer", SUMIFS('Data For Calculation - Insuranc'!K:K,'Data For Calculation - Insuranc'!$B:$B,$A82,'Data For Calculation - Insuranc'!$H:$H,"Master Dealer")) + SUMIFS('Data For Calculation - Insuranc'!K:K,'Data For Calculation - Insuranc'!$A:$A,$A82,'Data For Calculation - Insuranc'!$H:$H,"Self")</f>
        <v>0</v>
      </c>
      <c r="BY82" s="25" t="str">
        <f>(Sheet1!N82)</f>
        <v>Himanshu Automobile (KHG)</v>
      </c>
      <c r="BZ82" s="25" t="str">
        <f>(Sheet1!O82)</f>
        <v>1te-rw28wyEruXSSOAJhw4UGEPXdsOYHDVLF_IaZTrdY</v>
      </c>
      <c r="CA82" s="25" t="str">
        <f>(Sheet1!AV82)</f>
        <v/>
      </c>
      <c r="CB82" s="25" t="str">
        <f>(Sheet1!AW82)</f>
        <v/>
      </c>
      <c r="CC82" s="26" t="str">
        <f>(Sheet1!P82)</f>
        <v>Dealer</v>
      </c>
    </row>
    <row r="83">
      <c r="A83" s="25" t="str">
        <f>(Sheet1!A83)</f>
        <v>1YGpVDN0ELgWGDdcU8lnhIXzjT7NqPXsCaqGWqE3ma8o</v>
      </c>
      <c r="B83" s="25" t="str">
        <f>(Sheet1!B83)</f>
        <v>TR Motors - Kundali (KEG)</v>
      </c>
      <c r="C83" s="30" t="str">
        <f>Sheet1!BB83</f>
        <v>No</v>
      </c>
      <c r="D83" s="30" t="s">
        <v>13</v>
      </c>
      <c r="E83" s="34" t="s">
        <v>13</v>
      </c>
      <c r="F83" s="30" t="s">
        <v>3817</v>
      </c>
      <c r="G83" s="31">
        <v>290.0</v>
      </c>
      <c r="H83" s="34" t="s">
        <v>3853</v>
      </c>
      <c r="I83" s="34">
        <v>0.0</v>
      </c>
      <c r="J83" s="34">
        <v>100.0</v>
      </c>
      <c r="K83" s="34">
        <v>0.0</v>
      </c>
      <c r="L83" s="34">
        <v>0.0</v>
      </c>
      <c r="M83" s="33">
        <f>COUNTIFS('Data For Calculation - Insuranc'!A:A,A83,'Data For Calculation - Insuranc'!E:E,"CPA + RSA")</f>
        <v>0</v>
      </c>
      <c r="N83" s="30" t="s">
        <v>3817</v>
      </c>
      <c r="O83" s="31">
        <v>460.0</v>
      </c>
      <c r="P83" s="34" t="s">
        <v>3853</v>
      </c>
      <c r="Q83" s="34">
        <v>0.0</v>
      </c>
      <c r="R83" s="34">
        <v>100.0</v>
      </c>
      <c r="S83" s="34">
        <v>0.0</v>
      </c>
      <c r="T83" s="34">
        <v>0.0</v>
      </c>
      <c r="U83" s="33">
        <f>COUNTIFS('Data For Calculation - Insuranc'!A:A,A83,'Data For Calculation - Insuranc'!E:E,"CPA + RSA + AHDC + DOC")</f>
        <v>0</v>
      </c>
      <c r="V83" s="30" t="s">
        <v>3817</v>
      </c>
      <c r="W83" s="34">
        <v>838.99</v>
      </c>
      <c r="X83" s="34" t="s">
        <v>3853</v>
      </c>
      <c r="Y83" s="34">
        <v>0.0</v>
      </c>
      <c r="Z83" s="34">
        <v>100.0</v>
      </c>
      <c r="AA83" s="34">
        <v>0.0</v>
      </c>
      <c r="AB83" s="34">
        <v>0.0</v>
      </c>
      <c r="AC83" s="33">
        <f>COUNTIFS('Data For Calculation - Insuranc'!A:A,A83,'Data For Calculation - Insuranc'!E:E,"CPA + RSA : 5 Years")</f>
        <v>0</v>
      </c>
      <c r="AD83" s="30" t="s">
        <v>3817</v>
      </c>
      <c r="AE83" s="31">
        <v>838.99</v>
      </c>
      <c r="AF83" s="34" t="s">
        <v>3853</v>
      </c>
      <c r="AG83" s="34">
        <v>0.0</v>
      </c>
      <c r="AH83" s="34">
        <v>100.0</v>
      </c>
      <c r="AI83" s="34">
        <v>0.0</v>
      </c>
      <c r="AJ83" s="34">
        <v>0.0</v>
      </c>
      <c r="AK83" s="33">
        <f>COUNTIFS('Data For Calculation - Insuranc'!A:A,A83,'Data For Calculation - Insuranc'!E:E,"Assistance + CPA : 5 Years")</f>
        <v>0</v>
      </c>
      <c r="AL83" s="30" t="s">
        <v>3817</v>
      </c>
      <c r="AM83" s="31">
        <v>290.0</v>
      </c>
      <c r="AN83" s="34" t="s">
        <v>3853</v>
      </c>
      <c r="AO83" s="34">
        <v>0.0</v>
      </c>
      <c r="AP83" s="34">
        <v>100.0</v>
      </c>
      <c r="AQ83" s="34">
        <v>0.0</v>
      </c>
      <c r="AR83" s="34">
        <v>0.0</v>
      </c>
      <c r="AS83" s="33">
        <f>COUNTIFS('Data For Calculation - Insuranc'!A:A,A83,'Data For Calculation - Insuranc'!E:E,"RSA + AHDC + DOC")</f>
        <v>0</v>
      </c>
      <c r="AT83" s="33"/>
      <c r="AU83" s="33"/>
      <c r="AV83" s="33"/>
      <c r="AW83" s="33"/>
      <c r="AX83" s="33"/>
      <c r="AY83" s="33"/>
      <c r="AZ83" s="33"/>
      <c r="BA83" s="33"/>
      <c r="BB83" s="33"/>
      <c r="BC83" s="33"/>
      <c r="BD83" s="33"/>
      <c r="BE83" s="33"/>
      <c r="BF83" s="33"/>
      <c r="BG83" s="33"/>
      <c r="BH83" s="33"/>
      <c r="BI83" s="33"/>
      <c r="BJ83" s="33"/>
      <c r="BK83" s="33"/>
      <c r="BL83" s="33"/>
      <c r="BM83" s="33"/>
      <c r="BN83" s="33"/>
      <c r="BO83" s="33"/>
      <c r="BP83" s="33"/>
      <c r="BQ83" s="33"/>
      <c r="BR83" s="33">
        <f t="shared" si="1"/>
        <v>0</v>
      </c>
      <c r="BS83" s="33">
        <f>SUMIFS('Data For Calculation - Insuranc'!I:I,'Data For Calculation - Insuranc'!$A:$A,$A83)</f>
        <v>0</v>
      </c>
      <c r="BT83" s="33">
        <f>SUMIFS('Data For Calculation - Insuranc'!J:J,'Data For Calculation - Insuranc'!$A:$A,$A83)</f>
        <v>0</v>
      </c>
      <c r="BU83" s="33">
        <f>SUMIFS('Data For Calculation - Insuranc'!K:K,'Data For Calculation - Insuranc'!$A:$A,$A83)</f>
        <v>0</v>
      </c>
      <c r="BV83" s="33">
        <f>IF($CC83 = "Dealer", SUMIFS('Data For Calculation - Insuranc'!I:I,'Data For Calculation - Insuranc'!$B:$B,$A83,'Data For Calculation - Insuranc'!$H:$H,"Master Dealer")) + SUMIFS('Data For Calculation - Insuranc'!I:I,'Data For Calculation - Insuranc'!$A:$A,$A83,'Data For Calculation - Insuranc'!$H:$H,"Self")</f>
        <v>0</v>
      </c>
      <c r="BW83" s="33">
        <f>IF($CC83 = "Dealer", SUMIFS('Data For Calculation - Insuranc'!J:J,'Data For Calculation - Insuranc'!$B:$B,$A83,'Data For Calculation - Insuranc'!$H:$H,"Master Dealer")) + SUMIFS('Data For Calculation - Insuranc'!J:J,'Data For Calculation - Insuranc'!$A:$A,$A83,'Data For Calculation - Insuranc'!$H:$H,"Self")</f>
        <v>0</v>
      </c>
      <c r="BX83" s="33">
        <f>IF($CC83 = "Dealer", SUMIFS('Data For Calculation - Insuranc'!K:K,'Data For Calculation - Insuranc'!$B:$B,$A83,'Data For Calculation - Insuranc'!$H:$H,"Master Dealer")) + SUMIFS('Data For Calculation - Insuranc'!K:K,'Data For Calculation - Insuranc'!$A:$A,$A83,'Data For Calculation - Insuranc'!$H:$H,"Self")</f>
        <v>0</v>
      </c>
      <c r="BY83" s="25" t="str">
        <f>(Sheet1!N83)</f>
        <v>Krishna Enterprise - Gohana</v>
      </c>
      <c r="BZ83" s="25" t="str">
        <f>(Sheet1!O83)</f>
        <v>1hR0JpXiceB7xWAHLNEwMyaE9wlUgF4ljP0RD80dtSd0</v>
      </c>
      <c r="CA83" s="25" t="str">
        <f>(Sheet1!AV83)</f>
        <v/>
      </c>
      <c r="CB83" s="25" t="str">
        <f>(Sheet1!AW83)</f>
        <v/>
      </c>
      <c r="CC83" s="26" t="str">
        <f>(Sheet1!P83)</f>
        <v>Sub Dealer</v>
      </c>
    </row>
    <row r="84">
      <c r="A84" s="25" t="str">
        <f>(Sheet1!A84)</f>
        <v>1th0hj2blk-gBbR7lpmA16YsAj_ttAS2Hct4wjY5lY2o</v>
      </c>
      <c r="B84" s="25" t="str">
        <f>(Sheet1!B84)</f>
        <v>Johri Auto Mobile-Uklana (CAH)</v>
      </c>
      <c r="C84" s="30" t="str">
        <f>Sheet1!BB84</f>
        <v>No</v>
      </c>
      <c r="D84" s="30" t="s">
        <v>13</v>
      </c>
      <c r="E84" s="34" t="s">
        <v>13</v>
      </c>
      <c r="F84" s="30" t="s">
        <v>3817</v>
      </c>
      <c r="G84" s="31">
        <v>290.0</v>
      </c>
      <c r="H84" s="34" t="s">
        <v>3853</v>
      </c>
      <c r="I84" s="34">
        <v>0.0</v>
      </c>
      <c r="J84" s="34">
        <v>100.0</v>
      </c>
      <c r="K84" s="34">
        <v>0.0</v>
      </c>
      <c r="L84" s="34">
        <v>0.0</v>
      </c>
      <c r="M84" s="33">
        <f>COUNTIFS('Data For Calculation - Insuranc'!A:A,A84,'Data For Calculation - Insuranc'!E:E,"CPA + RSA")</f>
        <v>0</v>
      </c>
      <c r="N84" s="30" t="s">
        <v>3817</v>
      </c>
      <c r="O84" s="31">
        <v>460.0</v>
      </c>
      <c r="P84" s="34" t="s">
        <v>3853</v>
      </c>
      <c r="Q84" s="34">
        <v>0.0</v>
      </c>
      <c r="R84" s="34">
        <v>100.0</v>
      </c>
      <c r="S84" s="34">
        <v>0.0</v>
      </c>
      <c r="T84" s="34">
        <v>0.0</v>
      </c>
      <c r="U84" s="33">
        <f>COUNTIFS('Data For Calculation - Insuranc'!A:A,A84,'Data For Calculation - Insuranc'!E:E,"CPA + RSA + AHDC + DOC")</f>
        <v>0</v>
      </c>
      <c r="V84" s="30" t="s">
        <v>3817</v>
      </c>
      <c r="W84" s="34">
        <v>838.99</v>
      </c>
      <c r="X84" s="34" t="s">
        <v>3853</v>
      </c>
      <c r="Y84" s="34">
        <v>0.0</v>
      </c>
      <c r="Z84" s="34">
        <v>100.0</v>
      </c>
      <c r="AA84" s="34">
        <v>0.0</v>
      </c>
      <c r="AB84" s="34">
        <v>0.0</v>
      </c>
      <c r="AC84" s="33">
        <f>COUNTIFS('Data For Calculation - Insuranc'!A:A,A84,'Data For Calculation - Insuranc'!E:E,"CPA + RSA : 5 Years")</f>
        <v>0</v>
      </c>
      <c r="AD84" s="30" t="s">
        <v>3817</v>
      </c>
      <c r="AE84" s="31">
        <v>838.99</v>
      </c>
      <c r="AF84" s="34" t="s">
        <v>3853</v>
      </c>
      <c r="AG84" s="34">
        <v>0.0</v>
      </c>
      <c r="AH84" s="34">
        <v>100.0</v>
      </c>
      <c r="AI84" s="34">
        <v>0.0</v>
      </c>
      <c r="AJ84" s="34">
        <v>0.0</v>
      </c>
      <c r="AK84" s="33">
        <f>COUNTIFS('Data For Calculation - Insuranc'!A:A,A84,'Data For Calculation - Insuranc'!E:E,"Assistance + CPA : 5 Years")</f>
        <v>0</v>
      </c>
      <c r="AL84" s="30" t="s">
        <v>3817</v>
      </c>
      <c r="AM84" s="31">
        <v>290.0</v>
      </c>
      <c r="AN84" s="34" t="s">
        <v>3853</v>
      </c>
      <c r="AO84" s="34">
        <v>0.0</v>
      </c>
      <c r="AP84" s="34">
        <v>100.0</v>
      </c>
      <c r="AQ84" s="34">
        <v>0.0</v>
      </c>
      <c r="AR84" s="34">
        <v>0.0</v>
      </c>
      <c r="AS84" s="33">
        <f>COUNTIFS('Data For Calculation - Insuranc'!A:A,A84,'Data For Calculation - Insuranc'!E:E,"RSA + AHDC + DOC")</f>
        <v>0</v>
      </c>
      <c r="AT84" s="33"/>
      <c r="AU84" s="33"/>
      <c r="AV84" s="33"/>
      <c r="AW84" s="33"/>
      <c r="AX84" s="33"/>
      <c r="AY84" s="33"/>
      <c r="AZ84" s="33"/>
      <c r="BA84" s="33"/>
      <c r="BB84" s="33"/>
      <c r="BC84" s="33"/>
      <c r="BD84" s="33"/>
      <c r="BE84" s="33"/>
      <c r="BF84" s="33"/>
      <c r="BG84" s="33"/>
      <c r="BH84" s="33"/>
      <c r="BI84" s="33"/>
      <c r="BJ84" s="33"/>
      <c r="BK84" s="33"/>
      <c r="BL84" s="33"/>
      <c r="BM84" s="33"/>
      <c r="BN84" s="33"/>
      <c r="BO84" s="33"/>
      <c r="BP84" s="33"/>
      <c r="BQ84" s="33"/>
      <c r="BR84" s="33">
        <f t="shared" si="1"/>
        <v>0</v>
      </c>
      <c r="BS84" s="33">
        <f>SUMIFS('Data For Calculation - Insuranc'!I:I,'Data For Calculation - Insuranc'!$A:$A,$A84)</f>
        <v>0</v>
      </c>
      <c r="BT84" s="33">
        <f>SUMIFS('Data For Calculation - Insuranc'!J:J,'Data For Calculation - Insuranc'!$A:$A,$A84)</f>
        <v>0</v>
      </c>
      <c r="BU84" s="33">
        <f>SUMIFS('Data For Calculation - Insuranc'!K:K,'Data For Calculation - Insuranc'!$A:$A,$A84)</f>
        <v>0</v>
      </c>
      <c r="BV84" s="33">
        <f>IF($CC84 = "Dealer", SUMIFS('Data For Calculation - Insuranc'!I:I,'Data For Calculation - Insuranc'!$B:$B,$A84,'Data For Calculation - Insuranc'!$H:$H,"Master Dealer")) + SUMIFS('Data For Calculation - Insuranc'!I:I,'Data For Calculation - Insuranc'!$A:$A,$A84,'Data For Calculation - Insuranc'!$H:$H,"Self")</f>
        <v>0</v>
      </c>
      <c r="BW84" s="33">
        <f>IF($CC84 = "Dealer", SUMIFS('Data For Calculation - Insuranc'!J:J,'Data For Calculation - Insuranc'!$B:$B,$A84,'Data For Calculation - Insuranc'!$H:$H,"Master Dealer")) + SUMIFS('Data For Calculation - Insuranc'!J:J,'Data For Calculation - Insuranc'!$A:$A,$A84,'Data For Calculation - Insuranc'!$H:$H,"Self")</f>
        <v>0</v>
      </c>
      <c r="BX84" s="33">
        <f>IF($CC84 = "Dealer", SUMIFS('Data For Calculation - Insuranc'!K:K,'Data For Calculation - Insuranc'!$B:$B,$A84,'Data For Calculation - Insuranc'!$H:$H,"Master Dealer")) + SUMIFS('Data For Calculation - Insuranc'!K:K,'Data For Calculation - Insuranc'!$A:$A,$A84,'Data For Calculation - Insuranc'!$H:$H,"Self")</f>
        <v>0</v>
      </c>
      <c r="BY84" s="25" t="str">
        <f>(Sheet1!N84)</f>
        <v>Chaudhary Automobiles - Hisar</v>
      </c>
      <c r="BZ84" s="25" t="str">
        <f>(Sheet1!O84)</f>
        <v>1pI_tDns4A7jbcl0nEvEO_u0FclM2PyV1AT-2Q2Dx2Jo</v>
      </c>
      <c r="CA84" s="25" t="str">
        <f>(Sheet1!AV84)</f>
        <v/>
      </c>
      <c r="CB84" s="25" t="str">
        <f>(Sheet1!AW84)</f>
        <v/>
      </c>
      <c r="CC84" s="26" t="str">
        <f>(Sheet1!P84)</f>
        <v>Sub Dealer</v>
      </c>
    </row>
    <row r="85">
      <c r="A85" s="25" t="str">
        <f>(Sheet1!A85)</f>
        <v>1M25XSc1w8NZMexWP6izPWIwiJI8ces6yFAUV3fB4-pA</v>
      </c>
      <c r="B85" s="25" t="str">
        <f>(Sheet1!B85)</f>
        <v>Narwana Automobiles - Narwana</v>
      </c>
      <c r="C85" s="30" t="str">
        <f>Sheet1!BB85</f>
        <v>No</v>
      </c>
      <c r="D85" s="30" t="s">
        <v>13</v>
      </c>
      <c r="E85" s="34" t="s">
        <v>13</v>
      </c>
      <c r="F85" s="30" t="s">
        <v>3817</v>
      </c>
      <c r="G85" s="31">
        <v>290.0</v>
      </c>
      <c r="H85" s="34" t="s">
        <v>3853</v>
      </c>
      <c r="I85" s="34">
        <v>0.0</v>
      </c>
      <c r="J85" s="34">
        <v>100.0</v>
      </c>
      <c r="K85" s="34">
        <v>0.0</v>
      </c>
      <c r="L85" s="34">
        <v>0.0</v>
      </c>
      <c r="M85" s="33">
        <f>COUNTIFS('Data For Calculation - Insuranc'!A:A,A85,'Data For Calculation - Insuranc'!E:E,"CPA + RSA")</f>
        <v>0</v>
      </c>
      <c r="N85" s="30" t="s">
        <v>3817</v>
      </c>
      <c r="O85" s="31">
        <v>460.0</v>
      </c>
      <c r="P85" s="34" t="s">
        <v>3853</v>
      </c>
      <c r="Q85" s="34">
        <v>0.0</v>
      </c>
      <c r="R85" s="34">
        <v>100.0</v>
      </c>
      <c r="S85" s="34">
        <v>0.0</v>
      </c>
      <c r="T85" s="34">
        <v>0.0</v>
      </c>
      <c r="U85" s="33">
        <f>COUNTIFS('Data For Calculation - Insuranc'!A:A,A85,'Data For Calculation - Insuranc'!E:E,"CPA + RSA + AHDC + DOC")</f>
        <v>0</v>
      </c>
      <c r="V85" s="30" t="s">
        <v>3817</v>
      </c>
      <c r="W85" s="34">
        <v>838.99</v>
      </c>
      <c r="X85" s="34" t="s">
        <v>3853</v>
      </c>
      <c r="Y85" s="34">
        <v>0.0</v>
      </c>
      <c r="Z85" s="34">
        <v>100.0</v>
      </c>
      <c r="AA85" s="34">
        <v>0.0</v>
      </c>
      <c r="AB85" s="34">
        <v>0.0</v>
      </c>
      <c r="AC85" s="33">
        <f>COUNTIFS('Data For Calculation - Insuranc'!A:A,A85,'Data For Calculation - Insuranc'!E:E,"CPA + RSA : 5 Years")</f>
        <v>0</v>
      </c>
      <c r="AD85" s="30" t="s">
        <v>3817</v>
      </c>
      <c r="AE85" s="31">
        <v>838.99</v>
      </c>
      <c r="AF85" s="34" t="s">
        <v>3853</v>
      </c>
      <c r="AG85" s="34">
        <v>0.0</v>
      </c>
      <c r="AH85" s="34">
        <v>100.0</v>
      </c>
      <c r="AI85" s="34">
        <v>0.0</v>
      </c>
      <c r="AJ85" s="34">
        <v>0.0</v>
      </c>
      <c r="AK85" s="33">
        <f>COUNTIFS('Data For Calculation - Insuranc'!A:A,A85,'Data For Calculation - Insuranc'!E:E,"Assistance + CPA : 5 Years")</f>
        <v>0</v>
      </c>
      <c r="AL85" s="30" t="s">
        <v>3817</v>
      </c>
      <c r="AM85" s="31">
        <v>290.0</v>
      </c>
      <c r="AN85" s="34" t="s">
        <v>3853</v>
      </c>
      <c r="AO85" s="34">
        <v>0.0</v>
      </c>
      <c r="AP85" s="34">
        <v>100.0</v>
      </c>
      <c r="AQ85" s="34">
        <v>0.0</v>
      </c>
      <c r="AR85" s="34">
        <v>0.0</v>
      </c>
      <c r="AS85" s="33">
        <f>COUNTIFS('Data For Calculation - Insuranc'!A:A,A85,'Data For Calculation - Insuranc'!E:E,"RSA + AHDC + DOC")</f>
        <v>0</v>
      </c>
      <c r="AT85" s="33"/>
      <c r="AU85" s="33"/>
      <c r="AV85" s="33"/>
      <c r="AW85" s="33"/>
      <c r="AX85" s="33"/>
      <c r="AY85" s="33"/>
      <c r="AZ85" s="33"/>
      <c r="BA85" s="33"/>
      <c r="BB85" s="33"/>
      <c r="BC85" s="33"/>
      <c r="BD85" s="33"/>
      <c r="BE85" s="33"/>
      <c r="BF85" s="33"/>
      <c r="BG85" s="33"/>
      <c r="BH85" s="33"/>
      <c r="BI85" s="33"/>
      <c r="BJ85" s="33"/>
      <c r="BK85" s="33"/>
      <c r="BL85" s="33"/>
      <c r="BM85" s="33"/>
      <c r="BN85" s="33"/>
      <c r="BO85" s="33"/>
      <c r="BP85" s="33"/>
      <c r="BQ85" s="33"/>
      <c r="BR85" s="33">
        <f t="shared" si="1"/>
        <v>0</v>
      </c>
      <c r="BS85" s="33">
        <f>SUMIFS('Data For Calculation - Insuranc'!I:I,'Data For Calculation - Insuranc'!$A:$A,$A85)</f>
        <v>0</v>
      </c>
      <c r="BT85" s="33">
        <f>SUMIFS('Data For Calculation - Insuranc'!J:J,'Data For Calculation - Insuranc'!$A:$A,$A85)</f>
        <v>0</v>
      </c>
      <c r="BU85" s="33">
        <f>SUMIFS('Data For Calculation - Insuranc'!K:K,'Data For Calculation - Insuranc'!$A:$A,$A85)</f>
        <v>0</v>
      </c>
      <c r="BV85" s="33">
        <f>IF($CC85 = "Dealer", SUMIFS('Data For Calculation - Insuranc'!I:I,'Data For Calculation - Insuranc'!$B:$B,$A85,'Data For Calculation - Insuranc'!$H:$H,"Master Dealer")) + SUMIFS('Data For Calculation - Insuranc'!I:I,'Data For Calculation - Insuranc'!$A:$A,$A85,'Data For Calculation - Insuranc'!$H:$H,"Self")</f>
        <v>0</v>
      </c>
      <c r="BW85" s="33">
        <f>IF($CC85 = "Dealer", SUMIFS('Data For Calculation - Insuranc'!J:J,'Data For Calculation - Insuranc'!$B:$B,$A85,'Data For Calculation - Insuranc'!$H:$H,"Master Dealer")) + SUMIFS('Data For Calculation - Insuranc'!J:J,'Data For Calculation - Insuranc'!$A:$A,$A85,'Data For Calculation - Insuranc'!$H:$H,"Self")</f>
        <v>0</v>
      </c>
      <c r="BX85" s="33">
        <f>IF($CC85 = "Dealer", SUMIFS('Data For Calculation - Insuranc'!K:K,'Data For Calculation - Insuranc'!$B:$B,$A85,'Data For Calculation - Insuranc'!$H:$H,"Master Dealer")) + SUMIFS('Data For Calculation - Insuranc'!K:K,'Data For Calculation - Insuranc'!$A:$A,$A85,'Data For Calculation - Insuranc'!$H:$H,"Self")</f>
        <v>0</v>
      </c>
      <c r="BY85" s="25" t="str">
        <f>(Sheet1!N85)</f>
        <v>Narwana Automobiles - Narwana</v>
      </c>
      <c r="BZ85" s="25" t="str">
        <f>(Sheet1!O85)</f>
        <v>1M25XSc1w8NZMexWP6izPWIwiJI8ces6yFAUV3fB4-pA</v>
      </c>
      <c r="CA85" s="25" t="str">
        <f>(Sheet1!AV85)</f>
        <v/>
      </c>
      <c r="CB85" s="25" t="str">
        <f>(Sheet1!AW85)</f>
        <v/>
      </c>
      <c r="CC85" s="26" t="str">
        <f>(Sheet1!P85)</f>
        <v>Dealer</v>
      </c>
    </row>
    <row r="86">
      <c r="A86" s="25" t="str">
        <f>(Sheet1!A86)</f>
        <v>1UIyqHTLBGZ9oJJifSEPsCIcKejmqUySrjCf7ZVdx8Gs</v>
      </c>
      <c r="B86" s="25" t="str">
        <f>(Sheet1!B86)</f>
        <v>Shiv Auto- Balsamand</v>
      </c>
      <c r="C86" s="30" t="str">
        <f>Sheet1!BB86</f>
        <v>No</v>
      </c>
      <c r="D86" s="30" t="s">
        <v>13</v>
      </c>
      <c r="E86" s="34" t="s">
        <v>13</v>
      </c>
      <c r="F86" s="30" t="s">
        <v>3817</v>
      </c>
      <c r="G86" s="31">
        <v>290.0</v>
      </c>
      <c r="H86" s="34" t="s">
        <v>3853</v>
      </c>
      <c r="I86" s="34">
        <v>0.0</v>
      </c>
      <c r="J86" s="34">
        <v>100.0</v>
      </c>
      <c r="K86" s="34">
        <v>0.0</v>
      </c>
      <c r="L86" s="34">
        <v>0.0</v>
      </c>
      <c r="M86" s="33">
        <f>COUNTIFS('Data For Calculation - Insuranc'!A:A,A86,'Data For Calculation - Insuranc'!E:E,"CPA + RSA")</f>
        <v>0</v>
      </c>
      <c r="N86" s="30" t="s">
        <v>3817</v>
      </c>
      <c r="O86" s="31">
        <v>460.0</v>
      </c>
      <c r="P86" s="34" t="s">
        <v>3853</v>
      </c>
      <c r="Q86" s="34">
        <v>0.0</v>
      </c>
      <c r="R86" s="34">
        <v>100.0</v>
      </c>
      <c r="S86" s="34">
        <v>0.0</v>
      </c>
      <c r="T86" s="34">
        <v>0.0</v>
      </c>
      <c r="U86" s="33">
        <f>COUNTIFS('Data For Calculation - Insuranc'!A:A,A86,'Data For Calculation - Insuranc'!E:E,"CPA + RSA + AHDC + DOC")</f>
        <v>0</v>
      </c>
      <c r="V86" s="30" t="s">
        <v>3817</v>
      </c>
      <c r="W86" s="34">
        <v>838.99</v>
      </c>
      <c r="X86" s="34" t="s">
        <v>3853</v>
      </c>
      <c r="Y86" s="34">
        <v>0.0</v>
      </c>
      <c r="Z86" s="34">
        <v>100.0</v>
      </c>
      <c r="AA86" s="34">
        <v>0.0</v>
      </c>
      <c r="AB86" s="34">
        <v>0.0</v>
      </c>
      <c r="AC86" s="33">
        <f>COUNTIFS('Data For Calculation - Insuranc'!A:A,A86,'Data For Calculation - Insuranc'!E:E,"CPA + RSA : 5 Years")</f>
        <v>0</v>
      </c>
      <c r="AD86" s="30" t="s">
        <v>3817</v>
      </c>
      <c r="AE86" s="31">
        <v>838.99</v>
      </c>
      <c r="AF86" s="34" t="s">
        <v>3853</v>
      </c>
      <c r="AG86" s="34">
        <v>0.0</v>
      </c>
      <c r="AH86" s="34">
        <v>100.0</v>
      </c>
      <c r="AI86" s="34">
        <v>0.0</v>
      </c>
      <c r="AJ86" s="34">
        <v>0.0</v>
      </c>
      <c r="AK86" s="33">
        <f>COUNTIFS('Data For Calculation - Insuranc'!A:A,A86,'Data For Calculation - Insuranc'!E:E,"Assistance + CPA : 5 Years")</f>
        <v>0</v>
      </c>
      <c r="AL86" s="30" t="s">
        <v>3817</v>
      </c>
      <c r="AM86" s="31">
        <v>290.0</v>
      </c>
      <c r="AN86" s="34" t="s">
        <v>3853</v>
      </c>
      <c r="AO86" s="34">
        <v>0.0</v>
      </c>
      <c r="AP86" s="34">
        <v>100.0</v>
      </c>
      <c r="AQ86" s="34">
        <v>0.0</v>
      </c>
      <c r="AR86" s="34">
        <v>0.0</v>
      </c>
      <c r="AS86" s="33">
        <f>COUNTIFS('Data For Calculation - Insuranc'!A:A,A86,'Data For Calculation - Insuranc'!E:E,"RSA + AHDC + DOC")</f>
        <v>0</v>
      </c>
      <c r="AT86" s="33"/>
      <c r="AU86" s="33"/>
      <c r="AV86" s="33"/>
      <c r="AW86" s="33"/>
      <c r="AX86" s="33"/>
      <c r="AY86" s="33"/>
      <c r="AZ86" s="33"/>
      <c r="BA86" s="33"/>
      <c r="BB86" s="33"/>
      <c r="BC86" s="33"/>
      <c r="BD86" s="33"/>
      <c r="BE86" s="33"/>
      <c r="BF86" s="33"/>
      <c r="BG86" s="33"/>
      <c r="BH86" s="33"/>
      <c r="BI86" s="33"/>
      <c r="BJ86" s="33"/>
      <c r="BK86" s="33"/>
      <c r="BL86" s="33"/>
      <c r="BM86" s="33"/>
      <c r="BN86" s="33"/>
      <c r="BO86" s="33"/>
      <c r="BP86" s="33"/>
      <c r="BQ86" s="33"/>
      <c r="BR86" s="33">
        <f t="shared" si="1"/>
        <v>0</v>
      </c>
      <c r="BS86" s="33">
        <f>SUMIFS('Data For Calculation - Insuranc'!I:I,'Data For Calculation - Insuranc'!$A:$A,$A86)</f>
        <v>0</v>
      </c>
      <c r="BT86" s="33">
        <f>SUMIFS('Data For Calculation - Insuranc'!J:J,'Data For Calculation - Insuranc'!$A:$A,$A86)</f>
        <v>0</v>
      </c>
      <c r="BU86" s="33">
        <f>SUMIFS('Data For Calculation - Insuranc'!K:K,'Data For Calculation - Insuranc'!$A:$A,$A86)</f>
        <v>0</v>
      </c>
      <c r="BV86" s="33">
        <f>IF($CC86 = "Dealer", SUMIFS('Data For Calculation - Insuranc'!I:I,'Data For Calculation - Insuranc'!$B:$B,$A86,'Data For Calculation - Insuranc'!$H:$H,"Master Dealer")) + SUMIFS('Data For Calculation - Insuranc'!I:I,'Data For Calculation - Insuranc'!$A:$A,$A86,'Data For Calculation - Insuranc'!$H:$H,"Self")</f>
        <v>0</v>
      </c>
      <c r="BW86" s="33">
        <f>IF($CC86 = "Dealer", SUMIFS('Data For Calculation - Insuranc'!J:J,'Data For Calculation - Insuranc'!$B:$B,$A86,'Data For Calculation - Insuranc'!$H:$H,"Master Dealer")) + SUMIFS('Data For Calculation - Insuranc'!J:J,'Data For Calculation - Insuranc'!$A:$A,$A86,'Data For Calculation - Insuranc'!$H:$H,"Self")</f>
        <v>0</v>
      </c>
      <c r="BX86" s="33">
        <f>IF($CC86 = "Dealer", SUMIFS('Data For Calculation - Insuranc'!K:K,'Data For Calculation - Insuranc'!$B:$B,$A86,'Data For Calculation - Insuranc'!$H:$H,"Master Dealer")) + SUMIFS('Data For Calculation - Insuranc'!K:K,'Data For Calculation - Insuranc'!$A:$A,$A86,'Data For Calculation - Insuranc'!$H:$H,"Self")</f>
        <v>0</v>
      </c>
      <c r="BY86" s="25" t="str">
        <f>(Sheet1!N86)</f>
        <v>Chaudhary Automobiles - Hisar</v>
      </c>
      <c r="BZ86" s="25" t="str">
        <f>(Sheet1!O86)</f>
        <v>1pI_tDns4A7jbcl0nEvEO_u0FclM2PyV1AT-2Q2Dx2Jo</v>
      </c>
      <c r="CA86" s="25" t="str">
        <f>(Sheet1!AV86)</f>
        <v/>
      </c>
      <c r="CB86" s="25" t="str">
        <f>(Sheet1!AW86)</f>
        <v/>
      </c>
      <c r="CC86" s="26" t="str">
        <f>(Sheet1!P86)</f>
        <v>Sub Dealer</v>
      </c>
    </row>
    <row r="87">
      <c r="A87" s="25" t="str">
        <f>(Sheet1!A87)</f>
        <v>1Q4aI-AB3iqaBUsFrzL3oASW-2tjkwXyAtJSO1Lx4Z04</v>
      </c>
      <c r="B87" s="25" t="str">
        <f>(Sheet1!B87)</f>
        <v>SAINI AUTOMOBILES-HANSI</v>
      </c>
      <c r="C87" s="30" t="str">
        <f>Sheet1!BB87</f>
        <v>No</v>
      </c>
      <c r="D87" s="30" t="s">
        <v>13</v>
      </c>
      <c r="E87" s="34" t="s">
        <v>13</v>
      </c>
      <c r="F87" s="30" t="s">
        <v>3817</v>
      </c>
      <c r="G87" s="31">
        <v>290.0</v>
      </c>
      <c r="H87" s="34" t="s">
        <v>3853</v>
      </c>
      <c r="I87" s="34">
        <v>0.0</v>
      </c>
      <c r="J87" s="34">
        <v>100.0</v>
      </c>
      <c r="K87" s="34">
        <v>0.0</v>
      </c>
      <c r="L87" s="34">
        <v>0.0</v>
      </c>
      <c r="M87" s="33">
        <f>COUNTIFS('Data For Calculation - Insuranc'!A:A,A87,'Data For Calculation - Insuranc'!E:E,"CPA + RSA")</f>
        <v>0</v>
      </c>
      <c r="N87" s="30" t="s">
        <v>3817</v>
      </c>
      <c r="O87" s="31">
        <v>460.0</v>
      </c>
      <c r="P87" s="34" t="s">
        <v>3853</v>
      </c>
      <c r="Q87" s="34">
        <v>0.0</v>
      </c>
      <c r="R87" s="34">
        <v>100.0</v>
      </c>
      <c r="S87" s="34">
        <v>0.0</v>
      </c>
      <c r="T87" s="34">
        <v>0.0</v>
      </c>
      <c r="U87" s="33">
        <f>COUNTIFS('Data For Calculation - Insuranc'!A:A,A87,'Data For Calculation - Insuranc'!E:E,"CPA + RSA + AHDC + DOC")</f>
        <v>0</v>
      </c>
      <c r="V87" s="30" t="s">
        <v>3817</v>
      </c>
      <c r="W87" s="34">
        <v>838.99</v>
      </c>
      <c r="X87" s="34" t="s">
        <v>3853</v>
      </c>
      <c r="Y87" s="34">
        <v>0.0</v>
      </c>
      <c r="Z87" s="34">
        <v>100.0</v>
      </c>
      <c r="AA87" s="34">
        <v>0.0</v>
      </c>
      <c r="AB87" s="34">
        <v>0.0</v>
      </c>
      <c r="AC87" s="33">
        <f>COUNTIFS('Data For Calculation - Insuranc'!A:A,A87,'Data For Calculation - Insuranc'!E:E,"CPA + RSA : 5 Years")</f>
        <v>0</v>
      </c>
      <c r="AD87" s="30" t="s">
        <v>3817</v>
      </c>
      <c r="AE87" s="31">
        <v>838.99</v>
      </c>
      <c r="AF87" s="34" t="s">
        <v>3853</v>
      </c>
      <c r="AG87" s="34">
        <v>0.0</v>
      </c>
      <c r="AH87" s="34">
        <v>100.0</v>
      </c>
      <c r="AI87" s="34">
        <v>0.0</v>
      </c>
      <c r="AJ87" s="34">
        <v>0.0</v>
      </c>
      <c r="AK87" s="33">
        <f>COUNTIFS('Data For Calculation - Insuranc'!A:A,A87,'Data For Calculation - Insuranc'!E:E,"Assistance + CPA : 5 Years")</f>
        <v>0</v>
      </c>
      <c r="AL87" s="30" t="s">
        <v>3817</v>
      </c>
      <c r="AM87" s="31">
        <v>290.0</v>
      </c>
      <c r="AN87" s="34" t="s">
        <v>3853</v>
      </c>
      <c r="AO87" s="34">
        <v>0.0</v>
      </c>
      <c r="AP87" s="34">
        <v>100.0</v>
      </c>
      <c r="AQ87" s="34">
        <v>0.0</v>
      </c>
      <c r="AR87" s="34">
        <v>0.0</v>
      </c>
      <c r="AS87" s="33">
        <f>COUNTIFS('Data For Calculation - Insuranc'!A:A,A87,'Data For Calculation - Insuranc'!E:E,"RSA + AHDC + DOC")</f>
        <v>0</v>
      </c>
      <c r="AT87" s="33"/>
      <c r="AU87" s="33"/>
      <c r="AV87" s="33"/>
      <c r="AW87" s="33"/>
      <c r="AX87" s="33"/>
      <c r="AY87" s="33"/>
      <c r="AZ87" s="33"/>
      <c r="BA87" s="33"/>
      <c r="BB87" s="33"/>
      <c r="BC87" s="33"/>
      <c r="BD87" s="33"/>
      <c r="BE87" s="33"/>
      <c r="BF87" s="33"/>
      <c r="BG87" s="33"/>
      <c r="BH87" s="33"/>
      <c r="BI87" s="33"/>
      <c r="BJ87" s="33"/>
      <c r="BK87" s="33"/>
      <c r="BL87" s="33"/>
      <c r="BM87" s="33"/>
      <c r="BN87" s="33"/>
      <c r="BO87" s="33"/>
      <c r="BP87" s="33"/>
      <c r="BQ87" s="33"/>
      <c r="BR87" s="33">
        <f t="shared" si="1"/>
        <v>0</v>
      </c>
      <c r="BS87" s="33">
        <f>SUMIFS('Data For Calculation - Insuranc'!I:I,'Data For Calculation - Insuranc'!$A:$A,$A87)</f>
        <v>0</v>
      </c>
      <c r="BT87" s="33">
        <f>SUMIFS('Data For Calculation - Insuranc'!J:J,'Data For Calculation - Insuranc'!$A:$A,$A87)</f>
        <v>0</v>
      </c>
      <c r="BU87" s="33">
        <f>SUMIFS('Data For Calculation - Insuranc'!K:K,'Data For Calculation - Insuranc'!$A:$A,$A87)</f>
        <v>0</v>
      </c>
      <c r="BV87" s="33">
        <f>IF($CC87 = "Dealer", SUMIFS('Data For Calculation - Insuranc'!I:I,'Data For Calculation - Insuranc'!$B:$B,$A87,'Data For Calculation - Insuranc'!$H:$H,"Master Dealer")) + SUMIFS('Data For Calculation - Insuranc'!I:I,'Data For Calculation - Insuranc'!$A:$A,$A87,'Data For Calculation - Insuranc'!$H:$H,"Self")</f>
        <v>0</v>
      </c>
      <c r="BW87" s="33">
        <f>IF($CC87 = "Dealer", SUMIFS('Data For Calculation - Insuranc'!J:J,'Data For Calculation - Insuranc'!$B:$B,$A87,'Data For Calculation - Insuranc'!$H:$H,"Master Dealer")) + SUMIFS('Data For Calculation - Insuranc'!J:J,'Data For Calculation - Insuranc'!$A:$A,$A87,'Data For Calculation - Insuranc'!$H:$H,"Self")</f>
        <v>0</v>
      </c>
      <c r="BX87" s="33">
        <f>IF($CC87 = "Dealer", SUMIFS('Data For Calculation - Insuranc'!K:K,'Data For Calculation - Insuranc'!$B:$B,$A87,'Data For Calculation - Insuranc'!$H:$H,"Master Dealer")) + SUMIFS('Data For Calculation - Insuranc'!K:K,'Data For Calculation - Insuranc'!$A:$A,$A87,'Data For Calculation - Insuranc'!$H:$H,"Self")</f>
        <v>0</v>
      </c>
      <c r="BY87" s="25" t="str">
        <f>(Sheet1!N87)</f>
        <v>Chaudhary Automobiles - Hisar</v>
      </c>
      <c r="BZ87" s="25" t="str">
        <f>(Sheet1!O87)</f>
        <v>1pI_tDns4A7jbcl0nEvEO_u0FclM2PyV1AT-2Q2Dx2Jo</v>
      </c>
      <c r="CA87" s="25" t="str">
        <f>(Sheet1!AV87)</f>
        <v/>
      </c>
      <c r="CB87" s="25" t="str">
        <f>(Sheet1!AW87)</f>
        <v/>
      </c>
      <c r="CC87" s="26" t="str">
        <f>(Sheet1!P87)</f>
        <v>Sub Dealer</v>
      </c>
    </row>
    <row r="88">
      <c r="A88" s="25" t="str">
        <f>(Sheet1!A88)</f>
        <v>1ek0kGrVLOQttU35mRbEycOZ6YRg6Oon_3gkX4EwTum0</v>
      </c>
      <c r="B88" s="25" t="str">
        <f>(Sheet1!B88)</f>
        <v>Sharma auto Mobile-Barwala</v>
      </c>
      <c r="C88" s="30" t="str">
        <f>Sheet1!BB88</f>
        <v>No</v>
      </c>
      <c r="D88" s="30" t="s">
        <v>13</v>
      </c>
      <c r="E88" s="34" t="s">
        <v>13</v>
      </c>
      <c r="F88" s="30" t="s">
        <v>3817</v>
      </c>
      <c r="G88" s="31">
        <v>290.0</v>
      </c>
      <c r="H88" s="34" t="s">
        <v>3853</v>
      </c>
      <c r="I88" s="34">
        <v>0.0</v>
      </c>
      <c r="J88" s="34">
        <v>100.0</v>
      </c>
      <c r="K88" s="34">
        <v>0.0</v>
      </c>
      <c r="L88" s="34">
        <v>0.0</v>
      </c>
      <c r="M88" s="33">
        <f>COUNTIFS('Data For Calculation - Insuranc'!A:A,A88,'Data For Calculation - Insuranc'!E:E,"CPA + RSA")</f>
        <v>0</v>
      </c>
      <c r="N88" s="30" t="s">
        <v>3817</v>
      </c>
      <c r="O88" s="31">
        <v>460.0</v>
      </c>
      <c r="P88" s="34" t="s">
        <v>3853</v>
      </c>
      <c r="Q88" s="34">
        <v>0.0</v>
      </c>
      <c r="R88" s="34">
        <v>100.0</v>
      </c>
      <c r="S88" s="34">
        <v>0.0</v>
      </c>
      <c r="T88" s="34">
        <v>0.0</v>
      </c>
      <c r="U88" s="33">
        <f>COUNTIFS('Data For Calculation - Insuranc'!A:A,A88,'Data For Calculation - Insuranc'!E:E,"CPA + RSA + AHDC + DOC")</f>
        <v>0</v>
      </c>
      <c r="V88" s="30" t="s">
        <v>3817</v>
      </c>
      <c r="W88" s="34">
        <v>838.99</v>
      </c>
      <c r="X88" s="34" t="s">
        <v>3853</v>
      </c>
      <c r="Y88" s="34">
        <v>0.0</v>
      </c>
      <c r="Z88" s="34">
        <v>100.0</v>
      </c>
      <c r="AA88" s="34">
        <v>0.0</v>
      </c>
      <c r="AB88" s="34">
        <v>0.0</v>
      </c>
      <c r="AC88" s="33">
        <f>COUNTIFS('Data For Calculation - Insuranc'!A:A,A88,'Data For Calculation - Insuranc'!E:E,"CPA + RSA : 5 Years")</f>
        <v>0</v>
      </c>
      <c r="AD88" s="30" t="s">
        <v>3817</v>
      </c>
      <c r="AE88" s="31">
        <v>838.99</v>
      </c>
      <c r="AF88" s="34" t="s">
        <v>3853</v>
      </c>
      <c r="AG88" s="34">
        <v>0.0</v>
      </c>
      <c r="AH88" s="34">
        <v>100.0</v>
      </c>
      <c r="AI88" s="34">
        <v>0.0</v>
      </c>
      <c r="AJ88" s="34">
        <v>0.0</v>
      </c>
      <c r="AK88" s="33">
        <f>COUNTIFS('Data For Calculation - Insuranc'!A:A,A88,'Data For Calculation - Insuranc'!E:E,"Assistance + CPA : 5 Years")</f>
        <v>0</v>
      </c>
      <c r="AL88" s="30" t="s">
        <v>3817</v>
      </c>
      <c r="AM88" s="31">
        <v>290.0</v>
      </c>
      <c r="AN88" s="34" t="s">
        <v>3853</v>
      </c>
      <c r="AO88" s="34">
        <v>0.0</v>
      </c>
      <c r="AP88" s="34">
        <v>100.0</v>
      </c>
      <c r="AQ88" s="34">
        <v>0.0</v>
      </c>
      <c r="AR88" s="34">
        <v>0.0</v>
      </c>
      <c r="AS88" s="33">
        <f>COUNTIFS('Data For Calculation - Insuranc'!A:A,A88,'Data For Calculation - Insuranc'!E:E,"RSA + AHDC + DOC")</f>
        <v>0</v>
      </c>
      <c r="AT88" s="33"/>
      <c r="AU88" s="33"/>
      <c r="AV88" s="33"/>
      <c r="AW88" s="33"/>
      <c r="AX88" s="33"/>
      <c r="AY88" s="33"/>
      <c r="AZ88" s="33"/>
      <c r="BA88" s="33"/>
      <c r="BB88" s="33"/>
      <c r="BC88" s="33"/>
      <c r="BD88" s="33"/>
      <c r="BE88" s="33"/>
      <c r="BF88" s="33"/>
      <c r="BG88" s="33"/>
      <c r="BH88" s="33"/>
      <c r="BI88" s="33"/>
      <c r="BJ88" s="33"/>
      <c r="BK88" s="33"/>
      <c r="BL88" s="33"/>
      <c r="BM88" s="33"/>
      <c r="BN88" s="33"/>
      <c r="BO88" s="33"/>
      <c r="BP88" s="33"/>
      <c r="BQ88" s="33"/>
      <c r="BR88" s="33">
        <f t="shared" si="1"/>
        <v>0</v>
      </c>
      <c r="BS88" s="33">
        <f>SUMIFS('Data For Calculation - Insuranc'!I:I,'Data For Calculation - Insuranc'!$A:$A,$A88)</f>
        <v>0</v>
      </c>
      <c r="BT88" s="33">
        <f>SUMIFS('Data For Calculation - Insuranc'!J:J,'Data For Calculation - Insuranc'!$A:$A,$A88)</f>
        <v>0</v>
      </c>
      <c r="BU88" s="33">
        <f>SUMIFS('Data For Calculation - Insuranc'!K:K,'Data For Calculation - Insuranc'!$A:$A,$A88)</f>
        <v>0</v>
      </c>
      <c r="BV88" s="33">
        <f>IF($CC88 = "Dealer", SUMIFS('Data For Calculation - Insuranc'!I:I,'Data For Calculation - Insuranc'!$B:$B,$A88,'Data For Calculation - Insuranc'!$H:$H,"Master Dealer")) + SUMIFS('Data For Calculation - Insuranc'!I:I,'Data For Calculation - Insuranc'!$A:$A,$A88,'Data For Calculation - Insuranc'!$H:$H,"Self")</f>
        <v>0</v>
      </c>
      <c r="BW88" s="33">
        <f>IF($CC88 = "Dealer", SUMIFS('Data For Calculation - Insuranc'!J:J,'Data For Calculation - Insuranc'!$B:$B,$A88,'Data For Calculation - Insuranc'!$H:$H,"Master Dealer")) + SUMIFS('Data For Calculation - Insuranc'!J:J,'Data For Calculation - Insuranc'!$A:$A,$A88,'Data For Calculation - Insuranc'!$H:$H,"Self")</f>
        <v>0</v>
      </c>
      <c r="BX88" s="33">
        <f>IF($CC88 = "Dealer", SUMIFS('Data For Calculation - Insuranc'!K:K,'Data For Calculation - Insuranc'!$B:$B,$A88,'Data For Calculation - Insuranc'!$H:$H,"Master Dealer")) + SUMIFS('Data For Calculation - Insuranc'!K:K,'Data For Calculation - Insuranc'!$A:$A,$A88,'Data For Calculation - Insuranc'!$H:$H,"Self")</f>
        <v>0</v>
      </c>
      <c r="BY88" s="25" t="str">
        <f>(Sheet1!N88)</f>
        <v>Chaudhary Automobiles - Hisar</v>
      </c>
      <c r="BZ88" s="25" t="str">
        <f>(Sheet1!O88)</f>
        <v>1pI_tDns4A7jbcl0nEvEO_u0FclM2PyV1AT-2Q2Dx2Jo</v>
      </c>
      <c r="CA88" s="25" t="str">
        <f>(Sheet1!AV88)</f>
        <v/>
      </c>
      <c r="CB88" s="25" t="str">
        <f>(Sheet1!AW88)</f>
        <v/>
      </c>
      <c r="CC88" s="26" t="str">
        <f>(Sheet1!P88)</f>
        <v>Sub Dealer</v>
      </c>
    </row>
    <row r="89">
      <c r="A89" s="25" t="str">
        <f>(Sheet1!A89)</f>
        <v>15e1MPdmX1KahSQrgQP1EiQhxwoiZU-49rilJy51h_W8</v>
      </c>
      <c r="B89" s="25" t="str">
        <f>(Sheet1!B89)</f>
        <v>Chaudhary Auto Agency - Kaithal</v>
      </c>
      <c r="C89" s="30" t="str">
        <f>Sheet1!BB89</f>
        <v>No</v>
      </c>
      <c r="D89" s="30" t="s">
        <v>13</v>
      </c>
      <c r="E89" s="34" t="s">
        <v>13</v>
      </c>
      <c r="F89" s="30" t="s">
        <v>3817</v>
      </c>
      <c r="G89" s="31">
        <v>290.0</v>
      </c>
      <c r="H89" s="34" t="s">
        <v>3853</v>
      </c>
      <c r="I89" s="34">
        <v>0.0</v>
      </c>
      <c r="J89" s="34">
        <v>100.0</v>
      </c>
      <c r="K89" s="34">
        <v>0.0</v>
      </c>
      <c r="L89" s="34">
        <v>0.0</v>
      </c>
      <c r="M89" s="33">
        <f>COUNTIFS('Data For Calculation - Insuranc'!A:A,A89,'Data For Calculation - Insuranc'!E:E,"CPA + RSA")</f>
        <v>0</v>
      </c>
      <c r="N89" s="30" t="s">
        <v>3817</v>
      </c>
      <c r="O89" s="31">
        <v>460.0</v>
      </c>
      <c r="P89" s="34" t="s">
        <v>3853</v>
      </c>
      <c r="Q89" s="34">
        <v>0.0</v>
      </c>
      <c r="R89" s="34">
        <v>100.0</v>
      </c>
      <c r="S89" s="34">
        <v>0.0</v>
      </c>
      <c r="T89" s="34">
        <v>0.0</v>
      </c>
      <c r="U89" s="33">
        <f>COUNTIFS('Data For Calculation - Insuranc'!A:A,A89,'Data For Calculation - Insuranc'!E:E,"CPA + RSA + AHDC + DOC")</f>
        <v>0</v>
      </c>
      <c r="V89" s="30" t="s">
        <v>3817</v>
      </c>
      <c r="W89" s="34">
        <v>838.99</v>
      </c>
      <c r="X89" s="34" t="s">
        <v>3853</v>
      </c>
      <c r="Y89" s="34">
        <v>0.0</v>
      </c>
      <c r="Z89" s="34">
        <v>100.0</v>
      </c>
      <c r="AA89" s="34">
        <v>0.0</v>
      </c>
      <c r="AB89" s="34">
        <v>0.0</v>
      </c>
      <c r="AC89" s="33">
        <f>COUNTIFS('Data For Calculation - Insuranc'!A:A,A89,'Data For Calculation - Insuranc'!E:E,"CPA + RSA : 5 Years")</f>
        <v>0</v>
      </c>
      <c r="AD89" s="30" t="s">
        <v>3817</v>
      </c>
      <c r="AE89" s="31">
        <v>838.99</v>
      </c>
      <c r="AF89" s="34" t="s">
        <v>3853</v>
      </c>
      <c r="AG89" s="34">
        <v>0.0</v>
      </c>
      <c r="AH89" s="34">
        <v>100.0</v>
      </c>
      <c r="AI89" s="34">
        <v>0.0</v>
      </c>
      <c r="AJ89" s="34">
        <v>0.0</v>
      </c>
      <c r="AK89" s="33">
        <f>COUNTIFS('Data For Calculation - Insuranc'!A:A,A89,'Data For Calculation - Insuranc'!E:E,"Assistance + CPA : 5 Years")</f>
        <v>0</v>
      </c>
      <c r="AL89" s="30" t="s">
        <v>3817</v>
      </c>
      <c r="AM89" s="31">
        <v>290.0</v>
      </c>
      <c r="AN89" s="34" t="s">
        <v>3853</v>
      </c>
      <c r="AO89" s="34">
        <v>0.0</v>
      </c>
      <c r="AP89" s="34">
        <v>100.0</v>
      </c>
      <c r="AQ89" s="34">
        <v>0.0</v>
      </c>
      <c r="AR89" s="34">
        <v>0.0</v>
      </c>
      <c r="AS89" s="33">
        <f>COUNTIFS('Data For Calculation - Insuranc'!A:A,A89,'Data For Calculation - Insuranc'!E:E,"RSA + AHDC + DOC")</f>
        <v>0</v>
      </c>
      <c r="AT89" s="33"/>
      <c r="AU89" s="33"/>
      <c r="AV89" s="33"/>
      <c r="AW89" s="33"/>
      <c r="AX89" s="33"/>
      <c r="AY89" s="33"/>
      <c r="AZ89" s="33"/>
      <c r="BA89" s="33"/>
      <c r="BB89" s="33"/>
      <c r="BC89" s="33"/>
      <c r="BD89" s="33"/>
      <c r="BE89" s="33"/>
      <c r="BF89" s="33"/>
      <c r="BG89" s="33"/>
      <c r="BH89" s="33"/>
      <c r="BI89" s="33"/>
      <c r="BJ89" s="33"/>
      <c r="BK89" s="33"/>
      <c r="BL89" s="33"/>
      <c r="BM89" s="33"/>
      <c r="BN89" s="33"/>
      <c r="BO89" s="33"/>
      <c r="BP89" s="33"/>
      <c r="BQ89" s="33"/>
      <c r="BR89" s="33">
        <f t="shared" si="1"/>
        <v>0</v>
      </c>
      <c r="BS89" s="33">
        <f>SUMIFS('Data For Calculation - Insuranc'!I:I,'Data For Calculation - Insuranc'!$A:$A,$A89)</f>
        <v>0</v>
      </c>
      <c r="BT89" s="33">
        <f>SUMIFS('Data For Calculation - Insuranc'!J:J,'Data For Calculation - Insuranc'!$A:$A,$A89)</f>
        <v>0</v>
      </c>
      <c r="BU89" s="33">
        <f>SUMIFS('Data For Calculation - Insuranc'!K:K,'Data For Calculation - Insuranc'!$A:$A,$A89)</f>
        <v>0</v>
      </c>
      <c r="BV89" s="33">
        <f>IF($CC89 = "Dealer", SUMIFS('Data For Calculation - Insuranc'!I:I,'Data For Calculation - Insuranc'!$B:$B,$A89,'Data For Calculation - Insuranc'!$H:$H,"Master Dealer")) + SUMIFS('Data For Calculation - Insuranc'!I:I,'Data For Calculation - Insuranc'!$A:$A,$A89,'Data For Calculation - Insuranc'!$H:$H,"Self")</f>
        <v>0</v>
      </c>
      <c r="BW89" s="33">
        <f>IF($CC89 = "Dealer", SUMIFS('Data For Calculation - Insuranc'!J:J,'Data For Calculation - Insuranc'!$B:$B,$A89,'Data For Calculation - Insuranc'!$H:$H,"Master Dealer")) + SUMIFS('Data For Calculation - Insuranc'!J:J,'Data For Calculation - Insuranc'!$A:$A,$A89,'Data For Calculation - Insuranc'!$H:$H,"Self")</f>
        <v>0</v>
      </c>
      <c r="BX89" s="33">
        <f>IF($CC89 = "Dealer", SUMIFS('Data For Calculation - Insuranc'!K:K,'Data For Calculation - Insuranc'!$B:$B,$A89,'Data For Calculation - Insuranc'!$H:$H,"Master Dealer")) + SUMIFS('Data For Calculation - Insuranc'!K:K,'Data For Calculation - Insuranc'!$A:$A,$A89,'Data For Calculation - Insuranc'!$H:$H,"Self")</f>
        <v>0</v>
      </c>
      <c r="BY89" s="25" t="str">
        <f>(Sheet1!N89)</f>
        <v>Chaudhary Auto Agency - Kaithal</v>
      </c>
      <c r="BZ89" s="25" t="str">
        <f>(Sheet1!O89)</f>
        <v>15e1MPdmX1KahSQrgQP1EiQhxwoiZU-49rilJy51h_W8</v>
      </c>
      <c r="CA89" s="25" t="str">
        <f>(Sheet1!AV89)</f>
        <v/>
      </c>
      <c r="CB89" s="25" t="str">
        <f>(Sheet1!AW89)</f>
        <v/>
      </c>
      <c r="CC89" s="26" t="str">
        <f>(Sheet1!P89)</f>
        <v>Dealer</v>
      </c>
    </row>
    <row r="90">
      <c r="A90" s="25" t="str">
        <f>(Sheet1!A90)</f>
        <v>1DHuoK3CPfNh_Joggi61wQdiSIly5OZEhbKVvkkW9X5U</v>
      </c>
      <c r="B90" s="25" t="str">
        <f>(Sheet1!B90)</f>
        <v>Saraswati Enterprises - Pehowa</v>
      </c>
      <c r="C90" s="30" t="str">
        <f>Sheet1!BB90</f>
        <v>No</v>
      </c>
      <c r="D90" s="30" t="s">
        <v>13</v>
      </c>
      <c r="E90" s="34" t="s">
        <v>13</v>
      </c>
      <c r="F90" s="30" t="s">
        <v>3817</v>
      </c>
      <c r="G90" s="31">
        <v>290.0</v>
      </c>
      <c r="H90" s="34" t="s">
        <v>3853</v>
      </c>
      <c r="I90" s="34">
        <v>0.0</v>
      </c>
      <c r="J90" s="34">
        <v>100.0</v>
      </c>
      <c r="K90" s="34">
        <v>0.0</v>
      </c>
      <c r="L90" s="34">
        <v>0.0</v>
      </c>
      <c r="M90" s="33">
        <f>COUNTIFS('Data For Calculation - Insuranc'!A:A,A90,'Data For Calculation - Insuranc'!E:E,"CPA + RSA")</f>
        <v>0</v>
      </c>
      <c r="N90" s="30" t="s">
        <v>3817</v>
      </c>
      <c r="O90" s="31">
        <v>460.0</v>
      </c>
      <c r="P90" s="34" t="s">
        <v>3853</v>
      </c>
      <c r="Q90" s="34">
        <v>0.0</v>
      </c>
      <c r="R90" s="34">
        <v>100.0</v>
      </c>
      <c r="S90" s="34">
        <v>0.0</v>
      </c>
      <c r="T90" s="34">
        <v>0.0</v>
      </c>
      <c r="U90" s="33">
        <f>COUNTIFS('Data For Calculation - Insuranc'!A:A,A90,'Data For Calculation - Insuranc'!E:E,"CPA + RSA + AHDC + DOC")</f>
        <v>0</v>
      </c>
      <c r="V90" s="30" t="s">
        <v>3817</v>
      </c>
      <c r="W90" s="34">
        <v>838.99</v>
      </c>
      <c r="X90" s="34" t="s">
        <v>3853</v>
      </c>
      <c r="Y90" s="34">
        <v>0.0</v>
      </c>
      <c r="Z90" s="34">
        <v>100.0</v>
      </c>
      <c r="AA90" s="34">
        <v>0.0</v>
      </c>
      <c r="AB90" s="34">
        <v>0.0</v>
      </c>
      <c r="AC90" s="33">
        <f>COUNTIFS('Data For Calculation - Insuranc'!A:A,A90,'Data For Calculation - Insuranc'!E:E,"CPA + RSA : 5 Years")</f>
        <v>0</v>
      </c>
      <c r="AD90" s="30" t="s">
        <v>3817</v>
      </c>
      <c r="AE90" s="31">
        <v>838.99</v>
      </c>
      <c r="AF90" s="34" t="s">
        <v>3853</v>
      </c>
      <c r="AG90" s="34">
        <v>0.0</v>
      </c>
      <c r="AH90" s="34">
        <v>100.0</v>
      </c>
      <c r="AI90" s="34">
        <v>0.0</v>
      </c>
      <c r="AJ90" s="34">
        <v>0.0</v>
      </c>
      <c r="AK90" s="33">
        <f>COUNTIFS('Data For Calculation - Insuranc'!A:A,A90,'Data For Calculation - Insuranc'!E:E,"Assistance + CPA : 5 Years")</f>
        <v>0</v>
      </c>
      <c r="AL90" s="30" t="s">
        <v>3817</v>
      </c>
      <c r="AM90" s="31">
        <v>290.0</v>
      </c>
      <c r="AN90" s="34" t="s">
        <v>3853</v>
      </c>
      <c r="AO90" s="34">
        <v>0.0</v>
      </c>
      <c r="AP90" s="34">
        <v>100.0</v>
      </c>
      <c r="AQ90" s="34">
        <v>0.0</v>
      </c>
      <c r="AR90" s="34">
        <v>0.0</v>
      </c>
      <c r="AS90" s="33">
        <f>COUNTIFS('Data For Calculation - Insuranc'!A:A,A90,'Data For Calculation - Insuranc'!E:E,"RSA + AHDC + DOC")</f>
        <v>0</v>
      </c>
      <c r="AT90" s="33"/>
      <c r="AU90" s="33"/>
      <c r="AV90" s="33"/>
      <c r="AW90" s="33"/>
      <c r="AX90" s="33"/>
      <c r="AY90" s="33"/>
      <c r="AZ90" s="33"/>
      <c r="BA90" s="33"/>
      <c r="BB90" s="33"/>
      <c r="BC90" s="33"/>
      <c r="BD90" s="33"/>
      <c r="BE90" s="33"/>
      <c r="BF90" s="33"/>
      <c r="BG90" s="33"/>
      <c r="BH90" s="33"/>
      <c r="BI90" s="33"/>
      <c r="BJ90" s="33"/>
      <c r="BK90" s="33"/>
      <c r="BL90" s="33"/>
      <c r="BM90" s="33"/>
      <c r="BN90" s="33"/>
      <c r="BO90" s="33"/>
      <c r="BP90" s="33"/>
      <c r="BQ90" s="33"/>
      <c r="BR90" s="33">
        <f t="shared" si="1"/>
        <v>0</v>
      </c>
      <c r="BS90" s="33">
        <f>SUMIFS('Data For Calculation - Insuranc'!I:I,'Data For Calculation - Insuranc'!$A:$A,$A90)</f>
        <v>0</v>
      </c>
      <c r="BT90" s="33">
        <f>SUMIFS('Data For Calculation - Insuranc'!J:J,'Data For Calculation - Insuranc'!$A:$A,$A90)</f>
        <v>0</v>
      </c>
      <c r="BU90" s="33">
        <f>SUMIFS('Data For Calculation - Insuranc'!K:K,'Data For Calculation - Insuranc'!$A:$A,$A90)</f>
        <v>0</v>
      </c>
      <c r="BV90" s="33">
        <f>IF($CC90 = "Dealer", SUMIFS('Data For Calculation - Insuranc'!I:I,'Data For Calculation - Insuranc'!$B:$B,$A90,'Data For Calculation - Insuranc'!$H:$H,"Master Dealer")) + SUMIFS('Data For Calculation - Insuranc'!I:I,'Data For Calculation - Insuranc'!$A:$A,$A90,'Data For Calculation - Insuranc'!$H:$H,"Self")</f>
        <v>0</v>
      </c>
      <c r="BW90" s="33">
        <f>IF($CC90 = "Dealer", SUMIFS('Data For Calculation - Insuranc'!J:J,'Data For Calculation - Insuranc'!$B:$B,$A90,'Data For Calculation - Insuranc'!$H:$H,"Master Dealer")) + SUMIFS('Data For Calculation - Insuranc'!J:J,'Data For Calculation - Insuranc'!$A:$A,$A90,'Data For Calculation - Insuranc'!$H:$H,"Self")</f>
        <v>0</v>
      </c>
      <c r="BX90" s="33">
        <f>IF($CC90 = "Dealer", SUMIFS('Data For Calculation - Insuranc'!K:K,'Data For Calculation - Insuranc'!$B:$B,$A90,'Data For Calculation - Insuranc'!$H:$H,"Master Dealer")) + SUMIFS('Data For Calculation - Insuranc'!K:K,'Data For Calculation - Insuranc'!$A:$A,$A90,'Data For Calculation - Insuranc'!$H:$H,"Self")</f>
        <v>0</v>
      </c>
      <c r="BY90" s="25" t="str">
        <f>(Sheet1!N90)</f>
        <v>Saraswati Enterprises - Pehowa</v>
      </c>
      <c r="BZ90" s="25" t="str">
        <f>(Sheet1!O90)</f>
        <v>1DHuoK3CPfNh_Joggi61wQdiSIly5OZEhbKVvkkW9X5U</v>
      </c>
      <c r="CA90" s="25" t="str">
        <f>(Sheet1!AV90)</f>
        <v/>
      </c>
      <c r="CB90" s="25" t="str">
        <f>(Sheet1!AW90)</f>
        <v/>
      </c>
      <c r="CC90" s="26" t="str">
        <f>(Sheet1!P90)</f>
        <v>Dealer</v>
      </c>
    </row>
    <row r="91">
      <c r="A91" s="25" t="str">
        <f>(Sheet1!A91)</f>
        <v>1TuBCieryI5B9C4qUUscd4DG93Cj0YeOolwC7hs56SEg</v>
      </c>
      <c r="B91" s="25" t="str">
        <f>(Sheet1!B91)</f>
        <v>VPS HERO - KURUKSHETRA</v>
      </c>
      <c r="C91" s="30" t="str">
        <f>Sheet1!BB91</f>
        <v>No</v>
      </c>
      <c r="D91" s="30" t="s">
        <v>13</v>
      </c>
      <c r="E91" s="34" t="s">
        <v>13</v>
      </c>
      <c r="F91" s="30" t="s">
        <v>3817</v>
      </c>
      <c r="G91" s="31">
        <v>290.0</v>
      </c>
      <c r="H91" s="34" t="s">
        <v>3853</v>
      </c>
      <c r="I91" s="34">
        <v>0.0</v>
      </c>
      <c r="J91" s="34">
        <v>100.0</v>
      </c>
      <c r="K91" s="34">
        <v>0.0</v>
      </c>
      <c r="L91" s="34">
        <v>0.0</v>
      </c>
      <c r="M91" s="33">
        <f>COUNTIFS('Data For Calculation - Insuranc'!A:A,A91,'Data For Calculation - Insuranc'!E:E,"CPA + RSA")</f>
        <v>0</v>
      </c>
      <c r="N91" s="30" t="s">
        <v>3817</v>
      </c>
      <c r="O91" s="31">
        <v>460.0</v>
      </c>
      <c r="P91" s="34" t="s">
        <v>3853</v>
      </c>
      <c r="Q91" s="34">
        <v>0.0</v>
      </c>
      <c r="R91" s="34">
        <v>100.0</v>
      </c>
      <c r="S91" s="34">
        <v>0.0</v>
      </c>
      <c r="T91" s="34">
        <v>0.0</v>
      </c>
      <c r="U91" s="33">
        <f>COUNTIFS('Data For Calculation - Insuranc'!A:A,A91,'Data For Calculation - Insuranc'!E:E,"CPA + RSA + AHDC + DOC")</f>
        <v>0</v>
      </c>
      <c r="V91" s="30" t="s">
        <v>3817</v>
      </c>
      <c r="W91" s="34">
        <v>838.99</v>
      </c>
      <c r="X91" s="34" t="s">
        <v>3853</v>
      </c>
      <c r="Y91" s="34">
        <v>0.0</v>
      </c>
      <c r="Z91" s="34">
        <v>100.0</v>
      </c>
      <c r="AA91" s="34">
        <v>0.0</v>
      </c>
      <c r="AB91" s="34">
        <v>0.0</v>
      </c>
      <c r="AC91" s="33">
        <f>COUNTIFS('Data For Calculation - Insuranc'!A:A,A91,'Data For Calculation - Insuranc'!E:E,"CPA + RSA : 5 Years")</f>
        <v>0</v>
      </c>
      <c r="AD91" s="30" t="s">
        <v>3817</v>
      </c>
      <c r="AE91" s="31">
        <v>838.99</v>
      </c>
      <c r="AF91" s="34" t="s">
        <v>3853</v>
      </c>
      <c r="AG91" s="34">
        <v>0.0</v>
      </c>
      <c r="AH91" s="34">
        <v>100.0</v>
      </c>
      <c r="AI91" s="34">
        <v>0.0</v>
      </c>
      <c r="AJ91" s="34">
        <v>0.0</v>
      </c>
      <c r="AK91" s="33">
        <f>COUNTIFS('Data For Calculation - Insuranc'!A:A,A91,'Data For Calculation - Insuranc'!E:E,"Assistance + CPA : 5 Years")</f>
        <v>0</v>
      </c>
      <c r="AL91" s="30" t="s">
        <v>3817</v>
      </c>
      <c r="AM91" s="31">
        <v>290.0</v>
      </c>
      <c r="AN91" s="34" t="s">
        <v>3853</v>
      </c>
      <c r="AO91" s="34">
        <v>0.0</v>
      </c>
      <c r="AP91" s="34">
        <v>100.0</v>
      </c>
      <c r="AQ91" s="34">
        <v>0.0</v>
      </c>
      <c r="AR91" s="34">
        <v>0.0</v>
      </c>
      <c r="AS91" s="33">
        <f>COUNTIFS('Data For Calculation - Insuranc'!A:A,A91,'Data For Calculation - Insuranc'!E:E,"RSA + AHDC + DOC")</f>
        <v>0</v>
      </c>
      <c r="AT91" s="33"/>
      <c r="AU91" s="33"/>
      <c r="AV91" s="33"/>
      <c r="AW91" s="33"/>
      <c r="AX91" s="33"/>
      <c r="AY91" s="33"/>
      <c r="AZ91" s="33"/>
      <c r="BA91" s="33"/>
      <c r="BB91" s="33"/>
      <c r="BC91" s="33"/>
      <c r="BD91" s="33"/>
      <c r="BE91" s="33"/>
      <c r="BF91" s="33"/>
      <c r="BG91" s="33"/>
      <c r="BH91" s="33"/>
      <c r="BI91" s="33"/>
      <c r="BJ91" s="33"/>
      <c r="BK91" s="33"/>
      <c r="BL91" s="33"/>
      <c r="BM91" s="33"/>
      <c r="BN91" s="33"/>
      <c r="BO91" s="33"/>
      <c r="BP91" s="33"/>
      <c r="BQ91" s="33"/>
      <c r="BR91" s="33">
        <f t="shared" si="1"/>
        <v>0</v>
      </c>
      <c r="BS91" s="33">
        <f>SUMIFS('Data For Calculation - Insuranc'!I:I,'Data For Calculation - Insuranc'!$A:$A,$A91)</f>
        <v>0</v>
      </c>
      <c r="BT91" s="33">
        <f>SUMIFS('Data For Calculation - Insuranc'!J:J,'Data For Calculation - Insuranc'!$A:$A,$A91)</f>
        <v>0</v>
      </c>
      <c r="BU91" s="33">
        <f>SUMIFS('Data For Calculation - Insuranc'!K:K,'Data For Calculation - Insuranc'!$A:$A,$A91)</f>
        <v>0</v>
      </c>
      <c r="BV91" s="33">
        <f>IF($CC91 = "Dealer", SUMIFS('Data For Calculation - Insuranc'!I:I,'Data For Calculation - Insuranc'!$B:$B,$A91,'Data For Calculation - Insuranc'!$H:$H,"Master Dealer")) + SUMIFS('Data For Calculation - Insuranc'!I:I,'Data For Calculation - Insuranc'!$A:$A,$A91,'Data For Calculation - Insuranc'!$H:$H,"Self")</f>
        <v>0</v>
      </c>
      <c r="BW91" s="33">
        <f>IF($CC91 = "Dealer", SUMIFS('Data For Calculation - Insuranc'!J:J,'Data For Calculation - Insuranc'!$B:$B,$A91,'Data For Calculation - Insuranc'!$H:$H,"Master Dealer")) + SUMIFS('Data For Calculation - Insuranc'!J:J,'Data For Calculation - Insuranc'!$A:$A,$A91,'Data For Calculation - Insuranc'!$H:$H,"Self")</f>
        <v>0</v>
      </c>
      <c r="BX91" s="33">
        <f>IF($CC91 = "Dealer", SUMIFS('Data For Calculation - Insuranc'!K:K,'Data For Calculation - Insuranc'!$B:$B,$A91,'Data For Calculation - Insuranc'!$H:$H,"Master Dealer")) + SUMIFS('Data For Calculation - Insuranc'!K:K,'Data For Calculation - Insuranc'!$A:$A,$A91,'Data For Calculation - Insuranc'!$H:$H,"Self")</f>
        <v>0</v>
      </c>
      <c r="BY91" s="25" t="str">
        <f>(Sheet1!N91)</f>
        <v>VPS HERO - KURUKSHETRA</v>
      </c>
      <c r="BZ91" s="25" t="str">
        <f>(Sheet1!O91)</f>
        <v>1TuBCieryI5B9C4qUUscd4DG93Cj0YeOolwC7hs56SEg</v>
      </c>
      <c r="CA91" s="25" t="str">
        <f>(Sheet1!AV91)</f>
        <v/>
      </c>
      <c r="CB91" s="25" t="str">
        <f>(Sheet1!AW91)</f>
        <v/>
      </c>
      <c r="CC91" s="26" t="str">
        <f>(Sheet1!P91)</f>
        <v>Dealer</v>
      </c>
    </row>
    <row r="92">
      <c r="A92" s="25" t="str">
        <f>(Sheet1!A92)</f>
        <v>1eiTogQPi-sHfdl6mZbOd9WL047mVrKOSLuFH6hsfT4U</v>
      </c>
      <c r="B92" s="25" t="str">
        <f>(Sheet1!B92)</f>
        <v>Rohit Automobiles - Yamuna Nagar</v>
      </c>
      <c r="C92" s="30" t="str">
        <f>Sheet1!BB92</f>
        <v>No</v>
      </c>
      <c r="D92" s="30" t="s">
        <v>13</v>
      </c>
      <c r="E92" s="34" t="s">
        <v>13</v>
      </c>
      <c r="F92" s="30" t="s">
        <v>3817</v>
      </c>
      <c r="G92" s="31">
        <v>290.0</v>
      </c>
      <c r="H92" s="34" t="s">
        <v>3853</v>
      </c>
      <c r="I92" s="34">
        <v>0.0</v>
      </c>
      <c r="J92" s="34">
        <v>100.0</v>
      </c>
      <c r="K92" s="34">
        <v>0.0</v>
      </c>
      <c r="L92" s="34">
        <v>0.0</v>
      </c>
      <c r="M92" s="33">
        <f>COUNTIFS('Data For Calculation - Insuranc'!A:A,A92,'Data For Calculation - Insuranc'!E:E,"CPA + RSA")</f>
        <v>0</v>
      </c>
      <c r="N92" s="30" t="s">
        <v>3817</v>
      </c>
      <c r="O92" s="31">
        <v>460.0</v>
      </c>
      <c r="P92" s="34" t="s">
        <v>3853</v>
      </c>
      <c r="Q92" s="34">
        <v>0.0</v>
      </c>
      <c r="R92" s="34">
        <v>100.0</v>
      </c>
      <c r="S92" s="34">
        <v>0.0</v>
      </c>
      <c r="T92" s="34">
        <v>0.0</v>
      </c>
      <c r="U92" s="33">
        <f>COUNTIFS('Data For Calculation - Insuranc'!A:A,A92,'Data For Calculation - Insuranc'!E:E,"CPA + RSA + AHDC + DOC")</f>
        <v>0</v>
      </c>
      <c r="V92" s="30" t="s">
        <v>3817</v>
      </c>
      <c r="W92" s="34">
        <v>838.99</v>
      </c>
      <c r="X92" s="34" t="s">
        <v>3853</v>
      </c>
      <c r="Y92" s="34">
        <v>0.0</v>
      </c>
      <c r="Z92" s="34">
        <v>100.0</v>
      </c>
      <c r="AA92" s="34">
        <v>0.0</v>
      </c>
      <c r="AB92" s="34">
        <v>0.0</v>
      </c>
      <c r="AC92" s="33">
        <f>COUNTIFS('Data For Calculation - Insuranc'!A:A,A92,'Data For Calculation - Insuranc'!E:E,"CPA + RSA : 5 Years")</f>
        <v>0</v>
      </c>
      <c r="AD92" s="30" t="s">
        <v>3817</v>
      </c>
      <c r="AE92" s="31">
        <v>838.99</v>
      </c>
      <c r="AF92" s="34" t="s">
        <v>3853</v>
      </c>
      <c r="AG92" s="34">
        <v>0.0</v>
      </c>
      <c r="AH92" s="34">
        <v>100.0</v>
      </c>
      <c r="AI92" s="34">
        <v>0.0</v>
      </c>
      <c r="AJ92" s="34">
        <v>0.0</v>
      </c>
      <c r="AK92" s="33">
        <f>COUNTIFS('Data For Calculation - Insuranc'!A:A,A92,'Data For Calculation - Insuranc'!E:E,"Assistance + CPA : 5 Years")</f>
        <v>0</v>
      </c>
      <c r="AL92" s="30" t="s">
        <v>3817</v>
      </c>
      <c r="AM92" s="31">
        <v>290.0</v>
      </c>
      <c r="AN92" s="34" t="s">
        <v>3853</v>
      </c>
      <c r="AO92" s="34">
        <v>0.0</v>
      </c>
      <c r="AP92" s="34">
        <v>100.0</v>
      </c>
      <c r="AQ92" s="34">
        <v>0.0</v>
      </c>
      <c r="AR92" s="34">
        <v>0.0</v>
      </c>
      <c r="AS92" s="33">
        <f>COUNTIFS('Data For Calculation - Insuranc'!A:A,A92,'Data For Calculation - Insuranc'!E:E,"RSA + AHDC + DOC")</f>
        <v>0</v>
      </c>
      <c r="AT92" s="33"/>
      <c r="AU92" s="33"/>
      <c r="AV92" s="33"/>
      <c r="AW92" s="33"/>
      <c r="AX92" s="33"/>
      <c r="AY92" s="33"/>
      <c r="AZ92" s="33"/>
      <c r="BA92" s="33"/>
      <c r="BB92" s="33"/>
      <c r="BC92" s="33"/>
      <c r="BD92" s="33"/>
      <c r="BE92" s="33"/>
      <c r="BF92" s="33"/>
      <c r="BG92" s="33"/>
      <c r="BH92" s="33"/>
      <c r="BI92" s="33"/>
      <c r="BJ92" s="33"/>
      <c r="BK92" s="33"/>
      <c r="BL92" s="33"/>
      <c r="BM92" s="33"/>
      <c r="BN92" s="33"/>
      <c r="BO92" s="33"/>
      <c r="BP92" s="33"/>
      <c r="BQ92" s="33"/>
      <c r="BR92" s="33">
        <f t="shared" si="1"/>
        <v>0</v>
      </c>
      <c r="BS92" s="33">
        <f>SUMIFS('Data For Calculation - Insuranc'!I:I,'Data For Calculation - Insuranc'!$A:$A,$A92)</f>
        <v>0</v>
      </c>
      <c r="BT92" s="33">
        <f>SUMIFS('Data For Calculation - Insuranc'!J:J,'Data For Calculation - Insuranc'!$A:$A,$A92)</f>
        <v>0</v>
      </c>
      <c r="BU92" s="33">
        <f>SUMIFS('Data For Calculation - Insuranc'!K:K,'Data For Calculation - Insuranc'!$A:$A,$A92)</f>
        <v>0</v>
      </c>
      <c r="BV92" s="33">
        <f>IF($CC92 = "Dealer", SUMIFS('Data For Calculation - Insuranc'!I:I,'Data For Calculation - Insuranc'!$B:$B,$A92,'Data For Calculation - Insuranc'!$H:$H,"Master Dealer")) + SUMIFS('Data For Calculation - Insuranc'!I:I,'Data For Calculation - Insuranc'!$A:$A,$A92,'Data For Calculation - Insuranc'!$H:$H,"Self")</f>
        <v>0</v>
      </c>
      <c r="BW92" s="33">
        <f>IF($CC92 = "Dealer", SUMIFS('Data For Calculation - Insuranc'!J:J,'Data For Calculation - Insuranc'!$B:$B,$A92,'Data For Calculation - Insuranc'!$H:$H,"Master Dealer")) + SUMIFS('Data For Calculation - Insuranc'!J:J,'Data For Calculation - Insuranc'!$A:$A,$A92,'Data For Calculation - Insuranc'!$H:$H,"Self")</f>
        <v>0</v>
      </c>
      <c r="BX92" s="33">
        <f>IF($CC92 = "Dealer", SUMIFS('Data For Calculation - Insuranc'!K:K,'Data For Calculation - Insuranc'!$B:$B,$A92,'Data For Calculation - Insuranc'!$H:$H,"Master Dealer")) + SUMIFS('Data For Calculation - Insuranc'!K:K,'Data For Calculation - Insuranc'!$A:$A,$A92,'Data For Calculation - Insuranc'!$H:$H,"Self")</f>
        <v>0</v>
      </c>
      <c r="BY92" s="25" t="str">
        <f>(Sheet1!N92)</f>
        <v>Rohit Automobiles - Yamuna Nagar</v>
      </c>
      <c r="BZ92" s="25" t="str">
        <f>(Sheet1!O92)</f>
        <v>1eiTogQPi-sHfdl6mZbOd9WL047mVrKOSLuFH6hsfT4U</v>
      </c>
      <c r="CA92" s="25" t="str">
        <f>(Sheet1!AV92)</f>
        <v/>
      </c>
      <c r="CB92" s="25" t="str">
        <f>(Sheet1!AW92)</f>
        <v/>
      </c>
      <c r="CC92" s="26" t="str">
        <f>(Sheet1!P92)</f>
        <v>Dealer</v>
      </c>
    </row>
    <row r="93">
      <c r="A93" s="25" t="str">
        <f>(Sheet1!A93)</f>
        <v>1K6oaFfzdWrW0ygNwDwWBmlm6lWJxWCUD9ydsyisVA7A</v>
      </c>
      <c r="B93" s="25" t="str">
        <f>(Sheet1!B93)</f>
        <v>Sahib Motors - Panipat</v>
      </c>
      <c r="C93" s="30" t="str">
        <f>Sheet1!BB93</f>
        <v>No</v>
      </c>
      <c r="D93" s="30" t="s">
        <v>13</v>
      </c>
      <c r="E93" s="34" t="s">
        <v>13</v>
      </c>
      <c r="F93" s="30" t="s">
        <v>3817</v>
      </c>
      <c r="G93" s="31">
        <v>290.0</v>
      </c>
      <c r="H93" s="34" t="s">
        <v>3853</v>
      </c>
      <c r="I93" s="34">
        <v>0.0</v>
      </c>
      <c r="J93" s="34">
        <v>100.0</v>
      </c>
      <c r="K93" s="34">
        <v>0.0</v>
      </c>
      <c r="L93" s="34">
        <v>0.0</v>
      </c>
      <c r="M93" s="33">
        <f>COUNTIFS('Data For Calculation - Insuranc'!A:A,A93,'Data For Calculation - Insuranc'!E:E,"CPA + RSA")</f>
        <v>0</v>
      </c>
      <c r="N93" s="30" t="s">
        <v>3817</v>
      </c>
      <c r="O93" s="31">
        <v>460.0</v>
      </c>
      <c r="P93" s="34" t="s">
        <v>3853</v>
      </c>
      <c r="Q93" s="34">
        <v>0.0</v>
      </c>
      <c r="R93" s="34">
        <v>100.0</v>
      </c>
      <c r="S93" s="34">
        <v>0.0</v>
      </c>
      <c r="T93" s="34">
        <v>0.0</v>
      </c>
      <c r="U93" s="33">
        <f>COUNTIFS('Data For Calculation - Insuranc'!A:A,A93,'Data For Calculation - Insuranc'!E:E,"CPA + RSA + AHDC + DOC")</f>
        <v>0</v>
      </c>
      <c r="V93" s="30" t="s">
        <v>3817</v>
      </c>
      <c r="W93" s="34">
        <v>838.99</v>
      </c>
      <c r="X93" s="34" t="s">
        <v>3853</v>
      </c>
      <c r="Y93" s="34">
        <v>0.0</v>
      </c>
      <c r="Z93" s="34">
        <v>100.0</v>
      </c>
      <c r="AA93" s="34">
        <v>0.0</v>
      </c>
      <c r="AB93" s="34">
        <v>0.0</v>
      </c>
      <c r="AC93" s="33">
        <f>COUNTIFS('Data For Calculation - Insuranc'!A:A,A93,'Data For Calculation - Insuranc'!E:E,"CPA + RSA : 5 Years")</f>
        <v>0</v>
      </c>
      <c r="AD93" s="30" t="s">
        <v>3817</v>
      </c>
      <c r="AE93" s="31">
        <v>838.99</v>
      </c>
      <c r="AF93" s="34" t="s">
        <v>3853</v>
      </c>
      <c r="AG93" s="34">
        <v>0.0</v>
      </c>
      <c r="AH93" s="34">
        <v>100.0</v>
      </c>
      <c r="AI93" s="34">
        <v>0.0</v>
      </c>
      <c r="AJ93" s="34">
        <v>0.0</v>
      </c>
      <c r="AK93" s="33">
        <f>COUNTIFS('Data For Calculation - Insuranc'!A:A,A93,'Data For Calculation - Insuranc'!E:E,"Assistance + CPA : 5 Years")</f>
        <v>0</v>
      </c>
      <c r="AL93" s="30" t="s">
        <v>3817</v>
      </c>
      <c r="AM93" s="31">
        <v>290.0</v>
      </c>
      <c r="AN93" s="34" t="s">
        <v>3853</v>
      </c>
      <c r="AO93" s="34">
        <v>0.0</v>
      </c>
      <c r="AP93" s="34">
        <v>100.0</v>
      </c>
      <c r="AQ93" s="34">
        <v>0.0</v>
      </c>
      <c r="AR93" s="34">
        <v>0.0</v>
      </c>
      <c r="AS93" s="33">
        <f>COUNTIFS('Data For Calculation - Insuranc'!A:A,A93,'Data For Calculation - Insuranc'!E:E,"RSA + AHDC + DOC")</f>
        <v>0</v>
      </c>
      <c r="AT93" s="33"/>
      <c r="AU93" s="33"/>
      <c r="AV93" s="33"/>
      <c r="AW93" s="33"/>
      <c r="AX93" s="33"/>
      <c r="AY93" s="33"/>
      <c r="AZ93" s="33"/>
      <c r="BA93" s="33"/>
      <c r="BB93" s="33"/>
      <c r="BC93" s="33"/>
      <c r="BD93" s="33"/>
      <c r="BE93" s="33"/>
      <c r="BF93" s="33"/>
      <c r="BG93" s="33"/>
      <c r="BH93" s="33"/>
      <c r="BI93" s="33"/>
      <c r="BJ93" s="33"/>
      <c r="BK93" s="33"/>
      <c r="BL93" s="33"/>
      <c r="BM93" s="33"/>
      <c r="BN93" s="33"/>
      <c r="BO93" s="33"/>
      <c r="BP93" s="33"/>
      <c r="BQ93" s="33"/>
      <c r="BR93" s="33">
        <f t="shared" si="1"/>
        <v>0</v>
      </c>
      <c r="BS93" s="33">
        <f>SUMIFS('Data For Calculation - Insuranc'!I:I,'Data For Calculation - Insuranc'!$A:$A,$A93)</f>
        <v>0</v>
      </c>
      <c r="BT93" s="33">
        <f>SUMIFS('Data For Calculation - Insuranc'!J:J,'Data For Calculation - Insuranc'!$A:$A,$A93)</f>
        <v>0</v>
      </c>
      <c r="BU93" s="33">
        <f>SUMIFS('Data For Calculation - Insuranc'!K:K,'Data For Calculation - Insuranc'!$A:$A,$A93)</f>
        <v>0</v>
      </c>
      <c r="BV93" s="33">
        <f>IF($CC93 = "Dealer", SUMIFS('Data For Calculation - Insuranc'!I:I,'Data For Calculation - Insuranc'!$B:$B,$A93,'Data For Calculation - Insuranc'!$H:$H,"Master Dealer")) + SUMIFS('Data For Calculation - Insuranc'!I:I,'Data For Calculation - Insuranc'!$A:$A,$A93,'Data For Calculation - Insuranc'!$H:$H,"Self")</f>
        <v>0</v>
      </c>
      <c r="BW93" s="33">
        <f>IF($CC93 = "Dealer", SUMIFS('Data For Calculation - Insuranc'!J:J,'Data For Calculation - Insuranc'!$B:$B,$A93,'Data For Calculation - Insuranc'!$H:$H,"Master Dealer")) + SUMIFS('Data For Calculation - Insuranc'!J:J,'Data For Calculation - Insuranc'!$A:$A,$A93,'Data For Calculation - Insuranc'!$H:$H,"Self")</f>
        <v>0</v>
      </c>
      <c r="BX93" s="33">
        <f>IF($CC93 = "Dealer", SUMIFS('Data For Calculation - Insuranc'!K:K,'Data For Calculation - Insuranc'!$B:$B,$A93,'Data For Calculation - Insuranc'!$H:$H,"Master Dealer")) + SUMIFS('Data For Calculation - Insuranc'!K:K,'Data For Calculation - Insuranc'!$A:$A,$A93,'Data For Calculation - Insuranc'!$H:$H,"Self")</f>
        <v>0</v>
      </c>
      <c r="BY93" s="25" t="str">
        <f>(Sheet1!N93)</f>
        <v>Sahib Motors - Panipat</v>
      </c>
      <c r="BZ93" s="25" t="str">
        <f>(Sheet1!O93)</f>
        <v>1K6oaFfzdWrW0ygNwDwWBmlm6lWJxWCUD9ydsyisVA7A</v>
      </c>
      <c r="CA93" s="25" t="str">
        <f>(Sheet1!AV93)</f>
        <v/>
      </c>
      <c r="CB93" s="25" t="str">
        <f>(Sheet1!AW93)</f>
        <v/>
      </c>
      <c r="CC93" s="26" t="str">
        <f>(Sheet1!P93)</f>
        <v>Dealer</v>
      </c>
    </row>
    <row r="94">
      <c r="A94" s="25" t="str">
        <f>(Sheet1!A94)</f>
        <v>1-Ht1VJM8lu7HceWxxtL7iafzmbHFLLgtLF3OJk7V8IQ</v>
      </c>
      <c r="B94" s="25" t="str">
        <f>(Sheet1!B94)</f>
        <v>LAKSHMI AUTOMOBILES - GHARAUNDA</v>
      </c>
      <c r="C94" s="30" t="str">
        <f>Sheet1!BB94</f>
        <v>No</v>
      </c>
      <c r="D94" s="30" t="s">
        <v>13</v>
      </c>
      <c r="E94" s="34" t="s">
        <v>13</v>
      </c>
      <c r="F94" s="30" t="s">
        <v>3817</v>
      </c>
      <c r="G94" s="31">
        <v>290.0</v>
      </c>
      <c r="H94" s="34" t="s">
        <v>3853</v>
      </c>
      <c r="I94" s="34">
        <v>0.0</v>
      </c>
      <c r="J94" s="34">
        <v>100.0</v>
      </c>
      <c r="K94" s="34">
        <v>0.0</v>
      </c>
      <c r="L94" s="34">
        <v>0.0</v>
      </c>
      <c r="M94" s="33">
        <f>COUNTIFS('Data For Calculation - Insuranc'!A:A,A94,'Data For Calculation - Insuranc'!E:E,"CPA + RSA")</f>
        <v>0</v>
      </c>
      <c r="N94" s="30" t="s">
        <v>3817</v>
      </c>
      <c r="O94" s="31">
        <v>460.0</v>
      </c>
      <c r="P94" s="34" t="s">
        <v>3853</v>
      </c>
      <c r="Q94" s="34">
        <v>0.0</v>
      </c>
      <c r="R94" s="34">
        <v>100.0</v>
      </c>
      <c r="S94" s="34">
        <v>0.0</v>
      </c>
      <c r="T94" s="34">
        <v>0.0</v>
      </c>
      <c r="U94" s="33">
        <f>COUNTIFS('Data For Calculation - Insuranc'!A:A,A94,'Data For Calculation - Insuranc'!E:E,"CPA + RSA + AHDC + DOC")</f>
        <v>0</v>
      </c>
      <c r="V94" s="30" t="s">
        <v>3817</v>
      </c>
      <c r="W94" s="34">
        <v>838.99</v>
      </c>
      <c r="X94" s="34" t="s">
        <v>3853</v>
      </c>
      <c r="Y94" s="34">
        <v>0.0</v>
      </c>
      <c r="Z94" s="34">
        <v>100.0</v>
      </c>
      <c r="AA94" s="34">
        <v>0.0</v>
      </c>
      <c r="AB94" s="34">
        <v>0.0</v>
      </c>
      <c r="AC94" s="33">
        <f>COUNTIFS('Data For Calculation - Insuranc'!A:A,A94,'Data For Calculation - Insuranc'!E:E,"CPA + RSA : 5 Years")</f>
        <v>0</v>
      </c>
      <c r="AD94" s="30" t="s">
        <v>3817</v>
      </c>
      <c r="AE94" s="31">
        <v>838.99</v>
      </c>
      <c r="AF94" s="34" t="s">
        <v>3853</v>
      </c>
      <c r="AG94" s="34">
        <v>0.0</v>
      </c>
      <c r="AH94" s="34">
        <v>100.0</v>
      </c>
      <c r="AI94" s="34">
        <v>0.0</v>
      </c>
      <c r="AJ94" s="34">
        <v>0.0</v>
      </c>
      <c r="AK94" s="33">
        <f>COUNTIFS('Data For Calculation - Insuranc'!A:A,A94,'Data For Calculation - Insuranc'!E:E,"Assistance + CPA : 5 Years")</f>
        <v>0</v>
      </c>
      <c r="AL94" s="30" t="s">
        <v>3817</v>
      </c>
      <c r="AM94" s="31">
        <v>290.0</v>
      </c>
      <c r="AN94" s="34" t="s">
        <v>3853</v>
      </c>
      <c r="AO94" s="34">
        <v>0.0</v>
      </c>
      <c r="AP94" s="34">
        <v>100.0</v>
      </c>
      <c r="AQ94" s="34">
        <v>0.0</v>
      </c>
      <c r="AR94" s="34">
        <v>0.0</v>
      </c>
      <c r="AS94" s="33">
        <f>COUNTIFS('Data For Calculation - Insuranc'!A:A,A94,'Data For Calculation - Insuranc'!E:E,"RSA + AHDC + DOC")</f>
        <v>0</v>
      </c>
      <c r="AT94" s="33"/>
      <c r="AU94" s="33"/>
      <c r="AV94" s="33"/>
      <c r="AW94" s="33"/>
      <c r="AX94" s="33"/>
      <c r="AY94" s="33"/>
      <c r="AZ94" s="33"/>
      <c r="BA94" s="33"/>
      <c r="BB94" s="33"/>
      <c r="BC94" s="33"/>
      <c r="BD94" s="33"/>
      <c r="BE94" s="33"/>
      <c r="BF94" s="33"/>
      <c r="BG94" s="33"/>
      <c r="BH94" s="33"/>
      <c r="BI94" s="33"/>
      <c r="BJ94" s="33"/>
      <c r="BK94" s="33"/>
      <c r="BL94" s="33"/>
      <c r="BM94" s="33"/>
      <c r="BN94" s="33"/>
      <c r="BO94" s="33"/>
      <c r="BP94" s="33"/>
      <c r="BQ94" s="33"/>
      <c r="BR94" s="33">
        <f t="shared" si="1"/>
        <v>0</v>
      </c>
      <c r="BS94" s="33">
        <f>SUMIFS('Data For Calculation - Insuranc'!I:I,'Data For Calculation - Insuranc'!$A:$A,$A94)</f>
        <v>0</v>
      </c>
      <c r="BT94" s="33">
        <f>SUMIFS('Data For Calculation - Insuranc'!J:J,'Data For Calculation - Insuranc'!$A:$A,$A94)</f>
        <v>0</v>
      </c>
      <c r="BU94" s="33">
        <f>SUMIFS('Data For Calculation - Insuranc'!K:K,'Data For Calculation - Insuranc'!$A:$A,$A94)</f>
        <v>0</v>
      </c>
      <c r="BV94" s="33">
        <f>IF($CC94 = "Dealer", SUMIFS('Data For Calculation - Insuranc'!I:I,'Data For Calculation - Insuranc'!$B:$B,$A94,'Data For Calculation - Insuranc'!$H:$H,"Master Dealer")) + SUMIFS('Data For Calculation - Insuranc'!I:I,'Data For Calculation - Insuranc'!$A:$A,$A94,'Data For Calculation - Insuranc'!$H:$H,"Self")</f>
        <v>0</v>
      </c>
      <c r="BW94" s="33">
        <f>IF($CC94 = "Dealer", SUMIFS('Data For Calculation - Insuranc'!J:J,'Data For Calculation - Insuranc'!$B:$B,$A94,'Data For Calculation - Insuranc'!$H:$H,"Master Dealer")) + SUMIFS('Data For Calculation - Insuranc'!J:J,'Data For Calculation - Insuranc'!$A:$A,$A94,'Data For Calculation - Insuranc'!$H:$H,"Self")</f>
        <v>0</v>
      </c>
      <c r="BX94" s="33">
        <f>IF($CC94 = "Dealer", SUMIFS('Data For Calculation - Insuranc'!K:K,'Data For Calculation - Insuranc'!$B:$B,$A94,'Data For Calculation - Insuranc'!$H:$H,"Master Dealer")) + SUMIFS('Data For Calculation - Insuranc'!K:K,'Data For Calculation - Insuranc'!$A:$A,$A94,'Data For Calculation - Insuranc'!$H:$H,"Self")</f>
        <v>0</v>
      </c>
      <c r="BY94" s="25" t="str">
        <f>(Sheet1!N94)</f>
        <v>LAKSHMI AUTOMOBILES - GHARAUNDA</v>
      </c>
      <c r="BZ94" s="25" t="str">
        <f>(Sheet1!O94)</f>
        <v>1-Ht1VJM8lu7HceWxxtL7iafzmbHFLLgtLF3OJk7V8IQ</v>
      </c>
      <c r="CA94" s="25" t="str">
        <f>(Sheet1!AV94)</f>
        <v/>
      </c>
      <c r="CB94" s="25" t="str">
        <f>(Sheet1!AW94)</f>
        <v/>
      </c>
      <c r="CC94" s="26" t="str">
        <f>(Sheet1!P94)</f>
        <v>Dealer</v>
      </c>
    </row>
    <row r="95">
      <c r="A95" s="25" t="str">
        <f>(Sheet1!A95)</f>
        <v>1Wxkr9M9brzH_Qd8RBgAFdg3jgvfV-5e6mlbAaitWxss</v>
      </c>
      <c r="B95" s="25" t="str">
        <f>(Sheet1!B95)</f>
        <v>Testing Ravi</v>
      </c>
      <c r="C95" s="30" t="str">
        <f>Sheet1!BB95</f>
        <v>No</v>
      </c>
      <c r="D95" s="30" t="s">
        <v>13</v>
      </c>
      <c r="E95" s="34" t="s">
        <v>13</v>
      </c>
      <c r="F95" s="30" t="s">
        <v>3817</v>
      </c>
      <c r="G95" s="31">
        <v>290.0</v>
      </c>
      <c r="H95" s="34" t="s">
        <v>3853</v>
      </c>
      <c r="I95" s="34">
        <v>0.0</v>
      </c>
      <c r="J95" s="34">
        <v>100.0</v>
      </c>
      <c r="K95" s="34">
        <v>0.0</v>
      </c>
      <c r="L95" s="34">
        <v>0.0</v>
      </c>
      <c r="M95" s="33">
        <f>COUNTIFS('Data For Calculation - Insuranc'!A:A,A95,'Data For Calculation - Insuranc'!E:E,"CPA + RSA")</f>
        <v>0</v>
      </c>
      <c r="N95" s="30" t="s">
        <v>3817</v>
      </c>
      <c r="O95" s="31">
        <v>460.0</v>
      </c>
      <c r="P95" s="34" t="s">
        <v>3853</v>
      </c>
      <c r="Q95" s="34">
        <v>0.0</v>
      </c>
      <c r="R95" s="34">
        <v>100.0</v>
      </c>
      <c r="S95" s="34">
        <v>0.0</v>
      </c>
      <c r="T95" s="34">
        <v>0.0</v>
      </c>
      <c r="U95" s="33">
        <f>COUNTIFS('Data For Calculation - Insuranc'!A:A,A95,'Data For Calculation - Insuranc'!E:E,"CPA + RSA + AHDC + DOC")</f>
        <v>0</v>
      </c>
      <c r="V95" s="30" t="s">
        <v>3817</v>
      </c>
      <c r="W95" s="34">
        <v>838.99</v>
      </c>
      <c r="X95" s="34" t="s">
        <v>3853</v>
      </c>
      <c r="Y95" s="34">
        <v>0.0</v>
      </c>
      <c r="Z95" s="34">
        <v>100.0</v>
      </c>
      <c r="AA95" s="34">
        <v>0.0</v>
      </c>
      <c r="AB95" s="34">
        <v>0.0</v>
      </c>
      <c r="AC95" s="33">
        <f>COUNTIFS('Data For Calculation - Insuranc'!A:A,A95,'Data For Calculation - Insuranc'!E:E,"CPA + RSA : 5 Years")</f>
        <v>0</v>
      </c>
      <c r="AD95" s="30" t="s">
        <v>3817</v>
      </c>
      <c r="AE95" s="31">
        <v>838.99</v>
      </c>
      <c r="AF95" s="34" t="s">
        <v>3853</v>
      </c>
      <c r="AG95" s="34">
        <v>0.0</v>
      </c>
      <c r="AH95" s="34">
        <v>100.0</v>
      </c>
      <c r="AI95" s="34">
        <v>0.0</v>
      </c>
      <c r="AJ95" s="34">
        <v>0.0</v>
      </c>
      <c r="AK95" s="33">
        <f>COUNTIFS('Data For Calculation - Insuranc'!A:A,A95,'Data For Calculation - Insuranc'!E:E,"Assistance + CPA : 5 Years")</f>
        <v>0</v>
      </c>
      <c r="AL95" s="30" t="s">
        <v>3817</v>
      </c>
      <c r="AM95" s="31">
        <v>290.0</v>
      </c>
      <c r="AN95" s="34" t="s">
        <v>3853</v>
      </c>
      <c r="AO95" s="34">
        <v>0.0</v>
      </c>
      <c r="AP95" s="34">
        <v>100.0</v>
      </c>
      <c r="AQ95" s="34">
        <v>0.0</v>
      </c>
      <c r="AR95" s="34">
        <v>0.0</v>
      </c>
      <c r="AS95" s="33">
        <f>COUNTIFS('Data For Calculation - Insuranc'!A:A,A95,'Data For Calculation - Insuranc'!E:E,"RSA + AHDC + DOC")</f>
        <v>0</v>
      </c>
      <c r="AT95" s="33"/>
      <c r="AU95" s="33"/>
      <c r="AV95" s="33"/>
      <c r="AW95" s="33"/>
      <c r="AX95" s="33"/>
      <c r="AY95" s="33"/>
      <c r="AZ95" s="33"/>
      <c r="BA95" s="33"/>
      <c r="BB95" s="33"/>
      <c r="BC95" s="33"/>
      <c r="BD95" s="33"/>
      <c r="BE95" s="33"/>
      <c r="BF95" s="33"/>
      <c r="BG95" s="33"/>
      <c r="BH95" s="33"/>
      <c r="BI95" s="33"/>
      <c r="BJ95" s="33"/>
      <c r="BK95" s="33"/>
      <c r="BL95" s="33"/>
      <c r="BM95" s="33"/>
      <c r="BN95" s="33"/>
      <c r="BO95" s="33"/>
      <c r="BP95" s="33"/>
      <c r="BQ95" s="33"/>
      <c r="BR95" s="33">
        <f t="shared" si="1"/>
        <v>0</v>
      </c>
      <c r="BS95" s="33">
        <f>SUMIFS('Data For Calculation - Insuranc'!I:I,'Data For Calculation - Insuranc'!$A:$A,$A95)</f>
        <v>0</v>
      </c>
      <c r="BT95" s="33">
        <f>SUMIFS('Data For Calculation - Insuranc'!J:J,'Data For Calculation - Insuranc'!$A:$A,$A95)</f>
        <v>0</v>
      </c>
      <c r="BU95" s="33">
        <f>SUMIFS('Data For Calculation - Insuranc'!K:K,'Data For Calculation - Insuranc'!$A:$A,$A95)</f>
        <v>0</v>
      </c>
      <c r="BV95" s="33">
        <f>IF($CC95 = "Dealer", SUMIFS('Data For Calculation - Insuranc'!I:I,'Data For Calculation - Insuranc'!$B:$B,$A95,'Data For Calculation - Insuranc'!$H:$H,"Master Dealer")) + SUMIFS('Data For Calculation - Insuranc'!I:I,'Data For Calculation - Insuranc'!$A:$A,$A95,'Data For Calculation - Insuranc'!$H:$H,"Self")</f>
        <v>0</v>
      </c>
      <c r="BW95" s="33">
        <f>IF($CC95 = "Dealer", SUMIFS('Data For Calculation - Insuranc'!J:J,'Data For Calculation - Insuranc'!$B:$B,$A95,'Data For Calculation - Insuranc'!$H:$H,"Master Dealer")) + SUMIFS('Data For Calculation - Insuranc'!J:J,'Data For Calculation - Insuranc'!$A:$A,$A95,'Data For Calculation - Insuranc'!$H:$H,"Self")</f>
        <v>0</v>
      </c>
      <c r="BX95" s="33">
        <f>IF($CC95 = "Dealer", SUMIFS('Data For Calculation - Insuranc'!K:K,'Data For Calculation - Insuranc'!$B:$B,$A95,'Data For Calculation - Insuranc'!$H:$H,"Master Dealer")) + SUMIFS('Data For Calculation - Insuranc'!K:K,'Data For Calculation - Insuranc'!$A:$A,$A95,'Data For Calculation - Insuranc'!$H:$H,"Self")</f>
        <v>0</v>
      </c>
      <c r="BY95" s="25" t="str">
        <f>(Sheet1!N95)</f>
        <v>Testing Ravi</v>
      </c>
      <c r="BZ95" s="25" t="str">
        <f>(Sheet1!O95)</f>
        <v>1Wxkr9M9brzH_Qd8RBgAFdg3jgvfV-5e6mlbAaitWxss</v>
      </c>
      <c r="CA95" s="25" t="str">
        <f>(Sheet1!AV95)</f>
        <v/>
      </c>
      <c r="CB95" s="25" t="str">
        <f>(Sheet1!AW95)</f>
        <v/>
      </c>
      <c r="CC95" s="26" t="str">
        <f>(Sheet1!P95)</f>
        <v>Dealer</v>
      </c>
    </row>
    <row r="96">
      <c r="A96" s="25" t="str">
        <f>(Sheet1!A96)</f>
        <v>1KaEmNIMK0XXiIsA6XQ7GNELp4AsXjf8BnThrJvzVk2Q</v>
      </c>
      <c r="B96" s="25" t="str">
        <f>(Sheet1!B96)</f>
        <v>National Automobile - Jind</v>
      </c>
      <c r="C96" s="30" t="str">
        <f>Sheet1!BB96</f>
        <v>No</v>
      </c>
      <c r="D96" s="30" t="s">
        <v>13</v>
      </c>
      <c r="E96" s="34" t="s">
        <v>13</v>
      </c>
      <c r="F96" s="30" t="s">
        <v>3817</v>
      </c>
      <c r="G96" s="31">
        <v>290.0</v>
      </c>
      <c r="H96" s="34" t="s">
        <v>3853</v>
      </c>
      <c r="I96" s="34">
        <v>0.0</v>
      </c>
      <c r="J96" s="34">
        <v>100.0</v>
      </c>
      <c r="K96" s="34">
        <v>0.0</v>
      </c>
      <c r="L96" s="34">
        <v>0.0</v>
      </c>
      <c r="M96" s="33">
        <f>COUNTIFS('Data For Calculation - Insuranc'!A:A,A96,'Data For Calculation - Insuranc'!E:E,"CPA + RSA")</f>
        <v>0</v>
      </c>
      <c r="N96" s="30" t="s">
        <v>3817</v>
      </c>
      <c r="O96" s="31">
        <v>460.0</v>
      </c>
      <c r="P96" s="34" t="s">
        <v>3853</v>
      </c>
      <c r="Q96" s="34">
        <v>0.0</v>
      </c>
      <c r="R96" s="34">
        <v>100.0</v>
      </c>
      <c r="S96" s="34">
        <v>0.0</v>
      </c>
      <c r="T96" s="34">
        <v>0.0</v>
      </c>
      <c r="U96" s="33">
        <f>COUNTIFS('Data For Calculation - Insuranc'!A:A,A96,'Data For Calculation - Insuranc'!E:E,"CPA + RSA + AHDC + DOC")</f>
        <v>0</v>
      </c>
      <c r="V96" s="30" t="s">
        <v>3817</v>
      </c>
      <c r="W96" s="34">
        <v>838.99</v>
      </c>
      <c r="X96" s="34" t="s">
        <v>3853</v>
      </c>
      <c r="Y96" s="34">
        <v>0.0</v>
      </c>
      <c r="Z96" s="34">
        <v>100.0</v>
      </c>
      <c r="AA96" s="34">
        <v>0.0</v>
      </c>
      <c r="AB96" s="34">
        <v>0.0</v>
      </c>
      <c r="AC96" s="33">
        <f>COUNTIFS('Data For Calculation - Insuranc'!A:A,A96,'Data For Calculation - Insuranc'!E:E,"CPA + RSA : 5 Years")</f>
        <v>0</v>
      </c>
      <c r="AD96" s="30" t="s">
        <v>3817</v>
      </c>
      <c r="AE96" s="31">
        <v>838.99</v>
      </c>
      <c r="AF96" s="34" t="s">
        <v>3853</v>
      </c>
      <c r="AG96" s="34">
        <v>0.0</v>
      </c>
      <c r="AH96" s="34">
        <v>100.0</v>
      </c>
      <c r="AI96" s="34">
        <v>0.0</v>
      </c>
      <c r="AJ96" s="34">
        <v>0.0</v>
      </c>
      <c r="AK96" s="33">
        <f>COUNTIFS('Data For Calculation - Insuranc'!A:A,A96,'Data For Calculation - Insuranc'!E:E,"Assistance + CPA : 5 Years")</f>
        <v>0</v>
      </c>
      <c r="AL96" s="30" t="s">
        <v>3817</v>
      </c>
      <c r="AM96" s="31">
        <v>290.0</v>
      </c>
      <c r="AN96" s="34" t="s">
        <v>3853</v>
      </c>
      <c r="AO96" s="34">
        <v>0.0</v>
      </c>
      <c r="AP96" s="34">
        <v>100.0</v>
      </c>
      <c r="AQ96" s="34">
        <v>0.0</v>
      </c>
      <c r="AR96" s="34">
        <v>0.0</v>
      </c>
      <c r="AS96" s="33">
        <f>COUNTIFS('Data For Calculation - Insuranc'!A:A,A96,'Data For Calculation - Insuranc'!E:E,"RSA + AHDC + DOC")</f>
        <v>0</v>
      </c>
      <c r="AT96" s="33"/>
      <c r="AU96" s="33"/>
      <c r="AV96" s="33"/>
      <c r="AW96" s="33"/>
      <c r="AX96" s="33"/>
      <c r="AY96" s="33"/>
      <c r="AZ96" s="33"/>
      <c r="BA96" s="33"/>
      <c r="BB96" s="33"/>
      <c r="BC96" s="33"/>
      <c r="BD96" s="33"/>
      <c r="BE96" s="33"/>
      <c r="BF96" s="33"/>
      <c r="BG96" s="33"/>
      <c r="BH96" s="33"/>
      <c r="BI96" s="33"/>
      <c r="BJ96" s="33"/>
      <c r="BK96" s="33"/>
      <c r="BL96" s="33"/>
      <c r="BM96" s="33"/>
      <c r="BN96" s="33"/>
      <c r="BO96" s="33"/>
      <c r="BP96" s="33"/>
      <c r="BQ96" s="33"/>
      <c r="BR96" s="33">
        <f t="shared" si="1"/>
        <v>0</v>
      </c>
      <c r="BS96" s="33">
        <f>SUMIFS('Data For Calculation - Insuranc'!I:I,'Data For Calculation - Insuranc'!$A:$A,$A96)</f>
        <v>0</v>
      </c>
      <c r="BT96" s="33">
        <f>SUMIFS('Data For Calculation - Insuranc'!J:J,'Data For Calculation - Insuranc'!$A:$A,$A96)</f>
        <v>0</v>
      </c>
      <c r="BU96" s="33">
        <f>SUMIFS('Data For Calculation - Insuranc'!K:K,'Data For Calculation - Insuranc'!$A:$A,$A96)</f>
        <v>0</v>
      </c>
      <c r="BV96" s="33">
        <f>IF($CC96 = "Dealer", SUMIFS('Data For Calculation - Insuranc'!I:I,'Data For Calculation - Insuranc'!$B:$B,$A96,'Data For Calculation - Insuranc'!$H:$H,"Master Dealer")) + SUMIFS('Data For Calculation - Insuranc'!I:I,'Data For Calculation - Insuranc'!$A:$A,$A96,'Data For Calculation - Insuranc'!$H:$H,"Self")</f>
        <v>0</v>
      </c>
      <c r="BW96" s="33">
        <f>IF($CC96 = "Dealer", SUMIFS('Data For Calculation - Insuranc'!J:J,'Data For Calculation - Insuranc'!$B:$B,$A96,'Data For Calculation - Insuranc'!$H:$H,"Master Dealer")) + SUMIFS('Data For Calculation - Insuranc'!J:J,'Data For Calculation - Insuranc'!$A:$A,$A96,'Data For Calculation - Insuranc'!$H:$H,"Self")</f>
        <v>0</v>
      </c>
      <c r="BX96" s="33">
        <f>IF($CC96 = "Dealer", SUMIFS('Data For Calculation - Insuranc'!K:K,'Data For Calculation - Insuranc'!$B:$B,$A96,'Data For Calculation - Insuranc'!$H:$H,"Master Dealer")) + SUMIFS('Data For Calculation - Insuranc'!K:K,'Data For Calculation - Insuranc'!$A:$A,$A96,'Data For Calculation - Insuranc'!$H:$H,"Self")</f>
        <v>0</v>
      </c>
      <c r="BY96" s="25" t="str">
        <f>(Sheet1!N96)</f>
        <v>National Automobile - Jind</v>
      </c>
      <c r="BZ96" s="25" t="str">
        <f>(Sheet1!O96)</f>
        <v>1KaEmNIMK0XXiIsA6XQ7GNELp4AsXjf8BnThrJvzVk2Q</v>
      </c>
      <c r="CA96" s="25" t="str">
        <f>(Sheet1!AV96)</f>
        <v/>
      </c>
      <c r="CB96" s="25" t="str">
        <f>(Sheet1!AW96)</f>
        <v/>
      </c>
      <c r="CC96" s="26" t="str">
        <f>(Sheet1!P96)</f>
        <v>Dealer</v>
      </c>
    </row>
    <row r="97">
      <c r="A97" s="25" t="str">
        <f>(Sheet1!A97)</f>
        <v>1kk6retEj7a8ElwHKY3kD7Cti9VMfyX-Nt8jZobYqikg</v>
      </c>
      <c r="B97" s="25" t="str">
        <f>(Sheet1!B97)</f>
        <v>Karan Automobiles - Dabwali</v>
      </c>
      <c r="C97" s="30" t="str">
        <f>Sheet1!BB97</f>
        <v>No</v>
      </c>
      <c r="D97" s="30" t="s">
        <v>13</v>
      </c>
      <c r="E97" s="34" t="s">
        <v>13</v>
      </c>
      <c r="F97" s="30" t="s">
        <v>3817</v>
      </c>
      <c r="G97" s="31">
        <v>290.0</v>
      </c>
      <c r="H97" s="34" t="s">
        <v>3853</v>
      </c>
      <c r="I97" s="34">
        <v>0.0</v>
      </c>
      <c r="J97" s="34">
        <v>100.0</v>
      </c>
      <c r="K97" s="34">
        <v>0.0</v>
      </c>
      <c r="L97" s="34">
        <v>0.0</v>
      </c>
      <c r="M97" s="33">
        <f>COUNTIFS('Data For Calculation - Insuranc'!A:A,A97,'Data For Calculation - Insuranc'!E:E,"CPA + RSA")</f>
        <v>0</v>
      </c>
      <c r="N97" s="30" t="s">
        <v>3817</v>
      </c>
      <c r="O97" s="31">
        <v>460.0</v>
      </c>
      <c r="P97" s="34" t="s">
        <v>3853</v>
      </c>
      <c r="Q97" s="34">
        <v>0.0</v>
      </c>
      <c r="R97" s="34">
        <v>100.0</v>
      </c>
      <c r="S97" s="34">
        <v>0.0</v>
      </c>
      <c r="T97" s="34">
        <v>0.0</v>
      </c>
      <c r="U97" s="33">
        <f>COUNTIFS('Data For Calculation - Insuranc'!A:A,A97,'Data For Calculation - Insuranc'!E:E,"CPA + RSA + AHDC + DOC")</f>
        <v>0</v>
      </c>
      <c r="V97" s="30" t="s">
        <v>3817</v>
      </c>
      <c r="W97" s="34">
        <v>838.99</v>
      </c>
      <c r="X97" s="34" t="s">
        <v>3853</v>
      </c>
      <c r="Y97" s="34">
        <v>0.0</v>
      </c>
      <c r="Z97" s="34">
        <v>100.0</v>
      </c>
      <c r="AA97" s="34">
        <v>0.0</v>
      </c>
      <c r="AB97" s="34">
        <v>0.0</v>
      </c>
      <c r="AC97" s="33">
        <f>COUNTIFS('Data For Calculation - Insuranc'!A:A,A97,'Data For Calculation - Insuranc'!E:E,"CPA + RSA : 5 Years")</f>
        <v>0</v>
      </c>
      <c r="AD97" s="30" t="s">
        <v>3817</v>
      </c>
      <c r="AE97" s="31">
        <v>838.99</v>
      </c>
      <c r="AF97" s="34" t="s">
        <v>3853</v>
      </c>
      <c r="AG97" s="34">
        <v>0.0</v>
      </c>
      <c r="AH97" s="34">
        <v>100.0</v>
      </c>
      <c r="AI97" s="34">
        <v>0.0</v>
      </c>
      <c r="AJ97" s="34">
        <v>0.0</v>
      </c>
      <c r="AK97" s="33">
        <f>COUNTIFS('Data For Calculation - Insuranc'!A:A,A97,'Data For Calculation - Insuranc'!E:E,"Assistance + CPA : 5 Years")</f>
        <v>0</v>
      </c>
      <c r="AL97" s="30" t="s">
        <v>3817</v>
      </c>
      <c r="AM97" s="31">
        <v>290.0</v>
      </c>
      <c r="AN97" s="34" t="s">
        <v>3853</v>
      </c>
      <c r="AO97" s="34">
        <v>0.0</v>
      </c>
      <c r="AP97" s="34">
        <v>100.0</v>
      </c>
      <c r="AQ97" s="34">
        <v>0.0</v>
      </c>
      <c r="AR97" s="34">
        <v>0.0</v>
      </c>
      <c r="AS97" s="33">
        <f>COUNTIFS('Data For Calculation - Insuranc'!A:A,A97,'Data For Calculation - Insuranc'!E:E,"RSA + AHDC + DOC")</f>
        <v>0</v>
      </c>
      <c r="AT97" s="33"/>
      <c r="AU97" s="33"/>
      <c r="AV97" s="33"/>
      <c r="AW97" s="33"/>
      <c r="AX97" s="33"/>
      <c r="AY97" s="33"/>
      <c r="AZ97" s="33"/>
      <c r="BA97" s="33"/>
      <c r="BB97" s="33"/>
      <c r="BC97" s="33"/>
      <c r="BD97" s="33"/>
      <c r="BE97" s="33"/>
      <c r="BF97" s="33"/>
      <c r="BG97" s="33"/>
      <c r="BH97" s="33"/>
      <c r="BI97" s="33"/>
      <c r="BJ97" s="33"/>
      <c r="BK97" s="33"/>
      <c r="BL97" s="33"/>
      <c r="BM97" s="33"/>
      <c r="BN97" s="33"/>
      <c r="BO97" s="33"/>
      <c r="BP97" s="33"/>
      <c r="BQ97" s="33"/>
      <c r="BR97" s="33">
        <f t="shared" si="1"/>
        <v>0</v>
      </c>
      <c r="BS97" s="33">
        <f>SUMIFS('Data For Calculation - Insuranc'!I:I,'Data For Calculation - Insuranc'!$A:$A,$A97)</f>
        <v>0</v>
      </c>
      <c r="BT97" s="33">
        <f>SUMIFS('Data For Calculation - Insuranc'!J:J,'Data For Calculation - Insuranc'!$A:$A,$A97)</f>
        <v>0</v>
      </c>
      <c r="BU97" s="33">
        <f>SUMIFS('Data For Calculation - Insuranc'!K:K,'Data For Calculation - Insuranc'!$A:$A,$A97)</f>
        <v>0</v>
      </c>
      <c r="BV97" s="33">
        <f>IF($CC97 = "Dealer", SUMIFS('Data For Calculation - Insuranc'!I:I,'Data For Calculation - Insuranc'!$B:$B,$A97,'Data For Calculation - Insuranc'!$H:$H,"Master Dealer")) + SUMIFS('Data For Calculation - Insuranc'!I:I,'Data For Calculation - Insuranc'!$A:$A,$A97,'Data For Calculation - Insuranc'!$H:$H,"Self")</f>
        <v>0</v>
      </c>
      <c r="BW97" s="33">
        <f>IF($CC97 = "Dealer", SUMIFS('Data For Calculation - Insuranc'!J:J,'Data For Calculation - Insuranc'!$B:$B,$A97,'Data For Calculation - Insuranc'!$H:$H,"Master Dealer")) + SUMIFS('Data For Calculation - Insuranc'!J:J,'Data For Calculation - Insuranc'!$A:$A,$A97,'Data For Calculation - Insuranc'!$H:$H,"Self")</f>
        <v>0</v>
      </c>
      <c r="BX97" s="33">
        <f>IF($CC97 = "Dealer", SUMIFS('Data For Calculation - Insuranc'!K:K,'Data For Calculation - Insuranc'!$B:$B,$A97,'Data For Calculation - Insuranc'!$H:$H,"Master Dealer")) + SUMIFS('Data For Calculation - Insuranc'!K:K,'Data For Calculation - Insuranc'!$A:$A,$A97,'Data For Calculation - Insuranc'!$H:$H,"Self")</f>
        <v>0</v>
      </c>
      <c r="BY97" s="25" t="str">
        <f>(Sheet1!N97)</f>
        <v>Karan Automobiles - Dabwali</v>
      </c>
      <c r="BZ97" s="25" t="str">
        <f>(Sheet1!O97)</f>
        <v>1kk6retEj7a8ElwHKY3kD7Cti9VMfyX-Nt8jZobYqikg</v>
      </c>
      <c r="CA97" s="25" t="str">
        <f>(Sheet1!AV97)</f>
        <v/>
      </c>
      <c r="CB97" s="25" t="str">
        <f>(Sheet1!AW97)</f>
        <v/>
      </c>
      <c r="CC97" s="26" t="str">
        <f>(Sheet1!P97)</f>
        <v>Dealer</v>
      </c>
    </row>
    <row r="98">
      <c r="A98" s="25" t="str">
        <f>(Sheet1!A98)</f>
        <v>13RsJ1T_W8o2VNE9w100mgEYjOaU-1jlpABRILPpMAjs</v>
      </c>
      <c r="B98" s="25" t="str">
        <f>(Sheet1!B98)</f>
        <v>Ajit Automobiles - Ellenabad</v>
      </c>
      <c r="C98" s="30" t="str">
        <f>Sheet1!BB98</f>
        <v>No</v>
      </c>
      <c r="D98" s="30" t="s">
        <v>13</v>
      </c>
      <c r="E98" s="34" t="s">
        <v>13</v>
      </c>
      <c r="F98" s="30" t="s">
        <v>3817</v>
      </c>
      <c r="G98" s="31">
        <v>290.0</v>
      </c>
      <c r="H98" s="34" t="s">
        <v>3853</v>
      </c>
      <c r="I98" s="34">
        <v>0.0</v>
      </c>
      <c r="J98" s="34">
        <v>100.0</v>
      </c>
      <c r="K98" s="34">
        <v>0.0</v>
      </c>
      <c r="L98" s="34">
        <v>0.0</v>
      </c>
      <c r="M98" s="33">
        <f>COUNTIFS('Data For Calculation - Insuranc'!A:A,A98,'Data For Calculation - Insuranc'!E:E,"CPA + RSA")</f>
        <v>0</v>
      </c>
      <c r="N98" s="30" t="s">
        <v>3817</v>
      </c>
      <c r="O98" s="31">
        <v>460.0</v>
      </c>
      <c r="P98" s="34" t="s">
        <v>3853</v>
      </c>
      <c r="Q98" s="34">
        <v>0.0</v>
      </c>
      <c r="R98" s="34">
        <v>100.0</v>
      </c>
      <c r="S98" s="34">
        <v>0.0</v>
      </c>
      <c r="T98" s="34">
        <v>0.0</v>
      </c>
      <c r="U98" s="33">
        <f>COUNTIFS('Data For Calculation - Insuranc'!A:A,A98,'Data For Calculation - Insuranc'!E:E,"CPA + RSA + AHDC + DOC")</f>
        <v>0</v>
      </c>
      <c r="V98" s="30" t="s">
        <v>3817</v>
      </c>
      <c r="W98" s="34">
        <v>838.99</v>
      </c>
      <c r="X98" s="34" t="s">
        <v>3853</v>
      </c>
      <c r="Y98" s="34">
        <v>0.0</v>
      </c>
      <c r="Z98" s="34">
        <v>100.0</v>
      </c>
      <c r="AA98" s="34">
        <v>0.0</v>
      </c>
      <c r="AB98" s="34">
        <v>0.0</v>
      </c>
      <c r="AC98" s="33">
        <f>COUNTIFS('Data For Calculation - Insuranc'!A:A,A98,'Data For Calculation - Insuranc'!E:E,"CPA + RSA : 5 Years")</f>
        <v>0</v>
      </c>
      <c r="AD98" s="30" t="s">
        <v>3817</v>
      </c>
      <c r="AE98" s="31">
        <v>838.99</v>
      </c>
      <c r="AF98" s="34" t="s">
        <v>3853</v>
      </c>
      <c r="AG98" s="34">
        <v>0.0</v>
      </c>
      <c r="AH98" s="34">
        <v>100.0</v>
      </c>
      <c r="AI98" s="34">
        <v>0.0</v>
      </c>
      <c r="AJ98" s="34">
        <v>0.0</v>
      </c>
      <c r="AK98" s="33">
        <f>COUNTIFS('Data For Calculation - Insuranc'!A:A,A98,'Data For Calculation - Insuranc'!E:E,"Assistance + CPA : 5 Years")</f>
        <v>0</v>
      </c>
      <c r="AL98" s="30" t="s">
        <v>3817</v>
      </c>
      <c r="AM98" s="31">
        <v>290.0</v>
      </c>
      <c r="AN98" s="34" t="s">
        <v>3853</v>
      </c>
      <c r="AO98" s="34">
        <v>0.0</v>
      </c>
      <c r="AP98" s="34">
        <v>100.0</v>
      </c>
      <c r="AQ98" s="34">
        <v>0.0</v>
      </c>
      <c r="AR98" s="34">
        <v>0.0</v>
      </c>
      <c r="AS98" s="33">
        <f>COUNTIFS('Data For Calculation - Insuranc'!A:A,A98,'Data For Calculation - Insuranc'!E:E,"RSA + AHDC + DOC")</f>
        <v>0</v>
      </c>
      <c r="AT98" s="33"/>
      <c r="AU98" s="33"/>
      <c r="AV98" s="33"/>
      <c r="AW98" s="33"/>
      <c r="AX98" s="33"/>
      <c r="AY98" s="33"/>
      <c r="AZ98" s="33"/>
      <c r="BA98" s="33"/>
      <c r="BB98" s="33"/>
      <c r="BC98" s="33"/>
      <c r="BD98" s="33"/>
      <c r="BE98" s="33"/>
      <c r="BF98" s="33"/>
      <c r="BG98" s="33"/>
      <c r="BH98" s="33"/>
      <c r="BI98" s="33"/>
      <c r="BJ98" s="33"/>
      <c r="BK98" s="33"/>
      <c r="BL98" s="33"/>
      <c r="BM98" s="33"/>
      <c r="BN98" s="33"/>
      <c r="BO98" s="33"/>
      <c r="BP98" s="33"/>
      <c r="BQ98" s="33"/>
      <c r="BR98" s="33">
        <f t="shared" si="1"/>
        <v>0</v>
      </c>
      <c r="BS98" s="33">
        <f>SUMIFS('Data For Calculation - Insuranc'!I:I,'Data For Calculation - Insuranc'!$A:$A,$A98)</f>
        <v>0</v>
      </c>
      <c r="BT98" s="33">
        <f>SUMIFS('Data For Calculation - Insuranc'!J:J,'Data For Calculation - Insuranc'!$A:$A,$A98)</f>
        <v>0</v>
      </c>
      <c r="BU98" s="33">
        <f>SUMIFS('Data For Calculation - Insuranc'!K:K,'Data For Calculation - Insuranc'!$A:$A,$A98)</f>
        <v>0</v>
      </c>
      <c r="BV98" s="33">
        <f>IF($CC98 = "Dealer", SUMIFS('Data For Calculation - Insuranc'!I:I,'Data For Calculation - Insuranc'!$B:$B,$A98,'Data For Calculation - Insuranc'!$H:$H,"Master Dealer")) + SUMIFS('Data For Calculation - Insuranc'!I:I,'Data For Calculation - Insuranc'!$A:$A,$A98,'Data For Calculation - Insuranc'!$H:$H,"Self")</f>
        <v>0</v>
      </c>
      <c r="BW98" s="33">
        <f>IF($CC98 = "Dealer", SUMIFS('Data For Calculation - Insuranc'!J:J,'Data For Calculation - Insuranc'!$B:$B,$A98,'Data For Calculation - Insuranc'!$H:$H,"Master Dealer")) + SUMIFS('Data For Calculation - Insuranc'!J:J,'Data For Calculation - Insuranc'!$A:$A,$A98,'Data For Calculation - Insuranc'!$H:$H,"Self")</f>
        <v>0</v>
      </c>
      <c r="BX98" s="33">
        <f>IF($CC98 = "Dealer", SUMIFS('Data For Calculation - Insuranc'!K:K,'Data For Calculation - Insuranc'!$B:$B,$A98,'Data For Calculation - Insuranc'!$H:$H,"Master Dealer")) + SUMIFS('Data For Calculation - Insuranc'!K:K,'Data For Calculation - Insuranc'!$A:$A,$A98,'Data For Calculation - Insuranc'!$H:$H,"Self")</f>
        <v>0</v>
      </c>
      <c r="BY98" s="25" t="str">
        <f>(Sheet1!N98)</f>
        <v>Ajit Automobiles - Ellenabad</v>
      </c>
      <c r="BZ98" s="25" t="str">
        <f>(Sheet1!O98)</f>
        <v>13RsJ1T_W8o2VNE9w100mgEYjOaU-1jlpABRILPpMAjs</v>
      </c>
      <c r="CA98" s="25" t="str">
        <f>(Sheet1!AV98)</f>
        <v/>
      </c>
      <c r="CB98" s="25" t="str">
        <f>(Sheet1!AW98)</f>
        <v/>
      </c>
      <c r="CC98" s="26" t="str">
        <f>(Sheet1!P98)</f>
        <v>Dealer</v>
      </c>
    </row>
    <row r="99">
      <c r="A99" s="25" t="str">
        <f>(Sheet1!A99)</f>
        <v>1nEWA1qF6Gna7lK-YjdC89uY5m1GPuTi_8hhe6AxW12M</v>
      </c>
      <c r="B99" s="25" t="str">
        <f>(Sheet1!B99)</f>
        <v>Shivam Auto - Rohtak</v>
      </c>
      <c r="C99" s="30" t="str">
        <f>Sheet1!BB99</f>
        <v>No</v>
      </c>
      <c r="D99" s="30" t="s">
        <v>13</v>
      </c>
      <c r="E99" s="34" t="s">
        <v>13</v>
      </c>
      <c r="F99" s="30" t="s">
        <v>3820</v>
      </c>
      <c r="G99" s="31">
        <v>0.0</v>
      </c>
      <c r="H99" s="34" t="s">
        <v>3853</v>
      </c>
      <c r="I99" s="34">
        <v>0.0</v>
      </c>
      <c r="J99" s="34">
        <v>100.0</v>
      </c>
      <c r="K99" s="34">
        <v>0.0</v>
      </c>
      <c r="L99" s="34">
        <v>0.0</v>
      </c>
      <c r="M99" s="33">
        <f>COUNTIFS('Data For Calculation - Insuranc'!A:A,A99,'Data For Calculation - Insuranc'!E:E,"CPA + RSA")</f>
        <v>0</v>
      </c>
      <c r="N99" s="30" t="s">
        <v>3820</v>
      </c>
      <c r="O99" s="31">
        <v>0.0</v>
      </c>
      <c r="P99" s="34" t="s">
        <v>3853</v>
      </c>
      <c r="Q99" s="34">
        <v>0.0</v>
      </c>
      <c r="R99" s="34">
        <v>100.0</v>
      </c>
      <c r="S99" s="34">
        <v>0.0</v>
      </c>
      <c r="T99" s="34">
        <v>0.0</v>
      </c>
      <c r="U99" s="33">
        <f>COUNTIFS('Data For Calculation - Insuranc'!A:A,A99,'Data For Calculation - Insuranc'!E:E,"CPA + RSA + AHDC + DOC")</f>
        <v>0</v>
      </c>
      <c r="V99" s="30" t="s">
        <v>3820</v>
      </c>
      <c r="W99" s="34">
        <v>838.99</v>
      </c>
      <c r="X99" s="34" t="s">
        <v>3853</v>
      </c>
      <c r="Y99" s="34">
        <v>0.0</v>
      </c>
      <c r="Z99" s="34">
        <v>100.0</v>
      </c>
      <c r="AA99" s="34">
        <v>0.0</v>
      </c>
      <c r="AB99" s="34">
        <v>0.0</v>
      </c>
      <c r="AC99" s="33">
        <f>COUNTIFS('Data For Calculation - Insuranc'!A:A,A99,'Data For Calculation - Insuranc'!E:E,"CPA + RSA : 5 Years")</f>
        <v>0</v>
      </c>
      <c r="AD99" s="30" t="s">
        <v>3820</v>
      </c>
      <c r="AE99" s="31">
        <v>838.99</v>
      </c>
      <c r="AF99" s="34" t="s">
        <v>3853</v>
      </c>
      <c r="AG99" s="34">
        <v>0.0</v>
      </c>
      <c r="AH99" s="34">
        <v>100.0</v>
      </c>
      <c r="AI99" s="34">
        <v>0.0</v>
      </c>
      <c r="AJ99" s="34">
        <v>0.0</v>
      </c>
      <c r="AK99" s="33">
        <f>COUNTIFS('Data For Calculation - Insuranc'!A:A,A99,'Data For Calculation - Insuranc'!E:E,"Assistance + CPA : 5 Years")</f>
        <v>0</v>
      </c>
      <c r="AL99" s="30" t="s">
        <v>3820</v>
      </c>
      <c r="AM99" s="31">
        <v>290.0</v>
      </c>
      <c r="AN99" s="34" t="s">
        <v>3853</v>
      </c>
      <c r="AO99" s="34">
        <v>0.0</v>
      </c>
      <c r="AP99" s="34">
        <v>100.0</v>
      </c>
      <c r="AQ99" s="34">
        <v>0.0</v>
      </c>
      <c r="AR99" s="34">
        <v>0.0</v>
      </c>
      <c r="AS99" s="33">
        <f>COUNTIFS('Data For Calculation - Insuranc'!A:A,A99,'Data For Calculation - Insuranc'!E:E,"RSA + AHDC + DOC")</f>
        <v>0</v>
      </c>
      <c r="AT99" s="33"/>
      <c r="AU99" s="33"/>
      <c r="AV99" s="33"/>
      <c r="AW99" s="33"/>
      <c r="AX99" s="33"/>
      <c r="AY99" s="33"/>
      <c r="AZ99" s="33"/>
      <c r="BA99" s="33"/>
      <c r="BB99" s="33"/>
      <c r="BC99" s="33"/>
      <c r="BD99" s="33"/>
      <c r="BE99" s="33"/>
      <c r="BF99" s="33"/>
      <c r="BG99" s="33"/>
      <c r="BH99" s="33"/>
      <c r="BI99" s="33"/>
      <c r="BJ99" s="33"/>
      <c r="BK99" s="33"/>
      <c r="BL99" s="33"/>
      <c r="BM99" s="33"/>
      <c r="BN99" s="33"/>
      <c r="BO99" s="33"/>
      <c r="BP99" s="33"/>
      <c r="BQ99" s="33"/>
      <c r="BR99" s="33">
        <f t="shared" si="1"/>
        <v>0</v>
      </c>
      <c r="BS99" s="33">
        <f>SUMIFS('Data For Calculation - Insuranc'!I:I,'Data For Calculation - Insuranc'!$A:$A,$A99)</f>
        <v>0</v>
      </c>
      <c r="BT99" s="33">
        <f>SUMIFS('Data For Calculation - Insuranc'!J:J,'Data For Calculation - Insuranc'!$A:$A,$A99)</f>
        <v>0</v>
      </c>
      <c r="BU99" s="33">
        <f>SUMIFS('Data For Calculation - Insuranc'!K:K,'Data For Calculation - Insuranc'!$A:$A,$A99)</f>
        <v>0</v>
      </c>
      <c r="BV99" s="33">
        <f>IF($CC99 = "Dealer", SUMIFS('Data For Calculation - Insuranc'!I:I,'Data For Calculation - Insuranc'!$B:$B,$A99,'Data For Calculation - Insuranc'!$H:$H,"Master Dealer")) + SUMIFS('Data For Calculation - Insuranc'!I:I,'Data For Calculation - Insuranc'!$A:$A,$A99,'Data For Calculation - Insuranc'!$H:$H,"Self")</f>
        <v>0</v>
      </c>
      <c r="BW99" s="33">
        <f>IF($CC99 = "Dealer", SUMIFS('Data For Calculation - Insuranc'!J:J,'Data For Calculation - Insuranc'!$B:$B,$A99,'Data For Calculation - Insuranc'!$H:$H,"Master Dealer")) + SUMIFS('Data For Calculation - Insuranc'!J:J,'Data For Calculation - Insuranc'!$A:$A,$A99,'Data For Calculation - Insuranc'!$H:$H,"Self")</f>
        <v>0</v>
      </c>
      <c r="BX99" s="33">
        <f>IF($CC99 = "Dealer", SUMIFS('Data For Calculation - Insuranc'!K:K,'Data For Calculation - Insuranc'!$B:$B,$A99,'Data For Calculation - Insuranc'!$H:$H,"Master Dealer")) + SUMIFS('Data For Calculation - Insuranc'!K:K,'Data For Calculation - Insuranc'!$A:$A,$A99,'Data For Calculation - Insuranc'!$H:$H,"Self")</f>
        <v>0</v>
      </c>
      <c r="BY99" s="25" t="str">
        <f>(Sheet1!N99)</f>
        <v>Shivam Auto - Rohtak</v>
      </c>
      <c r="BZ99" s="25" t="str">
        <f>(Sheet1!O99)</f>
        <v>1nEWA1qF6Gna7lK-YjdC89uY5m1GPuTi_8hhe6AxW12M</v>
      </c>
      <c r="CA99" s="25" t="str">
        <f>(Sheet1!AV99)</f>
        <v/>
      </c>
      <c r="CB99" s="25" t="str">
        <f>(Sheet1!AW99)</f>
        <v/>
      </c>
      <c r="CC99" s="26" t="str">
        <f>(Sheet1!P99)</f>
        <v>Dealer</v>
      </c>
    </row>
    <row r="100">
      <c r="A100" s="25" t="str">
        <f>(Sheet1!A100)</f>
        <v>1ajtc9H9LQaAwROSG0sPyjJHA38yC9DyS1xGLXYi7kSg</v>
      </c>
      <c r="B100" s="25" t="str">
        <f>(Sheet1!B100)</f>
        <v>Singla Auto Agency- Tilpata</v>
      </c>
      <c r="C100" s="30" t="str">
        <f>Sheet1!BB100</f>
        <v>No</v>
      </c>
      <c r="D100" s="30" t="s">
        <v>13</v>
      </c>
      <c r="E100" s="34" t="s">
        <v>13</v>
      </c>
      <c r="F100" s="30" t="s">
        <v>3820</v>
      </c>
      <c r="G100" s="31">
        <v>290.0</v>
      </c>
      <c r="H100" s="34" t="s">
        <v>3853</v>
      </c>
      <c r="I100" s="34">
        <v>0.0</v>
      </c>
      <c r="J100" s="34">
        <v>100.0</v>
      </c>
      <c r="K100" s="34">
        <v>0.0</v>
      </c>
      <c r="L100" s="34">
        <v>0.0</v>
      </c>
      <c r="M100" s="33">
        <f>COUNTIFS('Data For Calculation - Insuranc'!A:A,A100,'Data For Calculation - Insuranc'!E:E,"CPA + RSA")</f>
        <v>0</v>
      </c>
      <c r="N100" s="30" t="s">
        <v>3820</v>
      </c>
      <c r="O100" s="31">
        <v>460.0</v>
      </c>
      <c r="P100" s="34" t="s">
        <v>3853</v>
      </c>
      <c r="Q100" s="34">
        <v>0.0</v>
      </c>
      <c r="R100" s="34">
        <v>100.0</v>
      </c>
      <c r="S100" s="34">
        <v>0.0</v>
      </c>
      <c r="T100" s="34">
        <v>0.0</v>
      </c>
      <c r="U100" s="33">
        <f>COUNTIFS('Data For Calculation - Insuranc'!A:A,A100,'Data For Calculation - Insuranc'!E:E,"CPA + RSA + AHDC + DOC")</f>
        <v>0</v>
      </c>
      <c r="V100" s="30" t="s">
        <v>3820</v>
      </c>
      <c r="W100" s="34">
        <v>838.99</v>
      </c>
      <c r="X100" s="34" t="s">
        <v>3853</v>
      </c>
      <c r="Y100" s="34">
        <v>0.0</v>
      </c>
      <c r="Z100" s="34">
        <v>100.0</v>
      </c>
      <c r="AA100" s="34">
        <v>0.0</v>
      </c>
      <c r="AB100" s="34">
        <v>0.0</v>
      </c>
      <c r="AC100" s="33">
        <f>COUNTIFS('Data For Calculation - Insuranc'!A:A,A100,'Data For Calculation - Insuranc'!E:E,"CPA + RSA : 5 Years")</f>
        <v>0</v>
      </c>
      <c r="AD100" s="30" t="s">
        <v>3820</v>
      </c>
      <c r="AE100" s="31">
        <v>838.99</v>
      </c>
      <c r="AF100" s="34" t="s">
        <v>3853</v>
      </c>
      <c r="AG100" s="34">
        <v>0.0</v>
      </c>
      <c r="AH100" s="34">
        <v>100.0</v>
      </c>
      <c r="AI100" s="34">
        <v>0.0</v>
      </c>
      <c r="AJ100" s="34">
        <v>0.0</v>
      </c>
      <c r="AK100" s="33">
        <f>COUNTIFS('Data For Calculation - Insuranc'!A:A,A100,'Data For Calculation - Insuranc'!E:E,"Assistance + CPA : 5 Years")</f>
        <v>0</v>
      </c>
      <c r="AL100" s="30" t="s">
        <v>3820</v>
      </c>
      <c r="AM100" s="31">
        <v>290.0</v>
      </c>
      <c r="AN100" s="34" t="s">
        <v>3853</v>
      </c>
      <c r="AO100" s="34">
        <v>0.0</v>
      </c>
      <c r="AP100" s="34">
        <v>100.0</v>
      </c>
      <c r="AQ100" s="34">
        <v>0.0</v>
      </c>
      <c r="AR100" s="34">
        <v>0.0</v>
      </c>
      <c r="AS100" s="33">
        <f>COUNTIFS('Data For Calculation - Insuranc'!A:A,A100,'Data For Calculation - Insuranc'!E:E,"RSA + AHDC + DOC")</f>
        <v>0</v>
      </c>
      <c r="AT100" s="33"/>
      <c r="AU100" s="33"/>
      <c r="AV100" s="33"/>
      <c r="AW100" s="33"/>
      <c r="AX100" s="33"/>
      <c r="AY100" s="33"/>
      <c r="AZ100" s="33"/>
      <c r="BA100" s="33"/>
      <c r="BB100" s="33"/>
      <c r="BC100" s="33"/>
      <c r="BD100" s="33"/>
      <c r="BE100" s="33"/>
      <c r="BF100" s="33"/>
      <c r="BG100" s="33"/>
      <c r="BH100" s="33"/>
      <c r="BI100" s="33"/>
      <c r="BJ100" s="33"/>
      <c r="BK100" s="33"/>
      <c r="BL100" s="33"/>
      <c r="BM100" s="33"/>
      <c r="BN100" s="33"/>
      <c r="BO100" s="33"/>
      <c r="BP100" s="33"/>
      <c r="BQ100" s="33"/>
      <c r="BR100" s="33">
        <f t="shared" si="1"/>
        <v>0</v>
      </c>
      <c r="BS100" s="33">
        <f>SUMIFS('Data For Calculation - Insuranc'!I:I,'Data For Calculation - Insuranc'!$A:$A,$A100)</f>
        <v>0</v>
      </c>
      <c r="BT100" s="33">
        <f>SUMIFS('Data For Calculation - Insuranc'!J:J,'Data For Calculation - Insuranc'!$A:$A,$A100)</f>
        <v>0</v>
      </c>
      <c r="BU100" s="33">
        <f>SUMIFS('Data For Calculation - Insuranc'!K:K,'Data For Calculation - Insuranc'!$A:$A,$A100)</f>
        <v>0</v>
      </c>
      <c r="BV100" s="33">
        <f>IF($CC100 = "Dealer", SUMIFS('Data For Calculation - Insuranc'!I:I,'Data For Calculation - Insuranc'!$B:$B,$A100,'Data For Calculation - Insuranc'!$H:$H,"Master Dealer")) + SUMIFS('Data For Calculation - Insuranc'!I:I,'Data For Calculation - Insuranc'!$A:$A,$A100,'Data For Calculation - Insuranc'!$H:$H,"Self")</f>
        <v>0</v>
      </c>
      <c r="BW100" s="33">
        <f>IF($CC100 = "Dealer", SUMIFS('Data For Calculation - Insuranc'!J:J,'Data For Calculation - Insuranc'!$B:$B,$A100,'Data For Calculation - Insuranc'!$H:$H,"Master Dealer")) + SUMIFS('Data For Calculation - Insuranc'!J:J,'Data For Calculation - Insuranc'!$A:$A,$A100,'Data For Calculation - Insuranc'!$H:$H,"Self")</f>
        <v>0</v>
      </c>
      <c r="BX100" s="33">
        <f>IF($CC100 = "Dealer", SUMIFS('Data For Calculation - Insuranc'!K:K,'Data For Calculation - Insuranc'!$B:$B,$A100,'Data For Calculation - Insuranc'!$H:$H,"Master Dealer")) + SUMIFS('Data For Calculation - Insuranc'!K:K,'Data For Calculation - Insuranc'!$A:$A,$A100,'Data For Calculation - Insuranc'!$H:$H,"Self")</f>
        <v>0</v>
      </c>
      <c r="BY100" s="25" t="str">
        <f>(Sheet1!N100)</f>
        <v>Singla Auto Agencies (Noida)</v>
      </c>
      <c r="BZ100" s="25" t="str">
        <f>(Sheet1!O100)</f>
        <v>1aig_7rzTvnQej6pxtLbGhfZNPUH2VLzHk2NHcxmPOhg</v>
      </c>
      <c r="CA100" s="25" t="str">
        <f>(Sheet1!AV100)</f>
        <v/>
      </c>
      <c r="CB100" s="25" t="str">
        <f>(Sheet1!AW100)</f>
        <v/>
      </c>
      <c r="CC100" s="26" t="str">
        <f>(Sheet1!P100)</f>
        <v>Sub Dealer</v>
      </c>
    </row>
    <row r="101">
      <c r="A101" s="25" t="str">
        <f>(Sheet1!A101)</f>
        <v>1RoojyyM-QnJWkU4BEw5RvwkrV0urtgRc4XGLN4gN_Y4</v>
      </c>
      <c r="B101" s="25" t="str">
        <f>(Sheet1!B101)</f>
        <v>Gaurav Automobiles - Safidon</v>
      </c>
      <c r="C101" s="30" t="str">
        <f>Sheet1!BB101</f>
        <v>No</v>
      </c>
      <c r="D101" s="30" t="s">
        <v>13</v>
      </c>
      <c r="E101" s="34" t="s">
        <v>13</v>
      </c>
      <c r="F101" s="30" t="s">
        <v>3817</v>
      </c>
      <c r="G101" s="31">
        <v>290.0</v>
      </c>
      <c r="H101" s="34" t="s">
        <v>3853</v>
      </c>
      <c r="I101" s="34">
        <v>0.0</v>
      </c>
      <c r="J101" s="34">
        <v>100.0</v>
      </c>
      <c r="K101" s="34">
        <v>0.0</v>
      </c>
      <c r="L101" s="34">
        <v>0.0</v>
      </c>
      <c r="M101" s="33">
        <f>COUNTIFS('Data For Calculation - Insuranc'!A:A,A101,'Data For Calculation - Insuranc'!E:E,"CPA + RSA")</f>
        <v>0</v>
      </c>
      <c r="N101" s="30" t="s">
        <v>3817</v>
      </c>
      <c r="O101" s="31">
        <v>460.0</v>
      </c>
      <c r="P101" s="34" t="s">
        <v>3853</v>
      </c>
      <c r="Q101" s="34">
        <v>0.0</v>
      </c>
      <c r="R101" s="34">
        <v>100.0</v>
      </c>
      <c r="S101" s="34">
        <v>0.0</v>
      </c>
      <c r="T101" s="34">
        <v>0.0</v>
      </c>
      <c r="U101" s="33">
        <f>COUNTIFS('Data For Calculation - Insuranc'!A:A,A101,'Data For Calculation - Insuranc'!E:E,"CPA + RSA + AHDC + DOC")</f>
        <v>0</v>
      </c>
      <c r="V101" s="30" t="s">
        <v>3817</v>
      </c>
      <c r="W101" s="34">
        <v>838.99</v>
      </c>
      <c r="X101" s="34" t="s">
        <v>3853</v>
      </c>
      <c r="Y101" s="34">
        <v>0.0</v>
      </c>
      <c r="Z101" s="34">
        <v>100.0</v>
      </c>
      <c r="AA101" s="34">
        <v>0.0</v>
      </c>
      <c r="AB101" s="34">
        <v>0.0</v>
      </c>
      <c r="AC101" s="33">
        <f>COUNTIFS('Data For Calculation - Insuranc'!A:A,A101,'Data For Calculation - Insuranc'!E:E,"CPA + RSA : 5 Years")</f>
        <v>0</v>
      </c>
      <c r="AD101" s="30" t="s">
        <v>3817</v>
      </c>
      <c r="AE101" s="31">
        <v>838.99</v>
      </c>
      <c r="AF101" s="34" t="s">
        <v>3853</v>
      </c>
      <c r="AG101" s="34">
        <v>0.0</v>
      </c>
      <c r="AH101" s="34">
        <v>100.0</v>
      </c>
      <c r="AI101" s="34">
        <v>0.0</v>
      </c>
      <c r="AJ101" s="34">
        <v>0.0</v>
      </c>
      <c r="AK101" s="33">
        <f>COUNTIFS('Data For Calculation - Insuranc'!A:A,A101,'Data For Calculation - Insuranc'!E:E,"Assistance + CPA : 5 Years")</f>
        <v>0</v>
      </c>
      <c r="AL101" s="30" t="s">
        <v>3817</v>
      </c>
      <c r="AM101" s="31">
        <v>290.0</v>
      </c>
      <c r="AN101" s="34" t="s">
        <v>3853</v>
      </c>
      <c r="AO101" s="34">
        <v>0.0</v>
      </c>
      <c r="AP101" s="34">
        <v>100.0</v>
      </c>
      <c r="AQ101" s="34">
        <v>0.0</v>
      </c>
      <c r="AR101" s="34">
        <v>0.0</v>
      </c>
      <c r="AS101" s="33">
        <f>COUNTIFS('Data For Calculation - Insuranc'!A:A,A101,'Data For Calculation - Insuranc'!E:E,"RSA + AHDC + DOC")</f>
        <v>0</v>
      </c>
      <c r="AT101" s="33"/>
      <c r="AU101" s="33"/>
      <c r="AV101" s="33"/>
      <c r="AW101" s="33"/>
      <c r="AX101" s="33"/>
      <c r="AY101" s="33"/>
      <c r="AZ101" s="33"/>
      <c r="BA101" s="33"/>
      <c r="BB101" s="33"/>
      <c r="BC101" s="33"/>
      <c r="BD101" s="33"/>
      <c r="BE101" s="33"/>
      <c r="BF101" s="33"/>
      <c r="BG101" s="33"/>
      <c r="BH101" s="33"/>
      <c r="BI101" s="33"/>
      <c r="BJ101" s="33"/>
      <c r="BK101" s="33"/>
      <c r="BL101" s="33"/>
      <c r="BM101" s="33"/>
      <c r="BN101" s="33"/>
      <c r="BO101" s="33"/>
      <c r="BP101" s="33"/>
      <c r="BQ101" s="33"/>
      <c r="BR101" s="33">
        <f t="shared" si="1"/>
        <v>0</v>
      </c>
      <c r="BS101" s="33">
        <f>SUMIFS('Data For Calculation - Insuranc'!I:I,'Data For Calculation - Insuranc'!$A:$A,$A101)</f>
        <v>0</v>
      </c>
      <c r="BT101" s="33">
        <f>SUMIFS('Data For Calculation - Insuranc'!J:J,'Data For Calculation - Insuranc'!$A:$A,$A101)</f>
        <v>0</v>
      </c>
      <c r="BU101" s="33">
        <f>SUMIFS('Data For Calculation - Insuranc'!K:K,'Data For Calculation - Insuranc'!$A:$A,$A101)</f>
        <v>0</v>
      </c>
      <c r="BV101" s="33">
        <f>IF($CC101 = "Dealer", SUMIFS('Data For Calculation - Insuranc'!I:I,'Data For Calculation - Insuranc'!$B:$B,$A101,'Data For Calculation - Insuranc'!$H:$H,"Master Dealer")) + SUMIFS('Data For Calculation - Insuranc'!I:I,'Data For Calculation - Insuranc'!$A:$A,$A101,'Data For Calculation - Insuranc'!$H:$H,"Self")</f>
        <v>0</v>
      </c>
      <c r="BW101" s="33">
        <f>IF($CC101 = "Dealer", SUMIFS('Data For Calculation - Insuranc'!J:J,'Data For Calculation - Insuranc'!$B:$B,$A101,'Data For Calculation - Insuranc'!$H:$H,"Master Dealer")) + SUMIFS('Data For Calculation - Insuranc'!J:J,'Data For Calculation - Insuranc'!$A:$A,$A101,'Data For Calculation - Insuranc'!$H:$H,"Self")</f>
        <v>0</v>
      </c>
      <c r="BX101" s="33">
        <f>IF($CC101 = "Dealer", SUMIFS('Data For Calculation - Insuranc'!K:K,'Data For Calculation - Insuranc'!$B:$B,$A101,'Data For Calculation - Insuranc'!$H:$H,"Master Dealer")) + SUMIFS('Data For Calculation - Insuranc'!K:K,'Data For Calculation - Insuranc'!$A:$A,$A101,'Data For Calculation - Insuranc'!$H:$H,"Self")</f>
        <v>0</v>
      </c>
      <c r="BY101" s="25" t="str">
        <f>(Sheet1!N101)</f>
        <v>National Automobile - Jind</v>
      </c>
      <c r="BZ101" s="25" t="str">
        <f>(Sheet1!O101)</f>
        <v>1KaEmNIMK0XXiIsA6XQ7GNELp4AsXjf8BnThrJvzVk2Q</v>
      </c>
      <c r="CA101" s="25" t="str">
        <f>(Sheet1!AV101)</f>
        <v/>
      </c>
      <c r="CB101" s="25" t="str">
        <f>(Sheet1!AW101)</f>
        <v/>
      </c>
      <c r="CC101" s="26" t="str">
        <f>(Sheet1!P101)</f>
        <v>Sub Dealer</v>
      </c>
    </row>
    <row r="102">
      <c r="A102" s="25" t="str">
        <f>(Sheet1!A102)</f>
        <v>1mvO39KISdJTTFZrNPXYSBSiguynUfxnAQ_H-EBPwdG4</v>
      </c>
      <c r="B102" s="25" t="str">
        <f>(Sheet1!B102)</f>
        <v>KANHA MOTORS</v>
      </c>
      <c r="C102" s="30" t="str">
        <f>Sheet1!BB102</f>
        <v>No</v>
      </c>
      <c r="D102" s="30" t="s">
        <v>13</v>
      </c>
      <c r="E102" s="34" t="s">
        <v>13</v>
      </c>
      <c r="F102" s="30" t="s">
        <v>3820</v>
      </c>
      <c r="G102" s="31">
        <v>290.0</v>
      </c>
      <c r="H102" s="34" t="s">
        <v>3853</v>
      </c>
      <c r="I102" s="34">
        <v>0.0</v>
      </c>
      <c r="J102" s="34">
        <v>100.0</v>
      </c>
      <c r="K102" s="34">
        <v>0.0</v>
      </c>
      <c r="L102" s="34">
        <v>0.0</v>
      </c>
      <c r="M102" s="33">
        <f>COUNTIFS('Data For Calculation - Insuranc'!A:A,A102,'Data For Calculation - Insuranc'!E:E,"CPA + RSA")</f>
        <v>0</v>
      </c>
      <c r="N102" s="30" t="s">
        <v>3820</v>
      </c>
      <c r="O102" s="31">
        <v>460.0</v>
      </c>
      <c r="P102" s="34" t="s">
        <v>3853</v>
      </c>
      <c r="Q102" s="34">
        <v>0.0</v>
      </c>
      <c r="R102" s="34">
        <v>100.0</v>
      </c>
      <c r="S102" s="34">
        <v>0.0</v>
      </c>
      <c r="T102" s="34">
        <v>0.0</v>
      </c>
      <c r="U102" s="33">
        <f>COUNTIFS('Data For Calculation - Insuranc'!A:A,A102,'Data For Calculation - Insuranc'!E:E,"CPA + RSA + AHDC + DOC")</f>
        <v>0</v>
      </c>
      <c r="V102" s="30" t="s">
        <v>3820</v>
      </c>
      <c r="W102" s="34">
        <v>838.99</v>
      </c>
      <c r="X102" s="34" t="s">
        <v>3853</v>
      </c>
      <c r="Y102" s="34">
        <v>0.0</v>
      </c>
      <c r="Z102" s="34">
        <v>100.0</v>
      </c>
      <c r="AA102" s="34">
        <v>0.0</v>
      </c>
      <c r="AB102" s="34">
        <v>0.0</v>
      </c>
      <c r="AC102" s="33">
        <f>COUNTIFS('Data For Calculation - Insuranc'!A:A,A102,'Data For Calculation - Insuranc'!E:E,"CPA + RSA : 5 Years")</f>
        <v>0</v>
      </c>
      <c r="AD102" s="30" t="s">
        <v>3820</v>
      </c>
      <c r="AE102" s="31">
        <v>838.99</v>
      </c>
      <c r="AF102" s="34" t="s">
        <v>3853</v>
      </c>
      <c r="AG102" s="34">
        <v>0.0</v>
      </c>
      <c r="AH102" s="34">
        <v>100.0</v>
      </c>
      <c r="AI102" s="34">
        <v>0.0</v>
      </c>
      <c r="AJ102" s="34">
        <v>0.0</v>
      </c>
      <c r="AK102" s="33">
        <f>COUNTIFS('Data For Calculation - Insuranc'!A:A,A102,'Data For Calculation - Insuranc'!E:E,"Assistance + CPA : 5 Years")</f>
        <v>0</v>
      </c>
      <c r="AL102" s="30" t="s">
        <v>3820</v>
      </c>
      <c r="AM102" s="31">
        <v>290.0</v>
      </c>
      <c r="AN102" s="34" t="s">
        <v>3853</v>
      </c>
      <c r="AO102" s="34">
        <v>0.0</v>
      </c>
      <c r="AP102" s="34">
        <v>100.0</v>
      </c>
      <c r="AQ102" s="34">
        <v>0.0</v>
      </c>
      <c r="AR102" s="34">
        <v>0.0</v>
      </c>
      <c r="AS102" s="33">
        <f>COUNTIFS('Data For Calculation - Insuranc'!A:A,A102,'Data For Calculation - Insuranc'!E:E,"RSA + AHDC + DOC")</f>
        <v>0</v>
      </c>
      <c r="AT102" s="33"/>
      <c r="AU102" s="33"/>
      <c r="AV102" s="33"/>
      <c r="AW102" s="33"/>
      <c r="AX102" s="33"/>
      <c r="AY102" s="33"/>
      <c r="AZ102" s="33"/>
      <c r="BA102" s="33"/>
      <c r="BB102" s="33"/>
      <c r="BC102" s="33"/>
      <c r="BD102" s="33"/>
      <c r="BE102" s="33"/>
      <c r="BF102" s="33"/>
      <c r="BG102" s="33"/>
      <c r="BH102" s="33"/>
      <c r="BI102" s="33"/>
      <c r="BJ102" s="33"/>
      <c r="BK102" s="33"/>
      <c r="BL102" s="33"/>
      <c r="BM102" s="33"/>
      <c r="BN102" s="33"/>
      <c r="BO102" s="33"/>
      <c r="BP102" s="33"/>
      <c r="BQ102" s="33"/>
      <c r="BR102" s="33">
        <f t="shared" si="1"/>
        <v>0</v>
      </c>
      <c r="BS102" s="33">
        <f>SUMIFS('Data For Calculation - Insuranc'!I:I,'Data For Calculation - Insuranc'!$A:$A,$A102)</f>
        <v>0</v>
      </c>
      <c r="BT102" s="33">
        <f>SUMIFS('Data For Calculation - Insuranc'!J:J,'Data For Calculation - Insuranc'!$A:$A,$A102)</f>
        <v>0</v>
      </c>
      <c r="BU102" s="33">
        <f>SUMIFS('Data For Calculation - Insuranc'!K:K,'Data For Calculation - Insuranc'!$A:$A,$A102)</f>
        <v>0</v>
      </c>
      <c r="BV102" s="33">
        <f>IF($CC102 = "Dealer", SUMIFS('Data For Calculation - Insuranc'!I:I,'Data For Calculation - Insuranc'!$B:$B,$A102,'Data For Calculation - Insuranc'!$H:$H,"Master Dealer")) + SUMIFS('Data For Calculation - Insuranc'!I:I,'Data For Calculation - Insuranc'!$A:$A,$A102,'Data For Calculation - Insuranc'!$H:$H,"Self")</f>
        <v>0</v>
      </c>
      <c r="BW102" s="33">
        <f>IF($CC102 = "Dealer", SUMIFS('Data For Calculation - Insuranc'!J:J,'Data For Calculation - Insuranc'!$B:$B,$A102,'Data For Calculation - Insuranc'!$H:$H,"Master Dealer")) + SUMIFS('Data For Calculation - Insuranc'!J:J,'Data For Calculation - Insuranc'!$A:$A,$A102,'Data For Calculation - Insuranc'!$H:$H,"Self")</f>
        <v>0</v>
      </c>
      <c r="BX102" s="33">
        <f>IF($CC102 = "Dealer", SUMIFS('Data For Calculation - Insuranc'!K:K,'Data For Calculation - Insuranc'!$B:$B,$A102,'Data For Calculation - Insuranc'!$H:$H,"Master Dealer")) + SUMIFS('Data For Calculation - Insuranc'!K:K,'Data For Calculation - Insuranc'!$A:$A,$A102,'Data For Calculation - Insuranc'!$H:$H,"Self")</f>
        <v>0</v>
      </c>
      <c r="BY102" s="25" t="str">
        <f>(Sheet1!N102)</f>
        <v>Shri Durga Motors</v>
      </c>
      <c r="BZ102" s="25" t="str">
        <f>(Sheet1!O102)</f>
        <v>1LnxzSZR-Hn1GFJEM91CqSDi8yQ1-11OqyVT04QUkFAM</v>
      </c>
      <c r="CA102" s="25" t="str">
        <f>(Sheet1!AV102)</f>
        <v/>
      </c>
      <c r="CB102" s="25" t="str">
        <f>(Sheet1!AW102)</f>
        <v/>
      </c>
      <c r="CC102" s="26" t="str">
        <f>(Sheet1!P102)</f>
        <v>Sub Dealer</v>
      </c>
    </row>
    <row r="103">
      <c r="A103" s="25" t="str">
        <f>(Sheet1!A103)</f>
        <v>1RuulKhAraOSJneBIfAUOQbLBn9JvoSu3eYaWMZ5M-aI</v>
      </c>
      <c r="B103" s="25" t="str">
        <f>(Sheet1!B103)</f>
        <v>RINKU AUTOMOBILES</v>
      </c>
      <c r="C103" s="30" t="str">
        <f>Sheet1!BB103</f>
        <v>No</v>
      </c>
      <c r="D103" s="30" t="s">
        <v>13</v>
      </c>
      <c r="E103" s="34" t="s">
        <v>13</v>
      </c>
      <c r="F103" s="30" t="s">
        <v>3820</v>
      </c>
      <c r="G103" s="31">
        <v>290.0</v>
      </c>
      <c r="H103" s="34" t="s">
        <v>3853</v>
      </c>
      <c r="I103" s="34">
        <v>0.0</v>
      </c>
      <c r="J103" s="34">
        <v>100.0</v>
      </c>
      <c r="K103" s="34">
        <v>0.0</v>
      </c>
      <c r="L103" s="34">
        <v>0.0</v>
      </c>
      <c r="M103" s="33">
        <f>COUNTIFS('Data For Calculation - Insuranc'!A:A,A103,'Data For Calculation - Insuranc'!E:E,"CPA + RSA")</f>
        <v>0</v>
      </c>
      <c r="N103" s="30" t="s">
        <v>3820</v>
      </c>
      <c r="O103" s="31">
        <v>460.0</v>
      </c>
      <c r="P103" s="34" t="s">
        <v>3853</v>
      </c>
      <c r="Q103" s="34">
        <v>0.0</v>
      </c>
      <c r="R103" s="34">
        <v>100.0</v>
      </c>
      <c r="S103" s="34">
        <v>0.0</v>
      </c>
      <c r="T103" s="34">
        <v>0.0</v>
      </c>
      <c r="U103" s="33">
        <f>COUNTIFS('Data For Calculation - Insuranc'!A:A,A103,'Data For Calculation - Insuranc'!E:E,"CPA + RSA + AHDC + DOC")</f>
        <v>0</v>
      </c>
      <c r="V103" s="30" t="s">
        <v>3820</v>
      </c>
      <c r="W103" s="34">
        <v>838.99</v>
      </c>
      <c r="X103" s="34" t="s">
        <v>3853</v>
      </c>
      <c r="Y103" s="34">
        <v>0.0</v>
      </c>
      <c r="Z103" s="34">
        <v>100.0</v>
      </c>
      <c r="AA103" s="34">
        <v>0.0</v>
      </c>
      <c r="AB103" s="34">
        <v>0.0</v>
      </c>
      <c r="AC103" s="33">
        <f>COUNTIFS('Data For Calculation - Insuranc'!A:A,A103,'Data For Calculation - Insuranc'!E:E,"CPA + RSA : 5 Years")</f>
        <v>0</v>
      </c>
      <c r="AD103" s="30" t="s">
        <v>3820</v>
      </c>
      <c r="AE103" s="31">
        <v>838.99</v>
      </c>
      <c r="AF103" s="34" t="s">
        <v>3853</v>
      </c>
      <c r="AG103" s="34">
        <v>0.0</v>
      </c>
      <c r="AH103" s="34">
        <v>100.0</v>
      </c>
      <c r="AI103" s="34">
        <v>0.0</v>
      </c>
      <c r="AJ103" s="34">
        <v>0.0</v>
      </c>
      <c r="AK103" s="33">
        <f>COUNTIFS('Data For Calculation - Insuranc'!A:A,A103,'Data For Calculation - Insuranc'!E:E,"Assistance + CPA : 5 Years")</f>
        <v>0</v>
      </c>
      <c r="AL103" s="30" t="s">
        <v>3820</v>
      </c>
      <c r="AM103" s="31">
        <v>290.0</v>
      </c>
      <c r="AN103" s="34" t="s">
        <v>3853</v>
      </c>
      <c r="AO103" s="34">
        <v>0.0</v>
      </c>
      <c r="AP103" s="34">
        <v>100.0</v>
      </c>
      <c r="AQ103" s="34">
        <v>0.0</v>
      </c>
      <c r="AR103" s="34">
        <v>0.0</v>
      </c>
      <c r="AS103" s="33">
        <f>COUNTIFS('Data For Calculation - Insuranc'!A:A,A103,'Data For Calculation - Insuranc'!E:E,"RSA + AHDC + DOC")</f>
        <v>0</v>
      </c>
      <c r="AT103" s="33"/>
      <c r="AU103" s="33"/>
      <c r="AV103" s="33"/>
      <c r="AW103" s="33"/>
      <c r="AX103" s="33"/>
      <c r="AY103" s="33"/>
      <c r="AZ103" s="33"/>
      <c r="BA103" s="33"/>
      <c r="BB103" s="33"/>
      <c r="BC103" s="33"/>
      <c r="BD103" s="33"/>
      <c r="BE103" s="33"/>
      <c r="BF103" s="33"/>
      <c r="BG103" s="33"/>
      <c r="BH103" s="33"/>
      <c r="BI103" s="33"/>
      <c r="BJ103" s="33"/>
      <c r="BK103" s="33"/>
      <c r="BL103" s="33"/>
      <c r="BM103" s="33"/>
      <c r="BN103" s="33"/>
      <c r="BO103" s="33"/>
      <c r="BP103" s="33"/>
      <c r="BQ103" s="33"/>
      <c r="BR103" s="33">
        <f t="shared" si="1"/>
        <v>0</v>
      </c>
      <c r="BS103" s="33">
        <f>SUMIFS('Data For Calculation - Insuranc'!I:I,'Data For Calculation - Insuranc'!$A:$A,$A103)</f>
        <v>0</v>
      </c>
      <c r="BT103" s="33">
        <f>SUMIFS('Data For Calculation - Insuranc'!J:J,'Data For Calculation - Insuranc'!$A:$A,$A103)</f>
        <v>0</v>
      </c>
      <c r="BU103" s="33">
        <f>SUMIFS('Data For Calculation - Insuranc'!K:K,'Data For Calculation - Insuranc'!$A:$A,$A103)</f>
        <v>0</v>
      </c>
      <c r="BV103" s="33">
        <f>IF($CC103 = "Dealer", SUMIFS('Data For Calculation - Insuranc'!I:I,'Data For Calculation - Insuranc'!$B:$B,$A103,'Data For Calculation - Insuranc'!$H:$H,"Master Dealer")) + SUMIFS('Data For Calculation - Insuranc'!I:I,'Data For Calculation - Insuranc'!$A:$A,$A103,'Data For Calculation - Insuranc'!$H:$H,"Self")</f>
        <v>0</v>
      </c>
      <c r="BW103" s="33">
        <f>IF($CC103 = "Dealer", SUMIFS('Data For Calculation - Insuranc'!J:J,'Data For Calculation - Insuranc'!$B:$B,$A103,'Data For Calculation - Insuranc'!$H:$H,"Master Dealer")) + SUMIFS('Data For Calculation - Insuranc'!J:J,'Data For Calculation - Insuranc'!$A:$A,$A103,'Data For Calculation - Insuranc'!$H:$H,"Self")</f>
        <v>0</v>
      </c>
      <c r="BX103" s="33">
        <f>IF($CC103 = "Dealer", SUMIFS('Data For Calculation - Insuranc'!K:K,'Data For Calculation - Insuranc'!$B:$B,$A103,'Data For Calculation - Insuranc'!$H:$H,"Master Dealer")) + SUMIFS('Data For Calculation - Insuranc'!K:K,'Data For Calculation - Insuranc'!$A:$A,$A103,'Data For Calculation - Insuranc'!$H:$H,"Self")</f>
        <v>0</v>
      </c>
      <c r="BY103" s="25" t="str">
        <f>(Sheet1!N103)</f>
        <v>Shri Durga Motors</v>
      </c>
      <c r="BZ103" s="25" t="str">
        <f>(Sheet1!O103)</f>
        <v>1LnxzSZR-Hn1GFJEM91CqSDi8yQ1-11OqyVT04QUkFAM</v>
      </c>
      <c r="CA103" s="25" t="str">
        <f>(Sheet1!AV103)</f>
        <v/>
      </c>
      <c r="CB103" s="25" t="str">
        <f>(Sheet1!AW103)</f>
        <v/>
      </c>
      <c r="CC103" s="26" t="str">
        <f>(Sheet1!P103)</f>
        <v>Sub Dealer</v>
      </c>
    </row>
    <row r="104">
      <c r="A104" s="25" t="str">
        <f>(Sheet1!A104)</f>
        <v>1Z4ZANLU0BXFj5_cuQpCVhqL-_dbEpnMn3rbGL3bya7g</v>
      </c>
      <c r="B104" s="25" t="str">
        <f>(Sheet1!B104)</f>
        <v>TRIAMBIKE MOTORS</v>
      </c>
      <c r="C104" s="30" t="str">
        <f>Sheet1!BB104</f>
        <v>No</v>
      </c>
      <c r="D104" s="30" t="s">
        <v>13</v>
      </c>
      <c r="E104" s="34" t="s">
        <v>13</v>
      </c>
      <c r="F104" s="30" t="s">
        <v>3820</v>
      </c>
      <c r="G104" s="31">
        <v>290.0</v>
      </c>
      <c r="H104" s="34" t="s">
        <v>3853</v>
      </c>
      <c r="I104" s="34">
        <v>0.0</v>
      </c>
      <c r="J104" s="34">
        <v>100.0</v>
      </c>
      <c r="K104" s="34">
        <v>0.0</v>
      </c>
      <c r="L104" s="34">
        <v>0.0</v>
      </c>
      <c r="M104" s="33">
        <f>COUNTIFS('Data For Calculation - Insuranc'!A:A,A104,'Data For Calculation - Insuranc'!E:E,"CPA + RSA")</f>
        <v>0</v>
      </c>
      <c r="N104" s="30" t="s">
        <v>3820</v>
      </c>
      <c r="O104" s="31">
        <v>460.0</v>
      </c>
      <c r="P104" s="34" t="s">
        <v>3853</v>
      </c>
      <c r="Q104" s="34">
        <v>0.0</v>
      </c>
      <c r="R104" s="34">
        <v>100.0</v>
      </c>
      <c r="S104" s="34">
        <v>0.0</v>
      </c>
      <c r="T104" s="34">
        <v>0.0</v>
      </c>
      <c r="U104" s="33">
        <f>COUNTIFS('Data For Calculation - Insuranc'!A:A,A104,'Data For Calculation - Insuranc'!E:E,"CPA + RSA + AHDC + DOC")</f>
        <v>0</v>
      </c>
      <c r="V104" s="30" t="s">
        <v>3820</v>
      </c>
      <c r="W104" s="34">
        <v>838.99</v>
      </c>
      <c r="X104" s="34" t="s">
        <v>3853</v>
      </c>
      <c r="Y104" s="34">
        <v>0.0</v>
      </c>
      <c r="Z104" s="34">
        <v>100.0</v>
      </c>
      <c r="AA104" s="34">
        <v>0.0</v>
      </c>
      <c r="AB104" s="34">
        <v>0.0</v>
      </c>
      <c r="AC104" s="33">
        <f>COUNTIFS('Data For Calculation - Insuranc'!A:A,A104,'Data For Calculation - Insuranc'!E:E,"CPA + RSA : 5 Years")</f>
        <v>0</v>
      </c>
      <c r="AD104" s="30" t="s">
        <v>3820</v>
      </c>
      <c r="AE104" s="31">
        <v>838.99</v>
      </c>
      <c r="AF104" s="34" t="s">
        <v>3853</v>
      </c>
      <c r="AG104" s="34">
        <v>0.0</v>
      </c>
      <c r="AH104" s="34">
        <v>100.0</v>
      </c>
      <c r="AI104" s="34">
        <v>0.0</v>
      </c>
      <c r="AJ104" s="34">
        <v>0.0</v>
      </c>
      <c r="AK104" s="33">
        <f>COUNTIFS('Data For Calculation - Insuranc'!A:A,A104,'Data For Calculation - Insuranc'!E:E,"Assistance + CPA : 5 Years")</f>
        <v>0</v>
      </c>
      <c r="AL104" s="30" t="s">
        <v>3820</v>
      </c>
      <c r="AM104" s="31">
        <v>290.0</v>
      </c>
      <c r="AN104" s="34" t="s">
        <v>3853</v>
      </c>
      <c r="AO104" s="34">
        <v>0.0</v>
      </c>
      <c r="AP104" s="34">
        <v>100.0</v>
      </c>
      <c r="AQ104" s="34">
        <v>0.0</v>
      </c>
      <c r="AR104" s="34">
        <v>0.0</v>
      </c>
      <c r="AS104" s="33">
        <f>COUNTIFS('Data For Calculation - Insuranc'!A:A,A104,'Data For Calculation - Insuranc'!E:E,"RSA + AHDC + DOC")</f>
        <v>0</v>
      </c>
      <c r="AT104" s="33"/>
      <c r="AU104" s="33"/>
      <c r="AV104" s="33"/>
      <c r="AW104" s="33"/>
      <c r="AX104" s="33"/>
      <c r="AY104" s="33"/>
      <c r="AZ104" s="33"/>
      <c r="BA104" s="33"/>
      <c r="BB104" s="33"/>
      <c r="BC104" s="33"/>
      <c r="BD104" s="33"/>
      <c r="BE104" s="33"/>
      <c r="BF104" s="33"/>
      <c r="BG104" s="33"/>
      <c r="BH104" s="33"/>
      <c r="BI104" s="33"/>
      <c r="BJ104" s="33"/>
      <c r="BK104" s="33"/>
      <c r="BL104" s="33"/>
      <c r="BM104" s="33"/>
      <c r="BN104" s="33"/>
      <c r="BO104" s="33"/>
      <c r="BP104" s="33"/>
      <c r="BQ104" s="33"/>
      <c r="BR104" s="33">
        <f t="shared" si="1"/>
        <v>0</v>
      </c>
      <c r="BS104" s="33">
        <f>SUMIFS('Data For Calculation - Insuranc'!I:I,'Data For Calculation - Insuranc'!$A:$A,$A104)</f>
        <v>0</v>
      </c>
      <c r="BT104" s="33">
        <f>SUMIFS('Data For Calculation - Insuranc'!J:J,'Data For Calculation - Insuranc'!$A:$A,$A104)</f>
        <v>0</v>
      </c>
      <c r="BU104" s="33">
        <f>SUMIFS('Data For Calculation - Insuranc'!K:K,'Data For Calculation - Insuranc'!$A:$A,$A104)</f>
        <v>0</v>
      </c>
      <c r="BV104" s="33">
        <f>IF($CC104 = "Dealer", SUMIFS('Data For Calculation - Insuranc'!I:I,'Data For Calculation - Insuranc'!$B:$B,$A104,'Data For Calculation - Insuranc'!$H:$H,"Master Dealer")) + SUMIFS('Data For Calculation - Insuranc'!I:I,'Data For Calculation - Insuranc'!$A:$A,$A104,'Data For Calculation - Insuranc'!$H:$H,"Self")</f>
        <v>0</v>
      </c>
      <c r="BW104" s="33">
        <f>IF($CC104 = "Dealer", SUMIFS('Data For Calculation - Insuranc'!J:J,'Data For Calculation - Insuranc'!$B:$B,$A104,'Data For Calculation - Insuranc'!$H:$H,"Master Dealer")) + SUMIFS('Data For Calculation - Insuranc'!J:J,'Data For Calculation - Insuranc'!$A:$A,$A104,'Data For Calculation - Insuranc'!$H:$H,"Self")</f>
        <v>0</v>
      </c>
      <c r="BX104" s="33">
        <f>IF($CC104 = "Dealer", SUMIFS('Data For Calculation - Insuranc'!K:K,'Data For Calculation - Insuranc'!$B:$B,$A104,'Data For Calculation - Insuranc'!$H:$H,"Master Dealer")) + SUMIFS('Data For Calculation - Insuranc'!K:K,'Data For Calculation - Insuranc'!$A:$A,$A104,'Data For Calculation - Insuranc'!$H:$H,"Self")</f>
        <v>0</v>
      </c>
      <c r="BY104" s="25" t="str">
        <f>(Sheet1!N104)</f>
        <v>Shri Durga Motors</v>
      </c>
      <c r="BZ104" s="25" t="str">
        <f>(Sheet1!O104)</f>
        <v>1LnxzSZR-Hn1GFJEM91CqSDi8yQ1-11OqyVT04QUkFAM</v>
      </c>
      <c r="CA104" s="25" t="str">
        <f>(Sheet1!AV104)</f>
        <v/>
      </c>
      <c r="CB104" s="25" t="str">
        <f>(Sheet1!AW104)</f>
        <v/>
      </c>
      <c r="CC104" s="26" t="str">
        <f>(Sheet1!P104)</f>
        <v>Sub Dealer</v>
      </c>
    </row>
    <row r="105">
      <c r="A105" s="25" t="str">
        <f>(Sheet1!A105)</f>
        <v>1fUQnKuEtcNauUdHQbe2Uqem42il1atlCNxeSWUXTiaA</v>
      </c>
      <c r="B105" s="25" t="str">
        <f>(Sheet1!B105)</f>
        <v>TRIAMBIKE MOTORS</v>
      </c>
      <c r="C105" s="30" t="str">
        <f>Sheet1!BB105</f>
        <v>No</v>
      </c>
      <c r="D105" s="30" t="s">
        <v>13</v>
      </c>
      <c r="E105" s="34" t="s">
        <v>13</v>
      </c>
      <c r="F105" s="30" t="s">
        <v>3820</v>
      </c>
      <c r="G105" s="31">
        <v>290.0</v>
      </c>
      <c r="H105" s="34" t="s">
        <v>3853</v>
      </c>
      <c r="I105" s="34">
        <v>0.0</v>
      </c>
      <c r="J105" s="34">
        <v>100.0</v>
      </c>
      <c r="K105" s="34">
        <v>0.0</v>
      </c>
      <c r="L105" s="34">
        <v>0.0</v>
      </c>
      <c r="M105" s="33">
        <f>COUNTIFS('Data For Calculation - Insuranc'!A:A,A105,'Data For Calculation - Insuranc'!E:E,"CPA + RSA")</f>
        <v>0</v>
      </c>
      <c r="N105" s="30" t="s">
        <v>3820</v>
      </c>
      <c r="O105" s="31">
        <v>460.0</v>
      </c>
      <c r="P105" s="34" t="s">
        <v>3853</v>
      </c>
      <c r="Q105" s="34">
        <v>0.0</v>
      </c>
      <c r="R105" s="34">
        <v>100.0</v>
      </c>
      <c r="S105" s="34">
        <v>0.0</v>
      </c>
      <c r="T105" s="34">
        <v>0.0</v>
      </c>
      <c r="U105" s="33">
        <f>COUNTIFS('Data For Calculation - Insuranc'!A:A,A105,'Data For Calculation - Insuranc'!E:E,"CPA + RSA + AHDC + DOC")</f>
        <v>0</v>
      </c>
      <c r="V105" s="30" t="s">
        <v>3820</v>
      </c>
      <c r="W105" s="34">
        <v>838.99</v>
      </c>
      <c r="X105" s="34" t="s">
        <v>3853</v>
      </c>
      <c r="Y105" s="34">
        <v>0.0</v>
      </c>
      <c r="Z105" s="34">
        <v>100.0</v>
      </c>
      <c r="AA105" s="34">
        <v>0.0</v>
      </c>
      <c r="AB105" s="34">
        <v>0.0</v>
      </c>
      <c r="AC105" s="33">
        <f>COUNTIFS('Data For Calculation - Insuranc'!A:A,A105,'Data For Calculation - Insuranc'!E:E,"CPA + RSA : 5 Years")</f>
        <v>0</v>
      </c>
      <c r="AD105" s="30" t="s">
        <v>3820</v>
      </c>
      <c r="AE105" s="31">
        <v>838.99</v>
      </c>
      <c r="AF105" s="34" t="s">
        <v>3853</v>
      </c>
      <c r="AG105" s="34">
        <v>0.0</v>
      </c>
      <c r="AH105" s="34">
        <v>100.0</v>
      </c>
      <c r="AI105" s="34">
        <v>0.0</v>
      </c>
      <c r="AJ105" s="34">
        <v>0.0</v>
      </c>
      <c r="AK105" s="33">
        <f>COUNTIFS('Data For Calculation - Insuranc'!A:A,A105,'Data For Calculation - Insuranc'!E:E,"Assistance + CPA : 5 Years")</f>
        <v>0</v>
      </c>
      <c r="AL105" s="30" t="s">
        <v>3820</v>
      </c>
      <c r="AM105" s="31">
        <v>290.0</v>
      </c>
      <c r="AN105" s="34" t="s">
        <v>3853</v>
      </c>
      <c r="AO105" s="34">
        <v>0.0</v>
      </c>
      <c r="AP105" s="34">
        <v>100.0</v>
      </c>
      <c r="AQ105" s="34">
        <v>0.0</v>
      </c>
      <c r="AR105" s="34">
        <v>0.0</v>
      </c>
      <c r="AS105" s="33">
        <f>COUNTIFS('Data For Calculation - Insuranc'!A:A,A105,'Data For Calculation - Insuranc'!E:E,"RSA + AHDC + DOC")</f>
        <v>0</v>
      </c>
      <c r="AT105" s="33"/>
      <c r="AU105" s="33"/>
      <c r="AV105" s="33"/>
      <c r="AW105" s="33"/>
      <c r="AX105" s="33"/>
      <c r="AY105" s="33"/>
      <c r="AZ105" s="33"/>
      <c r="BA105" s="33"/>
      <c r="BB105" s="33"/>
      <c r="BC105" s="33"/>
      <c r="BD105" s="33"/>
      <c r="BE105" s="33"/>
      <c r="BF105" s="33"/>
      <c r="BG105" s="33"/>
      <c r="BH105" s="33"/>
      <c r="BI105" s="33"/>
      <c r="BJ105" s="33"/>
      <c r="BK105" s="33"/>
      <c r="BL105" s="33"/>
      <c r="BM105" s="33"/>
      <c r="BN105" s="33"/>
      <c r="BO105" s="33"/>
      <c r="BP105" s="33"/>
      <c r="BQ105" s="33"/>
      <c r="BR105" s="33">
        <f t="shared" si="1"/>
        <v>0</v>
      </c>
      <c r="BS105" s="33">
        <f>SUMIFS('Data For Calculation - Insuranc'!I:I,'Data For Calculation - Insuranc'!$A:$A,$A105)</f>
        <v>0</v>
      </c>
      <c r="BT105" s="33">
        <f>SUMIFS('Data For Calculation - Insuranc'!J:J,'Data For Calculation - Insuranc'!$A:$A,$A105)</f>
        <v>0</v>
      </c>
      <c r="BU105" s="33">
        <f>SUMIFS('Data For Calculation - Insuranc'!K:K,'Data For Calculation - Insuranc'!$A:$A,$A105)</f>
        <v>0</v>
      </c>
      <c r="BV105" s="33">
        <f>IF($CC105 = "Dealer", SUMIFS('Data For Calculation - Insuranc'!I:I,'Data For Calculation - Insuranc'!$B:$B,$A105,'Data For Calculation - Insuranc'!$H:$H,"Master Dealer")) + SUMIFS('Data For Calculation - Insuranc'!I:I,'Data For Calculation - Insuranc'!$A:$A,$A105,'Data For Calculation - Insuranc'!$H:$H,"Self")</f>
        <v>0</v>
      </c>
      <c r="BW105" s="33">
        <f>IF($CC105 = "Dealer", SUMIFS('Data For Calculation - Insuranc'!J:J,'Data For Calculation - Insuranc'!$B:$B,$A105,'Data For Calculation - Insuranc'!$H:$H,"Master Dealer")) + SUMIFS('Data For Calculation - Insuranc'!J:J,'Data For Calculation - Insuranc'!$A:$A,$A105,'Data For Calculation - Insuranc'!$H:$H,"Self")</f>
        <v>0</v>
      </c>
      <c r="BX105" s="33">
        <f>IF($CC105 = "Dealer", SUMIFS('Data For Calculation - Insuranc'!K:K,'Data For Calculation - Insuranc'!$B:$B,$A105,'Data For Calculation - Insuranc'!$H:$H,"Master Dealer")) + SUMIFS('Data For Calculation - Insuranc'!K:K,'Data For Calculation - Insuranc'!$A:$A,$A105,'Data For Calculation - Insuranc'!$H:$H,"Self")</f>
        <v>0</v>
      </c>
      <c r="BY105" s="25" t="str">
        <f>(Sheet1!N105)</f>
        <v>Shri Durga Motors</v>
      </c>
      <c r="BZ105" s="25" t="str">
        <f>(Sheet1!O105)</f>
        <v>1LnxzSZR-Hn1GFJEM91CqSDi8yQ1-11OqyVT04QUkFAM</v>
      </c>
      <c r="CA105" s="25" t="str">
        <f>(Sheet1!AV105)</f>
        <v/>
      </c>
      <c r="CB105" s="25" t="str">
        <f>(Sheet1!AW105)</f>
        <v/>
      </c>
      <c r="CC105" s="26" t="str">
        <f>(Sheet1!P105)</f>
        <v>Sub Dealer</v>
      </c>
    </row>
    <row r="106">
      <c r="A106" s="25" t="str">
        <f>(Sheet1!A106)</f>
        <v>11B-8kSH0gJgoCgMmv0w8C_6P4qZyG7h6hdldCVMJqNA</v>
      </c>
      <c r="B106" s="25" t="str">
        <f>(Sheet1!B106)</f>
        <v>AGARSEN AUTOMOBILE</v>
      </c>
      <c r="C106" s="30" t="str">
        <f>Sheet1!BB106</f>
        <v>No</v>
      </c>
      <c r="D106" s="30" t="s">
        <v>13</v>
      </c>
      <c r="E106" s="34" t="s">
        <v>13</v>
      </c>
      <c r="F106" s="30" t="s">
        <v>3820</v>
      </c>
      <c r="G106" s="31">
        <v>290.0</v>
      </c>
      <c r="H106" s="34" t="s">
        <v>3853</v>
      </c>
      <c r="I106" s="34">
        <v>0.0</v>
      </c>
      <c r="J106" s="34">
        <v>100.0</v>
      </c>
      <c r="K106" s="34">
        <v>0.0</v>
      </c>
      <c r="L106" s="34">
        <v>0.0</v>
      </c>
      <c r="M106" s="33">
        <f>COUNTIFS('Data For Calculation - Insuranc'!A:A,A106,'Data For Calculation - Insuranc'!E:E,"CPA + RSA")</f>
        <v>0</v>
      </c>
      <c r="N106" s="30" t="s">
        <v>3820</v>
      </c>
      <c r="O106" s="31">
        <v>460.0</v>
      </c>
      <c r="P106" s="34" t="s">
        <v>3853</v>
      </c>
      <c r="Q106" s="34">
        <v>0.0</v>
      </c>
      <c r="R106" s="34">
        <v>100.0</v>
      </c>
      <c r="S106" s="34">
        <v>0.0</v>
      </c>
      <c r="T106" s="34">
        <v>0.0</v>
      </c>
      <c r="U106" s="33">
        <f>COUNTIFS('Data For Calculation - Insuranc'!A:A,A106,'Data For Calculation - Insuranc'!E:E,"CPA + RSA + AHDC + DOC")</f>
        <v>0</v>
      </c>
      <c r="V106" s="30" t="s">
        <v>3820</v>
      </c>
      <c r="W106" s="34">
        <v>838.99</v>
      </c>
      <c r="X106" s="34" t="s">
        <v>3853</v>
      </c>
      <c r="Y106" s="34">
        <v>0.0</v>
      </c>
      <c r="Z106" s="34">
        <v>100.0</v>
      </c>
      <c r="AA106" s="34">
        <v>0.0</v>
      </c>
      <c r="AB106" s="34">
        <v>0.0</v>
      </c>
      <c r="AC106" s="33">
        <f>COUNTIFS('Data For Calculation - Insuranc'!A:A,A106,'Data For Calculation - Insuranc'!E:E,"CPA + RSA : 5 Years")</f>
        <v>0</v>
      </c>
      <c r="AD106" s="30" t="s">
        <v>3820</v>
      </c>
      <c r="AE106" s="31">
        <v>838.99</v>
      </c>
      <c r="AF106" s="34" t="s">
        <v>3853</v>
      </c>
      <c r="AG106" s="34">
        <v>0.0</v>
      </c>
      <c r="AH106" s="34">
        <v>100.0</v>
      </c>
      <c r="AI106" s="34">
        <v>0.0</v>
      </c>
      <c r="AJ106" s="34">
        <v>0.0</v>
      </c>
      <c r="AK106" s="33">
        <f>COUNTIFS('Data For Calculation - Insuranc'!A:A,A106,'Data For Calculation - Insuranc'!E:E,"Assistance + CPA : 5 Years")</f>
        <v>0</v>
      </c>
      <c r="AL106" s="30" t="s">
        <v>3820</v>
      </c>
      <c r="AM106" s="31">
        <v>290.0</v>
      </c>
      <c r="AN106" s="34" t="s">
        <v>3853</v>
      </c>
      <c r="AO106" s="34">
        <v>0.0</v>
      </c>
      <c r="AP106" s="34">
        <v>100.0</v>
      </c>
      <c r="AQ106" s="34">
        <v>0.0</v>
      </c>
      <c r="AR106" s="34">
        <v>0.0</v>
      </c>
      <c r="AS106" s="33">
        <f>COUNTIFS('Data For Calculation - Insuranc'!A:A,A106,'Data For Calculation - Insuranc'!E:E,"RSA + AHDC + DOC")</f>
        <v>0</v>
      </c>
      <c r="AT106" s="33"/>
      <c r="AU106" s="33"/>
      <c r="AV106" s="33"/>
      <c r="AW106" s="33"/>
      <c r="AX106" s="33"/>
      <c r="AY106" s="33"/>
      <c r="AZ106" s="33"/>
      <c r="BA106" s="33"/>
      <c r="BB106" s="33"/>
      <c r="BC106" s="33"/>
      <c r="BD106" s="33"/>
      <c r="BE106" s="33"/>
      <c r="BF106" s="33"/>
      <c r="BG106" s="33"/>
      <c r="BH106" s="33"/>
      <c r="BI106" s="33"/>
      <c r="BJ106" s="33"/>
      <c r="BK106" s="33"/>
      <c r="BL106" s="33"/>
      <c r="BM106" s="33"/>
      <c r="BN106" s="33"/>
      <c r="BO106" s="33"/>
      <c r="BP106" s="33"/>
      <c r="BQ106" s="33"/>
      <c r="BR106" s="33">
        <f t="shared" si="1"/>
        <v>0</v>
      </c>
      <c r="BS106" s="33">
        <f>SUMIFS('Data For Calculation - Insuranc'!I:I,'Data For Calculation - Insuranc'!$A:$A,$A106)</f>
        <v>0</v>
      </c>
      <c r="BT106" s="33">
        <f>SUMIFS('Data For Calculation - Insuranc'!J:J,'Data For Calculation - Insuranc'!$A:$A,$A106)</f>
        <v>0</v>
      </c>
      <c r="BU106" s="33">
        <f>SUMIFS('Data For Calculation - Insuranc'!K:K,'Data For Calculation - Insuranc'!$A:$A,$A106)</f>
        <v>0</v>
      </c>
      <c r="BV106" s="33">
        <f>IF($CC106 = "Dealer", SUMIFS('Data For Calculation - Insuranc'!I:I,'Data For Calculation - Insuranc'!$B:$B,$A106,'Data For Calculation - Insuranc'!$H:$H,"Master Dealer")) + SUMIFS('Data For Calculation - Insuranc'!I:I,'Data For Calculation - Insuranc'!$A:$A,$A106,'Data For Calculation - Insuranc'!$H:$H,"Self")</f>
        <v>0</v>
      </c>
      <c r="BW106" s="33">
        <f>IF($CC106 = "Dealer", SUMIFS('Data For Calculation - Insuranc'!J:J,'Data For Calculation - Insuranc'!$B:$B,$A106,'Data For Calculation - Insuranc'!$H:$H,"Master Dealer")) + SUMIFS('Data For Calculation - Insuranc'!J:J,'Data For Calculation - Insuranc'!$A:$A,$A106,'Data For Calculation - Insuranc'!$H:$H,"Self")</f>
        <v>0</v>
      </c>
      <c r="BX106" s="33">
        <f>IF($CC106 = "Dealer", SUMIFS('Data For Calculation - Insuranc'!K:K,'Data For Calculation - Insuranc'!$B:$B,$A106,'Data For Calculation - Insuranc'!$H:$H,"Master Dealer")) + SUMIFS('Data For Calculation - Insuranc'!K:K,'Data For Calculation - Insuranc'!$A:$A,$A106,'Data For Calculation - Insuranc'!$H:$H,"Self")</f>
        <v>0</v>
      </c>
      <c r="BY106" s="25" t="str">
        <f>(Sheet1!N106)</f>
        <v>Shri Durga Motors</v>
      </c>
      <c r="BZ106" s="25" t="str">
        <f>(Sheet1!O106)</f>
        <v>1LnxzSZR-Hn1GFJEM91CqSDi8yQ1-11OqyVT04QUkFAM</v>
      </c>
      <c r="CA106" s="25" t="str">
        <f>(Sheet1!AV106)</f>
        <v/>
      </c>
      <c r="CB106" s="25" t="str">
        <f>(Sheet1!AW106)</f>
        <v/>
      </c>
      <c r="CC106" s="26" t="str">
        <f>(Sheet1!P106)</f>
        <v>Sub Dealer</v>
      </c>
    </row>
    <row r="107">
      <c r="A107" s="25" t="str">
        <f>(Sheet1!A107)</f>
        <v>1a7hE99lXmj_QqvEYsr78Q6N1-mxcmCnbqEiJRN1RUOk</v>
      </c>
      <c r="B107" s="25" t="str">
        <f>(Sheet1!B107)</f>
        <v>SOLANKI MOTORS</v>
      </c>
      <c r="C107" s="30" t="str">
        <f>Sheet1!BB107</f>
        <v>No</v>
      </c>
      <c r="D107" s="30" t="s">
        <v>13</v>
      </c>
      <c r="E107" s="34" t="s">
        <v>13</v>
      </c>
      <c r="F107" s="30" t="s">
        <v>3820</v>
      </c>
      <c r="G107" s="31">
        <v>290.0</v>
      </c>
      <c r="H107" s="34" t="s">
        <v>3853</v>
      </c>
      <c r="I107" s="34">
        <v>0.0</v>
      </c>
      <c r="J107" s="34">
        <v>100.0</v>
      </c>
      <c r="K107" s="34">
        <v>0.0</v>
      </c>
      <c r="L107" s="34">
        <v>0.0</v>
      </c>
      <c r="M107" s="33">
        <f>COUNTIFS('Data For Calculation - Insuranc'!A:A,A107,'Data For Calculation - Insuranc'!E:E,"CPA + RSA")</f>
        <v>0</v>
      </c>
      <c r="N107" s="30" t="s">
        <v>3820</v>
      </c>
      <c r="O107" s="31">
        <v>460.0</v>
      </c>
      <c r="P107" s="34" t="s">
        <v>3853</v>
      </c>
      <c r="Q107" s="34">
        <v>0.0</v>
      </c>
      <c r="R107" s="34">
        <v>100.0</v>
      </c>
      <c r="S107" s="34">
        <v>0.0</v>
      </c>
      <c r="T107" s="34">
        <v>0.0</v>
      </c>
      <c r="U107" s="33">
        <f>COUNTIFS('Data For Calculation - Insuranc'!A:A,A107,'Data For Calculation - Insuranc'!E:E,"CPA + RSA + AHDC + DOC")</f>
        <v>0</v>
      </c>
      <c r="V107" s="30" t="s">
        <v>3820</v>
      </c>
      <c r="W107" s="34">
        <v>838.99</v>
      </c>
      <c r="X107" s="34" t="s">
        <v>3853</v>
      </c>
      <c r="Y107" s="34">
        <v>0.0</v>
      </c>
      <c r="Z107" s="34">
        <v>100.0</v>
      </c>
      <c r="AA107" s="34">
        <v>0.0</v>
      </c>
      <c r="AB107" s="34">
        <v>0.0</v>
      </c>
      <c r="AC107" s="33">
        <f>COUNTIFS('Data For Calculation - Insuranc'!A:A,A107,'Data For Calculation - Insuranc'!E:E,"CPA + RSA : 5 Years")</f>
        <v>0</v>
      </c>
      <c r="AD107" s="30" t="s">
        <v>3820</v>
      </c>
      <c r="AE107" s="31">
        <v>838.99</v>
      </c>
      <c r="AF107" s="34" t="s">
        <v>3853</v>
      </c>
      <c r="AG107" s="34">
        <v>0.0</v>
      </c>
      <c r="AH107" s="34">
        <v>100.0</v>
      </c>
      <c r="AI107" s="34">
        <v>0.0</v>
      </c>
      <c r="AJ107" s="34">
        <v>0.0</v>
      </c>
      <c r="AK107" s="33">
        <f>COUNTIFS('Data For Calculation - Insuranc'!A:A,A107,'Data For Calculation - Insuranc'!E:E,"Assistance + CPA : 5 Years")</f>
        <v>0</v>
      </c>
      <c r="AL107" s="30" t="s">
        <v>3820</v>
      </c>
      <c r="AM107" s="31">
        <v>290.0</v>
      </c>
      <c r="AN107" s="34" t="s">
        <v>3853</v>
      </c>
      <c r="AO107" s="34">
        <v>0.0</v>
      </c>
      <c r="AP107" s="34">
        <v>100.0</v>
      </c>
      <c r="AQ107" s="34">
        <v>0.0</v>
      </c>
      <c r="AR107" s="34">
        <v>0.0</v>
      </c>
      <c r="AS107" s="33">
        <f>COUNTIFS('Data For Calculation - Insuranc'!A:A,A107,'Data For Calculation - Insuranc'!E:E,"RSA + AHDC + DOC")</f>
        <v>0</v>
      </c>
      <c r="AT107" s="33"/>
      <c r="AU107" s="33"/>
      <c r="AV107" s="33"/>
      <c r="AW107" s="33"/>
      <c r="AX107" s="33"/>
      <c r="AY107" s="33"/>
      <c r="AZ107" s="33"/>
      <c r="BA107" s="33"/>
      <c r="BB107" s="33"/>
      <c r="BC107" s="33"/>
      <c r="BD107" s="33"/>
      <c r="BE107" s="33"/>
      <c r="BF107" s="33"/>
      <c r="BG107" s="33"/>
      <c r="BH107" s="33"/>
      <c r="BI107" s="33"/>
      <c r="BJ107" s="33"/>
      <c r="BK107" s="33"/>
      <c r="BL107" s="33"/>
      <c r="BM107" s="33"/>
      <c r="BN107" s="33"/>
      <c r="BO107" s="33"/>
      <c r="BP107" s="33"/>
      <c r="BQ107" s="33"/>
      <c r="BR107" s="33">
        <f t="shared" si="1"/>
        <v>0</v>
      </c>
      <c r="BS107" s="33">
        <f>SUMIFS('Data For Calculation - Insuranc'!I:I,'Data For Calculation - Insuranc'!$A:$A,$A107)</f>
        <v>0</v>
      </c>
      <c r="BT107" s="33">
        <f>SUMIFS('Data For Calculation - Insuranc'!J:J,'Data For Calculation - Insuranc'!$A:$A,$A107)</f>
        <v>0</v>
      </c>
      <c r="BU107" s="33">
        <f>SUMIFS('Data For Calculation - Insuranc'!K:K,'Data For Calculation - Insuranc'!$A:$A,$A107)</f>
        <v>0</v>
      </c>
      <c r="BV107" s="33">
        <f>IF($CC107 = "Dealer", SUMIFS('Data For Calculation - Insuranc'!I:I,'Data For Calculation - Insuranc'!$B:$B,$A107,'Data For Calculation - Insuranc'!$H:$H,"Master Dealer")) + SUMIFS('Data For Calculation - Insuranc'!I:I,'Data For Calculation - Insuranc'!$A:$A,$A107,'Data For Calculation - Insuranc'!$H:$H,"Self")</f>
        <v>0</v>
      </c>
      <c r="BW107" s="33">
        <f>IF($CC107 = "Dealer", SUMIFS('Data For Calculation - Insuranc'!J:J,'Data For Calculation - Insuranc'!$B:$B,$A107,'Data For Calculation - Insuranc'!$H:$H,"Master Dealer")) + SUMIFS('Data For Calculation - Insuranc'!J:J,'Data For Calculation - Insuranc'!$A:$A,$A107,'Data For Calculation - Insuranc'!$H:$H,"Self")</f>
        <v>0</v>
      </c>
      <c r="BX107" s="33">
        <f>IF($CC107 = "Dealer", SUMIFS('Data For Calculation - Insuranc'!K:K,'Data For Calculation - Insuranc'!$B:$B,$A107,'Data For Calculation - Insuranc'!$H:$H,"Master Dealer")) + SUMIFS('Data For Calculation - Insuranc'!K:K,'Data For Calculation - Insuranc'!$A:$A,$A107,'Data For Calculation - Insuranc'!$H:$H,"Self")</f>
        <v>0</v>
      </c>
      <c r="BY107" s="25" t="str">
        <f>(Sheet1!N107)</f>
        <v>Shri Durga Motors</v>
      </c>
      <c r="BZ107" s="25" t="str">
        <f>(Sheet1!O107)</f>
        <v>1LnxzSZR-Hn1GFJEM91CqSDi8yQ1-11OqyVT04QUkFAM</v>
      </c>
      <c r="CA107" s="25" t="str">
        <f>(Sheet1!AV107)</f>
        <v/>
      </c>
      <c r="CB107" s="25" t="str">
        <f>(Sheet1!AW107)</f>
        <v/>
      </c>
      <c r="CC107" s="26" t="str">
        <f>(Sheet1!P107)</f>
        <v>Sub Dealer</v>
      </c>
    </row>
    <row r="108">
      <c r="A108" s="25" t="str">
        <f>(Sheet1!A108)</f>
        <v>17j5aRjD4kTe3VvlO2qpEFolWacmd9riwj8nppSGLohk</v>
      </c>
      <c r="B108" s="25" t="str">
        <f>(Sheet1!B108)</f>
        <v>Durga Auto - SMP</v>
      </c>
      <c r="C108" s="30" t="str">
        <f>Sheet1!BB108</f>
        <v>No</v>
      </c>
      <c r="D108" s="30" t="s">
        <v>13</v>
      </c>
      <c r="E108" s="34" t="s">
        <v>13</v>
      </c>
      <c r="F108" s="30" t="s">
        <v>3817</v>
      </c>
      <c r="G108" s="31">
        <v>290.0</v>
      </c>
      <c r="H108" s="34" t="s">
        <v>3853</v>
      </c>
      <c r="I108" s="34">
        <v>0.0</v>
      </c>
      <c r="J108" s="34">
        <v>100.0</v>
      </c>
      <c r="K108" s="34">
        <v>0.0</v>
      </c>
      <c r="L108" s="34">
        <v>0.0</v>
      </c>
      <c r="M108" s="33">
        <f>COUNTIFS('Data For Calculation - Insuranc'!A:A,A108,'Data For Calculation - Insuranc'!E:E,"CPA + RSA")</f>
        <v>0</v>
      </c>
      <c r="N108" s="30" t="s">
        <v>3817</v>
      </c>
      <c r="O108" s="31">
        <v>460.0</v>
      </c>
      <c r="P108" s="34" t="s">
        <v>3853</v>
      </c>
      <c r="Q108" s="34">
        <v>0.0</v>
      </c>
      <c r="R108" s="34">
        <v>100.0</v>
      </c>
      <c r="S108" s="34">
        <v>0.0</v>
      </c>
      <c r="T108" s="34">
        <v>0.0</v>
      </c>
      <c r="U108" s="33">
        <f>COUNTIFS('Data For Calculation - Insuranc'!A:A,A108,'Data For Calculation - Insuranc'!E:E,"CPA + RSA + AHDC + DOC")</f>
        <v>0</v>
      </c>
      <c r="V108" s="30" t="s">
        <v>3817</v>
      </c>
      <c r="W108" s="34">
        <v>838.99</v>
      </c>
      <c r="X108" s="34" t="s">
        <v>3853</v>
      </c>
      <c r="Y108" s="34">
        <v>0.0</v>
      </c>
      <c r="Z108" s="34">
        <v>100.0</v>
      </c>
      <c r="AA108" s="34">
        <v>0.0</v>
      </c>
      <c r="AB108" s="34">
        <v>0.0</v>
      </c>
      <c r="AC108" s="33">
        <f>COUNTIFS('Data For Calculation - Insuranc'!A:A,A108,'Data For Calculation - Insuranc'!E:E,"CPA + RSA : 5 Years")</f>
        <v>0</v>
      </c>
      <c r="AD108" s="30" t="s">
        <v>3817</v>
      </c>
      <c r="AE108" s="31">
        <v>838.99</v>
      </c>
      <c r="AF108" s="34" t="s">
        <v>3853</v>
      </c>
      <c r="AG108" s="34">
        <v>0.0</v>
      </c>
      <c r="AH108" s="34">
        <v>100.0</v>
      </c>
      <c r="AI108" s="34">
        <v>0.0</v>
      </c>
      <c r="AJ108" s="34">
        <v>0.0</v>
      </c>
      <c r="AK108" s="33">
        <f>COUNTIFS('Data For Calculation - Insuranc'!A:A,A108,'Data For Calculation - Insuranc'!E:E,"Assistance + CPA : 5 Years")</f>
        <v>0</v>
      </c>
      <c r="AL108" s="30" t="s">
        <v>3817</v>
      </c>
      <c r="AM108" s="31">
        <v>290.0</v>
      </c>
      <c r="AN108" s="34" t="s">
        <v>3853</v>
      </c>
      <c r="AO108" s="34">
        <v>0.0</v>
      </c>
      <c r="AP108" s="34">
        <v>100.0</v>
      </c>
      <c r="AQ108" s="34">
        <v>0.0</v>
      </c>
      <c r="AR108" s="34">
        <v>0.0</v>
      </c>
      <c r="AS108" s="33">
        <f>COUNTIFS('Data For Calculation - Insuranc'!A:A,A108,'Data For Calculation - Insuranc'!E:E,"RSA + AHDC + DOC")</f>
        <v>0</v>
      </c>
      <c r="AT108" s="33"/>
      <c r="AU108" s="33"/>
      <c r="AV108" s="33"/>
      <c r="AW108" s="33"/>
      <c r="AX108" s="33"/>
      <c r="AY108" s="33"/>
      <c r="AZ108" s="33"/>
      <c r="BA108" s="33"/>
      <c r="BB108" s="33"/>
      <c r="BC108" s="33"/>
      <c r="BD108" s="33"/>
      <c r="BE108" s="33"/>
      <c r="BF108" s="33"/>
      <c r="BG108" s="33"/>
      <c r="BH108" s="33"/>
      <c r="BI108" s="33"/>
      <c r="BJ108" s="33"/>
      <c r="BK108" s="33"/>
      <c r="BL108" s="33"/>
      <c r="BM108" s="33"/>
      <c r="BN108" s="33"/>
      <c r="BO108" s="33"/>
      <c r="BP108" s="33"/>
      <c r="BQ108" s="33"/>
      <c r="BR108" s="33">
        <f t="shared" si="1"/>
        <v>0</v>
      </c>
      <c r="BS108" s="33">
        <f>SUMIFS('Data For Calculation - Insuranc'!I:I,'Data For Calculation - Insuranc'!$A:$A,$A108)</f>
        <v>0</v>
      </c>
      <c r="BT108" s="33">
        <f>SUMIFS('Data For Calculation - Insuranc'!J:J,'Data For Calculation - Insuranc'!$A:$A,$A108)</f>
        <v>0</v>
      </c>
      <c r="BU108" s="33">
        <f>SUMIFS('Data For Calculation - Insuranc'!K:K,'Data For Calculation - Insuranc'!$A:$A,$A108)</f>
        <v>0</v>
      </c>
      <c r="BV108" s="33">
        <f>IF($CC108 = "Dealer", SUMIFS('Data For Calculation - Insuranc'!I:I,'Data For Calculation - Insuranc'!$B:$B,$A108,'Data For Calculation - Insuranc'!$H:$H,"Master Dealer")) + SUMIFS('Data For Calculation - Insuranc'!I:I,'Data For Calculation - Insuranc'!$A:$A,$A108,'Data For Calculation - Insuranc'!$H:$H,"Self")</f>
        <v>0</v>
      </c>
      <c r="BW108" s="33">
        <f>IF($CC108 = "Dealer", SUMIFS('Data For Calculation - Insuranc'!J:J,'Data For Calculation - Insuranc'!$B:$B,$A108,'Data For Calculation - Insuranc'!$H:$H,"Master Dealer")) + SUMIFS('Data For Calculation - Insuranc'!J:J,'Data For Calculation - Insuranc'!$A:$A,$A108,'Data For Calculation - Insuranc'!$H:$H,"Self")</f>
        <v>0</v>
      </c>
      <c r="BX108" s="33">
        <f>IF($CC108 = "Dealer", SUMIFS('Data For Calculation - Insuranc'!K:K,'Data For Calculation - Insuranc'!$B:$B,$A108,'Data For Calculation - Insuranc'!$H:$H,"Master Dealer")) + SUMIFS('Data For Calculation - Insuranc'!K:K,'Data For Calculation - Insuranc'!$A:$A,$A108,'Data For Calculation - Insuranc'!$H:$H,"Self")</f>
        <v>0</v>
      </c>
      <c r="BY108" s="25" t="str">
        <f>(Sheet1!N108)</f>
        <v>Sahib Motors - Panipat</v>
      </c>
      <c r="BZ108" s="25" t="str">
        <f>(Sheet1!O108)</f>
        <v>1K6oaFfzdWrW0ygNwDwWBmlm6lWJxWCUD9ydsyisVA7A</v>
      </c>
      <c r="CA108" s="25" t="str">
        <f>(Sheet1!AV108)</f>
        <v/>
      </c>
      <c r="CB108" s="25" t="str">
        <f>(Sheet1!AW108)</f>
        <v/>
      </c>
      <c r="CC108" s="26" t="str">
        <f>(Sheet1!P108)</f>
        <v>Sub Dealer</v>
      </c>
    </row>
    <row r="109">
      <c r="A109" s="25" t="str">
        <f>(Sheet1!A109)</f>
        <v>1t3gopzk1OTS3KoTW1PbFTMhVF5pTGTgKOkW5Lr73qQs</v>
      </c>
      <c r="B109" s="25" t="str">
        <f>(Sheet1!B109)</f>
        <v>Dev Vaahan- Hero Palwal</v>
      </c>
      <c r="C109" s="30" t="str">
        <f>Sheet1!BB109</f>
        <v>No</v>
      </c>
      <c r="D109" s="30" t="s">
        <v>13</v>
      </c>
      <c r="E109" s="34" t="s">
        <v>13</v>
      </c>
      <c r="F109" s="30" t="s">
        <v>3817</v>
      </c>
      <c r="G109" s="31">
        <v>290.0</v>
      </c>
      <c r="H109" s="34" t="s">
        <v>3853</v>
      </c>
      <c r="I109" s="34">
        <v>0.0</v>
      </c>
      <c r="J109" s="34">
        <v>100.0</v>
      </c>
      <c r="K109" s="34">
        <v>0.0</v>
      </c>
      <c r="L109" s="34">
        <v>0.0</v>
      </c>
      <c r="M109" s="33">
        <f>COUNTIFS('Data For Calculation - Insuranc'!A:A,A109,'Data For Calculation - Insuranc'!E:E,"CPA + RSA")</f>
        <v>0</v>
      </c>
      <c r="N109" s="30" t="s">
        <v>3817</v>
      </c>
      <c r="O109" s="31">
        <v>460.0</v>
      </c>
      <c r="P109" s="34" t="s">
        <v>3853</v>
      </c>
      <c r="Q109" s="34">
        <v>0.0</v>
      </c>
      <c r="R109" s="34">
        <v>100.0</v>
      </c>
      <c r="S109" s="34">
        <v>0.0</v>
      </c>
      <c r="T109" s="34">
        <v>0.0</v>
      </c>
      <c r="U109" s="33">
        <f>COUNTIFS('Data For Calculation - Insuranc'!A:A,A109,'Data For Calculation - Insuranc'!E:E,"CPA + RSA + AHDC + DOC")</f>
        <v>0</v>
      </c>
      <c r="V109" s="30" t="s">
        <v>3817</v>
      </c>
      <c r="W109" s="34">
        <v>838.99</v>
      </c>
      <c r="X109" s="34" t="s">
        <v>3853</v>
      </c>
      <c r="Y109" s="34">
        <v>0.0</v>
      </c>
      <c r="Z109" s="34">
        <v>100.0</v>
      </c>
      <c r="AA109" s="34">
        <v>0.0</v>
      </c>
      <c r="AB109" s="34">
        <v>0.0</v>
      </c>
      <c r="AC109" s="33">
        <f>COUNTIFS('Data For Calculation - Insuranc'!A:A,A109,'Data For Calculation - Insuranc'!E:E,"CPA + RSA : 5 Years")</f>
        <v>0</v>
      </c>
      <c r="AD109" s="30" t="s">
        <v>3817</v>
      </c>
      <c r="AE109" s="31">
        <v>838.99</v>
      </c>
      <c r="AF109" s="34" t="s">
        <v>3853</v>
      </c>
      <c r="AG109" s="34">
        <v>0.0</v>
      </c>
      <c r="AH109" s="34">
        <v>100.0</v>
      </c>
      <c r="AI109" s="34">
        <v>0.0</v>
      </c>
      <c r="AJ109" s="34">
        <v>0.0</v>
      </c>
      <c r="AK109" s="33">
        <f>COUNTIFS('Data For Calculation - Insuranc'!A:A,A109,'Data For Calculation - Insuranc'!E:E,"Assistance + CPA : 5 Years")</f>
        <v>0</v>
      </c>
      <c r="AL109" s="30" t="s">
        <v>3817</v>
      </c>
      <c r="AM109" s="31">
        <v>290.0</v>
      </c>
      <c r="AN109" s="34" t="s">
        <v>3853</v>
      </c>
      <c r="AO109" s="34">
        <v>0.0</v>
      </c>
      <c r="AP109" s="34">
        <v>100.0</v>
      </c>
      <c r="AQ109" s="34">
        <v>0.0</v>
      </c>
      <c r="AR109" s="34">
        <v>0.0</v>
      </c>
      <c r="AS109" s="33">
        <f>COUNTIFS('Data For Calculation - Insuranc'!A:A,A109,'Data For Calculation - Insuranc'!E:E,"RSA + AHDC + DOC")</f>
        <v>0</v>
      </c>
      <c r="AT109" s="33"/>
      <c r="AU109" s="33"/>
      <c r="AV109" s="33"/>
      <c r="AW109" s="33"/>
      <c r="AX109" s="33"/>
      <c r="AY109" s="33"/>
      <c r="AZ109" s="33"/>
      <c r="BA109" s="33"/>
      <c r="BB109" s="33"/>
      <c r="BC109" s="33"/>
      <c r="BD109" s="33"/>
      <c r="BE109" s="33"/>
      <c r="BF109" s="33"/>
      <c r="BG109" s="33"/>
      <c r="BH109" s="33"/>
      <c r="BI109" s="33"/>
      <c r="BJ109" s="33"/>
      <c r="BK109" s="33"/>
      <c r="BL109" s="33"/>
      <c r="BM109" s="33"/>
      <c r="BN109" s="33"/>
      <c r="BO109" s="33"/>
      <c r="BP109" s="33"/>
      <c r="BQ109" s="33"/>
      <c r="BR109" s="33">
        <f t="shared" si="1"/>
        <v>0</v>
      </c>
      <c r="BS109" s="33">
        <f>SUMIFS('Data For Calculation - Insuranc'!I:I,'Data For Calculation - Insuranc'!$A:$A,$A109)</f>
        <v>0</v>
      </c>
      <c r="BT109" s="33">
        <f>SUMIFS('Data For Calculation - Insuranc'!J:J,'Data For Calculation - Insuranc'!$A:$A,$A109)</f>
        <v>0</v>
      </c>
      <c r="BU109" s="33">
        <f>SUMIFS('Data For Calculation - Insuranc'!K:K,'Data For Calculation - Insuranc'!$A:$A,$A109)</f>
        <v>0</v>
      </c>
      <c r="BV109" s="33">
        <f>IF($CC109 = "Dealer", SUMIFS('Data For Calculation - Insuranc'!I:I,'Data For Calculation - Insuranc'!$B:$B,$A109,'Data For Calculation - Insuranc'!$H:$H,"Master Dealer")) + SUMIFS('Data For Calculation - Insuranc'!I:I,'Data For Calculation - Insuranc'!$A:$A,$A109,'Data For Calculation - Insuranc'!$H:$H,"Self")</f>
        <v>0</v>
      </c>
      <c r="BW109" s="33">
        <f>IF($CC109 = "Dealer", SUMIFS('Data For Calculation - Insuranc'!J:J,'Data For Calculation - Insuranc'!$B:$B,$A109,'Data For Calculation - Insuranc'!$H:$H,"Master Dealer")) + SUMIFS('Data For Calculation - Insuranc'!J:J,'Data For Calculation - Insuranc'!$A:$A,$A109,'Data For Calculation - Insuranc'!$H:$H,"Self")</f>
        <v>0</v>
      </c>
      <c r="BX109" s="33">
        <f>IF($CC109 = "Dealer", SUMIFS('Data For Calculation - Insuranc'!K:K,'Data For Calculation - Insuranc'!$B:$B,$A109,'Data For Calculation - Insuranc'!$H:$H,"Master Dealer")) + SUMIFS('Data For Calculation - Insuranc'!K:K,'Data For Calculation - Insuranc'!$A:$A,$A109,'Data For Calculation - Insuranc'!$H:$H,"Self")</f>
        <v>0</v>
      </c>
      <c r="BY109" s="25" t="str">
        <f>(Sheet1!N109)</f>
        <v>Dev Vaahan- Hero Palwal</v>
      </c>
      <c r="BZ109" s="25" t="str">
        <f>(Sheet1!O109)</f>
        <v>1t3gopzk1OTS3KoTW1PbFTMhVF5pTGTgKOkW5Lr73qQs</v>
      </c>
      <c r="CA109" s="25" t="str">
        <f>(Sheet1!AV109)</f>
        <v/>
      </c>
      <c r="CB109" s="25" t="str">
        <f>(Sheet1!AW109)</f>
        <v/>
      </c>
      <c r="CC109" s="26" t="str">
        <f>(Sheet1!P109)</f>
        <v>Dealer</v>
      </c>
    </row>
    <row r="110">
      <c r="A110" s="25" t="str">
        <f>(Sheet1!A110)</f>
        <v>1MantqYN_L9u1phKAd2tRf1JbAshYFDLMdeUkvTdUQ8E</v>
      </c>
      <c r="B110" s="25" t="str">
        <f>(Sheet1!B110)</f>
        <v>BD MOTORS TVS - GURGAON</v>
      </c>
      <c r="C110" s="30" t="str">
        <f>Sheet1!BB110</f>
        <v>No</v>
      </c>
      <c r="D110" s="30" t="s">
        <v>13</v>
      </c>
      <c r="E110" s="34" t="s">
        <v>13</v>
      </c>
      <c r="F110" s="30" t="s">
        <v>3817</v>
      </c>
      <c r="G110" s="31">
        <v>290.0</v>
      </c>
      <c r="H110" s="34" t="s">
        <v>3853</v>
      </c>
      <c r="I110" s="34">
        <v>0.0</v>
      </c>
      <c r="J110" s="34">
        <v>100.0</v>
      </c>
      <c r="K110" s="34">
        <v>0.0</v>
      </c>
      <c r="L110" s="34">
        <v>0.0</v>
      </c>
      <c r="M110" s="33">
        <f>COUNTIFS('Data For Calculation - Insuranc'!A:A,A110,'Data For Calculation - Insuranc'!E:E,"CPA + RSA")</f>
        <v>0</v>
      </c>
      <c r="N110" s="30" t="s">
        <v>3817</v>
      </c>
      <c r="O110" s="31">
        <v>460.0</v>
      </c>
      <c r="P110" s="34" t="s">
        <v>3853</v>
      </c>
      <c r="Q110" s="34">
        <v>0.0</v>
      </c>
      <c r="R110" s="34">
        <v>100.0</v>
      </c>
      <c r="S110" s="34">
        <v>0.0</v>
      </c>
      <c r="T110" s="34">
        <v>0.0</v>
      </c>
      <c r="U110" s="33">
        <f>COUNTIFS('Data For Calculation - Insuranc'!A:A,A110,'Data For Calculation - Insuranc'!E:E,"CPA + RSA + AHDC + DOC")</f>
        <v>0</v>
      </c>
      <c r="V110" s="30" t="s">
        <v>3817</v>
      </c>
      <c r="W110" s="34">
        <v>838.99</v>
      </c>
      <c r="X110" s="34" t="s">
        <v>3853</v>
      </c>
      <c r="Y110" s="34">
        <v>0.0</v>
      </c>
      <c r="Z110" s="34">
        <v>100.0</v>
      </c>
      <c r="AA110" s="34">
        <v>0.0</v>
      </c>
      <c r="AB110" s="34">
        <v>0.0</v>
      </c>
      <c r="AC110" s="33">
        <f>COUNTIFS('Data For Calculation - Insuranc'!A:A,A110,'Data For Calculation - Insuranc'!E:E,"CPA + RSA : 5 Years")</f>
        <v>0</v>
      </c>
      <c r="AD110" s="30" t="s">
        <v>3817</v>
      </c>
      <c r="AE110" s="31">
        <v>838.99</v>
      </c>
      <c r="AF110" s="34" t="s">
        <v>3853</v>
      </c>
      <c r="AG110" s="34">
        <v>0.0</v>
      </c>
      <c r="AH110" s="34">
        <v>100.0</v>
      </c>
      <c r="AI110" s="34">
        <v>0.0</v>
      </c>
      <c r="AJ110" s="34">
        <v>0.0</v>
      </c>
      <c r="AK110" s="33">
        <f>COUNTIFS('Data For Calculation - Insuranc'!A:A,A110,'Data For Calculation - Insuranc'!E:E,"Assistance + CPA : 5 Years")</f>
        <v>0</v>
      </c>
      <c r="AL110" s="30" t="s">
        <v>3817</v>
      </c>
      <c r="AM110" s="31">
        <v>290.0</v>
      </c>
      <c r="AN110" s="34" t="s">
        <v>3853</v>
      </c>
      <c r="AO110" s="34">
        <v>0.0</v>
      </c>
      <c r="AP110" s="34">
        <v>100.0</v>
      </c>
      <c r="AQ110" s="34">
        <v>0.0</v>
      </c>
      <c r="AR110" s="34">
        <v>0.0</v>
      </c>
      <c r="AS110" s="33">
        <f>COUNTIFS('Data For Calculation - Insuranc'!A:A,A110,'Data For Calculation - Insuranc'!E:E,"RSA + AHDC + DOC")</f>
        <v>0</v>
      </c>
      <c r="AT110" s="33"/>
      <c r="AU110" s="33"/>
      <c r="AV110" s="33"/>
      <c r="AW110" s="33"/>
      <c r="AX110" s="33"/>
      <c r="AY110" s="33"/>
      <c r="AZ110" s="33"/>
      <c r="BA110" s="33"/>
      <c r="BB110" s="33"/>
      <c r="BC110" s="33"/>
      <c r="BD110" s="33"/>
      <c r="BE110" s="33"/>
      <c r="BF110" s="33"/>
      <c r="BG110" s="33"/>
      <c r="BH110" s="33"/>
      <c r="BI110" s="33"/>
      <c r="BJ110" s="33"/>
      <c r="BK110" s="33"/>
      <c r="BL110" s="33"/>
      <c r="BM110" s="33"/>
      <c r="BN110" s="33"/>
      <c r="BO110" s="33"/>
      <c r="BP110" s="33"/>
      <c r="BQ110" s="33"/>
      <c r="BR110" s="33">
        <f t="shared" si="1"/>
        <v>0</v>
      </c>
      <c r="BS110" s="33">
        <f>SUMIFS('Data For Calculation - Insuranc'!I:I,'Data For Calculation - Insuranc'!$A:$A,$A110)</f>
        <v>0</v>
      </c>
      <c r="BT110" s="33">
        <f>SUMIFS('Data For Calculation - Insuranc'!J:J,'Data For Calculation - Insuranc'!$A:$A,$A110)</f>
        <v>0</v>
      </c>
      <c r="BU110" s="33">
        <f>SUMIFS('Data For Calculation - Insuranc'!K:K,'Data For Calculation - Insuranc'!$A:$A,$A110)</f>
        <v>0</v>
      </c>
      <c r="BV110" s="33">
        <f>IF($CC110 = "Dealer", SUMIFS('Data For Calculation - Insuranc'!I:I,'Data For Calculation - Insuranc'!$B:$B,$A110,'Data For Calculation - Insuranc'!$H:$H,"Master Dealer")) + SUMIFS('Data For Calculation - Insuranc'!I:I,'Data For Calculation - Insuranc'!$A:$A,$A110,'Data For Calculation - Insuranc'!$H:$H,"Self")</f>
        <v>0</v>
      </c>
      <c r="BW110" s="33">
        <f>IF($CC110 = "Dealer", SUMIFS('Data For Calculation - Insuranc'!J:J,'Data For Calculation - Insuranc'!$B:$B,$A110,'Data For Calculation - Insuranc'!$H:$H,"Master Dealer")) + SUMIFS('Data For Calculation - Insuranc'!J:J,'Data For Calculation - Insuranc'!$A:$A,$A110,'Data For Calculation - Insuranc'!$H:$H,"Self")</f>
        <v>0</v>
      </c>
      <c r="BX110" s="33">
        <f>IF($CC110 = "Dealer", SUMIFS('Data For Calculation - Insuranc'!K:K,'Data For Calculation - Insuranc'!$B:$B,$A110,'Data For Calculation - Insuranc'!$H:$H,"Master Dealer")) + SUMIFS('Data For Calculation - Insuranc'!K:K,'Data For Calculation - Insuranc'!$A:$A,$A110,'Data For Calculation - Insuranc'!$H:$H,"Self")</f>
        <v>0</v>
      </c>
      <c r="BY110" s="25" t="str">
        <f>(Sheet1!N110)</f>
        <v>BD MOTORS TVS - GURGAON</v>
      </c>
      <c r="BZ110" s="25" t="str">
        <f>(Sheet1!O110)</f>
        <v>1MantqYN_L9u1phKAd2tRf1JbAshYFDLMdeUkvTdUQ8E</v>
      </c>
      <c r="CA110" s="25" t="str">
        <f>(Sheet1!AV110)</f>
        <v/>
      </c>
      <c r="CB110" s="25" t="str">
        <f>(Sheet1!AW110)</f>
        <v/>
      </c>
      <c r="CC110" s="26" t="str">
        <f>(Sheet1!P110)</f>
        <v>Dealer</v>
      </c>
    </row>
    <row r="111">
      <c r="A111" s="25" t="str">
        <f>(Sheet1!A111)</f>
        <v>176zvh_D144kr5dn49FjVWXAIKjjIO1Wqb6zAj_kGTr4</v>
      </c>
      <c r="B111" s="25" t="str">
        <f>(Sheet1!B111)</f>
        <v>Sai Auto</v>
      </c>
      <c r="C111" s="30" t="str">
        <f>Sheet1!BB111</f>
        <v>No</v>
      </c>
      <c r="D111" s="30" t="s">
        <v>13</v>
      </c>
      <c r="E111" s="34" t="s">
        <v>13</v>
      </c>
      <c r="F111" s="30" t="s">
        <v>3817</v>
      </c>
      <c r="G111" s="31">
        <v>290.0</v>
      </c>
      <c r="H111" s="34" t="s">
        <v>3853</v>
      </c>
      <c r="I111" s="34">
        <v>0.0</v>
      </c>
      <c r="J111" s="34">
        <v>100.0</v>
      </c>
      <c r="K111" s="34">
        <v>0.0</v>
      </c>
      <c r="L111" s="34">
        <v>0.0</v>
      </c>
      <c r="M111" s="33">
        <f>COUNTIFS('Data For Calculation - Insuranc'!A:A,A111,'Data For Calculation - Insuranc'!E:E,"CPA + RSA")</f>
        <v>0</v>
      </c>
      <c r="N111" s="30" t="s">
        <v>3817</v>
      </c>
      <c r="O111" s="31">
        <v>460.0</v>
      </c>
      <c r="P111" s="34" t="s">
        <v>3853</v>
      </c>
      <c r="Q111" s="34">
        <v>0.0</v>
      </c>
      <c r="R111" s="34">
        <v>100.0</v>
      </c>
      <c r="S111" s="34">
        <v>0.0</v>
      </c>
      <c r="T111" s="34">
        <v>0.0</v>
      </c>
      <c r="U111" s="33">
        <f>COUNTIFS('Data For Calculation - Insuranc'!A:A,A111,'Data For Calculation - Insuranc'!E:E,"CPA + RSA + AHDC + DOC")</f>
        <v>0</v>
      </c>
      <c r="V111" s="30" t="s">
        <v>3817</v>
      </c>
      <c r="W111" s="34">
        <v>838.99</v>
      </c>
      <c r="X111" s="34" t="s">
        <v>3853</v>
      </c>
      <c r="Y111" s="34">
        <v>0.0</v>
      </c>
      <c r="Z111" s="34">
        <v>100.0</v>
      </c>
      <c r="AA111" s="34">
        <v>0.0</v>
      </c>
      <c r="AB111" s="34">
        <v>0.0</v>
      </c>
      <c r="AC111" s="33">
        <f>COUNTIFS('Data For Calculation - Insuranc'!A:A,A111,'Data For Calculation - Insuranc'!E:E,"CPA + RSA : 5 Years")</f>
        <v>0</v>
      </c>
      <c r="AD111" s="30" t="s">
        <v>3817</v>
      </c>
      <c r="AE111" s="31">
        <v>838.99</v>
      </c>
      <c r="AF111" s="34" t="s">
        <v>3853</v>
      </c>
      <c r="AG111" s="34">
        <v>0.0</v>
      </c>
      <c r="AH111" s="34">
        <v>100.0</v>
      </c>
      <c r="AI111" s="34">
        <v>0.0</v>
      </c>
      <c r="AJ111" s="34">
        <v>0.0</v>
      </c>
      <c r="AK111" s="33">
        <f>COUNTIFS('Data For Calculation - Insuranc'!A:A,A111,'Data For Calculation - Insuranc'!E:E,"Assistance + CPA : 5 Years")</f>
        <v>0</v>
      </c>
      <c r="AL111" s="30" t="s">
        <v>3817</v>
      </c>
      <c r="AM111" s="31">
        <v>290.0</v>
      </c>
      <c r="AN111" s="34" t="s">
        <v>3853</v>
      </c>
      <c r="AO111" s="34">
        <v>0.0</v>
      </c>
      <c r="AP111" s="34">
        <v>100.0</v>
      </c>
      <c r="AQ111" s="34">
        <v>0.0</v>
      </c>
      <c r="AR111" s="34">
        <v>0.0</v>
      </c>
      <c r="AS111" s="33">
        <f>COUNTIFS('Data For Calculation - Insuranc'!A:A,A111,'Data For Calculation - Insuranc'!E:E,"RSA + AHDC + DOC")</f>
        <v>0</v>
      </c>
      <c r="AT111" s="33"/>
      <c r="AU111" s="33"/>
      <c r="AV111" s="33"/>
      <c r="AW111" s="33"/>
      <c r="AX111" s="33"/>
      <c r="AY111" s="33"/>
      <c r="AZ111" s="33"/>
      <c r="BA111" s="33"/>
      <c r="BB111" s="33"/>
      <c r="BC111" s="33"/>
      <c r="BD111" s="33"/>
      <c r="BE111" s="33"/>
      <c r="BF111" s="33"/>
      <c r="BG111" s="33"/>
      <c r="BH111" s="33"/>
      <c r="BI111" s="33"/>
      <c r="BJ111" s="33"/>
      <c r="BK111" s="33"/>
      <c r="BL111" s="33"/>
      <c r="BM111" s="33"/>
      <c r="BN111" s="33"/>
      <c r="BO111" s="33"/>
      <c r="BP111" s="33"/>
      <c r="BQ111" s="33"/>
      <c r="BR111" s="33">
        <f t="shared" si="1"/>
        <v>0</v>
      </c>
      <c r="BS111" s="33">
        <f>SUMIFS('Data For Calculation - Insuranc'!I:I,'Data For Calculation - Insuranc'!$A:$A,$A111)</f>
        <v>0</v>
      </c>
      <c r="BT111" s="33">
        <f>SUMIFS('Data For Calculation - Insuranc'!J:J,'Data For Calculation - Insuranc'!$A:$A,$A111)</f>
        <v>0</v>
      </c>
      <c r="BU111" s="33">
        <f>SUMIFS('Data For Calculation - Insuranc'!K:K,'Data For Calculation - Insuranc'!$A:$A,$A111)</f>
        <v>0</v>
      </c>
      <c r="BV111" s="33">
        <f>IF($CC111 = "Dealer", SUMIFS('Data For Calculation - Insuranc'!I:I,'Data For Calculation - Insuranc'!$B:$B,$A111,'Data For Calculation - Insuranc'!$H:$H,"Master Dealer")) + SUMIFS('Data For Calculation - Insuranc'!I:I,'Data For Calculation - Insuranc'!$A:$A,$A111,'Data For Calculation - Insuranc'!$H:$H,"Self")</f>
        <v>0</v>
      </c>
      <c r="BW111" s="33">
        <f>IF($CC111 = "Dealer", SUMIFS('Data For Calculation - Insuranc'!J:J,'Data For Calculation - Insuranc'!$B:$B,$A111,'Data For Calculation - Insuranc'!$H:$H,"Master Dealer")) + SUMIFS('Data For Calculation - Insuranc'!J:J,'Data For Calculation - Insuranc'!$A:$A,$A111,'Data For Calculation - Insuranc'!$H:$H,"Self")</f>
        <v>0</v>
      </c>
      <c r="BX111" s="33">
        <f>IF($CC111 = "Dealer", SUMIFS('Data For Calculation - Insuranc'!K:K,'Data For Calculation - Insuranc'!$B:$B,$A111,'Data For Calculation - Insuranc'!$H:$H,"Master Dealer")) + SUMIFS('Data For Calculation - Insuranc'!K:K,'Data For Calculation - Insuranc'!$A:$A,$A111,'Data For Calculation - Insuranc'!$H:$H,"Self")</f>
        <v>0</v>
      </c>
      <c r="BY111" s="25" t="str">
        <f>(Sheet1!N111)</f>
        <v>Sai Auto</v>
      </c>
      <c r="BZ111" s="25" t="str">
        <f>(Sheet1!O111)</f>
        <v>176zvh_D144kr5dn49FjVWXAIKjjIO1Wqb6zAj_kGTr4</v>
      </c>
      <c r="CA111" s="25" t="str">
        <f>(Sheet1!AV111)</f>
        <v/>
      </c>
      <c r="CB111" s="25" t="str">
        <f>(Sheet1!AW111)</f>
        <v/>
      </c>
      <c r="CC111" s="26" t="str">
        <f>(Sheet1!P111)</f>
        <v>Dealer</v>
      </c>
    </row>
    <row r="112">
      <c r="A112" s="25" t="str">
        <f>(Sheet1!A112)</f>
        <v>1C_6P8aZHJLH36sahBuwDXCSV6YfPH0RInIufKGWcO4E</v>
      </c>
      <c r="B112" s="25" t="str">
        <f>(Sheet1!B112)</f>
        <v>VAW Narona</v>
      </c>
      <c r="C112" s="30" t="str">
        <f>Sheet1!BB112</f>
        <v>No</v>
      </c>
      <c r="D112" s="30" t="s">
        <v>13</v>
      </c>
      <c r="E112" s="34" t="s">
        <v>13</v>
      </c>
      <c r="F112" s="30" t="s">
        <v>3820</v>
      </c>
      <c r="G112" s="31">
        <v>170.0</v>
      </c>
      <c r="H112" s="34" t="s">
        <v>3853</v>
      </c>
      <c r="I112" s="34">
        <v>0.0</v>
      </c>
      <c r="J112" s="34">
        <v>100.0</v>
      </c>
      <c r="K112" s="34">
        <v>0.0</v>
      </c>
      <c r="L112" s="34">
        <v>0.0</v>
      </c>
      <c r="M112" s="33">
        <f>COUNTIFS('Data For Calculation - Insuranc'!A:A,A112,'Data For Calculation - Insuranc'!E:E,"CPA + RSA")</f>
        <v>0</v>
      </c>
      <c r="N112" s="30" t="s">
        <v>3820</v>
      </c>
      <c r="O112" s="31">
        <v>170.0</v>
      </c>
      <c r="P112" s="34" t="s">
        <v>3853</v>
      </c>
      <c r="Q112" s="34">
        <v>0.0</v>
      </c>
      <c r="R112" s="34">
        <v>100.0</v>
      </c>
      <c r="S112" s="34">
        <v>0.0</v>
      </c>
      <c r="T112" s="34">
        <v>0.0</v>
      </c>
      <c r="U112" s="33">
        <f>COUNTIFS('Data For Calculation - Insuranc'!A:A,A112,'Data For Calculation - Insuranc'!E:E,"CPA + RSA + AHDC + DOC")</f>
        <v>0</v>
      </c>
      <c r="V112" s="30" t="s">
        <v>3820</v>
      </c>
      <c r="W112" s="34">
        <v>838.99</v>
      </c>
      <c r="X112" s="34" t="s">
        <v>3853</v>
      </c>
      <c r="Y112" s="34">
        <v>0.0</v>
      </c>
      <c r="Z112" s="34">
        <v>100.0</v>
      </c>
      <c r="AA112" s="34">
        <v>0.0</v>
      </c>
      <c r="AB112" s="34">
        <v>0.0</v>
      </c>
      <c r="AC112" s="33">
        <f>COUNTIFS('Data For Calculation - Insuranc'!A:A,A112,'Data For Calculation - Insuranc'!E:E,"CPA + RSA : 5 Years")</f>
        <v>0</v>
      </c>
      <c r="AD112" s="30" t="s">
        <v>3820</v>
      </c>
      <c r="AE112" s="31">
        <v>838.99</v>
      </c>
      <c r="AF112" s="34" t="s">
        <v>3853</v>
      </c>
      <c r="AG112" s="34">
        <v>0.0</v>
      </c>
      <c r="AH112" s="34">
        <v>100.0</v>
      </c>
      <c r="AI112" s="34">
        <v>0.0</v>
      </c>
      <c r="AJ112" s="34">
        <v>0.0</v>
      </c>
      <c r="AK112" s="33">
        <f>COUNTIFS('Data For Calculation - Insuranc'!A:A,A112,'Data For Calculation - Insuranc'!E:E,"Assistance + CPA : 5 Years")</f>
        <v>0</v>
      </c>
      <c r="AL112" s="30" t="s">
        <v>3820</v>
      </c>
      <c r="AM112" s="31">
        <v>290.0</v>
      </c>
      <c r="AN112" s="34" t="s">
        <v>3853</v>
      </c>
      <c r="AO112" s="34">
        <v>0.0</v>
      </c>
      <c r="AP112" s="34">
        <v>100.0</v>
      </c>
      <c r="AQ112" s="34">
        <v>0.0</v>
      </c>
      <c r="AR112" s="34">
        <v>0.0</v>
      </c>
      <c r="AS112" s="33">
        <f>COUNTIFS('Data For Calculation - Insuranc'!A:A,A112,'Data For Calculation - Insuranc'!E:E,"RSA + AHDC + DOC")</f>
        <v>0</v>
      </c>
      <c r="AT112" s="33"/>
      <c r="AU112" s="33"/>
      <c r="AV112" s="33"/>
      <c r="AW112" s="33"/>
      <c r="AX112" s="33"/>
      <c r="AY112" s="33"/>
      <c r="AZ112" s="33"/>
      <c r="BA112" s="33"/>
      <c r="BB112" s="33"/>
      <c r="BC112" s="33"/>
      <c r="BD112" s="33"/>
      <c r="BE112" s="33"/>
      <c r="BF112" s="33"/>
      <c r="BG112" s="33"/>
      <c r="BH112" s="33"/>
      <c r="BI112" s="33"/>
      <c r="BJ112" s="33"/>
      <c r="BK112" s="33"/>
      <c r="BL112" s="33"/>
      <c r="BM112" s="33"/>
      <c r="BN112" s="33"/>
      <c r="BO112" s="33"/>
      <c r="BP112" s="33"/>
      <c r="BQ112" s="33"/>
      <c r="BR112" s="33">
        <f t="shared" si="1"/>
        <v>0</v>
      </c>
      <c r="BS112" s="33">
        <f>SUMIFS('Data For Calculation - Insuranc'!I:I,'Data For Calculation - Insuranc'!$A:$A,$A112)</f>
        <v>0</v>
      </c>
      <c r="BT112" s="33">
        <f>SUMIFS('Data For Calculation - Insuranc'!J:J,'Data For Calculation - Insuranc'!$A:$A,$A112)</f>
        <v>0</v>
      </c>
      <c r="BU112" s="33">
        <f>SUMIFS('Data For Calculation - Insuranc'!K:K,'Data For Calculation - Insuranc'!$A:$A,$A112)</f>
        <v>0</v>
      </c>
      <c r="BV112" s="33">
        <f>IF($CC112 = "Dealer", SUMIFS('Data For Calculation - Insuranc'!I:I,'Data For Calculation - Insuranc'!$B:$B,$A112,'Data For Calculation - Insuranc'!$H:$H,"Master Dealer")) + SUMIFS('Data For Calculation - Insuranc'!I:I,'Data For Calculation - Insuranc'!$A:$A,$A112,'Data For Calculation - Insuranc'!$H:$H,"Self")</f>
        <v>0</v>
      </c>
      <c r="BW112" s="33">
        <f>IF($CC112 = "Dealer", SUMIFS('Data For Calculation - Insuranc'!J:J,'Data For Calculation - Insuranc'!$B:$B,$A112,'Data For Calculation - Insuranc'!$H:$H,"Master Dealer")) + SUMIFS('Data For Calculation - Insuranc'!J:J,'Data For Calculation - Insuranc'!$A:$A,$A112,'Data For Calculation - Insuranc'!$H:$H,"Self")</f>
        <v>0</v>
      </c>
      <c r="BX112" s="33">
        <f>IF($CC112 = "Dealer", SUMIFS('Data For Calculation - Insuranc'!K:K,'Data For Calculation - Insuranc'!$B:$B,$A112,'Data For Calculation - Insuranc'!$H:$H,"Master Dealer")) + SUMIFS('Data For Calculation - Insuranc'!K:K,'Data For Calculation - Insuranc'!$A:$A,$A112,'Data For Calculation - Insuranc'!$H:$H,"Self")</f>
        <v>0</v>
      </c>
      <c r="BY112" s="25" t="str">
        <f>(Sheet1!N112)</f>
        <v>Vikas Autowheels</v>
      </c>
      <c r="BZ112" s="25" t="str">
        <f>(Sheet1!O112)</f>
        <v>1944RLX7T1M23YXRXYoMnJ6nD_bKLldQXRpFRA0rDLvg</v>
      </c>
      <c r="CA112" s="25" t="str">
        <f>(Sheet1!AV112)</f>
        <v/>
      </c>
      <c r="CB112" s="25" t="str">
        <f>(Sheet1!AW112)</f>
        <v/>
      </c>
      <c r="CC112" s="26" t="str">
        <f>(Sheet1!P112)</f>
        <v>Sub Dealer</v>
      </c>
    </row>
    <row r="113">
      <c r="A113" s="25" t="str">
        <f>(Sheet1!A113)</f>
        <v>1olMJPxdvTblXlRJ5Kke7BysRgQVWxsLISMo98ayU8oo</v>
      </c>
      <c r="B113" s="25" t="str">
        <f>(Sheet1!B113)</f>
        <v>Gaurav arora</v>
      </c>
      <c r="C113" s="30" t="str">
        <f>Sheet1!BB113</f>
        <v>No</v>
      </c>
      <c r="D113" s="30" t="s">
        <v>13</v>
      </c>
      <c r="E113" s="34" t="s">
        <v>13</v>
      </c>
      <c r="F113" s="30" t="s">
        <v>3817</v>
      </c>
      <c r="G113" s="31">
        <v>290.0</v>
      </c>
      <c r="H113" s="34" t="s">
        <v>3853</v>
      </c>
      <c r="I113" s="34">
        <v>0.0</v>
      </c>
      <c r="J113" s="34">
        <v>100.0</v>
      </c>
      <c r="K113" s="34">
        <v>0.0</v>
      </c>
      <c r="L113" s="34">
        <v>0.0</v>
      </c>
      <c r="M113" s="33">
        <f>COUNTIFS('Data For Calculation - Insuranc'!A:A,A113,'Data For Calculation - Insuranc'!E:E,"CPA + RSA")</f>
        <v>0</v>
      </c>
      <c r="N113" s="30" t="s">
        <v>3817</v>
      </c>
      <c r="O113" s="31">
        <v>460.0</v>
      </c>
      <c r="P113" s="34" t="s">
        <v>3853</v>
      </c>
      <c r="Q113" s="34">
        <v>0.0</v>
      </c>
      <c r="R113" s="34">
        <v>100.0</v>
      </c>
      <c r="S113" s="34">
        <v>0.0</v>
      </c>
      <c r="T113" s="34">
        <v>0.0</v>
      </c>
      <c r="U113" s="33">
        <f>COUNTIFS('Data For Calculation - Insuranc'!A:A,A113,'Data For Calculation - Insuranc'!E:E,"CPA + RSA + AHDC + DOC")</f>
        <v>0</v>
      </c>
      <c r="V113" s="30" t="s">
        <v>3817</v>
      </c>
      <c r="W113" s="34">
        <v>838.99</v>
      </c>
      <c r="X113" s="34" t="s">
        <v>3853</v>
      </c>
      <c r="Y113" s="34">
        <v>0.0</v>
      </c>
      <c r="Z113" s="34">
        <v>100.0</v>
      </c>
      <c r="AA113" s="34">
        <v>0.0</v>
      </c>
      <c r="AB113" s="34">
        <v>0.0</v>
      </c>
      <c r="AC113" s="33">
        <f>COUNTIFS('Data For Calculation - Insuranc'!A:A,A113,'Data For Calculation - Insuranc'!E:E,"CPA + RSA : 5 Years")</f>
        <v>0</v>
      </c>
      <c r="AD113" s="30" t="s">
        <v>3817</v>
      </c>
      <c r="AE113" s="31">
        <v>838.99</v>
      </c>
      <c r="AF113" s="34" t="s">
        <v>3853</v>
      </c>
      <c r="AG113" s="34">
        <v>0.0</v>
      </c>
      <c r="AH113" s="34">
        <v>100.0</v>
      </c>
      <c r="AI113" s="34">
        <v>0.0</v>
      </c>
      <c r="AJ113" s="34">
        <v>0.0</v>
      </c>
      <c r="AK113" s="33">
        <f>COUNTIFS('Data For Calculation - Insuranc'!A:A,A113,'Data For Calculation - Insuranc'!E:E,"Assistance + CPA : 5 Years")</f>
        <v>0</v>
      </c>
      <c r="AL113" s="30" t="s">
        <v>3817</v>
      </c>
      <c r="AM113" s="31">
        <v>290.0</v>
      </c>
      <c r="AN113" s="34" t="s">
        <v>3853</v>
      </c>
      <c r="AO113" s="34">
        <v>0.0</v>
      </c>
      <c r="AP113" s="34">
        <v>100.0</v>
      </c>
      <c r="AQ113" s="34">
        <v>0.0</v>
      </c>
      <c r="AR113" s="34">
        <v>0.0</v>
      </c>
      <c r="AS113" s="33">
        <f>COUNTIFS('Data For Calculation - Insuranc'!A:A,A113,'Data For Calculation - Insuranc'!E:E,"RSA + AHDC + DOC")</f>
        <v>0</v>
      </c>
      <c r="AT113" s="33"/>
      <c r="AU113" s="33"/>
      <c r="AV113" s="33"/>
      <c r="AW113" s="33"/>
      <c r="AX113" s="33"/>
      <c r="AY113" s="33"/>
      <c r="AZ113" s="33"/>
      <c r="BA113" s="33"/>
      <c r="BB113" s="33"/>
      <c r="BC113" s="33"/>
      <c r="BD113" s="33"/>
      <c r="BE113" s="33"/>
      <c r="BF113" s="33"/>
      <c r="BG113" s="33"/>
      <c r="BH113" s="33"/>
      <c r="BI113" s="33"/>
      <c r="BJ113" s="33"/>
      <c r="BK113" s="33"/>
      <c r="BL113" s="33"/>
      <c r="BM113" s="33"/>
      <c r="BN113" s="33"/>
      <c r="BO113" s="33"/>
      <c r="BP113" s="33"/>
      <c r="BQ113" s="33"/>
      <c r="BR113" s="33">
        <f t="shared" si="1"/>
        <v>0</v>
      </c>
      <c r="BS113" s="33">
        <f>SUMIFS('Data For Calculation - Insuranc'!I:I,'Data For Calculation - Insuranc'!$A:$A,$A113)</f>
        <v>0</v>
      </c>
      <c r="BT113" s="33">
        <f>SUMIFS('Data For Calculation - Insuranc'!J:J,'Data For Calculation - Insuranc'!$A:$A,$A113)</f>
        <v>0</v>
      </c>
      <c r="BU113" s="33">
        <f>SUMIFS('Data For Calculation - Insuranc'!K:K,'Data For Calculation - Insuranc'!$A:$A,$A113)</f>
        <v>0</v>
      </c>
      <c r="BV113" s="33">
        <f>IF($CC113 = "Dealer", SUMIFS('Data For Calculation - Insuranc'!I:I,'Data For Calculation - Insuranc'!$B:$B,$A113,'Data For Calculation - Insuranc'!$H:$H,"Master Dealer")) + SUMIFS('Data For Calculation - Insuranc'!I:I,'Data For Calculation - Insuranc'!$A:$A,$A113,'Data For Calculation - Insuranc'!$H:$H,"Self")</f>
        <v>0</v>
      </c>
      <c r="BW113" s="33">
        <f>IF($CC113 = "Dealer", SUMIFS('Data For Calculation - Insuranc'!J:J,'Data For Calculation - Insuranc'!$B:$B,$A113,'Data For Calculation - Insuranc'!$H:$H,"Master Dealer")) + SUMIFS('Data For Calculation - Insuranc'!J:J,'Data For Calculation - Insuranc'!$A:$A,$A113,'Data For Calculation - Insuranc'!$H:$H,"Self")</f>
        <v>0</v>
      </c>
      <c r="BX113" s="33">
        <f>IF($CC113 = "Dealer", SUMIFS('Data For Calculation - Insuranc'!K:K,'Data For Calculation - Insuranc'!$B:$B,$A113,'Data For Calculation - Insuranc'!$H:$H,"Master Dealer")) + SUMIFS('Data For Calculation - Insuranc'!K:K,'Data For Calculation - Insuranc'!$A:$A,$A113,'Data For Calculation - Insuranc'!$H:$H,"Self")</f>
        <v>0</v>
      </c>
      <c r="BY113" s="25" t="str">
        <f>(Sheet1!N113)</f>
        <v>MPS</v>
      </c>
      <c r="BZ113" s="25" t="str">
        <f>(Sheet1!O113)</f>
        <v>1ClXh28BQwwGN7Q42xt0Dc8b_R_3jweBItLcbwVq3Rj0</v>
      </c>
      <c r="CA113" s="25" t="str">
        <f>(Sheet1!AV113)</f>
        <v/>
      </c>
      <c r="CB113" s="25" t="str">
        <f>(Sheet1!AW113)</f>
        <v/>
      </c>
      <c r="CC113" s="26" t="str">
        <f>(Sheet1!P113)</f>
        <v>Sub Dealer</v>
      </c>
    </row>
    <row r="114">
      <c r="A114" s="25" t="str">
        <f>(Sheet1!A114)</f>
        <v>10my9j6PucXwYa7gh_WvsXD6uPvI-yhWp3q1FQznHVc8</v>
      </c>
      <c r="B114" s="25" t="str">
        <f>(Sheet1!B114)</f>
        <v>Sohna Honda</v>
      </c>
      <c r="C114" s="30" t="str">
        <f>Sheet1!BB114</f>
        <v>No</v>
      </c>
      <c r="D114" s="30" t="s">
        <v>13</v>
      </c>
      <c r="E114" s="34" t="s">
        <v>13</v>
      </c>
      <c r="F114" s="30" t="s">
        <v>3817</v>
      </c>
      <c r="G114" s="31">
        <v>290.0</v>
      </c>
      <c r="H114" s="34" t="s">
        <v>3853</v>
      </c>
      <c r="I114" s="34">
        <v>0.0</v>
      </c>
      <c r="J114" s="34">
        <v>100.0</v>
      </c>
      <c r="K114" s="34">
        <v>0.0</v>
      </c>
      <c r="L114" s="34">
        <v>0.0</v>
      </c>
      <c r="M114" s="33">
        <f>COUNTIFS('Data For Calculation - Insuranc'!A:A,A114,'Data For Calculation - Insuranc'!E:E,"CPA + RSA")</f>
        <v>0</v>
      </c>
      <c r="N114" s="30" t="s">
        <v>3817</v>
      </c>
      <c r="O114" s="31">
        <v>460.0</v>
      </c>
      <c r="P114" s="34" t="s">
        <v>3853</v>
      </c>
      <c r="Q114" s="34">
        <v>0.0</v>
      </c>
      <c r="R114" s="34">
        <v>100.0</v>
      </c>
      <c r="S114" s="34">
        <v>0.0</v>
      </c>
      <c r="T114" s="34">
        <v>0.0</v>
      </c>
      <c r="U114" s="33">
        <f>COUNTIFS('Data For Calculation - Insuranc'!A:A,A114,'Data For Calculation - Insuranc'!E:E,"CPA + RSA + AHDC + DOC")</f>
        <v>0</v>
      </c>
      <c r="V114" s="30" t="s">
        <v>3817</v>
      </c>
      <c r="W114" s="34">
        <v>838.99</v>
      </c>
      <c r="X114" s="34" t="s">
        <v>3853</v>
      </c>
      <c r="Y114" s="34">
        <v>0.0</v>
      </c>
      <c r="Z114" s="34">
        <v>100.0</v>
      </c>
      <c r="AA114" s="34">
        <v>0.0</v>
      </c>
      <c r="AB114" s="34">
        <v>0.0</v>
      </c>
      <c r="AC114" s="33">
        <f>COUNTIFS('Data For Calculation - Insuranc'!A:A,A114,'Data For Calculation - Insuranc'!E:E,"CPA + RSA : 5 Years")</f>
        <v>0</v>
      </c>
      <c r="AD114" s="30" t="s">
        <v>3817</v>
      </c>
      <c r="AE114" s="31">
        <v>838.99</v>
      </c>
      <c r="AF114" s="34" t="s">
        <v>3853</v>
      </c>
      <c r="AG114" s="34">
        <v>0.0</v>
      </c>
      <c r="AH114" s="34">
        <v>100.0</v>
      </c>
      <c r="AI114" s="34">
        <v>0.0</v>
      </c>
      <c r="AJ114" s="34">
        <v>0.0</v>
      </c>
      <c r="AK114" s="33">
        <f>COUNTIFS('Data For Calculation - Insuranc'!A:A,A114,'Data For Calculation - Insuranc'!E:E,"Assistance + CPA : 5 Years")</f>
        <v>0</v>
      </c>
      <c r="AL114" s="30" t="s">
        <v>3817</v>
      </c>
      <c r="AM114" s="31">
        <v>290.0</v>
      </c>
      <c r="AN114" s="34" t="s">
        <v>3853</v>
      </c>
      <c r="AO114" s="34">
        <v>0.0</v>
      </c>
      <c r="AP114" s="34">
        <v>100.0</v>
      </c>
      <c r="AQ114" s="34">
        <v>0.0</v>
      </c>
      <c r="AR114" s="34">
        <v>0.0</v>
      </c>
      <c r="AS114" s="33">
        <f>COUNTIFS('Data For Calculation - Insuranc'!A:A,A114,'Data For Calculation - Insuranc'!E:E,"RSA + AHDC + DOC")</f>
        <v>0</v>
      </c>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f t="shared" si="1"/>
        <v>0</v>
      </c>
      <c r="BS114" s="33">
        <f>SUMIFS('Data For Calculation - Insuranc'!I:I,'Data For Calculation - Insuranc'!$A:$A,$A114)</f>
        <v>0</v>
      </c>
      <c r="BT114" s="33">
        <f>SUMIFS('Data For Calculation - Insuranc'!J:J,'Data For Calculation - Insuranc'!$A:$A,$A114)</f>
        <v>0</v>
      </c>
      <c r="BU114" s="33">
        <f>SUMIFS('Data For Calculation - Insuranc'!K:K,'Data For Calculation - Insuranc'!$A:$A,$A114)</f>
        <v>0</v>
      </c>
      <c r="BV114" s="33">
        <f>IF($CC114 = "Dealer", SUMIFS('Data For Calculation - Insuranc'!I:I,'Data For Calculation - Insuranc'!$B:$B,$A114,'Data For Calculation - Insuranc'!$H:$H,"Master Dealer")) + SUMIFS('Data For Calculation - Insuranc'!I:I,'Data For Calculation - Insuranc'!$A:$A,$A114,'Data For Calculation - Insuranc'!$H:$H,"Self")</f>
        <v>0</v>
      </c>
      <c r="BW114" s="33">
        <f>IF($CC114 = "Dealer", SUMIFS('Data For Calculation - Insuranc'!J:J,'Data For Calculation - Insuranc'!$B:$B,$A114,'Data For Calculation - Insuranc'!$H:$H,"Master Dealer")) + SUMIFS('Data For Calculation - Insuranc'!J:J,'Data For Calculation - Insuranc'!$A:$A,$A114,'Data For Calculation - Insuranc'!$H:$H,"Self")</f>
        <v>0</v>
      </c>
      <c r="BX114" s="33">
        <f>IF($CC114 = "Dealer", SUMIFS('Data For Calculation - Insuranc'!K:K,'Data For Calculation - Insuranc'!$B:$B,$A114,'Data For Calculation - Insuranc'!$H:$H,"Master Dealer")) + SUMIFS('Data For Calculation - Insuranc'!K:K,'Data For Calculation - Insuranc'!$A:$A,$A114,'Data For Calculation - Insuranc'!$H:$H,"Self")</f>
        <v>0</v>
      </c>
      <c r="BY114" s="25" t="str">
        <f>(Sheet1!N114)</f>
        <v>Sohna Honda</v>
      </c>
      <c r="BZ114" s="25" t="str">
        <f>(Sheet1!O114)</f>
        <v>10my9j6PucXwYa7gh_WvsXD6uPvI-yhWp3q1FQznHVc8</v>
      </c>
      <c r="CA114" s="25" t="str">
        <f>(Sheet1!AV114)</f>
        <v/>
      </c>
      <c r="CB114" s="25" t="str">
        <f>(Sheet1!AW114)</f>
        <v/>
      </c>
      <c r="CC114" s="26" t="str">
        <f>(Sheet1!P114)</f>
        <v>Sub Dealer</v>
      </c>
    </row>
    <row r="115">
      <c r="A115" s="25" t="str">
        <f>(Sheet1!A115)</f>
        <v>1hwxal2Fqa0hEplduGUGitsJlZ0mEGEOEYh3fdHugU9o</v>
      </c>
      <c r="B115" s="25" t="str">
        <f>(Sheet1!B115)</f>
        <v>Shree Balaji Automobiles - Fatehabad</v>
      </c>
      <c r="C115" s="30" t="str">
        <f>Sheet1!BB115</f>
        <v>No</v>
      </c>
      <c r="D115" s="30" t="s">
        <v>13</v>
      </c>
      <c r="E115" s="34" t="s">
        <v>13</v>
      </c>
      <c r="F115" s="30" t="s">
        <v>3820</v>
      </c>
      <c r="G115" s="31">
        <v>290.0</v>
      </c>
      <c r="H115" s="34" t="s">
        <v>3853</v>
      </c>
      <c r="I115" s="34">
        <v>0.0</v>
      </c>
      <c r="J115" s="34">
        <v>100.0</v>
      </c>
      <c r="K115" s="34">
        <v>0.0</v>
      </c>
      <c r="L115" s="34">
        <v>0.0</v>
      </c>
      <c r="M115" s="33">
        <f>COUNTIFS('Data For Calculation - Insuranc'!A:A,A115,'Data For Calculation - Insuranc'!E:E,"CPA + RSA")</f>
        <v>0</v>
      </c>
      <c r="N115" s="30" t="s">
        <v>3820</v>
      </c>
      <c r="O115" s="31">
        <v>460.0</v>
      </c>
      <c r="P115" s="34" t="s">
        <v>3853</v>
      </c>
      <c r="Q115" s="34">
        <v>0.0</v>
      </c>
      <c r="R115" s="34">
        <v>100.0</v>
      </c>
      <c r="S115" s="34">
        <v>0.0</v>
      </c>
      <c r="T115" s="34">
        <v>0.0</v>
      </c>
      <c r="U115" s="33">
        <f>COUNTIFS('Data For Calculation - Insuranc'!A:A,A115,'Data For Calculation - Insuranc'!E:E,"CPA + RSA + AHDC + DOC")</f>
        <v>0</v>
      </c>
      <c r="V115" s="30" t="s">
        <v>3820</v>
      </c>
      <c r="W115" s="34">
        <v>838.99</v>
      </c>
      <c r="X115" s="34" t="s">
        <v>3853</v>
      </c>
      <c r="Y115" s="34">
        <v>0.0</v>
      </c>
      <c r="Z115" s="34">
        <v>100.0</v>
      </c>
      <c r="AA115" s="34">
        <v>0.0</v>
      </c>
      <c r="AB115" s="34">
        <v>0.0</v>
      </c>
      <c r="AC115" s="33">
        <f>COUNTIFS('Data For Calculation - Insuranc'!A:A,A115,'Data For Calculation - Insuranc'!E:E,"CPA + RSA : 5 Years")</f>
        <v>0</v>
      </c>
      <c r="AD115" s="30" t="s">
        <v>3820</v>
      </c>
      <c r="AE115" s="31">
        <v>838.99</v>
      </c>
      <c r="AF115" s="34" t="s">
        <v>3853</v>
      </c>
      <c r="AG115" s="34">
        <v>0.0</v>
      </c>
      <c r="AH115" s="34">
        <v>100.0</v>
      </c>
      <c r="AI115" s="34">
        <v>0.0</v>
      </c>
      <c r="AJ115" s="34">
        <v>0.0</v>
      </c>
      <c r="AK115" s="33">
        <f>COUNTIFS('Data For Calculation - Insuranc'!A:A,A115,'Data For Calculation - Insuranc'!E:E,"Assistance + CPA : 5 Years")</f>
        <v>0</v>
      </c>
      <c r="AL115" s="30" t="s">
        <v>3820</v>
      </c>
      <c r="AM115" s="31">
        <v>290.0</v>
      </c>
      <c r="AN115" s="34" t="s">
        <v>3853</v>
      </c>
      <c r="AO115" s="34">
        <v>0.0</v>
      </c>
      <c r="AP115" s="34">
        <v>100.0</v>
      </c>
      <c r="AQ115" s="34">
        <v>0.0</v>
      </c>
      <c r="AR115" s="34">
        <v>0.0</v>
      </c>
      <c r="AS115" s="33">
        <f>COUNTIFS('Data For Calculation - Insuranc'!A:A,A115,'Data For Calculation - Insuranc'!E:E,"RSA + AHDC + DOC")</f>
        <v>0</v>
      </c>
      <c r="AT115" s="33"/>
      <c r="AU115" s="33"/>
      <c r="AV115" s="33"/>
      <c r="AW115" s="33"/>
      <c r="AX115" s="33"/>
      <c r="AY115" s="33"/>
      <c r="AZ115" s="33"/>
      <c r="BA115" s="33"/>
      <c r="BB115" s="33"/>
      <c r="BC115" s="33"/>
      <c r="BD115" s="33"/>
      <c r="BE115" s="33"/>
      <c r="BF115" s="33"/>
      <c r="BG115" s="33"/>
      <c r="BH115" s="33"/>
      <c r="BI115" s="33"/>
      <c r="BJ115" s="33"/>
      <c r="BK115" s="33"/>
      <c r="BL115" s="33"/>
      <c r="BM115" s="33"/>
      <c r="BN115" s="33"/>
      <c r="BO115" s="33"/>
      <c r="BP115" s="33"/>
      <c r="BQ115" s="33"/>
      <c r="BR115" s="33">
        <f t="shared" si="1"/>
        <v>0</v>
      </c>
      <c r="BS115" s="33">
        <f>SUMIFS('Data For Calculation - Insuranc'!I:I,'Data For Calculation - Insuranc'!$A:$A,$A115)</f>
        <v>0</v>
      </c>
      <c r="BT115" s="33">
        <f>SUMIFS('Data For Calculation - Insuranc'!J:J,'Data For Calculation - Insuranc'!$A:$A,$A115)</f>
        <v>0</v>
      </c>
      <c r="BU115" s="33">
        <f>SUMIFS('Data For Calculation - Insuranc'!K:K,'Data For Calculation - Insuranc'!$A:$A,$A115)</f>
        <v>0</v>
      </c>
      <c r="BV115" s="33">
        <f>IF($CC115 = "Dealer", SUMIFS('Data For Calculation - Insuranc'!I:I,'Data For Calculation - Insuranc'!$B:$B,$A115,'Data For Calculation - Insuranc'!$H:$H,"Master Dealer")) + SUMIFS('Data For Calculation - Insuranc'!I:I,'Data For Calculation - Insuranc'!$A:$A,$A115,'Data For Calculation - Insuranc'!$H:$H,"Self")</f>
        <v>0</v>
      </c>
      <c r="BW115" s="33">
        <f>IF($CC115 = "Dealer", SUMIFS('Data For Calculation - Insuranc'!J:J,'Data For Calculation - Insuranc'!$B:$B,$A115,'Data For Calculation - Insuranc'!$H:$H,"Master Dealer")) + SUMIFS('Data For Calculation - Insuranc'!J:J,'Data For Calculation - Insuranc'!$A:$A,$A115,'Data For Calculation - Insuranc'!$H:$H,"Self")</f>
        <v>0</v>
      </c>
      <c r="BX115" s="33">
        <f>IF($CC115 = "Dealer", SUMIFS('Data For Calculation - Insuranc'!K:K,'Data For Calculation - Insuranc'!$B:$B,$A115,'Data For Calculation - Insuranc'!$H:$H,"Master Dealer")) + SUMIFS('Data For Calculation - Insuranc'!K:K,'Data For Calculation - Insuranc'!$A:$A,$A115,'Data For Calculation - Insuranc'!$H:$H,"Self")</f>
        <v>0</v>
      </c>
      <c r="BY115" s="25" t="str">
        <f>(Sheet1!N115)</f>
        <v>Shree Balaji Automobiles - Fatehabad</v>
      </c>
      <c r="BZ115" s="25" t="str">
        <f>(Sheet1!O115)</f>
        <v>1hwxal2Fqa0hEplduGUGitsJlZ0mEGEOEYh3fdHugU9o</v>
      </c>
      <c r="CA115" s="25" t="str">
        <f>(Sheet1!AV115)</f>
        <v/>
      </c>
      <c r="CB115" s="25" t="str">
        <f>(Sheet1!AW115)</f>
        <v/>
      </c>
      <c r="CC115" s="26" t="str">
        <f>(Sheet1!P115)</f>
        <v>Dealer</v>
      </c>
    </row>
    <row r="116">
      <c r="A116" s="25" t="str">
        <f>(Sheet1!A116)</f>
        <v>1AyozEGLZqJCcdssyT5lh9p367qkQ4ixlLx7VhIkGjas</v>
      </c>
      <c r="B116" s="25" t="str">
        <f>(Sheet1!B116)</f>
        <v>Shri Krishna Auto - Rohtak</v>
      </c>
      <c r="C116" s="30" t="str">
        <f>Sheet1!BB116</f>
        <v>No</v>
      </c>
      <c r="D116" s="30" t="s">
        <v>13</v>
      </c>
      <c r="E116" s="34" t="s">
        <v>13</v>
      </c>
      <c r="F116" s="30" t="s">
        <v>3817</v>
      </c>
      <c r="G116" s="31">
        <v>290.0</v>
      </c>
      <c r="H116" s="34" t="s">
        <v>3853</v>
      </c>
      <c r="I116" s="34">
        <v>0.0</v>
      </c>
      <c r="J116" s="34">
        <v>100.0</v>
      </c>
      <c r="K116" s="34">
        <v>0.0</v>
      </c>
      <c r="L116" s="34">
        <v>0.0</v>
      </c>
      <c r="M116" s="33">
        <f>COUNTIFS('Data For Calculation - Insuranc'!A:A,A116,'Data For Calculation - Insuranc'!E:E,"CPA + RSA")</f>
        <v>0</v>
      </c>
      <c r="N116" s="30" t="s">
        <v>3817</v>
      </c>
      <c r="O116" s="31">
        <v>460.0</v>
      </c>
      <c r="P116" s="34" t="s">
        <v>3853</v>
      </c>
      <c r="Q116" s="34">
        <v>0.0</v>
      </c>
      <c r="R116" s="34">
        <v>100.0</v>
      </c>
      <c r="S116" s="34">
        <v>0.0</v>
      </c>
      <c r="T116" s="34">
        <v>0.0</v>
      </c>
      <c r="U116" s="33">
        <f>COUNTIFS('Data For Calculation - Insuranc'!A:A,A116,'Data For Calculation - Insuranc'!E:E,"CPA + RSA + AHDC + DOC")</f>
        <v>0</v>
      </c>
      <c r="V116" s="30" t="s">
        <v>3817</v>
      </c>
      <c r="W116" s="34">
        <v>838.99</v>
      </c>
      <c r="X116" s="34" t="s">
        <v>3853</v>
      </c>
      <c r="Y116" s="34">
        <v>0.0</v>
      </c>
      <c r="Z116" s="34">
        <v>100.0</v>
      </c>
      <c r="AA116" s="34">
        <v>0.0</v>
      </c>
      <c r="AB116" s="34">
        <v>0.0</v>
      </c>
      <c r="AC116" s="33">
        <f>COUNTIFS('Data For Calculation - Insuranc'!A:A,A116,'Data For Calculation - Insuranc'!E:E,"CPA + RSA : 5 Years")</f>
        <v>0</v>
      </c>
      <c r="AD116" s="30" t="s">
        <v>3817</v>
      </c>
      <c r="AE116" s="31">
        <v>838.99</v>
      </c>
      <c r="AF116" s="34" t="s">
        <v>3853</v>
      </c>
      <c r="AG116" s="34">
        <v>0.0</v>
      </c>
      <c r="AH116" s="34">
        <v>100.0</v>
      </c>
      <c r="AI116" s="34">
        <v>0.0</v>
      </c>
      <c r="AJ116" s="34">
        <v>0.0</v>
      </c>
      <c r="AK116" s="33">
        <f>COUNTIFS('Data For Calculation - Insuranc'!A:A,A116,'Data For Calculation - Insuranc'!E:E,"Assistance + CPA : 5 Years")</f>
        <v>0</v>
      </c>
      <c r="AL116" s="30" t="s">
        <v>3817</v>
      </c>
      <c r="AM116" s="31">
        <v>290.0</v>
      </c>
      <c r="AN116" s="34" t="s">
        <v>3853</v>
      </c>
      <c r="AO116" s="34">
        <v>0.0</v>
      </c>
      <c r="AP116" s="34">
        <v>100.0</v>
      </c>
      <c r="AQ116" s="34">
        <v>0.0</v>
      </c>
      <c r="AR116" s="34">
        <v>0.0</v>
      </c>
      <c r="AS116" s="33">
        <f>COUNTIFS('Data For Calculation - Insuranc'!A:A,A116,'Data For Calculation - Insuranc'!E:E,"RSA + AHDC + DOC")</f>
        <v>0</v>
      </c>
      <c r="AT116" s="33"/>
      <c r="AU116" s="33"/>
      <c r="AV116" s="33"/>
      <c r="AW116" s="33"/>
      <c r="AX116" s="33"/>
      <c r="AY116" s="33"/>
      <c r="AZ116" s="33"/>
      <c r="BA116" s="33"/>
      <c r="BB116" s="33"/>
      <c r="BC116" s="33"/>
      <c r="BD116" s="33"/>
      <c r="BE116" s="33"/>
      <c r="BF116" s="33"/>
      <c r="BG116" s="33"/>
      <c r="BH116" s="33"/>
      <c r="BI116" s="33"/>
      <c r="BJ116" s="33"/>
      <c r="BK116" s="33"/>
      <c r="BL116" s="33"/>
      <c r="BM116" s="33"/>
      <c r="BN116" s="33"/>
      <c r="BO116" s="33"/>
      <c r="BP116" s="33"/>
      <c r="BQ116" s="33"/>
      <c r="BR116" s="33">
        <f t="shared" si="1"/>
        <v>0</v>
      </c>
      <c r="BS116" s="33">
        <f>SUMIFS('Data For Calculation - Insuranc'!I:I,'Data For Calculation - Insuranc'!$A:$A,$A116)</f>
        <v>0</v>
      </c>
      <c r="BT116" s="33">
        <f>SUMIFS('Data For Calculation - Insuranc'!J:J,'Data For Calculation - Insuranc'!$A:$A,$A116)</f>
        <v>0</v>
      </c>
      <c r="BU116" s="33">
        <f>SUMIFS('Data For Calculation - Insuranc'!K:K,'Data For Calculation - Insuranc'!$A:$A,$A116)</f>
        <v>0</v>
      </c>
      <c r="BV116" s="33">
        <f>IF($CC116 = "Dealer", SUMIFS('Data For Calculation - Insuranc'!I:I,'Data For Calculation - Insuranc'!$B:$B,$A116,'Data For Calculation - Insuranc'!$H:$H,"Master Dealer")) + SUMIFS('Data For Calculation - Insuranc'!I:I,'Data For Calculation - Insuranc'!$A:$A,$A116,'Data For Calculation - Insuranc'!$H:$H,"Self")</f>
        <v>0</v>
      </c>
      <c r="BW116" s="33">
        <f>IF($CC116 = "Dealer", SUMIFS('Data For Calculation - Insuranc'!J:J,'Data For Calculation - Insuranc'!$B:$B,$A116,'Data For Calculation - Insuranc'!$H:$H,"Master Dealer")) + SUMIFS('Data For Calculation - Insuranc'!J:J,'Data For Calculation - Insuranc'!$A:$A,$A116,'Data For Calculation - Insuranc'!$H:$H,"Self")</f>
        <v>0</v>
      </c>
      <c r="BX116" s="33">
        <f>IF($CC116 = "Dealer", SUMIFS('Data For Calculation - Insuranc'!K:K,'Data For Calculation - Insuranc'!$B:$B,$A116,'Data For Calculation - Insuranc'!$H:$H,"Master Dealer")) + SUMIFS('Data For Calculation - Insuranc'!K:K,'Data For Calculation - Insuranc'!$A:$A,$A116,'Data For Calculation - Insuranc'!$H:$H,"Self")</f>
        <v>0</v>
      </c>
      <c r="BY116" s="25" t="str">
        <f>(Sheet1!N116)</f>
        <v>Shri Krishna Auto - Rohtak</v>
      </c>
      <c r="BZ116" s="25" t="str">
        <f>(Sheet1!O116)</f>
        <v>1AyozEGLZqJCcdssyT5lh9p367qkQ4ixlLx7VhIkGjas</v>
      </c>
      <c r="CA116" s="25" t="str">
        <f>(Sheet1!AV116)</f>
        <v/>
      </c>
      <c r="CB116" s="25" t="str">
        <f>(Sheet1!AW116)</f>
        <v/>
      </c>
      <c r="CC116" s="26" t="str">
        <f>(Sheet1!P116)</f>
        <v>Dealer</v>
      </c>
    </row>
    <row r="117">
      <c r="A117" s="25" t="str">
        <f>(Sheet1!A117)</f>
        <v>1vT3QczjVeQXI3BUHWLVlmriSeWuoyjUZOrXtNn1poas</v>
      </c>
      <c r="B117" s="25" t="str">
        <f>(Sheet1!B117)</f>
        <v>Ratandeep Motors - Sultanpur</v>
      </c>
      <c r="C117" s="30" t="str">
        <f>Sheet1!BB117</f>
        <v>No</v>
      </c>
      <c r="D117" s="30" t="s">
        <v>13</v>
      </c>
      <c r="E117" s="34" t="s">
        <v>13</v>
      </c>
      <c r="F117" s="30" t="s">
        <v>3817</v>
      </c>
      <c r="G117" s="31">
        <v>290.0</v>
      </c>
      <c r="H117" s="34" t="s">
        <v>3853</v>
      </c>
      <c r="I117" s="34">
        <v>0.0</v>
      </c>
      <c r="J117" s="34">
        <v>100.0</v>
      </c>
      <c r="K117" s="34">
        <v>0.0</v>
      </c>
      <c r="L117" s="34">
        <v>0.0</v>
      </c>
      <c r="M117" s="33">
        <f>COUNTIFS('Data For Calculation - Insuranc'!A:A,A117,'Data For Calculation - Insuranc'!E:E,"CPA + RSA")</f>
        <v>0</v>
      </c>
      <c r="N117" s="30" t="s">
        <v>3817</v>
      </c>
      <c r="O117" s="31">
        <v>460.0</v>
      </c>
      <c r="P117" s="34" t="s">
        <v>3853</v>
      </c>
      <c r="Q117" s="34">
        <v>0.0</v>
      </c>
      <c r="R117" s="34">
        <v>100.0</v>
      </c>
      <c r="S117" s="34">
        <v>0.0</v>
      </c>
      <c r="T117" s="34">
        <v>0.0</v>
      </c>
      <c r="U117" s="33">
        <f>COUNTIFS('Data For Calculation - Insuranc'!A:A,A117,'Data For Calculation - Insuranc'!E:E,"CPA + RSA + AHDC + DOC")</f>
        <v>0</v>
      </c>
      <c r="V117" s="30" t="s">
        <v>3817</v>
      </c>
      <c r="W117" s="34">
        <v>838.99</v>
      </c>
      <c r="X117" s="34" t="s">
        <v>3853</v>
      </c>
      <c r="Y117" s="34">
        <v>0.0</v>
      </c>
      <c r="Z117" s="34">
        <v>100.0</v>
      </c>
      <c r="AA117" s="34">
        <v>0.0</v>
      </c>
      <c r="AB117" s="34">
        <v>0.0</v>
      </c>
      <c r="AC117" s="33">
        <f>COUNTIFS('Data For Calculation - Insuranc'!A:A,A117,'Data For Calculation - Insuranc'!E:E,"CPA + RSA : 5 Years")</f>
        <v>0</v>
      </c>
      <c r="AD117" s="30" t="s">
        <v>3817</v>
      </c>
      <c r="AE117" s="31">
        <v>838.99</v>
      </c>
      <c r="AF117" s="34" t="s">
        <v>3853</v>
      </c>
      <c r="AG117" s="34">
        <v>0.0</v>
      </c>
      <c r="AH117" s="34">
        <v>100.0</v>
      </c>
      <c r="AI117" s="34">
        <v>0.0</v>
      </c>
      <c r="AJ117" s="34">
        <v>0.0</v>
      </c>
      <c r="AK117" s="33">
        <f>COUNTIFS('Data For Calculation - Insuranc'!A:A,A117,'Data For Calculation - Insuranc'!E:E,"Assistance + CPA : 5 Years")</f>
        <v>0</v>
      </c>
      <c r="AL117" s="30" t="s">
        <v>3817</v>
      </c>
      <c r="AM117" s="31">
        <v>290.0</v>
      </c>
      <c r="AN117" s="34" t="s">
        <v>3853</v>
      </c>
      <c r="AO117" s="34">
        <v>0.0</v>
      </c>
      <c r="AP117" s="34">
        <v>100.0</v>
      </c>
      <c r="AQ117" s="34">
        <v>0.0</v>
      </c>
      <c r="AR117" s="34">
        <v>0.0</v>
      </c>
      <c r="AS117" s="33">
        <f>COUNTIFS('Data For Calculation - Insuranc'!A:A,A117,'Data For Calculation - Insuranc'!E:E,"RSA + AHDC + DOC")</f>
        <v>0</v>
      </c>
      <c r="AT117" s="33"/>
      <c r="AU117" s="33"/>
      <c r="AV117" s="33"/>
      <c r="AW117" s="33"/>
      <c r="AX117" s="33"/>
      <c r="AY117" s="33"/>
      <c r="AZ117" s="33"/>
      <c r="BA117" s="33"/>
      <c r="BB117" s="33"/>
      <c r="BC117" s="33"/>
      <c r="BD117" s="33"/>
      <c r="BE117" s="33"/>
      <c r="BF117" s="33"/>
      <c r="BG117" s="33"/>
      <c r="BH117" s="33"/>
      <c r="BI117" s="33"/>
      <c r="BJ117" s="33"/>
      <c r="BK117" s="33"/>
      <c r="BL117" s="33"/>
      <c r="BM117" s="33"/>
      <c r="BN117" s="33"/>
      <c r="BO117" s="33"/>
      <c r="BP117" s="33"/>
      <c r="BQ117" s="33"/>
      <c r="BR117" s="33">
        <f t="shared" si="1"/>
        <v>0</v>
      </c>
      <c r="BS117" s="33">
        <f>SUMIFS('Data For Calculation - Insuranc'!I:I,'Data For Calculation - Insuranc'!$A:$A,$A117)</f>
        <v>0</v>
      </c>
      <c r="BT117" s="33">
        <f>SUMIFS('Data For Calculation - Insuranc'!J:J,'Data For Calculation - Insuranc'!$A:$A,$A117)</f>
        <v>0</v>
      </c>
      <c r="BU117" s="33">
        <f>SUMIFS('Data For Calculation - Insuranc'!K:K,'Data For Calculation - Insuranc'!$A:$A,$A117)</f>
        <v>0</v>
      </c>
      <c r="BV117" s="33">
        <f>IF($CC117 = "Dealer", SUMIFS('Data For Calculation - Insuranc'!I:I,'Data For Calculation - Insuranc'!$B:$B,$A117,'Data For Calculation - Insuranc'!$H:$H,"Master Dealer")) + SUMIFS('Data For Calculation - Insuranc'!I:I,'Data For Calculation - Insuranc'!$A:$A,$A117,'Data For Calculation - Insuranc'!$H:$H,"Self")</f>
        <v>0</v>
      </c>
      <c r="BW117" s="33">
        <f>IF($CC117 = "Dealer", SUMIFS('Data For Calculation - Insuranc'!J:J,'Data For Calculation - Insuranc'!$B:$B,$A117,'Data For Calculation - Insuranc'!$H:$H,"Master Dealer")) + SUMIFS('Data For Calculation - Insuranc'!J:J,'Data For Calculation - Insuranc'!$A:$A,$A117,'Data For Calculation - Insuranc'!$H:$H,"Self")</f>
        <v>0</v>
      </c>
      <c r="BX117" s="33">
        <f>IF($CC117 = "Dealer", SUMIFS('Data For Calculation - Insuranc'!K:K,'Data For Calculation - Insuranc'!$B:$B,$A117,'Data For Calculation - Insuranc'!$H:$H,"Master Dealer")) + SUMIFS('Data For Calculation - Insuranc'!K:K,'Data For Calculation - Insuranc'!$A:$A,$A117,'Data For Calculation - Insuranc'!$H:$H,"Self")</f>
        <v>0</v>
      </c>
      <c r="BY117" s="25" t="str">
        <f>(Sheet1!N117)</f>
        <v>Ratandeep Motors - Sultanpur</v>
      </c>
      <c r="BZ117" s="25" t="str">
        <f>(Sheet1!O117)</f>
        <v>1vT3QczjVeQXI3BUHWLVlmriSeWuoyjUZOrXtNn1poas</v>
      </c>
      <c r="CA117" s="25" t="str">
        <f>(Sheet1!AV117)</f>
        <v/>
      </c>
      <c r="CB117" s="25" t="str">
        <f>(Sheet1!AW117)</f>
        <v/>
      </c>
      <c r="CC117" s="26" t="str">
        <f>(Sheet1!P117)</f>
        <v>Dealer</v>
      </c>
    </row>
    <row r="118">
      <c r="A118" s="25" t="str">
        <f>(Sheet1!A118)</f>
        <v>1tXTdyZsoSXVb9B3iBitP1V6V5cBJgmDdDrd7x6dN0R4</v>
      </c>
      <c r="B118" s="25" t="str">
        <f>(Sheet1!B118)</f>
        <v>Vijay Auto Agency (AAA) - Borna</v>
      </c>
      <c r="C118" s="30" t="str">
        <f>Sheet1!BB118</f>
        <v>No</v>
      </c>
      <c r="D118" s="30" t="s">
        <v>13</v>
      </c>
      <c r="E118" s="34" t="s">
        <v>13</v>
      </c>
      <c r="F118" s="30" t="s">
        <v>3817</v>
      </c>
      <c r="G118" s="31">
        <v>155.0</v>
      </c>
      <c r="H118" s="34" t="s">
        <v>3853</v>
      </c>
      <c r="I118" s="34">
        <v>0.0</v>
      </c>
      <c r="J118" s="34">
        <v>100.0</v>
      </c>
      <c r="K118" s="34">
        <v>0.0</v>
      </c>
      <c r="L118" s="34">
        <v>0.0</v>
      </c>
      <c r="M118" s="33">
        <f>COUNTIFS('Data For Calculation - Insuranc'!A:A,A118,'Data For Calculation - Insuranc'!E:E,"CPA + RSA")</f>
        <v>0</v>
      </c>
      <c r="N118" s="30" t="s">
        <v>3817</v>
      </c>
      <c r="O118" s="41">
        <v>155.0</v>
      </c>
      <c r="P118" s="34" t="s">
        <v>3853</v>
      </c>
      <c r="Q118" s="34">
        <v>0.0</v>
      </c>
      <c r="R118" s="34">
        <v>100.0</v>
      </c>
      <c r="S118" s="34">
        <v>0.0</v>
      </c>
      <c r="T118" s="34">
        <v>0.0</v>
      </c>
      <c r="U118" s="33">
        <f>COUNTIFS('Data For Calculation - Insuranc'!A:A,A118,'Data For Calculation - Insuranc'!E:E,"CPA + RSA + AHDC + DOC")</f>
        <v>0</v>
      </c>
      <c r="V118" s="30" t="s">
        <v>3817</v>
      </c>
      <c r="W118" s="34">
        <v>838.99</v>
      </c>
      <c r="X118" s="34" t="s">
        <v>3853</v>
      </c>
      <c r="Y118" s="34">
        <v>0.0</v>
      </c>
      <c r="Z118" s="34">
        <v>100.0</v>
      </c>
      <c r="AA118" s="34">
        <v>0.0</v>
      </c>
      <c r="AB118" s="34">
        <v>0.0</v>
      </c>
      <c r="AC118" s="33">
        <f>COUNTIFS('Data For Calculation - Insuranc'!A:A,A118,'Data For Calculation - Insuranc'!E:E,"CPA + RSA : 5 Years")</f>
        <v>0</v>
      </c>
      <c r="AD118" s="30" t="s">
        <v>3817</v>
      </c>
      <c r="AE118" s="31">
        <v>838.99</v>
      </c>
      <c r="AF118" s="34" t="s">
        <v>3853</v>
      </c>
      <c r="AG118" s="34">
        <v>0.0</v>
      </c>
      <c r="AH118" s="34">
        <v>100.0</v>
      </c>
      <c r="AI118" s="34">
        <v>0.0</v>
      </c>
      <c r="AJ118" s="34">
        <v>0.0</v>
      </c>
      <c r="AK118" s="33">
        <f>COUNTIFS('Data For Calculation - Insuranc'!A:A,A118,'Data For Calculation - Insuranc'!E:E,"Assistance + CPA : 5 Years")</f>
        <v>0</v>
      </c>
      <c r="AL118" s="30" t="s">
        <v>3817</v>
      </c>
      <c r="AM118" s="31">
        <v>155.0</v>
      </c>
      <c r="AN118" s="34" t="s">
        <v>3853</v>
      </c>
      <c r="AO118" s="34">
        <v>0.0</v>
      </c>
      <c r="AP118" s="34">
        <v>100.0</v>
      </c>
      <c r="AQ118" s="34">
        <v>0.0</v>
      </c>
      <c r="AR118" s="34">
        <v>0.0</v>
      </c>
      <c r="AS118" s="33">
        <f>COUNTIFS('Data For Calculation - Insuranc'!A:A,A118,'Data For Calculation - Insuranc'!E:E,"RSA + AHDC + DOC")</f>
        <v>0</v>
      </c>
      <c r="AT118" s="33"/>
      <c r="AU118" s="33"/>
      <c r="AV118" s="33"/>
      <c r="AW118" s="33"/>
      <c r="AX118" s="33"/>
      <c r="AY118" s="33"/>
      <c r="AZ118" s="33"/>
      <c r="BA118" s="33"/>
      <c r="BB118" s="33"/>
      <c r="BC118" s="33"/>
      <c r="BD118" s="33"/>
      <c r="BE118" s="33"/>
      <c r="BF118" s="33"/>
      <c r="BG118" s="33"/>
      <c r="BH118" s="33"/>
      <c r="BI118" s="33"/>
      <c r="BJ118" s="33"/>
      <c r="BK118" s="33"/>
      <c r="BL118" s="33"/>
      <c r="BM118" s="33"/>
      <c r="BN118" s="33"/>
      <c r="BO118" s="33"/>
      <c r="BP118" s="33"/>
      <c r="BQ118" s="33"/>
      <c r="BR118" s="33">
        <f t="shared" si="1"/>
        <v>0</v>
      </c>
      <c r="BS118" s="33">
        <f>SUMIFS('Data For Calculation - Insuranc'!I:I,'Data For Calculation - Insuranc'!$A:$A,$A118)</f>
        <v>0</v>
      </c>
      <c r="BT118" s="33">
        <f>SUMIFS('Data For Calculation - Insuranc'!J:J,'Data For Calculation - Insuranc'!$A:$A,$A118)</f>
        <v>0</v>
      </c>
      <c r="BU118" s="33">
        <f>SUMIFS('Data For Calculation - Insuranc'!K:K,'Data For Calculation - Insuranc'!$A:$A,$A118)</f>
        <v>0</v>
      </c>
      <c r="BV118" s="33">
        <f>IF($CC118 = "Dealer", SUMIFS('Data For Calculation - Insuranc'!I:I,'Data For Calculation - Insuranc'!$B:$B,$A118,'Data For Calculation - Insuranc'!$H:$H,"Master Dealer")) + SUMIFS('Data For Calculation - Insuranc'!I:I,'Data For Calculation - Insuranc'!$A:$A,$A118,'Data For Calculation - Insuranc'!$H:$H,"Self")</f>
        <v>0</v>
      </c>
      <c r="BW118" s="33">
        <f>IF($CC118 = "Dealer", SUMIFS('Data For Calculation - Insuranc'!J:J,'Data For Calculation - Insuranc'!$B:$B,$A118,'Data For Calculation - Insuranc'!$H:$H,"Master Dealer")) + SUMIFS('Data For Calculation - Insuranc'!J:J,'Data For Calculation - Insuranc'!$A:$A,$A118,'Data For Calculation - Insuranc'!$H:$H,"Self")</f>
        <v>0</v>
      </c>
      <c r="BX118" s="33">
        <f>IF($CC118 = "Dealer", SUMIFS('Data For Calculation - Insuranc'!K:K,'Data For Calculation - Insuranc'!$B:$B,$A118,'Data For Calculation - Insuranc'!$H:$H,"Master Dealer")) + SUMIFS('Data For Calculation - Insuranc'!K:K,'Data For Calculation - Insuranc'!$A:$A,$A118,'Data For Calculation - Insuranc'!$H:$H,"Self")</f>
        <v>0</v>
      </c>
      <c r="BY118" s="25" t="str">
        <f>(Sheet1!N118)</f>
        <v>AAA</v>
      </c>
      <c r="BZ118" s="25" t="str">
        <f>(Sheet1!O118)</f>
        <v>1AjVyIHPgPw3jscNmkTH1qzR2RokK5FZaJLjeNfOiYAA</v>
      </c>
      <c r="CA118" s="25" t="str">
        <f>(Sheet1!AV118)</f>
        <v/>
      </c>
      <c r="CB118" s="25" t="str">
        <f>(Sheet1!AW118)</f>
        <v/>
      </c>
      <c r="CC118" s="26" t="str">
        <f>(Sheet1!P118)</f>
        <v>Sub Dealer</v>
      </c>
    </row>
    <row r="119">
      <c r="A119" s="25" t="str">
        <f>(Sheet1!A119)</f>
        <v>11FZlKtFUzBvNAVUVwf1C2KpyoxHhbZTiI7E_EdPr-mg</v>
      </c>
      <c r="B119" s="25" t="str">
        <f>(Sheet1!B119)</f>
        <v>Sumitra Sons - Shahajahanpur</v>
      </c>
      <c r="C119" s="30" t="str">
        <f>Sheet1!BB119</f>
        <v>No</v>
      </c>
      <c r="D119" s="30" t="s">
        <v>13</v>
      </c>
      <c r="E119" s="34" t="s">
        <v>13</v>
      </c>
      <c r="F119" s="30" t="s">
        <v>3817</v>
      </c>
      <c r="G119" s="31">
        <v>290.0</v>
      </c>
      <c r="H119" s="34" t="s">
        <v>3853</v>
      </c>
      <c r="I119" s="34">
        <v>0.0</v>
      </c>
      <c r="J119" s="34">
        <v>100.0</v>
      </c>
      <c r="K119" s="34">
        <v>0.0</v>
      </c>
      <c r="L119" s="34">
        <v>0.0</v>
      </c>
      <c r="M119" s="33">
        <f>COUNTIFS('Data For Calculation - Insuranc'!A:A,A119,'Data For Calculation - Insuranc'!E:E,"CPA + RSA")</f>
        <v>0</v>
      </c>
      <c r="N119" s="30" t="s">
        <v>3817</v>
      </c>
      <c r="O119" s="31">
        <v>460.0</v>
      </c>
      <c r="P119" s="34" t="s">
        <v>3853</v>
      </c>
      <c r="Q119" s="34">
        <v>0.0</v>
      </c>
      <c r="R119" s="34">
        <v>100.0</v>
      </c>
      <c r="S119" s="34">
        <v>0.0</v>
      </c>
      <c r="T119" s="34">
        <v>0.0</v>
      </c>
      <c r="U119" s="33">
        <f>COUNTIFS('Data For Calculation - Insuranc'!A:A,A119,'Data For Calculation - Insuranc'!E:E,"CPA + RSA + AHDC + DOC")</f>
        <v>0</v>
      </c>
      <c r="V119" s="30" t="s">
        <v>3817</v>
      </c>
      <c r="W119" s="34">
        <v>838.99</v>
      </c>
      <c r="X119" s="34" t="s">
        <v>3853</v>
      </c>
      <c r="Y119" s="34">
        <v>0.0</v>
      </c>
      <c r="Z119" s="34">
        <v>100.0</v>
      </c>
      <c r="AA119" s="34">
        <v>0.0</v>
      </c>
      <c r="AB119" s="34">
        <v>0.0</v>
      </c>
      <c r="AC119" s="33">
        <f>COUNTIFS('Data For Calculation - Insuranc'!A:A,A119,'Data For Calculation - Insuranc'!E:E,"CPA + RSA : 5 Years")</f>
        <v>0</v>
      </c>
      <c r="AD119" s="30" t="s">
        <v>3817</v>
      </c>
      <c r="AE119" s="31">
        <v>838.99</v>
      </c>
      <c r="AF119" s="34" t="s">
        <v>3853</v>
      </c>
      <c r="AG119" s="34">
        <v>0.0</v>
      </c>
      <c r="AH119" s="34">
        <v>100.0</v>
      </c>
      <c r="AI119" s="34">
        <v>0.0</v>
      </c>
      <c r="AJ119" s="34">
        <v>0.0</v>
      </c>
      <c r="AK119" s="33">
        <f>COUNTIFS('Data For Calculation - Insuranc'!A:A,A119,'Data For Calculation - Insuranc'!E:E,"Assistance + CPA : 5 Years")</f>
        <v>0</v>
      </c>
      <c r="AL119" s="30" t="s">
        <v>3817</v>
      </c>
      <c r="AM119" s="31">
        <v>290.0</v>
      </c>
      <c r="AN119" s="34" t="s">
        <v>3853</v>
      </c>
      <c r="AO119" s="34">
        <v>0.0</v>
      </c>
      <c r="AP119" s="34">
        <v>100.0</v>
      </c>
      <c r="AQ119" s="34">
        <v>0.0</v>
      </c>
      <c r="AR119" s="34">
        <v>0.0</v>
      </c>
      <c r="AS119" s="33">
        <f>COUNTIFS('Data For Calculation - Insuranc'!A:A,A119,'Data For Calculation - Insuranc'!E:E,"RSA + AHDC + DOC")</f>
        <v>0</v>
      </c>
      <c r="AT119" s="33"/>
      <c r="AU119" s="33"/>
      <c r="AV119" s="33"/>
      <c r="AW119" s="33"/>
      <c r="AX119" s="33"/>
      <c r="AY119" s="33"/>
      <c r="AZ119" s="33"/>
      <c r="BA119" s="33"/>
      <c r="BB119" s="33"/>
      <c r="BC119" s="33"/>
      <c r="BD119" s="33"/>
      <c r="BE119" s="33"/>
      <c r="BF119" s="33"/>
      <c r="BG119" s="33"/>
      <c r="BH119" s="33"/>
      <c r="BI119" s="33"/>
      <c r="BJ119" s="33"/>
      <c r="BK119" s="33"/>
      <c r="BL119" s="33"/>
      <c r="BM119" s="33"/>
      <c r="BN119" s="33"/>
      <c r="BO119" s="33"/>
      <c r="BP119" s="33"/>
      <c r="BQ119" s="33"/>
      <c r="BR119" s="33">
        <f t="shared" si="1"/>
        <v>0</v>
      </c>
      <c r="BS119" s="33">
        <f>SUMIFS('Data For Calculation - Insuranc'!I:I,'Data For Calculation - Insuranc'!$A:$A,$A119)</f>
        <v>0</v>
      </c>
      <c r="BT119" s="33">
        <f>SUMIFS('Data For Calculation - Insuranc'!J:J,'Data For Calculation - Insuranc'!$A:$A,$A119)</f>
        <v>0</v>
      </c>
      <c r="BU119" s="33">
        <f>SUMIFS('Data For Calculation - Insuranc'!K:K,'Data For Calculation - Insuranc'!$A:$A,$A119)</f>
        <v>0</v>
      </c>
      <c r="BV119" s="33">
        <f>IF($CC119 = "Dealer", SUMIFS('Data For Calculation - Insuranc'!I:I,'Data For Calculation - Insuranc'!$B:$B,$A119,'Data For Calculation - Insuranc'!$H:$H,"Master Dealer")) + SUMIFS('Data For Calculation - Insuranc'!I:I,'Data For Calculation - Insuranc'!$A:$A,$A119,'Data For Calculation - Insuranc'!$H:$H,"Self")</f>
        <v>0</v>
      </c>
      <c r="BW119" s="33">
        <f>IF($CC119 = "Dealer", SUMIFS('Data For Calculation - Insuranc'!J:J,'Data For Calculation - Insuranc'!$B:$B,$A119,'Data For Calculation - Insuranc'!$H:$H,"Master Dealer")) + SUMIFS('Data For Calculation - Insuranc'!J:J,'Data For Calculation - Insuranc'!$A:$A,$A119,'Data For Calculation - Insuranc'!$H:$H,"Self")</f>
        <v>0</v>
      </c>
      <c r="BX119" s="33">
        <f>IF($CC119 = "Dealer", SUMIFS('Data For Calculation - Insuranc'!K:K,'Data For Calculation - Insuranc'!$B:$B,$A119,'Data For Calculation - Insuranc'!$H:$H,"Master Dealer")) + SUMIFS('Data For Calculation - Insuranc'!K:K,'Data For Calculation - Insuranc'!$A:$A,$A119,'Data For Calculation - Insuranc'!$H:$H,"Self")</f>
        <v>0</v>
      </c>
      <c r="BY119" s="25" t="str">
        <f>(Sheet1!N119)</f>
        <v>Sumitra Sons - Shahajahanpur</v>
      </c>
      <c r="BZ119" s="25" t="str">
        <f>(Sheet1!O119)</f>
        <v>11FZlKtFUzBvNAVUVwf1C2KpyoxHhbZTiI7E_EdPr-mg</v>
      </c>
      <c r="CA119" s="25" t="str">
        <f>(Sheet1!AV119)</f>
        <v/>
      </c>
      <c r="CB119" s="25" t="str">
        <f>(Sheet1!AW119)</f>
        <v/>
      </c>
      <c r="CC119" s="26" t="str">
        <f>(Sheet1!P119)</f>
        <v>Dealer</v>
      </c>
    </row>
    <row r="120">
      <c r="A120" s="25" t="str">
        <f>(Sheet1!A120)</f>
        <v>1Ls4odXuMLfeohk9ZIC00W0M7HKTZolVgkr-fVY8YwrQ</v>
      </c>
      <c r="B120" s="25" t="str">
        <f>(Sheet1!B120)</f>
        <v>R N Motors - Rampur</v>
      </c>
      <c r="C120" s="30" t="str">
        <f>Sheet1!BB120</f>
        <v>No</v>
      </c>
      <c r="D120" s="30" t="s">
        <v>13</v>
      </c>
      <c r="E120" s="34" t="s">
        <v>13</v>
      </c>
      <c r="F120" s="30" t="s">
        <v>3817</v>
      </c>
      <c r="G120" s="31">
        <v>290.0</v>
      </c>
      <c r="H120" s="34" t="s">
        <v>3853</v>
      </c>
      <c r="I120" s="34">
        <v>0.0</v>
      </c>
      <c r="J120" s="34">
        <v>100.0</v>
      </c>
      <c r="K120" s="34">
        <v>0.0</v>
      </c>
      <c r="L120" s="34">
        <v>0.0</v>
      </c>
      <c r="M120" s="33">
        <f>COUNTIFS('Data For Calculation - Insuranc'!A:A,A120,'Data For Calculation - Insuranc'!E:E,"CPA + RSA")</f>
        <v>0</v>
      </c>
      <c r="N120" s="30" t="s">
        <v>3817</v>
      </c>
      <c r="O120" s="31">
        <v>460.0</v>
      </c>
      <c r="P120" s="34" t="s">
        <v>3853</v>
      </c>
      <c r="Q120" s="34">
        <v>0.0</v>
      </c>
      <c r="R120" s="34">
        <v>100.0</v>
      </c>
      <c r="S120" s="34">
        <v>0.0</v>
      </c>
      <c r="T120" s="34">
        <v>0.0</v>
      </c>
      <c r="U120" s="33">
        <f>COUNTIFS('Data For Calculation - Insuranc'!A:A,A120,'Data For Calculation - Insuranc'!E:E,"CPA + RSA + AHDC + DOC")</f>
        <v>0</v>
      </c>
      <c r="V120" s="30" t="s">
        <v>3817</v>
      </c>
      <c r="W120" s="34">
        <v>838.99</v>
      </c>
      <c r="X120" s="34" t="s">
        <v>3853</v>
      </c>
      <c r="Y120" s="34">
        <v>0.0</v>
      </c>
      <c r="Z120" s="34">
        <v>100.0</v>
      </c>
      <c r="AA120" s="34">
        <v>0.0</v>
      </c>
      <c r="AB120" s="34">
        <v>0.0</v>
      </c>
      <c r="AC120" s="33">
        <f>COUNTIFS('Data For Calculation - Insuranc'!A:A,A120,'Data For Calculation - Insuranc'!E:E,"CPA + RSA : 5 Years")</f>
        <v>0</v>
      </c>
      <c r="AD120" s="30" t="s">
        <v>3817</v>
      </c>
      <c r="AE120" s="31">
        <v>838.99</v>
      </c>
      <c r="AF120" s="34" t="s">
        <v>3853</v>
      </c>
      <c r="AG120" s="34">
        <v>0.0</v>
      </c>
      <c r="AH120" s="34">
        <v>100.0</v>
      </c>
      <c r="AI120" s="34">
        <v>0.0</v>
      </c>
      <c r="AJ120" s="34">
        <v>0.0</v>
      </c>
      <c r="AK120" s="33">
        <f>COUNTIFS('Data For Calculation - Insuranc'!A:A,A120,'Data For Calculation - Insuranc'!E:E,"Assistance + CPA : 5 Years")</f>
        <v>0</v>
      </c>
      <c r="AL120" s="30" t="s">
        <v>3817</v>
      </c>
      <c r="AM120" s="31">
        <v>290.0</v>
      </c>
      <c r="AN120" s="34" t="s">
        <v>3853</v>
      </c>
      <c r="AO120" s="34">
        <v>0.0</v>
      </c>
      <c r="AP120" s="34">
        <v>100.0</v>
      </c>
      <c r="AQ120" s="34">
        <v>0.0</v>
      </c>
      <c r="AR120" s="34">
        <v>0.0</v>
      </c>
      <c r="AS120" s="33">
        <f>COUNTIFS('Data For Calculation - Insuranc'!A:A,A120,'Data For Calculation - Insuranc'!E:E,"RSA + AHDC + DOC")</f>
        <v>0</v>
      </c>
      <c r="AT120" s="33"/>
      <c r="AU120" s="33"/>
      <c r="AV120" s="33"/>
      <c r="AW120" s="33"/>
      <c r="AX120" s="33"/>
      <c r="AY120" s="33"/>
      <c r="AZ120" s="33"/>
      <c r="BA120" s="33"/>
      <c r="BB120" s="33"/>
      <c r="BC120" s="33"/>
      <c r="BD120" s="33"/>
      <c r="BE120" s="33"/>
      <c r="BF120" s="33"/>
      <c r="BG120" s="33"/>
      <c r="BH120" s="33"/>
      <c r="BI120" s="33"/>
      <c r="BJ120" s="33"/>
      <c r="BK120" s="33"/>
      <c r="BL120" s="33"/>
      <c r="BM120" s="33"/>
      <c r="BN120" s="33"/>
      <c r="BO120" s="33"/>
      <c r="BP120" s="33"/>
      <c r="BQ120" s="33"/>
      <c r="BR120" s="33">
        <f t="shared" si="1"/>
        <v>0</v>
      </c>
      <c r="BS120" s="33">
        <f>SUMIFS('Data For Calculation - Insuranc'!I:I,'Data For Calculation - Insuranc'!$A:$A,$A120)</f>
        <v>0</v>
      </c>
      <c r="BT120" s="33">
        <f>SUMIFS('Data For Calculation - Insuranc'!J:J,'Data For Calculation - Insuranc'!$A:$A,$A120)</f>
        <v>0</v>
      </c>
      <c r="BU120" s="33">
        <f>SUMIFS('Data For Calculation - Insuranc'!K:K,'Data For Calculation - Insuranc'!$A:$A,$A120)</f>
        <v>0</v>
      </c>
      <c r="BV120" s="33">
        <f>IF($CC120 = "Dealer", SUMIFS('Data For Calculation - Insuranc'!I:I,'Data For Calculation - Insuranc'!$B:$B,$A120,'Data For Calculation - Insuranc'!$H:$H,"Master Dealer")) + SUMIFS('Data For Calculation - Insuranc'!I:I,'Data For Calculation - Insuranc'!$A:$A,$A120,'Data For Calculation - Insuranc'!$H:$H,"Self")</f>
        <v>0</v>
      </c>
      <c r="BW120" s="33">
        <f>IF($CC120 = "Dealer", SUMIFS('Data For Calculation - Insuranc'!J:J,'Data For Calculation - Insuranc'!$B:$B,$A120,'Data For Calculation - Insuranc'!$H:$H,"Master Dealer")) + SUMIFS('Data For Calculation - Insuranc'!J:J,'Data For Calculation - Insuranc'!$A:$A,$A120,'Data For Calculation - Insuranc'!$H:$H,"Self")</f>
        <v>0</v>
      </c>
      <c r="BX120" s="33">
        <f>IF($CC120 = "Dealer", SUMIFS('Data For Calculation - Insuranc'!K:K,'Data For Calculation - Insuranc'!$B:$B,$A120,'Data For Calculation - Insuranc'!$H:$H,"Master Dealer")) + SUMIFS('Data For Calculation - Insuranc'!K:K,'Data For Calculation - Insuranc'!$A:$A,$A120,'Data For Calculation - Insuranc'!$H:$H,"Self")</f>
        <v>0</v>
      </c>
      <c r="BY120" s="25" t="str">
        <f>(Sheet1!N120)</f>
        <v>R N Motors - Rampur</v>
      </c>
      <c r="BZ120" s="25" t="str">
        <f>(Sheet1!O120)</f>
        <v>1Ls4odXuMLfeohk9ZIC00W0M7HKTZolVgkr-fVY8YwrQ</v>
      </c>
      <c r="CA120" s="25" t="str">
        <f>(Sheet1!AV120)</f>
        <v/>
      </c>
      <c r="CB120" s="25" t="str">
        <f>(Sheet1!AW120)</f>
        <v/>
      </c>
      <c r="CC120" s="26" t="str">
        <f>(Sheet1!P120)</f>
        <v>Dealer</v>
      </c>
    </row>
    <row r="121">
      <c r="A121" s="25" t="str">
        <f>(Sheet1!A121)</f>
        <v>1egrFzds1dA_qcyd-YeJKBrt74ORJ0Jzk4cfbN-wYoKI</v>
      </c>
      <c r="B121" s="25" t="str">
        <f>(Sheet1!B121)</f>
        <v>Venus Hero Venture - Firozabad</v>
      </c>
      <c r="C121" s="30" t="str">
        <f>Sheet1!BB121</f>
        <v>No</v>
      </c>
      <c r="D121" s="30" t="s">
        <v>13</v>
      </c>
      <c r="E121" s="34" t="s">
        <v>13</v>
      </c>
      <c r="F121" s="30" t="s">
        <v>3820</v>
      </c>
      <c r="G121" s="31">
        <v>290.0</v>
      </c>
      <c r="H121" s="34" t="s">
        <v>3853</v>
      </c>
      <c r="I121" s="34">
        <v>0.0</v>
      </c>
      <c r="J121" s="34">
        <v>100.0</v>
      </c>
      <c r="K121" s="34">
        <v>0.0</v>
      </c>
      <c r="L121" s="34">
        <v>0.0</v>
      </c>
      <c r="M121" s="33">
        <f>COUNTIFS('Data For Calculation - Insuranc'!A:A,A121,'Data For Calculation - Insuranc'!E:E,"CPA + RSA")</f>
        <v>0</v>
      </c>
      <c r="N121" s="30" t="s">
        <v>3820</v>
      </c>
      <c r="O121" s="31">
        <v>460.0</v>
      </c>
      <c r="P121" s="34" t="s">
        <v>3853</v>
      </c>
      <c r="Q121" s="34">
        <v>0.0</v>
      </c>
      <c r="R121" s="34">
        <v>100.0</v>
      </c>
      <c r="S121" s="34">
        <v>0.0</v>
      </c>
      <c r="T121" s="34">
        <v>0.0</v>
      </c>
      <c r="U121" s="33">
        <f>COUNTIFS('Data For Calculation - Insuranc'!A:A,A121,'Data For Calculation - Insuranc'!E:E,"CPA + RSA + AHDC + DOC")</f>
        <v>0</v>
      </c>
      <c r="V121" s="30" t="s">
        <v>3820</v>
      </c>
      <c r="W121" s="34">
        <v>838.99</v>
      </c>
      <c r="X121" s="34" t="s">
        <v>3853</v>
      </c>
      <c r="Y121" s="34">
        <v>0.0</v>
      </c>
      <c r="Z121" s="34">
        <v>100.0</v>
      </c>
      <c r="AA121" s="34">
        <v>0.0</v>
      </c>
      <c r="AB121" s="34">
        <v>0.0</v>
      </c>
      <c r="AC121" s="33">
        <f>COUNTIFS('Data For Calculation - Insuranc'!A:A,A121,'Data For Calculation - Insuranc'!E:E,"CPA + RSA : 5 Years")</f>
        <v>0</v>
      </c>
      <c r="AD121" s="30" t="s">
        <v>3820</v>
      </c>
      <c r="AE121" s="31">
        <v>838.99</v>
      </c>
      <c r="AF121" s="34" t="s">
        <v>3853</v>
      </c>
      <c r="AG121" s="34">
        <v>0.0</v>
      </c>
      <c r="AH121" s="34">
        <v>100.0</v>
      </c>
      <c r="AI121" s="34">
        <v>0.0</v>
      </c>
      <c r="AJ121" s="34">
        <v>0.0</v>
      </c>
      <c r="AK121" s="33">
        <f>COUNTIFS('Data For Calculation - Insuranc'!A:A,A121,'Data For Calculation - Insuranc'!E:E,"Assistance + CPA : 5 Years")</f>
        <v>0</v>
      </c>
      <c r="AL121" s="30" t="s">
        <v>3820</v>
      </c>
      <c r="AM121" s="31">
        <v>290.0</v>
      </c>
      <c r="AN121" s="34" t="s">
        <v>3853</v>
      </c>
      <c r="AO121" s="34">
        <v>0.0</v>
      </c>
      <c r="AP121" s="34">
        <v>100.0</v>
      </c>
      <c r="AQ121" s="34">
        <v>0.0</v>
      </c>
      <c r="AR121" s="34">
        <v>0.0</v>
      </c>
      <c r="AS121" s="33">
        <f>COUNTIFS('Data For Calculation - Insuranc'!A:A,A121,'Data For Calculation - Insuranc'!E:E,"RSA + AHDC + DOC")</f>
        <v>0</v>
      </c>
      <c r="AT121" s="33"/>
      <c r="AU121" s="33"/>
      <c r="AV121" s="33"/>
      <c r="AW121" s="33"/>
      <c r="AX121" s="33"/>
      <c r="AY121" s="33"/>
      <c r="AZ121" s="33"/>
      <c r="BA121" s="33"/>
      <c r="BB121" s="33"/>
      <c r="BC121" s="33"/>
      <c r="BD121" s="33"/>
      <c r="BE121" s="33"/>
      <c r="BF121" s="33"/>
      <c r="BG121" s="33"/>
      <c r="BH121" s="33"/>
      <c r="BI121" s="33"/>
      <c r="BJ121" s="33"/>
      <c r="BK121" s="33"/>
      <c r="BL121" s="33"/>
      <c r="BM121" s="33"/>
      <c r="BN121" s="33"/>
      <c r="BO121" s="33"/>
      <c r="BP121" s="33"/>
      <c r="BQ121" s="33"/>
      <c r="BR121" s="33">
        <f t="shared" si="1"/>
        <v>0</v>
      </c>
      <c r="BS121" s="33">
        <f>SUMIFS('Data For Calculation - Insuranc'!I:I,'Data For Calculation - Insuranc'!$A:$A,$A121)</f>
        <v>0</v>
      </c>
      <c r="BT121" s="33">
        <f>SUMIFS('Data For Calculation - Insuranc'!J:J,'Data For Calculation - Insuranc'!$A:$A,$A121)</f>
        <v>0</v>
      </c>
      <c r="BU121" s="33">
        <f>SUMIFS('Data For Calculation - Insuranc'!K:K,'Data For Calculation - Insuranc'!$A:$A,$A121)</f>
        <v>0</v>
      </c>
      <c r="BV121" s="33">
        <f>IF($CC121 = "Dealer", SUMIFS('Data For Calculation - Insuranc'!I:I,'Data For Calculation - Insuranc'!$B:$B,$A121,'Data For Calculation - Insuranc'!$H:$H,"Master Dealer")) + SUMIFS('Data For Calculation - Insuranc'!I:I,'Data For Calculation - Insuranc'!$A:$A,$A121,'Data For Calculation - Insuranc'!$H:$H,"Self")</f>
        <v>0</v>
      </c>
      <c r="BW121" s="33">
        <f>IF($CC121 = "Dealer", SUMIFS('Data For Calculation - Insuranc'!J:J,'Data For Calculation - Insuranc'!$B:$B,$A121,'Data For Calculation - Insuranc'!$H:$H,"Master Dealer")) + SUMIFS('Data For Calculation - Insuranc'!J:J,'Data For Calculation - Insuranc'!$A:$A,$A121,'Data For Calculation - Insuranc'!$H:$H,"Self")</f>
        <v>0</v>
      </c>
      <c r="BX121" s="33">
        <f>IF($CC121 = "Dealer", SUMIFS('Data For Calculation - Insuranc'!K:K,'Data For Calculation - Insuranc'!$B:$B,$A121,'Data For Calculation - Insuranc'!$H:$H,"Master Dealer")) + SUMIFS('Data For Calculation - Insuranc'!K:K,'Data For Calculation - Insuranc'!$A:$A,$A121,'Data For Calculation - Insuranc'!$H:$H,"Self")</f>
        <v>0</v>
      </c>
      <c r="BY121" s="25" t="str">
        <f>(Sheet1!N121)</f>
        <v>Venus Hero Venture - Firozabad</v>
      </c>
      <c r="BZ121" s="25" t="str">
        <f>(Sheet1!O121)</f>
        <v>1egrFzds1dA_qcyd-YeJKBrt74ORJ0Jzk4cfbN-wYoKI</v>
      </c>
      <c r="CA121" s="25" t="str">
        <f>(Sheet1!AV121)</f>
        <v/>
      </c>
      <c r="CB121" s="25" t="str">
        <f>(Sheet1!AW121)</f>
        <v/>
      </c>
      <c r="CC121" s="26" t="str">
        <f>(Sheet1!P121)</f>
        <v>Dealer</v>
      </c>
    </row>
    <row r="122">
      <c r="A122" s="25" t="str">
        <f>(Sheet1!A122)</f>
        <v>1ra6mHCXtOkmX_f5VYmZIM-O0h_lwV1ZF943CChQWm44</v>
      </c>
      <c r="B122" s="25" t="str">
        <f>(Sheet1!B122)</f>
        <v>VAW - Ramghat Road</v>
      </c>
      <c r="C122" s="30" t="str">
        <f>Sheet1!BB122</f>
        <v>No</v>
      </c>
      <c r="D122" s="30" t="s">
        <v>13</v>
      </c>
      <c r="E122" s="34" t="s">
        <v>13</v>
      </c>
      <c r="F122" s="30" t="s">
        <v>3820</v>
      </c>
      <c r="G122" s="31">
        <v>170.0</v>
      </c>
      <c r="H122" s="34" t="s">
        <v>3853</v>
      </c>
      <c r="I122" s="34">
        <v>0.0</v>
      </c>
      <c r="J122" s="34">
        <v>100.0</v>
      </c>
      <c r="K122" s="34">
        <v>0.0</v>
      </c>
      <c r="L122" s="34">
        <v>0.0</v>
      </c>
      <c r="M122" s="33">
        <f>COUNTIFS('Data For Calculation - Insuranc'!A:A,A122,'Data For Calculation - Insuranc'!E:E,"CPA + RSA")</f>
        <v>0</v>
      </c>
      <c r="N122" s="30" t="s">
        <v>3820</v>
      </c>
      <c r="O122" s="31">
        <v>170.0</v>
      </c>
      <c r="P122" s="34" t="s">
        <v>3853</v>
      </c>
      <c r="Q122" s="34">
        <v>0.0</v>
      </c>
      <c r="R122" s="34">
        <v>100.0</v>
      </c>
      <c r="S122" s="34">
        <v>0.0</v>
      </c>
      <c r="T122" s="34">
        <v>0.0</v>
      </c>
      <c r="U122" s="33">
        <f>COUNTIFS('Data For Calculation - Insuranc'!A:A,A122,'Data For Calculation - Insuranc'!E:E,"CPA + RSA + AHDC + DOC")</f>
        <v>0</v>
      </c>
      <c r="V122" s="30" t="s">
        <v>3820</v>
      </c>
      <c r="W122" s="34">
        <v>838.99</v>
      </c>
      <c r="X122" s="34" t="s">
        <v>3853</v>
      </c>
      <c r="Y122" s="34">
        <v>0.0</v>
      </c>
      <c r="Z122" s="34">
        <v>100.0</v>
      </c>
      <c r="AA122" s="34">
        <v>0.0</v>
      </c>
      <c r="AB122" s="34">
        <v>0.0</v>
      </c>
      <c r="AC122" s="33">
        <f>COUNTIFS('Data For Calculation - Insuranc'!A:A,A122,'Data For Calculation - Insuranc'!E:E,"CPA + RSA : 5 Years")</f>
        <v>0</v>
      </c>
      <c r="AD122" s="30" t="s">
        <v>3820</v>
      </c>
      <c r="AE122" s="31">
        <v>838.99</v>
      </c>
      <c r="AF122" s="34" t="s">
        <v>3853</v>
      </c>
      <c r="AG122" s="34">
        <v>0.0</v>
      </c>
      <c r="AH122" s="34">
        <v>100.0</v>
      </c>
      <c r="AI122" s="34">
        <v>0.0</v>
      </c>
      <c r="AJ122" s="34">
        <v>0.0</v>
      </c>
      <c r="AK122" s="33">
        <f>COUNTIFS('Data For Calculation - Insuranc'!A:A,A122,'Data For Calculation - Insuranc'!E:E,"Assistance + CPA : 5 Years")</f>
        <v>0</v>
      </c>
      <c r="AL122" s="30" t="s">
        <v>3820</v>
      </c>
      <c r="AM122" s="31">
        <v>290.0</v>
      </c>
      <c r="AN122" s="34" t="s">
        <v>3853</v>
      </c>
      <c r="AO122" s="34">
        <v>0.0</v>
      </c>
      <c r="AP122" s="34">
        <v>100.0</v>
      </c>
      <c r="AQ122" s="34">
        <v>0.0</v>
      </c>
      <c r="AR122" s="34">
        <v>0.0</v>
      </c>
      <c r="AS122" s="33">
        <f>COUNTIFS('Data For Calculation - Insuranc'!A:A,A122,'Data For Calculation - Insuranc'!E:E,"RSA + AHDC + DOC")</f>
        <v>0</v>
      </c>
      <c r="AT122" s="33"/>
      <c r="AU122" s="33"/>
      <c r="AV122" s="33"/>
      <c r="AW122" s="33"/>
      <c r="AX122" s="33"/>
      <c r="AY122" s="33"/>
      <c r="AZ122" s="33"/>
      <c r="BA122" s="33"/>
      <c r="BB122" s="33"/>
      <c r="BC122" s="33"/>
      <c r="BD122" s="33"/>
      <c r="BE122" s="33"/>
      <c r="BF122" s="33"/>
      <c r="BG122" s="33"/>
      <c r="BH122" s="33"/>
      <c r="BI122" s="33"/>
      <c r="BJ122" s="33"/>
      <c r="BK122" s="33"/>
      <c r="BL122" s="33"/>
      <c r="BM122" s="33"/>
      <c r="BN122" s="33"/>
      <c r="BO122" s="33"/>
      <c r="BP122" s="33"/>
      <c r="BQ122" s="33"/>
      <c r="BR122" s="33">
        <f t="shared" si="1"/>
        <v>0</v>
      </c>
      <c r="BS122" s="33">
        <f>SUMIFS('Data For Calculation - Insuranc'!I:I,'Data For Calculation - Insuranc'!$A:$A,$A122)</f>
        <v>0</v>
      </c>
      <c r="BT122" s="33">
        <f>SUMIFS('Data For Calculation - Insuranc'!J:J,'Data For Calculation - Insuranc'!$A:$A,$A122)</f>
        <v>0</v>
      </c>
      <c r="BU122" s="33">
        <f>SUMIFS('Data For Calculation - Insuranc'!K:K,'Data For Calculation - Insuranc'!$A:$A,$A122)</f>
        <v>0</v>
      </c>
      <c r="BV122" s="33">
        <f>IF($CC122 = "Dealer", SUMIFS('Data For Calculation - Insuranc'!I:I,'Data For Calculation - Insuranc'!$B:$B,$A122,'Data For Calculation - Insuranc'!$H:$H,"Master Dealer")) + SUMIFS('Data For Calculation - Insuranc'!I:I,'Data For Calculation - Insuranc'!$A:$A,$A122,'Data For Calculation - Insuranc'!$H:$H,"Self")</f>
        <v>0</v>
      </c>
      <c r="BW122" s="33">
        <f>IF($CC122 = "Dealer", SUMIFS('Data For Calculation - Insuranc'!J:J,'Data For Calculation - Insuranc'!$B:$B,$A122,'Data For Calculation - Insuranc'!$H:$H,"Master Dealer")) + SUMIFS('Data For Calculation - Insuranc'!J:J,'Data For Calculation - Insuranc'!$A:$A,$A122,'Data For Calculation - Insuranc'!$H:$H,"Self")</f>
        <v>0</v>
      </c>
      <c r="BX122" s="33">
        <f>IF($CC122 = "Dealer", SUMIFS('Data For Calculation - Insuranc'!K:K,'Data For Calculation - Insuranc'!$B:$B,$A122,'Data For Calculation - Insuranc'!$H:$H,"Master Dealer")) + SUMIFS('Data For Calculation - Insuranc'!K:K,'Data For Calculation - Insuranc'!$A:$A,$A122,'Data For Calculation - Insuranc'!$H:$H,"Self")</f>
        <v>0</v>
      </c>
      <c r="BY122" s="25" t="str">
        <f>(Sheet1!N122)</f>
        <v>Vikas Autowheels</v>
      </c>
      <c r="BZ122" s="25" t="str">
        <f>(Sheet1!O122)</f>
        <v>1944RLX7T1M23YXRXYoMnJ6nD_bKLldQXRpFRA0rDLvg</v>
      </c>
      <c r="CA122" s="25" t="str">
        <f>(Sheet1!AV122)</f>
        <v/>
      </c>
      <c r="CB122" s="25" t="str">
        <f>(Sheet1!AW122)</f>
        <v/>
      </c>
      <c r="CC122" s="26" t="str">
        <f>(Sheet1!P122)</f>
        <v>Sub Dealer</v>
      </c>
    </row>
    <row r="123">
      <c r="A123" s="25" t="str">
        <f>(Sheet1!A123)</f>
        <v>1TvRQZ8YHmTzU37pKeH-YEX0J0a9zBflsEJs2L0GfFao</v>
      </c>
      <c r="B123" s="25" t="str">
        <f>(Sheet1!B123)</f>
        <v>VAW - Kodiaganj</v>
      </c>
      <c r="C123" s="30" t="str">
        <f>Sheet1!BB123</f>
        <v>No</v>
      </c>
      <c r="D123" s="30" t="s">
        <v>13</v>
      </c>
      <c r="E123" s="34" t="s">
        <v>13</v>
      </c>
      <c r="F123" s="30" t="s">
        <v>3820</v>
      </c>
      <c r="G123" s="31">
        <v>170.0</v>
      </c>
      <c r="H123" s="34" t="s">
        <v>3853</v>
      </c>
      <c r="I123" s="34">
        <v>0.0</v>
      </c>
      <c r="J123" s="34">
        <v>100.0</v>
      </c>
      <c r="K123" s="34">
        <v>0.0</v>
      </c>
      <c r="L123" s="34">
        <v>0.0</v>
      </c>
      <c r="M123" s="33">
        <f>COUNTIFS('Data For Calculation - Insuranc'!A:A,A123,'Data For Calculation - Insuranc'!E:E,"CPA + RSA")</f>
        <v>0</v>
      </c>
      <c r="N123" s="30" t="s">
        <v>3820</v>
      </c>
      <c r="O123" s="31">
        <v>170.0</v>
      </c>
      <c r="P123" s="34" t="s">
        <v>3853</v>
      </c>
      <c r="Q123" s="34">
        <v>0.0</v>
      </c>
      <c r="R123" s="34">
        <v>100.0</v>
      </c>
      <c r="S123" s="34">
        <v>0.0</v>
      </c>
      <c r="T123" s="34">
        <v>0.0</v>
      </c>
      <c r="U123" s="33">
        <f>COUNTIFS('Data For Calculation - Insuranc'!A:A,A123,'Data For Calculation - Insuranc'!E:E,"CPA + RSA + AHDC + DOC")</f>
        <v>0</v>
      </c>
      <c r="V123" s="30" t="s">
        <v>3820</v>
      </c>
      <c r="W123" s="34">
        <v>838.99</v>
      </c>
      <c r="X123" s="34" t="s">
        <v>3853</v>
      </c>
      <c r="Y123" s="34">
        <v>0.0</v>
      </c>
      <c r="Z123" s="34">
        <v>100.0</v>
      </c>
      <c r="AA123" s="34">
        <v>0.0</v>
      </c>
      <c r="AB123" s="34">
        <v>0.0</v>
      </c>
      <c r="AC123" s="33">
        <f>COUNTIFS('Data For Calculation - Insuranc'!A:A,A123,'Data For Calculation - Insuranc'!E:E,"CPA + RSA : 5 Years")</f>
        <v>0</v>
      </c>
      <c r="AD123" s="30" t="s">
        <v>3820</v>
      </c>
      <c r="AE123" s="31">
        <v>838.99</v>
      </c>
      <c r="AF123" s="34" t="s">
        <v>3853</v>
      </c>
      <c r="AG123" s="34">
        <v>0.0</v>
      </c>
      <c r="AH123" s="34">
        <v>100.0</v>
      </c>
      <c r="AI123" s="34">
        <v>0.0</v>
      </c>
      <c r="AJ123" s="34">
        <v>0.0</v>
      </c>
      <c r="AK123" s="33">
        <f>COUNTIFS('Data For Calculation - Insuranc'!A:A,A123,'Data For Calculation - Insuranc'!E:E,"Assistance + CPA : 5 Years")</f>
        <v>0</v>
      </c>
      <c r="AL123" s="30" t="s">
        <v>3820</v>
      </c>
      <c r="AM123" s="31">
        <v>290.0</v>
      </c>
      <c r="AN123" s="34" t="s">
        <v>3853</v>
      </c>
      <c r="AO123" s="34">
        <v>0.0</v>
      </c>
      <c r="AP123" s="34">
        <v>100.0</v>
      </c>
      <c r="AQ123" s="34">
        <v>0.0</v>
      </c>
      <c r="AR123" s="34">
        <v>0.0</v>
      </c>
      <c r="AS123" s="33">
        <f>COUNTIFS('Data For Calculation - Insuranc'!A:A,A123,'Data For Calculation - Insuranc'!E:E,"RSA + AHDC + DOC")</f>
        <v>0</v>
      </c>
      <c r="AT123" s="33"/>
      <c r="AU123" s="33"/>
      <c r="AV123" s="33"/>
      <c r="AW123" s="33"/>
      <c r="AX123" s="33"/>
      <c r="AY123" s="33"/>
      <c r="AZ123" s="33"/>
      <c r="BA123" s="33"/>
      <c r="BB123" s="33"/>
      <c r="BC123" s="33"/>
      <c r="BD123" s="33"/>
      <c r="BE123" s="33"/>
      <c r="BF123" s="33"/>
      <c r="BG123" s="33"/>
      <c r="BH123" s="33"/>
      <c r="BI123" s="33"/>
      <c r="BJ123" s="33"/>
      <c r="BK123" s="33"/>
      <c r="BL123" s="33"/>
      <c r="BM123" s="33"/>
      <c r="BN123" s="33"/>
      <c r="BO123" s="33"/>
      <c r="BP123" s="33"/>
      <c r="BQ123" s="33"/>
      <c r="BR123" s="33">
        <f t="shared" si="1"/>
        <v>0</v>
      </c>
      <c r="BS123" s="33">
        <f>SUMIFS('Data For Calculation - Insuranc'!I:I,'Data For Calculation - Insuranc'!$A:$A,$A123)</f>
        <v>0</v>
      </c>
      <c r="BT123" s="33">
        <f>SUMIFS('Data For Calculation - Insuranc'!J:J,'Data For Calculation - Insuranc'!$A:$A,$A123)</f>
        <v>0</v>
      </c>
      <c r="BU123" s="33">
        <f>SUMIFS('Data For Calculation - Insuranc'!K:K,'Data For Calculation - Insuranc'!$A:$A,$A123)</f>
        <v>0</v>
      </c>
      <c r="BV123" s="33">
        <f>IF($CC123 = "Dealer", SUMIFS('Data For Calculation - Insuranc'!I:I,'Data For Calculation - Insuranc'!$B:$B,$A123,'Data For Calculation - Insuranc'!$H:$H,"Master Dealer")) + SUMIFS('Data For Calculation - Insuranc'!I:I,'Data For Calculation - Insuranc'!$A:$A,$A123,'Data For Calculation - Insuranc'!$H:$H,"Self")</f>
        <v>0</v>
      </c>
      <c r="BW123" s="33">
        <f>IF($CC123 = "Dealer", SUMIFS('Data For Calculation - Insuranc'!J:J,'Data For Calculation - Insuranc'!$B:$B,$A123,'Data For Calculation - Insuranc'!$H:$H,"Master Dealer")) + SUMIFS('Data For Calculation - Insuranc'!J:J,'Data For Calculation - Insuranc'!$A:$A,$A123,'Data For Calculation - Insuranc'!$H:$H,"Self")</f>
        <v>0</v>
      </c>
      <c r="BX123" s="33">
        <f>IF($CC123 = "Dealer", SUMIFS('Data For Calculation - Insuranc'!K:K,'Data For Calculation - Insuranc'!$B:$B,$A123,'Data For Calculation - Insuranc'!$H:$H,"Master Dealer")) + SUMIFS('Data For Calculation - Insuranc'!K:K,'Data For Calculation - Insuranc'!$A:$A,$A123,'Data For Calculation - Insuranc'!$H:$H,"Self")</f>
        <v>0</v>
      </c>
      <c r="BY123" s="25" t="str">
        <f>(Sheet1!N123)</f>
        <v>Vikas Autowheels</v>
      </c>
      <c r="BZ123" s="25" t="str">
        <f>(Sheet1!O123)</f>
        <v>1944RLX7T1M23YXRXYoMnJ6nD_bKLldQXRpFRA0rDLvg</v>
      </c>
      <c r="CA123" s="25" t="str">
        <f>(Sheet1!AV123)</f>
        <v/>
      </c>
      <c r="CB123" s="25" t="str">
        <f>(Sheet1!AW123)</f>
        <v/>
      </c>
      <c r="CC123" s="26" t="str">
        <f>(Sheet1!P123)</f>
        <v>Sub Dealer</v>
      </c>
    </row>
    <row r="124">
      <c r="A124" s="25" t="str">
        <f>(Sheet1!A124)</f>
        <v>1bYwIVlCfU99TAHdvICTPeCyAgj9qA4D16LviL3oq-wg</v>
      </c>
      <c r="B124" s="25" t="str">
        <f>(Sheet1!B124)</f>
        <v>VAW - Iglas</v>
      </c>
      <c r="C124" s="30" t="str">
        <f>Sheet1!BB124</f>
        <v>No</v>
      </c>
      <c r="D124" s="30" t="s">
        <v>13</v>
      </c>
      <c r="E124" s="34" t="s">
        <v>13</v>
      </c>
      <c r="F124" s="30" t="s">
        <v>3820</v>
      </c>
      <c r="G124" s="31">
        <v>170.0</v>
      </c>
      <c r="H124" s="34" t="s">
        <v>3853</v>
      </c>
      <c r="I124" s="34">
        <v>0.0</v>
      </c>
      <c r="J124" s="34">
        <v>100.0</v>
      </c>
      <c r="K124" s="34">
        <v>0.0</v>
      </c>
      <c r="L124" s="34">
        <v>0.0</v>
      </c>
      <c r="M124" s="33">
        <f>COUNTIFS('Data For Calculation - Insuranc'!A:A,A124,'Data For Calculation - Insuranc'!E:E,"CPA + RSA")</f>
        <v>0</v>
      </c>
      <c r="N124" s="30" t="s">
        <v>3820</v>
      </c>
      <c r="O124" s="31">
        <v>170.0</v>
      </c>
      <c r="P124" s="34" t="s">
        <v>3853</v>
      </c>
      <c r="Q124" s="34">
        <v>0.0</v>
      </c>
      <c r="R124" s="34">
        <v>100.0</v>
      </c>
      <c r="S124" s="34">
        <v>0.0</v>
      </c>
      <c r="T124" s="34">
        <v>0.0</v>
      </c>
      <c r="U124" s="33">
        <f>COUNTIFS('Data For Calculation - Insuranc'!A:A,A124,'Data For Calculation - Insuranc'!E:E,"CPA + RSA + AHDC + DOC")</f>
        <v>0</v>
      </c>
      <c r="V124" s="30" t="s">
        <v>3820</v>
      </c>
      <c r="W124" s="34">
        <v>838.99</v>
      </c>
      <c r="X124" s="34" t="s">
        <v>3853</v>
      </c>
      <c r="Y124" s="34">
        <v>0.0</v>
      </c>
      <c r="Z124" s="34">
        <v>100.0</v>
      </c>
      <c r="AA124" s="34">
        <v>0.0</v>
      </c>
      <c r="AB124" s="34">
        <v>0.0</v>
      </c>
      <c r="AC124" s="33">
        <f>COUNTIFS('Data For Calculation - Insuranc'!A:A,A124,'Data For Calculation - Insuranc'!E:E,"CPA + RSA : 5 Years")</f>
        <v>0</v>
      </c>
      <c r="AD124" s="30" t="s">
        <v>3820</v>
      </c>
      <c r="AE124" s="31">
        <v>838.99</v>
      </c>
      <c r="AF124" s="34" t="s">
        <v>3853</v>
      </c>
      <c r="AG124" s="34">
        <v>0.0</v>
      </c>
      <c r="AH124" s="34">
        <v>100.0</v>
      </c>
      <c r="AI124" s="34">
        <v>0.0</v>
      </c>
      <c r="AJ124" s="34">
        <v>0.0</v>
      </c>
      <c r="AK124" s="33">
        <f>COUNTIFS('Data For Calculation - Insuranc'!A:A,A124,'Data For Calculation - Insuranc'!E:E,"Assistance + CPA : 5 Years")</f>
        <v>0</v>
      </c>
      <c r="AL124" s="30" t="s">
        <v>3820</v>
      </c>
      <c r="AM124" s="31">
        <v>290.0</v>
      </c>
      <c r="AN124" s="34" t="s">
        <v>3853</v>
      </c>
      <c r="AO124" s="34">
        <v>0.0</v>
      </c>
      <c r="AP124" s="34">
        <v>100.0</v>
      </c>
      <c r="AQ124" s="34">
        <v>0.0</v>
      </c>
      <c r="AR124" s="34">
        <v>0.0</v>
      </c>
      <c r="AS124" s="33">
        <f>COUNTIFS('Data For Calculation - Insuranc'!A:A,A124,'Data For Calculation - Insuranc'!E:E,"RSA + AHDC + DOC")</f>
        <v>0</v>
      </c>
      <c r="AT124" s="33"/>
      <c r="AU124" s="33"/>
      <c r="AV124" s="33"/>
      <c r="AW124" s="33"/>
      <c r="AX124" s="33"/>
      <c r="AY124" s="33"/>
      <c r="AZ124" s="33"/>
      <c r="BA124" s="33"/>
      <c r="BB124" s="33"/>
      <c r="BC124" s="33"/>
      <c r="BD124" s="33"/>
      <c r="BE124" s="33"/>
      <c r="BF124" s="33"/>
      <c r="BG124" s="33"/>
      <c r="BH124" s="33"/>
      <c r="BI124" s="33"/>
      <c r="BJ124" s="33"/>
      <c r="BK124" s="33"/>
      <c r="BL124" s="33"/>
      <c r="BM124" s="33"/>
      <c r="BN124" s="33"/>
      <c r="BO124" s="33"/>
      <c r="BP124" s="33"/>
      <c r="BQ124" s="33"/>
      <c r="BR124" s="33">
        <f t="shared" si="1"/>
        <v>0</v>
      </c>
      <c r="BS124" s="33">
        <f>SUMIFS('Data For Calculation - Insuranc'!I:I,'Data For Calculation - Insuranc'!$A:$A,$A124)</f>
        <v>0</v>
      </c>
      <c r="BT124" s="33">
        <f>SUMIFS('Data For Calculation - Insuranc'!J:J,'Data For Calculation - Insuranc'!$A:$A,$A124)</f>
        <v>0</v>
      </c>
      <c r="BU124" s="33">
        <f>SUMIFS('Data For Calculation - Insuranc'!K:K,'Data For Calculation - Insuranc'!$A:$A,$A124)</f>
        <v>0</v>
      </c>
      <c r="BV124" s="33">
        <f>IF($CC124 = "Dealer", SUMIFS('Data For Calculation - Insuranc'!I:I,'Data For Calculation - Insuranc'!$B:$B,$A124,'Data For Calculation - Insuranc'!$H:$H,"Master Dealer")) + SUMIFS('Data For Calculation - Insuranc'!I:I,'Data For Calculation - Insuranc'!$A:$A,$A124,'Data For Calculation - Insuranc'!$H:$H,"Self")</f>
        <v>0</v>
      </c>
      <c r="BW124" s="33">
        <f>IF($CC124 = "Dealer", SUMIFS('Data For Calculation - Insuranc'!J:J,'Data For Calculation - Insuranc'!$B:$B,$A124,'Data For Calculation - Insuranc'!$H:$H,"Master Dealer")) + SUMIFS('Data For Calculation - Insuranc'!J:J,'Data For Calculation - Insuranc'!$A:$A,$A124,'Data For Calculation - Insuranc'!$H:$H,"Self")</f>
        <v>0</v>
      </c>
      <c r="BX124" s="33">
        <f>IF($CC124 = "Dealer", SUMIFS('Data For Calculation - Insuranc'!K:K,'Data For Calculation - Insuranc'!$B:$B,$A124,'Data For Calculation - Insuranc'!$H:$H,"Master Dealer")) + SUMIFS('Data For Calculation - Insuranc'!K:K,'Data For Calculation - Insuranc'!$A:$A,$A124,'Data For Calculation - Insuranc'!$H:$H,"Self")</f>
        <v>0</v>
      </c>
      <c r="BY124" s="25" t="str">
        <f>(Sheet1!N124)</f>
        <v>Vikas Autowheels</v>
      </c>
      <c r="BZ124" s="25" t="str">
        <f>(Sheet1!O124)</f>
        <v>1944RLX7T1M23YXRXYoMnJ6nD_bKLldQXRpFRA0rDLvg</v>
      </c>
      <c r="CA124" s="25" t="str">
        <f>(Sheet1!AV124)</f>
        <v/>
      </c>
      <c r="CB124" s="25" t="str">
        <f>(Sheet1!AW124)</f>
        <v/>
      </c>
      <c r="CC124" s="26" t="str">
        <f>(Sheet1!P124)</f>
        <v>Sub Dealer</v>
      </c>
    </row>
    <row r="125">
      <c r="A125" s="25" t="str">
        <f>(Sheet1!A125)</f>
        <v>1n0q72v9I-kw0RzKIviLdrLa2PsoBQvNEL7tOwmkWW5Y</v>
      </c>
      <c r="B125" s="25" t="str">
        <f>(Sheet1!B125)</f>
        <v>VAW - Agra Road</v>
      </c>
      <c r="C125" s="30" t="str">
        <f>Sheet1!BB125</f>
        <v>No</v>
      </c>
      <c r="D125" s="30" t="s">
        <v>13</v>
      </c>
      <c r="E125" s="34" t="s">
        <v>13</v>
      </c>
      <c r="F125" s="30" t="s">
        <v>3820</v>
      </c>
      <c r="G125" s="31">
        <v>170.0</v>
      </c>
      <c r="H125" s="34" t="s">
        <v>3853</v>
      </c>
      <c r="I125" s="34">
        <v>0.0</v>
      </c>
      <c r="J125" s="34">
        <v>100.0</v>
      </c>
      <c r="K125" s="34">
        <v>0.0</v>
      </c>
      <c r="L125" s="34">
        <v>0.0</v>
      </c>
      <c r="M125" s="33">
        <f>COUNTIFS('Data For Calculation - Insuranc'!A:A,A125,'Data For Calculation - Insuranc'!E:E,"CPA + RSA")</f>
        <v>0</v>
      </c>
      <c r="N125" s="30" t="s">
        <v>3820</v>
      </c>
      <c r="O125" s="31">
        <v>170.0</v>
      </c>
      <c r="P125" s="34" t="s">
        <v>3853</v>
      </c>
      <c r="Q125" s="34">
        <v>0.0</v>
      </c>
      <c r="R125" s="34">
        <v>100.0</v>
      </c>
      <c r="S125" s="34">
        <v>0.0</v>
      </c>
      <c r="T125" s="34">
        <v>0.0</v>
      </c>
      <c r="U125" s="33">
        <f>COUNTIFS('Data For Calculation - Insuranc'!A:A,A125,'Data For Calculation - Insuranc'!E:E,"CPA + RSA + AHDC + DOC")</f>
        <v>0</v>
      </c>
      <c r="V125" s="30" t="s">
        <v>3820</v>
      </c>
      <c r="W125" s="34">
        <v>838.99</v>
      </c>
      <c r="X125" s="34" t="s">
        <v>3853</v>
      </c>
      <c r="Y125" s="34">
        <v>0.0</v>
      </c>
      <c r="Z125" s="34">
        <v>100.0</v>
      </c>
      <c r="AA125" s="34">
        <v>0.0</v>
      </c>
      <c r="AB125" s="34">
        <v>0.0</v>
      </c>
      <c r="AC125" s="33">
        <f>COUNTIFS('Data For Calculation - Insuranc'!A:A,A125,'Data For Calculation - Insuranc'!E:E,"CPA + RSA : 5 Years")</f>
        <v>0</v>
      </c>
      <c r="AD125" s="30" t="s">
        <v>3820</v>
      </c>
      <c r="AE125" s="31">
        <v>838.99</v>
      </c>
      <c r="AF125" s="34" t="s">
        <v>3853</v>
      </c>
      <c r="AG125" s="34">
        <v>0.0</v>
      </c>
      <c r="AH125" s="34">
        <v>100.0</v>
      </c>
      <c r="AI125" s="34">
        <v>0.0</v>
      </c>
      <c r="AJ125" s="34">
        <v>0.0</v>
      </c>
      <c r="AK125" s="33">
        <f>COUNTIFS('Data For Calculation - Insuranc'!A:A,A125,'Data For Calculation - Insuranc'!E:E,"Assistance + CPA : 5 Years")</f>
        <v>0</v>
      </c>
      <c r="AL125" s="30" t="s">
        <v>3820</v>
      </c>
      <c r="AM125" s="31">
        <v>290.0</v>
      </c>
      <c r="AN125" s="34" t="s">
        <v>3853</v>
      </c>
      <c r="AO125" s="34">
        <v>0.0</v>
      </c>
      <c r="AP125" s="34">
        <v>100.0</v>
      </c>
      <c r="AQ125" s="34">
        <v>0.0</v>
      </c>
      <c r="AR125" s="34">
        <v>0.0</v>
      </c>
      <c r="AS125" s="33">
        <f>COUNTIFS('Data For Calculation - Insuranc'!A:A,A125,'Data For Calculation - Insuranc'!E:E,"RSA + AHDC + DOC")</f>
        <v>0</v>
      </c>
      <c r="AT125" s="33"/>
      <c r="AU125" s="33"/>
      <c r="AV125" s="33"/>
      <c r="AW125" s="33"/>
      <c r="AX125" s="33"/>
      <c r="AY125" s="33"/>
      <c r="AZ125" s="33"/>
      <c r="BA125" s="33"/>
      <c r="BB125" s="33"/>
      <c r="BC125" s="33"/>
      <c r="BD125" s="33"/>
      <c r="BE125" s="33"/>
      <c r="BF125" s="33"/>
      <c r="BG125" s="33"/>
      <c r="BH125" s="33"/>
      <c r="BI125" s="33"/>
      <c r="BJ125" s="33"/>
      <c r="BK125" s="33"/>
      <c r="BL125" s="33"/>
      <c r="BM125" s="33"/>
      <c r="BN125" s="33"/>
      <c r="BO125" s="33"/>
      <c r="BP125" s="33"/>
      <c r="BQ125" s="33"/>
      <c r="BR125" s="33">
        <f t="shared" si="1"/>
        <v>0</v>
      </c>
      <c r="BS125" s="33">
        <f>SUMIFS('Data For Calculation - Insuranc'!I:I,'Data For Calculation - Insuranc'!$A:$A,$A125)</f>
        <v>0</v>
      </c>
      <c r="BT125" s="33">
        <f>SUMIFS('Data For Calculation - Insuranc'!J:J,'Data For Calculation - Insuranc'!$A:$A,$A125)</f>
        <v>0</v>
      </c>
      <c r="BU125" s="33">
        <f>SUMIFS('Data For Calculation - Insuranc'!K:K,'Data For Calculation - Insuranc'!$A:$A,$A125)</f>
        <v>0</v>
      </c>
      <c r="BV125" s="33">
        <f>IF($CC125 = "Dealer", SUMIFS('Data For Calculation - Insuranc'!I:I,'Data For Calculation - Insuranc'!$B:$B,$A125,'Data For Calculation - Insuranc'!$H:$H,"Master Dealer")) + SUMIFS('Data For Calculation - Insuranc'!I:I,'Data For Calculation - Insuranc'!$A:$A,$A125,'Data For Calculation - Insuranc'!$H:$H,"Self")</f>
        <v>0</v>
      </c>
      <c r="BW125" s="33">
        <f>IF($CC125 = "Dealer", SUMIFS('Data For Calculation - Insuranc'!J:J,'Data For Calculation - Insuranc'!$B:$B,$A125,'Data For Calculation - Insuranc'!$H:$H,"Master Dealer")) + SUMIFS('Data For Calculation - Insuranc'!J:J,'Data For Calculation - Insuranc'!$A:$A,$A125,'Data For Calculation - Insuranc'!$H:$H,"Self")</f>
        <v>0</v>
      </c>
      <c r="BX125" s="33">
        <f>IF($CC125 = "Dealer", SUMIFS('Data For Calculation - Insuranc'!K:K,'Data For Calculation - Insuranc'!$B:$B,$A125,'Data For Calculation - Insuranc'!$H:$H,"Master Dealer")) + SUMIFS('Data For Calculation - Insuranc'!K:K,'Data For Calculation - Insuranc'!$A:$A,$A125,'Data For Calculation - Insuranc'!$H:$H,"Self")</f>
        <v>0</v>
      </c>
      <c r="BY125" s="25" t="str">
        <f>(Sheet1!N125)</f>
        <v>Vikas Autowheels</v>
      </c>
      <c r="BZ125" s="25" t="str">
        <f>(Sheet1!O125)</f>
        <v>1944RLX7T1M23YXRXYoMnJ6nD_bKLldQXRpFRA0rDLvg</v>
      </c>
      <c r="CA125" s="25" t="str">
        <f>(Sheet1!AV125)</f>
        <v/>
      </c>
      <c r="CB125" s="25" t="str">
        <f>(Sheet1!AW125)</f>
        <v/>
      </c>
      <c r="CC125" s="26" t="str">
        <f>(Sheet1!P125)</f>
        <v>Sub Dealer</v>
      </c>
    </row>
    <row r="126">
      <c r="A126" s="25" t="str">
        <f>(Sheet1!A126)</f>
        <v>1xZLFmrgIQQCVIpiqSQdZXo8Z3s5icym4MeFUuARl1dw</v>
      </c>
      <c r="B126" s="25" t="str">
        <f>(Sheet1!B126)</f>
        <v>OM TVS</v>
      </c>
      <c r="C126" s="30" t="str">
        <f>Sheet1!BB126</f>
        <v>No</v>
      </c>
      <c r="D126" s="30" t="s">
        <v>13</v>
      </c>
      <c r="E126" s="34" t="s">
        <v>13</v>
      </c>
      <c r="F126" s="30" t="s">
        <v>3817</v>
      </c>
      <c r="G126" s="31">
        <v>290.0</v>
      </c>
      <c r="H126" s="34" t="s">
        <v>3853</v>
      </c>
      <c r="I126" s="34">
        <v>0.0</v>
      </c>
      <c r="J126" s="34">
        <v>100.0</v>
      </c>
      <c r="K126" s="34">
        <v>0.0</v>
      </c>
      <c r="L126" s="34">
        <v>0.0</v>
      </c>
      <c r="M126" s="33">
        <f>COUNTIFS('Data For Calculation - Insuranc'!A:A,A126,'Data For Calculation - Insuranc'!E:E,"CPA + RSA")</f>
        <v>0</v>
      </c>
      <c r="N126" s="30" t="s">
        <v>3817</v>
      </c>
      <c r="O126" s="31">
        <v>460.0</v>
      </c>
      <c r="P126" s="34" t="s">
        <v>3853</v>
      </c>
      <c r="Q126" s="34">
        <v>0.0</v>
      </c>
      <c r="R126" s="34">
        <v>100.0</v>
      </c>
      <c r="S126" s="34">
        <v>0.0</v>
      </c>
      <c r="T126" s="34">
        <v>0.0</v>
      </c>
      <c r="U126" s="33">
        <f>COUNTIFS('Data For Calculation - Insuranc'!A:A,A126,'Data For Calculation - Insuranc'!E:E,"CPA + RSA + AHDC + DOC")</f>
        <v>0</v>
      </c>
      <c r="V126" s="30" t="s">
        <v>3817</v>
      </c>
      <c r="W126" s="34">
        <v>838.99</v>
      </c>
      <c r="X126" s="34" t="s">
        <v>3853</v>
      </c>
      <c r="Y126" s="34">
        <v>0.0</v>
      </c>
      <c r="Z126" s="34">
        <v>100.0</v>
      </c>
      <c r="AA126" s="34">
        <v>0.0</v>
      </c>
      <c r="AB126" s="34">
        <v>0.0</v>
      </c>
      <c r="AC126" s="33">
        <f>COUNTIFS('Data For Calculation - Insuranc'!A:A,A126,'Data For Calculation - Insuranc'!E:E,"CPA + RSA : 5 Years")</f>
        <v>0</v>
      </c>
      <c r="AD126" s="30" t="s">
        <v>3817</v>
      </c>
      <c r="AE126" s="31">
        <v>838.99</v>
      </c>
      <c r="AF126" s="34" t="s">
        <v>3853</v>
      </c>
      <c r="AG126" s="34">
        <v>0.0</v>
      </c>
      <c r="AH126" s="34">
        <v>100.0</v>
      </c>
      <c r="AI126" s="34">
        <v>0.0</v>
      </c>
      <c r="AJ126" s="34">
        <v>0.0</v>
      </c>
      <c r="AK126" s="33">
        <f>COUNTIFS('Data For Calculation - Insuranc'!A:A,A126,'Data For Calculation - Insuranc'!E:E,"Assistance + CPA : 5 Years")</f>
        <v>0</v>
      </c>
      <c r="AL126" s="30" t="s">
        <v>3817</v>
      </c>
      <c r="AM126" s="31">
        <v>290.0</v>
      </c>
      <c r="AN126" s="34" t="s">
        <v>3853</v>
      </c>
      <c r="AO126" s="34">
        <v>0.0</v>
      </c>
      <c r="AP126" s="34">
        <v>100.0</v>
      </c>
      <c r="AQ126" s="34">
        <v>0.0</v>
      </c>
      <c r="AR126" s="34">
        <v>0.0</v>
      </c>
      <c r="AS126" s="33">
        <f>COUNTIFS('Data For Calculation - Insuranc'!A:A,A126,'Data For Calculation - Insuranc'!E:E,"RSA + AHDC + DOC")</f>
        <v>0</v>
      </c>
      <c r="AT126" s="33"/>
      <c r="AU126" s="33"/>
      <c r="AV126" s="33"/>
      <c r="AW126" s="33"/>
      <c r="AX126" s="33"/>
      <c r="AY126" s="33"/>
      <c r="AZ126" s="33"/>
      <c r="BA126" s="33"/>
      <c r="BB126" s="33"/>
      <c r="BC126" s="33"/>
      <c r="BD126" s="33"/>
      <c r="BE126" s="33"/>
      <c r="BF126" s="33"/>
      <c r="BG126" s="33"/>
      <c r="BH126" s="33"/>
      <c r="BI126" s="33"/>
      <c r="BJ126" s="33"/>
      <c r="BK126" s="33"/>
      <c r="BL126" s="33"/>
      <c r="BM126" s="33"/>
      <c r="BN126" s="33"/>
      <c r="BO126" s="33"/>
      <c r="BP126" s="33"/>
      <c r="BQ126" s="33"/>
      <c r="BR126" s="33">
        <f t="shared" si="1"/>
        <v>0</v>
      </c>
      <c r="BS126" s="33">
        <f>SUMIFS('Data For Calculation - Insuranc'!I:I,'Data For Calculation - Insuranc'!$A:$A,$A126)</f>
        <v>0</v>
      </c>
      <c r="BT126" s="33">
        <f>SUMIFS('Data For Calculation - Insuranc'!J:J,'Data For Calculation - Insuranc'!$A:$A,$A126)</f>
        <v>0</v>
      </c>
      <c r="BU126" s="33">
        <f>SUMIFS('Data For Calculation - Insuranc'!K:K,'Data For Calculation - Insuranc'!$A:$A,$A126)</f>
        <v>0</v>
      </c>
      <c r="BV126" s="33">
        <f>IF($CC126 = "Dealer", SUMIFS('Data For Calculation - Insuranc'!I:I,'Data For Calculation - Insuranc'!$B:$B,$A126,'Data For Calculation - Insuranc'!$H:$H,"Master Dealer")) + SUMIFS('Data For Calculation - Insuranc'!I:I,'Data For Calculation - Insuranc'!$A:$A,$A126,'Data For Calculation - Insuranc'!$H:$H,"Self")</f>
        <v>0</v>
      </c>
      <c r="BW126" s="33">
        <f>IF($CC126 = "Dealer", SUMIFS('Data For Calculation - Insuranc'!J:J,'Data For Calculation - Insuranc'!$B:$B,$A126,'Data For Calculation - Insuranc'!$H:$H,"Master Dealer")) + SUMIFS('Data For Calculation - Insuranc'!J:J,'Data For Calculation - Insuranc'!$A:$A,$A126,'Data For Calculation - Insuranc'!$H:$H,"Self")</f>
        <v>0</v>
      </c>
      <c r="BX126" s="33">
        <f>IF($CC126 = "Dealer", SUMIFS('Data For Calculation - Insuranc'!K:K,'Data For Calculation - Insuranc'!$B:$B,$A126,'Data For Calculation - Insuranc'!$H:$H,"Master Dealer")) + SUMIFS('Data For Calculation - Insuranc'!K:K,'Data For Calculation - Insuranc'!$A:$A,$A126,'Data For Calculation - Insuranc'!$H:$H,"Self")</f>
        <v>0</v>
      </c>
      <c r="BY126" s="25" t="str">
        <f>(Sheet1!N126)</f>
        <v>OM TVS</v>
      </c>
      <c r="BZ126" s="25" t="str">
        <f>(Sheet1!O126)</f>
        <v>1xZLFmrgIQQCVIpiqSQdZXo8Z3s5icym4MeFUuARl1dw</v>
      </c>
      <c r="CA126" s="25" t="str">
        <f>(Sheet1!AV126)</f>
        <v/>
      </c>
      <c r="CB126" s="25" t="str">
        <f>(Sheet1!AW126)</f>
        <v/>
      </c>
      <c r="CC126" s="26" t="str">
        <f>(Sheet1!P126)</f>
        <v>Dealer</v>
      </c>
    </row>
    <row r="127">
      <c r="A127" s="25" t="str">
        <f>(Sheet1!A127)</f>
        <v>1QKcWwefYRSJheyPsGSz_GjUfTv41Syg0k2USNB-hpQs</v>
      </c>
      <c r="B127" s="25" t="str">
        <f>(Sheet1!B127)</f>
        <v>Darshan Sons (Sumitra Sons) - shahjahanpur</v>
      </c>
      <c r="C127" s="30" t="str">
        <f>Sheet1!BB127</f>
        <v>No</v>
      </c>
      <c r="D127" s="30" t="s">
        <v>13</v>
      </c>
      <c r="E127" s="34" t="s">
        <v>13</v>
      </c>
      <c r="F127" s="30" t="s">
        <v>3817</v>
      </c>
      <c r="G127" s="31">
        <v>290.0</v>
      </c>
      <c r="H127" s="34" t="s">
        <v>3853</v>
      </c>
      <c r="I127" s="34">
        <v>0.0</v>
      </c>
      <c r="J127" s="34">
        <v>100.0</v>
      </c>
      <c r="K127" s="34">
        <v>0.0</v>
      </c>
      <c r="L127" s="34">
        <v>0.0</v>
      </c>
      <c r="M127" s="33">
        <f>COUNTIFS('Data For Calculation - Insuranc'!A:A,A127,'Data For Calculation - Insuranc'!E:E,"CPA + RSA")</f>
        <v>0</v>
      </c>
      <c r="N127" s="30" t="s">
        <v>3817</v>
      </c>
      <c r="O127" s="31">
        <v>460.0</v>
      </c>
      <c r="P127" s="34" t="s">
        <v>3853</v>
      </c>
      <c r="Q127" s="34">
        <v>0.0</v>
      </c>
      <c r="R127" s="34">
        <v>100.0</v>
      </c>
      <c r="S127" s="34">
        <v>0.0</v>
      </c>
      <c r="T127" s="34">
        <v>0.0</v>
      </c>
      <c r="U127" s="33">
        <f>COUNTIFS('Data For Calculation - Insuranc'!A:A,A127,'Data For Calculation - Insuranc'!E:E,"CPA + RSA + AHDC + DOC")</f>
        <v>0</v>
      </c>
      <c r="V127" s="30" t="s">
        <v>3817</v>
      </c>
      <c r="W127" s="34">
        <v>838.99</v>
      </c>
      <c r="X127" s="34" t="s">
        <v>3853</v>
      </c>
      <c r="Y127" s="34">
        <v>0.0</v>
      </c>
      <c r="Z127" s="34">
        <v>100.0</v>
      </c>
      <c r="AA127" s="34">
        <v>0.0</v>
      </c>
      <c r="AB127" s="34">
        <v>0.0</v>
      </c>
      <c r="AC127" s="33">
        <f>COUNTIFS('Data For Calculation - Insuranc'!A:A,A127,'Data For Calculation - Insuranc'!E:E,"CPA + RSA : 5 Years")</f>
        <v>0</v>
      </c>
      <c r="AD127" s="30" t="s">
        <v>3817</v>
      </c>
      <c r="AE127" s="31">
        <v>838.99</v>
      </c>
      <c r="AF127" s="34" t="s">
        <v>3853</v>
      </c>
      <c r="AG127" s="34">
        <v>0.0</v>
      </c>
      <c r="AH127" s="34">
        <v>100.0</v>
      </c>
      <c r="AI127" s="34">
        <v>0.0</v>
      </c>
      <c r="AJ127" s="34">
        <v>0.0</v>
      </c>
      <c r="AK127" s="33">
        <f>COUNTIFS('Data For Calculation - Insuranc'!A:A,A127,'Data For Calculation - Insuranc'!E:E,"Assistance + CPA : 5 Years")</f>
        <v>0</v>
      </c>
      <c r="AL127" s="30" t="s">
        <v>3817</v>
      </c>
      <c r="AM127" s="31">
        <v>290.0</v>
      </c>
      <c r="AN127" s="34" t="s">
        <v>3853</v>
      </c>
      <c r="AO127" s="34">
        <v>0.0</v>
      </c>
      <c r="AP127" s="34">
        <v>100.0</v>
      </c>
      <c r="AQ127" s="34">
        <v>0.0</v>
      </c>
      <c r="AR127" s="34">
        <v>0.0</v>
      </c>
      <c r="AS127" s="33">
        <f>COUNTIFS('Data For Calculation - Insuranc'!A:A,A127,'Data For Calculation - Insuranc'!E:E,"RSA + AHDC + DOC")</f>
        <v>0</v>
      </c>
      <c r="AT127" s="33"/>
      <c r="AU127" s="33"/>
      <c r="AV127" s="33"/>
      <c r="AW127" s="33"/>
      <c r="AX127" s="33"/>
      <c r="AY127" s="33"/>
      <c r="AZ127" s="33"/>
      <c r="BA127" s="33"/>
      <c r="BB127" s="33"/>
      <c r="BC127" s="33"/>
      <c r="BD127" s="33"/>
      <c r="BE127" s="33"/>
      <c r="BF127" s="33"/>
      <c r="BG127" s="33"/>
      <c r="BH127" s="33"/>
      <c r="BI127" s="33"/>
      <c r="BJ127" s="33"/>
      <c r="BK127" s="33"/>
      <c r="BL127" s="33"/>
      <c r="BM127" s="33"/>
      <c r="BN127" s="33"/>
      <c r="BO127" s="33"/>
      <c r="BP127" s="33"/>
      <c r="BQ127" s="33"/>
      <c r="BR127" s="33">
        <f t="shared" si="1"/>
        <v>0</v>
      </c>
      <c r="BS127" s="33">
        <f>SUMIFS('Data For Calculation - Insuranc'!I:I,'Data For Calculation - Insuranc'!$A:$A,$A127)</f>
        <v>0</v>
      </c>
      <c r="BT127" s="33">
        <f>SUMIFS('Data For Calculation - Insuranc'!J:J,'Data For Calculation - Insuranc'!$A:$A,$A127)</f>
        <v>0</v>
      </c>
      <c r="BU127" s="33">
        <f>SUMIFS('Data For Calculation - Insuranc'!K:K,'Data For Calculation - Insuranc'!$A:$A,$A127)</f>
        <v>0</v>
      </c>
      <c r="BV127" s="33">
        <f>IF($CC127 = "Dealer", SUMIFS('Data For Calculation - Insuranc'!I:I,'Data For Calculation - Insuranc'!$B:$B,$A127,'Data For Calculation - Insuranc'!$H:$H,"Master Dealer")) + SUMIFS('Data For Calculation - Insuranc'!I:I,'Data For Calculation - Insuranc'!$A:$A,$A127,'Data For Calculation - Insuranc'!$H:$H,"Self")</f>
        <v>0</v>
      </c>
      <c r="BW127" s="33">
        <f>IF($CC127 = "Dealer", SUMIFS('Data For Calculation - Insuranc'!J:J,'Data For Calculation - Insuranc'!$B:$B,$A127,'Data For Calculation - Insuranc'!$H:$H,"Master Dealer")) + SUMIFS('Data For Calculation - Insuranc'!J:J,'Data For Calculation - Insuranc'!$A:$A,$A127,'Data For Calculation - Insuranc'!$H:$H,"Self")</f>
        <v>0</v>
      </c>
      <c r="BX127" s="33">
        <f>IF($CC127 = "Dealer", SUMIFS('Data For Calculation - Insuranc'!K:K,'Data For Calculation - Insuranc'!$B:$B,$A127,'Data For Calculation - Insuranc'!$H:$H,"Master Dealer")) + SUMIFS('Data For Calculation - Insuranc'!K:K,'Data For Calculation - Insuranc'!$A:$A,$A127,'Data For Calculation - Insuranc'!$H:$H,"Self")</f>
        <v>0</v>
      </c>
      <c r="BY127" s="25" t="str">
        <f>(Sheet1!N127)</f>
        <v>Sumitra Sons - Shahajahanpur</v>
      </c>
      <c r="BZ127" s="25" t="str">
        <f>(Sheet1!O127)</f>
        <v>11FZlKtFUzBvNAVUVwf1C2KpyoxHhbZTiI7E_EdPr-mg</v>
      </c>
      <c r="CA127" s="25" t="str">
        <f>(Sheet1!AV127)</f>
        <v/>
      </c>
      <c r="CB127" s="25" t="str">
        <f>(Sheet1!AW127)</f>
        <v/>
      </c>
      <c r="CC127" s="26" t="str">
        <f>(Sheet1!P127)</f>
        <v>Sub Dealer</v>
      </c>
    </row>
    <row r="128">
      <c r="A128" s="25" t="str">
        <f>(Sheet1!A128)</f>
        <v>1vMWNNh-aM1nrCnH4Ps5ul1sg36h7ZiVgWbYyiSJDYW8</v>
      </c>
      <c r="B128" s="25" t="str">
        <f>(Sheet1!B128)</f>
        <v>Tarawati Maurya</v>
      </c>
      <c r="C128" s="30" t="str">
        <f>Sheet1!BB128</f>
        <v>No</v>
      </c>
      <c r="D128" s="30" t="s">
        <v>13</v>
      </c>
      <c r="E128" s="34" t="s">
        <v>13</v>
      </c>
      <c r="F128" s="30" t="s">
        <v>3817</v>
      </c>
      <c r="G128" s="31">
        <v>290.0</v>
      </c>
      <c r="H128" s="34" t="s">
        <v>3853</v>
      </c>
      <c r="I128" s="34">
        <v>0.0</v>
      </c>
      <c r="J128" s="34">
        <v>100.0</v>
      </c>
      <c r="K128" s="34">
        <v>0.0</v>
      </c>
      <c r="L128" s="34">
        <v>0.0</v>
      </c>
      <c r="M128" s="33">
        <f>COUNTIFS('Data For Calculation - Insuranc'!A:A,A128,'Data For Calculation - Insuranc'!E:E,"CPA + RSA")</f>
        <v>0</v>
      </c>
      <c r="N128" s="30" t="s">
        <v>3817</v>
      </c>
      <c r="O128" s="31">
        <v>460.0</v>
      </c>
      <c r="P128" s="34" t="s">
        <v>3853</v>
      </c>
      <c r="Q128" s="34">
        <v>0.0</v>
      </c>
      <c r="R128" s="34">
        <v>100.0</v>
      </c>
      <c r="S128" s="34">
        <v>0.0</v>
      </c>
      <c r="T128" s="34">
        <v>0.0</v>
      </c>
      <c r="U128" s="33">
        <f>COUNTIFS('Data For Calculation - Insuranc'!A:A,A128,'Data For Calculation - Insuranc'!E:E,"CPA + RSA + AHDC + DOC")</f>
        <v>0</v>
      </c>
      <c r="V128" s="30" t="s">
        <v>3817</v>
      </c>
      <c r="W128" s="34">
        <v>838.99</v>
      </c>
      <c r="X128" s="34" t="s">
        <v>3853</v>
      </c>
      <c r="Y128" s="34">
        <v>0.0</v>
      </c>
      <c r="Z128" s="34">
        <v>100.0</v>
      </c>
      <c r="AA128" s="34">
        <v>0.0</v>
      </c>
      <c r="AB128" s="34">
        <v>0.0</v>
      </c>
      <c r="AC128" s="33">
        <f>COUNTIFS('Data For Calculation - Insuranc'!A:A,A128,'Data For Calculation - Insuranc'!E:E,"CPA + RSA : 5 Years")</f>
        <v>0</v>
      </c>
      <c r="AD128" s="30" t="s">
        <v>3817</v>
      </c>
      <c r="AE128" s="31">
        <v>838.99</v>
      </c>
      <c r="AF128" s="34" t="s">
        <v>3853</v>
      </c>
      <c r="AG128" s="34">
        <v>0.0</v>
      </c>
      <c r="AH128" s="34">
        <v>100.0</v>
      </c>
      <c r="AI128" s="34">
        <v>0.0</v>
      </c>
      <c r="AJ128" s="34">
        <v>0.0</v>
      </c>
      <c r="AK128" s="33">
        <f>COUNTIFS('Data For Calculation - Insuranc'!A:A,A128,'Data For Calculation - Insuranc'!E:E,"Assistance + CPA : 5 Years")</f>
        <v>0</v>
      </c>
      <c r="AL128" s="30" t="s">
        <v>3817</v>
      </c>
      <c r="AM128" s="31">
        <v>290.0</v>
      </c>
      <c r="AN128" s="34" t="s">
        <v>3853</v>
      </c>
      <c r="AO128" s="34">
        <v>0.0</v>
      </c>
      <c r="AP128" s="34">
        <v>100.0</v>
      </c>
      <c r="AQ128" s="34">
        <v>0.0</v>
      </c>
      <c r="AR128" s="34">
        <v>0.0</v>
      </c>
      <c r="AS128" s="33">
        <f>COUNTIFS('Data For Calculation - Insuranc'!A:A,A128,'Data For Calculation - Insuranc'!E:E,"RSA + AHDC + DOC")</f>
        <v>0</v>
      </c>
      <c r="AT128" s="33"/>
      <c r="AU128" s="33"/>
      <c r="AV128" s="33"/>
      <c r="AW128" s="33"/>
      <c r="AX128" s="33"/>
      <c r="AY128" s="33"/>
      <c r="AZ128" s="33"/>
      <c r="BA128" s="33"/>
      <c r="BB128" s="33"/>
      <c r="BC128" s="33"/>
      <c r="BD128" s="33"/>
      <c r="BE128" s="33"/>
      <c r="BF128" s="33"/>
      <c r="BG128" s="33"/>
      <c r="BH128" s="33"/>
      <c r="BI128" s="33"/>
      <c r="BJ128" s="33"/>
      <c r="BK128" s="33"/>
      <c r="BL128" s="33"/>
      <c r="BM128" s="33"/>
      <c r="BN128" s="33"/>
      <c r="BO128" s="33"/>
      <c r="BP128" s="33"/>
      <c r="BQ128" s="33"/>
      <c r="BR128" s="33">
        <f t="shared" si="1"/>
        <v>0</v>
      </c>
      <c r="BS128" s="33">
        <f>SUMIFS('Data For Calculation - Insuranc'!I:I,'Data For Calculation - Insuranc'!$A:$A,$A128)</f>
        <v>0</v>
      </c>
      <c r="BT128" s="33">
        <f>SUMIFS('Data For Calculation - Insuranc'!J:J,'Data For Calculation - Insuranc'!$A:$A,$A128)</f>
        <v>0</v>
      </c>
      <c r="BU128" s="33">
        <f>SUMIFS('Data For Calculation - Insuranc'!K:K,'Data For Calculation - Insuranc'!$A:$A,$A128)</f>
        <v>0</v>
      </c>
      <c r="BV128" s="33">
        <f>IF($CC128 = "Dealer", SUMIFS('Data For Calculation - Insuranc'!I:I,'Data For Calculation - Insuranc'!$B:$B,$A128,'Data For Calculation - Insuranc'!$H:$H,"Master Dealer")) + SUMIFS('Data For Calculation - Insuranc'!I:I,'Data For Calculation - Insuranc'!$A:$A,$A128,'Data For Calculation - Insuranc'!$H:$H,"Self")</f>
        <v>0</v>
      </c>
      <c r="BW128" s="33">
        <f>IF($CC128 = "Dealer", SUMIFS('Data For Calculation - Insuranc'!J:J,'Data For Calculation - Insuranc'!$B:$B,$A128,'Data For Calculation - Insuranc'!$H:$H,"Master Dealer")) + SUMIFS('Data For Calculation - Insuranc'!J:J,'Data For Calculation - Insuranc'!$A:$A,$A128,'Data For Calculation - Insuranc'!$H:$H,"Self")</f>
        <v>0</v>
      </c>
      <c r="BX128" s="33">
        <f>IF($CC128 = "Dealer", SUMIFS('Data For Calculation - Insuranc'!K:K,'Data For Calculation - Insuranc'!$B:$B,$A128,'Data For Calculation - Insuranc'!$H:$H,"Master Dealer")) + SUMIFS('Data For Calculation - Insuranc'!K:K,'Data For Calculation - Insuranc'!$A:$A,$A128,'Data For Calculation - Insuranc'!$H:$H,"Self")</f>
        <v>0</v>
      </c>
      <c r="BY128" s="25" t="str">
        <f>(Sheet1!N128)</f>
        <v>Tarawati Maurya</v>
      </c>
      <c r="BZ128" s="25" t="str">
        <f>(Sheet1!O128)</f>
        <v>1vMWNNh-aM1nrCnH4Ps5ul1sg36h7ZiVgWbYyiSJDYW8</v>
      </c>
      <c r="CA128" s="25" t="str">
        <f>(Sheet1!AV128)</f>
        <v/>
      </c>
      <c r="CB128" s="25" t="str">
        <f>(Sheet1!AW128)</f>
        <v/>
      </c>
      <c r="CC128" s="26" t="str">
        <f>(Sheet1!P128)</f>
        <v>Dealer</v>
      </c>
    </row>
    <row r="129">
      <c r="A129" s="25" t="str">
        <f>(Sheet1!A129)</f>
        <v>18j4yqkTLlff3QgAQzxbikTB9QfvCJyXh60_rLTsgkUA</v>
      </c>
      <c r="B129" s="25" t="str">
        <f>(Sheet1!B129)</f>
        <v>Jassi Motors - Mainpuri</v>
      </c>
      <c r="C129" s="30" t="str">
        <f>Sheet1!BB129</f>
        <v>No</v>
      </c>
      <c r="D129" s="30" t="s">
        <v>13</v>
      </c>
      <c r="E129" s="34" t="s">
        <v>13</v>
      </c>
      <c r="F129" s="30" t="s">
        <v>3820</v>
      </c>
      <c r="G129" s="31">
        <v>290.0</v>
      </c>
      <c r="H129" s="34" t="s">
        <v>3853</v>
      </c>
      <c r="I129" s="34">
        <v>0.0</v>
      </c>
      <c r="J129" s="34">
        <v>100.0</v>
      </c>
      <c r="K129" s="34">
        <v>0.0</v>
      </c>
      <c r="L129" s="34">
        <v>0.0</v>
      </c>
      <c r="M129" s="33">
        <f>COUNTIFS('Data For Calculation - Insuranc'!A:A,A129,'Data For Calculation - Insuranc'!E:E,"CPA + RSA")</f>
        <v>0</v>
      </c>
      <c r="N129" s="30" t="s">
        <v>3820</v>
      </c>
      <c r="O129" s="31">
        <v>460.0</v>
      </c>
      <c r="P129" s="34" t="s">
        <v>3853</v>
      </c>
      <c r="Q129" s="34">
        <v>0.0</v>
      </c>
      <c r="R129" s="34">
        <v>100.0</v>
      </c>
      <c r="S129" s="34">
        <v>0.0</v>
      </c>
      <c r="T129" s="34">
        <v>0.0</v>
      </c>
      <c r="U129" s="33">
        <f>COUNTIFS('Data For Calculation - Insuranc'!A:A,A129,'Data For Calculation - Insuranc'!E:E,"CPA + RSA + AHDC + DOC")</f>
        <v>0</v>
      </c>
      <c r="V129" s="30" t="s">
        <v>3820</v>
      </c>
      <c r="W129" s="34">
        <v>838.99</v>
      </c>
      <c r="X129" s="34" t="s">
        <v>3853</v>
      </c>
      <c r="Y129" s="34">
        <v>0.0</v>
      </c>
      <c r="Z129" s="34">
        <v>100.0</v>
      </c>
      <c r="AA129" s="34">
        <v>0.0</v>
      </c>
      <c r="AB129" s="34">
        <v>0.0</v>
      </c>
      <c r="AC129" s="33">
        <f>COUNTIFS('Data For Calculation - Insuranc'!A:A,A129,'Data For Calculation - Insuranc'!E:E,"CPA + RSA : 5 Years")</f>
        <v>0</v>
      </c>
      <c r="AD129" s="30" t="s">
        <v>3820</v>
      </c>
      <c r="AE129" s="31">
        <v>838.99</v>
      </c>
      <c r="AF129" s="34" t="s">
        <v>3853</v>
      </c>
      <c r="AG129" s="34">
        <v>0.0</v>
      </c>
      <c r="AH129" s="34">
        <v>100.0</v>
      </c>
      <c r="AI129" s="34">
        <v>0.0</v>
      </c>
      <c r="AJ129" s="34">
        <v>0.0</v>
      </c>
      <c r="AK129" s="33">
        <f>COUNTIFS('Data For Calculation - Insuranc'!A:A,A129,'Data For Calculation - Insuranc'!E:E,"Assistance + CPA : 5 Years")</f>
        <v>0</v>
      </c>
      <c r="AL129" s="30" t="s">
        <v>3820</v>
      </c>
      <c r="AM129" s="31">
        <v>290.0</v>
      </c>
      <c r="AN129" s="34" t="s">
        <v>3853</v>
      </c>
      <c r="AO129" s="34">
        <v>0.0</v>
      </c>
      <c r="AP129" s="34">
        <v>100.0</v>
      </c>
      <c r="AQ129" s="34">
        <v>0.0</v>
      </c>
      <c r="AR129" s="34">
        <v>0.0</v>
      </c>
      <c r="AS129" s="33">
        <f>COUNTIFS('Data For Calculation - Insuranc'!A:A,A129,'Data For Calculation - Insuranc'!E:E,"RSA + AHDC + DOC")</f>
        <v>0</v>
      </c>
      <c r="AT129" s="33"/>
      <c r="AU129" s="33"/>
      <c r="AV129" s="33"/>
      <c r="AW129" s="33"/>
      <c r="AX129" s="33"/>
      <c r="AY129" s="33"/>
      <c r="AZ129" s="33"/>
      <c r="BA129" s="33"/>
      <c r="BB129" s="33"/>
      <c r="BC129" s="33"/>
      <c r="BD129" s="33"/>
      <c r="BE129" s="33"/>
      <c r="BF129" s="33"/>
      <c r="BG129" s="33"/>
      <c r="BH129" s="33"/>
      <c r="BI129" s="33"/>
      <c r="BJ129" s="33"/>
      <c r="BK129" s="33"/>
      <c r="BL129" s="33"/>
      <c r="BM129" s="33"/>
      <c r="BN129" s="33"/>
      <c r="BO129" s="33"/>
      <c r="BP129" s="33"/>
      <c r="BQ129" s="33"/>
      <c r="BR129" s="33">
        <f t="shared" si="1"/>
        <v>0</v>
      </c>
      <c r="BS129" s="33">
        <f>SUMIFS('Data For Calculation - Insuranc'!I:I,'Data For Calculation - Insuranc'!$A:$A,$A129)</f>
        <v>0</v>
      </c>
      <c r="BT129" s="33">
        <f>SUMIFS('Data For Calculation - Insuranc'!J:J,'Data For Calculation - Insuranc'!$A:$A,$A129)</f>
        <v>0</v>
      </c>
      <c r="BU129" s="33">
        <f>SUMIFS('Data For Calculation - Insuranc'!K:K,'Data For Calculation - Insuranc'!$A:$A,$A129)</f>
        <v>0</v>
      </c>
      <c r="BV129" s="33">
        <f>IF($CC129 = "Dealer", SUMIFS('Data For Calculation - Insuranc'!I:I,'Data For Calculation - Insuranc'!$B:$B,$A129,'Data For Calculation - Insuranc'!$H:$H,"Master Dealer")) + SUMIFS('Data For Calculation - Insuranc'!I:I,'Data For Calculation - Insuranc'!$A:$A,$A129,'Data For Calculation - Insuranc'!$H:$H,"Self")</f>
        <v>0</v>
      </c>
      <c r="BW129" s="33">
        <f>IF($CC129 = "Dealer", SUMIFS('Data For Calculation - Insuranc'!J:J,'Data For Calculation - Insuranc'!$B:$B,$A129,'Data For Calculation - Insuranc'!$H:$H,"Master Dealer")) + SUMIFS('Data For Calculation - Insuranc'!J:J,'Data For Calculation - Insuranc'!$A:$A,$A129,'Data For Calculation - Insuranc'!$H:$H,"Self")</f>
        <v>0</v>
      </c>
      <c r="BX129" s="33">
        <f>IF($CC129 = "Dealer", SUMIFS('Data For Calculation - Insuranc'!K:K,'Data For Calculation - Insuranc'!$B:$B,$A129,'Data For Calculation - Insuranc'!$H:$H,"Master Dealer")) + SUMIFS('Data For Calculation - Insuranc'!K:K,'Data For Calculation - Insuranc'!$A:$A,$A129,'Data For Calculation - Insuranc'!$H:$H,"Self")</f>
        <v>0</v>
      </c>
      <c r="BY129" s="25" t="str">
        <f>(Sheet1!N129)</f>
        <v>Jassi Motors - Mainpuri</v>
      </c>
      <c r="BZ129" s="25" t="str">
        <f>(Sheet1!O129)</f>
        <v>18j4yqkTLlff3QgAQzxbikTB9QfvCJyXh60_rLTsgkUA</v>
      </c>
      <c r="CA129" s="25" t="str">
        <f>(Sheet1!AV129)</f>
        <v/>
      </c>
      <c r="CB129" s="25" t="str">
        <f>(Sheet1!AW129)</f>
        <v/>
      </c>
      <c r="CC129" s="26" t="str">
        <f>(Sheet1!P129)</f>
        <v>Dealer</v>
      </c>
    </row>
    <row r="130">
      <c r="A130" s="25" t="str">
        <f>(Sheet1!A130)</f>
        <v>1dV47fJN9zfoEbGvv71kLmpN6o-gQtGRvXq4lwNICvVc</v>
      </c>
      <c r="B130" s="25" t="str">
        <f>(Sheet1!B130)</f>
        <v>Dhansri Motors - Noida</v>
      </c>
      <c r="C130" s="30" t="str">
        <f>Sheet1!BB130</f>
        <v>No</v>
      </c>
      <c r="D130" s="30" t="s">
        <v>13</v>
      </c>
      <c r="E130" s="34" t="s">
        <v>13</v>
      </c>
      <c r="F130" s="30" t="s">
        <v>3817</v>
      </c>
      <c r="G130" s="31">
        <v>290.0</v>
      </c>
      <c r="H130" s="34" t="s">
        <v>3853</v>
      </c>
      <c r="I130" s="34">
        <v>0.0</v>
      </c>
      <c r="J130" s="34">
        <v>100.0</v>
      </c>
      <c r="K130" s="34">
        <v>0.0</v>
      </c>
      <c r="L130" s="34">
        <v>0.0</v>
      </c>
      <c r="M130" s="33">
        <f>COUNTIFS('Data For Calculation - Insuranc'!A:A,A130,'Data For Calculation - Insuranc'!E:E,"CPA + RSA")</f>
        <v>0</v>
      </c>
      <c r="N130" s="30" t="s">
        <v>3817</v>
      </c>
      <c r="O130" s="31">
        <v>460.0</v>
      </c>
      <c r="P130" s="34" t="s">
        <v>3853</v>
      </c>
      <c r="Q130" s="34">
        <v>0.0</v>
      </c>
      <c r="R130" s="34">
        <v>100.0</v>
      </c>
      <c r="S130" s="34">
        <v>0.0</v>
      </c>
      <c r="T130" s="34">
        <v>0.0</v>
      </c>
      <c r="U130" s="33">
        <f>COUNTIFS('Data For Calculation - Insuranc'!A:A,A130,'Data For Calculation - Insuranc'!E:E,"CPA + RSA + AHDC + DOC")</f>
        <v>0</v>
      </c>
      <c r="V130" s="30" t="s">
        <v>3817</v>
      </c>
      <c r="W130" s="34">
        <v>838.99</v>
      </c>
      <c r="X130" s="34" t="s">
        <v>3853</v>
      </c>
      <c r="Y130" s="34">
        <v>0.0</v>
      </c>
      <c r="Z130" s="34">
        <v>100.0</v>
      </c>
      <c r="AA130" s="34">
        <v>0.0</v>
      </c>
      <c r="AB130" s="34">
        <v>0.0</v>
      </c>
      <c r="AC130" s="33">
        <f>COUNTIFS('Data For Calculation - Insuranc'!A:A,A130,'Data For Calculation - Insuranc'!E:E,"CPA + RSA : 5 Years")</f>
        <v>0</v>
      </c>
      <c r="AD130" s="30" t="s">
        <v>3817</v>
      </c>
      <c r="AE130" s="31">
        <v>838.99</v>
      </c>
      <c r="AF130" s="34" t="s">
        <v>3853</v>
      </c>
      <c r="AG130" s="34">
        <v>0.0</v>
      </c>
      <c r="AH130" s="34">
        <v>100.0</v>
      </c>
      <c r="AI130" s="34">
        <v>0.0</v>
      </c>
      <c r="AJ130" s="34">
        <v>0.0</v>
      </c>
      <c r="AK130" s="33">
        <f>COUNTIFS('Data For Calculation - Insuranc'!A:A,A130,'Data For Calculation - Insuranc'!E:E,"Assistance + CPA : 5 Years")</f>
        <v>0</v>
      </c>
      <c r="AL130" s="30" t="s">
        <v>3817</v>
      </c>
      <c r="AM130" s="31">
        <v>290.0</v>
      </c>
      <c r="AN130" s="34" t="s">
        <v>3853</v>
      </c>
      <c r="AO130" s="34">
        <v>0.0</v>
      </c>
      <c r="AP130" s="34">
        <v>100.0</v>
      </c>
      <c r="AQ130" s="34">
        <v>0.0</v>
      </c>
      <c r="AR130" s="34">
        <v>0.0</v>
      </c>
      <c r="AS130" s="33">
        <f>COUNTIFS('Data For Calculation - Insuranc'!A:A,A130,'Data For Calculation - Insuranc'!E:E,"RSA + AHDC + DOC")</f>
        <v>0</v>
      </c>
      <c r="AT130" s="33"/>
      <c r="AU130" s="33"/>
      <c r="AV130" s="33"/>
      <c r="AW130" s="33"/>
      <c r="AX130" s="33"/>
      <c r="AY130" s="33"/>
      <c r="AZ130" s="33"/>
      <c r="BA130" s="33"/>
      <c r="BB130" s="33"/>
      <c r="BC130" s="33"/>
      <c r="BD130" s="33"/>
      <c r="BE130" s="33"/>
      <c r="BF130" s="33"/>
      <c r="BG130" s="33"/>
      <c r="BH130" s="33"/>
      <c r="BI130" s="33"/>
      <c r="BJ130" s="33"/>
      <c r="BK130" s="33"/>
      <c r="BL130" s="33"/>
      <c r="BM130" s="33"/>
      <c r="BN130" s="33"/>
      <c r="BO130" s="33"/>
      <c r="BP130" s="33"/>
      <c r="BQ130" s="33"/>
      <c r="BR130" s="33">
        <f t="shared" si="1"/>
        <v>0</v>
      </c>
      <c r="BS130" s="33">
        <f>SUMIFS('Data For Calculation - Insuranc'!I:I,'Data For Calculation - Insuranc'!$A:$A,$A130)</f>
        <v>0</v>
      </c>
      <c r="BT130" s="33">
        <f>SUMIFS('Data For Calculation - Insuranc'!J:J,'Data For Calculation - Insuranc'!$A:$A,$A130)</f>
        <v>0</v>
      </c>
      <c r="BU130" s="33">
        <f>SUMIFS('Data For Calculation - Insuranc'!K:K,'Data For Calculation - Insuranc'!$A:$A,$A130)</f>
        <v>0</v>
      </c>
      <c r="BV130" s="33">
        <f>IF($CC130 = "Dealer", SUMIFS('Data For Calculation - Insuranc'!I:I,'Data For Calculation - Insuranc'!$B:$B,$A130,'Data For Calculation - Insuranc'!$H:$H,"Master Dealer")) + SUMIFS('Data For Calculation - Insuranc'!I:I,'Data For Calculation - Insuranc'!$A:$A,$A130,'Data For Calculation - Insuranc'!$H:$H,"Self")</f>
        <v>0</v>
      </c>
      <c r="BW130" s="33">
        <f>IF($CC130 = "Dealer", SUMIFS('Data For Calculation - Insuranc'!J:J,'Data For Calculation - Insuranc'!$B:$B,$A130,'Data For Calculation - Insuranc'!$H:$H,"Master Dealer")) + SUMIFS('Data For Calculation - Insuranc'!J:J,'Data For Calculation - Insuranc'!$A:$A,$A130,'Data For Calculation - Insuranc'!$H:$H,"Self")</f>
        <v>0</v>
      </c>
      <c r="BX130" s="33">
        <f>IF($CC130 = "Dealer", SUMIFS('Data For Calculation - Insuranc'!K:K,'Data For Calculation - Insuranc'!$B:$B,$A130,'Data For Calculation - Insuranc'!$H:$H,"Master Dealer")) + SUMIFS('Data For Calculation - Insuranc'!K:K,'Data For Calculation - Insuranc'!$A:$A,$A130,'Data For Calculation - Insuranc'!$H:$H,"Self")</f>
        <v>0</v>
      </c>
      <c r="BY130" s="25" t="str">
        <f>(Sheet1!N130)</f>
        <v>Dhansri Motors - Noida</v>
      </c>
      <c r="BZ130" s="25" t="str">
        <f>(Sheet1!O130)</f>
        <v>1dV47fJN9zfoEbGvv71kLmpN6o-gQtGRvXq4lwNICvVc</v>
      </c>
      <c r="CA130" s="25" t="str">
        <f>(Sheet1!AV130)</f>
        <v/>
      </c>
      <c r="CB130" s="25" t="str">
        <f>(Sheet1!AW130)</f>
        <v/>
      </c>
      <c r="CC130" s="26" t="str">
        <f>(Sheet1!P130)</f>
        <v>Dealer</v>
      </c>
    </row>
    <row r="131">
      <c r="A131" s="25" t="str">
        <f>(Sheet1!A131)</f>
        <v>1QtE2j1s3tO4so4-6brIBcxG25GkuhYSP382fzi5rqdw</v>
      </c>
      <c r="B131" s="25" t="str">
        <f>(Sheet1!B131)</f>
        <v>Lalit Mohan sharma</v>
      </c>
      <c r="C131" s="30" t="str">
        <f>Sheet1!BB131</f>
        <v>No</v>
      </c>
      <c r="D131" s="30" t="s">
        <v>13</v>
      </c>
      <c r="E131" s="34" t="s">
        <v>13</v>
      </c>
      <c r="F131" s="30" t="s">
        <v>3817</v>
      </c>
      <c r="G131" s="31">
        <v>290.0</v>
      </c>
      <c r="H131" s="34" t="s">
        <v>3853</v>
      </c>
      <c r="I131" s="34">
        <v>0.0</v>
      </c>
      <c r="J131" s="34">
        <v>100.0</v>
      </c>
      <c r="K131" s="34">
        <v>0.0</v>
      </c>
      <c r="L131" s="34">
        <v>0.0</v>
      </c>
      <c r="M131" s="33">
        <f>COUNTIFS('Data For Calculation - Insuranc'!A:A,A131,'Data For Calculation - Insuranc'!E:E,"CPA + RSA")</f>
        <v>0</v>
      </c>
      <c r="N131" s="30" t="s">
        <v>3817</v>
      </c>
      <c r="O131" s="31">
        <v>460.0</v>
      </c>
      <c r="P131" s="34" t="s">
        <v>3853</v>
      </c>
      <c r="Q131" s="34">
        <v>0.0</v>
      </c>
      <c r="R131" s="34">
        <v>100.0</v>
      </c>
      <c r="S131" s="34">
        <v>0.0</v>
      </c>
      <c r="T131" s="34">
        <v>0.0</v>
      </c>
      <c r="U131" s="33">
        <f>COUNTIFS('Data For Calculation - Insuranc'!A:A,A131,'Data For Calculation - Insuranc'!E:E,"CPA + RSA + AHDC + DOC")</f>
        <v>0</v>
      </c>
      <c r="V131" s="30" t="s">
        <v>3817</v>
      </c>
      <c r="W131" s="34">
        <v>838.99</v>
      </c>
      <c r="X131" s="34" t="s">
        <v>3853</v>
      </c>
      <c r="Y131" s="34">
        <v>0.0</v>
      </c>
      <c r="Z131" s="34">
        <v>100.0</v>
      </c>
      <c r="AA131" s="34">
        <v>0.0</v>
      </c>
      <c r="AB131" s="34">
        <v>0.0</v>
      </c>
      <c r="AC131" s="33">
        <f>COUNTIFS('Data For Calculation - Insuranc'!A:A,A131,'Data For Calculation - Insuranc'!E:E,"CPA + RSA : 5 Years")</f>
        <v>0</v>
      </c>
      <c r="AD131" s="30" t="s">
        <v>3817</v>
      </c>
      <c r="AE131" s="31">
        <v>838.99</v>
      </c>
      <c r="AF131" s="34" t="s">
        <v>3853</v>
      </c>
      <c r="AG131" s="34">
        <v>0.0</v>
      </c>
      <c r="AH131" s="34">
        <v>100.0</v>
      </c>
      <c r="AI131" s="34">
        <v>0.0</v>
      </c>
      <c r="AJ131" s="34">
        <v>0.0</v>
      </c>
      <c r="AK131" s="33">
        <f>COUNTIFS('Data For Calculation - Insuranc'!A:A,A131,'Data For Calculation - Insuranc'!E:E,"Assistance + CPA : 5 Years")</f>
        <v>0</v>
      </c>
      <c r="AL131" s="30" t="s">
        <v>3817</v>
      </c>
      <c r="AM131" s="31">
        <v>290.0</v>
      </c>
      <c r="AN131" s="34" t="s">
        <v>3853</v>
      </c>
      <c r="AO131" s="34">
        <v>0.0</v>
      </c>
      <c r="AP131" s="34">
        <v>100.0</v>
      </c>
      <c r="AQ131" s="34">
        <v>0.0</v>
      </c>
      <c r="AR131" s="34">
        <v>0.0</v>
      </c>
      <c r="AS131" s="33">
        <f>COUNTIFS('Data For Calculation - Insuranc'!A:A,A131,'Data For Calculation - Insuranc'!E:E,"RSA + AHDC + DOC")</f>
        <v>0</v>
      </c>
      <c r="AT131" s="33"/>
      <c r="AU131" s="33"/>
      <c r="AV131" s="33"/>
      <c r="AW131" s="33"/>
      <c r="AX131" s="33"/>
      <c r="AY131" s="33"/>
      <c r="AZ131" s="33"/>
      <c r="BA131" s="33"/>
      <c r="BB131" s="33"/>
      <c r="BC131" s="33"/>
      <c r="BD131" s="33"/>
      <c r="BE131" s="33"/>
      <c r="BF131" s="33"/>
      <c r="BG131" s="33"/>
      <c r="BH131" s="33"/>
      <c r="BI131" s="33"/>
      <c r="BJ131" s="33"/>
      <c r="BK131" s="33"/>
      <c r="BL131" s="33"/>
      <c r="BM131" s="33"/>
      <c r="BN131" s="33"/>
      <c r="BO131" s="33"/>
      <c r="BP131" s="33"/>
      <c r="BQ131" s="33"/>
      <c r="BR131" s="33">
        <f t="shared" si="1"/>
        <v>0</v>
      </c>
      <c r="BS131" s="33">
        <f>SUMIFS('Data For Calculation - Insuranc'!I:I,'Data For Calculation - Insuranc'!$A:$A,$A131)</f>
        <v>0</v>
      </c>
      <c r="BT131" s="33">
        <f>SUMIFS('Data For Calculation - Insuranc'!J:J,'Data For Calculation - Insuranc'!$A:$A,$A131)</f>
        <v>0</v>
      </c>
      <c r="BU131" s="33">
        <f>SUMIFS('Data For Calculation - Insuranc'!K:K,'Data For Calculation - Insuranc'!$A:$A,$A131)</f>
        <v>0</v>
      </c>
      <c r="BV131" s="33">
        <f>IF($CC131 = "Dealer", SUMIFS('Data For Calculation - Insuranc'!I:I,'Data For Calculation - Insuranc'!$B:$B,$A131,'Data For Calculation - Insuranc'!$H:$H,"Master Dealer")) + SUMIFS('Data For Calculation - Insuranc'!I:I,'Data For Calculation - Insuranc'!$A:$A,$A131,'Data For Calculation - Insuranc'!$H:$H,"Self")</f>
        <v>0</v>
      </c>
      <c r="BW131" s="33">
        <f>IF($CC131 = "Dealer", SUMIFS('Data For Calculation - Insuranc'!J:J,'Data For Calculation - Insuranc'!$B:$B,$A131,'Data For Calculation - Insuranc'!$H:$H,"Master Dealer")) + SUMIFS('Data For Calculation - Insuranc'!J:J,'Data For Calculation - Insuranc'!$A:$A,$A131,'Data For Calculation - Insuranc'!$H:$H,"Self")</f>
        <v>0</v>
      </c>
      <c r="BX131" s="33">
        <f>IF($CC131 = "Dealer", SUMIFS('Data For Calculation - Insuranc'!K:K,'Data For Calculation - Insuranc'!$B:$B,$A131,'Data For Calculation - Insuranc'!$H:$H,"Master Dealer")) + SUMIFS('Data For Calculation - Insuranc'!K:K,'Data For Calculation - Insuranc'!$A:$A,$A131,'Data For Calculation - Insuranc'!$H:$H,"Self")</f>
        <v>0</v>
      </c>
      <c r="BY131" s="25" t="str">
        <f>(Sheet1!N131)</f>
        <v>Lalit Mohan sharma</v>
      </c>
      <c r="BZ131" s="25" t="str">
        <f>(Sheet1!O131)</f>
        <v>1QtE2j1s3tO4so4-6brIBcxG25GkuhYSP382fzi5rqdw</v>
      </c>
      <c r="CA131" s="25" t="str">
        <f>(Sheet1!AV131)</f>
        <v/>
      </c>
      <c r="CB131" s="25" t="str">
        <f>(Sheet1!AW131)</f>
        <v/>
      </c>
      <c r="CC131" s="26" t="str">
        <f>(Sheet1!P131)</f>
        <v>Dealer</v>
      </c>
    </row>
    <row r="132">
      <c r="A132" s="25" t="str">
        <f>(Sheet1!A132)</f>
        <v>1d-fClpNuQDkiOpgBIcTAkZx1QbsS35V0oPcKli3TAOc</v>
      </c>
      <c r="B132" s="25" t="str">
        <f>(Sheet1!B132)</f>
        <v>Lalit Mohan Sharma</v>
      </c>
      <c r="C132" s="30" t="str">
        <f>Sheet1!BB132</f>
        <v>No</v>
      </c>
      <c r="D132" s="30" t="s">
        <v>13</v>
      </c>
      <c r="E132" s="34" t="s">
        <v>13</v>
      </c>
      <c r="F132" s="30" t="s">
        <v>3817</v>
      </c>
      <c r="G132" s="31">
        <v>290.0</v>
      </c>
      <c r="H132" s="34" t="s">
        <v>3853</v>
      </c>
      <c r="I132" s="34">
        <v>0.0</v>
      </c>
      <c r="J132" s="34">
        <v>100.0</v>
      </c>
      <c r="K132" s="34">
        <v>0.0</v>
      </c>
      <c r="L132" s="34">
        <v>0.0</v>
      </c>
      <c r="M132" s="33">
        <f>COUNTIFS('Data For Calculation - Insuranc'!A:A,A132,'Data For Calculation - Insuranc'!E:E,"CPA + RSA")</f>
        <v>0</v>
      </c>
      <c r="N132" s="30" t="s">
        <v>3817</v>
      </c>
      <c r="O132" s="31">
        <v>460.0</v>
      </c>
      <c r="P132" s="34" t="s">
        <v>3853</v>
      </c>
      <c r="Q132" s="34">
        <v>0.0</v>
      </c>
      <c r="R132" s="34">
        <v>100.0</v>
      </c>
      <c r="S132" s="34">
        <v>0.0</v>
      </c>
      <c r="T132" s="34">
        <v>0.0</v>
      </c>
      <c r="U132" s="33">
        <f>COUNTIFS('Data For Calculation - Insuranc'!A:A,A132,'Data For Calculation - Insuranc'!E:E,"CPA + RSA + AHDC + DOC")</f>
        <v>0</v>
      </c>
      <c r="V132" s="30" t="s">
        <v>3817</v>
      </c>
      <c r="W132" s="34">
        <v>838.99</v>
      </c>
      <c r="X132" s="34" t="s">
        <v>3853</v>
      </c>
      <c r="Y132" s="34">
        <v>0.0</v>
      </c>
      <c r="Z132" s="34">
        <v>100.0</v>
      </c>
      <c r="AA132" s="34">
        <v>0.0</v>
      </c>
      <c r="AB132" s="34">
        <v>0.0</v>
      </c>
      <c r="AC132" s="33">
        <f>COUNTIFS('Data For Calculation - Insuranc'!A:A,A132,'Data For Calculation - Insuranc'!E:E,"CPA + RSA : 5 Years")</f>
        <v>0</v>
      </c>
      <c r="AD132" s="30" t="s">
        <v>3817</v>
      </c>
      <c r="AE132" s="31">
        <v>838.99</v>
      </c>
      <c r="AF132" s="34" t="s">
        <v>3853</v>
      </c>
      <c r="AG132" s="34">
        <v>0.0</v>
      </c>
      <c r="AH132" s="34">
        <v>100.0</v>
      </c>
      <c r="AI132" s="34">
        <v>0.0</v>
      </c>
      <c r="AJ132" s="34">
        <v>0.0</v>
      </c>
      <c r="AK132" s="33">
        <f>COUNTIFS('Data For Calculation - Insuranc'!A:A,A132,'Data For Calculation - Insuranc'!E:E,"Assistance + CPA : 5 Years")</f>
        <v>0</v>
      </c>
      <c r="AL132" s="30" t="s">
        <v>3817</v>
      </c>
      <c r="AM132" s="31">
        <v>290.0</v>
      </c>
      <c r="AN132" s="34" t="s">
        <v>3853</v>
      </c>
      <c r="AO132" s="34">
        <v>0.0</v>
      </c>
      <c r="AP132" s="34">
        <v>100.0</v>
      </c>
      <c r="AQ132" s="34">
        <v>0.0</v>
      </c>
      <c r="AR132" s="34">
        <v>0.0</v>
      </c>
      <c r="AS132" s="33">
        <f>COUNTIFS('Data For Calculation - Insuranc'!A:A,A132,'Data For Calculation - Insuranc'!E:E,"RSA + AHDC + DOC")</f>
        <v>0</v>
      </c>
      <c r="AT132" s="33"/>
      <c r="AU132" s="33"/>
      <c r="AV132" s="33"/>
      <c r="AW132" s="33"/>
      <c r="AX132" s="33"/>
      <c r="AY132" s="33"/>
      <c r="AZ132" s="33"/>
      <c r="BA132" s="33"/>
      <c r="BB132" s="33"/>
      <c r="BC132" s="33"/>
      <c r="BD132" s="33"/>
      <c r="BE132" s="33"/>
      <c r="BF132" s="33"/>
      <c r="BG132" s="33"/>
      <c r="BH132" s="33"/>
      <c r="BI132" s="33"/>
      <c r="BJ132" s="33"/>
      <c r="BK132" s="33"/>
      <c r="BL132" s="33"/>
      <c r="BM132" s="33"/>
      <c r="BN132" s="33"/>
      <c r="BO132" s="33"/>
      <c r="BP132" s="33"/>
      <c r="BQ132" s="33"/>
      <c r="BR132" s="33">
        <f t="shared" si="1"/>
        <v>0</v>
      </c>
      <c r="BS132" s="33">
        <f>SUMIFS('Data For Calculation - Insuranc'!I:I,'Data For Calculation - Insuranc'!$A:$A,$A132)</f>
        <v>0</v>
      </c>
      <c r="BT132" s="33">
        <f>SUMIFS('Data For Calculation - Insuranc'!J:J,'Data For Calculation - Insuranc'!$A:$A,$A132)</f>
        <v>0</v>
      </c>
      <c r="BU132" s="33">
        <f>SUMIFS('Data For Calculation - Insuranc'!K:K,'Data For Calculation - Insuranc'!$A:$A,$A132)</f>
        <v>0</v>
      </c>
      <c r="BV132" s="33">
        <f>IF($CC132 = "Dealer", SUMIFS('Data For Calculation - Insuranc'!I:I,'Data For Calculation - Insuranc'!$B:$B,$A132,'Data For Calculation - Insuranc'!$H:$H,"Master Dealer")) + SUMIFS('Data For Calculation - Insuranc'!I:I,'Data For Calculation - Insuranc'!$A:$A,$A132,'Data For Calculation - Insuranc'!$H:$H,"Self")</f>
        <v>0</v>
      </c>
      <c r="BW132" s="33">
        <f>IF($CC132 = "Dealer", SUMIFS('Data For Calculation - Insuranc'!J:J,'Data For Calculation - Insuranc'!$B:$B,$A132,'Data For Calculation - Insuranc'!$H:$H,"Master Dealer")) + SUMIFS('Data For Calculation - Insuranc'!J:J,'Data For Calculation - Insuranc'!$A:$A,$A132,'Data For Calculation - Insuranc'!$H:$H,"Self")</f>
        <v>0</v>
      </c>
      <c r="BX132" s="33">
        <f>IF($CC132 = "Dealer", SUMIFS('Data For Calculation - Insuranc'!K:K,'Data For Calculation - Insuranc'!$B:$B,$A132,'Data For Calculation - Insuranc'!$H:$H,"Master Dealer")) + SUMIFS('Data For Calculation - Insuranc'!K:K,'Data For Calculation - Insuranc'!$A:$A,$A132,'Data For Calculation - Insuranc'!$H:$H,"Self")</f>
        <v>0</v>
      </c>
      <c r="BY132" s="25" t="str">
        <f>(Sheet1!N132)</f>
        <v>Lalit Mohan Sharma</v>
      </c>
      <c r="BZ132" s="25" t="str">
        <f>(Sheet1!O132)</f>
        <v>1d-fClpNuQDkiOpgBIcTAkZx1QbsS35V0oPcKli3TAOc</v>
      </c>
      <c r="CA132" s="25" t="str">
        <f>(Sheet1!AV132)</f>
        <v/>
      </c>
      <c r="CB132" s="25" t="str">
        <f>(Sheet1!AW132)</f>
        <v/>
      </c>
      <c r="CC132" s="26" t="str">
        <f>(Sheet1!P132)</f>
        <v>Dealer</v>
      </c>
    </row>
    <row r="133">
      <c r="A133" s="25" t="str">
        <f>(Sheet1!A133)</f>
        <v>1whkrB_X-9Od4l-1CkkLvnSLfIwfTyRMI1A3rhlUbkHU</v>
      </c>
      <c r="B133" s="25" t="str">
        <f>(Sheet1!B133)</f>
        <v>Titan Automobiles - Chhattisgarh</v>
      </c>
      <c r="C133" s="30" t="str">
        <f>Sheet1!BB133</f>
        <v>No</v>
      </c>
      <c r="D133" s="30" t="s">
        <v>13</v>
      </c>
      <c r="E133" s="34" t="s">
        <v>13</v>
      </c>
      <c r="F133" s="30" t="s">
        <v>3817</v>
      </c>
      <c r="G133" s="31">
        <v>290.0</v>
      </c>
      <c r="H133" s="34" t="s">
        <v>3853</v>
      </c>
      <c r="I133" s="34">
        <v>0.0</v>
      </c>
      <c r="J133" s="34">
        <v>100.0</v>
      </c>
      <c r="K133" s="34">
        <v>0.0</v>
      </c>
      <c r="L133" s="34">
        <v>0.0</v>
      </c>
      <c r="M133" s="33">
        <f>COUNTIFS('Data For Calculation - Insuranc'!A:A,A133,'Data For Calculation - Insuranc'!E:E,"CPA + RSA")</f>
        <v>0</v>
      </c>
      <c r="N133" s="30" t="s">
        <v>3817</v>
      </c>
      <c r="O133" s="31">
        <v>460.0</v>
      </c>
      <c r="P133" s="34" t="s">
        <v>3853</v>
      </c>
      <c r="Q133" s="34">
        <v>0.0</v>
      </c>
      <c r="R133" s="34">
        <v>100.0</v>
      </c>
      <c r="S133" s="34">
        <v>0.0</v>
      </c>
      <c r="T133" s="34">
        <v>0.0</v>
      </c>
      <c r="U133" s="33">
        <f>COUNTIFS('Data For Calculation - Insuranc'!A:A,A133,'Data For Calculation - Insuranc'!E:E,"CPA + RSA + AHDC + DOC")</f>
        <v>0</v>
      </c>
      <c r="V133" s="30" t="s">
        <v>3817</v>
      </c>
      <c r="W133" s="34">
        <v>838.99</v>
      </c>
      <c r="X133" s="34" t="s">
        <v>3853</v>
      </c>
      <c r="Y133" s="34">
        <v>0.0</v>
      </c>
      <c r="Z133" s="34">
        <v>100.0</v>
      </c>
      <c r="AA133" s="34">
        <v>0.0</v>
      </c>
      <c r="AB133" s="34">
        <v>0.0</v>
      </c>
      <c r="AC133" s="33">
        <f>COUNTIFS('Data For Calculation - Insuranc'!A:A,A133,'Data For Calculation - Insuranc'!E:E,"CPA + RSA : 5 Years")</f>
        <v>0</v>
      </c>
      <c r="AD133" s="30" t="s">
        <v>3817</v>
      </c>
      <c r="AE133" s="31">
        <v>838.99</v>
      </c>
      <c r="AF133" s="34" t="s">
        <v>3853</v>
      </c>
      <c r="AG133" s="34">
        <v>0.0</v>
      </c>
      <c r="AH133" s="34">
        <v>100.0</v>
      </c>
      <c r="AI133" s="34">
        <v>0.0</v>
      </c>
      <c r="AJ133" s="34">
        <v>0.0</v>
      </c>
      <c r="AK133" s="33">
        <f>COUNTIFS('Data For Calculation - Insuranc'!A:A,A133,'Data For Calculation - Insuranc'!E:E,"Assistance + CPA : 5 Years")</f>
        <v>0</v>
      </c>
      <c r="AL133" s="30" t="s">
        <v>3817</v>
      </c>
      <c r="AM133" s="31">
        <v>290.0</v>
      </c>
      <c r="AN133" s="34" t="s">
        <v>3853</v>
      </c>
      <c r="AO133" s="34">
        <v>0.0</v>
      </c>
      <c r="AP133" s="34">
        <v>100.0</v>
      </c>
      <c r="AQ133" s="34">
        <v>0.0</v>
      </c>
      <c r="AR133" s="34">
        <v>0.0</v>
      </c>
      <c r="AS133" s="33">
        <f>COUNTIFS('Data For Calculation - Insuranc'!A:A,A133,'Data For Calculation - Insuranc'!E:E,"RSA + AHDC + DOC")</f>
        <v>0</v>
      </c>
      <c r="AT133" s="33"/>
      <c r="AU133" s="33"/>
      <c r="AV133" s="33"/>
      <c r="AW133" s="33"/>
      <c r="AX133" s="33"/>
      <c r="AY133" s="33"/>
      <c r="AZ133" s="33"/>
      <c r="BA133" s="33"/>
      <c r="BB133" s="33"/>
      <c r="BC133" s="33"/>
      <c r="BD133" s="33"/>
      <c r="BE133" s="33"/>
      <c r="BF133" s="33"/>
      <c r="BG133" s="33"/>
      <c r="BH133" s="33"/>
      <c r="BI133" s="33"/>
      <c r="BJ133" s="33"/>
      <c r="BK133" s="33"/>
      <c r="BL133" s="33"/>
      <c r="BM133" s="33"/>
      <c r="BN133" s="33"/>
      <c r="BO133" s="33"/>
      <c r="BP133" s="33"/>
      <c r="BQ133" s="33"/>
      <c r="BR133" s="33">
        <f t="shared" si="1"/>
        <v>0</v>
      </c>
      <c r="BS133" s="33">
        <f>SUMIFS('Data For Calculation - Insuranc'!I:I,'Data For Calculation - Insuranc'!$A:$A,$A133)</f>
        <v>0</v>
      </c>
      <c r="BT133" s="33">
        <f>SUMIFS('Data For Calculation - Insuranc'!J:J,'Data For Calculation - Insuranc'!$A:$A,$A133)</f>
        <v>0</v>
      </c>
      <c r="BU133" s="33">
        <f>SUMIFS('Data For Calculation - Insuranc'!K:K,'Data For Calculation - Insuranc'!$A:$A,$A133)</f>
        <v>0</v>
      </c>
      <c r="BV133" s="33">
        <f>IF($CC133 = "Dealer", SUMIFS('Data For Calculation - Insuranc'!I:I,'Data For Calculation - Insuranc'!$B:$B,$A133,'Data For Calculation - Insuranc'!$H:$H,"Master Dealer")) + SUMIFS('Data For Calculation - Insuranc'!I:I,'Data For Calculation - Insuranc'!$A:$A,$A133,'Data For Calculation - Insuranc'!$H:$H,"Self")</f>
        <v>0</v>
      </c>
      <c r="BW133" s="33">
        <f>IF($CC133 = "Dealer", SUMIFS('Data For Calculation - Insuranc'!J:J,'Data For Calculation - Insuranc'!$B:$B,$A133,'Data For Calculation - Insuranc'!$H:$H,"Master Dealer")) + SUMIFS('Data For Calculation - Insuranc'!J:J,'Data For Calculation - Insuranc'!$A:$A,$A133,'Data For Calculation - Insuranc'!$H:$H,"Self")</f>
        <v>0</v>
      </c>
      <c r="BX133" s="33">
        <f>IF($CC133 = "Dealer", SUMIFS('Data For Calculation - Insuranc'!K:K,'Data For Calculation - Insuranc'!$B:$B,$A133,'Data For Calculation - Insuranc'!$H:$H,"Master Dealer")) + SUMIFS('Data For Calculation - Insuranc'!K:K,'Data For Calculation - Insuranc'!$A:$A,$A133,'Data For Calculation - Insuranc'!$H:$H,"Self")</f>
        <v>0</v>
      </c>
      <c r="BY133" s="25" t="str">
        <f>(Sheet1!N133)</f>
        <v>Titan Automobiles - Chhattisgarh</v>
      </c>
      <c r="BZ133" s="25" t="str">
        <f>(Sheet1!O133)</f>
        <v>1whkrB_X-9Od4l-1CkkLvnSLfIwfTyRMI1A3rhlUbkHU</v>
      </c>
      <c r="CA133" s="25" t="str">
        <f>(Sheet1!AV133)</f>
        <v/>
      </c>
      <c r="CB133" s="25" t="str">
        <f>(Sheet1!AW133)</f>
        <v/>
      </c>
      <c r="CC133" s="26" t="str">
        <f>(Sheet1!P133)</f>
        <v>Dealer</v>
      </c>
    </row>
    <row r="134">
      <c r="A134" s="25" t="str">
        <f>(Sheet1!A134)</f>
        <v>1R-KBg0YkrorE8DStygYpBSvRKir_GExYWSoR962MR28</v>
      </c>
      <c r="B134" s="25" t="str">
        <f>(Sheet1!B134)</f>
        <v>Infinity Auto - Delhi</v>
      </c>
      <c r="C134" s="30" t="str">
        <f>Sheet1!BB134</f>
        <v>No</v>
      </c>
      <c r="D134" s="30" t="s">
        <v>13</v>
      </c>
      <c r="E134" s="34" t="s">
        <v>13</v>
      </c>
      <c r="F134" s="30" t="s">
        <v>3820</v>
      </c>
      <c r="G134" s="31">
        <v>290.0</v>
      </c>
      <c r="H134" s="34" t="s">
        <v>3853</v>
      </c>
      <c r="I134" s="34">
        <v>0.0</v>
      </c>
      <c r="J134" s="34">
        <v>100.0</v>
      </c>
      <c r="K134" s="34">
        <v>0.0</v>
      </c>
      <c r="L134" s="34">
        <v>0.0</v>
      </c>
      <c r="M134" s="33">
        <f>COUNTIFS('Data For Calculation - Insuranc'!A:A,A134,'Data For Calculation - Insuranc'!E:E,"CPA + RSA")</f>
        <v>0</v>
      </c>
      <c r="N134" s="30" t="s">
        <v>3820</v>
      </c>
      <c r="O134" s="31">
        <v>460.0</v>
      </c>
      <c r="P134" s="34" t="s">
        <v>3853</v>
      </c>
      <c r="Q134" s="34">
        <v>0.0</v>
      </c>
      <c r="R134" s="34">
        <v>100.0</v>
      </c>
      <c r="S134" s="34">
        <v>0.0</v>
      </c>
      <c r="T134" s="34">
        <v>0.0</v>
      </c>
      <c r="U134" s="33">
        <f>COUNTIFS('Data For Calculation - Insuranc'!A:A,A134,'Data For Calculation - Insuranc'!E:E,"CPA + RSA + AHDC + DOC")</f>
        <v>0</v>
      </c>
      <c r="V134" s="30" t="s">
        <v>3820</v>
      </c>
      <c r="W134" s="34">
        <v>838.99</v>
      </c>
      <c r="X134" s="34" t="s">
        <v>3853</v>
      </c>
      <c r="Y134" s="34">
        <v>0.0</v>
      </c>
      <c r="Z134" s="34">
        <v>100.0</v>
      </c>
      <c r="AA134" s="34">
        <v>0.0</v>
      </c>
      <c r="AB134" s="34">
        <v>0.0</v>
      </c>
      <c r="AC134" s="33">
        <f>COUNTIFS('Data For Calculation - Insuranc'!A:A,A134,'Data For Calculation - Insuranc'!E:E,"CPA + RSA : 5 Years")</f>
        <v>0</v>
      </c>
      <c r="AD134" s="30" t="s">
        <v>3820</v>
      </c>
      <c r="AE134" s="31">
        <v>838.99</v>
      </c>
      <c r="AF134" s="34" t="s">
        <v>3853</v>
      </c>
      <c r="AG134" s="34">
        <v>0.0</v>
      </c>
      <c r="AH134" s="34">
        <v>100.0</v>
      </c>
      <c r="AI134" s="34">
        <v>0.0</v>
      </c>
      <c r="AJ134" s="34">
        <v>0.0</v>
      </c>
      <c r="AK134" s="33">
        <f>COUNTIFS('Data For Calculation - Insuranc'!A:A,A134,'Data For Calculation - Insuranc'!E:E,"Assistance + CPA : 5 Years")</f>
        <v>0</v>
      </c>
      <c r="AL134" s="30" t="s">
        <v>3820</v>
      </c>
      <c r="AM134" s="31">
        <v>290.0</v>
      </c>
      <c r="AN134" s="34" t="s">
        <v>3853</v>
      </c>
      <c r="AO134" s="34">
        <v>0.0</v>
      </c>
      <c r="AP134" s="34">
        <v>100.0</v>
      </c>
      <c r="AQ134" s="34">
        <v>0.0</v>
      </c>
      <c r="AR134" s="34">
        <v>0.0</v>
      </c>
      <c r="AS134" s="33">
        <f>COUNTIFS('Data For Calculation - Insuranc'!A:A,A134,'Data For Calculation - Insuranc'!E:E,"RSA + AHDC + DOC")</f>
        <v>0</v>
      </c>
      <c r="AT134" s="33"/>
      <c r="AU134" s="33"/>
      <c r="AV134" s="33"/>
      <c r="AW134" s="33"/>
      <c r="AX134" s="33"/>
      <c r="AY134" s="33"/>
      <c r="AZ134" s="33"/>
      <c r="BA134" s="33"/>
      <c r="BB134" s="33"/>
      <c r="BC134" s="33"/>
      <c r="BD134" s="33"/>
      <c r="BE134" s="33"/>
      <c r="BF134" s="33"/>
      <c r="BG134" s="33"/>
      <c r="BH134" s="33"/>
      <c r="BI134" s="33"/>
      <c r="BJ134" s="33"/>
      <c r="BK134" s="33"/>
      <c r="BL134" s="33"/>
      <c r="BM134" s="33"/>
      <c r="BN134" s="33"/>
      <c r="BO134" s="33"/>
      <c r="BP134" s="33"/>
      <c r="BQ134" s="33"/>
      <c r="BR134" s="33">
        <f t="shared" si="1"/>
        <v>0</v>
      </c>
      <c r="BS134" s="33">
        <f>SUMIFS('Data For Calculation - Insuranc'!I:I,'Data For Calculation - Insuranc'!$A:$A,$A134)</f>
        <v>0</v>
      </c>
      <c r="BT134" s="33">
        <f>SUMIFS('Data For Calculation - Insuranc'!J:J,'Data For Calculation - Insuranc'!$A:$A,$A134)</f>
        <v>0</v>
      </c>
      <c r="BU134" s="33">
        <f>SUMIFS('Data For Calculation - Insuranc'!K:K,'Data For Calculation - Insuranc'!$A:$A,$A134)</f>
        <v>0</v>
      </c>
      <c r="BV134" s="33">
        <f>IF($CC134 = "Dealer", SUMIFS('Data For Calculation - Insuranc'!I:I,'Data For Calculation - Insuranc'!$B:$B,$A134,'Data For Calculation - Insuranc'!$H:$H,"Master Dealer")) + SUMIFS('Data For Calculation - Insuranc'!I:I,'Data For Calculation - Insuranc'!$A:$A,$A134,'Data For Calculation - Insuranc'!$H:$H,"Self")</f>
        <v>0</v>
      </c>
      <c r="BW134" s="33">
        <f>IF($CC134 = "Dealer", SUMIFS('Data For Calculation - Insuranc'!J:J,'Data For Calculation - Insuranc'!$B:$B,$A134,'Data For Calculation - Insuranc'!$H:$H,"Master Dealer")) + SUMIFS('Data For Calculation - Insuranc'!J:J,'Data For Calculation - Insuranc'!$A:$A,$A134,'Data For Calculation - Insuranc'!$H:$H,"Self")</f>
        <v>0</v>
      </c>
      <c r="BX134" s="33">
        <f>IF($CC134 = "Dealer", SUMIFS('Data For Calculation - Insuranc'!K:K,'Data For Calculation - Insuranc'!$B:$B,$A134,'Data For Calculation - Insuranc'!$H:$H,"Master Dealer")) + SUMIFS('Data For Calculation - Insuranc'!K:K,'Data For Calculation - Insuranc'!$A:$A,$A134,'Data For Calculation - Insuranc'!$H:$H,"Self")</f>
        <v>0</v>
      </c>
      <c r="BY134" s="25" t="str">
        <f>(Sheet1!N134)</f>
        <v>Infinity Auto - Delhi</v>
      </c>
      <c r="BZ134" s="25" t="str">
        <f>(Sheet1!O134)</f>
        <v>1R-KBg0YkrorE8DStygYpBSvRKir_GExYWSoR962MR28</v>
      </c>
      <c r="CA134" s="25" t="str">
        <f>(Sheet1!AV134)</f>
        <v/>
      </c>
      <c r="CB134" s="25" t="str">
        <f>(Sheet1!AW134)</f>
        <v/>
      </c>
      <c r="CC134" s="26" t="str">
        <f>(Sheet1!P134)</f>
        <v>Dealer</v>
      </c>
    </row>
    <row r="135">
      <c r="A135" s="25" t="str">
        <f>(Sheet1!A135)</f>
        <v>1gpkFkt64SOPtUdTLgYHh3ywX3j8A0gBqJpCUqa9mZ2E</v>
      </c>
      <c r="B135" s="25" t="str">
        <f>(Sheet1!B135)</f>
        <v>Shri Ganga Motors(KAB)- DIWAI</v>
      </c>
      <c r="C135" s="30" t="str">
        <f>Sheet1!BB135</f>
        <v>No</v>
      </c>
      <c r="D135" s="30" t="s">
        <v>13</v>
      </c>
      <c r="E135" s="34" t="s">
        <v>13</v>
      </c>
      <c r="F135" s="30" t="s">
        <v>3856</v>
      </c>
      <c r="G135" s="31">
        <v>155.0</v>
      </c>
      <c r="H135" s="34" t="s">
        <v>3853</v>
      </c>
      <c r="I135" s="34">
        <v>0.0</v>
      </c>
      <c r="J135" s="34">
        <v>100.0</v>
      </c>
      <c r="K135" s="34">
        <v>0.0</v>
      </c>
      <c r="L135" s="34">
        <v>0.0</v>
      </c>
      <c r="M135" s="33">
        <f>COUNTIFS('Data For Calculation - Insuranc'!A:A,A135,'Data For Calculation - Insuranc'!E:E,"CPA + RSA")</f>
        <v>0</v>
      </c>
      <c r="N135" s="30" t="s">
        <v>3856</v>
      </c>
      <c r="O135" s="41">
        <v>155.0</v>
      </c>
      <c r="P135" s="34" t="s">
        <v>3853</v>
      </c>
      <c r="Q135" s="34">
        <v>0.0</v>
      </c>
      <c r="R135" s="34">
        <v>100.0</v>
      </c>
      <c r="S135" s="34">
        <v>0.0</v>
      </c>
      <c r="T135" s="34">
        <v>0.0</v>
      </c>
      <c r="U135" s="33">
        <f>COUNTIFS('Data For Calculation - Insuranc'!A:A,A135,'Data For Calculation - Insuranc'!E:E,"CPA + RSA + AHDC + DOC")</f>
        <v>0</v>
      </c>
      <c r="V135" s="30" t="s">
        <v>3856</v>
      </c>
      <c r="W135" s="34">
        <v>838.99</v>
      </c>
      <c r="X135" s="34" t="s">
        <v>3853</v>
      </c>
      <c r="Y135" s="34">
        <v>0.0</v>
      </c>
      <c r="Z135" s="34">
        <v>100.0</v>
      </c>
      <c r="AA135" s="34">
        <v>0.0</v>
      </c>
      <c r="AB135" s="34">
        <v>0.0</v>
      </c>
      <c r="AC135" s="33">
        <f>COUNTIFS('Data For Calculation - Insuranc'!A:A,A135,'Data For Calculation - Insuranc'!E:E,"CPA + RSA : 5 Years")</f>
        <v>0</v>
      </c>
      <c r="AD135" s="30" t="s">
        <v>3856</v>
      </c>
      <c r="AE135" s="31">
        <v>838.99</v>
      </c>
      <c r="AF135" s="34" t="s">
        <v>3853</v>
      </c>
      <c r="AG135" s="34">
        <v>0.0</v>
      </c>
      <c r="AH135" s="34">
        <v>100.0</v>
      </c>
      <c r="AI135" s="34">
        <v>0.0</v>
      </c>
      <c r="AJ135" s="34">
        <v>0.0</v>
      </c>
      <c r="AK135" s="33">
        <f>COUNTIFS('Data For Calculation - Insuranc'!A:A,A135,'Data For Calculation - Insuranc'!E:E,"Assistance + CPA : 5 Years")</f>
        <v>0</v>
      </c>
      <c r="AL135" s="30" t="s">
        <v>3856</v>
      </c>
      <c r="AM135" s="31">
        <v>155.0</v>
      </c>
      <c r="AN135" s="34" t="s">
        <v>3853</v>
      </c>
      <c r="AO135" s="34">
        <v>0.0</v>
      </c>
      <c r="AP135" s="34">
        <v>100.0</v>
      </c>
      <c r="AQ135" s="34">
        <v>0.0</v>
      </c>
      <c r="AR135" s="34">
        <v>0.0</v>
      </c>
      <c r="AS135" s="33">
        <f>COUNTIFS('Data For Calculation - Insuranc'!A:A,A135,'Data For Calculation - Insuranc'!E:E,"RSA + AHDC + DOC")</f>
        <v>0</v>
      </c>
      <c r="AT135" s="33"/>
      <c r="AU135" s="33"/>
      <c r="AV135" s="33"/>
      <c r="AW135" s="33"/>
      <c r="AX135" s="33"/>
      <c r="AY135" s="33"/>
      <c r="AZ135" s="33"/>
      <c r="BA135" s="33"/>
      <c r="BB135" s="33"/>
      <c r="BC135" s="33"/>
      <c r="BD135" s="33"/>
      <c r="BE135" s="33"/>
      <c r="BF135" s="33"/>
      <c r="BG135" s="33"/>
      <c r="BH135" s="33"/>
      <c r="BI135" s="33"/>
      <c r="BJ135" s="33"/>
      <c r="BK135" s="33"/>
      <c r="BL135" s="33"/>
      <c r="BM135" s="33"/>
      <c r="BN135" s="33"/>
      <c r="BO135" s="33"/>
      <c r="BP135" s="33"/>
      <c r="BQ135" s="33"/>
      <c r="BR135" s="33">
        <f t="shared" si="1"/>
        <v>0</v>
      </c>
      <c r="BS135" s="33">
        <f>SUMIFS('Data For Calculation - Insuranc'!I:I,'Data For Calculation - Insuranc'!$A:$A,$A135)</f>
        <v>0</v>
      </c>
      <c r="BT135" s="33">
        <f>SUMIFS('Data For Calculation - Insuranc'!J:J,'Data For Calculation - Insuranc'!$A:$A,$A135)</f>
        <v>0</v>
      </c>
      <c r="BU135" s="33">
        <f>SUMIFS('Data For Calculation - Insuranc'!K:K,'Data For Calculation - Insuranc'!$A:$A,$A135)</f>
        <v>0</v>
      </c>
      <c r="BV135" s="33">
        <f>IF($CC135 = "Dealer", SUMIFS('Data For Calculation - Insuranc'!I:I,'Data For Calculation - Insuranc'!$B:$B,$A135,'Data For Calculation - Insuranc'!$H:$H,"Master Dealer")) + SUMIFS('Data For Calculation - Insuranc'!I:I,'Data For Calculation - Insuranc'!$A:$A,$A135,'Data For Calculation - Insuranc'!$H:$H,"Self")</f>
        <v>0</v>
      </c>
      <c r="BW135" s="33">
        <f>IF($CC135 = "Dealer", SUMIFS('Data For Calculation - Insuranc'!J:J,'Data For Calculation - Insuranc'!$B:$B,$A135,'Data For Calculation - Insuranc'!$H:$H,"Master Dealer")) + SUMIFS('Data For Calculation - Insuranc'!J:J,'Data For Calculation - Insuranc'!$A:$A,$A135,'Data For Calculation - Insuranc'!$H:$H,"Self")</f>
        <v>0</v>
      </c>
      <c r="BX135" s="33">
        <f>IF($CC135 = "Dealer", SUMIFS('Data For Calculation - Insuranc'!K:K,'Data For Calculation - Insuranc'!$B:$B,$A135,'Data For Calculation - Insuranc'!$H:$H,"Master Dealer")) + SUMIFS('Data For Calculation - Insuranc'!K:K,'Data For Calculation - Insuranc'!$A:$A,$A135,'Data For Calculation - Insuranc'!$H:$H,"Self")</f>
        <v>0</v>
      </c>
      <c r="BY135" s="25" t="str">
        <f>(Sheet1!N135)</f>
        <v>Krishna Hero - Bulandshahr</v>
      </c>
      <c r="BZ135" s="25" t="str">
        <f>(Sheet1!O135)</f>
        <v>1mX_ZCiMgVCd3AONQ2zBbbc9wQ6Mlj2RvmkSWdpWht-8</v>
      </c>
      <c r="CA135" s="25" t="str">
        <f>(Sheet1!AV135)</f>
        <v/>
      </c>
      <c r="CB135" s="25" t="str">
        <f>(Sheet1!AW135)</f>
        <v/>
      </c>
      <c r="CC135" s="26" t="str">
        <f>(Sheet1!P135)</f>
        <v>Sub Dealer</v>
      </c>
    </row>
    <row r="136">
      <c r="A136" s="25" t="str">
        <f>(Sheet1!A136)</f>
        <v>10TVZfWpwLQGjQeNEgYtxUDB0Ff-TAcnqGp35yEFO690</v>
      </c>
      <c r="B136" s="25" t="str">
        <f>(Sheet1!B136)</f>
        <v>Raja Motors (KAB) - Anupshahr</v>
      </c>
      <c r="C136" s="30" t="str">
        <f>Sheet1!BB136</f>
        <v>No</v>
      </c>
      <c r="D136" s="30" t="s">
        <v>13</v>
      </c>
      <c r="E136" s="34" t="s">
        <v>13</v>
      </c>
      <c r="F136" s="30" t="s">
        <v>3856</v>
      </c>
      <c r="G136" s="31">
        <v>155.0</v>
      </c>
      <c r="H136" s="34" t="s">
        <v>3853</v>
      </c>
      <c r="I136" s="34">
        <v>0.0</v>
      </c>
      <c r="J136" s="34">
        <v>100.0</v>
      </c>
      <c r="K136" s="34">
        <v>0.0</v>
      </c>
      <c r="L136" s="34">
        <v>0.0</v>
      </c>
      <c r="M136" s="33">
        <f>COUNTIFS('Data For Calculation - Insuranc'!A:A,A136,'Data For Calculation - Insuranc'!E:E,"CPA + RSA")</f>
        <v>0</v>
      </c>
      <c r="N136" s="30" t="s">
        <v>3856</v>
      </c>
      <c r="O136" s="41">
        <v>155.0</v>
      </c>
      <c r="P136" s="34" t="s">
        <v>3853</v>
      </c>
      <c r="Q136" s="34">
        <v>0.0</v>
      </c>
      <c r="R136" s="34">
        <v>100.0</v>
      </c>
      <c r="S136" s="34">
        <v>0.0</v>
      </c>
      <c r="T136" s="34">
        <v>0.0</v>
      </c>
      <c r="U136" s="33">
        <f>COUNTIFS('Data For Calculation - Insuranc'!A:A,A136,'Data For Calculation - Insuranc'!E:E,"CPA + RSA + AHDC + DOC")</f>
        <v>0</v>
      </c>
      <c r="V136" s="30" t="s">
        <v>3856</v>
      </c>
      <c r="W136" s="34">
        <v>838.99</v>
      </c>
      <c r="X136" s="34" t="s">
        <v>3853</v>
      </c>
      <c r="Y136" s="34">
        <v>0.0</v>
      </c>
      <c r="Z136" s="34">
        <v>100.0</v>
      </c>
      <c r="AA136" s="34">
        <v>0.0</v>
      </c>
      <c r="AB136" s="34">
        <v>0.0</v>
      </c>
      <c r="AC136" s="33">
        <f>COUNTIFS('Data For Calculation - Insuranc'!A:A,A136,'Data For Calculation - Insuranc'!E:E,"CPA + RSA : 5 Years")</f>
        <v>0</v>
      </c>
      <c r="AD136" s="30" t="s">
        <v>3856</v>
      </c>
      <c r="AE136" s="31">
        <v>838.99</v>
      </c>
      <c r="AF136" s="34" t="s">
        <v>3853</v>
      </c>
      <c r="AG136" s="34">
        <v>0.0</v>
      </c>
      <c r="AH136" s="34">
        <v>100.0</v>
      </c>
      <c r="AI136" s="34">
        <v>0.0</v>
      </c>
      <c r="AJ136" s="34">
        <v>0.0</v>
      </c>
      <c r="AK136" s="33">
        <f>COUNTIFS('Data For Calculation - Insuranc'!A:A,A136,'Data For Calculation - Insuranc'!E:E,"Assistance + CPA : 5 Years")</f>
        <v>0</v>
      </c>
      <c r="AL136" s="30" t="s">
        <v>3856</v>
      </c>
      <c r="AM136" s="31">
        <v>155.0</v>
      </c>
      <c r="AN136" s="34" t="s">
        <v>3853</v>
      </c>
      <c r="AO136" s="34">
        <v>0.0</v>
      </c>
      <c r="AP136" s="34">
        <v>100.0</v>
      </c>
      <c r="AQ136" s="34">
        <v>0.0</v>
      </c>
      <c r="AR136" s="34">
        <v>0.0</v>
      </c>
      <c r="AS136" s="33">
        <f>COUNTIFS('Data For Calculation - Insuranc'!A:A,A136,'Data For Calculation - Insuranc'!E:E,"RSA + AHDC + DOC")</f>
        <v>0</v>
      </c>
      <c r="AT136" s="33"/>
      <c r="AU136" s="33"/>
      <c r="AV136" s="33"/>
      <c r="AW136" s="33"/>
      <c r="AX136" s="33"/>
      <c r="AY136" s="33"/>
      <c r="AZ136" s="33"/>
      <c r="BA136" s="33"/>
      <c r="BB136" s="33"/>
      <c r="BC136" s="33"/>
      <c r="BD136" s="33"/>
      <c r="BE136" s="33"/>
      <c r="BF136" s="33"/>
      <c r="BG136" s="33"/>
      <c r="BH136" s="33"/>
      <c r="BI136" s="33"/>
      <c r="BJ136" s="33"/>
      <c r="BK136" s="33"/>
      <c r="BL136" s="33"/>
      <c r="BM136" s="33"/>
      <c r="BN136" s="33"/>
      <c r="BO136" s="33"/>
      <c r="BP136" s="33"/>
      <c r="BQ136" s="33"/>
      <c r="BR136" s="33">
        <f t="shared" si="1"/>
        <v>0</v>
      </c>
      <c r="BS136" s="33">
        <f>SUMIFS('Data For Calculation - Insuranc'!I:I,'Data For Calculation - Insuranc'!$A:$A,$A136)</f>
        <v>0</v>
      </c>
      <c r="BT136" s="33">
        <f>SUMIFS('Data For Calculation - Insuranc'!J:J,'Data For Calculation - Insuranc'!$A:$A,$A136)</f>
        <v>0</v>
      </c>
      <c r="BU136" s="33">
        <f>SUMIFS('Data For Calculation - Insuranc'!K:K,'Data For Calculation - Insuranc'!$A:$A,$A136)</f>
        <v>0</v>
      </c>
      <c r="BV136" s="33">
        <f>IF($CC136 = "Dealer", SUMIFS('Data For Calculation - Insuranc'!I:I,'Data For Calculation - Insuranc'!$B:$B,$A136,'Data For Calculation - Insuranc'!$H:$H,"Master Dealer")) + SUMIFS('Data For Calculation - Insuranc'!I:I,'Data For Calculation - Insuranc'!$A:$A,$A136,'Data For Calculation - Insuranc'!$H:$H,"Self")</f>
        <v>0</v>
      </c>
      <c r="BW136" s="33">
        <f>IF($CC136 = "Dealer", SUMIFS('Data For Calculation - Insuranc'!J:J,'Data For Calculation - Insuranc'!$B:$B,$A136,'Data For Calculation - Insuranc'!$H:$H,"Master Dealer")) + SUMIFS('Data For Calculation - Insuranc'!J:J,'Data For Calculation - Insuranc'!$A:$A,$A136,'Data For Calculation - Insuranc'!$H:$H,"Self")</f>
        <v>0</v>
      </c>
      <c r="BX136" s="33">
        <f>IF($CC136 = "Dealer", SUMIFS('Data For Calculation - Insuranc'!K:K,'Data For Calculation - Insuranc'!$B:$B,$A136,'Data For Calculation - Insuranc'!$H:$H,"Master Dealer")) + SUMIFS('Data For Calculation - Insuranc'!K:K,'Data For Calculation - Insuranc'!$A:$A,$A136,'Data For Calculation - Insuranc'!$H:$H,"Self")</f>
        <v>0</v>
      </c>
      <c r="BY136" s="25" t="str">
        <f>(Sheet1!N136)</f>
        <v>Krishna Hero - Bulandshahr</v>
      </c>
      <c r="BZ136" s="25" t="str">
        <f>(Sheet1!O136)</f>
        <v>1mX_ZCiMgVCd3AONQ2zBbbc9wQ6Mlj2RvmkSWdpWht-8</v>
      </c>
      <c r="CA136" s="25" t="str">
        <f>(Sheet1!AV136)</f>
        <v/>
      </c>
      <c r="CB136" s="25" t="str">
        <f>(Sheet1!AW136)</f>
        <v/>
      </c>
      <c r="CC136" s="26" t="str">
        <f>(Sheet1!P136)</f>
        <v>Sub Dealer</v>
      </c>
    </row>
    <row r="137">
      <c r="A137" s="25" t="str">
        <f>(Sheet1!A137)</f>
        <v>1_XLcWBp4ERHFxiaI3kI_QYeTmiuf6jLnvzg57PKGdV4</v>
      </c>
      <c r="B137" s="25" t="str">
        <f>(Sheet1!B137)</f>
        <v>Pandit Automobiles (KAB) - Amargarh</v>
      </c>
      <c r="C137" s="30" t="str">
        <f>Sheet1!BB137</f>
        <v>No</v>
      </c>
      <c r="D137" s="30" t="s">
        <v>13</v>
      </c>
      <c r="E137" s="34" t="s">
        <v>13</v>
      </c>
      <c r="F137" s="30" t="s">
        <v>3856</v>
      </c>
      <c r="G137" s="31">
        <v>155.0</v>
      </c>
      <c r="H137" s="34" t="s">
        <v>3853</v>
      </c>
      <c r="I137" s="34">
        <v>0.0</v>
      </c>
      <c r="J137" s="34">
        <v>100.0</v>
      </c>
      <c r="K137" s="34">
        <v>0.0</v>
      </c>
      <c r="L137" s="34">
        <v>0.0</v>
      </c>
      <c r="M137" s="33">
        <f>COUNTIFS('Data For Calculation - Insuranc'!A:A,A137,'Data For Calculation - Insuranc'!E:E,"CPA + RSA")</f>
        <v>0</v>
      </c>
      <c r="N137" s="30" t="s">
        <v>3856</v>
      </c>
      <c r="O137" s="41">
        <v>155.0</v>
      </c>
      <c r="P137" s="34" t="s">
        <v>3853</v>
      </c>
      <c r="Q137" s="34">
        <v>0.0</v>
      </c>
      <c r="R137" s="34">
        <v>100.0</v>
      </c>
      <c r="S137" s="34">
        <v>0.0</v>
      </c>
      <c r="T137" s="34">
        <v>0.0</v>
      </c>
      <c r="U137" s="33">
        <f>COUNTIFS('Data For Calculation - Insuranc'!A:A,A137,'Data For Calculation - Insuranc'!E:E,"CPA + RSA + AHDC + DOC")</f>
        <v>0</v>
      </c>
      <c r="V137" s="30" t="s">
        <v>3856</v>
      </c>
      <c r="W137" s="34">
        <v>838.99</v>
      </c>
      <c r="X137" s="34" t="s">
        <v>3853</v>
      </c>
      <c r="Y137" s="34">
        <v>0.0</v>
      </c>
      <c r="Z137" s="34">
        <v>100.0</v>
      </c>
      <c r="AA137" s="34">
        <v>0.0</v>
      </c>
      <c r="AB137" s="34">
        <v>0.0</v>
      </c>
      <c r="AC137" s="33">
        <f>COUNTIFS('Data For Calculation - Insuranc'!A:A,A137,'Data For Calculation - Insuranc'!E:E,"CPA + RSA : 5 Years")</f>
        <v>0</v>
      </c>
      <c r="AD137" s="30" t="s">
        <v>3856</v>
      </c>
      <c r="AE137" s="31">
        <v>838.99</v>
      </c>
      <c r="AF137" s="34" t="s">
        <v>3853</v>
      </c>
      <c r="AG137" s="34">
        <v>0.0</v>
      </c>
      <c r="AH137" s="34">
        <v>100.0</v>
      </c>
      <c r="AI137" s="34">
        <v>0.0</v>
      </c>
      <c r="AJ137" s="34">
        <v>0.0</v>
      </c>
      <c r="AK137" s="33">
        <f>COUNTIFS('Data For Calculation - Insuranc'!A:A,A137,'Data For Calculation - Insuranc'!E:E,"Assistance + CPA : 5 Years")</f>
        <v>0</v>
      </c>
      <c r="AL137" s="30" t="s">
        <v>3856</v>
      </c>
      <c r="AM137" s="31">
        <v>155.0</v>
      </c>
      <c r="AN137" s="34" t="s">
        <v>3853</v>
      </c>
      <c r="AO137" s="34">
        <v>0.0</v>
      </c>
      <c r="AP137" s="34">
        <v>100.0</v>
      </c>
      <c r="AQ137" s="34">
        <v>0.0</v>
      </c>
      <c r="AR137" s="34">
        <v>0.0</v>
      </c>
      <c r="AS137" s="33">
        <f>COUNTIFS('Data For Calculation - Insuranc'!A:A,A137,'Data For Calculation - Insuranc'!E:E,"RSA + AHDC + DOC")</f>
        <v>0</v>
      </c>
      <c r="AT137" s="33"/>
      <c r="AU137" s="33"/>
      <c r="AV137" s="33"/>
      <c r="AW137" s="33"/>
      <c r="AX137" s="33"/>
      <c r="AY137" s="33"/>
      <c r="AZ137" s="33"/>
      <c r="BA137" s="33"/>
      <c r="BB137" s="33"/>
      <c r="BC137" s="33"/>
      <c r="BD137" s="33"/>
      <c r="BE137" s="33"/>
      <c r="BF137" s="33"/>
      <c r="BG137" s="33"/>
      <c r="BH137" s="33"/>
      <c r="BI137" s="33"/>
      <c r="BJ137" s="33"/>
      <c r="BK137" s="33"/>
      <c r="BL137" s="33"/>
      <c r="BM137" s="33"/>
      <c r="BN137" s="33"/>
      <c r="BO137" s="33"/>
      <c r="BP137" s="33"/>
      <c r="BQ137" s="33"/>
      <c r="BR137" s="33">
        <f t="shared" si="1"/>
        <v>0</v>
      </c>
      <c r="BS137" s="33">
        <f>SUMIFS('Data For Calculation - Insuranc'!I:I,'Data For Calculation - Insuranc'!$A:$A,$A137)</f>
        <v>0</v>
      </c>
      <c r="BT137" s="33">
        <f>SUMIFS('Data For Calculation - Insuranc'!J:J,'Data For Calculation - Insuranc'!$A:$A,$A137)</f>
        <v>0</v>
      </c>
      <c r="BU137" s="33">
        <f>SUMIFS('Data For Calculation - Insuranc'!K:K,'Data For Calculation - Insuranc'!$A:$A,$A137)</f>
        <v>0</v>
      </c>
      <c r="BV137" s="33">
        <f>IF($CC137 = "Dealer", SUMIFS('Data For Calculation - Insuranc'!I:I,'Data For Calculation - Insuranc'!$B:$B,$A137,'Data For Calculation - Insuranc'!$H:$H,"Master Dealer")) + SUMIFS('Data For Calculation - Insuranc'!I:I,'Data For Calculation - Insuranc'!$A:$A,$A137,'Data For Calculation - Insuranc'!$H:$H,"Self")</f>
        <v>0</v>
      </c>
      <c r="BW137" s="33">
        <f>IF($CC137 = "Dealer", SUMIFS('Data For Calculation - Insuranc'!J:J,'Data For Calculation - Insuranc'!$B:$B,$A137,'Data For Calculation - Insuranc'!$H:$H,"Master Dealer")) + SUMIFS('Data For Calculation - Insuranc'!J:J,'Data For Calculation - Insuranc'!$A:$A,$A137,'Data For Calculation - Insuranc'!$H:$H,"Self")</f>
        <v>0</v>
      </c>
      <c r="BX137" s="33">
        <f>IF($CC137 = "Dealer", SUMIFS('Data For Calculation - Insuranc'!K:K,'Data For Calculation - Insuranc'!$B:$B,$A137,'Data For Calculation - Insuranc'!$H:$H,"Master Dealer")) + SUMIFS('Data For Calculation - Insuranc'!K:K,'Data For Calculation - Insuranc'!$A:$A,$A137,'Data For Calculation - Insuranc'!$H:$H,"Self")</f>
        <v>0</v>
      </c>
      <c r="BY137" s="25" t="str">
        <f>(Sheet1!N137)</f>
        <v>Krishna Hero - Bulandshahr</v>
      </c>
      <c r="BZ137" s="25" t="str">
        <f>(Sheet1!O137)</f>
        <v>1mX_ZCiMgVCd3AONQ2zBbbc9wQ6Mlj2RvmkSWdpWht-8</v>
      </c>
      <c r="CA137" s="25" t="str">
        <f>(Sheet1!AV137)</f>
        <v/>
      </c>
      <c r="CB137" s="25" t="str">
        <f>(Sheet1!AW137)</f>
        <v/>
      </c>
      <c r="CC137" s="26" t="str">
        <f>(Sheet1!P137)</f>
        <v>Sub Dealer</v>
      </c>
    </row>
    <row r="138">
      <c r="A138" s="25" t="str">
        <f>(Sheet1!A138)</f>
        <v>1Kqyxw-0LSboMEeSuqYrhFgisXxilEf1M2rD8r466Po0</v>
      </c>
      <c r="B138" s="25" t="str">
        <f>(Sheet1!B138)</f>
        <v>Adesh Automobiles (KAB) - Narora</v>
      </c>
      <c r="C138" s="30" t="str">
        <f>Sheet1!BB138</f>
        <v>No</v>
      </c>
      <c r="D138" s="30" t="s">
        <v>13</v>
      </c>
      <c r="E138" s="34" t="s">
        <v>13</v>
      </c>
      <c r="F138" s="30" t="s">
        <v>3856</v>
      </c>
      <c r="G138" s="31">
        <v>155.0</v>
      </c>
      <c r="H138" s="34" t="s">
        <v>3853</v>
      </c>
      <c r="I138" s="34">
        <v>0.0</v>
      </c>
      <c r="J138" s="34">
        <v>100.0</v>
      </c>
      <c r="K138" s="34">
        <v>0.0</v>
      </c>
      <c r="L138" s="34">
        <v>0.0</v>
      </c>
      <c r="M138" s="33">
        <f>COUNTIFS('Data For Calculation - Insuranc'!A:A,A138,'Data For Calculation - Insuranc'!E:E,"CPA + RSA")</f>
        <v>0</v>
      </c>
      <c r="N138" s="30" t="s">
        <v>3856</v>
      </c>
      <c r="O138" s="41">
        <v>155.0</v>
      </c>
      <c r="P138" s="34" t="s">
        <v>3853</v>
      </c>
      <c r="Q138" s="34">
        <v>0.0</v>
      </c>
      <c r="R138" s="34">
        <v>100.0</v>
      </c>
      <c r="S138" s="34">
        <v>0.0</v>
      </c>
      <c r="T138" s="34">
        <v>0.0</v>
      </c>
      <c r="U138" s="33">
        <f>COUNTIFS('Data For Calculation - Insuranc'!A:A,A138,'Data For Calculation - Insuranc'!E:E,"CPA + RSA + AHDC + DOC")</f>
        <v>0</v>
      </c>
      <c r="V138" s="30" t="s">
        <v>3856</v>
      </c>
      <c r="W138" s="34">
        <v>838.99</v>
      </c>
      <c r="X138" s="34" t="s">
        <v>3853</v>
      </c>
      <c r="Y138" s="34">
        <v>0.0</v>
      </c>
      <c r="Z138" s="34">
        <v>100.0</v>
      </c>
      <c r="AA138" s="34">
        <v>0.0</v>
      </c>
      <c r="AB138" s="34">
        <v>0.0</v>
      </c>
      <c r="AC138" s="33">
        <f>COUNTIFS('Data For Calculation - Insuranc'!A:A,A138,'Data For Calculation - Insuranc'!E:E,"CPA + RSA : 5 Years")</f>
        <v>0</v>
      </c>
      <c r="AD138" s="30" t="s">
        <v>3856</v>
      </c>
      <c r="AE138" s="31">
        <v>838.99</v>
      </c>
      <c r="AF138" s="34" t="s">
        <v>3853</v>
      </c>
      <c r="AG138" s="34">
        <v>0.0</v>
      </c>
      <c r="AH138" s="34">
        <v>100.0</v>
      </c>
      <c r="AI138" s="34">
        <v>0.0</v>
      </c>
      <c r="AJ138" s="34">
        <v>0.0</v>
      </c>
      <c r="AK138" s="33">
        <f>COUNTIFS('Data For Calculation - Insuranc'!A:A,A138,'Data For Calculation - Insuranc'!E:E,"Assistance + CPA : 5 Years")</f>
        <v>0</v>
      </c>
      <c r="AL138" s="30" t="s">
        <v>3856</v>
      </c>
      <c r="AM138" s="31">
        <v>155.0</v>
      </c>
      <c r="AN138" s="34" t="s">
        <v>3853</v>
      </c>
      <c r="AO138" s="34">
        <v>0.0</v>
      </c>
      <c r="AP138" s="34">
        <v>100.0</v>
      </c>
      <c r="AQ138" s="34">
        <v>0.0</v>
      </c>
      <c r="AR138" s="34">
        <v>0.0</v>
      </c>
      <c r="AS138" s="33">
        <f>COUNTIFS('Data For Calculation - Insuranc'!A:A,A138,'Data For Calculation - Insuranc'!E:E,"RSA + AHDC + DOC")</f>
        <v>0</v>
      </c>
      <c r="AT138" s="33"/>
      <c r="AU138" s="33"/>
      <c r="AV138" s="33"/>
      <c r="AW138" s="33"/>
      <c r="AX138" s="33"/>
      <c r="AY138" s="33"/>
      <c r="AZ138" s="33"/>
      <c r="BA138" s="33"/>
      <c r="BB138" s="33"/>
      <c r="BC138" s="33"/>
      <c r="BD138" s="33"/>
      <c r="BE138" s="33"/>
      <c r="BF138" s="33"/>
      <c r="BG138" s="33"/>
      <c r="BH138" s="33"/>
      <c r="BI138" s="33"/>
      <c r="BJ138" s="33"/>
      <c r="BK138" s="33"/>
      <c r="BL138" s="33"/>
      <c r="BM138" s="33"/>
      <c r="BN138" s="33"/>
      <c r="BO138" s="33"/>
      <c r="BP138" s="33"/>
      <c r="BQ138" s="33"/>
      <c r="BR138" s="33">
        <f t="shared" si="1"/>
        <v>0</v>
      </c>
      <c r="BS138" s="33">
        <f>SUMIFS('Data For Calculation - Insuranc'!I:I,'Data For Calculation - Insuranc'!$A:$A,$A138)</f>
        <v>0</v>
      </c>
      <c r="BT138" s="33">
        <f>SUMIFS('Data For Calculation - Insuranc'!J:J,'Data For Calculation - Insuranc'!$A:$A,$A138)</f>
        <v>0</v>
      </c>
      <c r="BU138" s="33">
        <f>SUMIFS('Data For Calculation - Insuranc'!K:K,'Data For Calculation - Insuranc'!$A:$A,$A138)</f>
        <v>0</v>
      </c>
      <c r="BV138" s="33">
        <f>IF($CC138 = "Dealer", SUMIFS('Data For Calculation - Insuranc'!I:I,'Data For Calculation - Insuranc'!$B:$B,$A138,'Data For Calculation - Insuranc'!$H:$H,"Master Dealer")) + SUMIFS('Data For Calculation - Insuranc'!I:I,'Data For Calculation - Insuranc'!$A:$A,$A138,'Data For Calculation - Insuranc'!$H:$H,"Self")</f>
        <v>0</v>
      </c>
      <c r="BW138" s="33">
        <f>IF($CC138 = "Dealer", SUMIFS('Data For Calculation - Insuranc'!J:J,'Data For Calculation - Insuranc'!$B:$B,$A138,'Data For Calculation - Insuranc'!$H:$H,"Master Dealer")) + SUMIFS('Data For Calculation - Insuranc'!J:J,'Data For Calculation - Insuranc'!$A:$A,$A138,'Data For Calculation - Insuranc'!$H:$H,"Self")</f>
        <v>0</v>
      </c>
      <c r="BX138" s="33">
        <f>IF($CC138 = "Dealer", SUMIFS('Data For Calculation - Insuranc'!K:K,'Data For Calculation - Insuranc'!$B:$B,$A138,'Data For Calculation - Insuranc'!$H:$H,"Master Dealer")) + SUMIFS('Data For Calculation - Insuranc'!K:K,'Data For Calculation - Insuranc'!$A:$A,$A138,'Data For Calculation - Insuranc'!$H:$H,"Self")</f>
        <v>0</v>
      </c>
      <c r="BY138" s="25" t="str">
        <f>(Sheet1!N138)</f>
        <v>Krishna Hero - Bulandshahr</v>
      </c>
      <c r="BZ138" s="25" t="str">
        <f>(Sheet1!O138)</f>
        <v>1mX_ZCiMgVCd3AONQ2zBbbc9wQ6Mlj2RvmkSWdpWht-8</v>
      </c>
      <c r="CA138" s="25" t="str">
        <f>(Sheet1!AV138)</f>
        <v/>
      </c>
      <c r="CB138" s="25" t="str">
        <f>(Sheet1!AW138)</f>
        <v/>
      </c>
      <c r="CC138" s="26" t="str">
        <f>(Sheet1!P138)</f>
        <v>Sub Dealer</v>
      </c>
    </row>
    <row r="139">
      <c r="A139" s="25" t="str">
        <f>(Sheet1!A139)</f>
        <v>1mPIzaGx8rwte8Mf-mRlb6WTN7sBNGOldRNCSH91K3bY</v>
      </c>
      <c r="B139" s="25" t="str">
        <f>(Sheet1!B139)</f>
        <v>Vikas Motors ( KAB)- JAHANGIRABAD</v>
      </c>
      <c r="C139" s="30" t="str">
        <f>Sheet1!BB139</f>
        <v>No</v>
      </c>
      <c r="D139" s="30" t="s">
        <v>13</v>
      </c>
      <c r="E139" s="34" t="s">
        <v>13</v>
      </c>
      <c r="F139" s="30" t="s">
        <v>3856</v>
      </c>
      <c r="G139" s="31">
        <v>155.0</v>
      </c>
      <c r="H139" s="34" t="s">
        <v>3853</v>
      </c>
      <c r="I139" s="34">
        <v>0.0</v>
      </c>
      <c r="J139" s="34">
        <v>100.0</v>
      </c>
      <c r="K139" s="34">
        <v>0.0</v>
      </c>
      <c r="L139" s="34">
        <v>0.0</v>
      </c>
      <c r="M139" s="33">
        <f>COUNTIFS('Data For Calculation - Insuranc'!A:A,A139,'Data For Calculation - Insuranc'!E:E,"CPA + RSA")</f>
        <v>0</v>
      </c>
      <c r="N139" s="30" t="s">
        <v>3856</v>
      </c>
      <c r="O139" s="41">
        <v>155.0</v>
      </c>
      <c r="P139" s="34" t="s">
        <v>3853</v>
      </c>
      <c r="Q139" s="34">
        <v>0.0</v>
      </c>
      <c r="R139" s="34">
        <v>100.0</v>
      </c>
      <c r="S139" s="34">
        <v>0.0</v>
      </c>
      <c r="T139" s="34">
        <v>0.0</v>
      </c>
      <c r="U139" s="33">
        <f>COUNTIFS('Data For Calculation - Insuranc'!A:A,A139,'Data For Calculation - Insuranc'!E:E,"CPA + RSA + AHDC + DOC")</f>
        <v>0</v>
      </c>
      <c r="V139" s="30" t="s">
        <v>3856</v>
      </c>
      <c r="W139" s="34">
        <v>838.99</v>
      </c>
      <c r="X139" s="34" t="s">
        <v>3853</v>
      </c>
      <c r="Y139" s="34">
        <v>0.0</v>
      </c>
      <c r="Z139" s="34">
        <v>100.0</v>
      </c>
      <c r="AA139" s="34">
        <v>0.0</v>
      </c>
      <c r="AB139" s="34">
        <v>0.0</v>
      </c>
      <c r="AC139" s="33">
        <f>COUNTIFS('Data For Calculation - Insuranc'!A:A,A139,'Data For Calculation - Insuranc'!E:E,"CPA + RSA : 5 Years")</f>
        <v>0</v>
      </c>
      <c r="AD139" s="30" t="s">
        <v>3856</v>
      </c>
      <c r="AE139" s="31">
        <v>838.99</v>
      </c>
      <c r="AF139" s="34" t="s">
        <v>3853</v>
      </c>
      <c r="AG139" s="34">
        <v>0.0</v>
      </c>
      <c r="AH139" s="34">
        <v>100.0</v>
      </c>
      <c r="AI139" s="34">
        <v>0.0</v>
      </c>
      <c r="AJ139" s="34">
        <v>0.0</v>
      </c>
      <c r="AK139" s="33">
        <f>COUNTIFS('Data For Calculation - Insuranc'!A:A,A139,'Data For Calculation - Insuranc'!E:E,"Assistance + CPA : 5 Years")</f>
        <v>0</v>
      </c>
      <c r="AL139" s="30" t="s">
        <v>3856</v>
      </c>
      <c r="AM139" s="31">
        <v>155.0</v>
      </c>
      <c r="AN139" s="34" t="s">
        <v>3853</v>
      </c>
      <c r="AO139" s="34">
        <v>0.0</v>
      </c>
      <c r="AP139" s="34">
        <v>100.0</v>
      </c>
      <c r="AQ139" s="34">
        <v>0.0</v>
      </c>
      <c r="AR139" s="34">
        <v>0.0</v>
      </c>
      <c r="AS139" s="33">
        <f>COUNTIFS('Data For Calculation - Insuranc'!A:A,A139,'Data For Calculation - Insuranc'!E:E,"RSA + AHDC + DOC")</f>
        <v>0</v>
      </c>
      <c r="AT139" s="33"/>
      <c r="AU139" s="33"/>
      <c r="AV139" s="33"/>
      <c r="AW139" s="33"/>
      <c r="AX139" s="33"/>
      <c r="AY139" s="33"/>
      <c r="AZ139" s="33"/>
      <c r="BA139" s="33"/>
      <c r="BB139" s="33"/>
      <c r="BC139" s="33"/>
      <c r="BD139" s="33"/>
      <c r="BE139" s="33"/>
      <c r="BF139" s="33"/>
      <c r="BG139" s="33"/>
      <c r="BH139" s="33"/>
      <c r="BI139" s="33"/>
      <c r="BJ139" s="33"/>
      <c r="BK139" s="33"/>
      <c r="BL139" s="33"/>
      <c r="BM139" s="33"/>
      <c r="BN139" s="33"/>
      <c r="BO139" s="33"/>
      <c r="BP139" s="33"/>
      <c r="BQ139" s="33"/>
      <c r="BR139" s="33">
        <f t="shared" si="1"/>
        <v>0</v>
      </c>
      <c r="BS139" s="33">
        <f>SUMIFS('Data For Calculation - Insuranc'!I:I,'Data For Calculation - Insuranc'!$A:$A,$A139)</f>
        <v>0</v>
      </c>
      <c r="BT139" s="33">
        <f>SUMIFS('Data For Calculation - Insuranc'!J:J,'Data For Calculation - Insuranc'!$A:$A,$A139)</f>
        <v>0</v>
      </c>
      <c r="BU139" s="33">
        <f>SUMIFS('Data For Calculation - Insuranc'!K:K,'Data For Calculation - Insuranc'!$A:$A,$A139)</f>
        <v>0</v>
      </c>
      <c r="BV139" s="33">
        <f>IF($CC139 = "Dealer", SUMIFS('Data For Calculation - Insuranc'!I:I,'Data For Calculation - Insuranc'!$B:$B,$A139,'Data For Calculation - Insuranc'!$H:$H,"Master Dealer")) + SUMIFS('Data For Calculation - Insuranc'!I:I,'Data For Calculation - Insuranc'!$A:$A,$A139,'Data For Calculation - Insuranc'!$H:$H,"Self")</f>
        <v>0</v>
      </c>
      <c r="BW139" s="33">
        <f>IF($CC139 = "Dealer", SUMIFS('Data For Calculation - Insuranc'!J:J,'Data For Calculation - Insuranc'!$B:$B,$A139,'Data For Calculation - Insuranc'!$H:$H,"Master Dealer")) + SUMIFS('Data For Calculation - Insuranc'!J:J,'Data For Calculation - Insuranc'!$A:$A,$A139,'Data For Calculation - Insuranc'!$H:$H,"Self")</f>
        <v>0</v>
      </c>
      <c r="BX139" s="33">
        <f>IF($CC139 = "Dealer", SUMIFS('Data For Calculation - Insuranc'!K:K,'Data For Calculation - Insuranc'!$B:$B,$A139,'Data For Calculation - Insuranc'!$H:$H,"Master Dealer")) + SUMIFS('Data For Calculation - Insuranc'!K:K,'Data For Calculation - Insuranc'!$A:$A,$A139,'Data For Calculation - Insuranc'!$H:$H,"Self")</f>
        <v>0</v>
      </c>
      <c r="BY139" s="25" t="str">
        <f>(Sheet1!N139)</f>
        <v>Krishna Hero - Bulandshahr</v>
      </c>
      <c r="BZ139" s="25" t="str">
        <f>(Sheet1!O139)</f>
        <v>1mX_ZCiMgVCd3AONQ2zBbbc9wQ6Mlj2RvmkSWdpWht-8</v>
      </c>
      <c r="CA139" s="25" t="str">
        <f>(Sheet1!AV139)</f>
        <v/>
      </c>
      <c r="CB139" s="25" t="str">
        <f>(Sheet1!AW139)</f>
        <v/>
      </c>
      <c r="CC139" s="26" t="str">
        <f>(Sheet1!P139)</f>
        <v>Sub Dealer</v>
      </c>
    </row>
    <row r="140">
      <c r="A140" s="25" t="str">
        <f>(Sheet1!A140)</f>
        <v>1mU9iAGn4-HAQ-mbHBoZ8Bo4zVxOSHvTU8RtHuYSW4cI</v>
      </c>
      <c r="B140" s="25" t="str">
        <f>(Sheet1!B140)</f>
        <v>Sonu Motors(KAB)- AURANGABAD</v>
      </c>
      <c r="C140" s="30" t="str">
        <f>Sheet1!BB140</f>
        <v>No</v>
      </c>
      <c r="D140" s="30" t="s">
        <v>13</v>
      </c>
      <c r="E140" s="34" t="s">
        <v>13</v>
      </c>
      <c r="F140" s="30" t="s">
        <v>3856</v>
      </c>
      <c r="G140" s="31">
        <v>155.0</v>
      </c>
      <c r="H140" s="34" t="s">
        <v>3853</v>
      </c>
      <c r="I140" s="34">
        <v>0.0</v>
      </c>
      <c r="J140" s="34">
        <v>100.0</v>
      </c>
      <c r="K140" s="34">
        <v>0.0</v>
      </c>
      <c r="L140" s="34">
        <v>0.0</v>
      </c>
      <c r="M140" s="33">
        <f>COUNTIFS('Data For Calculation - Insuranc'!A:A,A140,'Data For Calculation - Insuranc'!E:E,"CPA + RSA")</f>
        <v>0</v>
      </c>
      <c r="N140" s="30" t="s">
        <v>3856</v>
      </c>
      <c r="O140" s="41">
        <v>155.0</v>
      </c>
      <c r="P140" s="34" t="s">
        <v>3853</v>
      </c>
      <c r="Q140" s="34">
        <v>0.0</v>
      </c>
      <c r="R140" s="34">
        <v>100.0</v>
      </c>
      <c r="S140" s="34">
        <v>0.0</v>
      </c>
      <c r="T140" s="34">
        <v>0.0</v>
      </c>
      <c r="U140" s="33">
        <f>COUNTIFS('Data For Calculation - Insuranc'!A:A,A140,'Data For Calculation - Insuranc'!E:E,"CPA + RSA + AHDC + DOC")</f>
        <v>0</v>
      </c>
      <c r="V140" s="30" t="s">
        <v>3856</v>
      </c>
      <c r="W140" s="34">
        <v>838.99</v>
      </c>
      <c r="X140" s="34" t="s">
        <v>3853</v>
      </c>
      <c r="Y140" s="34">
        <v>0.0</v>
      </c>
      <c r="Z140" s="34">
        <v>100.0</v>
      </c>
      <c r="AA140" s="34">
        <v>0.0</v>
      </c>
      <c r="AB140" s="34">
        <v>0.0</v>
      </c>
      <c r="AC140" s="33">
        <f>COUNTIFS('Data For Calculation - Insuranc'!A:A,A140,'Data For Calculation - Insuranc'!E:E,"CPA + RSA : 5 Years")</f>
        <v>0</v>
      </c>
      <c r="AD140" s="30" t="s">
        <v>3856</v>
      </c>
      <c r="AE140" s="31">
        <v>838.99</v>
      </c>
      <c r="AF140" s="34" t="s">
        <v>3853</v>
      </c>
      <c r="AG140" s="34">
        <v>0.0</v>
      </c>
      <c r="AH140" s="34">
        <v>100.0</v>
      </c>
      <c r="AI140" s="34">
        <v>0.0</v>
      </c>
      <c r="AJ140" s="34">
        <v>0.0</v>
      </c>
      <c r="AK140" s="33">
        <f>COUNTIFS('Data For Calculation - Insuranc'!A:A,A140,'Data For Calculation - Insuranc'!E:E,"Assistance + CPA : 5 Years")</f>
        <v>0</v>
      </c>
      <c r="AL140" s="30" t="s">
        <v>3856</v>
      </c>
      <c r="AM140" s="31">
        <v>155.0</v>
      </c>
      <c r="AN140" s="34" t="s">
        <v>3853</v>
      </c>
      <c r="AO140" s="34">
        <v>0.0</v>
      </c>
      <c r="AP140" s="34">
        <v>100.0</v>
      </c>
      <c r="AQ140" s="34">
        <v>0.0</v>
      </c>
      <c r="AR140" s="34">
        <v>0.0</v>
      </c>
      <c r="AS140" s="33">
        <f>COUNTIFS('Data For Calculation - Insuranc'!A:A,A140,'Data For Calculation - Insuranc'!E:E,"RSA + AHDC + DOC")</f>
        <v>0</v>
      </c>
      <c r="AT140" s="33"/>
      <c r="AU140" s="33"/>
      <c r="AV140" s="33"/>
      <c r="AW140" s="33"/>
      <c r="AX140" s="33"/>
      <c r="AY140" s="33"/>
      <c r="AZ140" s="33"/>
      <c r="BA140" s="33"/>
      <c r="BB140" s="33"/>
      <c r="BC140" s="33"/>
      <c r="BD140" s="33"/>
      <c r="BE140" s="33"/>
      <c r="BF140" s="33"/>
      <c r="BG140" s="33"/>
      <c r="BH140" s="33"/>
      <c r="BI140" s="33"/>
      <c r="BJ140" s="33"/>
      <c r="BK140" s="33"/>
      <c r="BL140" s="33"/>
      <c r="BM140" s="33"/>
      <c r="BN140" s="33"/>
      <c r="BO140" s="33"/>
      <c r="BP140" s="33"/>
      <c r="BQ140" s="33"/>
      <c r="BR140" s="33">
        <f t="shared" si="1"/>
        <v>0</v>
      </c>
      <c r="BS140" s="33">
        <f>SUMIFS('Data For Calculation - Insuranc'!I:I,'Data For Calculation - Insuranc'!$A:$A,$A140)</f>
        <v>0</v>
      </c>
      <c r="BT140" s="33">
        <f>SUMIFS('Data For Calculation - Insuranc'!J:J,'Data For Calculation - Insuranc'!$A:$A,$A140)</f>
        <v>0</v>
      </c>
      <c r="BU140" s="33">
        <f>SUMIFS('Data For Calculation - Insuranc'!K:K,'Data For Calculation - Insuranc'!$A:$A,$A140)</f>
        <v>0</v>
      </c>
      <c r="BV140" s="33">
        <f>IF($CC140 = "Dealer", SUMIFS('Data For Calculation - Insuranc'!I:I,'Data For Calculation - Insuranc'!$B:$B,$A140,'Data For Calculation - Insuranc'!$H:$H,"Master Dealer")) + SUMIFS('Data For Calculation - Insuranc'!I:I,'Data For Calculation - Insuranc'!$A:$A,$A140,'Data For Calculation - Insuranc'!$H:$H,"Self")</f>
        <v>0</v>
      </c>
      <c r="BW140" s="33">
        <f>IF($CC140 = "Dealer", SUMIFS('Data For Calculation - Insuranc'!J:J,'Data For Calculation - Insuranc'!$B:$B,$A140,'Data For Calculation - Insuranc'!$H:$H,"Master Dealer")) + SUMIFS('Data For Calculation - Insuranc'!J:J,'Data For Calculation - Insuranc'!$A:$A,$A140,'Data For Calculation - Insuranc'!$H:$H,"Self")</f>
        <v>0</v>
      </c>
      <c r="BX140" s="33">
        <f>IF($CC140 = "Dealer", SUMIFS('Data For Calculation - Insuranc'!K:K,'Data For Calculation - Insuranc'!$B:$B,$A140,'Data For Calculation - Insuranc'!$H:$H,"Master Dealer")) + SUMIFS('Data For Calculation - Insuranc'!K:K,'Data For Calculation - Insuranc'!$A:$A,$A140,'Data For Calculation - Insuranc'!$H:$H,"Self")</f>
        <v>0</v>
      </c>
      <c r="BY140" s="25" t="str">
        <f>(Sheet1!N140)</f>
        <v>Krishna Hero - Bulandshahr</v>
      </c>
      <c r="BZ140" s="25" t="str">
        <f>(Sheet1!O140)</f>
        <v>1mX_ZCiMgVCd3AONQ2zBbbc9wQ6Mlj2RvmkSWdpWht-8</v>
      </c>
      <c r="CA140" s="25" t="str">
        <f>(Sheet1!AV140)</f>
        <v/>
      </c>
      <c r="CB140" s="25" t="str">
        <f>(Sheet1!AW140)</f>
        <v/>
      </c>
      <c r="CC140" s="26" t="str">
        <f>(Sheet1!P140)</f>
        <v>Sub Dealer</v>
      </c>
    </row>
    <row r="141">
      <c r="A141" s="25" t="str">
        <f>(Sheet1!A141)</f>
        <v>1eadD90u_QHYWVVLEumQCr0hMVIKVxHEKRn2KsZZbuqc</v>
      </c>
      <c r="B141" s="25" t="str">
        <f>(Sheet1!B141)</f>
        <v>AMAN HERO - GHAZIABAD</v>
      </c>
      <c r="C141" s="30" t="str">
        <f>Sheet1!BB141</f>
        <v>No</v>
      </c>
      <c r="D141" s="30" t="s">
        <v>13</v>
      </c>
      <c r="E141" s="34" t="s">
        <v>13</v>
      </c>
      <c r="F141" s="30" t="s">
        <v>3820</v>
      </c>
      <c r="G141" s="31">
        <v>290.0</v>
      </c>
      <c r="H141" s="34" t="s">
        <v>3853</v>
      </c>
      <c r="I141" s="34">
        <v>0.0</v>
      </c>
      <c r="J141" s="34">
        <v>100.0</v>
      </c>
      <c r="K141" s="34">
        <v>0.0</v>
      </c>
      <c r="L141" s="34">
        <v>0.0</v>
      </c>
      <c r="M141" s="33">
        <f>COUNTIFS('Data For Calculation - Insuranc'!A:A,A141,'Data For Calculation - Insuranc'!E:E,"CPA + RSA")</f>
        <v>0</v>
      </c>
      <c r="N141" s="30" t="s">
        <v>3820</v>
      </c>
      <c r="O141" s="31">
        <v>460.0</v>
      </c>
      <c r="P141" s="34" t="s">
        <v>3853</v>
      </c>
      <c r="Q141" s="34">
        <v>0.0</v>
      </c>
      <c r="R141" s="34">
        <v>100.0</v>
      </c>
      <c r="S141" s="34">
        <v>0.0</v>
      </c>
      <c r="T141" s="34">
        <v>0.0</v>
      </c>
      <c r="U141" s="33">
        <f>COUNTIFS('Data For Calculation - Insuranc'!A:A,A141,'Data For Calculation - Insuranc'!E:E,"CPA + RSA + AHDC + DOC")</f>
        <v>0</v>
      </c>
      <c r="V141" s="30" t="s">
        <v>3820</v>
      </c>
      <c r="W141" s="34">
        <v>838.99</v>
      </c>
      <c r="X141" s="34" t="s">
        <v>3853</v>
      </c>
      <c r="Y141" s="34">
        <v>0.0</v>
      </c>
      <c r="Z141" s="34">
        <v>100.0</v>
      </c>
      <c r="AA141" s="34">
        <v>0.0</v>
      </c>
      <c r="AB141" s="34">
        <v>0.0</v>
      </c>
      <c r="AC141" s="33">
        <f>COUNTIFS('Data For Calculation - Insuranc'!A:A,A141,'Data For Calculation - Insuranc'!E:E,"CPA + RSA : 5 Years")</f>
        <v>0</v>
      </c>
      <c r="AD141" s="30" t="s">
        <v>3820</v>
      </c>
      <c r="AE141" s="31">
        <v>838.99</v>
      </c>
      <c r="AF141" s="34" t="s">
        <v>3853</v>
      </c>
      <c r="AG141" s="34">
        <v>0.0</v>
      </c>
      <c r="AH141" s="34">
        <v>100.0</v>
      </c>
      <c r="AI141" s="34">
        <v>0.0</v>
      </c>
      <c r="AJ141" s="34">
        <v>0.0</v>
      </c>
      <c r="AK141" s="33">
        <f>COUNTIFS('Data For Calculation - Insuranc'!A:A,A141,'Data For Calculation - Insuranc'!E:E,"Assistance + CPA : 5 Years")</f>
        <v>0</v>
      </c>
      <c r="AL141" s="30" t="s">
        <v>3820</v>
      </c>
      <c r="AM141" s="31">
        <v>290.0</v>
      </c>
      <c r="AN141" s="34" t="s">
        <v>3853</v>
      </c>
      <c r="AO141" s="34">
        <v>0.0</v>
      </c>
      <c r="AP141" s="34">
        <v>100.0</v>
      </c>
      <c r="AQ141" s="34">
        <v>0.0</v>
      </c>
      <c r="AR141" s="34">
        <v>0.0</v>
      </c>
      <c r="AS141" s="33">
        <f>COUNTIFS('Data For Calculation - Insuranc'!A:A,A141,'Data For Calculation - Insuranc'!E:E,"RSA + AHDC + DOC")</f>
        <v>0</v>
      </c>
      <c r="AT141" s="33"/>
      <c r="AU141" s="33"/>
      <c r="AV141" s="33"/>
      <c r="AW141" s="33"/>
      <c r="AX141" s="33"/>
      <c r="AY141" s="33"/>
      <c r="AZ141" s="33"/>
      <c r="BA141" s="33"/>
      <c r="BB141" s="33"/>
      <c r="BC141" s="33"/>
      <c r="BD141" s="33"/>
      <c r="BE141" s="33"/>
      <c r="BF141" s="33"/>
      <c r="BG141" s="33"/>
      <c r="BH141" s="33"/>
      <c r="BI141" s="33"/>
      <c r="BJ141" s="33"/>
      <c r="BK141" s="33"/>
      <c r="BL141" s="33"/>
      <c r="BM141" s="33"/>
      <c r="BN141" s="33"/>
      <c r="BO141" s="33"/>
      <c r="BP141" s="33"/>
      <c r="BQ141" s="33"/>
      <c r="BR141" s="33">
        <f t="shared" si="1"/>
        <v>0</v>
      </c>
      <c r="BS141" s="33">
        <f>SUMIFS('Data For Calculation - Insuranc'!I:I,'Data For Calculation - Insuranc'!$A:$A,$A141)</f>
        <v>0</v>
      </c>
      <c r="BT141" s="33">
        <f>SUMIFS('Data For Calculation - Insuranc'!J:J,'Data For Calculation - Insuranc'!$A:$A,$A141)</f>
        <v>0</v>
      </c>
      <c r="BU141" s="33">
        <f>SUMIFS('Data For Calculation - Insuranc'!K:K,'Data For Calculation - Insuranc'!$A:$A,$A141)</f>
        <v>0</v>
      </c>
      <c r="BV141" s="33">
        <f>IF($CC141 = "Dealer", SUMIFS('Data For Calculation - Insuranc'!I:I,'Data For Calculation - Insuranc'!$B:$B,$A141,'Data For Calculation - Insuranc'!$H:$H,"Master Dealer")) + SUMIFS('Data For Calculation - Insuranc'!I:I,'Data For Calculation - Insuranc'!$A:$A,$A141,'Data For Calculation - Insuranc'!$H:$H,"Self")</f>
        <v>0</v>
      </c>
      <c r="BW141" s="33">
        <f>IF($CC141 = "Dealer", SUMIFS('Data For Calculation - Insuranc'!J:J,'Data For Calculation - Insuranc'!$B:$B,$A141,'Data For Calculation - Insuranc'!$H:$H,"Master Dealer")) + SUMIFS('Data For Calculation - Insuranc'!J:J,'Data For Calculation - Insuranc'!$A:$A,$A141,'Data For Calculation - Insuranc'!$H:$H,"Self")</f>
        <v>0</v>
      </c>
      <c r="BX141" s="33">
        <f>IF($CC141 = "Dealer", SUMIFS('Data For Calculation - Insuranc'!K:K,'Data For Calculation - Insuranc'!$B:$B,$A141,'Data For Calculation - Insuranc'!$H:$H,"Master Dealer")) + SUMIFS('Data For Calculation - Insuranc'!K:K,'Data For Calculation - Insuranc'!$A:$A,$A141,'Data For Calculation - Insuranc'!$H:$H,"Self")</f>
        <v>0</v>
      </c>
      <c r="BY141" s="25" t="str">
        <f>(Sheet1!N141)</f>
        <v>AMAN HERO - GHAZIABAD</v>
      </c>
      <c r="BZ141" s="25" t="str">
        <f>(Sheet1!O141)</f>
        <v>1eadD90u_QHYWVVLEumQCr0hMVIKVxHEKRn2KsZZbuqc</v>
      </c>
      <c r="CA141" s="25" t="str">
        <f>(Sheet1!AV141)</f>
        <v/>
      </c>
      <c r="CB141" s="25" t="str">
        <f>(Sheet1!AW141)</f>
        <v/>
      </c>
      <c r="CC141" s="26" t="str">
        <f>(Sheet1!P141)</f>
        <v>Dealer</v>
      </c>
    </row>
    <row r="142">
      <c r="A142" s="25" t="str">
        <f>(Sheet1!A142)</f>
        <v>1eWL9qs4gF2hDOrao950bttsqaQjvqYNOwOArak2wAWY</v>
      </c>
      <c r="B142" s="25" t="str">
        <f>(Sheet1!B142)</f>
        <v>PREMA HONDA- BIHAR(SN)</v>
      </c>
      <c r="C142" s="30" t="str">
        <f>Sheet1!BB142</f>
        <v>No</v>
      </c>
      <c r="D142" s="30" t="s">
        <v>13</v>
      </c>
      <c r="E142" s="34" t="s">
        <v>13</v>
      </c>
      <c r="F142" s="30" t="s">
        <v>3820</v>
      </c>
      <c r="G142" s="31">
        <v>290.0</v>
      </c>
      <c r="H142" s="34" t="s">
        <v>3853</v>
      </c>
      <c r="I142" s="34">
        <v>0.0</v>
      </c>
      <c r="J142" s="34">
        <v>100.0</v>
      </c>
      <c r="K142" s="34">
        <v>0.0</v>
      </c>
      <c r="L142" s="34">
        <v>0.0</v>
      </c>
      <c r="M142" s="33">
        <f>COUNTIFS('Data For Calculation - Insuranc'!A:A,A142,'Data For Calculation - Insuranc'!E:E,"CPA + RSA")</f>
        <v>0</v>
      </c>
      <c r="N142" s="30" t="s">
        <v>3820</v>
      </c>
      <c r="O142" s="31">
        <v>460.0</v>
      </c>
      <c r="P142" s="34" t="s">
        <v>3853</v>
      </c>
      <c r="Q142" s="34">
        <v>0.0</v>
      </c>
      <c r="R142" s="34">
        <v>100.0</v>
      </c>
      <c r="S142" s="34">
        <v>0.0</v>
      </c>
      <c r="T142" s="34">
        <v>0.0</v>
      </c>
      <c r="U142" s="33">
        <f>COUNTIFS('Data For Calculation - Insuranc'!A:A,A142,'Data For Calculation - Insuranc'!E:E,"CPA + RSA + AHDC + DOC")</f>
        <v>0</v>
      </c>
      <c r="V142" s="30" t="s">
        <v>3820</v>
      </c>
      <c r="W142" s="34">
        <v>838.99</v>
      </c>
      <c r="X142" s="34" t="s">
        <v>3853</v>
      </c>
      <c r="Y142" s="34">
        <v>0.0</v>
      </c>
      <c r="Z142" s="34">
        <v>100.0</v>
      </c>
      <c r="AA142" s="34">
        <v>0.0</v>
      </c>
      <c r="AB142" s="34">
        <v>0.0</v>
      </c>
      <c r="AC142" s="33">
        <f>COUNTIFS('Data For Calculation - Insuranc'!A:A,A142,'Data For Calculation - Insuranc'!E:E,"CPA + RSA : 5 Years")</f>
        <v>0</v>
      </c>
      <c r="AD142" s="30" t="s">
        <v>3820</v>
      </c>
      <c r="AE142" s="31">
        <v>838.99</v>
      </c>
      <c r="AF142" s="34" t="s">
        <v>3853</v>
      </c>
      <c r="AG142" s="34">
        <v>0.0</v>
      </c>
      <c r="AH142" s="34">
        <v>100.0</v>
      </c>
      <c r="AI142" s="34">
        <v>0.0</v>
      </c>
      <c r="AJ142" s="34">
        <v>0.0</v>
      </c>
      <c r="AK142" s="33">
        <f>COUNTIFS('Data For Calculation - Insuranc'!A:A,A142,'Data For Calculation - Insuranc'!E:E,"Assistance + CPA : 5 Years")</f>
        <v>0</v>
      </c>
      <c r="AL142" s="30" t="s">
        <v>3820</v>
      </c>
      <c r="AM142" s="31">
        <v>290.0</v>
      </c>
      <c r="AN142" s="34" t="s">
        <v>3853</v>
      </c>
      <c r="AO142" s="34">
        <v>0.0</v>
      </c>
      <c r="AP142" s="34">
        <v>100.0</v>
      </c>
      <c r="AQ142" s="34">
        <v>0.0</v>
      </c>
      <c r="AR142" s="34">
        <v>0.0</v>
      </c>
      <c r="AS142" s="33">
        <f>COUNTIFS('Data For Calculation - Insuranc'!A:A,A142,'Data For Calculation - Insuranc'!E:E,"RSA + AHDC + DOC")</f>
        <v>0</v>
      </c>
      <c r="AT142" s="33"/>
      <c r="AU142" s="33"/>
      <c r="AV142" s="33"/>
      <c r="AW142" s="33"/>
      <c r="AX142" s="33"/>
      <c r="AY142" s="33"/>
      <c r="AZ142" s="33"/>
      <c r="BA142" s="33"/>
      <c r="BB142" s="33"/>
      <c r="BC142" s="33"/>
      <c r="BD142" s="33"/>
      <c r="BE142" s="33"/>
      <c r="BF142" s="33"/>
      <c r="BG142" s="33"/>
      <c r="BH142" s="33"/>
      <c r="BI142" s="33"/>
      <c r="BJ142" s="33"/>
      <c r="BK142" s="33"/>
      <c r="BL142" s="33"/>
      <c r="BM142" s="33"/>
      <c r="BN142" s="33"/>
      <c r="BO142" s="33"/>
      <c r="BP142" s="33"/>
      <c r="BQ142" s="33"/>
      <c r="BR142" s="33">
        <f t="shared" si="1"/>
        <v>0</v>
      </c>
      <c r="BS142" s="33">
        <f>SUMIFS('Data For Calculation - Insuranc'!I:I,'Data For Calculation - Insuranc'!$A:$A,$A142)</f>
        <v>0</v>
      </c>
      <c r="BT142" s="33">
        <f>SUMIFS('Data For Calculation - Insuranc'!J:J,'Data For Calculation - Insuranc'!$A:$A,$A142)</f>
        <v>0</v>
      </c>
      <c r="BU142" s="33">
        <f>SUMIFS('Data For Calculation - Insuranc'!K:K,'Data For Calculation - Insuranc'!$A:$A,$A142)</f>
        <v>0</v>
      </c>
      <c r="BV142" s="33">
        <f>IF($CC142 = "Dealer", SUMIFS('Data For Calculation - Insuranc'!I:I,'Data For Calculation - Insuranc'!$B:$B,$A142,'Data For Calculation - Insuranc'!$H:$H,"Master Dealer")) + SUMIFS('Data For Calculation - Insuranc'!I:I,'Data For Calculation - Insuranc'!$A:$A,$A142,'Data For Calculation - Insuranc'!$H:$H,"Self")</f>
        <v>0</v>
      </c>
      <c r="BW142" s="33">
        <f>IF($CC142 = "Dealer", SUMIFS('Data For Calculation - Insuranc'!J:J,'Data For Calculation - Insuranc'!$B:$B,$A142,'Data For Calculation - Insuranc'!$H:$H,"Master Dealer")) + SUMIFS('Data For Calculation - Insuranc'!J:J,'Data For Calculation - Insuranc'!$A:$A,$A142,'Data For Calculation - Insuranc'!$H:$H,"Self")</f>
        <v>0</v>
      </c>
      <c r="BX142" s="33">
        <f>IF($CC142 = "Dealer", SUMIFS('Data For Calculation - Insuranc'!K:K,'Data For Calculation - Insuranc'!$B:$B,$A142,'Data For Calculation - Insuranc'!$H:$H,"Master Dealer")) + SUMIFS('Data For Calculation - Insuranc'!K:K,'Data For Calculation - Insuranc'!$A:$A,$A142,'Data For Calculation - Insuranc'!$H:$H,"Self")</f>
        <v>0</v>
      </c>
      <c r="BY142" s="25" t="str">
        <f>(Sheet1!N142)</f>
        <v>PREMA HONDA- BIHAR(SN)</v>
      </c>
      <c r="BZ142" s="25" t="str">
        <f>(Sheet1!O142)</f>
        <v>1eWL9qs4gF2hDOrao950bttsqaQjvqYNOwOArak2wAWY</v>
      </c>
      <c r="CA142" s="25" t="str">
        <f>(Sheet1!AV142)</f>
        <v/>
      </c>
      <c r="CB142" s="25" t="str">
        <f>(Sheet1!AW142)</f>
        <v/>
      </c>
      <c r="CC142" s="26" t="str">
        <f>(Sheet1!P142)</f>
        <v>Dealer</v>
      </c>
    </row>
    <row r="143">
      <c r="A143" s="25" t="str">
        <f>(Sheet1!A143)</f>
        <v>1rJGxnVgNYw4R0sSIyn3TAqm2-oK_NlkxU2BLo1Qupus</v>
      </c>
      <c r="B143" s="25" t="str">
        <f>(Sheet1!B143)</f>
        <v>Prema Honda-2-BIHAR</v>
      </c>
      <c r="C143" s="30" t="str">
        <f>Sheet1!BB143</f>
        <v>No</v>
      </c>
      <c r="D143" s="30" t="s">
        <v>13</v>
      </c>
      <c r="E143" s="34" t="s">
        <v>13</v>
      </c>
      <c r="F143" s="30" t="s">
        <v>3820</v>
      </c>
      <c r="G143" s="31">
        <v>290.0</v>
      </c>
      <c r="H143" s="34" t="s">
        <v>3853</v>
      </c>
      <c r="I143" s="34">
        <v>0.0</v>
      </c>
      <c r="J143" s="34">
        <v>100.0</v>
      </c>
      <c r="K143" s="34">
        <v>0.0</v>
      </c>
      <c r="L143" s="34">
        <v>0.0</v>
      </c>
      <c r="M143" s="33">
        <f>COUNTIFS('Data For Calculation - Insuranc'!A:A,A143,'Data For Calculation - Insuranc'!E:E,"CPA + RSA")</f>
        <v>0</v>
      </c>
      <c r="N143" s="30" t="s">
        <v>3820</v>
      </c>
      <c r="O143" s="31">
        <v>460.0</v>
      </c>
      <c r="P143" s="34" t="s">
        <v>3853</v>
      </c>
      <c r="Q143" s="34">
        <v>0.0</v>
      </c>
      <c r="R143" s="34">
        <v>100.0</v>
      </c>
      <c r="S143" s="34">
        <v>0.0</v>
      </c>
      <c r="T143" s="34">
        <v>0.0</v>
      </c>
      <c r="U143" s="33">
        <f>COUNTIFS('Data For Calculation - Insuranc'!A:A,A143,'Data For Calculation - Insuranc'!E:E,"CPA + RSA + AHDC + DOC")</f>
        <v>0</v>
      </c>
      <c r="V143" s="30" t="s">
        <v>3820</v>
      </c>
      <c r="W143" s="34">
        <v>838.99</v>
      </c>
      <c r="X143" s="34" t="s">
        <v>3853</v>
      </c>
      <c r="Y143" s="34">
        <v>0.0</v>
      </c>
      <c r="Z143" s="34">
        <v>100.0</v>
      </c>
      <c r="AA143" s="34">
        <v>0.0</v>
      </c>
      <c r="AB143" s="34">
        <v>0.0</v>
      </c>
      <c r="AC143" s="33">
        <f>COUNTIFS('Data For Calculation - Insuranc'!A:A,A143,'Data For Calculation - Insuranc'!E:E,"CPA + RSA : 5 Years")</f>
        <v>0</v>
      </c>
      <c r="AD143" s="30" t="s">
        <v>3820</v>
      </c>
      <c r="AE143" s="31">
        <v>838.99</v>
      </c>
      <c r="AF143" s="34" t="s">
        <v>3853</v>
      </c>
      <c r="AG143" s="34">
        <v>0.0</v>
      </c>
      <c r="AH143" s="34">
        <v>100.0</v>
      </c>
      <c r="AI143" s="34">
        <v>0.0</v>
      </c>
      <c r="AJ143" s="34">
        <v>0.0</v>
      </c>
      <c r="AK143" s="33">
        <f>COUNTIFS('Data For Calculation - Insuranc'!A:A,A143,'Data For Calculation - Insuranc'!E:E,"Assistance + CPA : 5 Years")</f>
        <v>0</v>
      </c>
      <c r="AL143" s="30" t="s">
        <v>3820</v>
      </c>
      <c r="AM143" s="31">
        <v>290.0</v>
      </c>
      <c r="AN143" s="34" t="s">
        <v>3853</v>
      </c>
      <c r="AO143" s="34">
        <v>0.0</v>
      </c>
      <c r="AP143" s="34">
        <v>100.0</v>
      </c>
      <c r="AQ143" s="34">
        <v>0.0</v>
      </c>
      <c r="AR143" s="34">
        <v>0.0</v>
      </c>
      <c r="AS143" s="33">
        <f>COUNTIFS('Data For Calculation - Insuranc'!A:A,A143,'Data For Calculation - Insuranc'!E:E,"RSA + AHDC + DOC")</f>
        <v>0</v>
      </c>
      <c r="AT143" s="33"/>
      <c r="AU143" s="33"/>
      <c r="AV143" s="33"/>
      <c r="AW143" s="33"/>
      <c r="AX143" s="33"/>
      <c r="AY143" s="33"/>
      <c r="AZ143" s="33"/>
      <c r="BA143" s="33"/>
      <c r="BB143" s="33"/>
      <c r="BC143" s="33"/>
      <c r="BD143" s="33"/>
      <c r="BE143" s="33"/>
      <c r="BF143" s="33"/>
      <c r="BG143" s="33"/>
      <c r="BH143" s="33"/>
      <c r="BI143" s="33"/>
      <c r="BJ143" s="33"/>
      <c r="BK143" s="33"/>
      <c r="BL143" s="33"/>
      <c r="BM143" s="33"/>
      <c r="BN143" s="33"/>
      <c r="BO143" s="33"/>
      <c r="BP143" s="33"/>
      <c r="BQ143" s="33"/>
      <c r="BR143" s="33">
        <f t="shared" si="1"/>
        <v>0</v>
      </c>
      <c r="BS143" s="33">
        <f>SUMIFS('Data For Calculation - Insuranc'!I:I,'Data For Calculation - Insuranc'!$A:$A,$A143)</f>
        <v>0</v>
      </c>
      <c r="BT143" s="33">
        <f>SUMIFS('Data For Calculation - Insuranc'!J:J,'Data For Calculation - Insuranc'!$A:$A,$A143)</f>
        <v>0</v>
      </c>
      <c r="BU143" s="33">
        <f>SUMIFS('Data For Calculation - Insuranc'!K:K,'Data For Calculation - Insuranc'!$A:$A,$A143)</f>
        <v>0</v>
      </c>
      <c r="BV143" s="33">
        <f>IF($CC143 = "Dealer", SUMIFS('Data For Calculation - Insuranc'!I:I,'Data For Calculation - Insuranc'!$B:$B,$A143,'Data For Calculation - Insuranc'!$H:$H,"Master Dealer")) + SUMIFS('Data For Calculation - Insuranc'!I:I,'Data For Calculation - Insuranc'!$A:$A,$A143,'Data For Calculation - Insuranc'!$H:$H,"Self")</f>
        <v>0</v>
      </c>
      <c r="BW143" s="33">
        <f>IF($CC143 = "Dealer", SUMIFS('Data For Calculation - Insuranc'!J:J,'Data For Calculation - Insuranc'!$B:$B,$A143,'Data For Calculation - Insuranc'!$H:$H,"Master Dealer")) + SUMIFS('Data For Calculation - Insuranc'!J:J,'Data For Calculation - Insuranc'!$A:$A,$A143,'Data For Calculation - Insuranc'!$H:$H,"Self")</f>
        <v>0</v>
      </c>
      <c r="BX143" s="33">
        <f>IF($CC143 = "Dealer", SUMIFS('Data For Calculation - Insuranc'!K:K,'Data For Calculation - Insuranc'!$B:$B,$A143,'Data For Calculation - Insuranc'!$H:$H,"Master Dealer")) + SUMIFS('Data For Calculation - Insuranc'!K:K,'Data For Calculation - Insuranc'!$A:$A,$A143,'Data For Calculation - Insuranc'!$H:$H,"Self")</f>
        <v>0</v>
      </c>
      <c r="BY143" s="25" t="str">
        <f>(Sheet1!N143)</f>
        <v>Prema Honda-2-BIHAR</v>
      </c>
      <c r="BZ143" s="25" t="str">
        <f>(Sheet1!O143)</f>
        <v>1rJGxnVgNYw4R0sSIyn3TAqm2-oK_NlkxU2BLo1Qupus</v>
      </c>
      <c r="CA143" s="25" t="str">
        <f>(Sheet1!AV143)</f>
        <v/>
      </c>
      <c r="CB143" s="25" t="str">
        <f>(Sheet1!AW143)</f>
        <v/>
      </c>
      <c r="CC143" s="26" t="str">
        <f>(Sheet1!P143)</f>
        <v>Dealer</v>
      </c>
    </row>
    <row r="144">
      <c r="A144" s="25" t="str">
        <f>(Sheet1!A144)</f>
        <v>1Y6CS_YCls02UZ2FEArdhqIm2nzY7mjD6osbZ1wBxDHc</v>
      </c>
      <c r="B144" s="25" t="str">
        <f>(Sheet1!B144)</f>
        <v>PREMA HONDA - RING ROAD</v>
      </c>
      <c r="C144" s="30" t="str">
        <f>Sheet1!BB144</f>
        <v>No</v>
      </c>
      <c r="D144" s="30" t="s">
        <v>13</v>
      </c>
      <c r="E144" s="34" t="s">
        <v>13</v>
      </c>
      <c r="F144" s="30" t="s">
        <v>3820</v>
      </c>
      <c r="G144" s="31">
        <v>290.0</v>
      </c>
      <c r="H144" s="34" t="s">
        <v>3853</v>
      </c>
      <c r="I144" s="34">
        <v>0.0</v>
      </c>
      <c r="J144" s="34">
        <v>100.0</v>
      </c>
      <c r="K144" s="34">
        <v>0.0</v>
      </c>
      <c r="L144" s="34">
        <v>0.0</v>
      </c>
      <c r="M144" s="33">
        <f>COUNTIFS('Data For Calculation - Insuranc'!A:A,A144,'Data For Calculation - Insuranc'!E:E,"CPA + RSA")</f>
        <v>0</v>
      </c>
      <c r="N144" s="30" t="s">
        <v>3820</v>
      </c>
      <c r="O144" s="31">
        <v>460.0</v>
      </c>
      <c r="P144" s="34" t="s">
        <v>3853</v>
      </c>
      <c r="Q144" s="34">
        <v>0.0</v>
      </c>
      <c r="R144" s="34">
        <v>100.0</v>
      </c>
      <c r="S144" s="34">
        <v>0.0</v>
      </c>
      <c r="T144" s="34">
        <v>0.0</v>
      </c>
      <c r="U144" s="33">
        <f>COUNTIFS('Data For Calculation - Insuranc'!A:A,A144,'Data For Calculation - Insuranc'!E:E,"CPA + RSA + AHDC + DOC")</f>
        <v>0</v>
      </c>
      <c r="V144" s="30" t="s">
        <v>3820</v>
      </c>
      <c r="W144" s="34">
        <v>838.99</v>
      </c>
      <c r="X144" s="34" t="s">
        <v>3853</v>
      </c>
      <c r="Y144" s="34">
        <v>0.0</v>
      </c>
      <c r="Z144" s="34">
        <v>100.0</v>
      </c>
      <c r="AA144" s="34">
        <v>0.0</v>
      </c>
      <c r="AB144" s="34">
        <v>0.0</v>
      </c>
      <c r="AC144" s="33">
        <f>COUNTIFS('Data For Calculation - Insuranc'!A:A,A144,'Data For Calculation - Insuranc'!E:E,"CPA + RSA : 5 Years")</f>
        <v>0</v>
      </c>
      <c r="AD144" s="30" t="s">
        <v>3820</v>
      </c>
      <c r="AE144" s="31">
        <v>838.99</v>
      </c>
      <c r="AF144" s="34" t="s">
        <v>3853</v>
      </c>
      <c r="AG144" s="34">
        <v>0.0</v>
      </c>
      <c r="AH144" s="34">
        <v>100.0</v>
      </c>
      <c r="AI144" s="34">
        <v>0.0</v>
      </c>
      <c r="AJ144" s="34">
        <v>0.0</v>
      </c>
      <c r="AK144" s="33">
        <f>COUNTIFS('Data For Calculation - Insuranc'!A:A,A144,'Data For Calculation - Insuranc'!E:E,"Assistance + CPA : 5 Years")</f>
        <v>0</v>
      </c>
      <c r="AL144" s="30" t="s">
        <v>3820</v>
      </c>
      <c r="AM144" s="31">
        <v>290.0</v>
      </c>
      <c r="AN144" s="34" t="s">
        <v>3853</v>
      </c>
      <c r="AO144" s="34">
        <v>0.0</v>
      </c>
      <c r="AP144" s="34">
        <v>100.0</v>
      </c>
      <c r="AQ144" s="34">
        <v>0.0</v>
      </c>
      <c r="AR144" s="34">
        <v>0.0</v>
      </c>
      <c r="AS144" s="33">
        <f>COUNTIFS('Data For Calculation - Insuranc'!A:A,A144,'Data For Calculation - Insuranc'!E:E,"RSA + AHDC + DOC")</f>
        <v>0</v>
      </c>
      <c r="AT144" s="33"/>
      <c r="AU144" s="33"/>
      <c r="AV144" s="33"/>
      <c r="AW144" s="33"/>
      <c r="AX144" s="33"/>
      <c r="AY144" s="33"/>
      <c r="AZ144" s="33"/>
      <c r="BA144" s="33"/>
      <c r="BB144" s="33"/>
      <c r="BC144" s="33"/>
      <c r="BD144" s="33"/>
      <c r="BE144" s="33"/>
      <c r="BF144" s="33"/>
      <c r="BG144" s="33"/>
      <c r="BH144" s="33"/>
      <c r="BI144" s="33"/>
      <c r="BJ144" s="33"/>
      <c r="BK144" s="33"/>
      <c r="BL144" s="33"/>
      <c r="BM144" s="33"/>
      <c r="BN144" s="33"/>
      <c r="BO144" s="33"/>
      <c r="BP144" s="33"/>
      <c r="BQ144" s="33"/>
      <c r="BR144" s="33">
        <f t="shared" si="1"/>
        <v>0</v>
      </c>
      <c r="BS144" s="33">
        <f>SUMIFS('Data For Calculation - Insuranc'!I:I,'Data For Calculation - Insuranc'!$A:$A,$A144)</f>
        <v>0</v>
      </c>
      <c r="BT144" s="33">
        <f>SUMIFS('Data For Calculation - Insuranc'!J:J,'Data For Calculation - Insuranc'!$A:$A,$A144)</f>
        <v>0</v>
      </c>
      <c r="BU144" s="33">
        <f>SUMIFS('Data For Calculation - Insuranc'!K:K,'Data For Calculation - Insuranc'!$A:$A,$A144)</f>
        <v>0</v>
      </c>
      <c r="BV144" s="33">
        <f>IF($CC144 = "Dealer", SUMIFS('Data For Calculation - Insuranc'!I:I,'Data For Calculation - Insuranc'!$B:$B,$A144,'Data For Calculation - Insuranc'!$H:$H,"Master Dealer")) + SUMIFS('Data For Calculation - Insuranc'!I:I,'Data For Calculation - Insuranc'!$A:$A,$A144,'Data For Calculation - Insuranc'!$H:$H,"Self")</f>
        <v>0</v>
      </c>
      <c r="BW144" s="33">
        <f>IF($CC144 = "Dealer", SUMIFS('Data For Calculation - Insuranc'!J:J,'Data For Calculation - Insuranc'!$B:$B,$A144,'Data For Calculation - Insuranc'!$H:$H,"Master Dealer")) + SUMIFS('Data For Calculation - Insuranc'!J:J,'Data For Calculation - Insuranc'!$A:$A,$A144,'Data For Calculation - Insuranc'!$H:$H,"Self")</f>
        <v>0</v>
      </c>
      <c r="BX144" s="33">
        <f>IF($CC144 = "Dealer", SUMIFS('Data For Calculation - Insuranc'!K:K,'Data For Calculation - Insuranc'!$B:$B,$A144,'Data For Calculation - Insuranc'!$H:$H,"Master Dealer")) + SUMIFS('Data For Calculation - Insuranc'!K:K,'Data For Calculation - Insuranc'!$A:$A,$A144,'Data For Calculation - Insuranc'!$H:$H,"Self")</f>
        <v>0</v>
      </c>
      <c r="BY144" s="25" t="str">
        <f>(Sheet1!N144)</f>
        <v>PREMA HONDA - RING ROAD</v>
      </c>
      <c r="BZ144" s="25" t="str">
        <f>(Sheet1!O144)</f>
        <v>1Y6CS_YCls02UZ2FEArdhqIm2nzY7mjD6osbZ1wBxDHc</v>
      </c>
      <c r="CA144" s="25" t="str">
        <f>(Sheet1!AV144)</f>
        <v/>
      </c>
      <c r="CB144" s="25" t="str">
        <f>(Sheet1!AW144)</f>
        <v/>
      </c>
      <c r="CC144" s="26" t="str">
        <f>(Sheet1!P144)</f>
        <v>Dealer</v>
      </c>
    </row>
    <row r="145">
      <c r="A145" s="25" t="str">
        <f>(Sheet1!A145)</f>
        <v>192zKbFKanpgygP9G48DLmPDTTKNW3gODllZMh9lO2n4</v>
      </c>
      <c r="B145" s="25" t="str">
        <f>(Sheet1!B145)</f>
        <v>Jawahar Motors - Moradabad</v>
      </c>
      <c r="C145" s="30" t="str">
        <f>Sheet1!BB145</f>
        <v>No</v>
      </c>
      <c r="D145" s="30" t="s">
        <v>13</v>
      </c>
      <c r="E145" s="34" t="s">
        <v>13</v>
      </c>
      <c r="F145" s="30" t="s">
        <v>3820</v>
      </c>
      <c r="G145" s="31">
        <v>290.0</v>
      </c>
      <c r="H145" s="34" t="s">
        <v>3853</v>
      </c>
      <c r="I145" s="34">
        <v>0.0</v>
      </c>
      <c r="J145" s="34">
        <v>100.0</v>
      </c>
      <c r="K145" s="34">
        <v>0.0</v>
      </c>
      <c r="L145" s="34">
        <v>0.0</v>
      </c>
      <c r="M145" s="33">
        <f>COUNTIFS('Data For Calculation - Insuranc'!A:A,A145,'Data For Calculation - Insuranc'!E:E,"CPA + RSA")</f>
        <v>0</v>
      </c>
      <c r="N145" s="30" t="s">
        <v>3820</v>
      </c>
      <c r="O145" s="31">
        <v>460.0</v>
      </c>
      <c r="P145" s="34" t="s">
        <v>3853</v>
      </c>
      <c r="Q145" s="34">
        <v>0.0</v>
      </c>
      <c r="R145" s="34">
        <v>100.0</v>
      </c>
      <c r="S145" s="34">
        <v>0.0</v>
      </c>
      <c r="T145" s="34">
        <v>0.0</v>
      </c>
      <c r="U145" s="33">
        <f>COUNTIFS('Data For Calculation - Insuranc'!A:A,A145,'Data For Calculation - Insuranc'!E:E,"CPA + RSA + AHDC + DOC")</f>
        <v>0</v>
      </c>
      <c r="V145" s="30" t="s">
        <v>3820</v>
      </c>
      <c r="W145" s="34">
        <v>838.99</v>
      </c>
      <c r="X145" s="34" t="s">
        <v>3853</v>
      </c>
      <c r="Y145" s="34">
        <v>0.0</v>
      </c>
      <c r="Z145" s="34">
        <v>100.0</v>
      </c>
      <c r="AA145" s="34">
        <v>0.0</v>
      </c>
      <c r="AB145" s="34">
        <v>0.0</v>
      </c>
      <c r="AC145" s="33">
        <f>COUNTIFS('Data For Calculation - Insuranc'!A:A,A145,'Data For Calculation - Insuranc'!E:E,"CPA + RSA : 5 Years")</f>
        <v>0</v>
      </c>
      <c r="AD145" s="30" t="s">
        <v>3820</v>
      </c>
      <c r="AE145" s="31">
        <v>838.99</v>
      </c>
      <c r="AF145" s="34" t="s">
        <v>3853</v>
      </c>
      <c r="AG145" s="34">
        <v>0.0</v>
      </c>
      <c r="AH145" s="34">
        <v>100.0</v>
      </c>
      <c r="AI145" s="34">
        <v>0.0</v>
      </c>
      <c r="AJ145" s="34">
        <v>0.0</v>
      </c>
      <c r="AK145" s="33">
        <f>COUNTIFS('Data For Calculation - Insuranc'!A:A,A145,'Data For Calculation - Insuranc'!E:E,"Assistance + CPA : 5 Years")</f>
        <v>0</v>
      </c>
      <c r="AL145" s="30" t="s">
        <v>3820</v>
      </c>
      <c r="AM145" s="31">
        <v>290.0</v>
      </c>
      <c r="AN145" s="34" t="s">
        <v>3853</v>
      </c>
      <c r="AO145" s="34">
        <v>0.0</v>
      </c>
      <c r="AP145" s="34">
        <v>100.0</v>
      </c>
      <c r="AQ145" s="34">
        <v>0.0</v>
      </c>
      <c r="AR145" s="34">
        <v>0.0</v>
      </c>
      <c r="AS145" s="33">
        <f>COUNTIFS('Data For Calculation - Insuranc'!A:A,A145,'Data For Calculation - Insuranc'!E:E,"RSA + AHDC + DOC")</f>
        <v>0</v>
      </c>
      <c r="AT145" s="33"/>
      <c r="AU145" s="33"/>
      <c r="AV145" s="33"/>
      <c r="AW145" s="33"/>
      <c r="AX145" s="33"/>
      <c r="AY145" s="33"/>
      <c r="AZ145" s="33"/>
      <c r="BA145" s="33"/>
      <c r="BB145" s="33"/>
      <c r="BC145" s="33"/>
      <c r="BD145" s="33"/>
      <c r="BE145" s="33"/>
      <c r="BF145" s="33"/>
      <c r="BG145" s="33"/>
      <c r="BH145" s="33"/>
      <c r="BI145" s="33"/>
      <c r="BJ145" s="33"/>
      <c r="BK145" s="33"/>
      <c r="BL145" s="33"/>
      <c r="BM145" s="33"/>
      <c r="BN145" s="33"/>
      <c r="BO145" s="33"/>
      <c r="BP145" s="33"/>
      <c r="BQ145" s="33"/>
      <c r="BR145" s="33">
        <f t="shared" si="1"/>
        <v>0</v>
      </c>
      <c r="BS145" s="33">
        <f>SUMIFS('Data For Calculation - Insuranc'!I:I,'Data For Calculation - Insuranc'!$A:$A,$A145)</f>
        <v>0</v>
      </c>
      <c r="BT145" s="33">
        <f>SUMIFS('Data For Calculation - Insuranc'!J:J,'Data For Calculation - Insuranc'!$A:$A,$A145)</f>
        <v>0</v>
      </c>
      <c r="BU145" s="33">
        <f>SUMIFS('Data For Calculation - Insuranc'!K:K,'Data For Calculation - Insuranc'!$A:$A,$A145)</f>
        <v>0</v>
      </c>
      <c r="BV145" s="33">
        <f>IF($CC145 = "Dealer", SUMIFS('Data For Calculation - Insuranc'!I:I,'Data For Calculation - Insuranc'!$B:$B,$A145,'Data For Calculation - Insuranc'!$H:$H,"Master Dealer")) + SUMIFS('Data For Calculation - Insuranc'!I:I,'Data For Calculation - Insuranc'!$A:$A,$A145,'Data For Calculation - Insuranc'!$H:$H,"Self")</f>
        <v>0</v>
      </c>
      <c r="BW145" s="33">
        <f>IF($CC145 = "Dealer", SUMIFS('Data For Calculation - Insuranc'!J:J,'Data For Calculation - Insuranc'!$B:$B,$A145,'Data For Calculation - Insuranc'!$H:$H,"Master Dealer")) + SUMIFS('Data For Calculation - Insuranc'!J:J,'Data For Calculation - Insuranc'!$A:$A,$A145,'Data For Calculation - Insuranc'!$H:$H,"Self")</f>
        <v>0</v>
      </c>
      <c r="BX145" s="33">
        <f>IF($CC145 = "Dealer", SUMIFS('Data For Calculation - Insuranc'!K:K,'Data For Calculation - Insuranc'!$B:$B,$A145,'Data For Calculation - Insuranc'!$H:$H,"Master Dealer")) + SUMIFS('Data For Calculation - Insuranc'!K:K,'Data For Calculation - Insuranc'!$A:$A,$A145,'Data For Calculation - Insuranc'!$H:$H,"Self")</f>
        <v>0</v>
      </c>
      <c r="BY145" s="25" t="str">
        <f>(Sheet1!N145)</f>
        <v>Jawahar Motors - Moradabad</v>
      </c>
      <c r="BZ145" s="25" t="str">
        <f>(Sheet1!O145)</f>
        <v>192zKbFKanpgygP9G48DLmPDTTKNW3gODllZMh9lO2n4</v>
      </c>
      <c r="CA145" s="25" t="str">
        <f>(Sheet1!AV145)</f>
        <v/>
      </c>
      <c r="CB145" s="25" t="str">
        <f>(Sheet1!AW145)</f>
        <v/>
      </c>
      <c r="CC145" s="26" t="str">
        <f>(Sheet1!P145)</f>
        <v>Dealer</v>
      </c>
    </row>
    <row r="146">
      <c r="A146" s="25" t="str">
        <f>(Sheet1!A146)</f>
        <v>1qQZx2rIu3czgGT-jqqGQhriwwhiT40cPvlLtgeF1YSg</v>
      </c>
      <c r="B146" s="25" t="str">
        <f>(Sheet1!B146)</f>
        <v>Balaji Motors - Hardoi</v>
      </c>
      <c r="C146" s="30" t="str">
        <f>Sheet1!BB146</f>
        <v>No</v>
      </c>
      <c r="D146" s="30" t="s">
        <v>13</v>
      </c>
      <c r="E146" s="34" t="s">
        <v>13</v>
      </c>
      <c r="F146" s="30" t="s">
        <v>3820</v>
      </c>
      <c r="G146" s="31">
        <v>290.0</v>
      </c>
      <c r="H146" s="34" t="s">
        <v>3853</v>
      </c>
      <c r="I146" s="34">
        <v>0.0</v>
      </c>
      <c r="J146" s="34">
        <v>100.0</v>
      </c>
      <c r="K146" s="34">
        <v>0.0</v>
      </c>
      <c r="L146" s="34">
        <v>0.0</v>
      </c>
      <c r="M146" s="33">
        <f>COUNTIFS('Data For Calculation - Insuranc'!A:A,A146,'Data For Calculation - Insuranc'!E:E,"CPA + RSA")</f>
        <v>0</v>
      </c>
      <c r="N146" s="30" t="s">
        <v>3820</v>
      </c>
      <c r="O146" s="31">
        <v>460.0</v>
      </c>
      <c r="P146" s="34" t="s">
        <v>3853</v>
      </c>
      <c r="Q146" s="34">
        <v>0.0</v>
      </c>
      <c r="R146" s="34">
        <v>100.0</v>
      </c>
      <c r="S146" s="34">
        <v>0.0</v>
      </c>
      <c r="T146" s="34">
        <v>0.0</v>
      </c>
      <c r="U146" s="33">
        <f>COUNTIFS('Data For Calculation - Insuranc'!A:A,A146,'Data For Calculation - Insuranc'!E:E,"CPA + RSA + AHDC + DOC")</f>
        <v>0</v>
      </c>
      <c r="V146" s="30" t="s">
        <v>3820</v>
      </c>
      <c r="W146" s="34">
        <v>838.99</v>
      </c>
      <c r="X146" s="34" t="s">
        <v>3853</v>
      </c>
      <c r="Y146" s="34">
        <v>0.0</v>
      </c>
      <c r="Z146" s="34">
        <v>100.0</v>
      </c>
      <c r="AA146" s="34">
        <v>0.0</v>
      </c>
      <c r="AB146" s="34">
        <v>0.0</v>
      </c>
      <c r="AC146" s="33">
        <f>COUNTIFS('Data For Calculation - Insuranc'!A:A,A146,'Data For Calculation - Insuranc'!E:E,"CPA + RSA : 5 Years")</f>
        <v>0</v>
      </c>
      <c r="AD146" s="30" t="s">
        <v>3820</v>
      </c>
      <c r="AE146" s="31">
        <v>838.99</v>
      </c>
      <c r="AF146" s="34" t="s">
        <v>3853</v>
      </c>
      <c r="AG146" s="34">
        <v>0.0</v>
      </c>
      <c r="AH146" s="34">
        <v>100.0</v>
      </c>
      <c r="AI146" s="34">
        <v>0.0</v>
      </c>
      <c r="AJ146" s="34">
        <v>0.0</v>
      </c>
      <c r="AK146" s="33">
        <f>COUNTIFS('Data For Calculation - Insuranc'!A:A,A146,'Data For Calculation - Insuranc'!E:E,"Assistance + CPA : 5 Years")</f>
        <v>0</v>
      </c>
      <c r="AL146" s="30" t="s">
        <v>3820</v>
      </c>
      <c r="AM146" s="31">
        <v>290.0</v>
      </c>
      <c r="AN146" s="34" t="s">
        <v>3853</v>
      </c>
      <c r="AO146" s="34">
        <v>0.0</v>
      </c>
      <c r="AP146" s="34">
        <v>100.0</v>
      </c>
      <c r="AQ146" s="34">
        <v>0.0</v>
      </c>
      <c r="AR146" s="34">
        <v>0.0</v>
      </c>
      <c r="AS146" s="33">
        <f>COUNTIFS('Data For Calculation - Insuranc'!A:A,A146,'Data For Calculation - Insuranc'!E:E,"RSA + AHDC + DOC")</f>
        <v>0</v>
      </c>
      <c r="AT146" s="33"/>
      <c r="AU146" s="33"/>
      <c r="AV146" s="33"/>
      <c r="AW146" s="33"/>
      <c r="AX146" s="33"/>
      <c r="AY146" s="33"/>
      <c r="AZ146" s="33"/>
      <c r="BA146" s="33"/>
      <c r="BB146" s="33"/>
      <c r="BC146" s="33"/>
      <c r="BD146" s="33"/>
      <c r="BE146" s="33"/>
      <c r="BF146" s="33"/>
      <c r="BG146" s="33"/>
      <c r="BH146" s="33"/>
      <c r="BI146" s="33"/>
      <c r="BJ146" s="33"/>
      <c r="BK146" s="33"/>
      <c r="BL146" s="33"/>
      <c r="BM146" s="33"/>
      <c r="BN146" s="33"/>
      <c r="BO146" s="33"/>
      <c r="BP146" s="33"/>
      <c r="BQ146" s="33"/>
      <c r="BR146" s="33">
        <f t="shared" si="1"/>
        <v>0</v>
      </c>
      <c r="BS146" s="33">
        <f>SUMIFS('Data For Calculation - Insuranc'!I:I,'Data For Calculation - Insuranc'!$A:$A,$A146)</f>
        <v>0</v>
      </c>
      <c r="BT146" s="33">
        <f>SUMIFS('Data For Calculation - Insuranc'!J:J,'Data For Calculation - Insuranc'!$A:$A,$A146)</f>
        <v>0</v>
      </c>
      <c r="BU146" s="33">
        <f>SUMIFS('Data For Calculation - Insuranc'!K:K,'Data For Calculation - Insuranc'!$A:$A,$A146)</f>
        <v>0</v>
      </c>
      <c r="BV146" s="33">
        <f>IF($CC146 = "Dealer", SUMIFS('Data For Calculation - Insuranc'!I:I,'Data For Calculation - Insuranc'!$B:$B,$A146,'Data For Calculation - Insuranc'!$H:$H,"Master Dealer")) + SUMIFS('Data For Calculation - Insuranc'!I:I,'Data For Calculation - Insuranc'!$A:$A,$A146,'Data For Calculation - Insuranc'!$H:$H,"Self")</f>
        <v>0</v>
      </c>
      <c r="BW146" s="33">
        <f>IF($CC146 = "Dealer", SUMIFS('Data For Calculation - Insuranc'!J:J,'Data For Calculation - Insuranc'!$B:$B,$A146,'Data For Calculation - Insuranc'!$H:$H,"Master Dealer")) + SUMIFS('Data For Calculation - Insuranc'!J:J,'Data For Calculation - Insuranc'!$A:$A,$A146,'Data For Calculation - Insuranc'!$H:$H,"Self")</f>
        <v>0</v>
      </c>
      <c r="BX146" s="33">
        <f>IF($CC146 = "Dealer", SUMIFS('Data For Calculation - Insuranc'!K:K,'Data For Calculation - Insuranc'!$B:$B,$A146,'Data For Calculation - Insuranc'!$H:$H,"Master Dealer")) + SUMIFS('Data For Calculation - Insuranc'!K:K,'Data For Calculation - Insuranc'!$A:$A,$A146,'Data For Calculation - Insuranc'!$H:$H,"Self")</f>
        <v>0</v>
      </c>
      <c r="BY146" s="25" t="str">
        <f>(Sheet1!N146)</f>
        <v>Balaji Motors - Hardoi</v>
      </c>
      <c r="BZ146" s="25" t="str">
        <f>(Sheet1!O146)</f>
        <v>1qQZx2rIu3czgGT-jqqGQhriwwhiT40cPvlLtgeF1YSg</v>
      </c>
      <c r="CA146" s="25" t="str">
        <f>(Sheet1!AV146)</f>
        <v/>
      </c>
      <c r="CB146" s="25" t="str">
        <f>(Sheet1!AW146)</f>
        <v/>
      </c>
      <c r="CC146" s="26" t="str">
        <f>(Sheet1!P146)</f>
        <v>Dealer</v>
      </c>
    </row>
    <row r="147">
      <c r="A147" s="25" t="str">
        <f>(Sheet1!A147)</f>
        <v>1S2YNz2hsIyDIwT68EF1VR8O-D7oanl9HQJpcApwJPG4</v>
      </c>
      <c r="B147" s="25" t="str">
        <f>(Sheet1!B147)</f>
        <v>Vanshadi Motors - Faizabad</v>
      </c>
      <c r="C147" s="30" t="str">
        <f>Sheet1!BB147</f>
        <v>No</v>
      </c>
      <c r="D147" s="30" t="s">
        <v>13</v>
      </c>
      <c r="E147" s="34" t="s">
        <v>13</v>
      </c>
      <c r="F147" s="30" t="s">
        <v>3820</v>
      </c>
      <c r="G147" s="31">
        <v>290.0</v>
      </c>
      <c r="H147" s="34" t="s">
        <v>3853</v>
      </c>
      <c r="I147" s="34">
        <v>0.0</v>
      </c>
      <c r="J147" s="34">
        <v>100.0</v>
      </c>
      <c r="K147" s="34">
        <v>0.0</v>
      </c>
      <c r="L147" s="34">
        <v>0.0</v>
      </c>
      <c r="M147" s="33">
        <f>COUNTIFS('Data For Calculation - Insuranc'!A:A,A147,'Data For Calculation - Insuranc'!E:E,"CPA + RSA")</f>
        <v>0</v>
      </c>
      <c r="N147" s="30" t="s">
        <v>3820</v>
      </c>
      <c r="O147" s="31">
        <v>375.0</v>
      </c>
      <c r="P147" s="34" t="s">
        <v>3853</v>
      </c>
      <c r="Q147" s="34">
        <v>0.0</v>
      </c>
      <c r="R147" s="34">
        <v>100.0</v>
      </c>
      <c r="S147" s="34">
        <v>0.0</v>
      </c>
      <c r="T147" s="34">
        <v>0.0</v>
      </c>
      <c r="U147" s="33">
        <f>COUNTIFS('Data For Calculation - Insuranc'!A:A,A147,'Data For Calculation - Insuranc'!E:E,"CPA + RSA + AHDC + DOC")</f>
        <v>0</v>
      </c>
      <c r="V147" s="30" t="s">
        <v>3820</v>
      </c>
      <c r="W147" s="34">
        <v>838.99</v>
      </c>
      <c r="X147" s="34" t="s">
        <v>3853</v>
      </c>
      <c r="Y147" s="34">
        <v>0.0</v>
      </c>
      <c r="Z147" s="34">
        <v>100.0</v>
      </c>
      <c r="AA147" s="34">
        <v>0.0</v>
      </c>
      <c r="AB147" s="34">
        <v>0.0</v>
      </c>
      <c r="AC147" s="33">
        <f>COUNTIFS('Data For Calculation - Insuranc'!A:A,A147,'Data For Calculation - Insuranc'!E:E,"CPA + RSA : 5 Years")</f>
        <v>0</v>
      </c>
      <c r="AD147" s="30" t="s">
        <v>3820</v>
      </c>
      <c r="AE147" s="31">
        <v>838.99</v>
      </c>
      <c r="AF147" s="34" t="s">
        <v>3853</v>
      </c>
      <c r="AG147" s="34">
        <v>0.0</v>
      </c>
      <c r="AH147" s="34">
        <v>100.0</v>
      </c>
      <c r="AI147" s="34">
        <v>0.0</v>
      </c>
      <c r="AJ147" s="34">
        <v>0.0</v>
      </c>
      <c r="AK147" s="33">
        <f>COUNTIFS('Data For Calculation - Insuranc'!A:A,A147,'Data For Calculation - Insuranc'!E:E,"Assistance + CPA : 5 Years")</f>
        <v>0</v>
      </c>
      <c r="AL147" s="30" t="s">
        <v>3820</v>
      </c>
      <c r="AM147" s="31">
        <v>290.0</v>
      </c>
      <c r="AN147" s="34" t="s">
        <v>3853</v>
      </c>
      <c r="AO147" s="34">
        <v>0.0</v>
      </c>
      <c r="AP147" s="34">
        <v>100.0</v>
      </c>
      <c r="AQ147" s="34">
        <v>0.0</v>
      </c>
      <c r="AR147" s="34">
        <v>0.0</v>
      </c>
      <c r="AS147" s="33">
        <f>COUNTIFS('Data For Calculation - Insuranc'!A:A,A147,'Data For Calculation - Insuranc'!E:E,"RSA + AHDC + DOC")</f>
        <v>0</v>
      </c>
      <c r="AT147" s="33"/>
      <c r="AU147" s="33"/>
      <c r="AV147" s="33"/>
      <c r="AW147" s="33"/>
      <c r="AX147" s="33"/>
      <c r="AY147" s="33"/>
      <c r="AZ147" s="33"/>
      <c r="BA147" s="33"/>
      <c r="BB147" s="33"/>
      <c r="BC147" s="33"/>
      <c r="BD147" s="33"/>
      <c r="BE147" s="33"/>
      <c r="BF147" s="33"/>
      <c r="BG147" s="33"/>
      <c r="BH147" s="33"/>
      <c r="BI147" s="33"/>
      <c r="BJ147" s="33"/>
      <c r="BK147" s="33"/>
      <c r="BL147" s="33"/>
      <c r="BM147" s="33"/>
      <c r="BN147" s="33"/>
      <c r="BO147" s="33"/>
      <c r="BP147" s="33"/>
      <c r="BQ147" s="33"/>
      <c r="BR147" s="33">
        <f t="shared" si="1"/>
        <v>0</v>
      </c>
      <c r="BS147" s="33">
        <f>SUMIFS('Data For Calculation - Insuranc'!I:I,'Data For Calculation - Insuranc'!$A:$A,$A147)</f>
        <v>0</v>
      </c>
      <c r="BT147" s="33">
        <f>SUMIFS('Data For Calculation - Insuranc'!J:J,'Data For Calculation - Insuranc'!$A:$A,$A147)</f>
        <v>0</v>
      </c>
      <c r="BU147" s="33">
        <f>SUMIFS('Data For Calculation - Insuranc'!K:K,'Data For Calculation - Insuranc'!$A:$A,$A147)</f>
        <v>0</v>
      </c>
      <c r="BV147" s="33">
        <f>IF($CC147 = "Dealer", SUMIFS('Data For Calculation - Insuranc'!I:I,'Data For Calculation - Insuranc'!$B:$B,$A147,'Data For Calculation - Insuranc'!$H:$H,"Master Dealer")) + SUMIFS('Data For Calculation - Insuranc'!I:I,'Data For Calculation - Insuranc'!$A:$A,$A147,'Data For Calculation - Insuranc'!$H:$H,"Self")</f>
        <v>0</v>
      </c>
      <c r="BW147" s="33">
        <f>IF($CC147 = "Dealer", SUMIFS('Data For Calculation - Insuranc'!J:J,'Data For Calculation - Insuranc'!$B:$B,$A147,'Data For Calculation - Insuranc'!$H:$H,"Master Dealer")) + SUMIFS('Data For Calculation - Insuranc'!J:J,'Data For Calculation - Insuranc'!$A:$A,$A147,'Data For Calculation - Insuranc'!$H:$H,"Self")</f>
        <v>0</v>
      </c>
      <c r="BX147" s="33">
        <f>IF($CC147 = "Dealer", SUMIFS('Data For Calculation - Insuranc'!K:K,'Data For Calculation - Insuranc'!$B:$B,$A147,'Data For Calculation - Insuranc'!$H:$H,"Master Dealer")) + SUMIFS('Data For Calculation - Insuranc'!K:K,'Data For Calculation - Insuranc'!$A:$A,$A147,'Data For Calculation - Insuranc'!$H:$H,"Self")</f>
        <v>0</v>
      </c>
      <c r="BY147" s="25" t="str">
        <f>(Sheet1!N147)</f>
        <v>Vanshadi Motors - Faizabad</v>
      </c>
      <c r="BZ147" s="25" t="str">
        <f>(Sheet1!O147)</f>
        <v>1S2YNz2hsIyDIwT68EF1VR8O-D7oanl9HQJpcApwJPG4</v>
      </c>
      <c r="CA147" s="25" t="str">
        <f>(Sheet1!AV147)</f>
        <v/>
      </c>
      <c r="CB147" s="25" t="str">
        <f>(Sheet1!AW147)</f>
        <v/>
      </c>
      <c r="CC147" s="26" t="str">
        <f>(Sheet1!P147)</f>
        <v>Dealer</v>
      </c>
    </row>
    <row r="148">
      <c r="A148" s="25" t="str">
        <f>(Sheet1!A148)</f>
        <v>1BwcIzZvh2T5Ujlh5jkvkSeatvF-YbuitkQwoRkKGAHU</v>
      </c>
      <c r="B148" s="25" t="str">
        <f>(Sheet1!B148)</f>
        <v>Shree Shyam ji Hero- Meerut</v>
      </c>
      <c r="C148" s="30" t="str">
        <f>Sheet1!BB148</f>
        <v>No</v>
      </c>
      <c r="D148" s="30" t="s">
        <v>13</v>
      </c>
      <c r="E148" s="34" t="s">
        <v>13</v>
      </c>
      <c r="F148" s="30" t="s">
        <v>3820</v>
      </c>
      <c r="G148" s="31">
        <v>290.0</v>
      </c>
      <c r="H148" s="34" t="s">
        <v>3853</v>
      </c>
      <c r="I148" s="34">
        <v>0.0</v>
      </c>
      <c r="J148" s="34">
        <v>100.0</v>
      </c>
      <c r="K148" s="34">
        <v>0.0</v>
      </c>
      <c r="L148" s="34">
        <v>0.0</v>
      </c>
      <c r="M148" s="33">
        <f>COUNTIFS('Data For Calculation - Insuranc'!A:A,A148,'Data For Calculation - Insuranc'!E:E,"CPA + RSA")</f>
        <v>0</v>
      </c>
      <c r="N148" s="30" t="s">
        <v>3820</v>
      </c>
      <c r="O148" s="31">
        <v>375.0</v>
      </c>
      <c r="P148" s="34" t="s">
        <v>3853</v>
      </c>
      <c r="Q148" s="34">
        <v>0.0</v>
      </c>
      <c r="R148" s="34">
        <v>100.0</v>
      </c>
      <c r="S148" s="34">
        <v>0.0</v>
      </c>
      <c r="T148" s="34">
        <v>0.0</v>
      </c>
      <c r="U148" s="33">
        <f>COUNTIFS('Data For Calculation - Insuranc'!A:A,A148,'Data For Calculation - Insuranc'!E:E,"CPA + RSA + AHDC + DOC")</f>
        <v>0</v>
      </c>
      <c r="V148" s="30" t="s">
        <v>3820</v>
      </c>
      <c r="W148" s="34">
        <v>838.99</v>
      </c>
      <c r="X148" s="34" t="s">
        <v>3853</v>
      </c>
      <c r="Y148" s="34">
        <v>0.0</v>
      </c>
      <c r="Z148" s="34">
        <v>100.0</v>
      </c>
      <c r="AA148" s="34">
        <v>0.0</v>
      </c>
      <c r="AB148" s="34">
        <v>0.0</v>
      </c>
      <c r="AC148" s="33">
        <f>COUNTIFS('Data For Calculation - Insuranc'!A:A,A148,'Data For Calculation - Insuranc'!E:E,"CPA + RSA : 5 Years")</f>
        <v>0</v>
      </c>
      <c r="AD148" s="30" t="s">
        <v>3820</v>
      </c>
      <c r="AE148" s="31">
        <v>838.99</v>
      </c>
      <c r="AF148" s="34" t="s">
        <v>3853</v>
      </c>
      <c r="AG148" s="34">
        <v>0.0</v>
      </c>
      <c r="AH148" s="34">
        <v>100.0</v>
      </c>
      <c r="AI148" s="34">
        <v>0.0</v>
      </c>
      <c r="AJ148" s="34">
        <v>0.0</v>
      </c>
      <c r="AK148" s="33">
        <f>COUNTIFS('Data For Calculation - Insuranc'!A:A,A148,'Data For Calculation - Insuranc'!E:E,"Assistance + CPA : 5 Years")</f>
        <v>0</v>
      </c>
      <c r="AL148" s="30" t="s">
        <v>3820</v>
      </c>
      <c r="AM148" s="31">
        <v>290.0</v>
      </c>
      <c r="AN148" s="34" t="s">
        <v>3853</v>
      </c>
      <c r="AO148" s="34">
        <v>0.0</v>
      </c>
      <c r="AP148" s="34">
        <v>100.0</v>
      </c>
      <c r="AQ148" s="34">
        <v>0.0</v>
      </c>
      <c r="AR148" s="34">
        <v>0.0</v>
      </c>
      <c r="AS148" s="33">
        <f>COUNTIFS('Data For Calculation - Insuranc'!A:A,A148,'Data For Calculation - Insuranc'!E:E,"RSA + AHDC + DOC")</f>
        <v>0</v>
      </c>
      <c r="AT148" s="33"/>
      <c r="AU148" s="33"/>
      <c r="AV148" s="33"/>
      <c r="AW148" s="33"/>
      <c r="AX148" s="33"/>
      <c r="AY148" s="33"/>
      <c r="AZ148" s="33"/>
      <c r="BA148" s="33"/>
      <c r="BB148" s="33"/>
      <c r="BC148" s="33"/>
      <c r="BD148" s="33"/>
      <c r="BE148" s="33"/>
      <c r="BF148" s="33"/>
      <c r="BG148" s="33"/>
      <c r="BH148" s="33"/>
      <c r="BI148" s="33"/>
      <c r="BJ148" s="33"/>
      <c r="BK148" s="33"/>
      <c r="BL148" s="33"/>
      <c r="BM148" s="33"/>
      <c r="BN148" s="33"/>
      <c r="BO148" s="33"/>
      <c r="BP148" s="33"/>
      <c r="BQ148" s="33"/>
      <c r="BR148" s="33">
        <f t="shared" si="1"/>
        <v>0</v>
      </c>
      <c r="BS148" s="33">
        <f>SUMIFS('Data For Calculation - Insuranc'!I:I,'Data For Calculation - Insuranc'!$A:$A,$A148)</f>
        <v>0</v>
      </c>
      <c r="BT148" s="33">
        <f>SUMIFS('Data For Calculation - Insuranc'!J:J,'Data For Calculation - Insuranc'!$A:$A,$A148)</f>
        <v>0</v>
      </c>
      <c r="BU148" s="33">
        <f>SUMIFS('Data For Calculation - Insuranc'!K:K,'Data For Calculation - Insuranc'!$A:$A,$A148)</f>
        <v>0</v>
      </c>
      <c r="BV148" s="33">
        <f>IF($CC148 = "Dealer", SUMIFS('Data For Calculation - Insuranc'!I:I,'Data For Calculation - Insuranc'!$B:$B,$A148,'Data For Calculation - Insuranc'!$H:$H,"Master Dealer")) + SUMIFS('Data For Calculation - Insuranc'!I:I,'Data For Calculation - Insuranc'!$A:$A,$A148,'Data For Calculation - Insuranc'!$H:$H,"Self")</f>
        <v>0</v>
      </c>
      <c r="BW148" s="33">
        <f>IF($CC148 = "Dealer", SUMIFS('Data For Calculation - Insuranc'!J:J,'Data For Calculation - Insuranc'!$B:$B,$A148,'Data For Calculation - Insuranc'!$H:$H,"Master Dealer")) + SUMIFS('Data For Calculation - Insuranc'!J:J,'Data For Calculation - Insuranc'!$A:$A,$A148,'Data For Calculation - Insuranc'!$H:$H,"Self")</f>
        <v>0</v>
      </c>
      <c r="BX148" s="33">
        <f>IF($CC148 = "Dealer", SUMIFS('Data For Calculation - Insuranc'!K:K,'Data For Calculation - Insuranc'!$B:$B,$A148,'Data For Calculation - Insuranc'!$H:$H,"Master Dealer")) + SUMIFS('Data For Calculation - Insuranc'!K:K,'Data For Calculation - Insuranc'!$A:$A,$A148,'Data For Calculation - Insuranc'!$H:$H,"Self")</f>
        <v>0</v>
      </c>
      <c r="BY148" s="25" t="str">
        <f>(Sheet1!N148)</f>
        <v>Shree Shyam ji Hero- Meerut</v>
      </c>
      <c r="BZ148" s="25" t="str">
        <f>(Sheet1!O148)</f>
        <v>1BwcIzZvh2T5Ujlh5jkvkSeatvF-YbuitkQwoRkKGAHU</v>
      </c>
      <c r="CA148" s="25" t="str">
        <f>(Sheet1!AV148)</f>
        <v/>
      </c>
      <c r="CB148" s="25" t="str">
        <f>(Sheet1!AW148)</f>
        <v/>
      </c>
      <c r="CC148" s="26" t="str">
        <f>(Sheet1!P148)</f>
        <v>Dealer</v>
      </c>
    </row>
    <row r="149">
      <c r="A149" s="25" t="str">
        <f>(Sheet1!A149)</f>
        <v>1-RGBeKDN73oqOmm6wKvrYGgPoHhF6AoBWbXbAsegR_M</v>
      </c>
      <c r="B149" s="25" t="str">
        <f>(Sheet1!B149)</f>
        <v>HANSAUTOMOBILE- SHAHJHANPUR(SP)</v>
      </c>
      <c r="C149" s="30" t="str">
        <f>Sheet1!BB149</f>
        <v>No</v>
      </c>
      <c r="D149" s="30" t="s">
        <v>13</v>
      </c>
      <c r="E149" s="34" t="s">
        <v>13</v>
      </c>
      <c r="F149" s="30" t="s">
        <v>3817</v>
      </c>
      <c r="G149" s="31">
        <v>290.0</v>
      </c>
      <c r="H149" s="34" t="s">
        <v>3853</v>
      </c>
      <c r="I149" s="34">
        <v>0.0</v>
      </c>
      <c r="J149" s="34">
        <v>100.0</v>
      </c>
      <c r="K149" s="34">
        <v>0.0</v>
      </c>
      <c r="L149" s="34">
        <v>0.0</v>
      </c>
      <c r="M149" s="33">
        <f>COUNTIFS('Data For Calculation - Insuranc'!A:A,A149,'Data For Calculation - Insuranc'!E:E,"CPA + RSA")</f>
        <v>0</v>
      </c>
      <c r="N149" s="30" t="s">
        <v>3817</v>
      </c>
      <c r="O149" s="31">
        <v>460.0</v>
      </c>
      <c r="P149" s="34" t="s">
        <v>3853</v>
      </c>
      <c r="Q149" s="34">
        <v>0.0</v>
      </c>
      <c r="R149" s="34">
        <v>100.0</v>
      </c>
      <c r="S149" s="34">
        <v>0.0</v>
      </c>
      <c r="T149" s="34">
        <v>0.0</v>
      </c>
      <c r="U149" s="33">
        <f>COUNTIFS('Data For Calculation - Insuranc'!A:A,A149,'Data For Calculation - Insuranc'!E:E,"CPA + RSA + AHDC + DOC")</f>
        <v>0</v>
      </c>
      <c r="V149" s="30" t="s">
        <v>3817</v>
      </c>
      <c r="W149" s="34">
        <v>838.99</v>
      </c>
      <c r="X149" s="34" t="s">
        <v>3853</v>
      </c>
      <c r="Y149" s="34">
        <v>0.0</v>
      </c>
      <c r="Z149" s="34">
        <v>100.0</v>
      </c>
      <c r="AA149" s="34">
        <v>0.0</v>
      </c>
      <c r="AB149" s="34">
        <v>0.0</v>
      </c>
      <c r="AC149" s="33">
        <f>COUNTIFS('Data For Calculation - Insuranc'!A:A,A149,'Data For Calculation - Insuranc'!E:E,"CPA + RSA : 5 Years")</f>
        <v>0</v>
      </c>
      <c r="AD149" s="30" t="s">
        <v>3817</v>
      </c>
      <c r="AE149" s="31">
        <v>838.99</v>
      </c>
      <c r="AF149" s="34" t="s">
        <v>3853</v>
      </c>
      <c r="AG149" s="34">
        <v>0.0</v>
      </c>
      <c r="AH149" s="34">
        <v>100.0</v>
      </c>
      <c r="AI149" s="34">
        <v>0.0</v>
      </c>
      <c r="AJ149" s="34">
        <v>0.0</v>
      </c>
      <c r="AK149" s="33">
        <f>COUNTIFS('Data For Calculation - Insuranc'!A:A,A149,'Data For Calculation - Insuranc'!E:E,"Assistance + CPA : 5 Years")</f>
        <v>0</v>
      </c>
      <c r="AL149" s="30" t="s">
        <v>3817</v>
      </c>
      <c r="AM149" s="31">
        <v>290.0</v>
      </c>
      <c r="AN149" s="34" t="s">
        <v>3853</v>
      </c>
      <c r="AO149" s="34">
        <v>0.0</v>
      </c>
      <c r="AP149" s="34">
        <v>100.0</v>
      </c>
      <c r="AQ149" s="34">
        <v>0.0</v>
      </c>
      <c r="AR149" s="34">
        <v>0.0</v>
      </c>
      <c r="AS149" s="33">
        <f>COUNTIFS('Data For Calculation - Insuranc'!A:A,A149,'Data For Calculation - Insuranc'!E:E,"RSA + AHDC + DOC")</f>
        <v>0</v>
      </c>
      <c r="AT149" s="33"/>
      <c r="AU149" s="33"/>
      <c r="AV149" s="33"/>
      <c r="AW149" s="33"/>
      <c r="AX149" s="33"/>
      <c r="AY149" s="33"/>
      <c r="AZ149" s="33"/>
      <c r="BA149" s="33"/>
      <c r="BB149" s="33"/>
      <c r="BC149" s="33"/>
      <c r="BD149" s="33"/>
      <c r="BE149" s="33"/>
      <c r="BF149" s="33"/>
      <c r="BG149" s="33"/>
      <c r="BH149" s="33"/>
      <c r="BI149" s="33"/>
      <c r="BJ149" s="33"/>
      <c r="BK149" s="33"/>
      <c r="BL149" s="33"/>
      <c r="BM149" s="33"/>
      <c r="BN149" s="33"/>
      <c r="BO149" s="33"/>
      <c r="BP149" s="33"/>
      <c r="BQ149" s="33"/>
      <c r="BR149" s="33">
        <f t="shared" si="1"/>
        <v>0</v>
      </c>
      <c r="BS149" s="33">
        <f>SUMIFS('Data For Calculation - Insuranc'!I:I,'Data For Calculation - Insuranc'!$A:$A,$A149)</f>
        <v>0</v>
      </c>
      <c r="BT149" s="33">
        <f>SUMIFS('Data For Calculation - Insuranc'!J:J,'Data For Calculation - Insuranc'!$A:$A,$A149)</f>
        <v>0</v>
      </c>
      <c r="BU149" s="33">
        <f>SUMIFS('Data For Calculation - Insuranc'!K:K,'Data For Calculation - Insuranc'!$A:$A,$A149)</f>
        <v>0</v>
      </c>
      <c r="BV149" s="33">
        <f>IF($CC149 = "Dealer", SUMIFS('Data For Calculation - Insuranc'!I:I,'Data For Calculation - Insuranc'!$B:$B,$A149,'Data For Calculation - Insuranc'!$H:$H,"Master Dealer")) + SUMIFS('Data For Calculation - Insuranc'!I:I,'Data For Calculation - Insuranc'!$A:$A,$A149,'Data For Calculation - Insuranc'!$H:$H,"Self")</f>
        <v>0</v>
      </c>
      <c r="BW149" s="33">
        <f>IF($CC149 = "Dealer", SUMIFS('Data For Calculation - Insuranc'!J:J,'Data For Calculation - Insuranc'!$B:$B,$A149,'Data For Calculation - Insuranc'!$H:$H,"Master Dealer")) + SUMIFS('Data For Calculation - Insuranc'!J:J,'Data For Calculation - Insuranc'!$A:$A,$A149,'Data For Calculation - Insuranc'!$H:$H,"Self")</f>
        <v>0</v>
      </c>
      <c r="BX149" s="33">
        <f>IF($CC149 = "Dealer", SUMIFS('Data For Calculation - Insuranc'!K:K,'Data For Calculation - Insuranc'!$B:$B,$A149,'Data For Calculation - Insuranc'!$H:$H,"Master Dealer")) + SUMIFS('Data For Calculation - Insuranc'!K:K,'Data For Calculation - Insuranc'!$A:$A,$A149,'Data For Calculation - Insuranc'!$H:$H,"Self")</f>
        <v>0</v>
      </c>
      <c r="BY149" s="25" t="str">
        <f>(Sheet1!N149)</f>
        <v>HANSAUTOMOBILE- SHAHJHANPUR(SP)</v>
      </c>
      <c r="BZ149" s="25" t="str">
        <f>(Sheet1!O149)</f>
        <v>1-RGBeKDN73oqOmm6wKvrYGgPoHhF6AoBWbXbAsegR_M</v>
      </c>
      <c r="CA149" s="25" t="str">
        <f>(Sheet1!AV149)</f>
        <v/>
      </c>
      <c r="CB149" s="25" t="str">
        <f>(Sheet1!AW149)</f>
        <v/>
      </c>
      <c r="CC149" s="26" t="str">
        <f>(Sheet1!P149)</f>
        <v>Dealer</v>
      </c>
    </row>
    <row r="150">
      <c r="A150" s="25" t="str">
        <f>(Sheet1!A150)</f>
        <v>1nNUUalGOlMWDdYbk6V0hbfrM7YklXBY-gP0UjcjGIBo</v>
      </c>
      <c r="B150" s="25" t="str">
        <f>(Sheet1!B150)</f>
        <v>GSM BAJAJ- KHANDSA GURGAON-(SP)</v>
      </c>
      <c r="C150" s="30" t="str">
        <f>Sheet1!BB150</f>
        <v>No</v>
      </c>
      <c r="D150" s="30" t="s">
        <v>13</v>
      </c>
      <c r="E150" s="34" t="s">
        <v>13</v>
      </c>
      <c r="F150" s="30" t="s">
        <v>3820</v>
      </c>
      <c r="G150" s="31">
        <v>290.0</v>
      </c>
      <c r="H150" s="34" t="s">
        <v>3853</v>
      </c>
      <c r="I150" s="34">
        <v>0.0</v>
      </c>
      <c r="J150" s="34">
        <v>100.0</v>
      </c>
      <c r="K150" s="34">
        <v>0.0</v>
      </c>
      <c r="L150" s="34">
        <v>0.0</v>
      </c>
      <c r="M150" s="33">
        <f>COUNTIFS('Data For Calculation - Insuranc'!A:A,A150,'Data For Calculation - Insuranc'!E:E,"CPA + RSA")</f>
        <v>0</v>
      </c>
      <c r="N150" s="30" t="s">
        <v>3820</v>
      </c>
      <c r="O150" s="31">
        <v>460.0</v>
      </c>
      <c r="P150" s="34" t="s">
        <v>3853</v>
      </c>
      <c r="Q150" s="34">
        <v>0.0</v>
      </c>
      <c r="R150" s="34">
        <v>100.0</v>
      </c>
      <c r="S150" s="34">
        <v>0.0</v>
      </c>
      <c r="T150" s="34">
        <v>0.0</v>
      </c>
      <c r="U150" s="33">
        <f>COUNTIFS('Data For Calculation - Insuranc'!A:A,A150,'Data For Calculation - Insuranc'!E:E,"CPA + RSA + AHDC + DOC")</f>
        <v>0</v>
      </c>
      <c r="V150" s="30" t="s">
        <v>3820</v>
      </c>
      <c r="W150" s="34">
        <v>838.99</v>
      </c>
      <c r="X150" s="34" t="s">
        <v>3853</v>
      </c>
      <c r="Y150" s="34">
        <v>0.0</v>
      </c>
      <c r="Z150" s="34">
        <v>100.0</v>
      </c>
      <c r="AA150" s="34">
        <v>0.0</v>
      </c>
      <c r="AB150" s="34">
        <v>0.0</v>
      </c>
      <c r="AC150" s="33">
        <f>COUNTIFS('Data For Calculation - Insuranc'!A:A,A150,'Data For Calculation - Insuranc'!E:E,"CPA + RSA : 5 Years")</f>
        <v>0</v>
      </c>
      <c r="AD150" s="30" t="s">
        <v>3820</v>
      </c>
      <c r="AE150" s="31">
        <v>838.99</v>
      </c>
      <c r="AF150" s="34" t="s">
        <v>3853</v>
      </c>
      <c r="AG150" s="34">
        <v>0.0</v>
      </c>
      <c r="AH150" s="34">
        <v>100.0</v>
      </c>
      <c r="AI150" s="34">
        <v>0.0</v>
      </c>
      <c r="AJ150" s="34">
        <v>0.0</v>
      </c>
      <c r="AK150" s="33">
        <f>COUNTIFS('Data For Calculation - Insuranc'!A:A,A150,'Data For Calculation - Insuranc'!E:E,"Assistance + CPA : 5 Years")</f>
        <v>0</v>
      </c>
      <c r="AL150" s="30" t="s">
        <v>3820</v>
      </c>
      <c r="AM150" s="31">
        <v>290.0</v>
      </c>
      <c r="AN150" s="34" t="s">
        <v>3853</v>
      </c>
      <c r="AO150" s="34">
        <v>0.0</v>
      </c>
      <c r="AP150" s="34">
        <v>100.0</v>
      </c>
      <c r="AQ150" s="34">
        <v>0.0</v>
      </c>
      <c r="AR150" s="34">
        <v>0.0</v>
      </c>
      <c r="AS150" s="33">
        <f>COUNTIFS('Data For Calculation - Insuranc'!A:A,A150,'Data For Calculation - Insuranc'!E:E,"RSA + AHDC + DOC")</f>
        <v>0</v>
      </c>
      <c r="AT150" s="33"/>
      <c r="AU150" s="33"/>
      <c r="AV150" s="33"/>
      <c r="AW150" s="33"/>
      <c r="AX150" s="33"/>
      <c r="AY150" s="33"/>
      <c r="AZ150" s="33"/>
      <c r="BA150" s="33"/>
      <c r="BB150" s="33"/>
      <c r="BC150" s="33"/>
      <c r="BD150" s="33"/>
      <c r="BE150" s="33"/>
      <c r="BF150" s="33"/>
      <c r="BG150" s="33"/>
      <c r="BH150" s="33"/>
      <c r="BI150" s="33"/>
      <c r="BJ150" s="33"/>
      <c r="BK150" s="33"/>
      <c r="BL150" s="33"/>
      <c r="BM150" s="33"/>
      <c r="BN150" s="33"/>
      <c r="BO150" s="33"/>
      <c r="BP150" s="33"/>
      <c r="BQ150" s="33"/>
      <c r="BR150" s="33">
        <f t="shared" si="1"/>
        <v>0</v>
      </c>
      <c r="BS150" s="33">
        <f>SUMIFS('Data For Calculation - Insuranc'!I:I,'Data For Calculation - Insuranc'!$A:$A,$A150)</f>
        <v>0</v>
      </c>
      <c r="BT150" s="33">
        <f>SUMIFS('Data For Calculation - Insuranc'!J:J,'Data For Calculation - Insuranc'!$A:$A,$A150)</f>
        <v>0</v>
      </c>
      <c r="BU150" s="33">
        <f>SUMIFS('Data For Calculation - Insuranc'!K:K,'Data For Calculation - Insuranc'!$A:$A,$A150)</f>
        <v>0</v>
      </c>
      <c r="BV150" s="33">
        <f>IF($CC150 = "Dealer", SUMIFS('Data For Calculation - Insuranc'!I:I,'Data For Calculation - Insuranc'!$B:$B,$A150,'Data For Calculation - Insuranc'!$H:$H,"Master Dealer")) + SUMIFS('Data For Calculation - Insuranc'!I:I,'Data For Calculation - Insuranc'!$A:$A,$A150,'Data For Calculation - Insuranc'!$H:$H,"Self")</f>
        <v>0</v>
      </c>
      <c r="BW150" s="33">
        <f>IF($CC150 = "Dealer", SUMIFS('Data For Calculation - Insuranc'!J:J,'Data For Calculation - Insuranc'!$B:$B,$A150,'Data For Calculation - Insuranc'!$H:$H,"Master Dealer")) + SUMIFS('Data For Calculation - Insuranc'!J:J,'Data For Calculation - Insuranc'!$A:$A,$A150,'Data For Calculation - Insuranc'!$H:$H,"Self")</f>
        <v>0</v>
      </c>
      <c r="BX150" s="33">
        <f>IF($CC150 = "Dealer", SUMIFS('Data For Calculation - Insuranc'!K:K,'Data For Calculation - Insuranc'!$B:$B,$A150,'Data For Calculation - Insuranc'!$H:$H,"Master Dealer")) + SUMIFS('Data For Calculation - Insuranc'!K:K,'Data For Calculation - Insuranc'!$A:$A,$A150,'Data For Calculation - Insuranc'!$H:$H,"Self")</f>
        <v>0</v>
      </c>
      <c r="BY150" s="25" t="str">
        <f>(Sheet1!N150)</f>
        <v>GSM BAJAJ- KHANDSA GURGAON-(SP)</v>
      </c>
      <c r="BZ150" s="25" t="str">
        <f>(Sheet1!O150)</f>
        <v>1nNUUalGOlMWDdYbk6V0hbfrM7YklXBY-gP0UjcjGIBo</v>
      </c>
      <c r="CA150" s="25" t="str">
        <f>(Sheet1!AV150)</f>
        <v/>
      </c>
      <c r="CB150" s="25" t="str">
        <f>(Sheet1!AW150)</f>
        <v/>
      </c>
      <c r="CC150" s="26" t="str">
        <f>(Sheet1!P150)</f>
        <v>Dealer</v>
      </c>
    </row>
    <row r="151">
      <c r="A151" s="25" t="str">
        <f>(Sheet1!A151)</f>
        <v>1Gr4Dqm3VC_aFirTVGJtSHZmd3Y6Hkd8pWAN1HsALU_o</v>
      </c>
      <c r="B151" s="25" t="str">
        <f>(Sheet1!B151)</f>
        <v>Jay Kumar Arun Kumar Hero - Meerut</v>
      </c>
      <c r="C151" s="30" t="str">
        <f>Sheet1!BB151</f>
        <v>No</v>
      </c>
      <c r="D151" s="30" t="s">
        <v>13</v>
      </c>
      <c r="E151" s="34" t="s">
        <v>13</v>
      </c>
      <c r="F151" s="30" t="s">
        <v>3820</v>
      </c>
      <c r="G151" s="31">
        <v>290.0</v>
      </c>
      <c r="H151" s="34" t="s">
        <v>3853</v>
      </c>
      <c r="I151" s="34">
        <v>0.0</v>
      </c>
      <c r="J151" s="34">
        <v>100.0</v>
      </c>
      <c r="K151" s="34">
        <v>0.0</v>
      </c>
      <c r="L151" s="34">
        <v>0.0</v>
      </c>
      <c r="M151" s="33">
        <f>COUNTIFS('Data For Calculation - Insuranc'!A:A,A151,'Data For Calculation - Insuranc'!E:E,"CPA + RSA")</f>
        <v>0</v>
      </c>
      <c r="N151" s="30" t="s">
        <v>3820</v>
      </c>
      <c r="O151" s="31">
        <v>460.0</v>
      </c>
      <c r="P151" s="34" t="s">
        <v>3853</v>
      </c>
      <c r="Q151" s="34">
        <v>0.0</v>
      </c>
      <c r="R151" s="34">
        <v>100.0</v>
      </c>
      <c r="S151" s="34">
        <v>0.0</v>
      </c>
      <c r="T151" s="34">
        <v>0.0</v>
      </c>
      <c r="U151" s="33">
        <f>COUNTIFS('Data For Calculation - Insuranc'!A:A,A151,'Data For Calculation - Insuranc'!E:E,"CPA + RSA + AHDC + DOC")</f>
        <v>0</v>
      </c>
      <c r="V151" s="30" t="s">
        <v>3820</v>
      </c>
      <c r="W151" s="34">
        <v>838.99</v>
      </c>
      <c r="X151" s="34" t="s">
        <v>3853</v>
      </c>
      <c r="Y151" s="34">
        <v>0.0</v>
      </c>
      <c r="Z151" s="34">
        <v>100.0</v>
      </c>
      <c r="AA151" s="34">
        <v>0.0</v>
      </c>
      <c r="AB151" s="34">
        <v>0.0</v>
      </c>
      <c r="AC151" s="33">
        <f>COUNTIFS('Data For Calculation - Insuranc'!A:A,A151,'Data For Calculation - Insuranc'!E:E,"CPA + RSA : 5 Years")</f>
        <v>0</v>
      </c>
      <c r="AD151" s="30" t="s">
        <v>3820</v>
      </c>
      <c r="AE151" s="31">
        <v>838.99</v>
      </c>
      <c r="AF151" s="34" t="s">
        <v>3853</v>
      </c>
      <c r="AG151" s="34">
        <v>0.0</v>
      </c>
      <c r="AH151" s="34">
        <v>100.0</v>
      </c>
      <c r="AI151" s="34">
        <v>0.0</v>
      </c>
      <c r="AJ151" s="34">
        <v>0.0</v>
      </c>
      <c r="AK151" s="33">
        <f>COUNTIFS('Data For Calculation - Insuranc'!A:A,A151,'Data For Calculation - Insuranc'!E:E,"Assistance + CPA : 5 Years")</f>
        <v>0</v>
      </c>
      <c r="AL151" s="30" t="s">
        <v>3820</v>
      </c>
      <c r="AM151" s="31">
        <v>290.0</v>
      </c>
      <c r="AN151" s="34" t="s">
        <v>3853</v>
      </c>
      <c r="AO151" s="34">
        <v>0.0</v>
      </c>
      <c r="AP151" s="34">
        <v>100.0</v>
      </c>
      <c r="AQ151" s="34">
        <v>0.0</v>
      </c>
      <c r="AR151" s="34">
        <v>0.0</v>
      </c>
      <c r="AS151" s="33">
        <f>COUNTIFS('Data For Calculation - Insuranc'!A:A,A151,'Data For Calculation - Insuranc'!E:E,"RSA + AHDC + DOC")</f>
        <v>0</v>
      </c>
      <c r="AT151" s="33"/>
      <c r="AU151" s="33"/>
      <c r="AV151" s="33"/>
      <c r="AW151" s="33"/>
      <c r="AX151" s="33"/>
      <c r="AY151" s="33"/>
      <c r="AZ151" s="33"/>
      <c r="BA151" s="33"/>
      <c r="BB151" s="33"/>
      <c r="BC151" s="33"/>
      <c r="BD151" s="33"/>
      <c r="BE151" s="33"/>
      <c r="BF151" s="33"/>
      <c r="BG151" s="33"/>
      <c r="BH151" s="33"/>
      <c r="BI151" s="33"/>
      <c r="BJ151" s="33"/>
      <c r="BK151" s="33"/>
      <c r="BL151" s="33"/>
      <c r="BM151" s="33"/>
      <c r="BN151" s="33"/>
      <c r="BO151" s="33"/>
      <c r="BP151" s="33"/>
      <c r="BQ151" s="33"/>
      <c r="BR151" s="33">
        <f t="shared" si="1"/>
        <v>0</v>
      </c>
      <c r="BS151" s="33">
        <f>SUMIFS('Data For Calculation - Insuranc'!I:I,'Data For Calculation - Insuranc'!$A:$A,$A151)</f>
        <v>0</v>
      </c>
      <c r="BT151" s="33">
        <f>SUMIFS('Data For Calculation - Insuranc'!J:J,'Data For Calculation - Insuranc'!$A:$A,$A151)</f>
        <v>0</v>
      </c>
      <c r="BU151" s="33">
        <f>SUMIFS('Data For Calculation - Insuranc'!K:K,'Data For Calculation - Insuranc'!$A:$A,$A151)</f>
        <v>0</v>
      </c>
      <c r="BV151" s="33">
        <f>IF($CC151 = "Dealer", SUMIFS('Data For Calculation - Insuranc'!I:I,'Data For Calculation - Insuranc'!$B:$B,$A151,'Data For Calculation - Insuranc'!$H:$H,"Master Dealer")) + SUMIFS('Data For Calculation - Insuranc'!I:I,'Data For Calculation - Insuranc'!$A:$A,$A151,'Data For Calculation - Insuranc'!$H:$H,"Self")</f>
        <v>0</v>
      </c>
      <c r="BW151" s="33">
        <f>IF($CC151 = "Dealer", SUMIFS('Data For Calculation - Insuranc'!J:J,'Data For Calculation - Insuranc'!$B:$B,$A151,'Data For Calculation - Insuranc'!$H:$H,"Master Dealer")) + SUMIFS('Data For Calculation - Insuranc'!J:J,'Data For Calculation - Insuranc'!$A:$A,$A151,'Data For Calculation - Insuranc'!$H:$H,"Self")</f>
        <v>0</v>
      </c>
      <c r="BX151" s="33">
        <f>IF($CC151 = "Dealer", SUMIFS('Data For Calculation - Insuranc'!K:K,'Data For Calculation - Insuranc'!$B:$B,$A151,'Data For Calculation - Insuranc'!$H:$H,"Master Dealer")) + SUMIFS('Data For Calculation - Insuranc'!K:K,'Data For Calculation - Insuranc'!$A:$A,$A151,'Data For Calculation - Insuranc'!$H:$H,"Self")</f>
        <v>0</v>
      </c>
      <c r="BY151" s="25" t="str">
        <f>(Sheet1!N151)</f>
        <v>Jay Kumar Arun Kumar Hero - Meerut</v>
      </c>
      <c r="BZ151" s="25" t="str">
        <f>(Sheet1!O151)</f>
        <v>1Gr4Dqm3VC_aFirTVGJtSHZmd3Y6Hkd8pWAN1HsALU_o</v>
      </c>
      <c r="CA151" s="25" t="str">
        <f>(Sheet1!AV151)</f>
        <v/>
      </c>
      <c r="CB151" s="25" t="str">
        <f>(Sheet1!AW151)</f>
        <v/>
      </c>
      <c r="CC151" s="26" t="str">
        <f>(Sheet1!P151)</f>
        <v>Dealer</v>
      </c>
    </row>
    <row r="152">
      <c r="A152" s="25" t="str">
        <f>(Sheet1!A152)</f>
        <v>1lgZm4ATdvS3q8SH9cQmTsfbYjc0IuVfsbWILI4aQOtw</v>
      </c>
      <c r="B152" s="25" t="str">
        <f>(Sheet1!B152)</f>
        <v>CHAUDHARY MOTORS- KHURJA</v>
      </c>
      <c r="C152" s="30" t="str">
        <f>Sheet1!BB152</f>
        <v>No</v>
      </c>
      <c r="D152" s="30" t="s">
        <v>13</v>
      </c>
      <c r="E152" s="34" t="s">
        <v>13</v>
      </c>
      <c r="F152" s="30" t="s">
        <v>3820</v>
      </c>
      <c r="G152" s="31">
        <v>290.0</v>
      </c>
      <c r="H152" s="34" t="s">
        <v>3853</v>
      </c>
      <c r="I152" s="34">
        <v>0.0</v>
      </c>
      <c r="J152" s="34">
        <v>100.0</v>
      </c>
      <c r="K152" s="34">
        <v>0.0</v>
      </c>
      <c r="L152" s="34">
        <v>0.0</v>
      </c>
      <c r="M152" s="33">
        <f>COUNTIFS('Data For Calculation - Insuranc'!A:A,A152,'Data For Calculation - Insuranc'!E:E,"CPA + RSA")</f>
        <v>0</v>
      </c>
      <c r="N152" s="30" t="s">
        <v>3820</v>
      </c>
      <c r="O152" s="31">
        <v>460.0</v>
      </c>
      <c r="P152" s="34" t="s">
        <v>3853</v>
      </c>
      <c r="Q152" s="34">
        <v>0.0</v>
      </c>
      <c r="R152" s="34">
        <v>100.0</v>
      </c>
      <c r="S152" s="34">
        <v>0.0</v>
      </c>
      <c r="T152" s="34">
        <v>0.0</v>
      </c>
      <c r="U152" s="33">
        <f>COUNTIFS('Data For Calculation - Insuranc'!A:A,A152,'Data For Calculation - Insuranc'!E:E,"CPA + RSA + AHDC + DOC")</f>
        <v>0</v>
      </c>
      <c r="V152" s="30" t="s">
        <v>3820</v>
      </c>
      <c r="W152" s="34">
        <v>838.99</v>
      </c>
      <c r="X152" s="34" t="s">
        <v>3853</v>
      </c>
      <c r="Y152" s="34">
        <v>0.0</v>
      </c>
      <c r="Z152" s="34">
        <v>100.0</v>
      </c>
      <c r="AA152" s="34">
        <v>0.0</v>
      </c>
      <c r="AB152" s="34">
        <v>0.0</v>
      </c>
      <c r="AC152" s="33">
        <f>COUNTIFS('Data For Calculation - Insuranc'!A:A,A152,'Data For Calculation - Insuranc'!E:E,"CPA + RSA : 5 Years")</f>
        <v>0</v>
      </c>
      <c r="AD152" s="30" t="s">
        <v>3820</v>
      </c>
      <c r="AE152" s="31">
        <v>838.99</v>
      </c>
      <c r="AF152" s="34" t="s">
        <v>3853</v>
      </c>
      <c r="AG152" s="34">
        <v>0.0</v>
      </c>
      <c r="AH152" s="34">
        <v>100.0</v>
      </c>
      <c r="AI152" s="34">
        <v>0.0</v>
      </c>
      <c r="AJ152" s="34">
        <v>0.0</v>
      </c>
      <c r="AK152" s="33">
        <f>COUNTIFS('Data For Calculation - Insuranc'!A:A,A152,'Data For Calculation - Insuranc'!E:E,"Assistance + CPA : 5 Years")</f>
        <v>0</v>
      </c>
      <c r="AL152" s="30" t="s">
        <v>3820</v>
      </c>
      <c r="AM152" s="31">
        <v>290.0</v>
      </c>
      <c r="AN152" s="34" t="s">
        <v>3853</v>
      </c>
      <c r="AO152" s="34">
        <v>0.0</v>
      </c>
      <c r="AP152" s="34">
        <v>100.0</v>
      </c>
      <c r="AQ152" s="34">
        <v>0.0</v>
      </c>
      <c r="AR152" s="34">
        <v>0.0</v>
      </c>
      <c r="AS152" s="33">
        <f>COUNTIFS('Data For Calculation - Insuranc'!A:A,A152,'Data For Calculation - Insuranc'!E:E,"RSA + AHDC + DOC")</f>
        <v>0</v>
      </c>
      <c r="AT152" s="33"/>
      <c r="AU152" s="33"/>
      <c r="AV152" s="33"/>
      <c r="AW152" s="33"/>
      <c r="AX152" s="33"/>
      <c r="AY152" s="33"/>
      <c r="AZ152" s="33"/>
      <c r="BA152" s="33"/>
      <c r="BB152" s="33"/>
      <c r="BC152" s="33"/>
      <c r="BD152" s="33"/>
      <c r="BE152" s="33"/>
      <c r="BF152" s="33"/>
      <c r="BG152" s="33"/>
      <c r="BH152" s="33"/>
      <c r="BI152" s="33"/>
      <c r="BJ152" s="33"/>
      <c r="BK152" s="33"/>
      <c r="BL152" s="33"/>
      <c r="BM152" s="33"/>
      <c r="BN152" s="33"/>
      <c r="BO152" s="33"/>
      <c r="BP152" s="33"/>
      <c r="BQ152" s="33"/>
      <c r="BR152" s="33">
        <f t="shared" si="1"/>
        <v>0</v>
      </c>
      <c r="BS152" s="33">
        <f>SUMIFS('Data For Calculation - Insuranc'!I:I,'Data For Calculation - Insuranc'!$A:$A,$A152)</f>
        <v>0</v>
      </c>
      <c r="BT152" s="33">
        <f>SUMIFS('Data For Calculation - Insuranc'!J:J,'Data For Calculation - Insuranc'!$A:$A,$A152)</f>
        <v>0</v>
      </c>
      <c r="BU152" s="33">
        <f>SUMIFS('Data For Calculation - Insuranc'!K:K,'Data For Calculation - Insuranc'!$A:$A,$A152)</f>
        <v>0</v>
      </c>
      <c r="BV152" s="33">
        <f>IF($CC152 = "Dealer", SUMIFS('Data For Calculation - Insuranc'!I:I,'Data For Calculation - Insuranc'!$B:$B,$A152,'Data For Calculation - Insuranc'!$H:$H,"Master Dealer")) + SUMIFS('Data For Calculation - Insuranc'!I:I,'Data For Calculation - Insuranc'!$A:$A,$A152,'Data For Calculation - Insuranc'!$H:$H,"Self")</f>
        <v>0</v>
      </c>
      <c r="BW152" s="33">
        <f>IF($CC152 = "Dealer", SUMIFS('Data For Calculation - Insuranc'!J:J,'Data For Calculation - Insuranc'!$B:$B,$A152,'Data For Calculation - Insuranc'!$H:$H,"Master Dealer")) + SUMIFS('Data For Calculation - Insuranc'!J:J,'Data For Calculation - Insuranc'!$A:$A,$A152,'Data For Calculation - Insuranc'!$H:$H,"Self")</f>
        <v>0</v>
      </c>
      <c r="BX152" s="33">
        <f>IF($CC152 = "Dealer", SUMIFS('Data For Calculation - Insuranc'!K:K,'Data For Calculation - Insuranc'!$B:$B,$A152,'Data For Calculation - Insuranc'!$H:$H,"Master Dealer")) + SUMIFS('Data For Calculation - Insuranc'!K:K,'Data For Calculation - Insuranc'!$A:$A,$A152,'Data For Calculation - Insuranc'!$H:$H,"Self")</f>
        <v>0</v>
      </c>
      <c r="BY152" s="25" t="str">
        <f>(Sheet1!N152)</f>
        <v>CHAUDHARY MOTORS- KHURJA</v>
      </c>
      <c r="BZ152" s="25" t="str">
        <f>(Sheet1!O152)</f>
        <v>1lgZm4ATdvS3q8SH9cQmTsfbYjc0IuVfsbWILI4aQOtw</v>
      </c>
      <c r="CA152" s="25" t="str">
        <f>(Sheet1!AV152)</f>
        <v/>
      </c>
      <c r="CB152" s="25" t="str">
        <f>(Sheet1!AW152)</f>
        <v/>
      </c>
      <c r="CC152" s="26" t="str">
        <f>(Sheet1!P152)</f>
        <v>Dealer</v>
      </c>
    </row>
    <row r="153">
      <c r="A153" s="25" t="str">
        <f>(Sheet1!A153)</f>
        <v>1pWj6JXfCN2O_M_9nR2upI3ud3_mfmIWPPdWUgAgAe9Y</v>
      </c>
      <c r="B153" s="25" t="str">
        <f>(Sheet1!B153)</f>
        <v>KUNDAN HERO- PUNE</v>
      </c>
      <c r="C153" s="30" t="str">
        <f>Sheet1!BB153</f>
        <v>No</v>
      </c>
      <c r="D153" s="30" t="s">
        <v>13</v>
      </c>
      <c r="E153" s="34" t="s">
        <v>13</v>
      </c>
      <c r="F153" s="30" t="s">
        <v>3856</v>
      </c>
      <c r="G153" s="31">
        <v>290.0</v>
      </c>
      <c r="H153" s="34" t="s">
        <v>3853</v>
      </c>
      <c r="I153" s="34">
        <v>0.0</v>
      </c>
      <c r="J153" s="34">
        <v>100.0</v>
      </c>
      <c r="K153" s="34">
        <v>0.0</v>
      </c>
      <c r="L153" s="34">
        <v>0.0</v>
      </c>
      <c r="M153" s="33">
        <f>COUNTIFS('Data For Calculation - Insuranc'!A:A,A153,'Data For Calculation - Insuranc'!E:E,"CPA + RSA")</f>
        <v>0</v>
      </c>
      <c r="N153" s="30" t="s">
        <v>3856</v>
      </c>
      <c r="O153" s="31">
        <v>460.0</v>
      </c>
      <c r="P153" s="34" t="s">
        <v>3853</v>
      </c>
      <c r="Q153" s="34">
        <v>0.0</v>
      </c>
      <c r="R153" s="34">
        <v>100.0</v>
      </c>
      <c r="S153" s="34">
        <v>0.0</v>
      </c>
      <c r="T153" s="34">
        <v>0.0</v>
      </c>
      <c r="U153" s="33">
        <f>COUNTIFS('Data For Calculation - Insuranc'!A:A,A153,'Data For Calculation - Insuranc'!E:E,"CPA + RSA + AHDC + DOC")</f>
        <v>0</v>
      </c>
      <c r="V153" s="30" t="s">
        <v>3856</v>
      </c>
      <c r="W153" s="34">
        <v>838.99</v>
      </c>
      <c r="X153" s="34" t="s">
        <v>3853</v>
      </c>
      <c r="Y153" s="34">
        <v>0.0</v>
      </c>
      <c r="Z153" s="34">
        <v>100.0</v>
      </c>
      <c r="AA153" s="34">
        <v>0.0</v>
      </c>
      <c r="AB153" s="34">
        <v>0.0</v>
      </c>
      <c r="AC153" s="33">
        <f>COUNTIFS('Data For Calculation - Insuranc'!A:A,A153,'Data For Calculation - Insuranc'!E:E,"CPA + RSA : 5 Years")</f>
        <v>0</v>
      </c>
      <c r="AD153" s="30" t="s">
        <v>3856</v>
      </c>
      <c r="AE153" s="31">
        <v>838.99</v>
      </c>
      <c r="AF153" s="34" t="s">
        <v>3853</v>
      </c>
      <c r="AG153" s="34">
        <v>0.0</v>
      </c>
      <c r="AH153" s="34">
        <v>100.0</v>
      </c>
      <c r="AI153" s="34">
        <v>0.0</v>
      </c>
      <c r="AJ153" s="34">
        <v>0.0</v>
      </c>
      <c r="AK153" s="33">
        <f>COUNTIFS('Data For Calculation - Insuranc'!A:A,A153,'Data For Calculation - Insuranc'!E:E,"Assistance + CPA : 5 Years")</f>
        <v>0</v>
      </c>
      <c r="AL153" s="30" t="s">
        <v>3856</v>
      </c>
      <c r="AM153" s="31">
        <v>290.0</v>
      </c>
      <c r="AN153" s="34" t="s">
        <v>3853</v>
      </c>
      <c r="AO153" s="34">
        <v>0.0</v>
      </c>
      <c r="AP153" s="34">
        <v>100.0</v>
      </c>
      <c r="AQ153" s="34">
        <v>0.0</v>
      </c>
      <c r="AR153" s="34">
        <v>0.0</v>
      </c>
      <c r="AS153" s="33">
        <f>COUNTIFS('Data For Calculation - Insuranc'!A:A,A153,'Data For Calculation - Insuranc'!E:E,"RSA + AHDC + DOC")</f>
        <v>0</v>
      </c>
      <c r="AT153" s="33"/>
      <c r="AU153" s="33"/>
      <c r="AV153" s="33"/>
      <c r="AW153" s="33"/>
      <c r="AX153" s="33"/>
      <c r="AY153" s="33"/>
      <c r="AZ153" s="33"/>
      <c r="BA153" s="33"/>
      <c r="BB153" s="33"/>
      <c r="BC153" s="33"/>
      <c r="BD153" s="33"/>
      <c r="BE153" s="33"/>
      <c r="BF153" s="33"/>
      <c r="BG153" s="33"/>
      <c r="BH153" s="33"/>
      <c r="BI153" s="33"/>
      <c r="BJ153" s="33"/>
      <c r="BK153" s="33"/>
      <c r="BL153" s="33"/>
      <c r="BM153" s="33"/>
      <c r="BN153" s="33"/>
      <c r="BO153" s="33"/>
      <c r="BP153" s="33"/>
      <c r="BQ153" s="33"/>
      <c r="BR153" s="33">
        <f t="shared" si="1"/>
        <v>0</v>
      </c>
      <c r="BS153" s="33">
        <f>SUMIFS('Data For Calculation - Insuranc'!I:I,'Data For Calculation - Insuranc'!$A:$A,$A153)</f>
        <v>0</v>
      </c>
      <c r="BT153" s="33">
        <f>SUMIFS('Data For Calculation - Insuranc'!J:J,'Data For Calculation - Insuranc'!$A:$A,$A153)</f>
        <v>0</v>
      </c>
      <c r="BU153" s="33">
        <f>SUMIFS('Data For Calculation - Insuranc'!K:K,'Data For Calculation - Insuranc'!$A:$A,$A153)</f>
        <v>0</v>
      </c>
      <c r="BV153" s="33">
        <f>IF($CC153 = "Dealer", SUMIFS('Data For Calculation - Insuranc'!I:I,'Data For Calculation - Insuranc'!$B:$B,$A153,'Data For Calculation - Insuranc'!$H:$H,"Master Dealer")) + SUMIFS('Data For Calculation - Insuranc'!I:I,'Data For Calculation - Insuranc'!$A:$A,$A153,'Data For Calculation - Insuranc'!$H:$H,"Self")</f>
        <v>0</v>
      </c>
      <c r="BW153" s="33">
        <f>IF($CC153 = "Dealer", SUMIFS('Data For Calculation - Insuranc'!J:J,'Data For Calculation - Insuranc'!$B:$B,$A153,'Data For Calculation - Insuranc'!$H:$H,"Master Dealer")) + SUMIFS('Data For Calculation - Insuranc'!J:J,'Data For Calculation - Insuranc'!$A:$A,$A153,'Data For Calculation - Insuranc'!$H:$H,"Self")</f>
        <v>0</v>
      </c>
      <c r="BX153" s="33">
        <f>IF($CC153 = "Dealer", SUMIFS('Data For Calculation - Insuranc'!K:K,'Data For Calculation - Insuranc'!$B:$B,$A153,'Data For Calculation - Insuranc'!$H:$H,"Master Dealer")) + SUMIFS('Data For Calculation - Insuranc'!K:K,'Data For Calculation - Insuranc'!$A:$A,$A153,'Data For Calculation - Insuranc'!$H:$H,"Self")</f>
        <v>0</v>
      </c>
      <c r="BY153" s="25" t="str">
        <f>(Sheet1!N153)</f>
        <v>KUNDAN HERO- PUNE</v>
      </c>
      <c r="BZ153" s="25" t="str">
        <f>(Sheet1!O153)</f>
        <v>1pWj6JXfCN2O_M_9nR2upI3ud3_mfmIWPPdWUgAgAe9Y</v>
      </c>
      <c r="CA153" s="25" t="str">
        <f>(Sheet1!AV153)</f>
        <v/>
      </c>
      <c r="CB153" s="25" t="str">
        <f>(Sheet1!AW153)</f>
        <v/>
      </c>
      <c r="CC153" s="26" t="str">
        <f>(Sheet1!P153)</f>
        <v>Dealer</v>
      </c>
    </row>
    <row r="154">
      <c r="A154" s="25" t="str">
        <f>(Sheet1!A154)</f>
        <v>12HJShHGOf09kSf0pLTPVE9xJIZSZJH5W8y2DhvGtYRU</v>
      </c>
      <c r="B154" s="25" t="str">
        <f>(Sheet1!B154)</f>
        <v>Badar Motors - Sambhal</v>
      </c>
      <c r="C154" s="30" t="str">
        <f>Sheet1!BB154</f>
        <v>No</v>
      </c>
      <c r="D154" s="30" t="s">
        <v>13</v>
      </c>
      <c r="E154" s="34" t="s">
        <v>13</v>
      </c>
      <c r="F154" s="30" t="s">
        <v>3817</v>
      </c>
      <c r="G154" s="31">
        <v>290.0</v>
      </c>
      <c r="H154" s="34" t="s">
        <v>3853</v>
      </c>
      <c r="I154" s="34">
        <v>0.0</v>
      </c>
      <c r="J154" s="34">
        <v>100.0</v>
      </c>
      <c r="K154" s="34">
        <v>0.0</v>
      </c>
      <c r="L154" s="34">
        <v>0.0</v>
      </c>
      <c r="M154" s="33">
        <f>COUNTIFS('Data For Calculation - Insuranc'!A:A,A154,'Data For Calculation - Insuranc'!E:E,"CPA + RSA")</f>
        <v>0</v>
      </c>
      <c r="N154" s="30" t="s">
        <v>3817</v>
      </c>
      <c r="O154" s="31">
        <v>460.0</v>
      </c>
      <c r="P154" s="34" t="s">
        <v>3853</v>
      </c>
      <c r="Q154" s="34">
        <v>0.0</v>
      </c>
      <c r="R154" s="34">
        <v>100.0</v>
      </c>
      <c r="S154" s="34">
        <v>0.0</v>
      </c>
      <c r="T154" s="34">
        <v>0.0</v>
      </c>
      <c r="U154" s="33">
        <f>COUNTIFS('Data For Calculation - Insuranc'!A:A,A154,'Data For Calculation - Insuranc'!E:E,"CPA + RSA + AHDC + DOC")</f>
        <v>0</v>
      </c>
      <c r="V154" s="30" t="s">
        <v>3817</v>
      </c>
      <c r="W154" s="34">
        <v>838.99</v>
      </c>
      <c r="X154" s="34" t="s">
        <v>3853</v>
      </c>
      <c r="Y154" s="34">
        <v>0.0</v>
      </c>
      <c r="Z154" s="34">
        <v>100.0</v>
      </c>
      <c r="AA154" s="34">
        <v>0.0</v>
      </c>
      <c r="AB154" s="34">
        <v>0.0</v>
      </c>
      <c r="AC154" s="33">
        <f>COUNTIFS('Data For Calculation - Insuranc'!A:A,A154,'Data For Calculation - Insuranc'!E:E,"CPA + RSA : 5 Years")</f>
        <v>0</v>
      </c>
      <c r="AD154" s="30" t="s">
        <v>3817</v>
      </c>
      <c r="AE154" s="31">
        <v>838.99</v>
      </c>
      <c r="AF154" s="34" t="s">
        <v>3853</v>
      </c>
      <c r="AG154" s="34">
        <v>0.0</v>
      </c>
      <c r="AH154" s="34">
        <v>100.0</v>
      </c>
      <c r="AI154" s="34">
        <v>0.0</v>
      </c>
      <c r="AJ154" s="34">
        <v>0.0</v>
      </c>
      <c r="AK154" s="33">
        <f>COUNTIFS('Data For Calculation - Insuranc'!A:A,A154,'Data For Calculation - Insuranc'!E:E,"Assistance + CPA : 5 Years")</f>
        <v>0</v>
      </c>
      <c r="AL154" s="30" t="s">
        <v>3817</v>
      </c>
      <c r="AM154" s="31">
        <v>290.0</v>
      </c>
      <c r="AN154" s="34" t="s">
        <v>3853</v>
      </c>
      <c r="AO154" s="34">
        <v>0.0</v>
      </c>
      <c r="AP154" s="34">
        <v>100.0</v>
      </c>
      <c r="AQ154" s="34">
        <v>0.0</v>
      </c>
      <c r="AR154" s="34">
        <v>0.0</v>
      </c>
      <c r="AS154" s="33">
        <f>COUNTIFS('Data For Calculation - Insuranc'!A:A,A154,'Data For Calculation - Insuranc'!E:E,"RSA + AHDC + DOC")</f>
        <v>0</v>
      </c>
      <c r="AT154" s="33"/>
      <c r="AU154" s="33"/>
      <c r="AV154" s="33"/>
      <c r="AW154" s="33"/>
      <c r="AX154" s="33"/>
      <c r="AY154" s="33"/>
      <c r="AZ154" s="33"/>
      <c r="BA154" s="33"/>
      <c r="BB154" s="33"/>
      <c r="BC154" s="33"/>
      <c r="BD154" s="33"/>
      <c r="BE154" s="33"/>
      <c r="BF154" s="33"/>
      <c r="BG154" s="33"/>
      <c r="BH154" s="33"/>
      <c r="BI154" s="33"/>
      <c r="BJ154" s="33"/>
      <c r="BK154" s="33"/>
      <c r="BL154" s="33"/>
      <c r="BM154" s="33"/>
      <c r="BN154" s="33"/>
      <c r="BO154" s="33"/>
      <c r="BP154" s="33"/>
      <c r="BQ154" s="33"/>
      <c r="BR154" s="33">
        <f t="shared" si="1"/>
        <v>0</v>
      </c>
      <c r="BS154" s="33">
        <f>SUMIFS('Data For Calculation - Insuranc'!I:I,'Data For Calculation - Insuranc'!$A:$A,$A154)</f>
        <v>0</v>
      </c>
      <c r="BT154" s="33">
        <f>SUMIFS('Data For Calculation - Insuranc'!J:J,'Data For Calculation - Insuranc'!$A:$A,$A154)</f>
        <v>0</v>
      </c>
      <c r="BU154" s="33">
        <f>SUMIFS('Data For Calculation - Insuranc'!K:K,'Data For Calculation - Insuranc'!$A:$A,$A154)</f>
        <v>0</v>
      </c>
      <c r="BV154" s="33">
        <f>IF($CC154 = "Dealer", SUMIFS('Data For Calculation - Insuranc'!I:I,'Data For Calculation - Insuranc'!$B:$B,$A154,'Data For Calculation - Insuranc'!$H:$H,"Master Dealer")) + SUMIFS('Data For Calculation - Insuranc'!I:I,'Data For Calculation - Insuranc'!$A:$A,$A154,'Data For Calculation - Insuranc'!$H:$H,"Self")</f>
        <v>0</v>
      </c>
      <c r="BW154" s="33">
        <f>IF($CC154 = "Dealer", SUMIFS('Data For Calculation - Insuranc'!J:J,'Data For Calculation - Insuranc'!$B:$B,$A154,'Data For Calculation - Insuranc'!$H:$H,"Master Dealer")) + SUMIFS('Data For Calculation - Insuranc'!J:J,'Data For Calculation - Insuranc'!$A:$A,$A154,'Data For Calculation - Insuranc'!$H:$H,"Self")</f>
        <v>0</v>
      </c>
      <c r="BX154" s="33">
        <f>IF($CC154 = "Dealer", SUMIFS('Data For Calculation - Insuranc'!K:K,'Data For Calculation - Insuranc'!$B:$B,$A154,'Data For Calculation - Insuranc'!$H:$H,"Master Dealer")) + SUMIFS('Data For Calculation - Insuranc'!K:K,'Data For Calculation - Insuranc'!$A:$A,$A154,'Data For Calculation - Insuranc'!$H:$H,"Self")</f>
        <v>0</v>
      </c>
      <c r="BY154" s="25" t="str">
        <f>(Sheet1!N154)</f>
        <v>Badar Motors - Sambhal</v>
      </c>
      <c r="BZ154" s="25" t="str">
        <f>(Sheet1!O154)</f>
        <v>12HJShHGOf09kSf0pLTPVE9xJIZSZJH5W8y2DhvGtYRU</v>
      </c>
      <c r="CA154" s="25" t="str">
        <f>(Sheet1!AV154)</f>
        <v/>
      </c>
      <c r="CB154" s="25" t="str">
        <f>(Sheet1!AW154)</f>
        <v/>
      </c>
      <c r="CC154" s="26" t="str">
        <f>(Sheet1!P154)</f>
        <v>Dealer</v>
      </c>
    </row>
    <row r="155">
      <c r="A155" s="25" t="str">
        <f>(Sheet1!A155)</f>
        <v>1TMTMDBTSLXzi0POas5HDprui-sp3TCVvRYWE8buap-0</v>
      </c>
      <c r="B155" s="25" t="str">
        <f>(Sheet1!B155)</f>
        <v>Chandra Automobiles - Faizabad</v>
      </c>
      <c r="C155" s="30" t="str">
        <f>Sheet1!BB155</f>
        <v>No</v>
      </c>
      <c r="D155" s="30" t="s">
        <v>13</v>
      </c>
      <c r="E155" s="34" t="s">
        <v>13</v>
      </c>
      <c r="F155" s="30" t="s">
        <v>3820</v>
      </c>
      <c r="G155" s="31">
        <v>290.0</v>
      </c>
      <c r="H155" s="34" t="s">
        <v>3853</v>
      </c>
      <c r="I155" s="34">
        <v>0.0</v>
      </c>
      <c r="J155" s="34">
        <v>100.0</v>
      </c>
      <c r="K155" s="34">
        <v>0.0</v>
      </c>
      <c r="L155" s="34">
        <v>0.0</v>
      </c>
      <c r="M155" s="33">
        <f>COUNTIFS('Data For Calculation - Insuranc'!A:A,A155,'Data For Calculation - Insuranc'!E:E,"CPA + RSA")</f>
        <v>0</v>
      </c>
      <c r="N155" s="30" t="s">
        <v>3820</v>
      </c>
      <c r="O155" s="31">
        <v>375.0</v>
      </c>
      <c r="P155" s="34" t="s">
        <v>3853</v>
      </c>
      <c r="Q155" s="34">
        <v>0.0</v>
      </c>
      <c r="R155" s="34">
        <v>100.0</v>
      </c>
      <c r="S155" s="34">
        <v>0.0</v>
      </c>
      <c r="T155" s="34">
        <v>0.0</v>
      </c>
      <c r="U155" s="33">
        <f>COUNTIFS('Data For Calculation - Insuranc'!A:A,A155,'Data For Calculation - Insuranc'!E:E,"CPA + RSA + AHDC + DOC")</f>
        <v>0</v>
      </c>
      <c r="V155" s="30" t="s">
        <v>3820</v>
      </c>
      <c r="W155" s="34">
        <v>838.99</v>
      </c>
      <c r="X155" s="34" t="s">
        <v>3853</v>
      </c>
      <c r="Y155" s="34">
        <v>0.0</v>
      </c>
      <c r="Z155" s="34">
        <v>100.0</v>
      </c>
      <c r="AA155" s="34">
        <v>0.0</v>
      </c>
      <c r="AB155" s="34">
        <v>0.0</v>
      </c>
      <c r="AC155" s="33">
        <f>COUNTIFS('Data For Calculation - Insuranc'!A:A,A155,'Data For Calculation - Insuranc'!E:E,"CPA + RSA : 5 Years")</f>
        <v>0</v>
      </c>
      <c r="AD155" s="30" t="s">
        <v>3820</v>
      </c>
      <c r="AE155" s="31">
        <v>838.99</v>
      </c>
      <c r="AF155" s="34" t="s">
        <v>3853</v>
      </c>
      <c r="AG155" s="34">
        <v>0.0</v>
      </c>
      <c r="AH155" s="34">
        <v>100.0</v>
      </c>
      <c r="AI155" s="34">
        <v>0.0</v>
      </c>
      <c r="AJ155" s="34">
        <v>0.0</v>
      </c>
      <c r="AK155" s="33">
        <f>COUNTIFS('Data For Calculation - Insuranc'!A:A,A155,'Data For Calculation - Insuranc'!E:E,"Assistance + CPA : 5 Years")</f>
        <v>0</v>
      </c>
      <c r="AL155" s="30" t="s">
        <v>3820</v>
      </c>
      <c r="AM155" s="31">
        <v>290.0</v>
      </c>
      <c r="AN155" s="34" t="s">
        <v>3853</v>
      </c>
      <c r="AO155" s="34">
        <v>0.0</v>
      </c>
      <c r="AP155" s="34">
        <v>100.0</v>
      </c>
      <c r="AQ155" s="34">
        <v>0.0</v>
      </c>
      <c r="AR155" s="34">
        <v>0.0</v>
      </c>
      <c r="AS155" s="33">
        <f>COUNTIFS('Data For Calculation - Insuranc'!A:A,A155,'Data For Calculation - Insuranc'!E:E,"RSA + AHDC + DOC")</f>
        <v>0</v>
      </c>
      <c r="AT155" s="33"/>
      <c r="AU155" s="33"/>
      <c r="AV155" s="33"/>
      <c r="AW155" s="33"/>
      <c r="AX155" s="33"/>
      <c r="AY155" s="33"/>
      <c r="AZ155" s="33"/>
      <c r="BA155" s="33"/>
      <c r="BB155" s="33"/>
      <c r="BC155" s="33"/>
      <c r="BD155" s="33"/>
      <c r="BE155" s="33"/>
      <c r="BF155" s="33"/>
      <c r="BG155" s="33"/>
      <c r="BH155" s="33"/>
      <c r="BI155" s="33"/>
      <c r="BJ155" s="33"/>
      <c r="BK155" s="33"/>
      <c r="BL155" s="33"/>
      <c r="BM155" s="33"/>
      <c r="BN155" s="33"/>
      <c r="BO155" s="33"/>
      <c r="BP155" s="33"/>
      <c r="BQ155" s="33"/>
      <c r="BR155" s="33">
        <f t="shared" si="1"/>
        <v>0</v>
      </c>
      <c r="BS155" s="33">
        <f>SUMIFS('Data For Calculation - Insuranc'!I:I,'Data For Calculation - Insuranc'!$A:$A,$A155)</f>
        <v>0</v>
      </c>
      <c r="BT155" s="33">
        <f>SUMIFS('Data For Calculation - Insuranc'!J:J,'Data For Calculation - Insuranc'!$A:$A,$A155)</f>
        <v>0</v>
      </c>
      <c r="BU155" s="33">
        <f>SUMIFS('Data For Calculation - Insuranc'!K:K,'Data For Calculation - Insuranc'!$A:$A,$A155)</f>
        <v>0</v>
      </c>
      <c r="BV155" s="33">
        <f>IF($CC155 = "Dealer", SUMIFS('Data For Calculation - Insuranc'!I:I,'Data For Calculation - Insuranc'!$B:$B,$A155,'Data For Calculation - Insuranc'!$H:$H,"Master Dealer")) + SUMIFS('Data For Calculation - Insuranc'!I:I,'Data For Calculation - Insuranc'!$A:$A,$A155,'Data For Calculation - Insuranc'!$H:$H,"Self")</f>
        <v>0</v>
      </c>
      <c r="BW155" s="33">
        <f>IF($CC155 = "Dealer", SUMIFS('Data For Calculation - Insuranc'!J:J,'Data For Calculation - Insuranc'!$B:$B,$A155,'Data For Calculation - Insuranc'!$H:$H,"Master Dealer")) + SUMIFS('Data For Calculation - Insuranc'!J:J,'Data For Calculation - Insuranc'!$A:$A,$A155,'Data For Calculation - Insuranc'!$H:$H,"Self")</f>
        <v>0</v>
      </c>
      <c r="BX155" s="33">
        <f>IF($CC155 = "Dealer", SUMIFS('Data For Calculation - Insuranc'!K:K,'Data For Calculation - Insuranc'!$B:$B,$A155,'Data For Calculation - Insuranc'!$H:$H,"Master Dealer")) + SUMIFS('Data For Calculation - Insuranc'!K:K,'Data For Calculation - Insuranc'!$A:$A,$A155,'Data For Calculation - Insuranc'!$H:$H,"Self")</f>
        <v>0</v>
      </c>
      <c r="BY155" s="25" t="str">
        <f>(Sheet1!N155)</f>
        <v>Chandra Automobiles - Faizabad</v>
      </c>
      <c r="BZ155" s="25" t="str">
        <f>(Sheet1!O155)</f>
        <v>1TMTMDBTSLXzi0POas5HDprui-sp3TCVvRYWE8buap-0</v>
      </c>
      <c r="CA155" s="25" t="str">
        <f>(Sheet1!AV155)</f>
        <v/>
      </c>
      <c r="CB155" s="25" t="str">
        <f>(Sheet1!AW155)</f>
        <v/>
      </c>
      <c r="CC155" s="26" t="str">
        <f>(Sheet1!P155)</f>
        <v>Dealer</v>
      </c>
    </row>
    <row r="156">
      <c r="A156" s="25" t="str">
        <f>(Sheet1!A156)</f>
        <v>1yeu1sNSbb2j8YGtFyG1D4WLawBmqXJv51bLIGiQ9gJs</v>
      </c>
      <c r="B156" s="25" t="str">
        <f>(Sheet1!B156)</f>
        <v>GANPATI AUTOMOBILE-DEORIA</v>
      </c>
      <c r="C156" s="30" t="str">
        <f>Sheet1!BB156</f>
        <v>No</v>
      </c>
      <c r="D156" s="30" t="s">
        <v>13</v>
      </c>
      <c r="E156" s="34" t="s">
        <v>13</v>
      </c>
      <c r="F156" s="30" t="s">
        <v>3820</v>
      </c>
      <c r="G156" s="31">
        <v>290.0</v>
      </c>
      <c r="H156" s="34" t="s">
        <v>3853</v>
      </c>
      <c r="I156" s="34">
        <v>0.0</v>
      </c>
      <c r="J156" s="34">
        <v>100.0</v>
      </c>
      <c r="K156" s="34">
        <v>0.0</v>
      </c>
      <c r="L156" s="34">
        <v>0.0</v>
      </c>
      <c r="M156" s="33">
        <f>COUNTIFS('Data For Calculation - Insuranc'!A:A,A156,'Data For Calculation - Insuranc'!E:E,"CPA + RSA")</f>
        <v>0</v>
      </c>
      <c r="N156" s="30" t="s">
        <v>3820</v>
      </c>
      <c r="O156" s="31">
        <v>375.0</v>
      </c>
      <c r="P156" s="34" t="s">
        <v>3853</v>
      </c>
      <c r="Q156" s="34">
        <v>0.0</v>
      </c>
      <c r="R156" s="34">
        <v>100.0</v>
      </c>
      <c r="S156" s="34">
        <v>0.0</v>
      </c>
      <c r="T156" s="34">
        <v>0.0</v>
      </c>
      <c r="U156" s="33">
        <f>COUNTIFS('Data For Calculation - Insuranc'!A:A,A156,'Data For Calculation - Insuranc'!E:E,"CPA + RSA + AHDC + DOC")</f>
        <v>0</v>
      </c>
      <c r="V156" s="30" t="s">
        <v>3820</v>
      </c>
      <c r="W156" s="34">
        <v>838.99</v>
      </c>
      <c r="X156" s="34" t="s">
        <v>3853</v>
      </c>
      <c r="Y156" s="34">
        <v>0.0</v>
      </c>
      <c r="Z156" s="34">
        <v>100.0</v>
      </c>
      <c r="AA156" s="34">
        <v>0.0</v>
      </c>
      <c r="AB156" s="34">
        <v>0.0</v>
      </c>
      <c r="AC156" s="33">
        <f>COUNTIFS('Data For Calculation - Insuranc'!A:A,A156,'Data For Calculation - Insuranc'!E:E,"CPA + RSA : 5 Years")</f>
        <v>0</v>
      </c>
      <c r="AD156" s="30" t="s">
        <v>3820</v>
      </c>
      <c r="AE156" s="31">
        <v>838.99</v>
      </c>
      <c r="AF156" s="34" t="s">
        <v>3853</v>
      </c>
      <c r="AG156" s="34">
        <v>0.0</v>
      </c>
      <c r="AH156" s="34">
        <v>100.0</v>
      </c>
      <c r="AI156" s="34">
        <v>0.0</v>
      </c>
      <c r="AJ156" s="34">
        <v>0.0</v>
      </c>
      <c r="AK156" s="33">
        <f>COUNTIFS('Data For Calculation - Insuranc'!A:A,A156,'Data For Calculation - Insuranc'!E:E,"Assistance + CPA : 5 Years")</f>
        <v>0</v>
      </c>
      <c r="AL156" s="30" t="s">
        <v>3820</v>
      </c>
      <c r="AM156" s="31">
        <v>290.0</v>
      </c>
      <c r="AN156" s="34" t="s">
        <v>3853</v>
      </c>
      <c r="AO156" s="34">
        <v>0.0</v>
      </c>
      <c r="AP156" s="34">
        <v>100.0</v>
      </c>
      <c r="AQ156" s="34">
        <v>0.0</v>
      </c>
      <c r="AR156" s="34">
        <v>0.0</v>
      </c>
      <c r="AS156" s="33">
        <f>COUNTIFS('Data For Calculation - Insuranc'!A:A,A156,'Data For Calculation - Insuranc'!E:E,"RSA + AHDC + DOC")</f>
        <v>0</v>
      </c>
      <c r="AT156" s="33"/>
      <c r="AU156" s="33"/>
      <c r="AV156" s="33"/>
      <c r="AW156" s="33"/>
      <c r="AX156" s="33"/>
      <c r="AY156" s="33"/>
      <c r="AZ156" s="33"/>
      <c r="BA156" s="33"/>
      <c r="BB156" s="33"/>
      <c r="BC156" s="33"/>
      <c r="BD156" s="33"/>
      <c r="BE156" s="33"/>
      <c r="BF156" s="33"/>
      <c r="BG156" s="33"/>
      <c r="BH156" s="33"/>
      <c r="BI156" s="33"/>
      <c r="BJ156" s="33"/>
      <c r="BK156" s="33"/>
      <c r="BL156" s="33"/>
      <c r="BM156" s="33"/>
      <c r="BN156" s="33"/>
      <c r="BO156" s="33"/>
      <c r="BP156" s="33"/>
      <c r="BQ156" s="33"/>
      <c r="BR156" s="33">
        <f t="shared" si="1"/>
        <v>0</v>
      </c>
      <c r="BS156" s="33">
        <f>SUMIFS('Data For Calculation - Insuranc'!I:I,'Data For Calculation - Insuranc'!$A:$A,$A156)</f>
        <v>0</v>
      </c>
      <c r="BT156" s="33">
        <f>SUMIFS('Data For Calculation - Insuranc'!J:J,'Data For Calculation - Insuranc'!$A:$A,$A156)</f>
        <v>0</v>
      </c>
      <c r="BU156" s="33">
        <f>SUMIFS('Data For Calculation - Insuranc'!K:K,'Data For Calculation - Insuranc'!$A:$A,$A156)</f>
        <v>0</v>
      </c>
      <c r="BV156" s="33">
        <f>IF($CC156 = "Dealer", SUMIFS('Data For Calculation - Insuranc'!I:I,'Data For Calculation - Insuranc'!$B:$B,$A156,'Data For Calculation - Insuranc'!$H:$H,"Master Dealer")) + SUMIFS('Data For Calculation - Insuranc'!I:I,'Data For Calculation - Insuranc'!$A:$A,$A156,'Data For Calculation - Insuranc'!$H:$H,"Self")</f>
        <v>0</v>
      </c>
      <c r="BW156" s="33">
        <f>IF($CC156 = "Dealer", SUMIFS('Data For Calculation - Insuranc'!J:J,'Data For Calculation - Insuranc'!$B:$B,$A156,'Data For Calculation - Insuranc'!$H:$H,"Master Dealer")) + SUMIFS('Data For Calculation - Insuranc'!J:J,'Data For Calculation - Insuranc'!$A:$A,$A156,'Data For Calculation - Insuranc'!$H:$H,"Self")</f>
        <v>0</v>
      </c>
      <c r="BX156" s="33">
        <f>IF($CC156 = "Dealer", SUMIFS('Data For Calculation - Insuranc'!K:K,'Data For Calculation - Insuranc'!$B:$B,$A156,'Data For Calculation - Insuranc'!$H:$H,"Master Dealer")) + SUMIFS('Data For Calculation - Insuranc'!K:K,'Data For Calculation - Insuranc'!$A:$A,$A156,'Data For Calculation - Insuranc'!$H:$H,"Self")</f>
        <v>0</v>
      </c>
      <c r="BY156" s="25" t="str">
        <f>(Sheet1!N156)</f>
        <v>GANPATI AUTOMOBILE-DEORIA</v>
      </c>
      <c r="BZ156" s="25" t="str">
        <f>(Sheet1!O156)</f>
        <v>1yeu1sNSbb2j8YGtFyG1D4WLawBmqXJv51bLIGiQ9gJs</v>
      </c>
      <c r="CA156" s="25" t="str">
        <f>(Sheet1!AV156)</f>
        <v/>
      </c>
      <c r="CB156" s="25" t="str">
        <f>(Sheet1!AW156)</f>
        <v/>
      </c>
      <c r="CC156" s="26" t="str">
        <f>(Sheet1!P156)</f>
        <v>Dealer</v>
      </c>
    </row>
    <row r="157">
      <c r="A157" s="25" t="str">
        <f>(Sheet1!A157)</f>
        <v>1ujz4e03ajQcNujiybbh9kWwlqBz9h70rMo6I6wAh-WI</v>
      </c>
      <c r="B157" s="25" t="str">
        <f>(Sheet1!B157)</f>
        <v>Golden Enterprises - Shikohabad</v>
      </c>
      <c r="C157" s="30" t="str">
        <f>Sheet1!BB157</f>
        <v>No</v>
      </c>
      <c r="D157" s="30" t="s">
        <v>13</v>
      </c>
      <c r="E157" s="34" t="s">
        <v>13</v>
      </c>
      <c r="F157" s="30" t="s">
        <v>3820</v>
      </c>
      <c r="G157" s="31">
        <v>290.0</v>
      </c>
      <c r="H157" s="34" t="s">
        <v>3853</v>
      </c>
      <c r="I157" s="34">
        <v>0.0</v>
      </c>
      <c r="J157" s="34">
        <v>100.0</v>
      </c>
      <c r="K157" s="34">
        <v>0.0</v>
      </c>
      <c r="L157" s="34">
        <v>0.0</v>
      </c>
      <c r="M157" s="33">
        <f>COUNTIFS('Data For Calculation - Insuranc'!A:A,A157,'Data For Calculation - Insuranc'!E:E,"CPA + RSA")</f>
        <v>0</v>
      </c>
      <c r="N157" s="30" t="s">
        <v>3820</v>
      </c>
      <c r="O157" s="31">
        <v>460.0</v>
      </c>
      <c r="P157" s="34" t="s">
        <v>3853</v>
      </c>
      <c r="Q157" s="34">
        <v>0.0</v>
      </c>
      <c r="R157" s="34">
        <v>100.0</v>
      </c>
      <c r="S157" s="34">
        <v>0.0</v>
      </c>
      <c r="T157" s="34">
        <v>0.0</v>
      </c>
      <c r="U157" s="33">
        <f>COUNTIFS('Data For Calculation - Insuranc'!A:A,A157,'Data For Calculation - Insuranc'!E:E,"CPA + RSA + AHDC + DOC")</f>
        <v>0</v>
      </c>
      <c r="V157" s="30" t="s">
        <v>3820</v>
      </c>
      <c r="W157" s="34">
        <v>838.99</v>
      </c>
      <c r="X157" s="34" t="s">
        <v>3853</v>
      </c>
      <c r="Y157" s="34">
        <v>0.0</v>
      </c>
      <c r="Z157" s="34">
        <v>100.0</v>
      </c>
      <c r="AA157" s="34">
        <v>0.0</v>
      </c>
      <c r="AB157" s="34">
        <v>0.0</v>
      </c>
      <c r="AC157" s="33">
        <f>COUNTIFS('Data For Calculation - Insuranc'!A:A,A157,'Data For Calculation - Insuranc'!E:E,"CPA + RSA : 5 Years")</f>
        <v>0</v>
      </c>
      <c r="AD157" s="30" t="s">
        <v>3820</v>
      </c>
      <c r="AE157" s="31">
        <v>838.99</v>
      </c>
      <c r="AF157" s="34" t="s">
        <v>3853</v>
      </c>
      <c r="AG157" s="34">
        <v>0.0</v>
      </c>
      <c r="AH157" s="34">
        <v>100.0</v>
      </c>
      <c r="AI157" s="34">
        <v>0.0</v>
      </c>
      <c r="AJ157" s="34">
        <v>0.0</v>
      </c>
      <c r="AK157" s="33">
        <f>COUNTIFS('Data For Calculation - Insuranc'!A:A,A157,'Data For Calculation - Insuranc'!E:E,"Assistance + CPA : 5 Years")</f>
        <v>0</v>
      </c>
      <c r="AL157" s="30" t="s">
        <v>3820</v>
      </c>
      <c r="AM157" s="31">
        <v>290.0</v>
      </c>
      <c r="AN157" s="34" t="s">
        <v>3853</v>
      </c>
      <c r="AO157" s="34">
        <v>0.0</v>
      </c>
      <c r="AP157" s="34">
        <v>100.0</v>
      </c>
      <c r="AQ157" s="34">
        <v>0.0</v>
      </c>
      <c r="AR157" s="34">
        <v>0.0</v>
      </c>
      <c r="AS157" s="33">
        <f>COUNTIFS('Data For Calculation - Insuranc'!A:A,A157,'Data For Calculation - Insuranc'!E:E,"RSA + AHDC + DOC")</f>
        <v>0</v>
      </c>
      <c r="AT157" s="33"/>
      <c r="AU157" s="33"/>
      <c r="AV157" s="33"/>
      <c r="AW157" s="33"/>
      <c r="AX157" s="33"/>
      <c r="AY157" s="33"/>
      <c r="AZ157" s="33"/>
      <c r="BA157" s="33"/>
      <c r="BB157" s="33"/>
      <c r="BC157" s="33"/>
      <c r="BD157" s="33"/>
      <c r="BE157" s="33"/>
      <c r="BF157" s="33"/>
      <c r="BG157" s="33"/>
      <c r="BH157" s="33"/>
      <c r="BI157" s="33"/>
      <c r="BJ157" s="33"/>
      <c r="BK157" s="33"/>
      <c r="BL157" s="33"/>
      <c r="BM157" s="33"/>
      <c r="BN157" s="33"/>
      <c r="BO157" s="33"/>
      <c r="BP157" s="33"/>
      <c r="BQ157" s="33"/>
      <c r="BR157" s="33">
        <f t="shared" si="1"/>
        <v>0</v>
      </c>
      <c r="BS157" s="33">
        <f>SUMIFS('Data For Calculation - Insuranc'!I:I,'Data For Calculation - Insuranc'!$A:$A,$A157)</f>
        <v>0</v>
      </c>
      <c r="BT157" s="33">
        <f>SUMIFS('Data For Calculation - Insuranc'!J:J,'Data For Calculation - Insuranc'!$A:$A,$A157)</f>
        <v>0</v>
      </c>
      <c r="BU157" s="33">
        <f>SUMIFS('Data For Calculation - Insuranc'!K:K,'Data For Calculation - Insuranc'!$A:$A,$A157)</f>
        <v>0</v>
      </c>
      <c r="BV157" s="33">
        <f>IF($CC157 = "Dealer", SUMIFS('Data For Calculation - Insuranc'!I:I,'Data For Calculation - Insuranc'!$B:$B,$A157,'Data For Calculation - Insuranc'!$H:$H,"Master Dealer")) + SUMIFS('Data For Calculation - Insuranc'!I:I,'Data For Calculation - Insuranc'!$A:$A,$A157,'Data For Calculation - Insuranc'!$H:$H,"Self")</f>
        <v>0</v>
      </c>
      <c r="BW157" s="33">
        <f>IF($CC157 = "Dealer", SUMIFS('Data For Calculation - Insuranc'!J:J,'Data For Calculation - Insuranc'!$B:$B,$A157,'Data For Calculation - Insuranc'!$H:$H,"Master Dealer")) + SUMIFS('Data For Calculation - Insuranc'!J:J,'Data For Calculation - Insuranc'!$A:$A,$A157,'Data For Calculation - Insuranc'!$H:$H,"Self")</f>
        <v>0</v>
      </c>
      <c r="BX157" s="33">
        <f>IF($CC157 = "Dealer", SUMIFS('Data For Calculation - Insuranc'!K:K,'Data For Calculation - Insuranc'!$B:$B,$A157,'Data For Calculation - Insuranc'!$H:$H,"Master Dealer")) + SUMIFS('Data For Calculation - Insuranc'!K:K,'Data For Calculation - Insuranc'!$A:$A,$A157,'Data For Calculation - Insuranc'!$H:$H,"Self")</f>
        <v>0</v>
      </c>
      <c r="BY157" s="25" t="str">
        <f>(Sheet1!N157)</f>
        <v>Golden Enterprises - Shikohabad</v>
      </c>
      <c r="BZ157" s="25" t="str">
        <f>(Sheet1!O157)</f>
        <v>1ujz4e03ajQcNujiybbh9kWwlqBz9h70rMo6I6wAh-WI</v>
      </c>
      <c r="CA157" s="25" t="str">
        <f>(Sheet1!AV157)</f>
        <v/>
      </c>
      <c r="CB157" s="25" t="str">
        <f>(Sheet1!AW157)</f>
        <v/>
      </c>
      <c r="CC157" s="26" t="str">
        <f>(Sheet1!P157)</f>
        <v>Dealer</v>
      </c>
    </row>
    <row r="158">
      <c r="A158" s="25" t="str">
        <f>(Sheet1!A158)</f>
        <v>1L9RtM1bzB4DA93tD_IGwUFHY3tNGdFYoNpultJI5GgQ</v>
      </c>
      <c r="B158" s="25" t="str">
        <f>(Sheet1!B158)</f>
        <v>Sushil automobiles - Basti</v>
      </c>
      <c r="C158" s="30" t="str">
        <f>Sheet1!BB158</f>
        <v>No</v>
      </c>
      <c r="D158" s="30" t="s">
        <v>13</v>
      </c>
      <c r="E158" s="34" t="s">
        <v>13</v>
      </c>
      <c r="F158" s="30" t="s">
        <v>3820</v>
      </c>
      <c r="G158" s="31">
        <v>290.0</v>
      </c>
      <c r="H158" s="34" t="s">
        <v>3853</v>
      </c>
      <c r="I158" s="34">
        <v>0.0</v>
      </c>
      <c r="J158" s="34">
        <v>100.0</v>
      </c>
      <c r="K158" s="34">
        <v>0.0</v>
      </c>
      <c r="L158" s="34">
        <v>0.0</v>
      </c>
      <c r="M158" s="33">
        <f>COUNTIFS('Data For Calculation - Insuranc'!A:A,A158,'Data For Calculation - Insuranc'!E:E,"CPA + RSA")</f>
        <v>0</v>
      </c>
      <c r="N158" s="30" t="s">
        <v>3820</v>
      </c>
      <c r="O158" s="31">
        <v>460.0</v>
      </c>
      <c r="P158" s="34" t="s">
        <v>3853</v>
      </c>
      <c r="Q158" s="34">
        <v>0.0</v>
      </c>
      <c r="R158" s="34">
        <v>100.0</v>
      </c>
      <c r="S158" s="34">
        <v>0.0</v>
      </c>
      <c r="T158" s="34">
        <v>0.0</v>
      </c>
      <c r="U158" s="33">
        <f>COUNTIFS('Data For Calculation - Insuranc'!A:A,A158,'Data For Calculation - Insuranc'!E:E,"CPA + RSA + AHDC + DOC")</f>
        <v>0</v>
      </c>
      <c r="V158" s="30" t="s">
        <v>3820</v>
      </c>
      <c r="W158" s="34">
        <v>838.99</v>
      </c>
      <c r="X158" s="34" t="s">
        <v>3853</v>
      </c>
      <c r="Y158" s="34">
        <v>0.0</v>
      </c>
      <c r="Z158" s="34">
        <v>100.0</v>
      </c>
      <c r="AA158" s="34">
        <v>0.0</v>
      </c>
      <c r="AB158" s="34">
        <v>0.0</v>
      </c>
      <c r="AC158" s="33">
        <f>COUNTIFS('Data For Calculation - Insuranc'!A:A,A158,'Data For Calculation - Insuranc'!E:E,"CPA + RSA : 5 Years")</f>
        <v>0</v>
      </c>
      <c r="AD158" s="30" t="s">
        <v>3820</v>
      </c>
      <c r="AE158" s="31">
        <v>838.99</v>
      </c>
      <c r="AF158" s="34" t="s">
        <v>3853</v>
      </c>
      <c r="AG158" s="34">
        <v>0.0</v>
      </c>
      <c r="AH158" s="34">
        <v>100.0</v>
      </c>
      <c r="AI158" s="34">
        <v>0.0</v>
      </c>
      <c r="AJ158" s="34">
        <v>0.0</v>
      </c>
      <c r="AK158" s="33">
        <f>COUNTIFS('Data For Calculation - Insuranc'!A:A,A158,'Data For Calculation - Insuranc'!E:E,"Assistance + CPA : 5 Years")</f>
        <v>0</v>
      </c>
      <c r="AL158" s="30" t="s">
        <v>3820</v>
      </c>
      <c r="AM158" s="31">
        <v>290.0</v>
      </c>
      <c r="AN158" s="34" t="s">
        <v>3853</v>
      </c>
      <c r="AO158" s="34">
        <v>0.0</v>
      </c>
      <c r="AP158" s="34">
        <v>100.0</v>
      </c>
      <c r="AQ158" s="34">
        <v>0.0</v>
      </c>
      <c r="AR158" s="34">
        <v>0.0</v>
      </c>
      <c r="AS158" s="33">
        <f>COUNTIFS('Data For Calculation - Insuranc'!A:A,A158,'Data For Calculation - Insuranc'!E:E,"RSA + AHDC + DOC")</f>
        <v>0</v>
      </c>
      <c r="AT158" s="33"/>
      <c r="AU158" s="33"/>
      <c r="AV158" s="33"/>
      <c r="AW158" s="33"/>
      <c r="AX158" s="33"/>
      <c r="AY158" s="33"/>
      <c r="AZ158" s="33"/>
      <c r="BA158" s="33"/>
      <c r="BB158" s="33"/>
      <c r="BC158" s="33"/>
      <c r="BD158" s="33"/>
      <c r="BE158" s="33"/>
      <c r="BF158" s="33"/>
      <c r="BG158" s="33"/>
      <c r="BH158" s="33"/>
      <c r="BI158" s="33"/>
      <c r="BJ158" s="33"/>
      <c r="BK158" s="33"/>
      <c r="BL158" s="33"/>
      <c r="BM158" s="33"/>
      <c r="BN158" s="33"/>
      <c r="BO158" s="33"/>
      <c r="BP158" s="33"/>
      <c r="BQ158" s="33"/>
      <c r="BR158" s="33">
        <f t="shared" si="1"/>
        <v>0</v>
      </c>
      <c r="BS158" s="33">
        <f>SUMIFS('Data For Calculation - Insuranc'!I:I,'Data For Calculation - Insuranc'!$A:$A,$A158)</f>
        <v>0</v>
      </c>
      <c r="BT158" s="33">
        <f>SUMIFS('Data For Calculation - Insuranc'!J:J,'Data For Calculation - Insuranc'!$A:$A,$A158)</f>
        <v>0</v>
      </c>
      <c r="BU158" s="33">
        <f>SUMIFS('Data For Calculation - Insuranc'!K:K,'Data For Calculation - Insuranc'!$A:$A,$A158)</f>
        <v>0</v>
      </c>
      <c r="BV158" s="33">
        <f>IF($CC158 = "Dealer", SUMIFS('Data For Calculation - Insuranc'!I:I,'Data For Calculation - Insuranc'!$B:$B,$A158,'Data For Calculation - Insuranc'!$H:$H,"Master Dealer")) + SUMIFS('Data For Calculation - Insuranc'!I:I,'Data For Calculation - Insuranc'!$A:$A,$A158,'Data For Calculation - Insuranc'!$H:$H,"Self")</f>
        <v>0</v>
      </c>
      <c r="BW158" s="33">
        <f>IF($CC158 = "Dealer", SUMIFS('Data For Calculation - Insuranc'!J:J,'Data For Calculation - Insuranc'!$B:$B,$A158,'Data For Calculation - Insuranc'!$H:$H,"Master Dealer")) + SUMIFS('Data For Calculation - Insuranc'!J:J,'Data For Calculation - Insuranc'!$A:$A,$A158,'Data For Calculation - Insuranc'!$H:$H,"Self")</f>
        <v>0</v>
      </c>
      <c r="BX158" s="33">
        <f>IF($CC158 = "Dealer", SUMIFS('Data For Calculation - Insuranc'!K:K,'Data For Calculation - Insuranc'!$B:$B,$A158,'Data For Calculation - Insuranc'!$H:$H,"Master Dealer")) + SUMIFS('Data For Calculation - Insuranc'!K:K,'Data For Calculation - Insuranc'!$A:$A,$A158,'Data For Calculation - Insuranc'!$H:$H,"Self")</f>
        <v>0</v>
      </c>
      <c r="BY158" s="25" t="str">
        <f>(Sheet1!N158)</f>
        <v>Sushil automobiles - Basti</v>
      </c>
      <c r="BZ158" s="25" t="str">
        <f>(Sheet1!O158)</f>
        <v>1L9RtM1bzB4DA93tD_IGwUFHY3tNGdFYoNpultJI5GgQ</v>
      </c>
      <c r="CA158" s="25" t="str">
        <f>(Sheet1!AV158)</f>
        <v/>
      </c>
      <c r="CB158" s="25" t="str">
        <f>(Sheet1!AW158)</f>
        <v/>
      </c>
      <c r="CC158" s="26" t="str">
        <f>(Sheet1!P158)</f>
        <v>Dealer</v>
      </c>
    </row>
    <row r="159">
      <c r="A159" s="25" t="str">
        <f>(Sheet1!A159)</f>
        <v>1BqR_Ok1XKiMbwmdK26aLR_BYoeEJpv9mAZfv_Tb9vx4</v>
      </c>
      <c r="B159" s="25" t="str">
        <f>(Sheet1!B159)</f>
        <v>Concept Automobile - Hardoi</v>
      </c>
      <c r="C159" s="30" t="str">
        <f>Sheet1!BB159</f>
        <v>No</v>
      </c>
      <c r="D159" s="30" t="s">
        <v>13</v>
      </c>
      <c r="E159" s="34" t="s">
        <v>13</v>
      </c>
      <c r="F159" s="30" t="s">
        <v>3820</v>
      </c>
      <c r="G159" s="31">
        <v>205.0</v>
      </c>
      <c r="H159" s="34" t="s">
        <v>3853</v>
      </c>
      <c r="I159" s="34">
        <v>0.0</v>
      </c>
      <c r="J159" s="34">
        <v>100.0</v>
      </c>
      <c r="K159" s="34">
        <v>0.0</v>
      </c>
      <c r="L159" s="34">
        <v>0.0</v>
      </c>
      <c r="M159" s="33">
        <f>COUNTIFS('Data For Calculation - Insuranc'!A:A,A159,'Data For Calculation - Insuranc'!E:E,"CPA + RSA")</f>
        <v>0</v>
      </c>
      <c r="N159" s="30" t="s">
        <v>3820</v>
      </c>
      <c r="O159" s="31">
        <v>460.0</v>
      </c>
      <c r="P159" s="34" t="s">
        <v>3853</v>
      </c>
      <c r="Q159" s="34">
        <v>0.0</v>
      </c>
      <c r="R159" s="34">
        <v>100.0</v>
      </c>
      <c r="S159" s="34">
        <v>0.0</v>
      </c>
      <c r="T159" s="34">
        <v>0.0</v>
      </c>
      <c r="U159" s="33">
        <f>COUNTIFS('Data For Calculation - Insuranc'!A:A,A159,'Data For Calculation - Insuranc'!E:E,"CPA + RSA + AHDC + DOC")</f>
        <v>0</v>
      </c>
      <c r="V159" s="30" t="s">
        <v>3820</v>
      </c>
      <c r="W159" s="34">
        <v>838.99</v>
      </c>
      <c r="X159" s="34" t="s">
        <v>3853</v>
      </c>
      <c r="Y159" s="34">
        <v>0.0</v>
      </c>
      <c r="Z159" s="34">
        <v>100.0</v>
      </c>
      <c r="AA159" s="34">
        <v>0.0</v>
      </c>
      <c r="AB159" s="34">
        <v>0.0</v>
      </c>
      <c r="AC159" s="33">
        <f>COUNTIFS('Data For Calculation - Insuranc'!A:A,A159,'Data For Calculation - Insuranc'!E:E,"CPA + RSA : 5 Years")</f>
        <v>0</v>
      </c>
      <c r="AD159" s="30" t="s">
        <v>3820</v>
      </c>
      <c r="AE159" s="31">
        <v>838.99</v>
      </c>
      <c r="AF159" s="34" t="s">
        <v>3853</v>
      </c>
      <c r="AG159" s="34">
        <v>0.0</v>
      </c>
      <c r="AH159" s="34">
        <v>100.0</v>
      </c>
      <c r="AI159" s="34">
        <v>0.0</v>
      </c>
      <c r="AJ159" s="34">
        <v>0.0</v>
      </c>
      <c r="AK159" s="33">
        <f>COUNTIFS('Data For Calculation - Insuranc'!A:A,A159,'Data For Calculation - Insuranc'!E:E,"Assistance + CPA : 5 Years")</f>
        <v>0</v>
      </c>
      <c r="AL159" s="30" t="s">
        <v>3820</v>
      </c>
      <c r="AM159" s="31">
        <v>290.0</v>
      </c>
      <c r="AN159" s="34" t="s">
        <v>3853</v>
      </c>
      <c r="AO159" s="34">
        <v>0.0</v>
      </c>
      <c r="AP159" s="34">
        <v>100.0</v>
      </c>
      <c r="AQ159" s="34">
        <v>0.0</v>
      </c>
      <c r="AR159" s="34">
        <v>0.0</v>
      </c>
      <c r="AS159" s="33">
        <f>COUNTIFS('Data For Calculation - Insuranc'!A:A,A159,'Data For Calculation - Insuranc'!E:E,"RSA + AHDC + DOC")</f>
        <v>0</v>
      </c>
      <c r="AT159" s="33"/>
      <c r="AU159" s="33"/>
      <c r="AV159" s="33"/>
      <c r="AW159" s="33"/>
      <c r="AX159" s="33"/>
      <c r="AY159" s="33"/>
      <c r="AZ159" s="33"/>
      <c r="BA159" s="33"/>
      <c r="BB159" s="33"/>
      <c r="BC159" s="33"/>
      <c r="BD159" s="33"/>
      <c r="BE159" s="33"/>
      <c r="BF159" s="33"/>
      <c r="BG159" s="33"/>
      <c r="BH159" s="33"/>
      <c r="BI159" s="33"/>
      <c r="BJ159" s="33"/>
      <c r="BK159" s="33"/>
      <c r="BL159" s="33"/>
      <c r="BM159" s="33"/>
      <c r="BN159" s="33"/>
      <c r="BO159" s="33"/>
      <c r="BP159" s="33"/>
      <c r="BQ159" s="33"/>
      <c r="BR159" s="33">
        <f t="shared" si="1"/>
        <v>0</v>
      </c>
      <c r="BS159" s="33">
        <f>SUMIFS('Data For Calculation - Insuranc'!I:I,'Data For Calculation - Insuranc'!$A:$A,$A159)</f>
        <v>0</v>
      </c>
      <c r="BT159" s="33">
        <f>SUMIFS('Data For Calculation - Insuranc'!J:J,'Data For Calculation - Insuranc'!$A:$A,$A159)</f>
        <v>0</v>
      </c>
      <c r="BU159" s="33">
        <f>SUMIFS('Data For Calculation - Insuranc'!K:K,'Data For Calculation - Insuranc'!$A:$A,$A159)</f>
        <v>0</v>
      </c>
      <c r="BV159" s="33">
        <f>IF($CC159 = "Dealer", SUMIFS('Data For Calculation - Insuranc'!I:I,'Data For Calculation - Insuranc'!$B:$B,$A159,'Data For Calculation - Insuranc'!$H:$H,"Master Dealer")) + SUMIFS('Data For Calculation - Insuranc'!I:I,'Data For Calculation - Insuranc'!$A:$A,$A159,'Data For Calculation - Insuranc'!$H:$H,"Self")</f>
        <v>0</v>
      </c>
      <c r="BW159" s="33">
        <f>IF($CC159 = "Dealer", SUMIFS('Data For Calculation - Insuranc'!J:J,'Data For Calculation - Insuranc'!$B:$B,$A159,'Data For Calculation - Insuranc'!$H:$H,"Master Dealer")) + SUMIFS('Data For Calculation - Insuranc'!J:J,'Data For Calculation - Insuranc'!$A:$A,$A159,'Data For Calculation - Insuranc'!$H:$H,"Self")</f>
        <v>0</v>
      </c>
      <c r="BX159" s="33">
        <f>IF($CC159 = "Dealer", SUMIFS('Data For Calculation - Insuranc'!K:K,'Data For Calculation - Insuranc'!$B:$B,$A159,'Data For Calculation - Insuranc'!$H:$H,"Master Dealer")) + SUMIFS('Data For Calculation - Insuranc'!K:K,'Data For Calculation - Insuranc'!$A:$A,$A159,'Data For Calculation - Insuranc'!$H:$H,"Self")</f>
        <v>0</v>
      </c>
      <c r="BY159" s="25" t="str">
        <f>(Sheet1!N159)</f>
        <v>Concept Automobile - Hardoi</v>
      </c>
      <c r="BZ159" s="25" t="str">
        <f>(Sheet1!O159)</f>
        <v>1BqR_Ok1XKiMbwmdK26aLR_BYoeEJpv9mAZfv_Tb9vx4</v>
      </c>
      <c r="CA159" s="25" t="str">
        <f>(Sheet1!AV159)</f>
        <v/>
      </c>
      <c r="CB159" s="25" t="str">
        <f>(Sheet1!AW159)</f>
        <v/>
      </c>
      <c r="CC159" s="26" t="str">
        <f>(Sheet1!P159)</f>
        <v>Dealer</v>
      </c>
    </row>
    <row r="160">
      <c r="A160" s="25" t="str">
        <f>(Sheet1!A160)</f>
        <v>1Pe7FzdsQsobTnfMtw8AFR97wsuAbRapZxNXhDErhL0Q</v>
      </c>
      <c r="B160" s="25" t="str">
        <f>(Sheet1!B160)</f>
        <v>OCEANIC TVS - Ahmedabad</v>
      </c>
      <c r="C160" s="30" t="str">
        <f>Sheet1!BB160</f>
        <v>No</v>
      </c>
      <c r="D160" s="30" t="s">
        <v>13</v>
      </c>
      <c r="E160" s="34" t="s">
        <v>13</v>
      </c>
      <c r="F160" s="30" t="s">
        <v>3820</v>
      </c>
      <c r="G160" s="31">
        <v>290.0</v>
      </c>
      <c r="H160" s="34" t="s">
        <v>3853</v>
      </c>
      <c r="I160" s="34">
        <v>0.0</v>
      </c>
      <c r="J160" s="34">
        <v>100.0</v>
      </c>
      <c r="K160" s="34">
        <v>0.0</v>
      </c>
      <c r="L160" s="34">
        <v>0.0</v>
      </c>
      <c r="M160" s="33">
        <f>COUNTIFS('Data For Calculation - Insuranc'!A:A,A160,'Data For Calculation - Insuranc'!E:E,"CPA + RSA")</f>
        <v>0</v>
      </c>
      <c r="N160" s="30" t="s">
        <v>3820</v>
      </c>
      <c r="O160" s="31">
        <v>460.0</v>
      </c>
      <c r="P160" s="34" t="s">
        <v>3853</v>
      </c>
      <c r="Q160" s="34">
        <v>0.0</v>
      </c>
      <c r="R160" s="34">
        <v>100.0</v>
      </c>
      <c r="S160" s="34">
        <v>0.0</v>
      </c>
      <c r="T160" s="34">
        <v>0.0</v>
      </c>
      <c r="U160" s="33">
        <f>COUNTIFS('Data For Calculation - Insuranc'!A:A,A160,'Data For Calculation - Insuranc'!E:E,"CPA + RSA + AHDC + DOC")</f>
        <v>0</v>
      </c>
      <c r="V160" s="30" t="s">
        <v>3820</v>
      </c>
      <c r="W160" s="34">
        <v>838.99</v>
      </c>
      <c r="X160" s="34" t="s">
        <v>3853</v>
      </c>
      <c r="Y160" s="34">
        <v>0.0</v>
      </c>
      <c r="Z160" s="34">
        <v>100.0</v>
      </c>
      <c r="AA160" s="34">
        <v>0.0</v>
      </c>
      <c r="AB160" s="34">
        <v>0.0</v>
      </c>
      <c r="AC160" s="33">
        <f>COUNTIFS('Data For Calculation - Insuranc'!A:A,A160,'Data For Calculation - Insuranc'!E:E,"CPA + RSA : 5 Years")</f>
        <v>0</v>
      </c>
      <c r="AD160" s="30" t="s">
        <v>3820</v>
      </c>
      <c r="AE160" s="31">
        <v>838.99</v>
      </c>
      <c r="AF160" s="34" t="s">
        <v>3853</v>
      </c>
      <c r="AG160" s="34">
        <v>0.0</v>
      </c>
      <c r="AH160" s="34">
        <v>100.0</v>
      </c>
      <c r="AI160" s="34">
        <v>0.0</v>
      </c>
      <c r="AJ160" s="34">
        <v>0.0</v>
      </c>
      <c r="AK160" s="33">
        <f>COUNTIFS('Data For Calculation - Insuranc'!A:A,A160,'Data For Calculation - Insuranc'!E:E,"Assistance + CPA : 5 Years")</f>
        <v>0</v>
      </c>
      <c r="AL160" s="30" t="s">
        <v>3820</v>
      </c>
      <c r="AM160" s="31">
        <v>290.0</v>
      </c>
      <c r="AN160" s="34" t="s">
        <v>3853</v>
      </c>
      <c r="AO160" s="34">
        <v>0.0</v>
      </c>
      <c r="AP160" s="34">
        <v>100.0</v>
      </c>
      <c r="AQ160" s="34">
        <v>0.0</v>
      </c>
      <c r="AR160" s="34">
        <v>0.0</v>
      </c>
      <c r="AS160" s="33">
        <f>COUNTIFS('Data For Calculation - Insuranc'!A:A,A160,'Data For Calculation - Insuranc'!E:E,"RSA + AHDC + DOC")</f>
        <v>0</v>
      </c>
      <c r="AT160" s="33"/>
      <c r="AU160" s="33"/>
      <c r="AV160" s="33"/>
      <c r="AW160" s="33"/>
      <c r="AX160" s="33"/>
      <c r="AY160" s="33"/>
      <c r="AZ160" s="33"/>
      <c r="BA160" s="33"/>
      <c r="BB160" s="33"/>
      <c r="BC160" s="33"/>
      <c r="BD160" s="33"/>
      <c r="BE160" s="33"/>
      <c r="BF160" s="33"/>
      <c r="BG160" s="33"/>
      <c r="BH160" s="33"/>
      <c r="BI160" s="33"/>
      <c r="BJ160" s="33"/>
      <c r="BK160" s="33"/>
      <c r="BL160" s="33"/>
      <c r="BM160" s="33"/>
      <c r="BN160" s="33"/>
      <c r="BO160" s="33"/>
      <c r="BP160" s="33"/>
      <c r="BQ160" s="33"/>
      <c r="BR160" s="33">
        <f t="shared" si="1"/>
        <v>0</v>
      </c>
      <c r="BS160" s="33">
        <f>SUMIFS('Data For Calculation - Insuranc'!I:I,'Data For Calculation - Insuranc'!$A:$A,$A160)</f>
        <v>0</v>
      </c>
      <c r="BT160" s="33">
        <f>SUMIFS('Data For Calculation - Insuranc'!J:J,'Data For Calculation - Insuranc'!$A:$A,$A160)</f>
        <v>0</v>
      </c>
      <c r="BU160" s="33">
        <f>SUMIFS('Data For Calculation - Insuranc'!K:K,'Data For Calculation - Insuranc'!$A:$A,$A160)</f>
        <v>0</v>
      </c>
      <c r="BV160" s="33">
        <f>IF($CC160 = "Dealer", SUMIFS('Data For Calculation - Insuranc'!I:I,'Data For Calculation - Insuranc'!$B:$B,$A160,'Data For Calculation - Insuranc'!$H:$H,"Master Dealer")) + SUMIFS('Data For Calculation - Insuranc'!I:I,'Data For Calculation - Insuranc'!$A:$A,$A160,'Data For Calculation - Insuranc'!$H:$H,"Self")</f>
        <v>0</v>
      </c>
      <c r="BW160" s="33">
        <f>IF($CC160 = "Dealer", SUMIFS('Data For Calculation - Insuranc'!J:J,'Data For Calculation - Insuranc'!$B:$B,$A160,'Data For Calculation - Insuranc'!$H:$H,"Master Dealer")) + SUMIFS('Data For Calculation - Insuranc'!J:J,'Data For Calculation - Insuranc'!$A:$A,$A160,'Data For Calculation - Insuranc'!$H:$H,"Self")</f>
        <v>0</v>
      </c>
      <c r="BX160" s="33">
        <f>IF($CC160 = "Dealer", SUMIFS('Data For Calculation - Insuranc'!K:K,'Data For Calculation - Insuranc'!$B:$B,$A160,'Data For Calculation - Insuranc'!$H:$H,"Master Dealer")) + SUMIFS('Data For Calculation - Insuranc'!K:K,'Data For Calculation - Insuranc'!$A:$A,$A160,'Data For Calculation - Insuranc'!$H:$H,"Self")</f>
        <v>0</v>
      </c>
      <c r="BY160" s="25" t="str">
        <f>(Sheet1!N160)</f>
        <v>OCEANIC TVS - Ahmedabad</v>
      </c>
      <c r="BZ160" s="25" t="str">
        <f>(Sheet1!O160)</f>
        <v>1Pe7FzdsQsobTnfMtw8AFR97wsuAbRapZxNXhDErhL0Q</v>
      </c>
      <c r="CA160" s="25" t="str">
        <f>(Sheet1!AV160)</f>
        <v/>
      </c>
      <c r="CB160" s="25" t="str">
        <f>(Sheet1!AW160)</f>
        <v/>
      </c>
      <c r="CC160" s="26" t="str">
        <f>(Sheet1!P160)</f>
        <v>Dealer</v>
      </c>
    </row>
    <row r="161">
      <c r="A161" s="25" t="str">
        <f>(Sheet1!A161)</f>
        <v>1424BF0G1OZasQ2pfFa99AWqhw7W1Y3ykkj8Wf5aSWWc</v>
      </c>
      <c r="B161" s="25" t="str">
        <f>(Sheet1!B161)</f>
        <v>GOKULAUTOWORLD - AHMEDABAD</v>
      </c>
      <c r="C161" s="30" t="str">
        <f>Sheet1!BB161</f>
        <v>No</v>
      </c>
      <c r="D161" s="30" t="s">
        <v>13</v>
      </c>
      <c r="E161" s="34" t="s">
        <v>13</v>
      </c>
      <c r="F161" s="30" t="s">
        <v>3817</v>
      </c>
      <c r="G161" s="31">
        <v>235.0</v>
      </c>
      <c r="H161" s="34" t="s">
        <v>3853</v>
      </c>
      <c r="I161" s="34">
        <v>0.0</v>
      </c>
      <c r="J161" s="34">
        <v>100.0</v>
      </c>
      <c r="K161" s="34">
        <v>0.0</v>
      </c>
      <c r="L161" s="34">
        <v>0.0</v>
      </c>
      <c r="M161" s="33">
        <f>COUNTIFS('Data For Calculation - Insuranc'!A:A,A161,'Data For Calculation - Insuranc'!E:E,"CPA + RSA")</f>
        <v>0</v>
      </c>
      <c r="N161" s="30" t="s">
        <v>3817</v>
      </c>
      <c r="O161" s="31">
        <v>460.0</v>
      </c>
      <c r="P161" s="34" t="s">
        <v>3853</v>
      </c>
      <c r="Q161" s="34">
        <v>0.0</v>
      </c>
      <c r="R161" s="34">
        <v>100.0</v>
      </c>
      <c r="S161" s="34">
        <v>0.0</v>
      </c>
      <c r="T161" s="34">
        <v>0.0</v>
      </c>
      <c r="U161" s="33">
        <f>COUNTIFS('Data For Calculation - Insuranc'!A:A,A161,'Data For Calculation - Insuranc'!E:E,"CPA + RSA + AHDC + DOC")</f>
        <v>0</v>
      </c>
      <c r="V161" s="30" t="s">
        <v>3817</v>
      </c>
      <c r="W161" s="34">
        <v>838.99</v>
      </c>
      <c r="X161" s="34" t="s">
        <v>3853</v>
      </c>
      <c r="Y161" s="34">
        <v>0.0</v>
      </c>
      <c r="Z161" s="34">
        <v>100.0</v>
      </c>
      <c r="AA161" s="34">
        <v>0.0</v>
      </c>
      <c r="AB161" s="34">
        <v>0.0</v>
      </c>
      <c r="AC161" s="33">
        <f>COUNTIFS('Data For Calculation - Insuranc'!A:A,A161,'Data For Calculation - Insuranc'!E:E,"CPA + RSA : 5 Years")</f>
        <v>0</v>
      </c>
      <c r="AD161" s="30" t="s">
        <v>3817</v>
      </c>
      <c r="AE161" s="31">
        <v>838.99</v>
      </c>
      <c r="AF161" s="34" t="s">
        <v>3853</v>
      </c>
      <c r="AG161" s="34">
        <v>0.0</v>
      </c>
      <c r="AH161" s="34">
        <v>100.0</v>
      </c>
      <c r="AI161" s="34">
        <v>0.0</v>
      </c>
      <c r="AJ161" s="34">
        <v>0.0</v>
      </c>
      <c r="AK161" s="33">
        <f>COUNTIFS('Data For Calculation - Insuranc'!A:A,A161,'Data For Calculation - Insuranc'!E:E,"Assistance + CPA : 5 Years")</f>
        <v>0</v>
      </c>
      <c r="AL161" s="30" t="s">
        <v>3817</v>
      </c>
      <c r="AM161" s="31">
        <v>290.0</v>
      </c>
      <c r="AN161" s="34" t="s">
        <v>3853</v>
      </c>
      <c r="AO161" s="34">
        <v>0.0</v>
      </c>
      <c r="AP161" s="34">
        <v>100.0</v>
      </c>
      <c r="AQ161" s="34">
        <v>0.0</v>
      </c>
      <c r="AR161" s="34">
        <v>0.0</v>
      </c>
      <c r="AS161" s="33">
        <f>COUNTIFS('Data For Calculation - Insuranc'!A:A,A161,'Data For Calculation - Insuranc'!E:E,"RSA + AHDC + DOC")</f>
        <v>0</v>
      </c>
      <c r="AT161" s="33"/>
      <c r="AU161" s="33"/>
      <c r="AV161" s="33"/>
      <c r="AW161" s="33"/>
      <c r="AX161" s="33"/>
      <c r="AY161" s="33"/>
      <c r="AZ161" s="33"/>
      <c r="BA161" s="33"/>
      <c r="BB161" s="33"/>
      <c r="BC161" s="33"/>
      <c r="BD161" s="33"/>
      <c r="BE161" s="33"/>
      <c r="BF161" s="33"/>
      <c r="BG161" s="33"/>
      <c r="BH161" s="33"/>
      <c r="BI161" s="33"/>
      <c r="BJ161" s="33"/>
      <c r="BK161" s="33"/>
      <c r="BL161" s="33"/>
      <c r="BM161" s="33"/>
      <c r="BN161" s="33"/>
      <c r="BO161" s="33"/>
      <c r="BP161" s="33"/>
      <c r="BQ161" s="33"/>
      <c r="BR161" s="33">
        <f t="shared" si="1"/>
        <v>0</v>
      </c>
      <c r="BS161" s="33">
        <f>SUMIFS('Data For Calculation - Insuranc'!I:I,'Data For Calculation - Insuranc'!$A:$A,$A161)</f>
        <v>0</v>
      </c>
      <c r="BT161" s="33">
        <f>SUMIFS('Data For Calculation - Insuranc'!J:J,'Data For Calculation - Insuranc'!$A:$A,$A161)</f>
        <v>0</v>
      </c>
      <c r="BU161" s="33">
        <f>SUMIFS('Data For Calculation - Insuranc'!K:K,'Data For Calculation - Insuranc'!$A:$A,$A161)</f>
        <v>0</v>
      </c>
      <c r="BV161" s="33">
        <f>IF($CC161 = "Dealer", SUMIFS('Data For Calculation - Insuranc'!I:I,'Data For Calculation - Insuranc'!$B:$B,$A161,'Data For Calculation - Insuranc'!$H:$H,"Master Dealer")) + SUMIFS('Data For Calculation - Insuranc'!I:I,'Data For Calculation - Insuranc'!$A:$A,$A161,'Data For Calculation - Insuranc'!$H:$H,"Self")</f>
        <v>0</v>
      </c>
      <c r="BW161" s="33">
        <f>IF($CC161 = "Dealer", SUMIFS('Data For Calculation - Insuranc'!J:J,'Data For Calculation - Insuranc'!$B:$B,$A161,'Data For Calculation - Insuranc'!$H:$H,"Master Dealer")) + SUMIFS('Data For Calculation - Insuranc'!J:J,'Data For Calculation - Insuranc'!$A:$A,$A161,'Data For Calculation - Insuranc'!$H:$H,"Self")</f>
        <v>0</v>
      </c>
      <c r="BX161" s="33">
        <f>IF($CC161 = "Dealer", SUMIFS('Data For Calculation - Insuranc'!K:K,'Data For Calculation - Insuranc'!$B:$B,$A161,'Data For Calculation - Insuranc'!$H:$H,"Master Dealer")) + SUMIFS('Data For Calculation - Insuranc'!K:K,'Data For Calculation - Insuranc'!$A:$A,$A161,'Data For Calculation - Insuranc'!$H:$H,"Self")</f>
        <v>0</v>
      </c>
      <c r="BY161" s="25" t="str">
        <f>(Sheet1!N161)</f>
        <v>GOKULAUTOWORLD - AHMEDABAD</v>
      </c>
      <c r="BZ161" s="25" t="str">
        <f>(Sheet1!O161)</f>
        <v>1424BF0G1OZasQ2pfFa99AWqhw7W1Y3ykkj8Wf5aSWWc</v>
      </c>
      <c r="CA161" s="25" t="str">
        <f>(Sheet1!AV161)</f>
        <v/>
      </c>
      <c r="CB161" s="25" t="str">
        <f>(Sheet1!AW161)</f>
        <v/>
      </c>
      <c r="CC161" s="26" t="str">
        <f>(Sheet1!P161)</f>
        <v>Dealer</v>
      </c>
    </row>
    <row r="162">
      <c r="A162" s="25" t="str">
        <f>(Sheet1!A162)</f>
        <v>1TMacegY-Sk7pr6CF_YiZtnxppf8kQ29DX8ZSzN8Nba0</v>
      </c>
      <c r="B162" s="25" t="str">
        <f>(Sheet1!B162)</f>
        <v>YASH AUTOMOBILES-PUNE</v>
      </c>
      <c r="C162" s="30" t="str">
        <f>Sheet1!BB162</f>
        <v>No</v>
      </c>
      <c r="D162" s="30" t="s">
        <v>13</v>
      </c>
      <c r="E162" s="34" t="s">
        <v>13</v>
      </c>
      <c r="F162" s="30" t="s">
        <v>3856</v>
      </c>
      <c r="G162" s="31">
        <v>290.0</v>
      </c>
      <c r="H162" s="34" t="s">
        <v>3853</v>
      </c>
      <c r="I162" s="34">
        <v>0.0</v>
      </c>
      <c r="J162" s="34">
        <v>100.0</v>
      </c>
      <c r="K162" s="34">
        <v>0.0</v>
      </c>
      <c r="L162" s="34">
        <v>0.0</v>
      </c>
      <c r="M162" s="33">
        <f>COUNTIFS('Data For Calculation - Insuranc'!A:A,A162,'Data For Calculation - Insuranc'!E:E,"CPA + RSA")</f>
        <v>0</v>
      </c>
      <c r="N162" s="30" t="s">
        <v>3856</v>
      </c>
      <c r="O162" s="31">
        <v>460.0</v>
      </c>
      <c r="P162" s="34" t="s">
        <v>3853</v>
      </c>
      <c r="Q162" s="34">
        <v>0.0</v>
      </c>
      <c r="R162" s="34">
        <v>100.0</v>
      </c>
      <c r="S162" s="34">
        <v>0.0</v>
      </c>
      <c r="T162" s="34">
        <v>0.0</v>
      </c>
      <c r="U162" s="33">
        <f>COUNTIFS('Data For Calculation - Insuranc'!A:A,A162,'Data For Calculation - Insuranc'!E:E,"CPA + RSA + AHDC + DOC")</f>
        <v>0</v>
      </c>
      <c r="V162" s="30" t="s">
        <v>3856</v>
      </c>
      <c r="W162" s="34">
        <v>838.99</v>
      </c>
      <c r="X162" s="34" t="s">
        <v>3853</v>
      </c>
      <c r="Y162" s="34">
        <v>0.0</v>
      </c>
      <c r="Z162" s="34">
        <v>100.0</v>
      </c>
      <c r="AA162" s="34">
        <v>0.0</v>
      </c>
      <c r="AB162" s="34">
        <v>0.0</v>
      </c>
      <c r="AC162" s="33">
        <f>COUNTIFS('Data For Calculation - Insuranc'!A:A,A162,'Data For Calculation - Insuranc'!E:E,"CPA + RSA : 5 Years")</f>
        <v>0</v>
      </c>
      <c r="AD162" s="30" t="s">
        <v>3856</v>
      </c>
      <c r="AE162" s="31">
        <v>838.99</v>
      </c>
      <c r="AF162" s="34" t="s">
        <v>3853</v>
      </c>
      <c r="AG162" s="34">
        <v>0.0</v>
      </c>
      <c r="AH162" s="34">
        <v>100.0</v>
      </c>
      <c r="AI162" s="34">
        <v>0.0</v>
      </c>
      <c r="AJ162" s="34">
        <v>0.0</v>
      </c>
      <c r="AK162" s="33">
        <f>COUNTIFS('Data For Calculation - Insuranc'!A:A,A162,'Data For Calculation - Insuranc'!E:E,"Assistance + CPA : 5 Years")</f>
        <v>0</v>
      </c>
      <c r="AL162" s="30" t="s">
        <v>3856</v>
      </c>
      <c r="AM162" s="31">
        <v>290.0</v>
      </c>
      <c r="AN162" s="34" t="s">
        <v>3853</v>
      </c>
      <c r="AO162" s="34">
        <v>0.0</v>
      </c>
      <c r="AP162" s="34">
        <v>100.0</v>
      </c>
      <c r="AQ162" s="34">
        <v>0.0</v>
      </c>
      <c r="AR162" s="34">
        <v>0.0</v>
      </c>
      <c r="AS162" s="33">
        <f>COUNTIFS('Data For Calculation - Insuranc'!A:A,A162,'Data For Calculation - Insuranc'!E:E,"RSA + AHDC + DOC")</f>
        <v>0</v>
      </c>
      <c r="AT162" s="33"/>
      <c r="AU162" s="33"/>
      <c r="AV162" s="33"/>
      <c r="AW162" s="33"/>
      <c r="AX162" s="33"/>
      <c r="AY162" s="33"/>
      <c r="AZ162" s="33"/>
      <c r="BA162" s="33"/>
      <c r="BB162" s="33"/>
      <c r="BC162" s="33"/>
      <c r="BD162" s="33"/>
      <c r="BE162" s="33"/>
      <c r="BF162" s="33"/>
      <c r="BG162" s="33"/>
      <c r="BH162" s="33"/>
      <c r="BI162" s="33"/>
      <c r="BJ162" s="33"/>
      <c r="BK162" s="33"/>
      <c r="BL162" s="33"/>
      <c r="BM162" s="33"/>
      <c r="BN162" s="33"/>
      <c r="BO162" s="33"/>
      <c r="BP162" s="33"/>
      <c r="BQ162" s="33"/>
      <c r="BR162" s="33">
        <f t="shared" si="1"/>
        <v>0</v>
      </c>
      <c r="BS162" s="33">
        <f>SUMIFS('Data For Calculation - Insuranc'!I:I,'Data For Calculation - Insuranc'!$A:$A,$A162)</f>
        <v>0</v>
      </c>
      <c r="BT162" s="33">
        <f>SUMIFS('Data For Calculation - Insuranc'!J:J,'Data For Calculation - Insuranc'!$A:$A,$A162)</f>
        <v>0</v>
      </c>
      <c r="BU162" s="33">
        <f>SUMIFS('Data For Calculation - Insuranc'!K:K,'Data For Calculation - Insuranc'!$A:$A,$A162)</f>
        <v>0</v>
      </c>
      <c r="BV162" s="33">
        <f>IF($CC162 = "Dealer", SUMIFS('Data For Calculation - Insuranc'!I:I,'Data For Calculation - Insuranc'!$B:$B,$A162,'Data For Calculation - Insuranc'!$H:$H,"Master Dealer")) + SUMIFS('Data For Calculation - Insuranc'!I:I,'Data For Calculation - Insuranc'!$A:$A,$A162,'Data For Calculation - Insuranc'!$H:$H,"Self")</f>
        <v>0</v>
      </c>
      <c r="BW162" s="33">
        <f>IF($CC162 = "Dealer", SUMIFS('Data For Calculation - Insuranc'!J:J,'Data For Calculation - Insuranc'!$B:$B,$A162,'Data For Calculation - Insuranc'!$H:$H,"Master Dealer")) + SUMIFS('Data For Calculation - Insuranc'!J:J,'Data For Calculation - Insuranc'!$A:$A,$A162,'Data For Calculation - Insuranc'!$H:$H,"Self")</f>
        <v>0</v>
      </c>
      <c r="BX162" s="33">
        <f>IF($CC162 = "Dealer", SUMIFS('Data For Calculation - Insuranc'!K:K,'Data For Calculation - Insuranc'!$B:$B,$A162,'Data For Calculation - Insuranc'!$H:$H,"Master Dealer")) + SUMIFS('Data For Calculation - Insuranc'!K:K,'Data For Calculation - Insuranc'!$A:$A,$A162,'Data For Calculation - Insuranc'!$H:$H,"Self")</f>
        <v>0</v>
      </c>
      <c r="BY162" s="25" t="str">
        <f>(Sheet1!N162)</f>
        <v>YASH AUTOMOBILES-PUNE</v>
      </c>
      <c r="BZ162" s="25" t="str">
        <f>(Sheet1!O162)</f>
        <v>1TMacegY-Sk7pr6CF_YiZtnxppf8kQ29DX8ZSzN8Nba0</v>
      </c>
      <c r="CA162" s="25" t="str">
        <f>(Sheet1!AV162)</f>
        <v/>
      </c>
      <c r="CB162" s="25" t="str">
        <f>(Sheet1!AW162)</f>
        <v/>
      </c>
      <c r="CC162" s="26" t="str">
        <f>(Sheet1!P162)</f>
        <v>Dealer</v>
      </c>
    </row>
    <row r="163">
      <c r="A163" s="25" t="str">
        <f>(Sheet1!A163)</f>
        <v>1kMvgnwSkK4p35wcMsguAxORW1vQe7W1vnlmFj46sMCo</v>
      </c>
      <c r="B163" s="25" t="str">
        <f>(Sheet1!B163)</f>
        <v>KOTHARI WHEEL- PUNE</v>
      </c>
      <c r="C163" s="30" t="str">
        <f>Sheet1!BB163</f>
        <v>No</v>
      </c>
      <c r="D163" s="30" t="s">
        <v>13</v>
      </c>
      <c r="E163" s="34" t="s">
        <v>13</v>
      </c>
      <c r="F163" s="30" t="s">
        <v>3820</v>
      </c>
      <c r="G163" s="31">
        <v>290.0</v>
      </c>
      <c r="H163" s="34" t="s">
        <v>3853</v>
      </c>
      <c r="I163" s="34">
        <v>0.0</v>
      </c>
      <c r="J163" s="34">
        <v>100.0</v>
      </c>
      <c r="K163" s="34">
        <v>0.0</v>
      </c>
      <c r="L163" s="34">
        <v>0.0</v>
      </c>
      <c r="M163" s="33">
        <f>COUNTIFS('Data For Calculation - Insuranc'!A:A,A163,'Data For Calculation - Insuranc'!E:E,"CPA + RSA")</f>
        <v>0</v>
      </c>
      <c r="N163" s="30" t="s">
        <v>3820</v>
      </c>
      <c r="O163" s="31">
        <v>460.0</v>
      </c>
      <c r="P163" s="34" t="s">
        <v>3853</v>
      </c>
      <c r="Q163" s="34">
        <v>0.0</v>
      </c>
      <c r="R163" s="34">
        <v>100.0</v>
      </c>
      <c r="S163" s="34">
        <v>0.0</v>
      </c>
      <c r="T163" s="34">
        <v>0.0</v>
      </c>
      <c r="U163" s="33">
        <f>COUNTIFS('Data For Calculation - Insuranc'!A:A,A163,'Data For Calculation - Insuranc'!E:E,"CPA + RSA + AHDC + DOC")</f>
        <v>0</v>
      </c>
      <c r="V163" s="30" t="s">
        <v>3820</v>
      </c>
      <c r="W163" s="34">
        <v>838.99</v>
      </c>
      <c r="X163" s="34" t="s">
        <v>3853</v>
      </c>
      <c r="Y163" s="34">
        <v>0.0</v>
      </c>
      <c r="Z163" s="34">
        <v>100.0</v>
      </c>
      <c r="AA163" s="34">
        <v>0.0</v>
      </c>
      <c r="AB163" s="34">
        <v>0.0</v>
      </c>
      <c r="AC163" s="33">
        <f>COUNTIFS('Data For Calculation - Insuranc'!A:A,A163,'Data For Calculation - Insuranc'!E:E,"CPA + RSA : 5 Years")</f>
        <v>0</v>
      </c>
      <c r="AD163" s="30" t="s">
        <v>3820</v>
      </c>
      <c r="AE163" s="31">
        <v>838.99</v>
      </c>
      <c r="AF163" s="34" t="s">
        <v>3853</v>
      </c>
      <c r="AG163" s="34">
        <v>0.0</v>
      </c>
      <c r="AH163" s="34">
        <v>100.0</v>
      </c>
      <c r="AI163" s="34">
        <v>0.0</v>
      </c>
      <c r="AJ163" s="34">
        <v>0.0</v>
      </c>
      <c r="AK163" s="33">
        <f>COUNTIFS('Data For Calculation - Insuranc'!A:A,A163,'Data For Calculation - Insuranc'!E:E,"Assistance + CPA : 5 Years")</f>
        <v>0</v>
      </c>
      <c r="AL163" s="30" t="s">
        <v>3820</v>
      </c>
      <c r="AM163" s="31">
        <v>290.0</v>
      </c>
      <c r="AN163" s="34" t="s">
        <v>3853</v>
      </c>
      <c r="AO163" s="34">
        <v>0.0</v>
      </c>
      <c r="AP163" s="34">
        <v>100.0</v>
      </c>
      <c r="AQ163" s="34">
        <v>0.0</v>
      </c>
      <c r="AR163" s="34">
        <v>0.0</v>
      </c>
      <c r="AS163" s="33">
        <f>COUNTIFS('Data For Calculation - Insuranc'!A:A,A163,'Data For Calculation - Insuranc'!E:E,"RSA + AHDC + DOC")</f>
        <v>0</v>
      </c>
      <c r="AT163" s="33"/>
      <c r="AU163" s="33"/>
      <c r="AV163" s="33"/>
      <c r="AW163" s="33"/>
      <c r="AX163" s="33"/>
      <c r="AY163" s="33"/>
      <c r="AZ163" s="33"/>
      <c r="BA163" s="33"/>
      <c r="BB163" s="33"/>
      <c r="BC163" s="33"/>
      <c r="BD163" s="33"/>
      <c r="BE163" s="33"/>
      <c r="BF163" s="33"/>
      <c r="BG163" s="33"/>
      <c r="BH163" s="33"/>
      <c r="BI163" s="33"/>
      <c r="BJ163" s="33"/>
      <c r="BK163" s="33"/>
      <c r="BL163" s="33"/>
      <c r="BM163" s="33"/>
      <c r="BN163" s="33"/>
      <c r="BO163" s="33"/>
      <c r="BP163" s="33"/>
      <c r="BQ163" s="33"/>
      <c r="BR163" s="33">
        <f t="shared" si="1"/>
        <v>0</v>
      </c>
      <c r="BS163" s="33">
        <f>SUMIFS('Data For Calculation - Insuranc'!I:I,'Data For Calculation - Insuranc'!$A:$A,$A163)</f>
        <v>0</v>
      </c>
      <c r="BT163" s="33">
        <f>SUMIFS('Data For Calculation - Insuranc'!J:J,'Data For Calculation - Insuranc'!$A:$A,$A163)</f>
        <v>0</v>
      </c>
      <c r="BU163" s="33">
        <f>SUMIFS('Data For Calculation - Insuranc'!K:K,'Data For Calculation - Insuranc'!$A:$A,$A163)</f>
        <v>0</v>
      </c>
      <c r="BV163" s="33">
        <f>IF($CC163 = "Dealer", SUMIFS('Data For Calculation - Insuranc'!I:I,'Data For Calculation - Insuranc'!$B:$B,$A163,'Data For Calculation - Insuranc'!$H:$H,"Master Dealer")) + SUMIFS('Data For Calculation - Insuranc'!I:I,'Data For Calculation - Insuranc'!$A:$A,$A163,'Data For Calculation - Insuranc'!$H:$H,"Self")</f>
        <v>0</v>
      </c>
      <c r="BW163" s="33">
        <f>IF($CC163 = "Dealer", SUMIFS('Data For Calculation - Insuranc'!J:J,'Data For Calculation - Insuranc'!$B:$B,$A163,'Data For Calculation - Insuranc'!$H:$H,"Master Dealer")) + SUMIFS('Data For Calculation - Insuranc'!J:J,'Data For Calculation - Insuranc'!$A:$A,$A163,'Data For Calculation - Insuranc'!$H:$H,"Self")</f>
        <v>0</v>
      </c>
      <c r="BX163" s="33">
        <f>IF($CC163 = "Dealer", SUMIFS('Data For Calculation - Insuranc'!K:K,'Data For Calculation - Insuranc'!$B:$B,$A163,'Data For Calculation - Insuranc'!$H:$H,"Master Dealer")) + SUMIFS('Data For Calculation - Insuranc'!K:K,'Data For Calculation - Insuranc'!$A:$A,$A163,'Data For Calculation - Insuranc'!$H:$H,"Self")</f>
        <v>0</v>
      </c>
      <c r="BY163" s="25" t="str">
        <f>(Sheet1!N163)</f>
        <v>KOTHARI WHEEL- PUNE</v>
      </c>
      <c r="BZ163" s="25" t="str">
        <f>(Sheet1!O163)</f>
        <v>1kMvgnwSkK4p35wcMsguAxORW1vQe7W1vnlmFj46sMCo</v>
      </c>
      <c r="CA163" s="25" t="str">
        <f>(Sheet1!AV163)</f>
        <v/>
      </c>
      <c r="CB163" s="25" t="str">
        <f>(Sheet1!AW163)</f>
        <v/>
      </c>
      <c r="CC163" s="26" t="str">
        <f>(Sheet1!P163)</f>
        <v>Dealer</v>
      </c>
    </row>
    <row r="164">
      <c r="A164" s="25" t="str">
        <f>(Sheet1!A164)</f>
        <v>1876RfsSjY4efSikG9YDGUWajbPv924bhaJa0AJLdD8E</v>
      </c>
      <c r="B164" s="25" t="str">
        <f>(Sheet1!B164)</f>
        <v>Shree Durga Motors Counter 1 - Sikandrabad</v>
      </c>
      <c r="C164" s="30" t="str">
        <f>Sheet1!BB164</f>
        <v>No</v>
      </c>
      <c r="D164" s="30" t="s">
        <v>13</v>
      </c>
      <c r="E164" s="34" t="s">
        <v>13</v>
      </c>
      <c r="F164" s="30" t="s">
        <v>3820</v>
      </c>
      <c r="G164" s="31">
        <v>290.0</v>
      </c>
      <c r="H164" s="34" t="s">
        <v>3853</v>
      </c>
      <c r="I164" s="34">
        <v>0.0</v>
      </c>
      <c r="J164" s="34">
        <v>100.0</v>
      </c>
      <c r="K164" s="34">
        <v>0.0</v>
      </c>
      <c r="L164" s="34">
        <v>0.0</v>
      </c>
      <c r="M164" s="33">
        <f>COUNTIFS('Data For Calculation - Insuranc'!A:A,A164,'Data For Calculation - Insuranc'!E:E,"CPA + RSA")</f>
        <v>0</v>
      </c>
      <c r="N164" s="30" t="s">
        <v>3820</v>
      </c>
      <c r="O164" s="31">
        <v>460.0</v>
      </c>
      <c r="P164" s="34" t="s">
        <v>3853</v>
      </c>
      <c r="Q164" s="34">
        <v>0.0</v>
      </c>
      <c r="R164" s="34">
        <v>100.0</v>
      </c>
      <c r="S164" s="34">
        <v>0.0</v>
      </c>
      <c r="T164" s="34">
        <v>0.0</v>
      </c>
      <c r="U164" s="33">
        <f>COUNTIFS('Data For Calculation - Insuranc'!A:A,A164,'Data For Calculation - Insuranc'!E:E,"CPA + RSA + AHDC + DOC")</f>
        <v>0</v>
      </c>
      <c r="V164" s="30" t="s">
        <v>3820</v>
      </c>
      <c r="W164" s="34">
        <v>838.99</v>
      </c>
      <c r="X164" s="34" t="s">
        <v>3853</v>
      </c>
      <c r="Y164" s="34">
        <v>0.0</v>
      </c>
      <c r="Z164" s="34">
        <v>100.0</v>
      </c>
      <c r="AA164" s="34">
        <v>0.0</v>
      </c>
      <c r="AB164" s="34">
        <v>0.0</v>
      </c>
      <c r="AC164" s="33">
        <f>COUNTIFS('Data For Calculation - Insuranc'!A:A,A164,'Data For Calculation - Insuranc'!E:E,"CPA + RSA : 5 Years")</f>
        <v>0</v>
      </c>
      <c r="AD164" s="30" t="s">
        <v>3820</v>
      </c>
      <c r="AE164" s="31">
        <v>838.99</v>
      </c>
      <c r="AF164" s="34" t="s">
        <v>3853</v>
      </c>
      <c r="AG164" s="34">
        <v>0.0</v>
      </c>
      <c r="AH164" s="34">
        <v>100.0</v>
      </c>
      <c r="AI164" s="34">
        <v>0.0</v>
      </c>
      <c r="AJ164" s="34">
        <v>0.0</v>
      </c>
      <c r="AK164" s="33">
        <f>COUNTIFS('Data For Calculation - Insuranc'!A:A,A164,'Data For Calculation - Insuranc'!E:E,"Assistance + CPA : 5 Years")</f>
        <v>0</v>
      </c>
      <c r="AL164" s="30" t="s">
        <v>3820</v>
      </c>
      <c r="AM164" s="31">
        <v>290.0</v>
      </c>
      <c r="AN164" s="34" t="s">
        <v>3853</v>
      </c>
      <c r="AO164" s="34">
        <v>0.0</v>
      </c>
      <c r="AP164" s="34">
        <v>100.0</v>
      </c>
      <c r="AQ164" s="34">
        <v>0.0</v>
      </c>
      <c r="AR164" s="34">
        <v>0.0</v>
      </c>
      <c r="AS164" s="33">
        <f>COUNTIFS('Data For Calculation - Insuranc'!A:A,A164,'Data For Calculation - Insuranc'!E:E,"RSA + AHDC + DOC")</f>
        <v>0</v>
      </c>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f t="shared" si="1"/>
        <v>0</v>
      </c>
      <c r="BS164" s="33">
        <f>SUMIFS('Data For Calculation - Insuranc'!I:I,'Data For Calculation - Insuranc'!$A:$A,$A164)</f>
        <v>0</v>
      </c>
      <c r="BT164" s="33">
        <f>SUMIFS('Data For Calculation - Insuranc'!J:J,'Data For Calculation - Insuranc'!$A:$A,$A164)</f>
        <v>0</v>
      </c>
      <c r="BU164" s="33">
        <f>SUMIFS('Data For Calculation - Insuranc'!K:K,'Data For Calculation - Insuranc'!$A:$A,$A164)</f>
        <v>0</v>
      </c>
      <c r="BV164" s="33">
        <f>IF($CC164 = "Dealer", SUMIFS('Data For Calculation - Insuranc'!I:I,'Data For Calculation - Insuranc'!$B:$B,$A164,'Data For Calculation - Insuranc'!$H:$H,"Master Dealer")) + SUMIFS('Data For Calculation - Insuranc'!I:I,'Data For Calculation - Insuranc'!$A:$A,$A164,'Data For Calculation - Insuranc'!$H:$H,"Self")</f>
        <v>0</v>
      </c>
      <c r="BW164" s="33">
        <f>IF($CC164 = "Dealer", SUMIFS('Data For Calculation - Insuranc'!J:J,'Data For Calculation - Insuranc'!$B:$B,$A164,'Data For Calculation - Insuranc'!$H:$H,"Master Dealer")) + SUMIFS('Data For Calculation - Insuranc'!J:J,'Data For Calculation - Insuranc'!$A:$A,$A164,'Data For Calculation - Insuranc'!$H:$H,"Self")</f>
        <v>0</v>
      </c>
      <c r="BX164" s="33">
        <f>IF($CC164 = "Dealer", SUMIFS('Data For Calculation - Insuranc'!K:K,'Data For Calculation - Insuranc'!$B:$B,$A164,'Data For Calculation - Insuranc'!$H:$H,"Master Dealer")) + SUMIFS('Data For Calculation - Insuranc'!K:K,'Data For Calculation - Insuranc'!$A:$A,$A164,'Data For Calculation - Insuranc'!$H:$H,"Self")</f>
        <v>0</v>
      </c>
      <c r="BY164" s="25" t="str">
        <f>(Sheet1!N164)</f>
        <v>Shri Durga Motors</v>
      </c>
      <c r="BZ164" s="25" t="str">
        <f>(Sheet1!O164)</f>
        <v>1LnxzSZR-Hn1GFJEM91CqSDi8yQ1-11OqyVT04QUkFAM</v>
      </c>
      <c r="CA164" s="25" t="str">
        <f>(Sheet1!AV164)</f>
        <v/>
      </c>
      <c r="CB164" s="25" t="str">
        <f>(Sheet1!AW164)</f>
        <v/>
      </c>
      <c r="CC164" s="26" t="str">
        <f>(Sheet1!P164)</f>
        <v>Sub Dealer</v>
      </c>
    </row>
    <row r="165">
      <c r="A165" s="25" t="str">
        <f>(Sheet1!A165)</f>
        <v>1U0Ayati-OdaXS_d4dcZK-B_eN6wBy_dqoN1Vmk0t45Y</v>
      </c>
      <c r="B165" s="25" t="str">
        <f>(Sheet1!B165)</f>
        <v>Umar Nisar Automobiles - Gulaothi</v>
      </c>
      <c r="C165" s="30" t="str">
        <f>Sheet1!BB165</f>
        <v>No</v>
      </c>
      <c r="D165" s="30" t="s">
        <v>13</v>
      </c>
      <c r="E165" s="34" t="s">
        <v>13</v>
      </c>
      <c r="F165" s="30" t="s">
        <v>3820</v>
      </c>
      <c r="G165" s="31">
        <v>290.0</v>
      </c>
      <c r="H165" s="34" t="s">
        <v>3853</v>
      </c>
      <c r="I165" s="34">
        <v>0.0</v>
      </c>
      <c r="J165" s="34">
        <v>100.0</v>
      </c>
      <c r="K165" s="34">
        <v>0.0</v>
      </c>
      <c r="L165" s="34">
        <v>0.0</v>
      </c>
      <c r="M165" s="33">
        <f>COUNTIFS('Data For Calculation - Insuranc'!A:A,A165,'Data For Calculation - Insuranc'!E:E,"CPA + RSA")</f>
        <v>0</v>
      </c>
      <c r="N165" s="30" t="s">
        <v>3820</v>
      </c>
      <c r="O165" s="31">
        <v>460.0</v>
      </c>
      <c r="P165" s="34" t="s">
        <v>3853</v>
      </c>
      <c r="Q165" s="34">
        <v>0.0</v>
      </c>
      <c r="R165" s="34">
        <v>100.0</v>
      </c>
      <c r="S165" s="34">
        <v>0.0</v>
      </c>
      <c r="T165" s="34">
        <v>0.0</v>
      </c>
      <c r="U165" s="33">
        <f>COUNTIFS('Data For Calculation - Insuranc'!A:A,A165,'Data For Calculation - Insuranc'!E:E,"CPA + RSA + AHDC + DOC")</f>
        <v>0</v>
      </c>
      <c r="V165" s="30" t="s">
        <v>3820</v>
      </c>
      <c r="W165" s="34">
        <v>838.99</v>
      </c>
      <c r="X165" s="34" t="s">
        <v>3853</v>
      </c>
      <c r="Y165" s="34">
        <v>0.0</v>
      </c>
      <c r="Z165" s="34">
        <v>100.0</v>
      </c>
      <c r="AA165" s="34">
        <v>0.0</v>
      </c>
      <c r="AB165" s="34">
        <v>0.0</v>
      </c>
      <c r="AC165" s="33">
        <f>COUNTIFS('Data For Calculation - Insuranc'!A:A,A165,'Data For Calculation - Insuranc'!E:E,"CPA + RSA : 5 Years")</f>
        <v>0</v>
      </c>
      <c r="AD165" s="30" t="s">
        <v>3820</v>
      </c>
      <c r="AE165" s="31">
        <v>838.99</v>
      </c>
      <c r="AF165" s="34" t="s">
        <v>3853</v>
      </c>
      <c r="AG165" s="34">
        <v>0.0</v>
      </c>
      <c r="AH165" s="34">
        <v>100.0</v>
      </c>
      <c r="AI165" s="34">
        <v>0.0</v>
      </c>
      <c r="AJ165" s="34">
        <v>0.0</v>
      </c>
      <c r="AK165" s="33">
        <f>COUNTIFS('Data For Calculation - Insuranc'!A:A,A165,'Data For Calculation - Insuranc'!E:E,"Assistance + CPA : 5 Years")</f>
        <v>0</v>
      </c>
      <c r="AL165" s="30" t="s">
        <v>3820</v>
      </c>
      <c r="AM165" s="31">
        <v>290.0</v>
      </c>
      <c r="AN165" s="34" t="s">
        <v>3853</v>
      </c>
      <c r="AO165" s="34">
        <v>0.0</v>
      </c>
      <c r="AP165" s="34">
        <v>100.0</v>
      </c>
      <c r="AQ165" s="34">
        <v>0.0</v>
      </c>
      <c r="AR165" s="34">
        <v>0.0</v>
      </c>
      <c r="AS165" s="33">
        <f>COUNTIFS('Data For Calculation - Insuranc'!A:A,A165,'Data For Calculation - Insuranc'!E:E,"RSA + AHDC + DOC")</f>
        <v>0</v>
      </c>
      <c r="AT165" s="33"/>
      <c r="AU165" s="33"/>
      <c r="AV165" s="33"/>
      <c r="AW165" s="33"/>
      <c r="AX165" s="33"/>
      <c r="AY165" s="33"/>
      <c r="AZ165" s="33"/>
      <c r="BA165" s="33"/>
      <c r="BB165" s="33"/>
      <c r="BC165" s="33"/>
      <c r="BD165" s="33"/>
      <c r="BE165" s="33"/>
      <c r="BF165" s="33"/>
      <c r="BG165" s="33"/>
      <c r="BH165" s="33"/>
      <c r="BI165" s="33"/>
      <c r="BJ165" s="33"/>
      <c r="BK165" s="33"/>
      <c r="BL165" s="33"/>
      <c r="BM165" s="33"/>
      <c r="BN165" s="33"/>
      <c r="BO165" s="33"/>
      <c r="BP165" s="33"/>
      <c r="BQ165" s="33"/>
      <c r="BR165" s="33">
        <f t="shared" si="1"/>
        <v>0</v>
      </c>
      <c r="BS165" s="33">
        <f>SUMIFS('Data For Calculation - Insuranc'!I:I,'Data For Calculation - Insuranc'!$A:$A,$A165)</f>
        <v>0</v>
      </c>
      <c r="BT165" s="33">
        <f>SUMIFS('Data For Calculation - Insuranc'!J:J,'Data For Calculation - Insuranc'!$A:$A,$A165)</f>
        <v>0</v>
      </c>
      <c r="BU165" s="33">
        <f>SUMIFS('Data For Calculation - Insuranc'!K:K,'Data For Calculation - Insuranc'!$A:$A,$A165)</f>
        <v>0</v>
      </c>
      <c r="BV165" s="33">
        <f>IF($CC165 = "Dealer", SUMIFS('Data For Calculation - Insuranc'!I:I,'Data For Calculation - Insuranc'!$B:$B,$A165,'Data For Calculation - Insuranc'!$H:$H,"Master Dealer")) + SUMIFS('Data For Calculation - Insuranc'!I:I,'Data For Calculation - Insuranc'!$A:$A,$A165,'Data For Calculation - Insuranc'!$H:$H,"Self")</f>
        <v>0</v>
      </c>
      <c r="BW165" s="33">
        <f>IF($CC165 = "Dealer", SUMIFS('Data For Calculation - Insuranc'!J:J,'Data For Calculation - Insuranc'!$B:$B,$A165,'Data For Calculation - Insuranc'!$H:$H,"Master Dealer")) + SUMIFS('Data For Calculation - Insuranc'!J:J,'Data For Calculation - Insuranc'!$A:$A,$A165,'Data For Calculation - Insuranc'!$H:$H,"Self")</f>
        <v>0</v>
      </c>
      <c r="BX165" s="33">
        <f>IF($CC165 = "Dealer", SUMIFS('Data For Calculation - Insuranc'!K:K,'Data For Calculation - Insuranc'!$B:$B,$A165,'Data For Calculation - Insuranc'!$H:$H,"Master Dealer")) + SUMIFS('Data For Calculation - Insuranc'!K:K,'Data For Calculation - Insuranc'!$A:$A,$A165,'Data For Calculation - Insuranc'!$H:$H,"Self")</f>
        <v>0</v>
      </c>
      <c r="BY165" s="25" t="str">
        <f>(Sheet1!N165)</f>
        <v>Shri Durga Motors</v>
      </c>
      <c r="BZ165" s="25" t="str">
        <f>(Sheet1!O165)</f>
        <v>1LnxzSZR-Hn1GFJEM91CqSDi8yQ1-11OqyVT04QUkFAM</v>
      </c>
      <c r="CA165" s="25" t="str">
        <f>(Sheet1!AV165)</f>
        <v/>
      </c>
      <c r="CB165" s="25" t="str">
        <f>(Sheet1!AW165)</f>
        <v/>
      </c>
      <c r="CC165" s="26" t="str">
        <f>(Sheet1!P165)</f>
        <v>Sub Dealer</v>
      </c>
    </row>
    <row r="166">
      <c r="A166" s="25" t="str">
        <f>(Sheet1!A166)</f>
        <v>1zei1ne3QpSt186ff-L2PaKoV0maqqSe-91NIiwTBSko</v>
      </c>
      <c r="B166" s="25" t="str">
        <f>(Sheet1!B166)</f>
        <v>Agrawal Motors (SDM) - Siyana</v>
      </c>
      <c r="C166" s="30" t="str">
        <f>Sheet1!BB166</f>
        <v>No</v>
      </c>
      <c r="D166" s="30" t="s">
        <v>13</v>
      </c>
      <c r="E166" s="34" t="s">
        <v>13</v>
      </c>
      <c r="F166" s="30" t="s">
        <v>3820</v>
      </c>
      <c r="G166" s="31">
        <v>290.0</v>
      </c>
      <c r="H166" s="34" t="s">
        <v>3853</v>
      </c>
      <c r="I166" s="34">
        <v>0.0</v>
      </c>
      <c r="J166" s="34">
        <v>100.0</v>
      </c>
      <c r="K166" s="34">
        <v>0.0</v>
      </c>
      <c r="L166" s="34">
        <v>0.0</v>
      </c>
      <c r="M166" s="33">
        <f>COUNTIFS('Data For Calculation - Insuranc'!A:A,A166,'Data For Calculation - Insuranc'!E:E,"CPA + RSA")</f>
        <v>0</v>
      </c>
      <c r="N166" s="30" t="s">
        <v>3820</v>
      </c>
      <c r="O166" s="31">
        <v>460.0</v>
      </c>
      <c r="P166" s="34" t="s">
        <v>3853</v>
      </c>
      <c r="Q166" s="34">
        <v>0.0</v>
      </c>
      <c r="R166" s="34">
        <v>100.0</v>
      </c>
      <c r="S166" s="34">
        <v>0.0</v>
      </c>
      <c r="T166" s="34">
        <v>0.0</v>
      </c>
      <c r="U166" s="33">
        <f>COUNTIFS('Data For Calculation - Insuranc'!A:A,A166,'Data For Calculation - Insuranc'!E:E,"CPA + RSA + AHDC + DOC")</f>
        <v>0</v>
      </c>
      <c r="V166" s="30" t="s">
        <v>3820</v>
      </c>
      <c r="W166" s="34">
        <v>838.99</v>
      </c>
      <c r="X166" s="34" t="s">
        <v>3853</v>
      </c>
      <c r="Y166" s="34">
        <v>0.0</v>
      </c>
      <c r="Z166" s="34">
        <v>100.0</v>
      </c>
      <c r="AA166" s="34">
        <v>0.0</v>
      </c>
      <c r="AB166" s="34">
        <v>0.0</v>
      </c>
      <c r="AC166" s="33">
        <f>COUNTIFS('Data For Calculation - Insuranc'!A:A,A166,'Data For Calculation - Insuranc'!E:E,"CPA + RSA : 5 Years")</f>
        <v>0</v>
      </c>
      <c r="AD166" s="30" t="s">
        <v>3820</v>
      </c>
      <c r="AE166" s="31">
        <v>838.99</v>
      </c>
      <c r="AF166" s="34" t="s">
        <v>3853</v>
      </c>
      <c r="AG166" s="34">
        <v>0.0</v>
      </c>
      <c r="AH166" s="34">
        <v>100.0</v>
      </c>
      <c r="AI166" s="34">
        <v>0.0</v>
      </c>
      <c r="AJ166" s="34">
        <v>0.0</v>
      </c>
      <c r="AK166" s="33">
        <f>COUNTIFS('Data For Calculation - Insuranc'!A:A,A166,'Data For Calculation - Insuranc'!E:E,"Assistance + CPA : 5 Years")</f>
        <v>0</v>
      </c>
      <c r="AL166" s="30" t="s">
        <v>3820</v>
      </c>
      <c r="AM166" s="31">
        <v>290.0</v>
      </c>
      <c r="AN166" s="34" t="s">
        <v>3853</v>
      </c>
      <c r="AO166" s="34">
        <v>0.0</v>
      </c>
      <c r="AP166" s="34">
        <v>100.0</v>
      </c>
      <c r="AQ166" s="34">
        <v>0.0</v>
      </c>
      <c r="AR166" s="34">
        <v>0.0</v>
      </c>
      <c r="AS166" s="33">
        <f>COUNTIFS('Data For Calculation - Insuranc'!A:A,A166,'Data For Calculation - Insuranc'!E:E,"RSA + AHDC + DOC")</f>
        <v>0</v>
      </c>
      <c r="AT166" s="33"/>
      <c r="AU166" s="33"/>
      <c r="AV166" s="33"/>
      <c r="AW166" s="33"/>
      <c r="AX166" s="33"/>
      <c r="AY166" s="33"/>
      <c r="AZ166" s="33"/>
      <c r="BA166" s="33"/>
      <c r="BB166" s="33"/>
      <c r="BC166" s="33"/>
      <c r="BD166" s="33"/>
      <c r="BE166" s="33"/>
      <c r="BF166" s="33"/>
      <c r="BG166" s="33"/>
      <c r="BH166" s="33"/>
      <c r="BI166" s="33"/>
      <c r="BJ166" s="33"/>
      <c r="BK166" s="33"/>
      <c r="BL166" s="33"/>
      <c r="BM166" s="33"/>
      <c r="BN166" s="33"/>
      <c r="BO166" s="33"/>
      <c r="BP166" s="33"/>
      <c r="BQ166" s="33"/>
      <c r="BR166" s="33">
        <f t="shared" si="1"/>
        <v>0</v>
      </c>
      <c r="BS166" s="33">
        <f>SUMIFS('Data For Calculation - Insuranc'!I:I,'Data For Calculation - Insuranc'!$A:$A,$A166)</f>
        <v>0</v>
      </c>
      <c r="BT166" s="33">
        <f>SUMIFS('Data For Calculation - Insuranc'!J:J,'Data For Calculation - Insuranc'!$A:$A,$A166)</f>
        <v>0</v>
      </c>
      <c r="BU166" s="33">
        <f>SUMIFS('Data For Calculation - Insuranc'!K:K,'Data For Calculation - Insuranc'!$A:$A,$A166)</f>
        <v>0</v>
      </c>
      <c r="BV166" s="33">
        <f>IF($CC166 = "Dealer", SUMIFS('Data For Calculation - Insuranc'!I:I,'Data For Calculation - Insuranc'!$B:$B,$A166,'Data For Calculation - Insuranc'!$H:$H,"Master Dealer")) + SUMIFS('Data For Calculation - Insuranc'!I:I,'Data For Calculation - Insuranc'!$A:$A,$A166,'Data For Calculation - Insuranc'!$H:$H,"Self")</f>
        <v>0</v>
      </c>
      <c r="BW166" s="33">
        <f>IF($CC166 = "Dealer", SUMIFS('Data For Calculation - Insuranc'!J:J,'Data For Calculation - Insuranc'!$B:$B,$A166,'Data For Calculation - Insuranc'!$H:$H,"Master Dealer")) + SUMIFS('Data For Calculation - Insuranc'!J:J,'Data For Calculation - Insuranc'!$A:$A,$A166,'Data For Calculation - Insuranc'!$H:$H,"Self")</f>
        <v>0</v>
      </c>
      <c r="BX166" s="33">
        <f>IF($CC166 = "Dealer", SUMIFS('Data For Calculation - Insuranc'!K:K,'Data For Calculation - Insuranc'!$B:$B,$A166,'Data For Calculation - Insuranc'!$H:$H,"Master Dealer")) + SUMIFS('Data For Calculation - Insuranc'!K:K,'Data For Calculation - Insuranc'!$A:$A,$A166,'Data For Calculation - Insuranc'!$H:$H,"Self")</f>
        <v>0</v>
      </c>
      <c r="BY166" s="25" t="str">
        <f>(Sheet1!N166)</f>
        <v>Shri Durga Motors</v>
      </c>
      <c r="BZ166" s="25" t="str">
        <f>(Sheet1!O166)</f>
        <v>1LnxzSZR-Hn1GFJEM91CqSDi8yQ1-11OqyVT04QUkFAM</v>
      </c>
      <c r="CA166" s="25" t="str">
        <f>(Sheet1!AV166)</f>
        <v/>
      </c>
      <c r="CB166" s="25" t="str">
        <f>(Sheet1!AW166)</f>
        <v/>
      </c>
      <c r="CC166" s="26" t="str">
        <f>(Sheet1!P166)</f>
        <v>Sub Dealer</v>
      </c>
    </row>
    <row r="167">
      <c r="A167" s="25" t="str">
        <f>(Sheet1!A167)</f>
        <v>1EqLBGhhw88ePbxTSdniMo_of3cuMUNJduNtdzPonF7w</v>
      </c>
      <c r="B167" s="25" t="str">
        <f>(Sheet1!B167)</f>
        <v>SHREE SAI AUTOMOBILE</v>
      </c>
      <c r="C167" s="30" t="str">
        <f>Sheet1!BB167</f>
        <v>No</v>
      </c>
      <c r="D167" s="30" t="s">
        <v>13</v>
      </c>
      <c r="E167" s="34" t="s">
        <v>13</v>
      </c>
      <c r="F167" s="30" t="s">
        <v>3856</v>
      </c>
      <c r="G167" s="31">
        <v>290.0</v>
      </c>
      <c r="H167" s="34" t="s">
        <v>3853</v>
      </c>
      <c r="I167" s="34">
        <v>0.0</v>
      </c>
      <c r="J167" s="34">
        <v>100.0</v>
      </c>
      <c r="K167" s="34">
        <v>0.0</v>
      </c>
      <c r="L167" s="34">
        <v>0.0</v>
      </c>
      <c r="M167" s="33">
        <f>COUNTIFS('Data For Calculation - Insuranc'!A:A,A167,'Data For Calculation - Insuranc'!E:E,"CPA + RSA")</f>
        <v>0</v>
      </c>
      <c r="N167" s="30" t="s">
        <v>3856</v>
      </c>
      <c r="O167" s="31">
        <v>460.0</v>
      </c>
      <c r="P167" s="34" t="s">
        <v>3853</v>
      </c>
      <c r="Q167" s="34">
        <v>0.0</v>
      </c>
      <c r="R167" s="34">
        <v>100.0</v>
      </c>
      <c r="S167" s="34">
        <v>0.0</v>
      </c>
      <c r="T167" s="34">
        <v>0.0</v>
      </c>
      <c r="U167" s="33">
        <f>COUNTIFS('Data For Calculation - Insuranc'!A:A,A167,'Data For Calculation - Insuranc'!E:E,"CPA + RSA + AHDC + DOC")</f>
        <v>0</v>
      </c>
      <c r="V167" s="30" t="s">
        <v>3856</v>
      </c>
      <c r="W167" s="34">
        <v>838.99</v>
      </c>
      <c r="X167" s="34" t="s">
        <v>3853</v>
      </c>
      <c r="Y167" s="34">
        <v>0.0</v>
      </c>
      <c r="Z167" s="34">
        <v>100.0</v>
      </c>
      <c r="AA167" s="34">
        <v>0.0</v>
      </c>
      <c r="AB167" s="34">
        <v>0.0</v>
      </c>
      <c r="AC167" s="33">
        <f>COUNTIFS('Data For Calculation - Insuranc'!A:A,A167,'Data For Calculation - Insuranc'!E:E,"CPA + RSA : 5 Years")</f>
        <v>0</v>
      </c>
      <c r="AD167" s="30" t="s">
        <v>3856</v>
      </c>
      <c r="AE167" s="31">
        <v>838.99</v>
      </c>
      <c r="AF167" s="34" t="s">
        <v>3853</v>
      </c>
      <c r="AG167" s="34">
        <v>0.0</v>
      </c>
      <c r="AH167" s="34">
        <v>100.0</v>
      </c>
      <c r="AI167" s="34">
        <v>0.0</v>
      </c>
      <c r="AJ167" s="34">
        <v>0.0</v>
      </c>
      <c r="AK167" s="33">
        <f>COUNTIFS('Data For Calculation - Insuranc'!A:A,A167,'Data For Calculation - Insuranc'!E:E,"Assistance + CPA : 5 Years")</f>
        <v>0</v>
      </c>
      <c r="AL167" s="30" t="s">
        <v>3856</v>
      </c>
      <c r="AM167" s="31">
        <v>290.0</v>
      </c>
      <c r="AN167" s="34" t="s">
        <v>3853</v>
      </c>
      <c r="AO167" s="34">
        <v>0.0</v>
      </c>
      <c r="AP167" s="34">
        <v>100.0</v>
      </c>
      <c r="AQ167" s="34">
        <v>0.0</v>
      </c>
      <c r="AR167" s="34">
        <v>0.0</v>
      </c>
      <c r="AS167" s="33">
        <f>COUNTIFS('Data For Calculation - Insuranc'!A:A,A167,'Data For Calculation - Insuranc'!E:E,"RSA + AHDC + DOC")</f>
        <v>0</v>
      </c>
      <c r="AT167" s="33"/>
      <c r="AU167" s="33"/>
      <c r="AV167" s="33"/>
      <c r="AW167" s="33"/>
      <c r="AX167" s="33"/>
      <c r="AY167" s="33"/>
      <c r="AZ167" s="33"/>
      <c r="BA167" s="33"/>
      <c r="BB167" s="33"/>
      <c r="BC167" s="33"/>
      <c r="BD167" s="33"/>
      <c r="BE167" s="33"/>
      <c r="BF167" s="33"/>
      <c r="BG167" s="33"/>
      <c r="BH167" s="33"/>
      <c r="BI167" s="33"/>
      <c r="BJ167" s="33"/>
      <c r="BK167" s="33"/>
      <c r="BL167" s="33"/>
      <c r="BM167" s="33"/>
      <c r="BN167" s="33"/>
      <c r="BO167" s="33"/>
      <c r="BP167" s="33"/>
      <c r="BQ167" s="33"/>
      <c r="BR167" s="33">
        <f t="shared" si="1"/>
        <v>0</v>
      </c>
      <c r="BS167" s="33">
        <f>SUMIFS('Data For Calculation - Insuranc'!I:I,'Data For Calculation - Insuranc'!$A:$A,$A167)</f>
        <v>0</v>
      </c>
      <c r="BT167" s="33">
        <f>SUMIFS('Data For Calculation - Insuranc'!J:J,'Data For Calculation - Insuranc'!$A:$A,$A167)</f>
        <v>0</v>
      </c>
      <c r="BU167" s="33">
        <f>SUMIFS('Data For Calculation - Insuranc'!K:K,'Data For Calculation - Insuranc'!$A:$A,$A167)</f>
        <v>0</v>
      </c>
      <c r="BV167" s="33">
        <f>IF($CC167 = "Dealer", SUMIFS('Data For Calculation - Insuranc'!I:I,'Data For Calculation - Insuranc'!$B:$B,$A167,'Data For Calculation - Insuranc'!$H:$H,"Master Dealer")) + SUMIFS('Data For Calculation - Insuranc'!I:I,'Data For Calculation - Insuranc'!$A:$A,$A167,'Data For Calculation - Insuranc'!$H:$H,"Self")</f>
        <v>0</v>
      </c>
      <c r="BW167" s="33">
        <f>IF($CC167 = "Dealer", SUMIFS('Data For Calculation - Insuranc'!J:J,'Data For Calculation - Insuranc'!$B:$B,$A167,'Data For Calculation - Insuranc'!$H:$H,"Master Dealer")) + SUMIFS('Data For Calculation - Insuranc'!J:J,'Data For Calculation - Insuranc'!$A:$A,$A167,'Data For Calculation - Insuranc'!$H:$H,"Self")</f>
        <v>0</v>
      </c>
      <c r="BX167" s="33">
        <f>IF($CC167 = "Dealer", SUMIFS('Data For Calculation - Insuranc'!K:K,'Data For Calculation - Insuranc'!$B:$B,$A167,'Data For Calculation - Insuranc'!$H:$H,"Master Dealer")) + SUMIFS('Data For Calculation - Insuranc'!K:K,'Data For Calculation - Insuranc'!$A:$A,$A167,'Data For Calculation - Insuranc'!$H:$H,"Self")</f>
        <v>0</v>
      </c>
      <c r="BY167" s="25" t="str">
        <f>(Sheet1!N167)</f>
        <v>SHREE SAI AUTOMOBILE</v>
      </c>
      <c r="BZ167" s="25" t="str">
        <f>(Sheet1!O167)</f>
        <v>1EqLBGhhw88ePbxTSdniMo_of3cuMUNJduNtdzPonF7w</v>
      </c>
      <c r="CA167" s="25" t="str">
        <f>(Sheet1!AV167)</f>
        <v/>
      </c>
      <c r="CB167" s="25" t="str">
        <f>(Sheet1!AW167)</f>
        <v/>
      </c>
      <c r="CC167" s="26" t="str">
        <f>(Sheet1!P167)</f>
        <v>Dealer</v>
      </c>
    </row>
    <row r="168">
      <c r="A168" s="25" t="str">
        <f>(Sheet1!A168)</f>
        <v>1O_YH7HeoRy08ymR5SENYSag175TzKlknDTuYKpt1BUk</v>
      </c>
      <c r="B168" s="25" t="str">
        <f>(Sheet1!B168)</f>
        <v>Aditya Kapil</v>
      </c>
      <c r="C168" s="30" t="str">
        <f>Sheet1!BB168</f>
        <v>No</v>
      </c>
      <c r="D168" s="30" t="s">
        <v>13</v>
      </c>
      <c r="E168" s="34" t="s">
        <v>13</v>
      </c>
      <c r="F168" s="30" t="s">
        <v>3817</v>
      </c>
      <c r="G168" s="31">
        <v>290.0</v>
      </c>
      <c r="H168" s="34" t="s">
        <v>3853</v>
      </c>
      <c r="I168" s="34">
        <v>0.0</v>
      </c>
      <c r="J168" s="34">
        <v>100.0</v>
      </c>
      <c r="K168" s="34">
        <v>0.0</v>
      </c>
      <c r="L168" s="34">
        <v>0.0</v>
      </c>
      <c r="M168" s="33">
        <f>COUNTIFS('Data For Calculation - Insuranc'!A:A,A168,'Data For Calculation - Insuranc'!E:E,"CPA + RSA")</f>
        <v>0</v>
      </c>
      <c r="N168" s="30" t="s">
        <v>3817</v>
      </c>
      <c r="O168" s="31">
        <v>460.0</v>
      </c>
      <c r="P168" s="34" t="s">
        <v>3853</v>
      </c>
      <c r="Q168" s="34">
        <v>0.0</v>
      </c>
      <c r="R168" s="34">
        <v>100.0</v>
      </c>
      <c r="S168" s="34">
        <v>0.0</v>
      </c>
      <c r="T168" s="34">
        <v>0.0</v>
      </c>
      <c r="U168" s="33">
        <f>COUNTIFS('Data For Calculation - Insuranc'!A:A,A168,'Data For Calculation - Insuranc'!E:E,"CPA + RSA + AHDC + DOC")</f>
        <v>0</v>
      </c>
      <c r="V168" s="30" t="s">
        <v>3817</v>
      </c>
      <c r="W168" s="34">
        <v>838.99</v>
      </c>
      <c r="X168" s="34" t="s">
        <v>3853</v>
      </c>
      <c r="Y168" s="34">
        <v>0.0</v>
      </c>
      <c r="Z168" s="34">
        <v>100.0</v>
      </c>
      <c r="AA168" s="34">
        <v>0.0</v>
      </c>
      <c r="AB168" s="34">
        <v>0.0</v>
      </c>
      <c r="AC168" s="33">
        <f>COUNTIFS('Data For Calculation - Insuranc'!A:A,A168,'Data For Calculation - Insuranc'!E:E,"CPA + RSA : 5 Years")</f>
        <v>0</v>
      </c>
      <c r="AD168" s="30" t="s">
        <v>3817</v>
      </c>
      <c r="AE168" s="31">
        <v>838.99</v>
      </c>
      <c r="AF168" s="34" t="s">
        <v>3853</v>
      </c>
      <c r="AG168" s="34">
        <v>0.0</v>
      </c>
      <c r="AH168" s="34">
        <v>100.0</v>
      </c>
      <c r="AI168" s="34">
        <v>0.0</v>
      </c>
      <c r="AJ168" s="34">
        <v>0.0</v>
      </c>
      <c r="AK168" s="33">
        <f>COUNTIFS('Data For Calculation - Insuranc'!A:A,A168,'Data For Calculation - Insuranc'!E:E,"Assistance + CPA : 5 Years")</f>
        <v>0</v>
      </c>
      <c r="AL168" s="30" t="s">
        <v>3817</v>
      </c>
      <c r="AM168" s="31">
        <v>290.0</v>
      </c>
      <c r="AN168" s="34" t="s">
        <v>3853</v>
      </c>
      <c r="AO168" s="34">
        <v>0.0</v>
      </c>
      <c r="AP168" s="34">
        <v>100.0</v>
      </c>
      <c r="AQ168" s="34">
        <v>0.0</v>
      </c>
      <c r="AR168" s="34">
        <v>0.0</v>
      </c>
      <c r="AS168" s="33">
        <f>COUNTIFS('Data For Calculation - Insuranc'!A:A,A168,'Data For Calculation - Insuranc'!E:E,"RSA + AHDC + DOC")</f>
        <v>0</v>
      </c>
      <c r="AT168" s="33"/>
      <c r="AU168" s="33"/>
      <c r="AV168" s="33"/>
      <c r="AW168" s="33"/>
      <c r="AX168" s="33"/>
      <c r="AY168" s="33"/>
      <c r="AZ168" s="33"/>
      <c r="BA168" s="33"/>
      <c r="BB168" s="33"/>
      <c r="BC168" s="33"/>
      <c r="BD168" s="33"/>
      <c r="BE168" s="33"/>
      <c r="BF168" s="33"/>
      <c r="BG168" s="33"/>
      <c r="BH168" s="33"/>
      <c r="BI168" s="33"/>
      <c r="BJ168" s="33"/>
      <c r="BK168" s="33"/>
      <c r="BL168" s="33"/>
      <c r="BM168" s="33"/>
      <c r="BN168" s="33"/>
      <c r="BO168" s="33"/>
      <c r="BP168" s="33"/>
      <c r="BQ168" s="33"/>
      <c r="BR168" s="33">
        <f t="shared" si="1"/>
        <v>0</v>
      </c>
      <c r="BS168" s="33">
        <f>SUMIFS('Data For Calculation - Insuranc'!I:I,'Data For Calculation - Insuranc'!$A:$A,$A168)</f>
        <v>0</v>
      </c>
      <c r="BT168" s="33">
        <f>SUMIFS('Data For Calculation - Insuranc'!J:J,'Data For Calculation - Insuranc'!$A:$A,$A168)</f>
        <v>0</v>
      </c>
      <c r="BU168" s="33">
        <f>SUMIFS('Data For Calculation - Insuranc'!K:K,'Data For Calculation - Insuranc'!$A:$A,$A168)</f>
        <v>0</v>
      </c>
      <c r="BV168" s="33">
        <f>IF($CC168 = "Dealer", SUMIFS('Data For Calculation - Insuranc'!I:I,'Data For Calculation - Insuranc'!$B:$B,$A168,'Data For Calculation - Insuranc'!$H:$H,"Master Dealer")) + SUMIFS('Data For Calculation - Insuranc'!I:I,'Data For Calculation - Insuranc'!$A:$A,$A168,'Data For Calculation - Insuranc'!$H:$H,"Self")</f>
        <v>0</v>
      </c>
      <c r="BW168" s="33">
        <f>IF($CC168 = "Dealer", SUMIFS('Data For Calculation - Insuranc'!J:J,'Data For Calculation - Insuranc'!$B:$B,$A168,'Data For Calculation - Insuranc'!$H:$H,"Master Dealer")) + SUMIFS('Data For Calculation - Insuranc'!J:J,'Data For Calculation - Insuranc'!$A:$A,$A168,'Data For Calculation - Insuranc'!$H:$H,"Self")</f>
        <v>0</v>
      </c>
      <c r="BX168" s="33">
        <f>IF($CC168 = "Dealer", SUMIFS('Data For Calculation - Insuranc'!K:K,'Data For Calculation - Insuranc'!$B:$B,$A168,'Data For Calculation - Insuranc'!$H:$H,"Master Dealer")) + SUMIFS('Data For Calculation - Insuranc'!K:K,'Data For Calculation - Insuranc'!$A:$A,$A168,'Data For Calculation - Insuranc'!$H:$H,"Self")</f>
        <v>0</v>
      </c>
      <c r="BY168" s="25" t="str">
        <f>(Sheet1!N168)</f>
        <v>Aditya Kapil</v>
      </c>
      <c r="BZ168" s="25" t="str">
        <f>(Sheet1!O168)</f>
        <v>1O_YH7HeoRy08ymR5SENYSag175TzKlknDTuYKpt1BUk</v>
      </c>
      <c r="CA168" s="25" t="str">
        <f>(Sheet1!AV168)</f>
        <v/>
      </c>
      <c r="CB168" s="25" t="str">
        <f>(Sheet1!AW168)</f>
        <v/>
      </c>
      <c r="CC168" s="26" t="str">
        <f>(Sheet1!P168)</f>
        <v>Dealer</v>
      </c>
    </row>
    <row r="169">
      <c r="A169" s="25" t="str">
        <f>(Sheet1!A169)</f>
        <v>1B-m4X6iF3jRLf0ddVMd8f7C-8pwyVJ8yhSFcm_mYOvk</v>
      </c>
      <c r="B169" s="25" t="str">
        <f>(Sheet1!B169)</f>
        <v>LAXMI MOTORS- DEORIA(GAD)</v>
      </c>
      <c r="C169" s="30" t="str">
        <f>Sheet1!BB169</f>
        <v>No</v>
      </c>
      <c r="D169" s="30" t="s">
        <v>13</v>
      </c>
      <c r="E169" s="34" t="s">
        <v>13</v>
      </c>
      <c r="F169" s="30" t="s">
        <v>3820</v>
      </c>
      <c r="G169" s="31">
        <v>290.0</v>
      </c>
      <c r="H169" s="34" t="s">
        <v>3853</v>
      </c>
      <c r="I169" s="34">
        <v>0.0</v>
      </c>
      <c r="J169" s="34">
        <v>100.0</v>
      </c>
      <c r="K169" s="34">
        <v>0.0</v>
      </c>
      <c r="L169" s="34">
        <v>0.0</v>
      </c>
      <c r="M169" s="33">
        <f>COUNTIFS('Data For Calculation - Insuranc'!A:A,A169,'Data For Calculation - Insuranc'!E:E,"CPA + RSA")</f>
        <v>0</v>
      </c>
      <c r="N169" s="30" t="s">
        <v>3820</v>
      </c>
      <c r="O169" s="31">
        <v>460.0</v>
      </c>
      <c r="P169" s="34" t="s">
        <v>3853</v>
      </c>
      <c r="Q169" s="34">
        <v>0.0</v>
      </c>
      <c r="R169" s="34">
        <v>100.0</v>
      </c>
      <c r="S169" s="34">
        <v>0.0</v>
      </c>
      <c r="T169" s="34">
        <v>0.0</v>
      </c>
      <c r="U169" s="33">
        <f>COUNTIFS('Data For Calculation - Insuranc'!A:A,A169,'Data For Calculation - Insuranc'!E:E,"CPA + RSA + AHDC + DOC")</f>
        <v>0</v>
      </c>
      <c r="V169" s="30" t="s">
        <v>3820</v>
      </c>
      <c r="W169" s="34">
        <v>838.99</v>
      </c>
      <c r="X169" s="34" t="s">
        <v>3853</v>
      </c>
      <c r="Y169" s="34">
        <v>0.0</v>
      </c>
      <c r="Z169" s="34">
        <v>100.0</v>
      </c>
      <c r="AA169" s="34">
        <v>0.0</v>
      </c>
      <c r="AB169" s="34">
        <v>0.0</v>
      </c>
      <c r="AC169" s="33">
        <f>COUNTIFS('Data For Calculation - Insuranc'!A:A,A169,'Data For Calculation - Insuranc'!E:E,"CPA + RSA : 5 Years")</f>
        <v>0</v>
      </c>
      <c r="AD169" s="30" t="s">
        <v>3820</v>
      </c>
      <c r="AE169" s="31">
        <v>838.99</v>
      </c>
      <c r="AF169" s="34" t="s">
        <v>3853</v>
      </c>
      <c r="AG169" s="34">
        <v>0.0</v>
      </c>
      <c r="AH169" s="34">
        <v>100.0</v>
      </c>
      <c r="AI169" s="34">
        <v>0.0</v>
      </c>
      <c r="AJ169" s="34">
        <v>0.0</v>
      </c>
      <c r="AK169" s="33">
        <f>COUNTIFS('Data For Calculation - Insuranc'!A:A,A169,'Data For Calculation - Insuranc'!E:E,"Assistance + CPA : 5 Years")</f>
        <v>0</v>
      </c>
      <c r="AL169" s="30" t="s">
        <v>3820</v>
      </c>
      <c r="AM169" s="31">
        <v>290.0</v>
      </c>
      <c r="AN169" s="34" t="s">
        <v>3853</v>
      </c>
      <c r="AO169" s="34">
        <v>0.0</v>
      </c>
      <c r="AP169" s="34">
        <v>100.0</v>
      </c>
      <c r="AQ169" s="34">
        <v>0.0</v>
      </c>
      <c r="AR169" s="34">
        <v>0.0</v>
      </c>
      <c r="AS169" s="33">
        <f>COUNTIFS('Data For Calculation - Insuranc'!A:A,A169,'Data For Calculation - Insuranc'!E:E,"RSA + AHDC + DOC")</f>
        <v>0</v>
      </c>
      <c r="AT169" s="33"/>
      <c r="AU169" s="33"/>
      <c r="AV169" s="33"/>
      <c r="AW169" s="33"/>
      <c r="AX169" s="33"/>
      <c r="AY169" s="33"/>
      <c r="AZ169" s="33"/>
      <c r="BA169" s="33"/>
      <c r="BB169" s="33"/>
      <c r="BC169" s="33"/>
      <c r="BD169" s="33"/>
      <c r="BE169" s="33"/>
      <c r="BF169" s="33"/>
      <c r="BG169" s="33"/>
      <c r="BH169" s="33"/>
      <c r="BI169" s="33"/>
      <c r="BJ169" s="33"/>
      <c r="BK169" s="33"/>
      <c r="BL169" s="33"/>
      <c r="BM169" s="33"/>
      <c r="BN169" s="33"/>
      <c r="BO169" s="33"/>
      <c r="BP169" s="33"/>
      <c r="BQ169" s="33"/>
      <c r="BR169" s="33">
        <f t="shared" si="1"/>
        <v>0</v>
      </c>
      <c r="BS169" s="33">
        <f>SUMIFS('Data For Calculation - Insuranc'!I:I,'Data For Calculation - Insuranc'!$A:$A,$A169)</f>
        <v>0</v>
      </c>
      <c r="BT169" s="33">
        <f>SUMIFS('Data For Calculation - Insuranc'!J:J,'Data For Calculation - Insuranc'!$A:$A,$A169)</f>
        <v>0</v>
      </c>
      <c r="BU169" s="33">
        <f>SUMIFS('Data For Calculation - Insuranc'!K:K,'Data For Calculation - Insuranc'!$A:$A,$A169)</f>
        <v>0</v>
      </c>
      <c r="BV169" s="33">
        <f>IF($CC169 = "Dealer", SUMIFS('Data For Calculation - Insuranc'!I:I,'Data For Calculation - Insuranc'!$B:$B,$A169,'Data For Calculation - Insuranc'!$H:$H,"Master Dealer")) + SUMIFS('Data For Calculation - Insuranc'!I:I,'Data For Calculation - Insuranc'!$A:$A,$A169,'Data For Calculation - Insuranc'!$H:$H,"Self")</f>
        <v>0</v>
      </c>
      <c r="BW169" s="33">
        <f>IF($CC169 = "Dealer", SUMIFS('Data For Calculation - Insuranc'!J:J,'Data For Calculation - Insuranc'!$B:$B,$A169,'Data For Calculation - Insuranc'!$H:$H,"Master Dealer")) + SUMIFS('Data For Calculation - Insuranc'!J:J,'Data For Calculation - Insuranc'!$A:$A,$A169,'Data For Calculation - Insuranc'!$H:$H,"Self")</f>
        <v>0</v>
      </c>
      <c r="BX169" s="33">
        <f>IF($CC169 = "Dealer", SUMIFS('Data For Calculation - Insuranc'!K:K,'Data For Calculation - Insuranc'!$B:$B,$A169,'Data For Calculation - Insuranc'!$H:$H,"Master Dealer")) + SUMIFS('Data For Calculation - Insuranc'!K:K,'Data For Calculation - Insuranc'!$A:$A,$A169,'Data For Calculation - Insuranc'!$H:$H,"Self")</f>
        <v>0</v>
      </c>
      <c r="BY169" s="25" t="str">
        <f>(Sheet1!N169)</f>
        <v>LAXMI MOTORS- DEORIA(GAD)</v>
      </c>
      <c r="BZ169" s="25" t="str">
        <f>(Sheet1!O169)</f>
        <v>1B-m4X6iF3jRLf0ddVMd8f7C-8pwyVJ8yhSFcm_mYOvk</v>
      </c>
      <c r="CA169" s="25" t="str">
        <f>(Sheet1!AV169)</f>
        <v/>
      </c>
      <c r="CB169" s="25" t="str">
        <f>(Sheet1!AW169)</f>
        <v/>
      </c>
      <c r="CC169" s="26" t="str">
        <f>(Sheet1!P169)</f>
        <v>Dealer</v>
      </c>
    </row>
    <row r="170">
      <c r="A170" s="25" t="str">
        <f>(Sheet1!A170)</f>
        <v>13Q6lXJAgG-rKIYYEKfXUKjvucEdoR4-WM0JvV0evp2A</v>
      </c>
      <c r="B170" s="25" t="str">
        <f>(Sheet1!B170)</f>
        <v>PREMA HONDA-MAHENDRU</v>
      </c>
      <c r="C170" s="30" t="str">
        <f>Sheet1!BB170</f>
        <v>No</v>
      </c>
      <c r="D170" s="30" t="s">
        <v>13</v>
      </c>
      <c r="E170" s="34" t="s">
        <v>13</v>
      </c>
      <c r="F170" s="30" t="s">
        <v>3820</v>
      </c>
      <c r="G170" s="31">
        <v>290.0</v>
      </c>
      <c r="H170" s="34" t="s">
        <v>3853</v>
      </c>
      <c r="I170" s="34">
        <v>0.0</v>
      </c>
      <c r="J170" s="34">
        <v>100.0</v>
      </c>
      <c r="K170" s="34">
        <v>0.0</v>
      </c>
      <c r="L170" s="34">
        <v>0.0</v>
      </c>
      <c r="M170" s="33">
        <f>COUNTIFS('Data For Calculation - Insuranc'!A:A,A170,'Data For Calculation - Insuranc'!E:E,"CPA + RSA")</f>
        <v>0</v>
      </c>
      <c r="N170" s="30" t="s">
        <v>3820</v>
      </c>
      <c r="O170" s="31">
        <v>460.0</v>
      </c>
      <c r="P170" s="34" t="s">
        <v>3853</v>
      </c>
      <c r="Q170" s="34">
        <v>0.0</v>
      </c>
      <c r="R170" s="34">
        <v>100.0</v>
      </c>
      <c r="S170" s="34">
        <v>0.0</v>
      </c>
      <c r="T170" s="34">
        <v>0.0</v>
      </c>
      <c r="U170" s="33">
        <f>COUNTIFS('Data For Calculation - Insuranc'!A:A,A170,'Data For Calculation - Insuranc'!E:E,"CPA + RSA + AHDC + DOC")</f>
        <v>0</v>
      </c>
      <c r="V170" s="30" t="s">
        <v>3820</v>
      </c>
      <c r="W170" s="34">
        <v>838.99</v>
      </c>
      <c r="X170" s="34" t="s">
        <v>3853</v>
      </c>
      <c r="Y170" s="34">
        <v>0.0</v>
      </c>
      <c r="Z170" s="34">
        <v>100.0</v>
      </c>
      <c r="AA170" s="34">
        <v>0.0</v>
      </c>
      <c r="AB170" s="34">
        <v>0.0</v>
      </c>
      <c r="AC170" s="33">
        <f>COUNTIFS('Data For Calculation - Insuranc'!A:A,A170,'Data For Calculation - Insuranc'!E:E,"CPA + RSA : 5 Years")</f>
        <v>0</v>
      </c>
      <c r="AD170" s="30" t="s">
        <v>3820</v>
      </c>
      <c r="AE170" s="31">
        <v>838.99</v>
      </c>
      <c r="AF170" s="34" t="s">
        <v>3853</v>
      </c>
      <c r="AG170" s="34">
        <v>0.0</v>
      </c>
      <c r="AH170" s="34">
        <v>100.0</v>
      </c>
      <c r="AI170" s="34">
        <v>0.0</v>
      </c>
      <c r="AJ170" s="34">
        <v>0.0</v>
      </c>
      <c r="AK170" s="33">
        <f>COUNTIFS('Data For Calculation - Insuranc'!A:A,A170,'Data For Calculation - Insuranc'!E:E,"Assistance + CPA : 5 Years")</f>
        <v>0</v>
      </c>
      <c r="AL170" s="30" t="s">
        <v>3820</v>
      </c>
      <c r="AM170" s="31">
        <v>290.0</v>
      </c>
      <c r="AN170" s="34" t="s">
        <v>3853</v>
      </c>
      <c r="AO170" s="34">
        <v>0.0</v>
      </c>
      <c r="AP170" s="34">
        <v>100.0</v>
      </c>
      <c r="AQ170" s="34">
        <v>0.0</v>
      </c>
      <c r="AR170" s="34">
        <v>0.0</v>
      </c>
      <c r="AS170" s="33">
        <f>COUNTIFS('Data For Calculation - Insuranc'!A:A,A170,'Data For Calculation - Insuranc'!E:E,"RSA + AHDC + DOC")</f>
        <v>0</v>
      </c>
      <c r="AT170" s="33"/>
      <c r="AU170" s="33"/>
      <c r="AV170" s="33"/>
      <c r="AW170" s="33"/>
      <c r="AX170" s="33"/>
      <c r="AY170" s="33"/>
      <c r="AZ170" s="33"/>
      <c r="BA170" s="33"/>
      <c r="BB170" s="33"/>
      <c r="BC170" s="33"/>
      <c r="BD170" s="33"/>
      <c r="BE170" s="33"/>
      <c r="BF170" s="33"/>
      <c r="BG170" s="33"/>
      <c r="BH170" s="33"/>
      <c r="BI170" s="33"/>
      <c r="BJ170" s="33"/>
      <c r="BK170" s="33"/>
      <c r="BL170" s="33"/>
      <c r="BM170" s="33"/>
      <c r="BN170" s="33"/>
      <c r="BO170" s="33"/>
      <c r="BP170" s="33"/>
      <c r="BQ170" s="33"/>
      <c r="BR170" s="33">
        <f t="shared" si="1"/>
        <v>0</v>
      </c>
      <c r="BS170" s="33">
        <f>SUMIFS('Data For Calculation - Insuranc'!I:I,'Data For Calculation - Insuranc'!$A:$A,$A170)</f>
        <v>0</v>
      </c>
      <c r="BT170" s="33">
        <f>SUMIFS('Data For Calculation - Insuranc'!J:J,'Data For Calculation - Insuranc'!$A:$A,$A170)</f>
        <v>0</v>
      </c>
      <c r="BU170" s="33">
        <f>SUMIFS('Data For Calculation - Insuranc'!K:K,'Data For Calculation - Insuranc'!$A:$A,$A170)</f>
        <v>0</v>
      </c>
      <c r="BV170" s="33">
        <f>IF($CC170 = "Dealer", SUMIFS('Data For Calculation - Insuranc'!I:I,'Data For Calculation - Insuranc'!$B:$B,$A170,'Data For Calculation - Insuranc'!$H:$H,"Master Dealer")) + SUMIFS('Data For Calculation - Insuranc'!I:I,'Data For Calculation - Insuranc'!$A:$A,$A170,'Data For Calculation - Insuranc'!$H:$H,"Self")</f>
        <v>0</v>
      </c>
      <c r="BW170" s="33">
        <f>IF($CC170 = "Dealer", SUMIFS('Data For Calculation - Insuranc'!J:J,'Data For Calculation - Insuranc'!$B:$B,$A170,'Data For Calculation - Insuranc'!$H:$H,"Master Dealer")) + SUMIFS('Data For Calculation - Insuranc'!J:J,'Data For Calculation - Insuranc'!$A:$A,$A170,'Data For Calculation - Insuranc'!$H:$H,"Self")</f>
        <v>0</v>
      </c>
      <c r="BX170" s="33">
        <f>IF($CC170 = "Dealer", SUMIFS('Data For Calculation - Insuranc'!K:K,'Data For Calculation - Insuranc'!$B:$B,$A170,'Data For Calculation - Insuranc'!$H:$H,"Master Dealer")) + SUMIFS('Data For Calculation - Insuranc'!K:K,'Data For Calculation - Insuranc'!$A:$A,$A170,'Data For Calculation - Insuranc'!$H:$H,"Self")</f>
        <v>0</v>
      </c>
      <c r="BY170" s="25" t="str">
        <f>(Sheet1!N170)</f>
        <v>PREMA HONDA- BIHAR(SN)</v>
      </c>
      <c r="BZ170" s="25" t="str">
        <f>(Sheet1!O170)</f>
        <v>1eWL9qs4gF2hDOrao950bttsqaQjvqYNOwOArak2wAWY</v>
      </c>
      <c r="CA170" s="25" t="str">
        <f>(Sheet1!AV170)</f>
        <v/>
      </c>
      <c r="CB170" s="25" t="str">
        <f>(Sheet1!AW170)</f>
        <v/>
      </c>
      <c r="CC170" s="26" t="str">
        <f>(Sheet1!P170)</f>
        <v>Sub Dealer</v>
      </c>
    </row>
    <row r="171">
      <c r="A171" s="25" t="str">
        <f>(Sheet1!A171)</f>
        <v>1kKJQREB-gMUjjfvkNJBZGf8b6FppISEs2byO4uZriFc</v>
      </c>
      <c r="B171" s="25" t="str">
        <f>(Sheet1!B171)</f>
        <v>Navya Motors - Gorakhpur</v>
      </c>
      <c r="C171" s="30" t="str">
        <f>Sheet1!BB171</f>
        <v>No</v>
      </c>
      <c r="D171" s="30" t="s">
        <v>13</v>
      </c>
      <c r="E171" s="34" t="s">
        <v>13</v>
      </c>
      <c r="F171" s="30" t="s">
        <v>3820</v>
      </c>
      <c r="G171" s="31">
        <v>290.0</v>
      </c>
      <c r="H171" s="34" t="s">
        <v>3853</v>
      </c>
      <c r="I171" s="34">
        <v>0.0</v>
      </c>
      <c r="J171" s="34">
        <v>100.0</v>
      </c>
      <c r="K171" s="34">
        <v>0.0</v>
      </c>
      <c r="L171" s="34">
        <v>0.0</v>
      </c>
      <c r="M171" s="33">
        <f>COUNTIFS('Data For Calculation - Insuranc'!A:A,A171,'Data For Calculation - Insuranc'!E:E,"CPA + RSA")</f>
        <v>0</v>
      </c>
      <c r="N171" s="30" t="s">
        <v>3820</v>
      </c>
      <c r="O171" s="31">
        <v>460.0</v>
      </c>
      <c r="P171" s="34" t="s">
        <v>3853</v>
      </c>
      <c r="Q171" s="34">
        <v>0.0</v>
      </c>
      <c r="R171" s="34">
        <v>100.0</v>
      </c>
      <c r="S171" s="34">
        <v>0.0</v>
      </c>
      <c r="T171" s="34">
        <v>0.0</v>
      </c>
      <c r="U171" s="33">
        <f>COUNTIFS('Data For Calculation - Insuranc'!A:A,A171,'Data For Calculation - Insuranc'!E:E,"CPA + RSA + AHDC + DOC")</f>
        <v>0</v>
      </c>
      <c r="V171" s="30" t="s">
        <v>3820</v>
      </c>
      <c r="W171" s="34">
        <v>838.99</v>
      </c>
      <c r="X171" s="34" t="s">
        <v>3853</v>
      </c>
      <c r="Y171" s="34">
        <v>0.0</v>
      </c>
      <c r="Z171" s="34">
        <v>100.0</v>
      </c>
      <c r="AA171" s="34">
        <v>0.0</v>
      </c>
      <c r="AB171" s="34">
        <v>0.0</v>
      </c>
      <c r="AC171" s="33">
        <f>COUNTIFS('Data For Calculation - Insuranc'!A:A,A171,'Data For Calculation - Insuranc'!E:E,"CPA + RSA : 5 Years")</f>
        <v>0</v>
      </c>
      <c r="AD171" s="30" t="s">
        <v>3820</v>
      </c>
      <c r="AE171" s="31">
        <v>838.99</v>
      </c>
      <c r="AF171" s="34" t="s">
        <v>3853</v>
      </c>
      <c r="AG171" s="34">
        <v>0.0</v>
      </c>
      <c r="AH171" s="34">
        <v>100.0</v>
      </c>
      <c r="AI171" s="34">
        <v>0.0</v>
      </c>
      <c r="AJ171" s="34">
        <v>0.0</v>
      </c>
      <c r="AK171" s="33">
        <f>COUNTIFS('Data For Calculation - Insuranc'!A:A,A171,'Data For Calculation - Insuranc'!E:E,"Assistance + CPA : 5 Years")</f>
        <v>0</v>
      </c>
      <c r="AL171" s="30" t="s">
        <v>3820</v>
      </c>
      <c r="AM171" s="31">
        <v>290.0</v>
      </c>
      <c r="AN171" s="34" t="s">
        <v>3853</v>
      </c>
      <c r="AO171" s="34">
        <v>0.0</v>
      </c>
      <c r="AP171" s="34">
        <v>100.0</v>
      </c>
      <c r="AQ171" s="34">
        <v>0.0</v>
      </c>
      <c r="AR171" s="34">
        <v>0.0</v>
      </c>
      <c r="AS171" s="33">
        <f>COUNTIFS('Data For Calculation - Insuranc'!A:A,A171,'Data For Calculation - Insuranc'!E:E,"RSA + AHDC + DOC")</f>
        <v>0</v>
      </c>
      <c r="AT171" s="33"/>
      <c r="AU171" s="33"/>
      <c r="AV171" s="33"/>
      <c r="AW171" s="33"/>
      <c r="AX171" s="33"/>
      <c r="AY171" s="33"/>
      <c r="AZ171" s="33"/>
      <c r="BA171" s="33"/>
      <c r="BB171" s="33"/>
      <c r="BC171" s="33"/>
      <c r="BD171" s="33"/>
      <c r="BE171" s="33"/>
      <c r="BF171" s="33"/>
      <c r="BG171" s="33"/>
      <c r="BH171" s="33"/>
      <c r="BI171" s="33"/>
      <c r="BJ171" s="33"/>
      <c r="BK171" s="33"/>
      <c r="BL171" s="33"/>
      <c r="BM171" s="33"/>
      <c r="BN171" s="33"/>
      <c r="BO171" s="33"/>
      <c r="BP171" s="33"/>
      <c r="BQ171" s="33"/>
      <c r="BR171" s="33">
        <f t="shared" si="1"/>
        <v>0</v>
      </c>
      <c r="BS171" s="33">
        <f>SUMIFS('Data For Calculation - Insuranc'!I:I,'Data For Calculation - Insuranc'!$A:$A,$A171)</f>
        <v>0</v>
      </c>
      <c r="BT171" s="33">
        <f>SUMIFS('Data For Calculation - Insuranc'!J:J,'Data For Calculation - Insuranc'!$A:$A,$A171)</f>
        <v>0</v>
      </c>
      <c r="BU171" s="33">
        <f>SUMIFS('Data For Calculation - Insuranc'!K:K,'Data For Calculation - Insuranc'!$A:$A,$A171)</f>
        <v>0</v>
      </c>
      <c r="BV171" s="33">
        <f>IF($CC171 = "Dealer", SUMIFS('Data For Calculation - Insuranc'!I:I,'Data For Calculation - Insuranc'!$B:$B,$A171,'Data For Calculation - Insuranc'!$H:$H,"Master Dealer")) + SUMIFS('Data For Calculation - Insuranc'!I:I,'Data For Calculation - Insuranc'!$A:$A,$A171,'Data For Calculation - Insuranc'!$H:$H,"Self")</f>
        <v>0</v>
      </c>
      <c r="BW171" s="33">
        <f>IF($CC171 = "Dealer", SUMIFS('Data For Calculation - Insuranc'!J:J,'Data For Calculation - Insuranc'!$B:$B,$A171,'Data For Calculation - Insuranc'!$H:$H,"Master Dealer")) + SUMIFS('Data For Calculation - Insuranc'!J:J,'Data For Calculation - Insuranc'!$A:$A,$A171,'Data For Calculation - Insuranc'!$H:$H,"Self")</f>
        <v>0</v>
      </c>
      <c r="BX171" s="33">
        <f>IF($CC171 = "Dealer", SUMIFS('Data For Calculation - Insuranc'!K:K,'Data For Calculation - Insuranc'!$B:$B,$A171,'Data For Calculation - Insuranc'!$H:$H,"Master Dealer")) + SUMIFS('Data For Calculation - Insuranc'!K:K,'Data For Calculation - Insuranc'!$A:$A,$A171,'Data For Calculation - Insuranc'!$H:$H,"Self")</f>
        <v>0</v>
      </c>
      <c r="BY171" s="25" t="str">
        <f>(Sheet1!N171)</f>
        <v>Navya Motors - Gorakhpur</v>
      </c>
      <c r="BZ171" s="25" t="str">
        <f>(Sheet1!O171)</f>
        <v>1kKJQREB-gMUjjfvkNJBZGf8b6FppISEs2byO4uZriFc</v>
      </c>
      <c r="CA171" s="25" t="str">
        <f>(Sheet1!AV171)</f>
        <v/>
      </c>
      <c r="CB171" s="25" t="str">
        <f>(Sheet1!AW171)</f>
        <v/>
      </c>
      <c r="CC171" s="26" t="str">
        <f>(Sheet1!P171)</f>
        <v>Dealer</v>
      </c>
    </row>
    <row r="172">
      <c r="A172" s="25" t="str">
        <f>(Sheet1!A172)</f>
        <v>1unvzt24PL_Fl_Wbl-5lHzYEhCzCxGGtlN9oHLIhnpPw</v>
      </c>
      <c r="B172" s="25" t="str">
        <f>(Sheet1!B172)</f>
        <v>Srivastava Automobiles - Lalitpur</v>
      </c>
      <c r="C172" s="30" t="str">
        <f>Sheet1!BB172</f>
        <v>No</v>
      </c>
      <c r="D172" s="30" t="s">
        <v>13</v>
      </c>
      <c r="E172" s="34" t="s">
        <v>13</v>
      </c>
      <c r="F172" s="30" t="s">
        <v>3820</v>
      </c>
      <c r="G172" s="31">
        <v>290.0</v>
      </c>
      <c r="H172" s="34" t="s">
        <v>3853</v>
      </c>
      <c r="I172" s="34">
        <v>0.0</v>
      </c>
      <c r="J172" s="34">
        <v>100.0</v>
      </c>
      <c r="K172" s="34">
        <v>0.0</v>
      </c>
      <c r="L172" s="34">
        <v>0.0</v>
      </c>
      <c r="M172" s="33">
        <f>COUNTIFS('Data For Calculation - Insuranc'!A:A,A172,'Data For Calculation - Insuranc'!E:E,"CPA + RSA")</f>
        <v>0</v>
      </c>
      <c r="N172" s="30" t="s">
        <v>3820</v>
      </c>
      <c r="O172" s="31">
        <v>460.0</v>
      </c>
      <c r="P172" s="34" t="s">
        <v>3853</v>
      </c>
      <c r="Q172" s="34">
        <v>0.0</v>
      </c>
      <c r="R172" s="34">
        <v>100.0</v>
      </c>
      <c r="S172" s="34">
        <v>0.0</v>
      </c>
      <c r="T172" s="34">
        <v>0.0</v>
      </c>
      <c r="U172" s="33">
        <f>COUNTIFS('Data For Calculation - Insuranc'!A:A,A172,'Data For Calculation - Insuranc'!E:E,"CPA + RSA + AHDC + DOC")</f>
        <v>0</v>
      </c>
      <c r="V172" s="30" t="s">
        <v>3820</v>
      </c>
      <c r="W172" s="34">
        <v>838.99</v>
      </c>
      <c r="X172" s="34" t="s">
        <v>3853</v>
      </c>
      <c r="Y172" s="34">
        <v>0.0</v>
      </c>
      <c r="Z172" s="34">
        <v>100.0</v>
      </c>
      <c r="AA172" s="34">
        <v>0.0</v>
      </c>
      <c r="AB172" s="34">
        <v>0.0</v>
      </c>
      <c r="AC172" s="33">
        <f>COUNTIFS('Data For Calculation - Insuranc'!A:A,A172,'Data For Calculation - Insuranc'!E:E,"CPA + RSA : 5 Years")</f>
        <v>0</v>
      </c>
      <c r="AD172" s="30" t="s">
        <v>3820</v>
      </c>
      <c r="AE172" s="31">
        <v>838.99</v>
      </c>
      <c r="AF172" s="34" t="s">
        <v>3853</v>
      </c>
      <c r="AG172" s="34">
        <v>0.0</v>
      </c>
      <c r="AH172" s="34">
        <v>100.0</v>
      </c>
      <c r="AI172" s="34">
        <v>0.0</v>
      </c>
      <c r="AJ172" s="34">
        <v>0.0</v>
      </c>
      <c r="AK172" s="33">
        <f>COUNTIFS('Data For Calculation - Insuranc'!A:A,A172,'Data For Calculation - Insuranc'!E:E,"Assistance + CPA : 5 Years")</f>
        <v>0</v>
      </c>
      <c r="AL172" s="30" t="s">
        <v>3820</v>
      </c>
      <c r="AM172" s="31">
        <v>290.0</v>
      </c>
      <c r="AN172" s="34" t="s">
        <v>3853</v>
      </c>
      <c r="AO172" s="34">
        <v>0.0</v>
      </c>
      <c r="AP172" s="34">
        <v>100.0</v>
      </c>
      <c r="AQ172" s="34">
        <v>0.0</v>
      </c>
      <c r="AR172" s="34">
        <v>0.0</v>
      </c>
      <c r="AS172" s="33">
        <f>COUNTIFS('Data For Calculation - Insuranc'!A:A,A172,'Data For Calculation - Insuranc'!E:E,"RSA + AHDC + DOC")</f>
        <v>0</v>
      </c>
      <c r="AT172" s="33"/>
      <c r="AU172" s="33"/>
      <c r="AV172" s="33"/>
      <c r="AW172" s="33"/>
      <c r="AX172" s="33"/>
      <c r="AY172" s="33"/>
      <c r="AZ172" s="33"/>
      <c r="BA172" s="33"/>
      <c r="BB172" s="33"/>
      <c r="BC172" s="33"/>
      <c r="BD172" s="33"/>
      <c r="BE172" s="33"/>
      <c r="BF172" s="33"/>
      <c r="BG172" s="33"/>
      <c r="BH172" s="33"/>
      <c r="BI172" s="33"/>
      <c r="BJ172" s="33"/>
      <c r="BK172" s="33"/>
      <c r="BL172" s="33"/>
      <c r="BM172" s="33"/>
      <c r="BN172" s="33"/>
      <c r="BO172" s="33"/>
      <c r="BP172" s="33"/>
      <c r="BQ172" s="33"/>
      <c r="BR172" s="33">
        <f t="shared" si="1"/>
        <v>0</v>
      </c>
      <c r="BS172" s="33">
        <f>SUMIFS('Data For Calculation - Insuranc'!I:I,'Data For Calculation - Insuranc'!$A:$A,$A172)</f>
        <v>0</v>
      </c>
      <c r="BT172" s="33">
        <f>SUMIFS('Data For Calculation - Insuranc'!J:J,'Data For Calculation - Insuranc'!$A:$A,$A172)</f>
        <v>0</v>
      </c>
      <c r="BU172" s="33">
        <f>SUMIFS('Data For Calculation - Insuranc'!K:K,'Data For Calculation - Insuranc'!$A:$A,$A172)</f>
        <v>0</v>
      </c>
      <c r="BV172" s="33">
        <f>IF($CC172 = "Dealer", SUMIFS('Data For Calculation - Insuranc'!I:I,'Data For Calculation - Insuranc'!$B:$B,$A172,'Data For Calculation - Insuranc'!$H:$H,"Master Dealer")) + SUMIFS('Data For Calculation - Insuranc'!I:I,'Data For Calculation - Insuranc'!$A:$A,$A172,'Data For Calculation - Insuranc'!$H:$H,"Self")</f>
        <v>0</v>
      </c>
      <c r="BW172" s="33">
        <f>IF($CC172 = "Dealer", SUMIFS('Data For Calculation - Insuranc'!J:J,'Data For Calculation - Insuranc'!$B:$B,$A172,'Data For Calculation - Insuranc'!$H:$H,"Master Dealer")) + SUMIFS('Data For Calculation - Insuranc'!J:J,'Data For Calculation - Insuranc'!$A:$A,$A172,'Data For Calculation - Insuranc'!$H:$H,"Self")</f>
        <v>0</v>
      </c>
      <c r="BX172" s="33">
        <f>IF($CC172 = "Dealer", SUMIFS('Data For Calculation - Insuranc'!K:K,'Data For Calculation - Insuranc'!$B:$B,$A172,'Data For Calculation - Insuranc'!$H:$H,"Master Dealer")) + SUMIFS('Data For Calculation - Insuranc'!K:K,'Data For Calculation - Insuranc'!$A:$A,$A172,'Data For Calculation - Insuranc'!$H:$H,"Self")</f>
        <v>0</v>
      </c>
      <c r="BY172" s="25" t="str">
        <f>(Sheet1!N172)</f>
        <v>Srivastava Automobiles - Lalitpur</v>
      </c>
      <c r="BZ172" s="25" t="str">
        <f>(Sheet1!O172)</f>
        <v>1unvzt24PL_Fl_Wbl-5lHzYEhCzCxGGtlN9oHLIhnpPw</v>
      </c>
      <c r="CA172" s="25" t="str">
        <f>(Sheet1!AV172)</f>
        <v/>
      </c>
      <c r="CB172" s="25" t="str">
        <f>(Sheet1!AW172)</f>
        <v/>
      </c>
      <c r="CC172" s="26" t="str">
        <f>(Sheet1!P172)</f>
        <v>Dealer</v>
      </c>
    </row>
    <row r="173">
      <c r="A173" s="25" t="str">
        <f>(Sheet1!A173)</f>
        <v>1_UtGSoyOsljQXvmry7gfXGYwjwEjQbghQQGZebnq45M</v>
      </c>
      <c r="B173" s="25" t="str">
        <f>(Sheet1!B173)</f>
        <v>Modern Auto Agency - Bettiah</v>
      </c>
      <c r="C173" s="30" t="str">
        <f>Sheet1!BB173</f>
        <v>No</v>
      </c>
      <c r="D173" s="30" t="s">
        <v>13</v>
      </c>
      <c r="E173" s="34" t="s">
        <v>13</v>
      </c>
      <c r="F173" s="30" t="s">
        <v>3820</v>
      </c>
      <c r="G173" s="31">
        <v>290.0</v>
      </c>
      <c r="H173" s="34" t="s">
        <v>3853</v>
      </c>
      <c r="I173" s="34">
        <v>0.0</v>
      </c>
      <c r="J173" s="34">
        <v>100.0</v>
      </c>
      <c r="K173" s="34">
        <v>0.0</v>
      </c>
      <c r="L173" s="34">
        <v>0.0</v>
      </c>
      <c r="M173" s="33">
        <f>COUNTIFS('Data For Calculation - Insuranc'!A:A,A173,'Data For Calculation - Insuranc'!E:E,"CPA + RSA")</f>
        <v>0</v>
      </c>
      <c r="N173" s="30" t="s">
        <v>3820</v>
      </c>
      <c r="O173" s="31">
        <v>460.0</v>
      </c>
      <c r="P173" s="34" t="s">
        <v>3853</v>
      </c>
      <c r="Q173" s="34">
        <v>0.0</v>
      </c>
      <c r="R173" s="34">
        <v>100.0</v>
      </c>
      <c r="S173" s="34">
        <v>0.0</v>
      </c>
      <c r="T173" s="34">
        <v>0.0</v>
      </c>
      <c r="U173" s="33">
        <f>COUNTIFS('Data For Calculation - Insuranc'!A:A,A173,'Data For Calculation - Insuranc'!E:E,"CPA + RSA + AHDC + DOC")</f>
        <v>0</v>
      </c>
      <c r="V173" s="30" t="s">
        <v>3820</v>
      </c>
      <c r="W173" s="34">
        <v>838.99</v>
      </c>
      <c r="X173" s="34" t="s">
        <v>3853</v>
      </c>
      <c r="Y173" s="34">
        <v>0.0</v>
      </c>
      <c r="Z173" s="34">
        <v>100.0</v>
      </c>
      <c r="AA173" s="34">
        <v>0.0</v>
      </c>
      <c r="AB173" s="34">
        <v>0.0</v>
      </c>
      <c r="AC173" s="33">
        <f>COUNTIFS('Data For Calculation - Insuranc'!A:A,A173,'Data For Calculation - Insuranc'!E:E,"CPA + RSA : 5 Years")</f>
        <v>0</v>
      </c>
      <c r="AD173" s="30" t="s">
        <v>3820</v>
      </c>
      <c r="AE173" s="31">
        <v>838.99</v>
      </c>
      <c r="AF173" s="34" t="s">
        <v>3853</v>
      </c>
      <c r="AG173" s="34">
        <v>0.0</v>
      </c>
      <c r="AH173" s="34">
        <v>100.0</v>
      </c>
      <c r="AI173" s="34">
        <v>0.0</v>
      </c>
      <c r="AJ173" s="34">
        <v>0.0</v>
      </c>
      <c r="AK173" s="33">
        <f>COUNTIFS('Data For Calculation - Insuranc'!A:A,A173,'Data For Calculation - Insuranc'!E:E,"Assistance + CPA : 5 Years")</f>
        <v>0</v>
      </c>
      <c r="AL173" s="30" t="s">
        <v>3820</v>
      </c>
      <c r="AM173" s="31">
        <v>290.0</v>
      </c>
      <c r="AN173" s="34" t="s">
        <v>3853</v>
      </c>
      <c r="AO173" s="34">
        <v>0.0</v>
      </c>
      <c r="AP173" s="34">
        <v>100.0</v>
      </c>
      <c r="AQ173" s="34">
        <v>0.0</v>
      </c>
      <c r="AR173" s="34">
        <v>0.0</v>
      </c>
      <c r="AS173" s="33">
        <f>COUNTIFS('Data For Calculation - Insuranc'!A:A,A173,'Data For Calculation - Insuranc'!E:E,"RSA + AHDC + DOC")</f>
        <v>0</v>
      </c>
      <c r="AT173" s="33"/>
      <c r="AU173" s="33"/>
      <c r="AV173" s="33"/>
      <c r="AW173" s="33"/>
      <c r="AX173" s="33"/>
      <c r="AY173" s="33"/>
      <c r="AZ173" s="33"/>
      <c r="BA173" s="33"/>
      <c r="BB173" s="33"/>
      <c r="BC173" s="33"/>
      <c r="BD173" s="33"/>
      <c r="BE173" s="33"/>
      <c r="BF173" s="33"/>
      <c r="BG173" s="33"/>
      <c r="BH173" s="33"/>
      <c r="BI173" s="33"/>
      <c r="BJ173" s="33"/>
      <c r="BK173" s="33"/>
      <c r="BL173" s="33"/>
      <c r="BM173" s="33"/>
      <c r="BN173" s="33"/>
      <c r="BO173" s="33"/>
      <c r="BP173" s="33"/>
      <c r="BQ173" s="33"/>
      <c r="BR173" s="33">
        <f t="shared" si="1"/>
        <v>0</v>
      </c>
      <c r="BS173" s="33">
        <f>SUMIFS('Data For Calculation - Insuranc'!I:I,'Data For Calculation - Insuranc'!$A:$A,$A173)</f>
        <v>0</v>
      </c>
      <c r="BT173" s="33">
        <f>SUMIFS('Data For Calculation - Insuranc'!J:J,'Data For Calculation - Insuranc'!$A:$A,$A173)</f>
        <v>0</v>
      </c>
      <c r="BU173" s="33">
        <f>SUMIFS('Data For Calculation - Insuranc'!K:K,'Data For Calculation - Insuranc'!$A:$A,$A173)</f>
        <v>0</v>
      </c>
      <c r="BV173" s="33">
        <f>IF($CC173 = "Dealer", SUMIFS('Data For Calculation - Insuranc'!I:I,'Data For Calculation - Insuranc'!$B:$B,$A173,'Data For Calculation - Insuranc'!$H:$H,"Master Dealer")) + SUMIFS('Data For Calculation - Insuranc'!I:I,'Data For Calculation - Insuranc'!$A:$A,$A173,'Data For Calculation - Insuranc'!$H:$H,"Self")</f>
        <v>0</v>
      </c>
      <c r="BW173" s="33">
        <f>IF($CC173 = "Dealer", SUMIFS('Data For Calculation - Insuranc'!J:J,'Data For Calculation - Insuranc'!$B:$B,$A173,'Data For Calculation - Insuranc'!$H:$H,"Master Dealer")) + SUMIFS('Data For Calculation - Insuranc'!J:J,'Data For Calculation - Insuranc'!$A:$A,$A173,'Data For Calculation - Insuranc'!$H:$H,"Self")</f>
        <v>0</v>
      </c>
      <c r="BX173" s="33">
        <f>IF($CC173 = "Dealer", SUMIFS('Data For Calculation - Insuranc'!K:K,'Data For Calculation - Insuranc'!$B:$B,$A173,'Data For Calculation - Insuranc'!$H:$H,"Master Dealer")) + SUMIFS('Data For Calculation - Insuranc'!K:K,'Data For Calculation - Insuranc'!$A:$A,$A173,'Data For Calculation - Insuranc'!$H:$H,"Self")</f>
        <v>0</v>
      </c>
      <c r="BY173" s="25" t="str">
        <f>(Sheet1!N173)</f>
        <v>Modern Auto Agency - Bettiah</v>
      </c>
      <c r="BZ173" s="25" t="str">
        <f>(Sheet1!O173)</f>
        <v>1_UtGSoyOsljQXvmry7gfXGYwjwEjQbghQQGZebnq45M</v>
      </c>
      <c r="CA173" s="25" t="str">
        <f>(Sheet1!AV173)</f>
        <v/>
      </c>
      <c r="CB173" s="25" t="str">
        <f>(Sheet1!AW173)</f>
        <v/>
      </c>
      <c r="CC173" s="26" t="str">
        <f>(Sheet1!P173)</f>
        <v>Dealer</v>
      </c>
    </row>
    <row r="174">
      <c r="A174" s="25" t="str">
        <f>(Sheet1!A174)</f>
        <v>1NEcDRVp7-BhxvyRG6JkeAHZpznEr-vKt291CED4WZPk</v>
      </c>
      <c r="B174" s="25" t="str">
        <f>(Sheet1!B174)</f>
        <v>Bal Mukund Hero - Etah</v>
      </c>
      <c r="C174" s="30" t="str">
        <f>Sheet1!BB174</f>
        <v>No</v>
      </c>
      <c r="D174" s="30" t="s">
        <v>13</v>
      </c>
      <c r="E174" s="34" t="s">
        <v>13</v>
      </c>
      <c r="F174" s="30" t="s">
        <v>3820</v>
      </c>
      <c r="G174" s="31">
        <v>290.0</v>
      </c>
      <c r="H174" s="34" t="s">
        <v>3853</v>
      </c>
      <c r="I174" s="34">
        <v>0.0</v>
      </c>
      <c r="J174" s="34">
        <v>100.0</v>
      </c>
      <c r="K174" s="34">
        <v>0.0</v>
      </c>
      <c r="L174" s="34">
        <v>0.0</v>
      </c>
      <c r="M174" s="33">
        <f>COUNTIFS('Data For Calculation - Insuranc'!A:A,A174,'Data For Calculation - Insuranc'!E:E,"CPA + RSA")</f>
        <v>0</v>
      </c>
      <c r="N174" s="30" t="s">
        <v>3820</v>
      </c>
      <c r="O174" s="31">
        <v>460.0</v>
      </c>
      <c r="P174" s="34" t="s">
        <v>3853</v>
      </c>
      <c r="Q174" s="34">
        <v>0.0</v>
      </c>
      <c r="R174" s="34">
        <v>100.0</v>
      </c>
      <c r="S174" s="34">
        <v>0.0</v>
      </c>
      <c r="T174" s="34">
        <v>0.0</v>
      </c>
      <c r="U174" s="33">
        <f>COUNTIFS('Data For Calculation - Insuranc'!A:A,A174,'Data For Calculation - Insuranc'!E:E,"CPA + RSA + AHDC + DOC")</f>
        <v>0</v>
      </c>
      <c r="V174" s="30" t="s">
        <v>3820</v>
      </c>
      <c r="W174" s="34">
        <v>838.99</v>
      </c>
      <c r="X174" s="34" t="s">
        <v>3853</v>
      </c>
      <c r="Y174" s="34">
        <v>0.0</v>
      </c>
      <c r="Z174" s="34">
        <v>100.0</v>
      </c>
      <c r="AA174" s="34">
        <v>0.0</v>
      </c>
      <c r="AB174" s="34">
        <v>0.0</v>
      </c>
      <c r="AC174" s="33">
        <f>COUNTIFS('Data For Calculation - Insuranc'!A:A,A174,'Data For Calculation - Insuranc'!E:E,"CPA + RSA : 5 Years")</f>
        <v>0</v>
      </c>
      <c r="AD174" s="30" t="s">
        <v>3820</v>
      </c>
      <c r="AE174" s="31">
        <v>838.99</v>
      </c>
      <c r="AF174" s="34" t="s">
        <v>3853</v>
      </c>
      <c r="AG174" s="34">
        <v>0.0</v>
      </c>
      <c r="AH174" s="34">
        <v>100.0</v>
      </c>
      <c r="AI174" s="34">
        <v>0.0</v>
      </c>
      <c r="AJ174" s="34">
        <v>0.0</v>
      </c>
      <c r="AK174" s="33">
        <f>COUNTIFS('Data For Calculation - Insuranc'!A:A,A174,'Data For Calculation - Insuranc'!E:E,"Assistance + CPA : 5 Years")</f>
        <v>0</v>
      </c>
      <c r="AL174" s="30" t="s">
        <v>3820</v>
      </c>
      <c r="AM174" s="31">
        <v>290.0</v>
      </c>
      <c r="AN174" s="34" t="s">
        <v>3853</v>
      </c>
      <c r="AO174" s="34">
        <v>0.0</v>
      </c>
      <c r="AP174" s="34">
        <v>100.0</v>
      </c>
      <c r="AQ174" s="34">
        <v>0.0</v>
      </c>
      <c r="AR174" s="34">
        <v>0.0</v>
      </c>
      <c r="AS174" s="33">
        <f>COUNTIFS('Data For Calculation - Insuranc'!A:A,A174,'Data For Calculation - Insuranc'!E:E,"RSA + AHDC + DOC")</f>
        <v>0</v>
      </c>
      <c r="AT174" s="33"/>
      <c r="AU174" s="33"/>
      <c r="AV174" s="33"/>
      <c r="AW174" s="33"/>
      <c r="AX174" s="33"/>
      <c r="AY174" s="33"/>
      <c r="AZ174" s="33"/>
      <c r="BA174" s="33"/>
      <c r="BB174" s="33"/>
      <c r="BC174" s="33"/>
      <c r="BD174" s="33"/>
      <c r="BE174" s="33"/>
      <c r="BF174" s="33"/>
      <c r="BG174" s="33"/>
      <c r="BH174" s="33"/>
      <c r="BI174" s="33"/>
      <c r="BJ174" s="33"/>
      <c r="BK174" s="33"/>
      <c r="BL174" s="33"/>
      <c r="BM174" s="33"/>
      <c r="BN174" s="33"/>
      <c r="BO174" s="33"/>
      <c r="BP174" s="33"/>
      <c r="BQ174" s="33"/>
      <c r="BR174" s="33">
        <f t="shared" si="1"/>
        <v>0</v>
      </c>
      <c r="BS174" s="33">
        <f>SUMIFS('Data For Calculation - Insuranc'!I:I,'Data For Calculation - Insuranc'!$A:$A,$A174)</f>
        <v>0</v>
      </c>
      <c r="BT174" s="33">
        <f>SUMIFS('Data For Calculation - Insuranc'!J:J,'Data For Calculation - Insuranc'!$A:$A,$A174)</f>
        <v>0</v>
      </c>
      <c r="BU174" s="33">
        <f>SUMIFS('Data For Calculation - Insuranc'!K:K,'Data For Calculation - Insuranc'!$A:$A,$A174)</f>
        <v>0</v>
      </c>
      <c r="BV174" s="33">
        <f>IF($CC174 = "Dealer", SUMIFS('Data For Calculation - Insuranc'!I:I,'Data For Calculation - Insuranc'!$B:$B,$A174,'Data For Calculation - Insuranc'!$H:$H,"Master Dealer")) + SUMIFS('Data For Calculation - Insuranc'!I:I,'Data For Calculation - Insuranc'!$A:$A,$A174,'Data For Calculation - Insuranc'!$H:$H,"Self")</f>
        <v>0</v>
      </c>
      <c r="BW174" s="33">
        <f>IF($CC174 = "Dealer", SUMIFS('Data For Calculation - Insuranc'!J:J,'Data For Calculation - Insuranc'!$B:$B,$A174,'Data For Calculation - Insuranc'!$H:$H,"Master Dealer")) + SUMIFS('Data For Calculation - Insuranc'!J:J,'Data For Calculation - Insuranc'!$A:$A,$A174,'Data For Calculation - Insuranc'!$H:$H,"Self")</f>
        <v>0</v>
      </c>
      <c r="BX174" s="33">
        <f>IF($CC174 = "Dealer", SUMIFS('Data For Calculation - Insuranc'!K:K,'Data For Calculation - Insuranc'!$B:$B,$A174,'Data For Calculation - Insuranc'!$H:$H,"Master Dealer")) + SUMIFS('Data For Calculation - Insuranc'!K:K,'Data For Calculation - Insuranc'!$A:$A,$A174,'Data For Calculation - Insuranc'!$H:$H,"Self")</f>
        <v>0</v>
      </c>
      <c r="BY174" s="25" t="str">
        <f>(Sheet1!N174)</f>
        <v>Bal Mukund Hero - Etah</v>
      </c>
      <c r="BZ174" s="25" t="str">
        <f>(Sheet1!O174)</f>
        <v>1NEcDRVp7-BhxvyRG6JkeAHZpznEr-vKt291CED4WZPk</v>
      </c>
      <c r="CA174" s="25" t="str">
        <f>(Sheet1!AV174)</f>
        <v/>
      </c>
      <c r="CB174" s="25" t="str">
        <f>(Sheet1!AW174)</f>
        <v/>
      </c>
      <c r="CC174" s="26" t="str">
        <f>(Sheet1!P174)</f>
        <v>Dealer</v>
      </c>
    </row>
    <row r="175">
      <c r="A175" s="25" t="str">
        <f>(Sheet1!A175)</f>
        <v>1DVpSm5a7kKqZxFgDUdJBRIcgAuTZosRKDnkmPEIdEG4</v>
      </c>
      <c r="B175" s="25" t="str">
        <f>(Sheet1!B175)</f>
        <v>MAHESH MOTORS - DINAJPUR</v>
      </c>
      <c r="C175" s="30" t="str">
        <f>Sheet1!BB175</f>
        <v>No</v>
      </c>
      <c r="D175" s="30" t="s">
        <v>13</v>
      </c>
      <c r="E175" s="34" t="s">
        <v>13</v>
      </c>
      <c r="F175" s="30" t="s">
        <v>3817</v>
      </c>
      <c r="G175" s="31">
        <v>245.0</v>
      </c>
      <c r="H175" s="34" t="s">
        <v>3853</v>
      </c>
      <c r="I175" s="34">
        <v>0.0</v>
      </c>
      <c r="J175" s="34">
        <v>100.0</v>
      </c>
      <c r="K175" s="34">
        <v>0.0</v>
      </c>
      <c r="L175" s="34">
        <v>0.0</v>
      </c>
      <c r="M175" s="33">
        <f>COUNTIFS('Data For Calculation - Insuranc'!A:A,A175,'Data For Calculation - Insuranc'!E:E,"CPA + RSA")</f>
        <v>0</v>
      </c>
      <c r="N175" s="30" t="s">
        <v>3817</v>
      </c>
      <c r="O175" s="31">
        <v>460.0</v>
      </c>
      <c r="P175" s="34" t="s">
        <v>3853</v>
      </c>
      <c r="Q175" s="34">
        <v>0.0</v>
      </c>
      <c r="R175" s="34">
        <v>100.0</v>
      </c>
      <c r="S175" s="34">
        <v>0.0</v>
      </c>
      <c r="T175" s="34">
        <v>0.0</v>
      </c>
      <c r="U175" s="33">
        <f>COUNTIFS('Data For Calculation - Insuranc'!A:A,A175,'Data For Calculation - Insuranc'!E:E,"CPA + RSA + AHDC + DOC")</f>
        <v>0</v>
      </c>
      <c r="V175" s="30" t="s">
        <v>3817</v>
      </c>
      <c r="W175" s="34">
        <v>838.99</v>
      </c>
      <c r="X175" s="34" t="s">
        <v>3853</v>
      </c>
      <c r="Y175" s="34">
        <v>0.0</v>
      </c>
      <c r="Z175" s="34">
        <v>100.0</v>
      </c>
      <c r="AA175" s="34">
        <v>0.0</v>
      </c>
      <c r="AB175" s="34">
        <v>0.0</v>
      </c>
      <c r="AC175" s="33">
        <f>COUNTIFS('Data For Calculation - Insuranc'!A:A,A175,'Data For Calculation - Insuranc'!E:E,"CPA + RSA : 5 Years")</f>
        <v>0</v>
      </c>
      <c r="AD175" s="30" t="s">
        <v>3817</v>
      </c>
      <c r="AE175" s="31">
        <v>838.99</v>
      </c>
      <c r="AF175" s="34" t="s">
        <v>3853</v>
      </c>
      <c r="AG175" s="34">
        <v>0.0</v>
      </c>
      <c r="AH175" s="34">
        <v>100.0</v>
      </c>
      <c r="AI175" s="34">
        <v>0.0</v>
      </c>
      <c r="AJ175" s="34">
        <v>0.0</v>
      </c>
      <c r="AK175" s="33">
        <f>COUNTIFS('Data For Calculation - Insuranc'!A:A,A175,'Data For Calculation - Insuranc'!E:E,"Assistance + CPA : 5 Years")</f>
        <v>0</v>
      </c>
      <c r="AL175" s="30" t="s">
        <v>3817</v>
      </c>
      <c r="AM175" s="31">
        <v>290.0</v>
      </c>
      <c r="AN175" s="34" t="s">
        <v>3853</v>
      </c>
      <c r="AO175" s="34">
        <v>0.0</v>
      </c>
      <c r="AP175" s="34">
        <v>100.0</v>
      </c>
      <c r="AQ175" s="34">
        <v>0.0</v>
      </c>
      <c r="AR175" s="34">
        <v>0.0</v>
      </c>
      <c r="AS175" s="33">
        <f>COUNTIFS('Data For Calculation - Insuranc'!A:A,A175,'Data For Calculation - Insuranc'!E:E,"RSA + AHDC + DOC")</f>
        <v>0</v>
      </c>
      <c r="AT175" s="33"/>
      <c r="AU175" s="33"/>
      <c r="AV175" s="33"/>
      <c r="AW175" s="33"/>
      <c r="AX175" s="33"/>
      <c r="AY175" s="33"/>
      <c r="AZ175" s="33"/>
      <c r="BA175" s="33"/>
      <c r="BB175" s="33"/>
      <c r="BC175" s="33"/>
      <c r="BD175" s="33"/>
      <c r="BE175" s="33"/>
      <c r="BF175" s="33"/>
      <c r="BG175" s="33"/>
      <c r="BH175" s="33"/>
      <c r="BI175" s="33"/>
      <c r="BJ175" s="33"/>
      <c r="BK175" s="33"/>
      <c r="BL175" s="33"/>
      <c r="BM175" s="33"/>
      <c r="BN175" s="33"/>
      <c r="BO175" s="33"/>
      <c r="BP175" s="33"/>
      <c r="BQ175" s="33"/>
      <c r="BR175" s="33">
        <f t="shared" si="1"/>
        <v>0</v>
      </c>
      <c r="BS175" s="33">
        <f>SUMIFS('Data For Calculation - Insuranc'!I:I,'Data For Calculation - Insuranc'!$A:$A,$A175)</f>
        <v>0</v>
      </c>
      <c r="BT175" s="33">
        <f>SUMIFS('Data For Calculation - Insuranc'!J:J,'Data For Calculation - Insuranc'!$A:$A,$A175)</f>
        <v>0</v>
      </c>
      <c r="BU175" s="33">
        <f>SUMIFS('Data For Calculation - Insuranc'!K:K,'Data For Calculation - Insuranc'!$A:$A,$A175)</f>
        <v>0</v>
      </c>
      <c r="BV175" s="33">
        <f>IF($CC175 = "Dealer", SUMIFS('Data For Calculation - Insuranc'!I:I,'Data For Calculation - Insuranc'!$B:$B,$A175,'Data For Calculation - Insuranc'!$H:$H,"Master Dealer")) + SUMIFS('Data For Calculation - Insuranc'!I:I,'Data For Calculation - Insuranc'!$A:$A,$A175,'Data For Calculation - Insuranc'!$H:$H,"Self")</f>
        <v>0</v>
      </c>
      <c r="BW175" s="33">
        <f>IF($CC175 = "Dealer", SUMIFS('Data For Calculation - Insuranc'!J:J,'Data For Calculation - Insuranc'!$B:$B,$A175,'Data For Calculation - Insuranc'!$H:$H,"Master Dealer")) + SUMIFS('Data For Calculation - Insuranc'!J:J,'Data For Calculation - Insuranc'!$A:$A,$A175,'Data For Calculation - Insuranc'!$H:$H,"Self")</f>
        <v>0</v>
      </c>
      <c r="BX175" s="33">
        <f>IF($CC175 = "Dealer", SUMIFS('Data For Calculation - Insuranc'!K:K,'Data For Calculation - Insuranc'!$B:$B,$A175,'Data For Calculation - Insuranc'!$H:$H,"Master Dealer")) + SUMIFS('Data For Calculation - Insuranc'!K:K,'Data For Calculation - Insuranc'!$A:$A,$A175,'Data For Calculation - Insuranc'!$H:$H,"Self")</f>
        <v>0</v>
      </c>
      <c r="BY175" s="25" t="str">
        <f>(Sheet1!N175)</f>
        <v>MAHESH MOTORS - DINAJPUR</v>
      </c>
      <c r="BZ175" s="25" t="str">
        <f>(Sheet1!O175)</f>
        <v>1DVpSm5a7kKqZxFgDUdJBRIcgAuTZosRKDnkmPEIdEG4</v>
      </c>
      <c r="CA175" s="25" t="str">
        <f>(Sheet1!AV175)</f>
        <v/>
      </c>
      <c r="CB175" s="25" t="str">
        <f>(Sheet1!AW175)</f>
        <v/>
      </c>
      <c r="CC175" s="26" t="str">
        <f>(Sheet1!P175)</f>
        <v>Dealer</v>
      </c>
    </row>
    <row r="176">
      <c r="A176" s="25" t="str">
        <f>(Sheet1!A176)</f>
        <v>1oQVPfd8k9NkVTkQGOHRAq_y-oNhBZ1Ssb0pUJIc1AnM</v>
      </c>
      <c r="B176" s="25" t="str">
        <f>(Sheet1!B176)</f>
        <v>Standard Auto Agency - Bahraich</v>
      </c>
      <c r="C176" s="30" t="str">
        <f>Sheet1!BB176</f>
        <v>No</v>
      </c>
      <c r="D176" s="30" t="s">
        <v>13</v>
      </c>
      <c r="E176" s="34" t="s">
        <v>13</v>
      </c>
      <c r="F176" s="25" t="s">
        <v>3820</v>
      </c>
      <c r="G176" s="33">
        <v>290.0</v>
      </c>
      <c r="H176" s="34" t="s">
        <v>3853</v>
      </c>
      <c r="I176" s="34">
        <v>0.0</v>
      </c>
      <c r="J176" s="34">
        <v>100.0</v>
      </c>
      <c r="K176" s="34">
        <v>0.0</v>
      </c>
      <c r="L176" s="34">
        <v>0.0</v>
      </c>
      <c r="M176" s="33">
        <f>COUNTIFS('Data For Calculation - Insuranc'!A:A,A176,'Data For Calculation - Insuranc'!E:E,"CPA + RSA")</f>
        <v>0</v>
      </c>
      <c r="N176" s="25" t="s">
        <v>3820</v>
      </c>
      <c r="O176" s="33">
        <v>460.0</v>
      </c>
      <c r="P176" s="34" t="s">
        <v>3853</v>
      </c>
      <c r="Q176" s="34">
        <v>0.0</v>
      </c>
      <c r="R176" s="34">
        <v>100.0</v>
      </c>
      <c r="S176" s="34">
        <v>0.0</v>
      </c>
      <c r="T176" s="34">
        <v>0.0</v>
      </c>
      <c r="U176" s="33">
        <f>COUNTIFS('Data For Calculation - Insuranc'!A:A,A176,'Data For Calculation - Insuranc'!E:E,"CPA + RSA + AHDC + DOC")</f>
        <v>0</v>
      </c>
      <c r="V176" s="25" t="s">
        <v>3820</v>
      </c>
      <c r="W176" s="33">
        <v>838.99</v>
      </c>
      <c r="X176" s="34" t="s">
        <v>3853</v>
      </c>
      <c r="Y176" s="34">
        <v>0.0</v>
      </c>
      <c r="Z176" s="34">
        <v>100.0</v>
      </c>
      <c r="AA176" s="34">
        <v>0.0</v>
      </c>
      <c r="AB176" s="34">
        <v>0.0</v>
      </c>
      <c r="AC176" s="33">
        <f>COUNTIFS('Data For Calculation - Insuranc'!A:A,A176,'Data For Calculation - Insuranc'!E:E,"CPA + RSA : 5 Years")</f>
        <v>0</v>
      </c>
      <c r="AD176" s="25" t="s">
        <v>3820</v>
      </c>
      <c r="AE176" s="33">
        <v>838.99</v>
      </c>
      <c r="AF176" s="34" t="s">
        <v>3853</v>
      </c>
      <c r="AG176" s="34">
        <v>0.0</v>
      </c>
      <c r="AH176" s="34">
        <v>100.0</v>
      </c>
      <c r="AI176" s="34">
        <v>0.0</v>
      </c>
      <c r="AJ176" s="34">
        <v>0.0</v>
      </c>
      <c r="AK176" s="33">
        <f>COUNTIFS('Data For Calculation - Insuranc'!A:A,A176,'Data For Calculation - Insuranc'!E:E,"Assistance + CPA : 5 Years")</f>
        <v>0</v>
      </c>
      <c r="AL176" s="25" t="s">
        <v>3820</v>
      </c>
      <c r="AM176" s="31">
        <v>290.0</v>
      </c>
      <c r="AN176" s="34" t="s">
        <v>3853</v>
      </c>
      <c r="AO176" s="34">
        <v>0.0</v>
      </c>
      <c r="AP176" s="34">
        <v>100.0</v>
      </c>
      <c r="AQ176" s="34">
        <v>0.0</v>
      </c>
      <c r="AR176" s="34">
        <v>0.0</v>
      </c>
      <c r="AS176" s="33">
        <f>COUNTIFS('Data For Calculation - Insuranc'!A:A,A176,'Data For Calculation - Insuranc'!E:E,"RSA + AHDC + DOC")</f>
        <v>0</v>
      </c>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33">
        <f t="shared" si="1"/>
        <v>0</v>
      </c>
      <c r="BS176" s="33">
        <f>SUMIFS('Data For Calculation - Insuranc'!I:I,'Data For Calculation - Insuranc'!$A:$A,$A176)</f>
        <v>0</v>
      </c>
      <c r="BT176" s="33">
        <f>SUMIFS('Data For Calculation - Insuranc'!J:J,'Data For Calculation - Insuranc'!$A:$A,$A176)</f>
        <v>0</v>
      </c>
      <c r="BU176" s="33">
        <f>SUMIFS('Data For Calculation - Insuranc'!K:K,'Data For Calculation - Insuranc'!$A:$A,$A176)</f>
        <v>0</v>
      </c>
      <c r="BV176" s="33">
        <f>IF($CC176 = "Dealer", SUMIFS('Data For Calculation - Insuranc'!I:I,'Data For Calculation - Insuranc'!$B:$B,$A176,'Data For Calculation - Insuranc'!$H:$H,"Master Dealer")) + SUMIFS('Data For Calculation - Insuranc'!I:I,'Data For Calculation - Insuranc'!$A:$A,$A176,'Data For Calculation - Insuranc'!$H:$H,"Self")</f>
        <v>0</v>
      </c>
      <c r="BW176" s="33">
        <f>IF($CC176 = "Dealer", SUMIFS('Data For Calculation - Insuranc'!J:J,'Data For Calculation - Insuranc'!$B:$B,$A176,'Data For Calculation - Insuranc'!$H:$H,"Master Dealer")) + SUMIFS('Data For Calculation - Insuranc'!J:J,'Data For Calculation - Insuranc'!$A:$A,$A176,'Data For Calculation - Insuranc'!$H:$H,"Self")</f>
        <v>0</v>
      </c>
      <c r="BX176" s="33">
        <f>IF($CC176 = "Dealer", SUMIFS('Data For Calculation - Insuranc'!K:K,'Data For Calculation - Insuranc'!$B:$B,$A176,'Data For Calculation - Insuranc'!$H:$H,"Master Dealer")) + SUMIFS('Data For Calculation - Insuranc'!K:K,'Data For Calculation - Insuranc'!$A:$A,$A176,'Data For Calculation - Insuranc'!$H:$H,"Self")</f>
        <v>0</v>
      </c>
      <c r="BY176" s="25" t="str">
        <f>(Sheet1!N176)</f>
        <v>Standard Auto Agency - Bahraich</v>
      </c>
      <c r="BZ176" s="25" t="str">
        <f>(Sheet1!O176)</f>
        <v>1oQVPfd8k9NkVTkQGOHRAq_y-oNhBZ1Ssb0pUJIc1AnM</v>
      </c>
      <c r="CA176" s="25" t="str">
        <f>(Sheet1!AV176)</f>
        <v/>
      </c>
      <c r="CB176" s="25" t="str">
        <f>(Sheet1!AW176)</f>
        <v/>
      </c>
      <c r="CC176" s="25" t="str">
        <f>(Sheet1!P176)</f>
        <v>Dealer</v>
      </c>
    </row>
    <row r="177">
      <c r="A177" s="25" t="str">
        <f>(Sheet1!A177)</f>
        <v>1MZSuDBhj6MvXnyvchodYUa5X-Tmx0AyJTkxlHAAvtro</v>
      </c>
      <c r="B177" s="25" t="str">
        <f>(Sheet1!B177)</f>
        <v>Krishna &amp; Company - Bahraich</v>
      </c>
      <c r="C177" s="30" t="str">
        <f>Sheet1!BB177</f>
        <v>No</v>
      </c>
      <c r="D177" s="30" t="s">
        <v>13</v>
      </c>
      <c r="E177" s="34" t="s">
        <v>13</v>
      </c>
      <c r="F177" s="25" t="s">
        <v>3820</v>
      </c>
      <c r="G177" s="31">
        <v>290.0</v>
      </c>
      <c r="H177" s="34" t="s">
        <v>3853</v>
      </c>
      <c r="I177" s="34">
        <v>0.0</v>
      </c>
      <c r="J177" s="34">
        <v>100.0</v>
      </c>
      <c r="K177" s="34">
        <v>0.0</v>
      </c>
      <c r="L177" s="34">
        <v>0.0</v>
      </c>
      <c r="M177" s="33">
        <f>COUNTIFS('Data For Calculation - Insuranc'!A:A,A177,'Data For Calculation - Insuranc'!E:E,"CPA + RSA")</f>
        <v>0</v>
      </c>
      <c r="N177" s="25" t="s">
        <v>3820</v>
      </c>
      <c r="O177" s="33">
        <v>460.0</v>
      </c>
      <c r="P177" s="34" t="s">
        <v>3853</v>
      </c>
      <c r="Q177" s="34">
        <v>0.0</v>
      </c>
      <c r="R177" s="34">
        <v>100.0</v>
      </c>
      <c r="S177" s="34">
        <v>0.0</v>
      </c>
      <c r="T177" s="34">
        <v>0.0</v>
      </c>
      <c r="U177" s="33">
        <f>COUNTIFS('Data For Calculation - Insuranc'!A:A,A177,'Data For Calculation - Insuranc'!E:E,"CPA + RSA + AHDC + DOC")</f>
        <v>0</v>
      </c>
      <c r="V177" s="25" t="s">
        <v>3820</v>
      </c>
      <c r="W177" s="33">
        <v>838.99</v>
      </c>
      <c r="X177" s="34" t="s">
        <v>3853</v>
      </c>
      <c r="Y177" s="34">
        <v>0.0</v>
      </c>
      <c r="Z177" s="34">
        <v>100.0</v>
      </c>
      <c r="AA177" s="34">
        <v>0.0</v>
      </c>
      <c r="AB177" s="34">
        <v>0.0</v>
      </c>
      <c r="AC177" s="33">
        <f>COUNTIFS('Data For Calculation - Insuranc'!A:A,A177,'Data For Calculation - Insuranc'!E:E,"CPA + RSA : 5 Years")</f>
        <v>0</v>
      </c>
      <c r="AD177" s="25" t="s">
        <v>3820</v>
      </c>
      <c r="AE177" s="33">
        <v>838.99</v>
      </c>
      <c r="AF177" s="34" t="s">
        <v>3853</v>
      </c>
      <c r="AG177" s="34">
        <v>0.0</v>
      </c>
      <c r="AH177" s="34">
        <v>100.0</v>
      </c>
      <c r="AI177" s="34">
        <v>0.0</v>
      </c>
      <c r="AJ177" s="34">
        <v>0.0</v>
      </c>
      <c r="AK177" s="33">
        <f>COUNTIFS('Data For Calculation - Insuranc'!A:A,A177,'Data For Calculation - Insuranc'!E:E,"Assistance + CPA : 5 Years")</f>
        <v>0</v>
      </c>
      <c r="AL177" s="25" t="s">
        <v>3820</v>
      </c>
      <c r="AM177" s="31">
        <v>290.0</v>
      </c>
      <c r="AN177" s="34" t="s">
        <v>3853</v>
      </c>
      <c r="AO177" s="34">
        <v>0.0</v>
      </c>
      <c r="AP177" s="34">
        <v>100.0</v>
      </c>
      <c r="AQ177" s="34">
        <v>0.0</v>
      </c>
      <c r="AR177" s="34">
        <v>0.0</v>
      </c>
      <c r="AS177" s="33">
        <f>COUNTIFS('Data For Calculation - Insuranc'!A:A,A177,'Data For Calculation - Insuranc'!E:E,"RSA + AHDC + DOC")</f>
        <v>0</v>
      </c>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33">
        <f t="shared" si="1"/>
        <v>0</v>
      </c>
      <c r="BS177" s="33">
        <f>SUMIFS('Data For Calculation - Insuranc'!I:I,'Data For Calculation - Insuranc'!$A:$A,$A177)</f>
        <v>0</v>
      </c>
      <c r="BT177" s="33">
        <f>SUMIFS('Data For Calculation - Insuranc'!J:J,'Data For Calculation - Insuranc'!$A:$A,$A177)</f>
        <v>0</v>
      </c>
      <c r="BU177" s="33">
        <f>SUMIFS('Data For Calculation - Insuranc'!K:K,'Data For Calculation - Insuranc'!$A:$A,$A177)</f>
        <v>0</v>
      </c>
      <c r="BV177" s="33">
        <f>IF($CC177 = "Dealer", SUMIFS('Data For Calculation - Insuranc'!I:I,'Data For Calculation - Insuranc'!$B:$B,$A177,'Data For Calculation - Insuranc'!$H:$H,"Master Dealer")) + SUMIFS('Data For Calculation - Insuranc'!I:I,'Data For Calculation - Insuranc'!$A:$A,$A177,'Data For Calculation - Insuranc'!$H:$H,"Self")</f>
        <v>0</v>
      </c>
      <c r="BW177" s="33">
        <f>IF($CC177 = "Dealer", SUMIFS('Data For Calculation - Insuranc'!J:J,'Data For Calculation - Insuranc'!$B:$B,$A177,'Data For Calculation - Insuranc'!$H:$H,"Master Dealer")) + SUMIFS('Data For Calculation - Insuranc'!J:J,'Data For Calculation - Insuranc'!$A:$A,$A177,'Data For Calculation - Insuranc'!$H:$H,"Self")</f>
        <v>0</v>
      </c>
      <c r="BX177" s="33">
        <f>IF($CC177 = "Dealer", SUMIFS('Data For Calculation - Insuranc'!K:K,'Data For Calculation - Insuranc'!$B:$B,$A177,'Data For Calculation - Insuranc'!$H:$H,"Master Dealer")) + SUMIFS('Data For Calculation - Insuranc'!K:K,'Data For Calculation - Insuranc'!$A:$A,$A177,'Data For Calculation - Insuranc'!$H:$H,"Self")</f>
        <v>0</v>
      </c>
      <c r="BY177" s="25" t="str">
        <f>(Sheet1!N177)</f>
        <v>Krishna &amp; Company - Bahraich</v>
      </c>
      <c r="BZ177" s="25" t="str">
        <f>(Sheet1!O177)</f>
        <v>1MZSuDBhj6MvXnyvchodYUa5X-Tmx0AyJTkxlHAAvtro</v>
      </c>
      <c r="CA177" s="25" t="str">
        <f>(Sheet1!AV177)</f>
        <v/>
      </c>
      <c r="CB177" s="25" t="str">
        <f>(Sheet1!AW177)</f>
        <v/>
      </c>
      <c r="CC177" s="25" t="str">
        <f>(Sheet1!P177)</f>
        <v>Dealer</v>
      </c>
    </row>
    <row r="178">
      <c r="A178" s="25" t="str">
        <f>(Sheet1!A178)</f>
        <v>1F-qgo65nyduysDsu4OiPqLBtjm1sTnysGmg4Ke93FbU</v>
      </c>
      <c r="B178" s="25" t="str">
        <f>(Sheet1!B178)</f>
        <v>Shri Narain auto</v>
      </c>
      <c r="C178" s="30" t="str">
        <f>Sheet1!BB178</f>
        <v>No</v>
      </c>
      <c r="D178" s="30" t="s">
        <v>13</v>
      </c>
      <c r="E178" s="34" t="s">
        <v>13</v>
      </c>
      <c r="F178" s="30" t="s">
        <v>3817</v>
      </c>
      <c r="G178" s="31">
        <v>290.0</v>
      </c>
      <c r="H178" s="34" t="s">
        <v>3853</v>
      </c>
      <c r="I178" s="34">
        <v>0.0</v>
      </c>
      <c r="J178" s="34">
        <v>100.0</v>
      </c>
      <c r="K178" s="34">
        <v>0.0</v>
      </c>
      <c r="L178" s="34">
        <v>0.0</v>
      </c>
      <c r="M178" s="33">
        <f>COUNTIFS('Data For Calculation - Insuranc'!A:A,A178,'Data For Calculation - Insuranc'!E:E,"CPA + RSA")</f>
        <v>0</v>
      </c>
      <c r="N178" s="30" t="s">
        <v>3817</v>
      </c>
      <c r="O178" s="31">
        <v>460.0</v>
      </c>
      <c r="P178" s="34" t="s">
        <v>3853</v>
      </c>
      <c r="Q178" s="34">
        <v>0.0</v>
      </c>
      <c r="R178" s="34">
        <v>100.0</v>
      </c>
      <c r="S178" s="34">
        <v>0.0</v>
      </c>
      <c r="T178" s="34">
        <v>0.0</v>
      </c>
      <c r="U178" s="33">
        <f>COUNTIFS('Data For Calculation - Insuranc'!A:A,A178,'Data For Calculation - Insuranc'!E:E,"CPA + RSA + AHDC + DOC")</f>
        <v>0</v>
      </c>
      <c r="V178" s="30" t="s">
        <v>3817</v>
      </c>
      <c r="W178" s="34">
        <v>838.99</v>
      </c>
      <c r="X178" s="34" t="s">
        <v>3853</v>
      </c>
      <c r="Y178" s="34">
        <v>0.0</v>
      </c>
      <c r="Z178" s="34">
        <v>100.0</v>
      </c>
      <c r="AA178" s="34">
        <v>0.0</v>
      </c>
      <c r="AB178" s="34">
        <v>0.0</v>
      </c>
      <c r="AC178" s="33">
        <f>COUNTIFS('Data For Calculation - Insuranc'!A:A,A178,'Data For Calculation - Insuranc'!E:E,"CPA + RSA : 5 Years")</f>
        <v>0</v>
      </c>
      <c r="AD178" s="30" t="s">
        <v>3817</v>
      </c>
      <c r="AE178" s="31">
        <v>838.99</v>
      </c>
      <c r="AF178" s="34" t="s">
        <v>3853</v>
      </c>
      <c r="AG178" s="34">
        <v>0.0</v>
      </c>
      <c r="AH178" s="34">
        <v>100.0</v>
      </c>
      <c r="AI178" s="34">
        <v>0.0</v>
      </c>
      <c r="AJ178" s="34">
        <v>0.0</v>
      </c>
      <c r="AK178" s="33">
        <f>COUNTIFS('Data For Calculation - Insuranc'!A:A,A178,'Data For Calculation - Insuranc'!E:E,"Assistance + CPA : 5 Years")</f>
        <v>0</v>
      </c>
      <c r="AL178" s="30" t="s">
        <v>3817</v>
      </c>
      <c r="AM178" s="31">
        <v>290.0</v>
      </c>
      <c r="AN178" s="34" t="s">
        <v>3853</v>
      </c>
      <c r="AO178" s="34">
        <v>0.0</v>
      </c>
      <c r="AP178" s="34">
        <v>100.0</v>
      </c>
      <c r="AQ178" s="34">
        <v>0.0</v>
      </c>
      <c r="AR178" s="34">
        <v>0.0</v>
      </c>
      <c r="AS178" s="33">
        <f>COUNTIFS('Data For Calculation - Insuranc'!A:A,A178,'Data For Calculation - Insuranc'!E:E,"RSA + AHDC + DOC")</f>
        <v>0</v>
      </c>
      <c r="AT178" s="33"/>
      <c r="AU178" s="33"/>
      <c r="AV178" s="33"/>
      <c r="AW178" s="33"/>
      <c r="AX178" s="33"/>
      <c r="AY178" s="33"/>
      <c r="AZ178" s="33"/>
      <c r="BA178" s="33"/>
      <c r="BB178" s="33"/>
      <c r="BC178" s="33"/>
      <c r="BD178" s="33"/>
      <c r="BE178" s="33"/>
      <c r="BF178" s="33"/>
      <c r="BG178" s="33"/>
      <c r="BH178" s="33"/>
      <c r="BI178" s="33"/>
      <c r="BJ178" s="33"/>
      <c r="BK178" s="33"/>
      <c r="BL178" s="33"/>
      <c r="BM178" s="33"/>
      <c r="BN178" s="33"/>
      <c r="BO178" s="33"/>
      <c r="BP178" s="33"/>
      <c r="BQ178" s="33"/>
      <c r="BR178" s="33">
        <f t="shared" si="1"/>
        <v>0</v>
      </c>
      <c r="BS178" s="33">
        <f>SUMIFS('Data For Calculation - Insuranc'!I:I,'Data For Calculation - Insuranc'!$A:$A,$A178)</f>
        <v>0</v>
      </c>
      <c r="BT178" s="33">
        <f>SUMIFS('Data For Calculation - Insuranc'!J:J,'Data For Calculation - Insuranc'!$A:$A,$A178)</f>
        <v>0</v>
      </c>
      <c r="BU178" s="33">
        <f>SUMIFS('Data For Calculation - Insuranc'!K:K,'Data For Calculation - Insuranc'!$A:$A,$A178)</f>
        <v>0</v>
      </c>
      <c r="BV178" s="33">
        <f>IF($CC178 = "Dealer", SUMIFS('Data For Calculation - Insuranc'!I:I,'Data For Calculation - Insuranc'!$B:$B,$A178,'Data For Calculation - Insuranc'!$H:$H,"Master Dealer")) + SUMIFS('Data For Calculation - Insuranc'!I:I,'Data For Calculation - Insuranc'!$A:$A,$A178,'Data For Calculation - Insuranc'!$H:$H,"Self")</f>
        <v>0</v>
      </c>
      <c r="BW178" s="33">
        <f>IF($CC178 = "Dealer", SUMIFS('Data For Calculation - Insuranc'!J:J,'Data For Calculation - Insuranc'!$B:$B,$A178,'Data For Calculation - Insuranc'!$H:$H,"Master Dealer")) + SUMIFS('Data For Calculation - Insuranc'!J:J,'Data For Calculation - Insuranc'!$A:$A,$A178,'Data For Calculation - Insuranc'!$H:$H,"Self")</f>
        <v>0</v>
      </c>
      <c r="BX178" s="33">
        <f>IF($CC178 = "Dealer", SUMIFS('Data For Calculation - Insuranc'!K:K,'Data For Calculation - Insuranc'!$B:$B,$A178,'Data For Calculation - Insuranc'!$H:$H,"Master Dealer")) + SUMIFS('Data For Calculation - Insuranc'!K:K,'Data For Calculation - Insuranc'!$A:$A,$A178,'Data For Calculation - Insuranc'!$H:$H,"Self")</f>
        <v>0</v>
      </c>
      <c r="BY178" s="25" t="str">
        <f>(Sheet1!N178)</f>
        <v>Shri Narain auto</v>
      </c>
      <c r="BZ178" s="25" t="str">
        <f>(Sheet1!O178)</f>
        <v>1F-qgo65nyduysDsu4OiPqLBtjm1sTnysGmg4Ke93FbU</v>
      </c>
      <c r="CA178" s="25" t="str">
        <f>(Sheet1!AV178)</f>
        <v/>
      </c>
      <c r="CB178" s="25" t="str">
        <f>(Sheet1!AW178)</f>
        <v/>
      </c>
      <c r="CC178" s="26" t="str">
        <f>(Sheet1!P178)</f>
        <v>Dealer</v>
      </c>
    </row>
    <row r="179">
      <c r="A179" s="25" t="str">
        <f>(Sheet1!A179)</f>
        <v>1rHOrl-RR_wmvN1hR6qvRLwO5p4_e081st6veS3SDnKk</v>
      </c>
      <c r="B179" s="25" t="str">
        <f>(Sheet1!B179)</f>
        <v>AGARWAL HERO SITAPUR</v>
      </c>
      <c r="C179" s="30" t="str">
        <f>Sheet1!BB179</f>
        <v>No</v>
      </c>
      <c r="D179" s="30" t="s">
        <v>13</v>
      </c>
      <c r="E179" s="34" t="s">
        <v>13</v>
      </c>
      <c r="F179" s="30" t="s">
        <v>3817</v>
      </c>
      <c r="G179" s="31">
        <v>290.0</v>
      </c>
      <c r="H179" s="34" t="s">
        <v>3853</v>
      </c>
      <c r="I179" s="34">
        <v>0.0</v>
      </c>
      <c r="J179" s="34">
        <v>100.0</v>
      </c>
      <c r="K179" s="34">
        <v>0.0</v>
      </c>
      <c r="L179" s="34">
        <v>0.0</v>
      </c>
      <c r="M179" s="33">
        <f>COUNTIFS('Data For Calculation - Insuranc'!A:A,A179,'Data For Calculation - Insuranc'!E:E,"CPA + RSA")</f>
        <v>0</v>
      </c>
      <c r="N179" s="30" t="s">
        <v>3817</v>
      </c>
      <c r="O179" s="31">
        <v>460.0</v>
      </c>
      <c r="P179" s="34" t="s">
        <v>3853</v>
      </c>
      <c r="Q179" s="34">
        <v>0.0</v>
      </c>
      <c r="R179" s="34">
        <v>100.0</v>
      </c>
      <c r="S179" s="34">
        <v>0.0</v>
      </c>
      <c r="T179" s="34">
        <v>0.0</v>
      </c>
      <c r="U179" s="33">
        <f>COUNTIFS('Data For Calculation - Insuranc'!A:A,A179,'Data For Calculation - Insuranc'!E:E,"CPA + RSA + AHDC + DOC")</f>
        <v>0</v>
      </c>
      <c r="V179" s="30" t="s">
        <v>3817</v>
      </c>
      <c r="W179" s="34">
        <v>838.99</v>
      </c>
      <c r="X179" s="34" t="s">
        <v>3853</v>
      </c>
      <c r="Y179" s="34">
        <v>0.0</v>
      </c>
      <c r="Z179" s="34">
        <v>100.0</v>
      </c>
      <c r="AA179" s="34">
        <v>0.0</v>
      </c>
      <c r="AB179" s="34">
        <v>0.0</v>
      </c>
      <c r="AC179" s="33">
        <f>COUNTIFS('Data For Calculation - Insuranc'!A:A,A179,'Data For Calculation - Insuranc'!E:E,"CPA + RSA : 5 Years")</f>
        <v>0</v>
      </c>
      <c r="AD179" s="30" t="s">
        <v>3817</v>
      </c>
      <c r="AE179" s="31">
        <v>838.99</v>
      </c>
      <c r="AF179" s="34" t="s">
        <v>3853</v>
      </c>
      <c r="AG179" s="34">
        <v>0.0</v>
      </c>
      <c r="AH179" s="34">
        <v>100.0</v>
      </c>
      <c r="AI179" s="34">
        <v>0.0</v>
      </c>
      <c r="AJ179" s="34">
        <v>0.0</v>
      </c>
      <c r="AK179" s="33">
        <f>COUNTIFS('Data For Calculation - Insuranc'!A:A,A179,'Data For Calculation - Insuranc'!E:E,"Assistance + CPA : 5 Years")</f>
        <v>0</v>
      </c>
      <c r="AL179" s="30" t="s">
        <v>3817</v>
      </c>
      <c r="AM179" s="31">
        <v>290.0</v>
      </c>
      <c r="AN179" s="34" t="s">
        <v>3853</v>
      </c>
      <c r="AO179" s="34">
        <v>0.0</v>
      </c>
      <c r="AP179" s="34">
        <v>100.0</v>
      </c>
      <c r="AQ179" s="34">
        <v>0.0</v>
      </c>
      <c r="AR179" s="34">
        <v>0.0</v>
      </c>
      <c r="AS179" s="33">
        <f>COUNTIFS('Data For Calculation - Insuranc'!A:A,A179,'Data For Calculation - Insuranc'!E:E,"RSA + AHDC + DOC")</f>
        <v>0</v>
      </c>
      <c r="AT179" s="33"/>
      <c r="AU179" s="33"/>
      <c r="AV179" s="33"/>
      <c r="AW179" s="33"/>
      <c r="AX179" s="33"/>
      <c r="AY179" s="33"/>
      <c r="AZ179" s="33"/>
      <c r="BA179" s="33"/>
      <c r="BB179" s="33"/>
      <c r="BC179" s="33"/>
      <c r="BD179" s="33"/>
      <c r="BE179" s="33"/>
      <c r="BF179" s="33"/>
      <c r="BG179" s="33"/>
      <c r="BH179" s="33"/>
      <c r="BI179" s="33"/>
      <c r="BJ179" s="33"/>
      <c r="BK179" s="33"/>
      <c r="BL179" s="33"/>
      <c r="BM179" s="33"/>
      <c r="BN179" s="33"/>
      <c r="BO179" s="33"/>
      <c r="BP179" s="33"/>
      <c r="BQ179" s="33"/>
      <c r="BR179" s="33">
        <f t="shared" si="1"/>
        <v>0</v>
      </c>
      <c r="BS179" s="33">
        <f>SUMIFS('Data For Calculation - Insuranc'!I:I,'Data For Calculation - Insuranc'!$A:$A,$A179)</f>
        <v>0</v>
      </c>
      <c r="BT179" s="33">
        <f>SUMIFS('Data For Calculation - Insuranc'!J:J,'Data For Calculation - Insuranc'!$A:$A,$A179)</f>
        <v>0</v>
      </c>
      <c r="BU179" s="33">
        <f>SUMIFS('Data For Calculation - Insuranc'!K:K,'Data For Calculation - Insuranc'!$A:$A,$A179)</f>
        <v>0</v>
      </c>
      <c r="BV179" s="33">
        <f>IF($CC179 = "Dealer", SUMIFS('Data For Calculation - Insuranc'!I:I,'Data For Calculation - Insuranc'!$B:$B,$A179,'Data For Calculation - Insuranc'!$H:$H,"Master Dealer")) + SUMIFS('Data For Calculation - Insuranc'!I:I,'Data For Calculation - Insuranc'!$A:$A,$A179,'Data For Calculation - Insuranc'!$H:$H,"Self")</f>
        <v>0</v>
      </c>
      <c r="BW179" s="33">
        <f>IF($CC179 = "Dealer", SUMIFS('Data For Calculation - Insuranc'!J:J,'Data For Calculation - Insuranc'!$B:$B,$A179,'Data For Calculation - Insuranc'!$H:$H,"Master Dealer")) + SUMIFS('Data For Calculation - Insuranc'!J:J,'Data For Calculation - Insuranc'!$A:$A,$A179,'Data For Calculation - Insuranc'!$H:$H,"Self")</f>
        <v>0</v>
      </c>
      <c r="BX179" s="33">
        <f>IF($CC179 = "Dealer", SUMIFS('Data For Calculation - Insuranc'!K:K,'Data For Calculation - Insuranc'!$B:$B,$A179,'Data For Calculation - Insuranc'!$H:$H,"Master Dealer")) + SUMIFS('Data For Calculation - Insuranc'!K:K,'Data For Calculation - Insuranc'!$A:$A,$A179,'Data For Calculation - Insuranc'!$H:$H,"Self")</f>
        <v>0</v>
      </c>
      <c r="BY179" s="25" t="str">
        <f>(Sheet1!N179)</f>
        <v>AGARWAL HERO SITAPUR</v>
      </c>
      <c r="BZ179" s="25" t="str">
        <f>(Sheet1!O179)</f>
        <v>1rHOrl-RR_wmvN1hR6qvRLwO5p4_e081st6veS3SDnKk</v>
      </c>
      <c r="CA179" s="25" t="str">
        <f>(Sheet1!AV179)</f>
        <v/>
      </c>
      <c r="CB179" s="25" t="str">
        <f>(Sheet1!AW179)</f>
        <v/>
      </c>
      <c r="CC179" s="26" t="str">
        <f>(Sheet1!P179)</f>
        <v>Dealer</v>
      </c>
    </row>
    <row r="180">
      <c r="A180" s="25" t="str">
        <f>(Sheet1!A180)</f>
        <v>15if03Q4YLoDcHi2HznX5QBpY6yQHJPDyifJKxRYKV-8</v>
      </c>
      <c r="B180" s="25" t="str">
        <f>(Sheet1!B180)</f>
        <v>SATKAR HONDA - RUDRAPUR</v>
      </c>
      <c r="C180" s="30" t="str">
        <f>Sheet1!BB180</f>
        <v>No</v>
      </c>
      <c r="D180" s="30" t="s">
        <v>13</v>
      </c>
      <c r="E180" s="34" t="s">
        <v>13</v>
      </c>
      <c r="F180" s="25" t="s">
        <v>3820</v>
      </c>
      <c r="G180" s="33">
        <v>290.0</v>
      </c>
      <c r="H180" s="34" t="s">
        <v>3853</v>
      </c>
      <c r="I180" s="34">
        <v>0.0</v>
      </c>
      <c r="J180" s="34">
        <v>100.0</v>
      </c>
      <c r="K180" s="34">
        <v>0.0</v>
      </c>
      <c r="L180" s="34">
        <v>0.0</v>
      </c>
      <c r="M180" s="33">
        <f>COUNTIFS('Data For Calculation - Insuranc'!A:A,A180,'Data For Calculation - Insuranc'!E:E,"CPA + RSA")</f>
        <v>0</v>
      </c>
      <c r="N180" s="25" t="s">
        <v>3820</v>
      </c>
      <c r="O180" s="33">
        <v>460.0</v>
      </c>
      <c r="P180" s="34" t="s">
        <v>3853</v>
      </c>
      <c r="Q180" s="34">
        <v>0.0</v>
      </c>
      <c r="R180" s="34">
        <v>100.0</v>
      </c>
      <c r="S180" s="34">
        <v>0.0</v>
      </c>
      <c r="T180" s="34">
        <v>0.0</v>
      </c>
      <c r="U180" s="33">
        <f>COUNTIFS('Data For Calculation - Insuranc'!A:A,A180,'Data For Calculation - Insuranc'!E:E,"CPA + RSA + AHDC + DOC")</f>
        <v>0</v>
      </c>
      <c r="V180" s="25" t="s">
        <v>3820</v>
      </c>
      <c r="W180" s="33">
        <v>838.99</v>
      </c>
      <c r="X180" s="34" t="s">
        <v>3853</v>
      </c>
      <c r="Y180" s="34">
        <v>0.0</v>
      </c>
      <c r="Z180" s="34">
        <v>100.0</v>
      </c>
      <c r="AA180" s="34">
        <v>0.0</v>
      </c>
      <c r="AB180" s="34">
        <v>0.0</v>
      </c>
      <c r="AC180" s="33">
        <f>COUNTIFS('Data For Calculation - Insuranc'!A:A,A180,'Data For Calculation - Insuranc'!E:E,"CPA + RSA : 5 Years")</f>
        <v>0</v>
      </c>
      <c r="AD180" s="25" t="s">
        <v>3820</v>
      </c>
      <c r="AE180" s="33">
        <v>838.99</v>
      </c>
      <c r="AF180" s="34" t="s">
        <v>3853</v>
      </c>
      <c r="AG180" s="34">
        <v>0.0</v>
      </c>
      <c r="AH180" s="34">
        <v>100.0</v>
      </c>
      <c r="AI180" s="34">
        <v>0.0</v>
      </c>
      <c r="AJ180" s="34">
        <v>0.0</v>
      </c>
      <c r="AK180" s="33">
        <f>COUNTIFS('Data For Calculation - Insuranc'!A:A,A180,'Data For Calculation - Insuranc'!E:E,"Assistance + CPA : 5 Years")</f>
        <v>0</v>
      </c>
      <c r="AL180" s="25" t="s">
        <v>3820</v>
      </c>
      <c r="AM180" s="31">
        <v>290.0</v>
      </c>
      <c r="AN180" s="34" t="s">
        <v>3853</v>
      </c>
      <c r="AO180" s="34">
        <v>0.0</v>
      </c>
      <c r="AP180" s="34">
        <v>100.0</v>
      </c>
      <c r="AQ180" s="34">
        <v>0.0</v>
      </c>
      <c r="AR180" s="34">
        <v>0.0</v>
      </c>
      <c r="AS180" s="33">
        <f>COUNTIFS('Data For Calculation - Insuranc'!A:A,A180,'Data For Calculation - Insuranc'!E:E,"RSA + AHDC + DOC")</f>
        <v>0</v>
      </c>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33">
        <f t="shared" si="1"/>
        <v>0</v>
      </c>
      <c r="BS180" s="33">
        <f>SUMIFS('Data For Calculation - Insuranc'!I:I,'Data For Calculation - Insuranc'!$A:$A,$A180)</f>
        <v>0</v>
      </c>
      <c r="BT180" s="33">
        <f>SUMIFS('Data For Calculation - Insuranc'!J:J,'Data For Calculation - Insuranc'!$A:$A,$A180)</f>
        <v>0</v>
      </c>
      <c r="BU180" s="33">
        <f>SUMIFS('Data For Calculation - Insuranc'!K:K,'Data For Calculation - Insuranc'!$A:$A,$A180)</f>
        <v>0</v>
      </c>
      <c r="BV180" s="33">
        <f>IF($CC180 = "Dealer", SUMIFS('Data For Calculation - Insuranc'!I:I,'Data For Calculation - Insuranc'!$B:$B,$A180,'Data For Calculation - Insuranc'!$H:$H,"Master Dealer")) + SUMIFS('Data For Calculation - Insuranc'!I:I,'Data For Calculation - Insuranc'!$A:$A,$A180,'Data For Calculation - Insuranc'!$H:$H,"Self")</f>
        <v>0</v>
      </c>
      <c r="BW180" s="33">
        <f>IF($CC180 = "Dealer", SUMIFS('Data For Calculation - Insuranc'!J:J,'Data For Calculation - Insuranc'!$B:$B,$A180,'Data For Calculation - Insuranc'!$H:$H,"Master Dealer")) + SUMIFS('Data For Calculation - Insuranc'!J:J,'Data For Calculation - Insuranc'!$A:$A,$A180,'Data For Calculation - Insuranc'!$H:$H,"Self")</f>
        <v>0</v>
      </c>
      <c r="BX180" s="33">
        <f>IF($CC180 = "Dealer", SUMIFS('Data For Calculation - Insuranc'!K:K,'Data For Calculation - Insuranc'!$B:$B,$A180,'Data For Calculation - Insuranc'!$H:$H,"Master Dealer")) + SUMIFS('Data For Calculation - Insuranc'!K:K,'Data For Calculation - Insuranc'!$A:$A,$A180,'Data For Calculation - Insuranc'!$H:$H,"Self")</f>
        <v>0</v>
      </c>
      <c r="BY180" s="25" t="str">
        <f>(Sheet1!N180)</f>
        <v>SATKAR HONDA - RUDRAPUR</v>
      </c>
      <c r="BZ180" s="25" t="str">
        <f>(Sheet1!O180)</f>
        <v>15if03Q4YLoDcHi2HznX5QBpY6yQHJPDyifJKxRYKV-8</v>
      </c>
      <c r="CA180" s="25" t="str">
        <f>(Sheet1!AV180)</f>
        <v/>
      </c>
      <c r="CB180" s="25" t="str">
        <f>(Sheet1!AW180)</f>
        <v/>
      </c>
      <c r="CC180" s="25" t="str">
        <f>(Sheet1!P180)</f>
        <v>Dealer</v>
      </c>
    </row>
    <row r="181">
      <c r="A181" s="25" t="str">
        <f>(Sheet1!A181)</f>
        <v>1Bn0dgc_QYbF664LnJPJT-IEcqhx5gMA1AtzkRyd3ZGA</v>
      </c>
      <c r="B181" s="25" t="str">
        <f>(Sheet1!B181)</f>
        <v>Jai Automobiles - Akbarpur</v>
      </c>
      <c r="C181" s="30" t="str">
        <f>Sheet1!BB181</f>
        <v>No</v>
      </c>
      <c r="D181" s="30" t="s">
        <v>13</v>
      </c>
      <c r="E181" s="34" t="s">
        <v>13</v>
      </c>
      <c r="F181" s="25" t="s">
        <v>3820</v>
      </c>
      <c r="G181" s="31">
        <v>205.0</v>
      </c>
      <c r="H181" s="34" t="s">
        <v>3853</v>
      </c>
      <c r="I181" s="34">
        <v>0.0</v>
      </c>
      <c r="J181" s="34">
        <v>100.0</v>
      </c>
      <c r="K181" s="34">
        <v>0.0</v>
      </c>
      <c r="L181" s="34">
        <v>0.0</v>
      </c>
      <c r="M181" s="33">
        <f>COUNTIFS('Data For Calculation - Insuranc'!A:A,A181,'Data For Calculation - Insuranc'!E:E,"CPA + RSA")</f>
        <v>0</v>
      </c>
      <c r="N181" s="25" t="s">
        <v>3820</v>
      </c>
      <c r="O181" s="33">
        <v>460.0</v>
      </c>
      <c r="P181" s="34" t="s">
        <v>3853</v>
      </c>
      <c r="Q181" s="34">
        <v>0.0</v>
      </c>
      <c r="R181" s="34">
        <v>100.0</v>
      </c>
      <c r="S181" s="34">
        <v>0.0</v>
      </c>
      <c r="T181" s="34">
        <v>0.0</v>
      </c>
      <c r="U181" s="33">
        <f>COUNTIFS('Data For Calculation - Insuranc'!A:A,A181,'Data For Calculation - Insuranc'!E:E,"CPA + RSA + AHDC + DOC")</f>
        <v>0</v>
      </c>
      <c r="V181" s="25" t="s">
        <v>3820</v>
      </c>
      <c r="W181" s="33">
        <v>838.99</v>
      </c>
      <c r="X181" s="34" t="s">
        <v>3853</v>
      </c>
      <c r="Y181" s="34">
        <v>0.0</v>
      </c>
      <c r="Z181" s="34">
        <v>100.0</v>
      </c>
      <c r="AA181" s="34">
        <v>0.0</v>
      </c>
      <c r="AB181" s="34">
        <v>0.0</v>
      </c>
      <c r="AC181" s="33">
        <f>COUNTIFS('Data For Calculation - Insuranc'!A:A,A181,'Data For Calculation - Insuranc'!E:E,"CPA + RSA : 5 Years")</f>
        <v>0</v>
      </c>
      <c r="AD181" s="25" t="s">
        <v>3820</v>
      </c>
      <c r="AE181" s="33">
        <v>838.99</v>
      </c>
      <c r="AF181" s="34" t="s">
        <v>3853</v>
      </c>
      <c r="AG181" s="34">
        <v>0.0</v>
      </c>
      <c r="AH181" s="34">
        <v>100.0</v>
      </c>
      <c r="AI181" s="34">
        <v>0.0</v>
      </c>
      <c r="AJ181" s="34">
        <v>0.0</v>
      </c>
      <c r="AK181" s="33">
        <f>COUNTIFS('Data For Calculation - Insuranc'!A:A,A181,'Data For Calculation - Insuranc'!E:E,"Assistance + CPA : 5 Years")</f>
        <v>0</v>
      </c>
      <c r="AL181" s="25" t="s">
        <v>3820</v>
      </c>
      <c r="AM181" s="31">
        <v>290.0</v>
      </c>
      <c r="AN181" s="34" t="s">
        <v>3853</v>
      </c>
      <c r="AO181" s="34">
        <v>0.0</v>
      </c>
      <c r="AP181" s="34">
        <v>100.0</v>
      </c>
      <c r="AQ181" s="34">
        <v>0.0</v>
      </c>
      <c r="AR181" s="34">
        <v>0.0</v>
      </c>
      <c r="AS181" s="33">
        <f>COUNTIFS('Data For Calculation - Insuranc'!A:A,A181,'Data For Calculation - Insuranc'!E:E,"RSA + AHDC + DOC")</f>
        <v>0</v>
      </c>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33">
        <f t="shared" si="1"/>
        <v>0</v>
      </c>
      <c r="BS181" s="33">
        <f>SUMIFS('Data For Calculation - Insuranc'!I:I,'Data For Calculation - Insuranc'!$A:$A,$A181)</f>
        <v>0</v>
      </c>
      <c r="BT181" s="33">
        <f>SUMIFS('Data For Calculation - Insuranc'!J:J,'Data For Calculation - Insuranc'!$A:$A,$A181)</f>
        <v>0</v>
      </c>
      <c r="BU181" s="33">
        <f>SUMIFS('Data For Calculation - Insuranc'!K:K,'Data For Calculation - Insuranc'!$A:$A,$A181)</f>
        <v>0</v>
      </c>
      <c r="BV181" s="33">
        <f>IF($CC181 = "Dealer", SUMIFS('Data For Calculation - Insuranc'!I:I,'Data For Calculation - Insuranc'!$B:$B,$A181,'Data For Calculation - Insuranc'!$H:$H,"Master Dealer")) + SUMIFS('Data For Calculation - Insuranc'!I:I,'Data For Calculation - Insuranc'!$A:$A,$A181,'Data For Calculation - Insuranc'!$H:$H,"Self")</f>
        <v>0</v>
      </c>
      <c r="BW181" s="33">
        <f>IF($CC181 = "Dealer", SUMIFS('Data For Calculation - Insuranc'!J:J,'Data For Calculation - Insuranc'!$B:$B,$A181,'Data For Calculation - Insuranc'!$H:$H,"Master Dealer")) + SUMIFS('Data For Calculation - Insuranc'!J:J,'Data For Calculation - Insuranc'!$A:$A,$A181,'Data For Calculation - Insuranc'!$H:$H,"Self")</f>
        <v>0</v>
      </c>
      <c r="BX181" s="33">
        <f>IF($CC181 = "Dealer", SUMIFS('Data For Calculation - Insuranc'!K:K,'Data For Calculation - Insuranc'!$B:$B,$A181,'Data For Calculation - Insuranc'!$H:$H,"Master Dealer")) + SUMIFS('Data For Calculation - Insuranc'!K:K,'Data For Calculation - Insuranc'!$A:$A,$A181,'Data For Calculation - Insuranc'!$H:$H,"Self")</f>
        <v>0</v>
      </c>
      <c r="BY181" s="25" t="str">
        <f>(Sheet1!N181)</f>
        <v>Jai Automobiles - Akbarpur</v>
      </c>
      <c r="BZ181" s="25" t="str">
        <f>(Sheet1!O181)</f>
        <v>1Bn0dgc_QYbF664LnJPJT-IEcqhx5gMA1AtzkRyd3ZGA</v>
      </c>
      <c r="CA181" s="25" t="str">
        <f>(Sheet1!AV181)</f>
        <v/>
      </c>
      <c r="CB181" s="25" t="str">
        <f>(Sheet1!AW181)</f>
        <v/>
      </c>
      <c r="CC181" s="25" t="str">
        <f>(Sheet1!P181)</f>
        <v>Dealer</v>
      </c>
    </row>
    <row r="182">
      <c r="A182" s="25" t="str">
        <f>(Sheet1!A182)</f>
        <v>1VIUqOp_UXFVjhTtvQswmqJ7NEi8nkGyfHAoJPy-wvSA</v>
      </c>
      <c r="B182" s="25" t="str">
        <f>(Sheet1!B182)</f>
        <v>Kamal Hero - Gonda</v>
      </c>
      <c r="C182" s="30" t="str">
        <f>Sheet1!BB182</f>
        <v>No</v>
      </c>
      <c r="D182" s="30" t="s">
        <v>13</v>
      </c>
      <c r="E182" s="34" t="s">
        <v>13</v>
      </c>
      <c r="F182" s="25" t="s">
        <v>3820</v>
      </c>
      <c r="G182" s="31">
        <v>205.0</v>
      </c>
      <c r="H182" s="34" t="s">
        <v>3853</v>
      </c>
      <c r="I182" s="34">
        <v>0.0</v>
      </c>
      <c r="J182" s="34">
        <v>100.0</v>
      </c>
      <c r="K182" s="34">
        <v>0.0</v>
      </c>
      <c r="L182" s="34">
        <v>0.0</v>
      </c>
      <c r="M182" s="33">
        <f>COUNTIFS('Data For Calculation - Insuranc'!A:A,A182,'Data For Calculation - Insuranc'!E:E,"CPA + RSA")</f>
        <v>0</v>
      </c>
      <c r="N182" s="25" t="s">
        <v>3820</v>
      </c>
      <c r="O182" s="33">
        <v>460.0</v>
      </c>
      <c r="P182" s="34" t="s">
        <v>3853</v>
      </c>
      <c r="Q182" s="34">
        <v>0.0</v>
      </c>
      <c r="R182" s="34">
        <v>100.0</v>
      </c>
      <c r="S182" s="34">
        <v>0.0</v>
      </c>
      <c r="T182" s="34">
        <v>0.0</v>
      </c>
      <c r="U182" s="33">
        <f>COUNTIFS('Data For Calculation - Insuranc'!A:A,A182,'Data For Calculation - Insuranc'!E:E,"CPA + RSA + AHDC + DOC")</f>
        <v>0</v>
      </c>
      <c r="V182" s="25" t="s">
        <v>3820</v>
      </c>
      <c r="W182" s="33">
        <v>838.99</v>
      </c>
      <c r="X182" s="34" t="s">
        <v>3853</v>
      </c>
      <c r="Y182" s="34">
        <v>0.0</v>
      </c>
      <c r="Z182" s="34">
        <v>100.0</v>
      </c>
      <c r="AA182" s="34">
        <v>0.0</v>
      </c>
      <c r="AB182" s="34">
        <v>0.0</v>
      </c>
      <c r="AC182" s="33">
        <f>COUNTIFS('Data For Calculation - Insuranc'!A:A,A182,'Data For Calculation - Insuranc'!E:E,"CPA + RSA : 5 Years")</f>
        <v>0</v>
      </c>
      <c r="AD182" s="25" t="s">
        <v>3820</v>
      </c>
      <c r="AE182" s="33">
        <v>838.99</v>
      </c>
      <c r="AF182" s="34" t="s">
        <v>3853</v>
      </c>
      <c r="AG182" s="34">
        <v>0.0</v>
      </c>
      <c r="AH182" s="34">
        <v>100.0</v>
      </c>
      <c r="AI182" s="34">
        <v>0.0</v>
      </c>
      <c r="AJ182" s="34">
        <v>0.0</v>
      </c>
      <c r="AK182" s="33">
        <f>COUNTIFS('Data For Calculation - Insuranc'!A:A,A182,'Data For Calculation - Insuranc'!E:E,"Assistance + CPA : 5 Years")</f>
        <v>0</v>
      </c>
      <c r="AL182" s="25" t="s">
        <v>3820</v>
      </c>
      <c r="AM182" s="31">
        <v>290.0</v>
      </c>
      <c r="AN182" s="34" t="s">
        <v>3853</v>
      </c>
      <c r="AO182" s="34">
        <v>0.0</v>
      </c>
      <c r="AP182" s="34">
        <v>100.0</v>
      </c>
      <c r="AQ182" s="34">
        <v>0.0</v>
      </c>
      <c r="AR182" s="34">
        <v>0.0</v>
      </c>
      <c r="AS182" s="33">
        <f>COUNTIFS('Data For Calculation - Insuranc'!A:A,A182,'Data For Calculation - Insuranc'!E:E,"RSA + AHDC + DOC")</f>
        <v>0</v>
      </c>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33">
        <f t="shared" si="1"/>
        <v>0</v>
      </c>
      <c r="BS182" s="33">
        <f>SUMIFS('Data For Calculation - Insuranc'!I:I,'Data For Calculation - Insuranc'!$A:$A,$A182)</f>
        <v>0</v>
      </c>
      <c r="BT182" s="33">
        <f>SUMIFS('Data For Calculation - Insuranc'!J:J,'Data For Calculation - Insuranc'!$A:$A,$A182)</f>
        <v>0</v>
      </c>
      <c r="BU182" s="33">
        <f>SUMIFS('Data For Calculation - Insuranc'!K:K,'Data For Calculation - Insuranc'!$A:$A,$A182)</f>
        <v>0</v>
      </c>
      <c r="BV182" s="33">
        <f>IF($CC182 = "Dealer", SUMIFS('Data For Calculation - Insuranc'!I:I,'Data For Calculation - Insuranc'!$B:$B,$A182,'Data For Calculation - Insuranc'!$H:$H,"Master Dealer")) + SUMIFS('Data For Calculation - Insuranc'!I:I,'Data For Calculation - Insuranc'!$A:$A,$A182,'Data For Calculation - Insuranc'!$H:$H,"Self")</f>
        <v>0</v>
      </c>
      <c r="BW182" s="33">
        <f>IF($CC182 = "Dealer", SUMIFS('Data For Calculation - Insuranc'!J:J,'Data For Calculation - Insuranc'!$B:$B,$A182,'Data For Calculation - Insuranc'!$H:$H,"Master Dealer")) + SUMIFS('Data For Calculation - Insuranc'!J:J,'Data For Calculation - Insuranc'!$A:$A,$A182,'Data For Calculation - Insuranc'!$H:$H,"Self")</f>
        <v>0</v>
      </c>
      <c r="BX182" s="33">
        <f>IF($CC182 = "Dealer", SUMIFS('Data For Calculation - Insuranc'!K:K,'Data For Calculation - Insuranc'!$B:$B,$A182,'Data For Calculation - Insuranc'!$H:$H,"Master Dealer")) + SUMIFS('Data For Calculation - Insuranc'!K:K,'Data For Calculation - Insuranc'!$A:$A,$A182,'Data For Calculation - Insuranc'!$H:$H,"Self")</f>
        <v>0</v>
      </c>
      <c r="BY182" s="25" t="str">
        <f>(Sheet1!N182)</f>
        <v>Kamal Hero - Gonda</v>
      </c>
      <c r="BZ182" s="25" t="str">
        <f>(Sheet1!O182)</f>
        <v>1VIUqOp_UXFVjhTtvQswmqJ7NEi8nkGyfHAoJPy-wvSA</v>
      </c>
      <c r="CA182" s="25" t="str">
        <f>(Sheet1!AV182)</f>
        <v/>
      </c>
      <c r="CB182" s="25" t="str">
        <f>(Sheet1!AW182)</f>
        <v/>
      </c>
      <c r="CC182" s="25" t="str">
        <f>(Sheet1!P182)</f>
        <v>Dealer</v>
      </c>
    </row>
    <row r="183">
      <c r="A183" s="25" t="str">
        <f>(Sheet1!A183)</f>
        <v>1n7-iUzN79cdRZqVwntVYXRPOJ2BUYBkTQu6jF4vKAdE</v>
      </c>
      <c r="B183" s="25" t="str">
        <f>(Sheet1!B183)</f>
        <v>D D S Motors - Gonda</v>
      </c>
      <c r="C183" s="30" t="str">
        <f>Sheet1!BB183</f>
        <v>No</v>
      </c>
      <c r="D183" s="30" t="s">
        <v>13</v>
      </c>
      <c r="E183" s="34" t="s">
        <v>13</v>
      </c>
      <c r="F183" s="25" t="s">
        <v>3820</v>
      </c>
      <c r="G183" s="31">
        <v>185.0</v>
      </c>
      <c r="H183" s="34" t="s">
        <v>3853</v>
      </c>
      <c r="I183" s="34">
        <v>0.0</v>
      </c>
      <c r="J183" s="34">
        <v>100.0</v>
      </c>
      <c r="K183" s="34">
        <v>0.0</v>
      </c>
      <c r="L183" s="34">
        <v>0.0</v>
      </c>
      <c r="M183" s="33">
        <f>COUNTIFS('Data For Calculation - Insuranc'!A:A,A183,'Data For Calculation - Insuranc'!E:E,"CPA + RSA")</f>
        <v>0</v>
      </c>
      <c r="N183" s="25" t="s">
        <v>3820</v>
      </c>
      <c r="O183" s="33">
        <v>460.0</v>
      </c>
      <c r="P183" s="34" t="s">
        <v>3853</v>
      </c>
      <c r="Q183" s="34">
        <v>0.0</v>
      </c>
      <c r="R183" s="34">
        <v>100.0</v>
      </c>
      <c r="S183" s="34">
        <v>0.0</v>
      </c>
      <c r="T183" s="34">
        <v>0.0</v>
      </c>
      <c r="U183" s="33">
        <f>COUNTIFS('Data For Calculation - Insuranc'!A:A,A183,'Data For Calculation - Insuranc'!E:E,"CPA + RSA + AHDC + DOC")</f>
        <v>0</v>
      </c>
      <c r="V183" s="25" t="s">
        <v>3820</v>
      </c>
      <c r="W183" s="33">
        <v>838.99</v>
      </c>
      <c r="X183" s="34" t="s">
        <v>3853</v>
      </c>
      <c r="Y183" s="34">
        <v>0.0</v>
      </c>
      <c r="Z183" s="34">
        <v>100.0</v>
      </c>
      <c r="AA183" s="34">
        <v>0.0</v>
      </c>
      <c r="AB183" s="34">
        <v>0.0</v>
      </c>
      <c r="AC183" s="33">
        <f>COUNTIFS('Data For Calculation - Insuranc'!A:A,A183,'Data For Calculation - Insuranc'!E:E,"CPA + RSA : 5 Years")</f>
        <v>0</v>
      </c>
      <c r="AD183" s="25" t="s">
        <v>3820</v>
      </c>
      <c r="AE183" s="33">
        <v>838.99</v>
      </c>
      <c r="AF183" s="34" t="s">
        <v>3853</v>
      </c>
      <c r="AG183" s="34">
        <v>0.0</v>
      </c>
      <c r="AH183" s="34">
        <v>100.0</v>
      </c>
      <c r="AI183" s="34">
        <v>0.0</v>
      </c>
      <c r="AJ183" s="34">
        <v>0.0</v>
      </c>
      <c r="AK183" s="33">
        <f>COUNTIFS('Data For Calculation - Insuranc'!A:A,A183,'Data For Calculation - Insuranc'!E:E,"Assistance + CPA : 5 Years")</f>
        <v>0</v>
      </c>
      <c r="AL183" s="25" t="s">
        <v>3820</v>
      </c>
      <c r="AM183" s="31">
        <v>290.0</v>
      </c>
      <c r="AN183" s="34" t="s">
        <v>3853</v>
      </c>
      <c r="AO183" s="34">
        <v>0.0</v>
      </c>
      <c r="AP183" s="34">
        <v>100.0</v>
      </c>
      <c r="AQ183" s="34">
        <v>0.0</v>
      </c>
      <c r="AR183" s="34">
        <v>0.0</v>
      </c>
      <c r="AS183" s="33">
        <f>COUNTIFS('Data For Calculation - Insuranc'!A:A,A183,'Data For Calculation - Insuranc'!E:E,"RSA + AHDC + DOC")</f>
        <v>0</v>
      </c>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33">
        <f t="shared" si="1"/>
        <v>0</v>
      </c>
      <c r="BS183" s="33">
        <f>SUMIFS('Data For Calculation - Insuranc'!I:I,'Data For Calculation - Insuranc'!$A:$A,$A183)</f>
        <v>0</v>
      </c>
      <c r="BT183" s="33">
        <f>SUMIFS('Data For Calculation - Insuranc'!J:J,'Data For Calculation - Insuranc'!$A:$A,$A183)</f>
        <v>0</v>
      </c>
      <c r="BU183" s="33">
        <f>SUMIFS('Data For Calculation - Insuranc'!K:K,'Data For Calculation - Insuranc'!$A:$A,$A183)</f>
        <v>0</v>
      </c>
      <c r="BV183" s="33">
        <f>IF($CC183 = "Dealer", SUMIFS('Data For Calculation - Insuranc'!I:I,'Data For Calculation - Insuranc'!$B:$B,$A183,'Data For Calculation - Insuranc'!$H:$H,"Master Dealer")) + SUMIFS('Data For Calculation - Insuranc'!I:I,'Data For Calculation - Insuranc'!$A:$A,$A183,'Data For Calculation - Insuranc'!$H:$H,"Self")</f>
        <v>0</v>
      </c>
      <c r="BW183" s="33">
        <f>IF($CC183 = "Dealer", SUMIFS('Data For Calculation - Insuranc'!J:J,'Data For Calculation - Insuranc'!$B:$B,$A183,'Data For Calculation - Insuranc'!$H:$H,"Master Dealer")) + SUMIFS('Data For Calculation - Insuranc'!J:J,'Data For Calculation - Insuranc'!$A:$A,$A183,'Data For Calculation - Insuranc'!$H:$H,"Self")</f>
        <v>0</v>
      </c>
      <c r="BX183" s="33">
        <f>IF($CC183 = "Dealer", SUMIFS('Data For Calculation - Insuranc'!K:K,'Data For Calculation - Insuranc'!$B:$B,$A183,'Data For Calculation - Insuranc'!$H:$H,"Master Dealer")) + SUMIFS('Data For Calculation - Insuranc'!K:K,'Data For Calculation - Insuranc'!$A:$A,$A183,'Data For Calculation - Insuranc'!$H:$H,"Self")</f>
        <v>0</v>
      </c>
      <c r="BY183" s="25" t="str">
        <f>(Sheet1!N183)</f>
        <v>D D S Motors - Gonda</v>
      </c>
      <c r="BZ183" s="25" t="str">
        <f>(Sheet1!O183)</f>
        <v>1n7-iUzN79cdRZqVwntVYXRPOJ2BUYBkTQu6jF4vKAdE</v>
      </c>
      <c r="CA183" s="25" t="str">
        <f>(Sheet1!AV183)</f>
        <v/>
      </c>
      <c r="CB183" s="25" t="str">
        <f>(Sheet1!AW183)</f>
        <v/>
      </c>
      <c r="CC183" s="25" t="str">
        <f>(Sheet1!P183)</f>
        <v>Dealer</v>
      </c>
    </row>
    <row r="184">
      <c r="A184" s="25" t="str">
        <f>(Sheet1!A184)</f>
        <v>1hlnCiW64Y7uZNVOj2ewyfTULbWj1dUaXX2rUREx8W8o</v>
      </c>
      <c r="B184" s="25" t="str">
        <f>(Sheet1!B184)</f>
        <v>Asha Motor - Kannauj</v>
      </c>
      <c r="C184" s="30" t="str">
        <f>Sheet1!BB184</f>
        <v>No</v>
      </c>
      <c r="D184" s="30" t="s">
        <v>13</v>
      </c>
      <c r="E184" s="34" t="s">
        <v>13</v>
      </c>
      <c r="F184" s="25" t="s">
        <v>3820</v>
      </c>
      <c r="G184" s="31">
        <v>205.0</v>
      </c>
      <c r="H184" s="34" t="s">
        <v>3853</v>
      </c>
      <c r="I184" s="34">
        <v>0.0</v>
      </c>
      <c r="J184" s="34">
        <v>100.0</v>
      </c>
      <c r="K184" s="34">
        <v>0.0</v>
      </c>
      <c r="L184" s="34">
        <v>0.0</v>
      </c>
      <c r="M184" s="33">
        <f>COUNTIFS('Data For Calculation - Insuranc'!A:A,A184,'Data For Calculation - Insuranc'!E:E,"CPA + RSA")</f>
        <v>0</v>
      </c>
      <c r="N184" s="25" t="s">
        <v>3820</v>
      </c>
      <c r="O184" s="33">
        <v>460.0</v>
      </c>
      <c r="P184" s="34" t="s">
        <v>3853</v>
      </c>
      <c r="Q184" s="34">
        <v>0.0</v>
      </c>
      <c r="R184" s="34">
        <v>100.0</v>
      </c>
      <c r="S184" s="34">
        <v>0.0</v>
      </c>
      <c r="T184" s="34">
        <v>0.0</v>
      </c>
      <c r="U184" s="33">
        <f>COUNTIFS('Data For Calculation - Insuranc'!A:A,A184,'Data For Calculation - Insuranc'!E:E,"CPA + RSA + AHDC + DOC")</f>
        <v>0</v>
      </c>
      <c r="V184" s="25" t="s">
        <v>3820</v>
      </c>
      <c r="W184" s="33">
        <v>838.99</v>
      </c>
      <c r="X184" s="34" t="s">
        <v>3853</v>
      </c>
      <c r="Y184" s="34">
        <v>0.0</v>
      </c>
      <c r="Z184" s="34">
        <v>100.0</v>
      </c>
      <c r="AA184" s="34">
        <v>0.0</v>
      </c>
      <c r="AB184" s="34">
        <v>0.0</v>
      </c>
      <c r="AC184" s="33">
        <f>COUNTIFS('Data For Calculation - Insuranc'!A:A,A184,'Data For Calculation - Insuranc'!E:E,"CPA + RSA : 5 Years")</f>
        <v>0</v>
      </c>
      <c r="AD184" s="25" t="s">
        <v>3820</v>
      </c>
      <c r="AE184" s="33">
        <v>838.99</v>
      </c>
      <c r="AF184" s="34" t="s">
        <v>3853</v>
      </c>
      <c r="AG184" s="34">
        <v>0.0</v>
      </c>
      <c r="AH184" s="34">
        <v>100.0</v>
      </c>
      <c r="AI184" s="34">
        <v>0.0</v>
      </c>
      <c r="AJ184" s="34">
        <v>0.0</v>
      </c>
      <c r="AK184" s="33">
        <f>COUNTIFS('Data For Calculation - Insuranc'!A:A,A184,'Data For Calculation - Insuranc'!E:E,"Assistance + CPA : 5 Years")</f>
        <v>0</v>
      </c>
      <c r="AL184" s="25" t="s">
        <v>3820</v>
      </c>
      <c r="AM184" s="31">
        <v>290.0</v>
      </c>
      <c r="AN184" s="34" t="s">
        <v>3853</v>
      </c>
      <c r="AO184" s="34">
        <v>0.0</v>
      </c>
      <c r="AP184" s="34">
        <v>100.0</v>
      </c>
      <c r="AQ184" s="34">
        <v>0.0</v>
      </c>
      <c r="AR184" s="34">
        <v>0.0</v>
      </c>
      <c r="AS184" s="33">
        <f>COUNTIFS('Data For Calculation - Insuranc'!A:A,A184,'Data For Calculation - Insuranc'!E:E,"RSA + AHDC + DOC")</f>
        <v>0</v>
      </c>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33">
        <f t="shared" si="1"/>
        <v>0</v>
      </c>
      <c r="BS184" s="33">
        <f>SUMIFS('Data For Calculation - Insuranc'!I:I,'Data For Calculation - Insuranc'!$A:$A,$A184)</f>
        <v>0</v>
      </c>
      <c r="BT184" s="33">
        <f>SUMIFS('Data For Calculation - Insuranc'!J:J,'Data For Calculation - Insuranc'!$A:$A,$A184)</f>
        <v>0</v>
      </c>
      <c r="BU184" s="33">
        <f>SUMIFS('Data For Calculation - Insuranc'!K:K,'Data For Calculation - Insuranc'!$A:$A,$A184)</f>
        <v>0</v>
      </c>
      <c r="BV184" s="33">
        <f>IF($CC184 = "Dealer", SUMIFS('Data For Calculation - Insuranc'!I:I,'Data For Calculation - Insuranc'!$B:$B,$A184,'Data For Calculation - Insuranc'!$H:$H,"Master Dealer")) + SUMIFS('Data For Calculation - Insuranc'!I:I,'Data For Calculation - Insuranc'!$A:$A,$A184,'Data For Calculation - Insuranc'!$H:$H,"Self")</f>
        <v>0</v>
      </c>
      <c r="BW184" s="33">
        <f>IF($CC184 = "Dealer", SUMIFS('Data For Calculation - Insuranc'!J:J,'Data For Calculation - Insuranc'!$B:$B,$A184,'Data For Calculation - Insuranc'!$H:$H,"Master Dealer")) + SUMIFS('Data For Calculation - Insuranc'!J:J,'Data For Calculation - Insuranc'!$A:$A,$A184,'Data For Calculation - Insuranc'!$H:$H,"Self")</f>
        <v>0</v>
      </c>
      <c r="BX184" s="33">
        <f>IF($CC184 = "Dealer", SUMIFS('Data For Calculation - Insuranc'!K:K,'Data For Calculation - Insuranc'!$B:$B,$A184,'Data For Calculation - Insuranc'!$H:$H,"Master Dealer")) + SUMIFS('Data For Calculation - Insuranc'!K:K,'Data For Calculation - Insuranc'!$A:$A,$A184,'Data For Calculation - Insuranc'!$H:$H,"Self")</f>
        <v>0</v>
      </c>
      <c r="BY184" s="25" t="str">
        <f>(Sheet1!N184)</f>
        <v>Asha Motor - Kannauj</v>
      </c>
      <c r="BZ184" s="25" t="str">
        <f>(Sheet1!O184)</f>
        <v>1hlnCiW64Y7uZNVOj2ewyfTULbWj1dUaXX2rUREx8W8o</v>
      </c>
      <c r="CA184" s="25" t="str">
        <f>(Sheet1!AV184)</f>
        <v/>
      </c>
      <c r="CB184" s="25" t="str">
        <f>(Sheet1!AW184)</f>
        <v/>
      </c>
      <c r="CC184" s="25" t="str">
        <f>(Sheet1!P184)</f>
        <v>Dealer</v>
      </c>
    </row>
    <row r="185">
      <c r="A185" s="25" t="str">
        <f>(Sheet1!A185)</f>
        <v>1qVCbO1-x1wvM0-NhcEVhkvWdoKy0Q9zezj6PELJNkXM</v>
      </c>
      <c r="B185" s="25" t="str">
        <f>(Sheet1!B185)</f>
        <v>NEELAM AUTOMOBILES (MAA) - NARKATIAGANJ</v>
      </c>
      <c r="C185" s="30" t="str">
        <f>Sheet1!BB185</f>
        <v>No</v>
      </c>
      <c r="D185" s="30" t="s">
        <v>13</v>
      </c>
      <c r="E185" s="34" t="s">
        <v>13</v>
      </c>
      <c r="F185" s="25" t="s">
        <v>3820</v>
      </c>
      <c r="G185" s="31">
        <v>205.0</v>
      </c>
      <c r="H185" s="34" t="s">
        <v>3853</v>
      </c>
      <c r="I185" s="34">
        <v>0.0</v>
      </c>
      <c r="J185" s="34">
        <v>100.0</v>
      </c>
      <c r="K185" s="34">
        <v>0.0</v>
      </c>
      <c r="L185" s="34">
        <v>0.0</v>
      </c>
      <c r="M185" s="33">
        <f>COUNTIFS('Data For Calculation - Insuranc'!A:A,A185,'Data For Calculation - Insuranc'!E:E,"CPA + RSA")</f>
        <v>0</v>
      </c>
      <c r="N185" s="25" t="s">
        <v>3820</v>
      </c>
      <c r="O185" s="33">
        <v>460.0</v>
      </c>
      <c r="P185" s="34" t="s">
        <v>3853</v>
      </c>
      <c r="Q185" s="34">
        <v>0.0</v>
      </c>
      <c r="R185" s="34">
        <v>100.0</v>
      </c>
      <c r="S185" s="34">
        <v>0.0</v>
      </c>
      <c r="T185" s="34">
        <v>0.0</v>
      </c>
      <c r="U185" s="33">
        <f>COUNTIFS('Data For Calculation - Insuranc'!A:A,A185,'Data For Calculation - Insuranc'!E:E,"CPA + RSA + AHDC + DOC")</f>
        <v>0</v>
      </c>
      <c r="V185" s="25" t="s">
        <v>3820</v>
      </c>
      <c r="W185" s="33">
        <v>838.99</v>
      </c>
      <c r="X185" s="34" t="s">
        <v>3853</v>
      </c>
      <c r="Y185" s="34">
        <v>0.0</v>
      </c>
      <c r="Z185" s="34">
        <v>100.0</v>
      </c>
      <c r="AA185" s="34">
        <v>0.0</v>
      </c>
      <c r="AB185" s="34">
        <v>0.0</v>
      </c>
      <c r="AC185" s="33">
        <f>COUNTIFS('Data For Calculation - Insuranc'!A:A,A185,'Data For Calculation - Insuranc'!E:E,"CPA + RSA : 5 Years")</f>
        <v>0</v>
      </c>
      <c r="AD185" s="25" t="s">
        <v>3820</v>
      </c>
      <c r="AE185" s="33">
        <v>838.99</v>
      </c>
      <c r="AF185" s="34" t="s">
        <v>3853</v>
      </c>
      <c r="AG185" s="34">
        <v>0.0</v>
      </c>
      <c r="AH185" s="34">
        <v>100.0</v>
      </c>
      <c r="AI185" s="34">
        <v>0.0</v>
      </c>
      <c r="AJ185" s="34">
        <v>0.0</v>
      </c>
      <c r="AK185" s="33">
        <f>COUNTIFS('Data For Calculation - Insuranc'!A:A,A185,'Data For Calculation - Insuranc'!E:E,"Assistance + CPA : 5 Years")</f>
        <v>0</v>
      </c>
      <c r="AL185" s="25" t="s">
        <v>3820</v>
      </c>
      <c r="AM185" s="31">
        <v>290.0</v>
      </c>
      <c r="AN185" s="34" t="s">
        <v>3853</v>
      </c>
      <c r="AO185" s="34">
        <v>0.0</v>
      </c>
      <c r="AP185" s="34">
        <v>100.0</v>
      </c>
      <c r="AQ185" s="34">
        <v>0.0</v>
      </c>
      <c r="AR185" s="34">
        <v>0.0</v>
      </c>
      <c r="AS185" s="33">
        <f>COUNTIFS('Data For Calculation - Insuranc'!A:A,A185,'Data For Calculation - Insuranc'!E:E,"RSA + AHDC + DOC")</f>
        <v>0</v>
      </c>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33">
        <f t="shared" si="1"/>
        <v>0</v>
      </c>
      <c r="BS185" s="33">
        <f>SUMIFS('Data For Calculation - Insuranc'!I:I,'Data For Calculation - Insuranc'!$A:$A,$A185)</f>
        <v>0</v>
      </c>
      <c r="BT185" s="33">
        <f>SUMIFS('Data For Calculation - Insuranc'!J:J,'Data For Calculation - Insuranc'!$A:$A,$A185)</f>
        <v>0</v>
      </c>
      <c r="BU185" s="33">
        <f>SUMIFS('Data For Calculation - Insuranc'!K:K,'Data For Calculation - Insuranc'!$A:$A,$A185)</f>
        <v>0</v>
      </c>
      <c r="BV185" s="33">
        <f>IF($CC185 = "Dealer", SUMIFS('Data For Calculation - Insuranc'!I:I,'Data For Calculation - Insuranc'!$B:$B,$A185,'Data For Calculation - Insuranc'!$H:$H,"Master Dealer")) + SUMIFS('Data For Calculation - Insuranc'!I:I,'Data For Calculation - Insuranc'!$A:$A,$A185,'Data For Calculation - Insuranc'!$H:$H,"Self")</f>
        <v>0</v>
      </c>
      <c r="BW185" s="33">
        <f>IF($CC185 = "Dealer", SUMIFS('Data For Calculation - Insuranc'!J:J,'Data For Calculation - Insuranc'!$B:$B,$A185,'Data For Calculation - Insuranc'!$H:$H,"Master Dealer")) + SUMIFS('Data For Calculation - Insuranc'!J:J,'Data For Calculation - Insuranc'!$A:$A,$A185,'Data For Calculation - Insuranc'!$H:$H,"Self")</f>
        <v>0</v>
      </c>
      <c r="BX185" s="33">
        <f>IF($CC185 = "Dealer", SUMIFS('Data For Calculation - Insuranc'!K:K,'Data For Calculation - Insuranc'!$B:$B,$A185,'Data For Calculation - Insuranc'!$H:$H,"Master Dealer")) + SUMIFS('Data For Calculation - Insuranc'!K:K,'Data For Calculation - Insuranc'!$A:$A,$A185,'Data For Calculation - Insuranc'!$H:$H,"Self")</f>
        <v>0</v>
      </c>
      <c r="BY185" s="25" t="str">
        <f>(Sheet1!N185)</f>
        <v>Modern Auto Agency - Bettiah</v>
      </c>
      <c r="BZ185" s="25" t="str">
        <f>(Sheet1!O185)</f>
        <v>1_UtGSoyOsljQXvmry7gfXGYwjwEjQbghQQGZebnq45M</v>
      </c>
      <c r="CA185" s="25" t="str">
        <f>(Sheet1!AV185)</f>
        <v/>
      </c>
      <c r="CB185" s="25" t="str">
        <f>(Sheet1!AW185)</f>
        <v/>
      </c>
      <c r="CC185" s="25" t="str">
        <f>(Sheet1!P185)</f>
        <v>Sub Dealer</v>
      </c>
    </row>
    <row r="186">
      <c r="A186" s="25" t="str">
        <f>(Sheet1!A186)</f>
        <v>1UyyiO2ozt9UX5AJamlEvIX5j825tQ-SAIIQCdxpAP0Y</v>
      </c>
      <c r="B186" s="25" t="str">
        <f>(Sheet1!B186)</f>
        <v>VINAY AUTO AGENCY (MAA) - BAGAHA</v>
      </c>
      <c r="C186" s="30" t="str">
        <f>Sheet1!BB186</f>
        <v>No</v>
      </c>
      <c r="D186" s="30" t="s">
        <v>13</v>
      </c>
      <c r="E186" s="34" t="s">
        <v>13</v>
      </c>
      <c r="F186" s="25" t="s">
        <v>3820</v>
      </c>
      <c r="G186" s="31">
        <v>205.0</v>
      </c>
      <c r="H186" s="34" t="s">
        <v>3853</v>
      </c>
      <c r="I186" s="34">
        <v>0.0</v>
      </c>
      <c r="J186" s="34">
        <v>100.0</v>
      </c>
      <c r="K186" s="34">
        <v>0.0</v>
      </c>
      <c r="L186" s="34">
        <v>0.0</v>
      </c>
      <c r="M186" s="33">
        <f>COUNTIFS('Data For Calculation - Insuranc'!A:A,A186,'Data For Calculation - Insuranc'!E:E,"CPA + RSA")</f>
        <v>0</v>
      </c>
      <c r="N186" s="25" t="s">
        <v>3820</v>
      </c>
      <c r="O186" s="33">
        <v>460.0</v>
      </c>
      <c r="P186" s="34" t="s">
        <v>3853</v>
      </c>
      <c r="Q186" s="34">
        <v>0.0</v>
      </c>
      <c r="R186" s="34">
        <v>100.0</v>
      </c>
      <c r="S186" s="34">
        <v>0.0</v>
      </c>
      <c r="T186" s="34">
        <v>0.0</v>
      </c>
      <c r="U186" s="33">
        <f>COUNTIFS('Data For Calculation - Insuranc'!A:A,A186,'Data For Calculation - Insuranc'!E:E,"CPA + RSA + AHDC + DOC")</f>
        <v>0</v>
      </c>
      <c r="V186" s="25" t="s">
        <v>3820</v>
      </c>
      <c r="W186" s="33">
        <v>838.99</v>
      </c>
      <c r="X186" s="34" t="s">
        <v>3853</v>
      </c>
      <c r="Y186" s="34">
        <v>0.0</v>
      </c>
      <c r="Z186" s="34">
        <v>100.0</v>
      </c>
      <c r="AA186" s="34">
        <v>0.0</v>
      </c>
      <c r="AB186" s="34">
        <v>0.0</v>
      </c>
      <c r="AC186" s="33">
        <f>COUNTIFS('Data For Calculation - Insuranc'!A:A,A186,'Data For Calculation - Insuranc'!E:E,"CPA + RSA : 5 Years")</f>
        <v>0</v>
      </c>
      <c r="AD186" s="25" t="s">
        <v>3820</v>
      </c>
      <c r="AE186" s="33">
        <v>838.99</v>
      </c>
      <c r="AF186" s="34" t="s">
        <v>3853</v>
      </c>
      <c r="AG186" s="34">
        <v>0.0</v>
      </c>
      <c r="AH186" s="34">
        <v>100.0</v>
      </c>
      <c r="AI186" s="34">
        <v>0.0</v>
      </c>
      <c r="AJ186" s="34">
        <v>0.0</v>
      </c>
      <c r="AK186" s="33">
        <f>COUNTIFS('Data For Calculation - Insuranc'!A:A,A186,'Data For Calculation - Insuranc'!E:E,"Assistance + CPA : 5 Years")</f>
        <v>0</v>
      </c>
      <c r="AL186" s="25" t="s">
        <v>3820</v>
      </c>
      <c r="AM186" s="31">
        <v>290.0</v>
      </c>
      <c r="AN186" s="34" t="s">
        <v>3853</v>
      </c>
      <c r="AO186" s="34">
        <v>0.0</v>
      </c>
      <c r="AP186" s="34">
        <v>100.0</v>
      </c>
      <c r="AQ186" s="34">
        <v>0.0</v>
      </c>
      <c r="AR186" s="34">
        <v>0.0</v>
      </c>
      <c r="AS186" s="33">
        <f>COUNTIFS('Data For Calculation - Insuranc'!A:A,A186,'Data For Calculation - Insuranc'!E:E,"RSA + AHDC + DOC")</f>
        <v>0</v>
      </c>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33">
        <f t="shared" si="1"/>
        <v>0</v>
      </c>
      <c r="BS186" s="33">
        <f>SUMIFS('Data For Calculation - Insuranc'!I:I,'Data For Calculation - Insuranc'!$A:$A,$A186)</f>
        <v>0</v>
      </c>
      <c r="BT186" s="33">
        <f>SUMIFS('Data For Calculation - Insuranc'!J:J,'Data For Calculation - Insuranc'!$A:$A,$A186)</f>
        <v>0</v>
      </c>
      <c r="BU186" s="33">
        <f>SUMIFS('Data For Calculation - Insuranc'!K:K,'Data For Calculation - Insuranc'!$A:$A,$A186)</f>
        <v>0</v>
      </c>
      <c r="BV186" s="33">
        <f>IF($CC186 = "Dealer", SUMIFS('Data For Calculation - Insuranc'!I:I,'Data For Calculation - Insuranc'!$B:$B,$A186,'Data For Calculation - Insuranc'!$H:$H,"Master Dealer")) + SUMIFS('Data For Calculation - Insuranc'!I:I,'Data For Calculation - Insuranc'!$A:$A,$A186,'Data For Calculation - Insuranc'!$H:$H,"Self")</f>
        <v>0</v>
      </c>
      <c r="BW186" s="33">
        <f>IF($CC186 = "Dealer", SUMIFS('Data For Calculation - Insuranc'!J:J,'Data For Calculation - Insuranc'!$B:$B,$A186,'Data For Calculation - Insuranc'!$H:$H,"Master Dealer")) + SUMIFS('Data For Calculation - Insuranc'!J:J,'Data For Calculation - Insuranc'!$A:$A,$A186,'Data For Calculation - Insuranc'!$H:$H,"Self")</f>
        <v>0</v>
      </c>
      <c r="BX186" s="33">
        <f>IF($CC186 = "Dealer", SUMIFS('Data For Calculation - Insuranc'!K:K,'Data For Calculation - Insuranc'!$B:$B,$A186,'Data For Calculation - Insuranc'!$H:$H,"Master Dealer")) + SUMIFS('Data For Calculation - Insuranc'!K:K,'Data For Calculation - Insuranc'!$A:$A,$A186,'Data For Calculation - Insuranc'!$H:$H,"Self")</f>
        <v>0</v>
      </c>
      <c r="BY186" s="25" t="str">
        <f>(Sheet1!N186)</f>
        <v>Modern Auto Agency - Bettiah</v>
      </c>
      <c r="BZ186" s="25" t="str">
        <f>(Sheet1!O186)</f>
        <v>1_UtGSoyOsljQXvmry7gfXGYwjwEjQbghQQGZebnq45M</v>
      </c>
      <c r="CA186" s="25" t="str">
        <f>(Sheet1!AV186)</f>
        <v/>
      </c>
      <c r="CB186" s="25" t="str">
        <f>(Sheet1!AW186)</f>
        <v/>
      </c>
      <c r="CC186" s="25" t="str">
        <f>(Sheet1!P186)</f>
        <v>Sub Dealer</v>
      </c>
    </row>
    <row r="187">
      <c r="A187" s="25" t="str">
        <f>(Sheet1!A187)</f>
        <v>18-Jt-1hSQWeUmfNImHZoIB1DJTVR1SDzcs7QHsFc8IQ</v>
      </c>
      <c r="B187" s="25" t="str">
        <f>(Sheet1!B187)</f>
        <v>MILAN AUTO AGENCY (MAA) - RAMNAGAR</v>
      </c>
      <c r="C187" s="30" t="str">
        <f>Sheet1!BB187</f>
        <v>No</v>
      </c>
      <c r="D187" s="30" t="s">
        <v>13</v>
      </c>
      <c r="E187" s="34" t="s">
        <v>13</v>
      </c>
      <c r="F187" s="25" t="s">
        <v>3820</v>
      </c>
      <c r="G187" s="31">
        <v>205.0</v>
      </c>
      <c r="H187" s="34" t="s">
        <v>3853</v>
      </c>
      <c r="I187" s="34">
        <v>0.0</v>
      </c>
      <c r="J187" s="34">
        <v>100.0</v>
      </c>
      <c r="K187" s="34">
        <v>0.0</v>
      </c>
      <c r="L187" s="34">
        <v>0.0</v>
      </c>
      <c r="M187" s="33">
        <f>COUNTIFS('Data For Calculation - Insuranc'!A:A,A187,'Data For Calculation - Insuranc'!E:E,"CPA + RSA")</f>
        <v>0</v>
      </c>
      <c r="N187" s="25" t="s">
        <v>3820</v>
      </c>
      <c r="O187" s="33">
        <v>460.0</v>
      </c>
      <c r="P187" s="34" t="s">
        <v>3853</v>
      </c>
      <c r="Q187" s="34">
        <v>0.0</v>
      </c>
      <c r="R187" s="34">
        <v>100.0</v>
      </c>
      <c r="S187" s="34">
        <v>0.0</v>
      </c>
      <c r="T187" s="34">
        <v>0.0</v>
      </c>
      <c r="U187" s="33">
        <f>COUNTIFS('Data For Calculation - Insuranc'!A:A,A187,'Data For Calculation - Insuranc'!E:E,"CPA + RSA + AHDC + DOC")</f>
        <v>0</v>
      </c>
      <c r="V187" s="25" t="s">
        <v>3820</v>
      </c>
      <c r="W187" s="33">
        <v>838.99</v>
      </c>
      <c r="X187" s="34" t="s">
        <v>3853</v>
      </c>
      <c r="Y187" s="34">
        <v>0.0</v>
      </c>
      <c r="Z187" s="34">
        <v>100.0</v>
      </c>
      <c r="AA187" s="34">
        <v>0.0</v>
      </c>
      <c r="AB187" s="34">
        <v>0.0</v>
      </c>
      <c r="AC187" s="33">
        <f>COUNTIFS('Data For Calculation - Insuranc'!A:A,A187,'Data For Calculation - Insuranc'!E:E,"CPA + RSA : 5 Years")</f>
        <v>0</v>
      </c>
      <c r="AD187" s="25" t="s">
        <v>3820</v>
      </c>
      <c r="AE187" s="33">
        <v>838.99</v>
      </c>
      <c r="AF187" s="34" t="s">
        <v>3853</v>
      </c>
      <c r="AG187" s="34">
        <v>0.0</v>
      </c>
      <c r="AH187" s="34">
        <v>100.0</v>
      </c>
      <c r="AI187" s="34">
        <v>0.0</v>
      </c>
      <c r="AJ187" s="34">
        <v>0.0</v>
      </c>
      <c r="AK187" s="33">
        <f>COUNTIFS('Data For Calculation - Insuranc'!A:A,A187,'Data For Calculation - Insuranc'!E:E,"Assistance + CPA : 5 Years")</f>
        <v>0</v>
      </c>
      <c r="AL187" s="25" t="s">
        <v>3820</v>
      </c>
      <c r="AM187" s="31">
        <v>290.0</v>
      </c>
      <c r="AN187" s="34" t="s">
        <v>3853</v>
      </c>
      <c r="AO187" s="34">
        <v>0.0</v>
      </c>
      <c r="AP187" s="34">
        <v>100.0</v>
      </c>
      <c r="AQ187" s="34">
        <v>0.0</v>
      </c>
      <c r="AR187" s="34">
        <v>0.0</v>
      </c>
      <c r="AS187" s="33">
        <f>COUNTIFS('Data For Calculation - Insuranc'!A:A,A187,'Data For Calculation - Insuranc'!E:E,"RSA + AHDC + DOC")</f>
        <v>0</v>
      </c>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33">
        <f t="shared" si="1"/>
        <v>0</v>
      </c>
      <c r="BS187" s="33">
        <f>SUMIFS('Data For Calculation - Insuranc'!I:I,'Data For Calculation - Insuranc'!$A:$A,$A187)</f>
        <v>0</v>
      </c>
      <c r="BT187" s="33">
        <f>SUMIFS('Data For Calculation - Insuranc'!J:J,'Data For Calculation - Insuranc'!$A:$A,$A187)</f>
        <v>0</v>
      </c>
      <c r="BU187" s="33">
        <f>SUMIFS('Data For Calculation - Insuranc'!K:K,'Data For Calculation - Insuranc'!$A:$A,$A187)</f>
        <v>0</v>
      </c>
      <c r="BV187" s="33">
        <f>IF($CC187 = "Dealer", SUMIFS('Data For Calculation - Insuranc'!I:I,'Data For Calculation - Insuranc'!$B:$B,$A187,'Data For Calculation - Insuranc'!$H:$H,"Master Dealer")) + SUMIFS('Data For Calculation - Insuranc'!I:I,'Data For Calculation - Insuranc'!$A:$A,$A187,'Data For Calculation - Insuranc'!$H:$H,"Self")</f>
        <v>0</v>
      </c>
      <c r="BW187" s="33">
        <f>IF($CC187 = "Dealer", SUMIFS('Data For Calculation - Insuranc'!J:J,'Data For Calculation - Insuranc'!$B:$B,$A187,'Data For Calculation - Insuranc'!$H:$H,"Master Dealer")) + SUMIFS('Data For Calculation - Insuranc'!J:J,'Data For Calculation - Insuranc'!$A:$A,$A187,'Data For Calculation - Insuranc'!$H:$H,"Self")</f>
        <v>0</v>
      </c>
      <c r="BX187" s="33">
        <f>IF($CC187 = "Dealer", SUMIFS('Data For Calculation - Insuranc'!K:K,'Data For Calculation - Insuranc'!$B:$B,$A187,'Data For Calculation - Insuranc'!$H:$H,"Master Dealer")) + SUMIFS('Data For Calculation - Insuranc'!K:K,'Data For Calculation - Insuranc'!$A:$A,$A187,'Data For Calculation - Insuranc'!$H:$H,"Self")</f>
        <v>0</v>
      </c>
      <c r="BY187" s="25" t="str">
        <f>(Sheet1!N187)</f>
        <v>Modern Auto Agency - Bettiah</v>
      </c>
      <c r="BZ187" s="25" t="str">
        <f>(Sheet1!O187)</f>
        <v>1_UtGSoyOsljQXvmry7gfXGYwjwEjQbghQQGZebnq45M</v>
      </c>
      <c r="CA187" s="25" t="str">
        <f>(Sheet1!AV187)</f>
        <v/>
      </c>
      <c r="CB187" s="25" t="str">
        <f>(Sheet1!AW187)</f>
        <v/>
      </c>
      <c r="CC187" s="25" t="str">
        <f>(Sheet1!P187)</f>
        <v>Sub Dealer</v>
      </c>
    </row>
    <row r="188">
      <c r="A188" s="25" t="str">
        <f>(Sheet1!A188)</f>
        <v>1HM8WbBnHpHB3rDjfMfy58j7gi_pEy5b2nEqGnoGP7mk</v>
      </c>
      <c r="B188" s="25" t="str">
        <f>(Sheet1!B188)</f>
        <v>SHAKTI AUTOMOBILES (MAA) - JAGDISHPUR</v>
      </c>
      <c r="C188" s="30" t="str">
        <f>Sheet1!BB188</f>
        <v>No</v>
      </c>
      <c r="D188" s="30" t="s">
        <v>13</v>
      </c>
      <c r="E188" s="34" t="s">
        <v>13</v>
      </c>
      <c r="F188" s="25" t="s">
        <v>3820</v>
      </c>
      <c r="G188" s="31">
        <v>205.0</v>
      </c>
      <c r="H188" s="34" t="s">
        <v>3853</v>
      </c>
      <c r="I188" s="34">
        <v>0.0</v>
      </c>
      <c r="J188" s="34">
        <v>100.0</v>
      </c>
      <c r="K188" s="34">
        <v>0.0</v>
      </c>
      <c r="L188" s="34">
        <v>0.0</v>
      </c>
      <c r="M188" s="33">
        <f>COUNTIFS('Data For Calculation - Insuranc'!A:A,A188,'Data For Calculation - Insuranc'!E:E,"CPA + RSA")</f>
        <v>0</v>
      </c>
      <c r="N188" s="25" t="s">
        <v>3820</v>
      </c>
      <c r="O188" s="33">
        <v>460.0</v>
      </c>
      <c r="P188" s="34" t="s">
        <v>3853</v>
      </c>
      <c r="Q188" s="34">
        <v>0.0</v>
      </c>
      <c r="R188" s="34">
        <v>100.0</v>
      </c>
      <c r="S188" s="34">
        <v>0.0</v>
      </c>
      <c r="T188" s="34">
        <v>0.0</v>
      </c>
      <c r="U188" s="33">
        <f>COUNTIFS('Data For Calculation - Insuranc'!A:A,A188,'Data For Calculation - Insuranc'!E:E,"CPA + RSA + AHDC + DOC")</f>
        <v>0</v>
      </c>
      <c r="V188" s="25" t="s">
        <v>3820</v>
      </c>
      <c r="W188" s="33">
        <v>838.99</v>
      </c>
      <c r="X188" s="34" t="s">
        <v>3853</v>
      </c>
      <c r="Y188" s="34">
        <v>0.0</v>
      </c>
      <c r="Z188" s="34">
        <v>100.0</v>
      </c>
      <c r="AA188" s="34">
        <v>0.0</v>
      </c>
      <c r="AB188" s="34">
        <v>0.0</v>
      </c>
      <c r="AC188" s="33">
        <f>COUNTIFS('Data For Calculation - Insuranc'!A:A,A188,'Data For Calculation - Insuranc'!E:E,"CPA + RSA : 5 Years")</f>
        <v>0</v>
      </c>
      <c r="AD188" s="25" t="s">
        <v>3820</v>
      </c>
      <c r="AE188" s="33">
        <v>838.99</v>
      </c>
      <c r="AF188" s="34" t="s">
        <v>3853</v>
      </c>
      <c r="AG188" s="34">
        <v>0.0</v>
      </c>
      <c r="AH188" s="34">
        <v>100.0</v>
      </c>
      <c r="AI188" s="34">
        <v>0.0</v>
      </c>
      <c r="AJ188" s="34">
        <v>0.0</v>
      </c>
      <c r="AK188" s="33">
        <f>COUNTIFS('Data For Calculation - Insuranc'!A:A,A188,'Data For Calculation - Insuranc'!E:E,"Assistance + CPA : 5 Years")</f>
        <v>0</v>
      </c>
      <c r="AL188" s="25" t="s">
        <v>3820</v>
      </c>
      <c r="AM188" s="31">
        <v>290.0</v>
      </c>
      <c r="AN188" s="34" t="s">
        <v>3853</v>
      </c>
      <c r="AO188" s="34">
        <v>0.0</v>
      </c>
      <c r="AP188" s="34">
        <v>100.0</v>
      </c>
      <c r="AQ188" s="34">
        <v>0.0</v>
      </c>
      <c r="AR188" s="34">
        <v>0.0</v>
      </c>
      <c r="AS188" s="33">
        <f>COUNTIFS('Data For Calculation - Insuranc'!A:A,A188,'Data For Calculation - Insuranc'!E:E,"RSA + AHDC + DOC")</f>
        <v>0</v>
      </c>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33">
        <f t="shared" si="1"/>
        <v>0</v>
      </c>
      <c r="BS188" s="33">
        <f>SUMIFS('Data For Calculation - Insuranc'!I:I,'Data For Calculation - Insuranc'!$A:$A,$A188)</f>
        <v>0</v>
      </c>
      <c r="BT188" s="33">
        <f>SUMIFS('Data For Calculation - Insuranc'!J:J,'Data For Calculation - Insuranc'!$A:$A,$A188)</f>
        <v>0</v>
      </c>
      <c r="BU188" s="33">
        <f>SUMIFS('Data For Calculation - Insuranc'!K:K,'Data For Calculation - Insuranc'!$A:$A,$A188)</f>
        <v>0</v>
      </c>
      <c r="BV188" s="33">
        <f>IF($CC188 = "Dealer", SUMIFS('Data For Calculation - Insuranc'!I:I,'Data For Calculation - Insuranc'!$B:$B,$A188,'Data For Calculation - Insuranc'!$H:$H,"Master Dealer")) + SUMIFS('Data For Calculation - Insuranc'!I:I,'Data For Calculation - Insuranc'!$A:$A,$A188,'Data For Calculation - Insuranc'!$H:$H,"Self")</f>
        <v>0</v>
      </c>
      <c r="BW188" s="33">
        <f>IF($CC188 = "Dealer", SUMIFS('Data For Calculation - Insuranc'!J:J,'Data For Calculation - Insuranc'!$B:$B,$A188,'Data For Calculation - Insuranc'!$H:$H,"Master Dealer")) + SUMIFS('Data For Calculation - Insuranc'!J:J,'Data For Calculation - Insuranc'!$A:$A,$A188,'Data For Calculation - Insuranc'!$H:$H,"Self")</f>
        <v>0</v>
      </c>
      <c r="BX188" s="33">
        <f>IF($CC188 = "Dealer", SUMIFS('Data For Calculation - Insuranc'!K:K,'Data For Calculation - Insuranc'!$B:$B,$A188,'Data For Calculation - Insuranc'!$H:$H,"Master Dealer")) + SUMIFS('Data For Calculation - Insuranc'!K:K,'Data For Calculation - Insuranc'!$A:$A,$A188,'Data For Calculation - Insuranc'!$H:$H,"Self")</f>
        <v>0</v>
      </c>
      <c r="BY188" s="25" t="str">
        <f>(Sheet1!N188)</f>
        <v>Modern Auto Agency - Bettiah</v>
      </c>
      <c r="BZ188" s="25" t="str">
        <f>(Sheet1!O188)</f>
        <v>1_UtGSoyOsljQXvmry7gfXGYwjwEjQbghQQGZebnq45M</v>
      </c>
      <c r="CA188" s="25" t="str">
        <f>(Sheet1!AV188)</f>
        <v/>
      </c>
      <c r="CB188" s="25" t="str">
        <f>(Sheet1!AW188)</f>
        <v/>
      </c>
      <c r="CC188" s="25" t="str">
        <f>(Sheet1!P188)</f>
        <v>Sub Dealer</v>
      </c>
    </row>
    <row r="189">
      <c r="A189" s="25" t="str">
        <f>(Sheet1!A189)</f>
        <v>1qxwsz8bKbkgF_CUEIo4wHtKWUOmG5XLVsTe2BNqwe-U</v>
      </c>
      <c r="B189" s="25" t="str">
        <f>(Sheet1!B189)</f>
        <v>OM HERO AGENCY (MAA) - LAURIYA</v>
      </c>
      <c r="C189" s="30" t="str">
        <f>Sheet1!BB189</f>
        <v>No</v>
      </c>
      <c r="D189" s="30" t="s">
        <v>13</v>
      </c>
      <c r="E189" s="34" t="s">
        <v>13</v>
      </c>
      <c r="F189" s="25" t="s">
        <v>3820</v>
      </c>
      <c r="G189" s="31">
        <v>205.0</v>
      </c>
      <c r="H189" s="34" t="s">
        <v>3853</v>
      </c>
      <c r="I189" s="34">
        <v>0.0</v>
      </c>
      <c r="J189" s="34">
        <v>100.0</v>
      </c>
      <c r="K189" s="34">
        <v>0.0</v>
      </c>
      <c r="L189" s="34">
        <v>0.0</v>
      </c>
      <c r="M189" s="33">
        <f>COUNTIFS('Data For Calculation - Insuranc'!A:A,A189,'Data For Calculation - Insuranc'!E:E,"CPA + RSA")</f>
        <v>0</v>
      </c>
      <c r="N189" s="25" t="s">
        <v>3820</v>
      </c>
      <c r="O189" s="33">
        <v>460.0</v>
      </c>
      <c r="P189" s="34" t="s">
        <v>3853</v>
      </c>
      <c r="Q189" s="34">
        <v>0.0</v>
      </c>
      <c r="R189" s="34">
        <v>100.0</v>
      </c>
      <c r="S189" s="34">
        <v>0.0</v>
      </c>
      <c r="T189" s="34">
        <v>0.0</v>
      </c>
      <c r="U189" s="33">
        <f>COUNTIFS('Data For Calculation - Insuranc'!A:A,A189,'Data For Calculation - Insuranc'!E:E,"CPA + RSA + AHDC + DOC")</f>
        <v>0</v>
      </c>
      <c r="V189" s="25" t="s">
        <v>3820</v>
      </c>
      <c r="W189" s="33">
        <v>838.99</v>
      </c>
      <c r="X189" s="34" t="s">
        <v>3853</v>
      </c>
      <c r="Y189" s="34">
        <v>0.0</v>
      </c>
      <c r="Z189" s="34">
        <v>100.0</v>
      </c>
      <c r="AA189" s="34">
        <v>0.0</v>
      </c>
      <c r="AB189" s="34">
        <v>0.0</v>
      </c>
      <c r="AC189" s="33">
        <f>COUNTIFS('Data For Calculation - Insuranc'!A:A,A189,'Data For Calculation - Insuranc'!E:E,"CPA + RSA : 5 Years")</f>
        <v>0</v>
      </c>
      <c r="AD189" s="25" t="s">
        <v>3820</v>
      </c>
      <c r="AE189" s="33">
        <v>838.99</v>
      </c>
      <c r="AF189" s="34" t="s">
        <v>3853</v>
      </c>
      <c r="AG189" s="34">
        <v>0.0</v>
      </c>
      <c r="AH189" s="34">
        <v>100.0</v>
      </c>
      <c r="AI189" s="34">
        <v>0.0</v>
      </c>
      <c r="AJ189" s="34">
        <v>0.0</v>
      </c>
      <c r="AK189" s="33">
        <f>COUNTIFS('Data For Calculation - Insuranc'!A:A,A189,'Data For Calculation - Insuranc'!E:E,"Assistance + CPA : 5 Years")</f>
        <v>0</v>
      </c>
      <c r="AL189" s="25" t="s">
        <v>3820</v>
      </c>
      <c r="AM189" s="31">
        <v>290.0</v>
      </c>
      <c r="AN189" s="34" t="s">
        <v>3853</v>
      </c>
      <c r="AO189" s="34">
        <v>0.0</v>
      </c>
      <c r="AP189" s="34">
        <v>100.0</v>
      </c>
      <c r="AQ189" s="34">
        <v>0.0</v>
      </c>
      <c r="AR189" s="34">
        <v>0.0</v>
      </c>
      <c r="AS189" s="33">
        <f>COUNTIFS('Data For Calculation - Insuranc'!A:A,A189,'Data For Calculation - Insuranc'!E:E,"RSA + AHDC + DOC")</f>
        <v>0</v>
      </c>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33">
        <f t="shared" si="1"/>
        <v>0</v>
      </c>
      <c r="BS189" s="33">
        <f>SUMIFS('Data For Calculation - Insuranc'!I:I,'Data For Calculation - Insuranc'!$A:$A,$A189)</f>
        <v>0</v>
      </c>
      <c r="BT189" s="33">
        <f>SUMIFS('Data For Calculation - Insuranc'!J:J,'Data For Calculation - Insuranc'!$A:$A,$A189)</f>
        <v>0</v>
      </c>
      <c r="BU189" s="33">
        <f>SUMIFS('Data For Calculation - Insuranc'!K:K,'Data For Calculation - Insuranc'!$A:$A,$A189)</f>
        <v>0</v>
      </c>
      <c r="BV189" s="33">
        <f>IF($CC189 = "Dealer", SUMIFS('Data For Calculation - Insuranc'!I:I,'Data For Calculation - Insuranc'!$B:$B,$A189,'Data For Calculation - Insuranc'!$H:$H,"Master Dealer")) + SUMIFS('Data For Calculation - Insuranc'!I:I,'Data For Calculation - Insuranc'!$A:$A,$A189,'Data For Calculation - Insuranc'!$H:$H,"Self")</f>
        <v>0</v>
      </c>
      <c r="BW189" s="33">
        <f>IF($CC189 = "Dealer", SUMIFS('Data For Calculation - Insuranc'!J:J,'Data For Calculation - Insuranc'!$B:$B,$A189,'Data For Calculation - Insuranc'!$H:$H,"Master Dealer")) + SUMIFS('Data For Calculation - Insuranc'!J:J,'Data For Calculation - Insuranc'!$A:$A,$A189,'Data For Calculation - Insuranc'!$H:$H,"Self")</f>
        <v>0</v>
      </c>
      <c r="BX189" s="33">
        <f>IF($CC189 = "Dealer", SUMIFS('Data For Calculation - Insuranc'!K:K,'Data For Calculation - Insuranc'!$B:$B,$A189,'Data For Calculation - Insuranc'!$H:$H,"Master Dealer")) + SUMIFS('Data For Calculation - Insuranc'!K:K,'Data For Calculation - Insuranc'!$A:$A,$A189,'Data For Calculation - Insuranc'!$H:$H,"Self")</f>
        <v>0</v>
      </c>
      <c r="BY189" s="25" t="str">
        <f>(Sheet1!N189)</f>
        <v>Modern Auto Agency - Bettiah</v>
      </c>
      <c r="BZ189" s="25" t="str">
        <f>(Sheet1!O189)</f>
        <v>1_UtGSoyOsljQXvmry7gfXGYwjwEjQbghQQGZebnq45M</v>
      </c>
      <c r="CA189" s="25" t="str">
        <f>(Sheet1!AV189)</f>
        <v/>
      </c>
      <c r="CB189" s="25" t="str">
        <f>(Sheet1!AW189)</f>
        <v/>
      </c>
      <c r="CC189" s="25" t="str">
        <f>(Sheet1!P189)</f>
        <v>Sub Dealer</v>
      </c>
    </row>
    <row r="190">
      <c r="A190" s="25" t="str">
        <f>(Sheet1!A190)</f>
        <v>1Q8U3Jj55bW7tNWEEYKak-6r3JRnqYxwcO8TnGV4lF2I</v>
      </c>
      <c r="B190" s="25" t="str">
        <f>(Sheet1!B190)</f>
        <v>LAXMI ENTERPRISES (MAA) - HARNATAR</v>
      </c>
      <c r="C190" s="30" t="str">
        <f>Sheet1!BB190</f>
        <v>No</v>
      </c>
      <c r="D190" s="30" t="s">
        <v>13</v>
      </c>
      <c r="E190" s="34" t="s">
        <v>13</v>
      </c>
      <c r="F190" s="25" t="s">
        <v>3820</v>
      </c>
      <c r="G190" s="31">
        <v>205.0</v>
      </c>
      <c r="H190" s="34" t="s">
        <v>3853</v>
      </c>
      <c r="I190" s="34">
        <v>0.0</v>
      </c>
      <c r="J190" s="34">
        <v>100.0</v>
      </c>
      <c r="K190" s="34">
        <v>0.0</v>
      </c>
      <c r="L190" s="34">
        <v>0.0</v>
      </c>
      <c r="M190" s="33">
        <f>COUNTIFS('Data For Calculation - Insuranc'!A:A,A190,'Data For Calculation - Insuranc'!E:E,"CPA + RSA")</f>
        <v>0</v>
      </c>
      <c r="N190" s="25" t="s">
        <v>3820</v>
      </c>
      <c r="O190" s="33">
        <v>460.0</v>
      </c>
      <c r="P190" s="34" t="s">
        <v>3853</v>
      </c>
      <c r="Q190" s="34">
        <v>0.0</v>
      </c>
      <c r="R190" s="34">
        <v>100.0</v>
      </c>
      <c r="S190" s="34">
        <v>0.0</v>
      </c>
      <c r="T190" s="34">
        <v>0.0</v>
      </c>
      <c r="U190" s="33">
        <f>COUNTIFS('Data For Calculation - Insuranc'!A:A,A190,'Data For Calculation - Insuranc'!E:E,"CPA + RSA + AHDC + DOC")</f>
        <v>0</v>
      </c>
      <c r="V190" s="25" t="s">
        <v>3820</v>
      </c>
      <c r="W190" s="33">
        <v>838.99</v>
      </c>
      <c r="X190" s="34" t="s">
        <v>3853</v>
      </c>
      <c r="Y190" s="34">
        <v>0.0</v>
      </c>
      <c r="Z190" s="34">
        <v>100.0</v>
      </c>
      <c r="AA190" s="34">
        <v>0.0</v>
      </c>
      <c r="AB190" s="34">
        <v>0.0</v>
      </c>
      <c r="AC190" s="33">
        <f>COUNTIFS('Data For Calculation - Insuranc'!A:A,A190,'Data For Calculation - Insuranc'!E:E,"CPA + RSA : 5 Years")</f>
        <v>0</v>
      </c>
      <c r="AD190" s="25" t="s">
        <v>3820</v>
      </c>
      <c r="AE190" s="33">
        <v>838.99</v>
      </c>
      <c r="AF190" s="34" t="s">
        <v>3853</v>
      </c>
      <c r="AG190" s="34">
        <v>0.0</v>
      </c>
      <c r="AH190" s="34">
        <v>100.0</v>
      </c>
      <c r="AI190" s="34">
        <v>0.0</v>
      </c>
      <c r="AJ190" s="34">
        <v>0.0</v>
      </c>
      <c r="AK190" s="33">
        <f>COUNTIFS('Data For Calculation - Insuranc'!A:A,A190,'Data For Calculation - Insuranc'!E:E,"Assistance + CPA : 5 Years")</f>
        <v>0</v>
      </c>
      <c r="AL190" s="25" t="s">
        <v>3820</v>
      </c>
      <c r="AM190" s="31">
        <v>290.0</v>
      </c>
      <c r="AN190" s="34" t="s">
        <v>3853</v>
      </c>
      <c r="AO190" s="34">
        <v>0.0</v>
      </c>
      <c r="AP190" s="34">
        <v>100.0</v>
      </c>
      <c r="AQ190" s="34">
        <v>0.0</v>
      </c>
      <c r="AR190" s="34">
        <v>0.0</v>
      </c>
      <c r="AS190" s="33">
        <f>COUNTIFS('Data For Calculation - Insuranc'!A:A,A190,'Data For Calculation - Insuranc'!E:E,"RSA + AHDC + DOC")</f>
        <v>0</v>
      </c>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33">
        <f t="shared" si="1"/>
        <v>0</v>
      </c>
      <c r="BS190" s="33">
        <f>SUMIFS('Data For Calculation - Insuranc'!I:I,'Data For Calculation - Insuranc'!$A:$A,$A190)</f>
        <v>0</v>
      </c>
      <c r="BT190" s="33">
        <f>SUMIFS('Data For Calculation - Insuranc'!J:J,'Data For Calculation - Insuranc'!$A:$A,$A190)</f>
        <v>0</v>
      </c>
      <c r="BU190" s="33">
        <f>SUMIFS('Data For Calculation - Insuranc'!K:K,'Data For Calculation - Insuranc'!$A:$A,$A190)</f>
        <v>0</v>
      </c>
      <c r="BV190" s="33">
        <f>IF($CC190 = "Dealer", SUMIFS('Data For Calculation - Insuranc'!I:I,'Data For Calculation - Insuranc'!$B:$B,$A190,'Data For Calculation - Insuranc'!$H:$H,"Master Dealer")) + SUMIFS('Data For Calculation - Insuranc'!I:I,'Data For Calculation - Insuranc'!$A:$A,$A190,'Data For Calculation - Insuranc'!$H:$H,"Self")</f>
        <v>0</v>
      </c>
      <c r="BW190" s="33">
        <f>IF($CC190 = "Dealer", SUMIFS('Data For Calculation - Insuranc'!J:J,'Data For Calculation - Insuranc'!$B:$B,$A190,'Data For Calculation - Insuranc'!$H:$H,"Master Dealer")) + SUMIFS('Data For Calculation - Insuranc'!J:J,'Data For Calculation - Insuranc'!$A:$A,$A190,'Data For Calculation - Insuranc'!$H:$H,"Self")</f>
        <v>0</v>
      </c>
      <c r="BX190" s="33">
        <f>IF($CC190 = "Dealer", SUMIFS('Data For Calculation - Insuranc'!K:K,'Data For Calculation - Insuranc'!$B:$B,$A190,'Data For Calculation - Insuranc'!$H:$H,"Master Dealer")) + SUMIFS('Data For Calculation - Insuranc'!K:K,'Data For Calculation - Insuranc'!$A:$A,$A190,'Data For Calculation - Insuranc'!$H:$H,"Self")</f>
        <v>0</v>
      </c>
      <c r="BY190" s="25" t="str">
        <f>(Sheet1!N190)</f>
        <v>Modern Auto Agency - Bettiah</v>
      </c>
      <c r="BZ190" s="25" t="str">
        <f>(Sheet1!O190)</f>
        <v>1_UtGSoyOsljQXvmry7gfXGYwjwEjQbghQQGZebnq45M</v>
      </c>
      <c r="CA190" s="25" t="str">
        <f>(Sheet1!AV190)</f>
        <v/>
      </c>
      <c r="CB190" s="25" t="str">
        <f>(Sheet1!AW190)</f>
        <v/>
      </c>
      <c r="CC190" s="25" t="str">
        <f>(Sheet1!P190)</f>
        <v>Sub Dealer</v>
      </c>
    </row>
    <row r="191">
      <c r="A191" s="25" t="str">
        <f>(Sheet1!A191)</f>
        <v>1DNYx1_npboOhtIjFO3-v0kReMiQ0lrIDMiGeLHlNEsA</v>
      </c>
      <c r="B191" s="25" t="str">
        <f>(Sheet1!B191)</f>
        <v>GUPTA AUTO AGENCY (MAA) - TAMKUHA</v>
      </c>
      <c r="C191" s="30" t="str">
        <f>Sheet1!BB191</f>
        <v>No</v>
      </c>
      <c r="D191" s="30" t="s">
        <v>13</v>
      </c>
      <c r="E191" s="34" t="s">
        <v>13</v>
      </c>
      <c r="F191" s="25" t="s">
        <v>3820</v>
      </c>
      <c r="G191" s="31">
        <v>205.0</v>
      </c>
      <c r="H191" s="34" t="s">
        <v>3853</v>
      </c>
      <c r="I191" s="34">
        <v>0.0</v>
      </c>
      <c r="J191" s="34">
        <v>100.0</v>
      </c>
      <c r="K191" s="34">
        <v>0.0</v>
      </c>
      <c r="L191" s="34">
        <v>0.0</v>
      </c>
      <c r="M191" s="33">
        <f>COUNTIFS('Data For Calculation - Insuranc'!A:A,A191,'Data For Calculation - Insuranc'!E:E,"CPA + RSA")</f>
        <v>0</v>
      </c>
      <c r="N191" s="25" t="s">
        <v>3820</v>
      </c>
      <c r="O191" s="33">
        <v>460.0</v>
      </c>
      <c r="P191" s="34" t="s">
        <v>3853</v>
      </c>
      <c r="Q191" s="34">
        <v>0.0</v>
      </c>
      <c r="R191" s="34">
        <v>100.0</v>
      </c>
      <c r="S191" s="34">
        <v>0.0</v>
      </c>
      <c r="T191" s="34">
        <v>0.0</v>
      </c>
      <c r="U191" s="33">
        <f>COUNTIFS('Data For Calculation - Insuranc'!A:A,A191,'Data For Calculation - Insuranc'!E:E,"CPA + RSA + AHDC + DOC")</f>
        <v>0</v>
      </c>
      <c r="V191" s="25" t="s">
        <v>3820</v>
      </c>
      <c r="W191" s="33">
        <v>838.99</v>
      </c>
      <c r="X191" s="34" t="s">
        <v>3853</v>
      </c>
      <c r="Y191" s="34">
        <v>0.0</v>
      </c>
      <c r="Z191" s="34">
        <v>100.0</v>
      </c>
      <c r="AA191" s="34">
        <v>0.0</v>
      </c>
      <c r="AB191" s="34">
        <v>0.0</v>
      </c>
      <c r="AC191" s="33">
        <f>COUNTIFS('Data For Calculation - Insuranc'!A:A,A191,'Data For Calculation - Insuranc'!E:E,"CPA + RSA : 5 Years")</f>
        <v>0</v>
      </c>
      <c r="AD191" s="25" t="s">
        <v>3820</v>
      </c>
      <c r="AE191" s="33">
        <v>838.99</v>
      </c>
      <c r="AF191" s="34" t="s">
        <v>3853</v>
      </c>
      <c r="AG191" s="34">
        <v>0.0</v>
      </c>
      <c r="AH191" s="34">
        <v>100.0</v>
      </c>
      <c r="AI191" s="34">
        <v>0.0</v>
      </c>
      <c r="AJ191" s="34">
        <v>0.0</v>
      </c>
      <c r="AK191" s="33">
        <f>COUNTIFS('Data For Calculation - Insuranc'!A:A,A191,'Data For Calculation - Insuranc'!E:E,"Assistance + CPA : 5 Years")</f>
        <v>0</v>
      </c>
      <c r="AL191" s="25" t="s">
        <v>3820</v>
      </c>
      <c r="AM191" s="31">
        <v>290.0</v>
      </c>
      <c r="AN191" s="34" t="s">
        <v>3853</v>
      </c>
      <c r="AO191" s="34">
        <v>0.0</v>
      </c>
      <c r="AP191" s="34">
        <v>100.0</v>
      </c>
      <c r="AQ191" s="34">
        <v>0.0</v>
      </c>
      <c r="AR191" s="34">
        <v>0.0</v>
      </c>
      <c r="AS191" s="33">
        <f>COUNTIFS('Data For Calculation - Insuranc'!A:A,A191,'Data For Calculation - Insuranc'!E:E,"RSA + AHDC + DOC")</f>
        <v>0</v>
      </c>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33">
        <f t="shared" si="1"/>
        <v>0</v>
      </c>
      <c r="BS191" s="33">
        <f>SUMIFS('Data For Calculation - Insuranc'!I:I,'Data For Calculation - Insuranc'!$A:$A,$A191)</f>
        <v>0</v>
      </c>
      <c r="BT191" s="33">
        <f>SUMIFS('Data For Calculation - Insuranc'!J:J,'Data For Calculation - Insuranc'!$A:$A,$A191)</f>
        <v>0</v>
      </c>
      <c r="BU191" s="33">
        <f>SUMIFS('Data For Calculation - Insuranc'!K:K,'Data For Calculation - Insuranc'!$A:$A,$A191)</f>
        <v>0</v>
      </c>
      <c r="BV191" s="33">
        <f>IF($CC191 = "Dealer", SUMIFS('Data For Calculation - Insuranc'!I:I,'Data For Calculation - Insuranc'!$B:$B,$A191,'Data For Calculation - Insuranc'!$H:$H,"Master Dealer")) + SUMIFS('Data For Calculation - Insuranc'!I:I,'Data For Calculation - Insuranc'!$A:$A,$A191,'Data For Calculation - Insuranc'!$H:$H,"Self")</f>
        <v>0</v>
      </c>
      <c r="BW191" s="33">
        <f>IF($CC191 = "Dealer", SUMIFS('Data For Calculation - Insuranc'!J:J,'Data For Calculation - Insuranc'!$B:$B,$A191,'Data For Calculation - Insuranc'!$H:$H,"Master Dealer")) + SUMIFS('Data For Calculation - Insuranc'!J:J,'Data For Calculation - Insuranc'!$A:$A,$A191,'Data For Calculation - Insuranc'!$H:$H,"Self")</f>
        <v>0</v>
      </c>
      <c r="BX191" s="33">
        <f>IF($CC191 = "Dealer", SUMIFS('Data For Calculation - Insuranc'!K:K,'Data For Calculation - Insuranc'!$B:$B,$A191,'Data For Calculation - Insuranc'!$H:$H,"Master Dealer")) + SUMIFS('Data For Calculation - Insuranc'!K:K,'Data For Calculation - Insuranc'!$A:$A,$A191,'Data For Calculation - Insuranc'!$H:$H,"Self")</f>
        <v>0</v>
      </c>
      <c r="BY191" s="25" t="str">
        <f>(Sheet1!N191)</f>
        <v>Modern Auto Agency - Bettiah</v>
      </c>
      <c r="BZ191" s="25" t="str">
        <f>(Sheet1!O191)</f>
        <v>1_UtGSoyOsljQXvmry7gfXGYwjwEjQbghQQGZebnq45M</v>
      </c>
      <c r="CA191" s="25" t="str">
        <f>(Sheet1!AV191)</f>
        <v/>
      </c>
      <c r="CB191" s="25" t="str">
        <f>(Sheet1!AW191)</f>
        <v/>
      </c>
      <c r="CC191" s="25" t="str">
        <f>(Sheet1!P191)</f>
        <v>Sub Dealer</v>
      </c>
    </row>
    <row r="192">
      <c r="A192" s="25" t="str">
        <f>(Sheet1!A192)</f>
        <v>1U6sajfm4sKb9dpl7fnhhnc14-rNO99jD48Fg5iEe_MM</v>
      </c>
      <c r="B192" s="25" t="str">
        <f>(Sheet1!B192)</f>
        <v>SHIV HERO AGENCY (MAA) - JAMUNIA</v>
      </c>
      <c r="C192" s="30" t="str">
        <f>Sheet1!BB192</f>
        <v>No</v>
      </c>
      <c r="D192" s="30" t="s">
        <v>13</v>
      </c>
      <c r="E192" s="34" t="s">
        <v>13</v>
      </c>
      <c r="F192" s="25" t="s">
        <v>3820</v>
      </c>
      <c r="G192" s="31">
        <v>205.0</v>
      </c>
      <c r="H192" s="34" t="s">
        <v>3853</v>
      </c>
      <c r="I192" s="34">
        <v>0.0</v>
      </c>
      <c r="J192" s="34">
        <v>100.0</v>
      </c>
      <c r="K192" s="34">
        <v>0.0</v>
      </c>
      <c r="L192" s="34">
        <v>0.0</v>
      </c>
      <c r="M192" s="33">
        <f>COUNTIFS('Data For Calculation - Insuranc'!A:A,A192,'Data For Calculation - Insuranc'!E:E,"CPA + RSA")</f>
        <v>0</v>
      </c>
      <c r="N192" s="25" t="s">
        <v>3820</v>
      </c>
      <c r="O192" s="33">
        <v>460.0</v>
      </c>
      <c r="P192" s="34" t="s">
        <v>3853</v>
      </c>
      <c r="Q192" s="34">
        <v>0.0</v>
      </c>
      <c r="R192" s="34">
        <v>100.0</v>
      </c>
      <c r="S192" s="34">
        <v>0.0</v>
      </c>
      <c r="T192" s="34">
        <v>0.0</v>
      </c>
      <c r="U192" s="33">
        <f>COUNTIFS('Data For Calculation - Insuranc'!A:A,A192,'Data For Calculation - Insuranc'!E:E,"CPA + RSA + AHDC + DOC")</f>
        <v>0</v>
      </c>
      <c r="V192" s="25" t="s">
        <v>3820</v>
      </c>
      <c r="W192" s="33">
        <v>838.99</v>
      </c>
      <c r="X192" s="34" t="s">
        <v>3853</v>
      </c>
      <c r="Y192" s="34">
        <v>0.0</v>
      </c>
      <c r="Z192" s="34">
        <v>100.0</v>
      </c>
      <c r="AA192" s="34">
        <v>0.0</v>
      </c>
      <c r="AB192" s="34">
        <v>0.0</v>
      </c>
      <c r="AC192" s="33">
        <f>COUNTIFS('Data For Calculation - Insuranc'!A:A,A192,'Data For Calculation - Insuranc'!E:E,"CPA + RSA : 5 Years")</f>
        <v>0</v>
      </c>
      <c r="AD192" s="25" t="s">
        <v>3820</v>
      </c>
      <c r="AE192" s="33">
        <v>838.99</v>
      </c>
      <c r="AF192" s="34" t="s">
        <v>3853</v>
      </c>
      <c r="AG192" s="34">
        <v>0.0</v>
      </c>
      <c r="AH192" s="34">
        <v>100.0</v>
      </c>
      <c r="AI192" s="34">
        <v>0.0</v>
      </c>
      <c r="AJ192" s="34">
        <v>0.0</v>
      </c>
      <c r="AK192" s="33">
        <f>COUNTIFS('Data For Calculation - Insuranc'!A:A,A192,'Data For Calculation - Insuranc'!E:E,"Assistance + CPA : 5 Years")</f>
        <v>0</v>
      </c>
      <c r="AL192" s="25" t="s">
        <v>3820</v>
      </c>
      <c r="AM192" s="31">
        <v>290.0</v>
      </c>
      <c r="AN192" s="34" t="s">
        <v>3853</v>
      </c>
      <c r="AO192" s="34">
        <v>0.0</v>
      </c>
      <c r="AP192" s="34">
        <v>100.0</v>
      </c>
      <c r="AQ192" s="34">
        <v>0.0</v>
      </c>
      <c r="AR192" s="34">
        <v>0.0</v>
      </c>
      <c r="AS192" s="33">
        <f>COUNTIFS('Data For Calculation - Insuranc'!A:A,A192,'Data For Calculation - Insuranc'!E:E,"RSA + AHDC + DOC")</f>
        <v>0</v>
      </c>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33">
        <f t="shared" si="1"/>
        <v>0</v>
      </c>
      <c r="BS192" s="33">
        <f>SUMIFS('Data For Calculation - Insuranc'!I:I,'Data For Calculation - Insuranc'!$A:$A,$A192)</f>
        <v>0</v>
      </c>
      <c r="BT192" s="33">
        <f>SUMIFS('Data For Calculation - Insuranc'!J:J,'Data For Calculation - Insuranc'!$A:$A,$A192)</f>
        <v>0</v>
      </c>
      <c r="BU192" s="33">
        <f>SUMIFS('Data For Calculation - Insuranc'!K:K,'Data For Calculation - Insuranc'!$A:$A,$A192)</f>
        <v>0</v>
      </c>
      <c r="BV192" s="33">
        <f>IF($CC192 = "Dealer", SUMIFS('Data For Calculation - Insuranc'!I:I,'Data For Calculation - Insuranc'!$B:$B,$A192,'Data For Calculation - Insuranc'!$H:$H,"Master Dealer")) + SUMIFS('Data For Calculation - Insuranc'!I:I,'Data For Calculation - Insuranc'!$A:$A,$A192,'Data For Calculation - Insuranc'!$H:$H,"Self")</f>
        <v>0</v>
      </c>
      <c r="BW192" s="33">
        <f>IF($CC192 = "Dealer", SUMIFS('Data For Calculation - Insuranc'!J:J,'Data For Calculation - Insuranc'!$B:$B,$A192,'Data For Calculation - Insuranc'!$H:$H,"Master Dealer")) + SUMIFS('Data For Calculation - Insuranc'!J:J,'Data For Calculation - Insuranc'!$A:$A,$A192,'Data For Calculation - Insuranc'!$H:$H,"Self")</f>
        <v>0</v>
      </c>
      <c r="BX192" s="33">
        <f>IF($CC192 = "Dealer", SUMIFS('Data For Calculation - Insuranc'!K:K,'Data For Calculation - Insuranc'!$B:$B,$A192,'Data For Calculation - Insuranc'!$H:$H,"Master Dealer")) + SUMIFS('Data For Calculation - Insuranc'!K:K,'Data For Calculation - Insuranc'!$A:$A,$A192,'Data For Calculation - Insuranc'!$H:$H,"Self")</f>
        <v>0</v>
      </c>
      <c r="BY192" s="25" t="str">
        <f>(Sheet1!N192)</f>
        <v>Modern Auto Agency - Bettiah</v>
      </c>
      <c r="BZ192" s="25" t="str">
        <f>(Sheet1!O192)</f>
        <v>1_UtGSoyOsljQXvmry7gfXGYwjwEjQbghQQGZebnq45M</v>
      </c>
      <c r="CA192" s="25" t="str">
        <f>(Sheet1!AV192)</f>
        <v/>
      </c>
      <c r="CB192" s="25" t="str">
        <f>(Sheet1!AW192)</f>
        <v/>
      </c>
      <c r="CC192" s="25" t="str">
        <f>(Sheet1!P192)</f>
        <v>Sub Dealer</v>
      </c>
    </row>
    <row r="193">
      <c r="A193" s="25" t="str">
        <f>(Sheet1!A193)</f>
        <v>1a9gtQ7HlAwL1VT97lzul59hlYqscXYdQ7Sg85wtHL40</v>
      </c>
      <c r="B193" s="25" t="str">
        <f>(Sheet1!B193)</f>
        <v>NEW LAXMI AUTOMOBILES (MAA) - MAINATAND</v>
      </c>
      <c r="C193" s="30" t="str">
        <f>Sheet1!BB193</f>
        <v>No</v>
      </c>
      <c r="D193" s="30" t="s">
        <v>13</v>
      </c>
      <c r="E193" s="34" t="s">
        <v>13</v>
      </c>
      <c r="F193" s="25" t="s">
        <v>3820</v>
      </c>
      <c r="G193" s="31">
        <v>205.0</v>
      </c>
      <c r="H193" s="34" t="s">
        <v>3853</v>
      </c>
      <c r="I193" s="34">
        <v>0.0</v>
      </c>
      <c r="J193" s="34">
        <v>100.0</v>
      </c>
      <c r="K193" s="34">
        <v>0.0</v>
      </c>
      <c r="L193" s="34">
        <v>0.0</v>
      </c>
      <c r="M193" s="33">
        <f>COUNTIFS('Data For Calculation - Insuranc'!A:A,A193,'Data For Calculation - Insuranc'!E:E,"CPA + RSA")</f>
        <v>0</v>
      </c>
      <c r="N193" s="25" t="s">
        <v>3820</v>
      </c>
      <c r="O193" s="33">
        <v>460.0</v>
      </c>
      <c r="P193" s="34" t="s">
        <v>3853</v>
      </c>
      <c r="Q193" s="34">
        <v>0.0</v>
      </c>
      <c r="R193" s="34">
        <v>100.0</v>
      </c>
      <c r="S193" s="34">
        <v>0.0</v>
      </c>
      <c r="T193" s="34">
        <v>0.0</v>
      </c>
      <c r="U193" s="33">
        <f>COUNTIFS('Data For Calculation - Insuranc'!A:A,A193,'Data For Calculation - Insuranc'!E:E,"CPA + RSA + AHDC + DOC")</f>
        <v>0</v>
      </c>
      <c r="V193" s="25" t="s">
        <v>3820</v>
      </c>
      <c r="W193" s="33">
        <v>838.99</v>
      </c>
      <c r="X193" s="34" t="s">
        <v>3853</v>
      </c>
      <c r="Y193" s="34">
        <v>0.0</v>
      </c>
      <c r="Z193" s="34">
        <v>100.0</v>
      </c>
      <c r="AA193" s="34">
        <v>0.0</v>
      </c>
      <c r="AB193" s="34">
        <v>0.0</v>
      </c>
      <c r="AC193" s="33">
        <f>COUNTIFS('Data For Calculation - Insuranc'!A:A,A193,'Data For Calculation - Insuranc'!E:E,"CPA + RSA : 5 Years")</f>
        <v>0</v>
      </c>
      <c r="AD193" s="25" t="s">
        <v>3820</v>
      </c>
      <c r="AE193" s="33">
        <v>838.99</v>
      </c>
      <c r="AF193" s="34" t="s">
        <v>3853</v>
      </c>
      <c r="AG193" s="34">
        <v>0.0</v>
      </c>
      <c r="AH193" s="34">
        <v>100.0</v>
      </c>
      <c r="AI193" s="34">
        <v>0.0</v>
      </c>
      <c r="AJ193" s="34">
        <v>0.0</v>
      </c>
      <c r="AK193" s="33">
        <f>COUNTIFS('Data For Calculation - Insuranc'!A:A,A193,'Data For Calculation - Insuranc'!E:E,"Assistance + CPA : 5 Years")</f>
        <v>0</v>
      </c>
      <c r="AL193" s="25" t="s">
        <v>3820</v>
      </c>
      <c r="AM193" s="31">
        <v>290.0</v>
      </c>
      <c r="AN193" s="34" t="s">
        <v>3853</v>
      </c>
      <c r="AO193" s="34">
        <v>0.0</v>
      </c>
      <c r="AP193" s="34">
        <v>100.0</v>
      </c>
      <c r="AQ193" s="34">
        <v>0.0</v>
      </c>
      <c r="AR193" s="34">
        <v>0.0</v>
      </c>
      <c r="AS193" s="33">
        <f>COUNTIFS('Data For Calculation - Insuranc'!A:A,A193,'Data For Calculation - Insuranc'!E:E,"RSA + AHDC + DOC")</f>
        <v>0</v>
      </c>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33">
        <f t="shared" si="1"/>
        <v>0</v>
      </c>
      <c r="BS193" s="33">
        <f>SUMIFS('Data For Calculation - Insuranc'!I:I,'Data For Calculation - Insuranc'!$A:$A,$A193)</f>
        <v>0</v>
      </c>
      <c r="BT193" s="33">
        <f>SUMIFS('Data For Calculation - Insuranc'!J:J,'Data For Calculation - Insuranc'!$A:$A,$A193)</f>
        <v>0</v>
      </c>
      <c r="BU193" s="33">
        <f>SUMIFS('Data For Calculation - Insuranc'!K:K,'Data For Calculation - Insuranc'!$A:$A,$A193)</f>
        <v>0</v>
      </c>
      <c r="BV193" s="33">
        <f>IF($CC193 = "Dealer", SUMIFS('Data For Calculation - Insuranc'!I:I,'Data For Calculation - Insuranc'!$B:$B,$A193,'Data For Calculation - Insuranc'!$H:$H,"Master Dealer")) + SUMIFS('Data For Calculation - Insuranc'!I:I,'Data For Calculation - Insuranc'!$A:$A,$A193,'Data For Calculation - Insuranc'!$H:$H,"Self")</f>
        <v>0</v>
      </c>
      <c r="BW193" s="33">
        <f>IF($CC193 = "Dealer", SUMIFS('Data For Calculation - Insuranc'!J:J,'Data For Calculation - Insuranc'!$B:$B,$A193,'Data For Calculation - Insuranc'!$H:$H,"Master Dealer")) + SUMIFS('Data For Calculation - Insuranc'!J:J,'Data For Calculation - Insuranc'!$A:$A,$A193,'Data For Calculation - Insuranc'!$H:$H,"Self")</f>
        <v>0</v>
      </c>
      <c r="BX193" s="33">
        <f>IF($CC193 = "Dealer", SUMIFS('Data For Calculation - Insuranc'!K:K,'Data For Calculation - Insuranc'!$B:$B,$A193,'Data For Calculation - Insuranc'!$H:$H,"Master Dealer")) + SUMIFS('Data For Calculation - Insuranc'!K:K,'Data For Calculation - Insuranc'!$A:$A,$A193,'Data For Calculation - Insuranc'!$H:$H,"Self")</f>
        <v>0</v>
      </c>
      <c r="BY193" s="25" t="str">
        <f>(Sheet1!N193)</f>
        <v>Modern Auto Agency - Bettiah</v>
      </c>
      <c r="BZ193" s="25" t="str">
        <f>(Sheet1!O193)</f>
        <v>1_UtGSoyOsljQXvmry7gfXGYwjwEjQbghQQGZebnq45M</v>
      </c>
      <c r="CA193" s="25" t="str">
        <f>(Sheet1!AV193)</f>
        <v/>
      </c>
      <c r="CB193" s="25" t="str">
        <f>(Sheet1!AW193)</f>
        <v/>
      </c>
      <c r="CC193" s="25" t="str">
        <f>(Sheet1!P193)</f>
        <v>Sub Dealer</v>
      </c>
    </row>
    <row r="194">
      <c r="A194" s="25" t="str">
        <f>(Sheet1!A194)</f>
        <v>18hibfOdBkTwP70jRUUH2L7OgAiquBXCXX9EqLpop6DM</v>
      </c>
      <c r="B194" s="25" t="str">
        <f>(Sheet1!B194)</f>
        <v>BALAJI AUTOMOBILES (MAA) - CHANPATIA</v>
      </c>
      <c r="C194" s="30" t="str">
        <f>Sheet1!BB194</f>
        <v>No</v>
      </c>
      <c r="D194" s="30" t="s">
        <v>13</v>
      </c>
      <c r="E194" s="34" t="s">
        <v>13</v>
      </c>
      <c r="F194" s="25" t="s">
        <v>3820</v>
      </c>
      <c r="G194" s="31">
        <v>205.0</v>
      </c>
      <c r="H194" s="34" t="s">
        <v>3853</v>
      </c>
      <c r="I194" s="34">
        <v>0.0</v>
      </c>
      <c r="J194" s="34">
        <v>100.0</v>
      </c>
      <c r="K194" s="34">
        <v>0.0</v>
      </c>
      <c r="L194" s="34">
        <v>0.0</v>
      </c>
      <c r="M194" s="33">
        <f>COUNTIFS('Data For Calculation - Insuranc'!A:A,A194,'Data For Calculation - Insuranc'!E:E,"CPA + RSA")</f>
        <v>0</v>
      </c>
      <c r="N194" s="25" t="s">
        <v>3820</v>
      </c>
      <c r="O194" s="33">
        <v>460.0</v>
      </c>
      <c r="P194" s="34" t="s">
        <v>3853</v>
      </c>
      <c r="Q194" s="34">
        <v>0.0</v>
      </c>
      <c r="R194" s="34">
        <v>100.0</v>
      </c>
      <c r="S194" s="34">
        <v>0.0</v>
      </c>
      <c r="T194" s="34">
        <v>0.0</v>
      </c>
      <c r="U194" s="33">
        <f>COUNTIFS('Data For Calculation - Insuranc'!A:A,A194,'Data For Calculation - Insuranc'!E:E,"CPA + RSA + AHDC + DOC")</f>
        <v>0</v>
      </c>
      <c r="V194" s="25" t="s">
        <v>3820</v>
      </c>
      <c r="W194" s="33">
        <v>838.99</v>
      </c>
      <c r="X194" s="34" t="s">
        <v>3853</v>
      </c>
      <c r="Y194" s="34">
        <v>0.0</v>
      </c>
      <c r="Z194" s="34">
        <v>100.0</v>
      </c>
      <c r="AA194" s="34">
        <v>0.0</v>
      </c>
      <c r="AB194" s="34">
        <v>0.0</v>
      </c>
      <c r="AC194" s="33">
        <f>COUNTIFS('Data For Calculation - Insuranc'!A:A,A194,'Data For Calculation - Insuranc'!E:E,"CPA + RSA : 5 Years")</f>
        <v>0</v>
      </c>
      <c r="AD194" s="25" t="s">
        <v>3820</v>
      </c>
      <c r="AE194" s="33">
        <v>838.99</v>
      </c>
      <c r="AF194" s="34" t="s">
        <v>3853</v>
      </c>
      <c r="AG194" s="34">
        <v>0.0</v>
      </c>
      <c r="AH194" s="34">
        <v>100.0</v>
      </c>
      <c r="AI194" s="34">
        <v>0.0</v>
      </c>
      <c r="AJ194" s="34">
        <v>0.0</v>
      </c>
      <c r="AK194" s="33">
        <f>COUNTIFS('Data For Calculation - Insuranc'!A:A,A194,'Data For Calculation - Insuranc'!E:E,"Assistance + CPA : 5 Years")</f>
        <v>0</v>
      </c>
      <c r="AL194" s="25" t="s">
        <v>3820</v>
      </c>
      <c r="AM194" s="31">
        <v>290.0</v>
      </c>
      <c r="AN194" s="34" t="s">
        <v>3853</v>
      </c>
      <c r="AO194" s="34">
        <v>0.0</v>
      </c>
      <c r="AP194" s="34">
        <v>100.0</v>
      </c>
      <c r="AQ194" s="34">
        <v>0.0</v>
      </c>
      <c r="AR194" s="34">
        <v>0.0</v>
      </c>
      <c r="AS194" s="33">
        <f>COUNTIFS('Data For Calculation - Insuranc'!A:A,A194,'Data For Calculation - Insuranc'!E:E,"RSA + AHDC + DOC")</f>
        <v>0</v>
      </c>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33">
        <f t="shared" si="1"/>
        <v>0</v>
      </c>
      <c r="BS194" s="33">
        <f>SUMIFS('Data For Calculation - Insuranc'!I:I,'Data For Calculation - Insuranc'!$A:$A,$A194)</f>
        <v>0</v>
      </c>
      <c r="BT194" s="33">
        <f>SUMIFS('Data For Calculation - Insuranc'!J:J,'Data For Calculation - Insuranc'!$A:$A,$A194)</f>
        <v>0</v>
      </c>
      <c r="BU194" s="33">
        <f>SUMIFS('Data For Calculation - Insuranc'!K:K,'Data For Calculation - Insuranc'!$A:$A,$A194)</f>
        <v>0</v>
      </c>
      <c r="BV194" s="33">
        <f>IF($CC194 = "Dealer", SUMIFS('Data For Calculation - Insuranc'!I:I,'Data For Calculation - Insuranc'!$B:$B,$A194,'Data For Calculation - Insuranc'!$H:$H,"Master Dealer")) + SUMIFS('Data For Calculation - Insuranc'!I:I,'Data For Calculation - Insuranc'!$A:$A,$A194,'Data For Calculation - Insuranc'!$H:$H,"Self")</f>
        <v>0</v>
      </c>
      <c r="BW194" s="33">
        <f>IF($CC194 = "Dealer", SUMIFS('Data For Calculation - Insuranc'!J:J,'Data For Calculation - Insuranc'!$B:$B,$A194,'Data For Calculation - Insuranc'!$H:$H,"Master Dealer")) + SUMIFS('Data For Calculation - Insuranc'!J:J,'Data For Calculation - Insuranc'!$A:$A,$A194,'Data For Calculation - Insuranc'!$H:$H,"Self")</f>
        <v>0</v>
      </c>
      <c r="BX194" s="33">
        <f>IF($CC194 = "Dealer", SUMIFS('Data For Calculation - Insuranc'!K:K,'Data For Calculation - Insuranc'!$B:$B,$A194,'Data For Calculation - Insuranc'!$H:$H,"Master Dealer")) + SUMIFS('Data For Calculation - Insuranc'!K:K,'Data For Calculation - Insuranc'!$A:$A,$A194,'Data For Calculation - Insuranc'!$H:$H,"Self")</f>
        <v>0</v>
      </c>
      <c r="BY194" s="25" t="str">
        <f>(Sheet1!N194)</f>
        <v>Modern Auto Agency - Bettiah</v>
      </c>
      <c r="BZ194" s="25" t="str">
        <f>(Sheet1!O194)</f>
        <v>1_UtGSoyOsljQXvmry7gfXGYwjwEjQbghQQGZebnq45M</v>
      </c>
      <c r="CA194" s="25" t="str">
        <f>(Sheet1!AV194)</f>
        <v/>
      </c>
      <c r="CB194" s="25" t="str">
        <f>(Sheet1!AW194)</f>
        <v/>
      </c>
      <c r="CC194" s="25" t="str">
        <f>(Sheet1!P194)</f>
        <v>Sub Dealer</v>
      </c>
    </row>
    <row r="195">
      <c r="A195" s="25" t="str">
        <f>(Sheet1!A195)</f>
        <v>1tv7cW1HkpPnyDwBqxX4e63ihXTxB7vNx36c1SO0c8cw</v>
      </c>
      <c r="B195" s="25" t="str">
        <f>(Sheet1!B195)</f>
        <v>MAA KALI AUTOMOBILES (MAA) - CHAUTARWA</v>
      </c>
      <c r="C195" s="30" t="str">
        <f>Sheet1!BB195</f>
        <v>No</v>
      </c>
      <c r="D195" s="30" t="s">
        <v>13</v>
      </c>
      <c r="E195" s="34" t="s">
        <v>13</v>
      </c>
      <c r="F195" s="25" t="s">
        <v>3820</v>
      </c>
      <c r="G195" s="31">
        <v>205.0</v>
      </c>
      <c r="H195" s="34" t="s">
        <v>3853</v>
      </c>
      <c r="I195" s="34">
        <v>0.0</v>
      </c>
      <c r="J195" s="34">
        <v>100.0</v>
      </c>
      <c r="K195" s="34">
        <v>0.0</v>
      </c>
      <c r="L195" s="34">
        <v>0.0</v>
      </c>
      <c r="M195" s="33">
        <f>COUNTIFS('Data For Calculation - Insuranc'!A:A,A195,'Data For Calculation - Insuranc'!E:E,"CPA + RSA")</f>
        <v>0</v>
      </c>
      <c r="N195" s="25" t="s">
        <v>3820</v>
      </c>
      <c r="O195" s="33">
        <v>460.0</v>
      </c>
      <c r="P195" s="34" t="s">
        <v>3853</v>
      </c>
      <c r="Q195" s="34">
        <v>0.0</v>
      </c>
      <c r="R195" s="34">
        <v>100.0</v>
      </c>
      <c r="S195" s="34">
        <v>0.0</v>
      </c>
      <c r="T195" s="34">
        <v>0.0</v>
      </c>
      <c r="U195" s="33">
        <f>COUNTIFS('Data For Calculation - Insuranc'!A:A,A195,'Data For Calculation - Insuranc'!E:E,"CPA + RSA + AHDC + DOC")</f>
        <v>0</v>
      </c>
      <c r="V195" s="25" t="s">
        <v>3820</v>
      </c>
      <c r="W195" s="33">
        <v>838.99</v>
      </c>
      <c r="X195" s="34" t="s">
        <v>3853</v>
      </c>
      <c r="Y195" s="34">
        <v>0.0</v>
      </c>
      <c r="Z195" s="34">
        <v>100.0</v>
      </c>
      <c r="AA195" s="34">
        <v>0.0</v>
      </c>
      <c r="AB195" s="34">
        <v>0.0</v>
      </c>
      <c r="AC195" s="33">
        <f>COUNTIFS('Data For Calculation - Insuranc'!A:A,A195,'Data For Calculation - Insuranc'!E:E,"CPA + RSA : 5 Years")</f>
        <v>0</v>
      </c>
      <c r="AD195" s="25" t="s">
        <v>3820</v>
      </c>
      <c r="AE195" s="33">
        <v>838.99</v>
      </c>
      <c r="AF195" s="34" t="s">
        <v>3853</v>
      </c>
      <c r="AG195" s="34">
        <v>0.0</v>
      </c>
      <c r="AH195" s="34">
        <v>100.0</v>
      </c>
      <c r="AI195" s="34">
        <v>0.0</v>
      </c>
      <c r="AJ195" s="34">
        <v>0.0</v>
      </c>
      <c r="AK195" s="33">
        <f>COUNTIFS('Data For Calculation - Insuranc'!A:A,A195,'Data For Calculation - Insuranc'!E:E,"Assistance + CPA : 5 Years")</f>
        <v>0</v>
      </c>
      <c r="AL195" s="25" t="s">
        <v>3820</v>
      </c>
      <c r="AM195" s="31">
        <v>290.0</v>
      </c>
      <c r="AN195" s="34" t="s">
        <v>3853</v>
      </c>
      <c r="AO195" s="34">
        <v>0.0</v>
      </c>
      <c r="AP195" s="34">
        <v>100.0</v>
      </c>
      <c r="AQ195" s="34">
        <v>0.0</v>
      </c>
      <c r="AR195" s="34">
        <v>0.0</v>
      </c>
      <c r="AS195" s="33">
        <f>COUNTIFS('Data For Calculation - Insuranc'!A:A,A195,'Data For Calculation - Insuranc'!E:E,"RSA + AHDC + DOC")</f>
        <v>0</v>
      </c>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33">
        <f t="shared" si="1"/>
        <v>0</v>
      </c>
      <c r="BS195" s="33">
        <f>SUMIFS('Data For Calculation - Insuranc'!I:I,'Data For Calculation - Insuranc'!$A:$A,$A195)</f>
        <v>0</v>
      </c>
      <c r="BT195" s="33">
        <f>SUMIFS('Data For Calculation - Insuranc'!J:J,'Data For Calculation - Insuranc'!$A:$A,$A195)</f>
        <v>0</v>
      </c>
      <c r="BU195" s="33">
        <f>SUMIFS('Data For Calculation - Insuranc'!K:K,'Data For Calculation - Insuranc'!$A:$A,$A195)</f>
        <v>0</v>
      </c>
      <c r="BV195" s="33">
        <f>IF($CC195 = "Dealer", SUMIFS('Data For Calculation - Insuranc'!I:I,'Data For Calculation - Insuranc'!$B:$B,$A195,'Data For Calculation - Insuranc'!$H:$H,"Master Dealer")) + SUMIFS('Data For Calculation - Insuranc'!I:I,'Data For Calculation - Insuranc'!$A:$A,$A195,'Data For Calculation - Insuranc'!$H:$H,"Self")</f>
        <v>0</v>
      </c>
      <c r="BW195" s="33">
        <f>IF($CC195 = "Dealer", SUMIFS('Data For Calculation - Insuranc'!J:J,'Data For Calculation - Insuranc'!$B:$B,$A195,'Data For Calculation - Insuranc'!$H:$H,"Master Dealer")) + SUMIFS('Data For Calculation - Insuranc'!J:J,'Data For Calculation - Insuranc'!$A:$A,$A195,'Data For Calculation - Insuranc'!$H:$H,"Self")</f>
        <v>0</v>
      </c>
      <c r="BX195" s="33">
        <f>IF($CC195 = "Dealer", SUMIFS('Data For Calculation - Insuranc'!K:K,'Data For Calculation - Insuranc'!$B:$B,$A195,'Data For Calculation - Insuranc'!$H:$H,"Master Dealer")) + SUMIFS('Data For Calculation - Insuranc'!K:K,'Data For Calculation - Insuranc'!$A:$A,$A195,'Data For Calculation - Insuranc'!$H:$H,"Self")</f>
        <v>0</v>
      </c>
      <c r="BY195" s="25" t="str">
        <f>(Sheet1!N195)</f>
        <v>Modern Auto Agency - Bettiah</v>
      </c>
      <c r="BZ195" s="25" t="str">
        <f>(Sheet1!O195)</f>
        <v>1_UtGSoyOsljQXvmry7gfXGYwjwEjQbghQQGZebnq45M</v>
      </c>
      <c r="CA195" s="25" t="str">
        <f>(Sheet1!AV195)</f>
        <v/>
      </c>
      <c r="CB195" s="25" t="str">
        <f>(Sheet1!AW195)</f>
        <v/>
      </c>
      <c r="CC195" s="25" t="str">
        <f>(Sheet1!P195)</f>
        <v>Sub Dealer</v>
      </c>
    </row>
    <row r="196">
      <c r="A196" s="25" t="str">
        <f>(Sheet1!A196)</f>
        <v>1WQ0DX77J6m33SoaG5bV3EujIyD1Rwgu2cjhAGxkklkQ</v>
      </c>
      <c r="B196" s="25" t="str">
        <f>(Sheet1!B196)</f>
        <v>EMIRATES AUTO AGENCY (MAA) - SEMRA</v>
      </c>
      <c r="C196" s="30" t="str">
        <f>Sheet1!BB196</f>
        <v>No</v>
      </c>
      <c r="D196" s="30" t="s">
        <v>13</v>
      </c>
      <c r="E196" s="34" t="s">
        <v>13</v>
      </c>
      <c r="F196" s="25" t="s">
        <v>3820</v>
      </c>
      <c r="G196" s="31">
        <v>205.0</v>
      </c>
      <c r="H196" s="34" t="s">
        <v>3853</v>
      </c>
      <c r="I196" s="34">
        <v>0.0</v>
      </c>
      <c r="J196" s="34">
        <v>100.0</v>
      </c>
      <c r="K196" s="34">
        <v>0.0</v>
      </c>
      <c r="L196" s="34">
        <v>0.0</v>
      </c>
      <c r="M196" s="33">
        <f>COUNTIFS('Data For Calculation - Insuranc'!A:A,A196,'Data For Calculation - Insuranc'!E:E,"CPA + RSA")</f>
        <v>0</v>
      </c>
      <c r="N196" s="25" t="s">
        <v>3820</v>
      </c>
      <c r="O196" s="33">
        <v>460.0</v>
      </c>
      <c r="P196" s="34" t="s">
        <v>3853</v>
      </c>
      <c r="Q196" s="34">
        <v>0.0</v>
      </c>
      <c r="R196" s="34">
        <v>100.0</v>
      </c>
      <c r="S196" s="34">
        <v>0.0</v>
      </c>
      <c r="T196" s="34">
        <v>0.0</v>
      </c>
      <c r="U196" s="33">
        <f>COUNTIFS('Data For Calculation - Insuranc'!A:A,A196,'Data For Calculation - Insuranc'!E:E,"CPA + RSA + AHDC + DOC")</f>
        <v>0</v>
      </c>
      <c r="V196" s="25" t="s">
        <v>3820</v>
      </c>
      <c r="W196" s="33">
        <v>838.99</v>
      </c>
      <c r="X196" s="34" t="s">
        <v>3853</v>
      </c>
      <c r="Y196" s="34">
        <v>0.0</v>
      </c>
      <c r="Z196" s="34">
        <v>100.0</v>
      </c>
      <c r="AA196" s="34">
        <v>0.0</v>
      </c>
      <c r="AB196" s="34">
        <v>0.0</v>
      </c>
      <c r="AC196" s="33">
        <f>COUNTIFS('Data For Calculation - Insuranc'!A:A,A196,'Data For Calculation - Insuranc'!E:E,"CPA + RSA : 5 Years")</f>
        <v>0</v>
      </c>
      <c r="AD196" s="25" t="s">
        <v>3820</v>
      </c>
      <c r="AE196" s="33">
        <v>838.99</v>
      </c>
      <c r="AF196" s="34" t="s">
        <v>3853</v>
      </c>
      <c r="AG196" s="34">
        <v>0.0</v>
      </c>
      <c r="AH196" s="34">
        <v>100.0</v>
      </c>
      <c r="AI196" s="34">
        <v>0.0</v>
      </c>
      <c r="AJ196" s="34">
        <v>0.0</v>
      </c>
      <c r="AK196" s="33">
        <f>COUNTIFS('Data For Calculation - Insuranc'!A:A,A196,'Data For Calculation - Insuranc'!E:E,"Assistance + CPA : 5 Years")</f>
        <v>0</v>
      </c>
      <c r="AL196" s="25" t="s">
        <v>3820</v>
      </c>
      <c r="AM196" s="31">
        <v>290.0</v>
      </c>
      <c r="AN196" s="34" t="s">
        <v>3853</v>
      </c>
      <c r="AO196" s="34">
        <v>0.0</v>
      </c>
      <c r="AP196" s="34">
        <v>100.0</v>
      </c>
      <c r="AQ196" s="34">
        <v>0.0</v>
      </c>
      <c r="AR196" s="34">
        <v>0.0</v>
      </c>
      <c r="AS196" s="33">
        <f>COUNTIFS('Data For Calculation - Insuranc'!A:A,A196,'Data For Calculation - Insuranc'!E:E,"RSA + AHDC + DOC")</f>
        <v>0</v>
      </c>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33">
        <f t="shared" si="1"/>
        <v>0</v>
      </c>
      <c r="BS196" s="33">
        <f>SUMIFS('Data For Calculation - Insuranc'!I:I,'Data For Calculation - Insuranc'!$A:$A,$A196)</f>
        <v>0</v>
      </c>
      <c r="BT196" s="33">
        <f>SUMIFS('Data For Calculation - Insuranc'!J:J,'Data For Calculation - Insuranc'!$A:$A,$A196)</f>
        <v>0</v>
      </c>
      <c r="BU196" s="33">
        <f>SUMIFS('Data For Calculation - Insuranc'!K:K,'Data For Calculation - Insuranc'!$A:$A,$A196)</f>
        <v>0</v>
      </c>
      <c r="BV196" s="33">
        <f>IF($CC196 = "Dealer", SUMIFS('Data For Calculation - Insuranc'!I:I,'Data For Calculation - Insuranc'!$B:$B,$A196,'Data For Calculation - Insuranc'!$H:$H,"Master Dealer")) + SUMIFS('Data For Calculation - Insuranc'!I:I,'Data For Calculation - Insuranc'!$A:$A,$A196,'Data For Calculation - Insuranc'!$H:$H,"Self")</f>
        <v>0</v>
      </c>
      <c r="BW196" s="33">
        <f>IF($CC196 = "Dealer", SUMIFS('Data For Calculation - Insuranc'!J:J,'Data For Calculation - Insuranc'!$B:$B,$A196,'Data For Calculation - Insuranc'!$H:$H,"Master Dealer")) + SUMIFS('Data For Calculation - Insuranc'!J:J,'Data For Calculation - Insuranc'!$A:$A,$A196,'Data For Calculation - Insuranc'!$H:$H,"Self")</f>
        <v>0</v>
      </c>
      <c r="BX196" s="33">
        <f>IF($CC196 = "Dealer", SUMIFS('Data For Calculation - Insuranc'!K:K,'Data For Calculation - Insuranc'!$B:$B,$A196,'Data For Calculation - Insuranc'!$H:$H,"Master Dealer")) + SUMIFS('Data For Calculation - Insuranc'!K:K,'Data For Calculation - Insuranc'!$A:$A,$A196,'Data For Calculation - Insuranc'!$H:$H,"Self")</f>
        <v>0</v>
      </c>
      <c r="BY196" s="25" t="str">
        <f>(Sheet1!N196)</f>
        <v>Modern Auto Agency - Bettiah</v>
      </c>
      <c r="BZ196" s="25" t="str">
        <f>(Sheet1!O196)</f>
        <v>1_UtGSoyOsljQXvmry7gfXGYwjwEjQbghQQGZebnq45M</v>
      </c>
      <c r="CA196" s="25" t="str">
        <f>(Sheet1!AV196)</f>
        <v/>
      </c>
      <c r="CB196" s="25" t="str">
        <f>(Sheet1!AW196)</f>
        <v/>
      </c>
      <c r="CC196" s="25" t="str">
        <f>(Sheet1!P196)</f>
        <v>Sub Dealer</v>
      </c>
    </row>
    <row r="197">
      <c r="A197" s="25" t="str">
        <f>(Sheet1!A197)</f>
        <v>10TnasMBGApJv5zXBkEcyf7wGKAliCEb2pmIfKVexScs</v>
      </c>
      <c r="B197" s="25" t="str">
        <f>(Sheet1!B197)</f>
        <v>Mayank Automobiles - Muzaffarpur</v>
      </c>
      <c r="C197" s="30" t="str">
        <f>Sheet1!BB197</f>
        <v>No</v>
      </c>
      <c r="D197" s="30" t="s">
        <v>13</v>
      </c>
      <c r="E197" s="34" t="s">
        <v>13</v>
      </c>
      <c r="F197" s="30" t="s">
        <v>3817</v>
      </c>
      <c r="G197" s="31">
        <v>290.0</v>
      </c>
      <c r="H197" s="34" t="s">
        <v>3853</v>
      </c>
      <c r="I197" s="34">
        <v>0.0</v>
      </c>
      <c r="J197" s="34">
        <v>100.0</v>
      </c>
      <c r="K197" s="34">
        <v>0.0</v>
      </c>
      <c r="L197" s="34">
        <v>0.0</v>
      </c>
      <c r="M197" s="33">
        <f>COUNTIFS('Data For Calculation - Insuranc'!A:A,A197,'Data For Calculation - Insuranc'!E:E,"CPA + RSA")</f>
        <v>0</v>
      </c>
      <c r="N197" s="30" t="s">
        <v>3817</v>
      </c>
      <c r="O197" s="31">
        <v>460.0</v>
      </c>
      <c r="P197" s="34" t="s">
        <v>3853</v>
      </c>
      <c r="Q197" s="34">
        <v>0.0</v>
      </c>
      <c r="R197" s="34">
        <v>100.0</v>
      </c>
      <c r="S197" s="34">
        <v>0.0</v>
      </c>
      <c r="T197" s="34">
        <v>0.0</v>
      </c>
      <c r="U197" s="33">
        <f>COUNTIFS('Data For Calculation - Insuranc'!A:A,A197,'Data For Calculation - Insuranc'!E:E,"CPA + RSA + AHDC + DOC")</f>
        <v>0</v>
      </c>
      <c r="V197" s="30" t="s">
        <v>3817</v>
      </c>
      <c r="W197" s="34">
        <v>838.99</v>
      </c>
      <c r="X197" s="34" t="s">
        <v>3853</v>
      </c>
      <c r="Y197" s="34">
        <v>0.0</v>
      </c>
      <c r="Z197" s="34">
        <v>100.0</v>
      </c>
      <c r="AA197" s="34">
        <v>0.0</v>
      </c>
      <c r="AB197" s="34">
        <v>0.0</v>
      </c>
      <c r="AC197" s="33">
        <f>COUNTIFS('Data For Calculation - Insuranc'!A:A,A197,'Data For Calculation - Insuranc'!E:E,"CPA + RSA : 5 Years")</f>
        <v>0</v>
      </c>
      <c r="AD197" s="30" t="s">
        <v>3817</v>
      </c>
      <c r="AE197" s="31">
        <v>838.99</v>
      </c>
      <c r="AF197" s="34" t="s">
        <v>3853</v>
      </c>
      <c r="AG197" s="34">
        <v>0.0</v>
      </c>
      <c r="AH197" s="34">
        <v>100.0</v>
      </c>
      <c r="AI197" s="34">
        <v>0.0</v>
      </c>
      <c r="AJ197" s="34">
        <v>0.0</v>
      </c>
      <c r="AK197" s="33">
        <f>COUNTIFS('Data For Calculation - Insuranc'!A:A,A197,'Data For Calculation - Insuranc'!E:E,"Assistance + CPA : 5 Years")</f>
        <v>0</v>
      </c>
      <c r="AL197" s="30" t="s">
        <v>3817</v>
      </c>
      <c r="AM197" s="31">
        <v>290.0</v>
      </c>
      <c r="AN197" s="34" t="s">
        <v>3853</v>
      </c>
      <c r="AO197" s="34">
        <v>0.0</v>
      </c>
      <c r="AP197" s="34">
        <v>100.0</v>
      </c>
      <c r="AQ197" s="34">
        <v>0.0</v>
      </c>
      <c r="AR197" s="34">
        <v>0.0</v>
      </c>
      <c r="AS197" s="33">
        <f>COUNTIFS('Data For Calculation - Insuranc'!A:A,A197,'Data For Calculation - Insuranc'!E:E,"RSA + AHDC + DOC")</f>
        <v>0</v>
      </c>
      <c r="AT197" s="33"/>
      <c r="AU197" s="33"/>
      <c r="AV197" s="33"/>
      <c r="AW197" s="33"/>
      <c r="AX197" s="33"/>
      <c r="AY197" s="33"/>
      <c r="AZ197" s="33"/>
      <c r="BA197" s="33"/>
      <c r="BB197" s="33"/>
      <c r="BC197" s="33"/>
      <c r="BD197" s="33"/>
      <c r="BE197" s="33"/>
      <c r="BF197" s="33"/>
      <c r="BG197" s="33"/>
      <c r="BH197" s="33"/>
      <c r="BI197" s="33"/>
      <c r="BJ197" s="33"/>
      <c r="BK197" s="33"/>
      <c r="BL197" s="33"/>
      <c r="BM197" s="33"/>
      <c r="BN197" s="33"/>
      <c r="BO197" s="33"/>
      <c r="BP197" s="33"/>
      <c r="BQ197" s="33"/>
      <c r="BR197" s="33">
        <f t="shared" si="1"/>
        <v>0</v>
      </c>
      <c r="BS197" s="33">
        <f>SUMIFS('Data For Calculation - Insuranc'!I:I,'Data For Calculation - Insuranc'!$A:$A,$A197)</f>
        <v>0</v>
      </c>
      <c r="BT197" s="33">
        <f>SUMIFS('Data For Calculation - Insuranc'!J:J,'Data For Calculation - Insuranc'!$A:$A,$A197)</f>
        <v>0</v>
      </c>
      <c r="BU197" s="33">
        <f>SUMIFS('Data For Calculation - Insuranc'!K:K,'Data For Calculation - Insuranc'!$A:$A,$A197)</f>
        <v>0</v>
      </c>
      <c r="BV197" s="33">
        <f>IF($CC197 = "Dealer", SUMIFS('Data For Calculation - Insuranc'!I:I,'Data For Calculation - Insuranc'!$B:$B,$A197,'Data For Calculation - Insuranc'!$H:$H,"Master Dealer")) + SUMIFS('Data For Calculation - Insuranc'!I:I,'Data For Calculation - Insuranc'!$A:$A,$A197,'Data For Calculation - Insuranc'!$H:$H,"Self")</f>
        <v>0</v>
      </c>
      <c r="BW197" s="33">
        <f>IF($CC197 = "Dealer", SUMIFS('Data For Calculation - Insuranc'!J:J,'Data For Calculation - Insuranc'!$B:$B,$A197,'Data For Calculation - Insuranc'!$H:$H,"Master Dealer")) + SUMIFS('Data For Calculation - Insuranc'!J:J,'Data For Calculation - Insuranc'!$A:$A,$A197,'Data For Calculation - Insuranc'!$H:$H,"Self")</f>
        <v>0</v>
      </c>
      <c r="BX197" s="33">
        <f>IF($CC197 = "Dealer", SUMIFS('Data For Calculation - Insuranc'!K:K,'Data For Calculation - Insuranc'!$B:$B,$A197,'Data For Calculation - Insuranc'!$H:$H,"Master Dealer")) + SUMIFS('Data For Calculation - Insuranc'!K:K,'Data For Calculation - Insuranc'!$A:$A,$A197,'Data For Calculation - Insuranc'!$H:$H,"Self")</f>
        <v>0</v>
      </c>
      <c r="BY197" s="25" t="str">
        <f>(Sheet1!N197)</f>
        <v>Mayank Automobiles - Muzaffarpur</v>
      </c>
      <c r="BZ197" s="25" t="str">
        <f>(Sheet1!O197)</f>
        <v>10TnasMBGApJv5zXBkEcyf7wGKAliCEb2pmIfKVexScs</v>
      </c>
      <c r="CA197" s="25" t="str">
        <f>(Sheet1!AV197)</f>
        <v/>
      </c>
      <c r="CB197" s="25" t="str">
        <f>(Sheet1!AW197)</f>
        <v/>
      </c>
      <c r="CC197" s="26" t="str">
        <f>(Sheet1!P197)</f>
        <v>Dealer</v>
      </c>
    </row>
    <row r="198">
      <c r="A198" s="25" t="str">
        <f>(Sheet1!A198)</f>
        <v>1xdioECnPW5B9Jx1lGE6BzQBP3X2De1AEBtF29NVixH0</v>
      </c>
      <c r="B198" s="25" t="str">
        <f>(Sheet1!B198)</f>
        <v>Vishwakarma Automobiles - Muzaffarpur</v>
      </c>
      <c r="C198" s="30" t="str">
        <f>Sheet1!BB198</f>
        <v>No</v>
      </c>
      <c r="D198" s="30" t="s">
        <v>13</v>
      </c>
      <c r="E198" s="34" t="s">
        <v>13</v>
      </c>
      <c r="F198" s="30" t="s">
        <v>3817</v>
      </c>
      <c r="G198" s="31">
        <v>290.0</v>
      </c>
      <c r="H198" s="34" t="s">
        <v>3853</v>
      </c>
      <c r="I198" s="34">
        <v>0.0</v>
      </c>
      <c r="J198" s="34">
        <v>100.0</v>
      </c>
      <c r="K198" s="34">
        <v>0.0</v>
      </c>
      <c r="L198" s="34">
        <v>0.0</v>
      </c>
      <c r="M198" s="33">
        <f>COUNTIFS('Data For Calculation - Insuranc'!A:A,A198,'Data For Calculation - Insuranc'!E:E,"CPA + RSA")</f>
        <v>0</v>
      </c>
      <c r="N198" s="30" t="s">
        <v>3817</v>
      </c>
      <c r="O198" s="31">
        <v>375.0</v>
      </c>
      <c r="P198" s="34" t="s">
        <v>3853</v>
      </c>
      <c r="Q198" s="34">
        <v>0.0</v>
      </c>
      <c r="R198" s="34">
        <v>100.0</v>
      </c>
      <c r="S198" s="34">
        <v>0.0</v>
      </c>
      <c r="T198" s="34">
        <v>0.0</v>
      </c>
      <c r="U198" s="33">
        <f>COUNTIFS('Data For Calculation - Insuranc'!A:A,A198,'Data For Calculation - Insuranc'!E:E,"CPA + RSA + AHDC + DOC")</f>
        <v>0</v>
      </c>
      <c r="V198" s="30" t="s">
        <v>3817</v>
      </c>
      <c r="W198" s="34">
        <v>838.99</v>
      </c>
      <c r="X198" s="34" t="s">
        <v>3853</v>
      </c>
      <c r="Y198" s="34">
        <v>0.0</v>
      </c>
      <c r="Z198" s="34">
        <v>100.0</v>
      </c>
      <c r="AA198" s="34">
        <v>0.0</v>
      </c>
      <c r="AB198" s="34">
        <v>0.0</v>
      </c>
      <c r="AC198" s="33">
        <f>COUNTIFS('Data For Calculation - Insuranc'!A:A,A198,'Data For Calculation - Insuranc'!E:E,"CPA + RSA : 5 Years")</f>
        <v>0</v>
      </c>
      <c r="AD198" s="30" t="s">
        <v>3817</v>
      </c>
      <c r="AE198" s="31">
        <v>838.99</v>
      </c>
      <c r="AF198" s="34" t="s">
        <v>3853</v>
      </c>
      <c r="AG198" s="34">
        <v>0.0</v>
      </c>
      <c r="AH198" s="34">
        <v>100.0</v>
      </c>
      <c r="AI198" s="34">
        <v>0.0</v>
      </c>
      <c r="AJ198" s="34">
        <v>0.0</v>
      </c>
      <c r="AK198" s="33">
        <f>COUNTIFS('Data For Calculation - Insuranc'!A:A,A198,'Data For Calculation - Insuranc'!E:E,"Assistance + CPA : 5 Years")</f>
        <v>0</v>
      </c>
      <c r="AL198" s="30" t="s">
        <v>3817</v>
      </c>
      <c r="AM198" s="31">
        <v>290.0</v>
      </c>
      <c r="AN198" s="34" t="s">
        <v>3853</v>
      </c>
      <c r="AO198" s="34">
        <v>0.0</v>
      </c>
      <c r="AP198" s="34">
        <v>100.0</v>
      </c>
      <c r="AQ198" s="34">
        <v>0.0</v>
      </c>
      <c r="AR198" s="34">
        <v>0.0</v>
      </c>
      <c r="AS198" s="33">
        <f>COUNTIFS('Data For Calculation - Insuranc'!A:A,A198,'Data For Calculation - Insuranc'!E:E,"RSA + AHDC + DOC")</f>
        <v>0</v>
      </c>
      <c r="AT198" s="33"/>
      <c r="AU198" s="33"/>
      <c r="AV198" s="33"/>
      <c r="AW198" s="33"/>
      <c r="AX198" s="33"/>
      <c r="AY198" s="33"/>
      <c r="AZ198" s="33"/>
      <c r="BA198" s="33"/>
      <c r="BB198" s="33"/>
      <c r="BC198" s="33"/>
      <c r="BD198" s="33"/>
      <c r="BE198" s="33"/>
      <c r="BF198" s="33"/>
      <c r="BG198" s="33"/>
      <c r="BH198" s="33"/>
      <c r="BI198" s="33"/>
      <c r="BJ198" s="33"/>
      <c r="BK198" s="33"/>
      <c r="BL198" s="33"/>
      <c r="BM198" s="33"/>
      <c r="BN198" s="33"/>
      <c r="BO198" s="33"/>
      <c r="BP198" s="33"/>
      <c r="BQ198" s="33"/>
      <c r="BR198" s="33">
        <f t="shared" si="1"/>
        <v>0</v>
      </c>
      <c r="BS198" s="33">
        <f>SUMIFS('Data For Calculation - Insuranc'!I:I,'Data For Calculation - Insuranc'!$A:$A,$A198)</f>
        <v>0</v>
      </c>
      <c r="BT198" s="33">
        <f>SUMIFS('Data For Calculation - Insuranc'!J:J,'Data For Calculation - Insuranc'!$A:$A,$A198)</f>
        <v>0</v>
      </c>
      <c r="BU198" s="33">
        <f>SUMIFS('Data For Calculation - Insuranc'!K:K,'Data For Calculation - Insuranc'!$A:$A,$A198)</f>
        <v>0</v>
      </c>
      <c r="BV198" s="33">
        <f>IF($CC198 = "Dealer", SUMIFS('Data For Calculation - Insuranc'!I:I,'Data For Calculation - Insuranc'!$B:$B,$A198,'Data For Calculation - Insuranc'!$H:$H,"Master Dealer")) + SUMIFS('Data For Calculation - Insuranc'!I:I,'Data For Calculation - Insuranc'!$A:$A,$A198,'Data For Calculation - Insuranc'!$H:$H,"Self")</f>
        <v>0</v>
      </c>
      <c r="BW198" s="33">
        <f>IF($CC198 = "Dealer", SUMIFS('Data For Calculation - Insuranc'!J:J,'Data For Calculation - Insuranc'!$B:$B,$A198,'Data For Calculation - Insuranc'!$H:$H,"Master Dealer")) + SUMIFS('Data For Calculation - Insuranc'!J:J,'Data For Calculation - Insuranc'!$A:$A,$A198,'Data For Calculation - Insuranc'!$H:$H,"Self")</f>
        <v>0</v>
      </c>
      <c r="BX198" s="33">
        <f>IF($CC198 = "Dealer", SUMIFS('Data For Calculation - Insuranc'!K:K,'Data For Calculation - Insuranc'!$B:$B,$A198,'Data For Calculation - Insuranc'!$H:$H,"Master Dealer")) + SUMIFS('Data For Calculation - Insuranc'!K:K,'Data For Calculation - Insuranc'!$A:$A,$A198,'Data For Calculation - Insuranc'!$H:$H,"Self")</f>
        <v>0</v>
      </c>
      <c r="BY198" s="25" t="str">
        <f>(Sheet1!N198)</f>
        <v>Vishwakarma Automobiles - Muzaffarpur</v>
      </c>
      <c r="BZ198" s="25" t="str">
        <f>(Sheet1!O198)</f>
        <v>1xdioECnPW5B9Jx1lGE6BzQBP3X2De1AEBtF29NVixH0</v>
      </c>
      <c r="CA198" s="25" t="str">
        <f>(Sheet1!AV198)</f>
        <v/>
      </c>
      <c r="CB198" s="25" t="str">
        <f>(Sheet1!AW198)</f>
        <v/>
      </c>
      <c r="CC198" s="26" t="str">
        <f>(Sheet1!P198)</f>
        <v>Dealer</v>
      </c>
    </row>
    <row r="199">
      <c r="A199" s="25" t="str">
        <f>(Sheet1!A199)</f>
        <v>1DoydwShLxFhj9cTyIaVm15blnPqnJh7zHTdoUs01LN8</v>
      </c>
      <c r="B199" s="25" t="str">
        <f>(Sheet1!B199)</f>
        <v>SVR MOTORS - RAICHUR</v>
      </c>
      <c r="C199" s="30" t="str">
        <f>Sheet1!BB199</f>
        <v>No</v>
      </c>
      <c r="D199" s="30" t="s">
        <v>3821</v>
      </c>
      <c r="E199" s="34" t="s">
        <v>13</v>
      </c>
      <c r="F199" s="30" t="s">
        <v>3856</v>
      </c>
      <c r="G199" s="31">
        <v>201.0</v>
      </c>
      <c r="H199" s="34" t="s">
        <v>3853</v>
      </c>
      <c r="I199" s="34">
        <v>0.0</v>
      </c>
      <c r="J199" s="34">
        <v>100.0</v>
      </c>
      <c r="K199" s="34">
        <v>0.0</v>
      </c>
      <c r="L199" s="34">
        <v>0.0</v>
      </c>
      <c r="M199" s="33">
        <f>COUNTIFS('Data For Calculation - Insuranc'!A:A,A199,'Data For Calculation - Insuranc'!E:E,"CPA + RSA")</f>
        <v>0</v>
      </c>
      <c r="N199" s="30" t="s">
        <v>3856</v>
      </c>
      <c r="O199" s="31">
        <v>390.0</v>
      </c>
      <c r="P199" s="34" t="s">
        <v>3853</v>
      </c>
      <c r="Q199" s="34">
        <v>0.0</v>
      </c>
      <c r="R199" s="34">
        <v>100.0</v>
      </c>
      <c r="S199" s="34">
        <v>0.0</v>
      </c>
      <c r="T199" s="34">
        <v>0.0</v>
      </c>
      <c r="U199" s="33">
        <f>COUNTIFS('Data For Calculation - Insuranc'!A:A,A199,'Data For Calculation - Insuranc'!E:E,"CPA + RSA + AHDC + DOC")</f>
        <v>0</v>
      </c>
      <c r="V199" s="30" t="s">
        <v>3856</v>
      </c>
      <c r="W199" s="34">
        <v>1100.0</v>
      </c>
      <c r="X199" s="34" t="s">
        <v>3853</v>
      </c>
      <c r="Y199" s="34">
        <v>0.0</v>
      </c>
      <c r="Z199" s="34">
        <v>100.0</v>
      </c>
      <c r="AA199" s="34">
        <v>0.0</v>
      </c>
      <c r="AB199" s="34">
        <v>0.0</v>
      </c>
      <c r="AC199" s="33">
        <f>COUNTIFS('Data For Calculation - Insuranc'!A:A,A199,'Data For Calculation - Insuranc'!E:E,"CPA + RSA : 5 Years")</f>
        <v>0</v>
      </c>
      <c r="AD199" s="30" t="s">
        <v>3856</v>
      </c>
      <c r="AE199" s="31">
        <v>939.0</v>
      </c>
      <c r="AF199" s="34" t="s">
        <v>3853</v>
      </c>
      <c r="AG199" s="34">
        <v>0.0</v>
      </c>
      <c r="AH199" s="34">
        <v>100.0</v>
      </c>
      <c r="AI199" s="34">
        <v>0.0</v>
      </c>
      <c r="AJ199" s="34">
        <v>0.0</v>
      </c>
      <c r="AK199" s="33">
        <f>COUNTIFS('Data For Calculation - Insuranc'!A:A,A199,'Data For Calculation - Insuranc'!E:E,"Assistance + CPA : 5 Years")</f>
        <v>0</v>
      </c>
      <c r="AL199" s="30" t="s">
        <v>3856</v>
      </c>
      <c r="AM199" s="31">
        <v>290.0</v>
      </c>
      <c r="AN199" s="34" t="s">
        <v>3853</v>
      </c>
      <c r="AO199" s="34">
        <v>0.0</v>
      </c>
      <c r="AP199" s="34">
        <v>100.0</v>
      </c>
      <c r="AQ199" s="34">
        <v>0.0</v>
      </c>
      <c r="AR199" s="34">
        <v>0.0</v>
      </c>
      <c r="AS199" s="33">
        <f>COUNTIFS('Data For Calculation - Insuranc'!A:A,A199,'Data For Calculation - Insuranc'!E:E,"RSA + AHDC + DOC")</f>
        <v>0</v>
      </c>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33">
        <f t="shared" si="1"/>
        <v>0</v>
      </c>
      <c r="BS199" s="33">
        <f>SUMIFS('Data For Calculation - Insuranc'!I:I,'Data For Calculation - Insuranc'!$A:$A,$A199)</f>
        <v>0</v>
      </c>
      <c r="BT199" s="33">
        <f>SUMIFS('Data For Calculation - Insuranc'!J:J,'Data For Calculation - Insuranc'!$A:$A,$A199)</f>
        <v>0</v>
      </c>
      <c r="BU199" s="33">
        <f>SUMIFS('Data For Calculation - Insuranc'!K:K,'Data For Calculation - Insuranc'!$A:$A,$A199)</f>
        <v>0</v>
      </c>
      <c r="BV199" s="33">
        <f>IF($CC199 = "Dealer", SUMIFS('Data For Calculation - Insuranc'!I:I,'Data For Calculation - Insuranc'!$B:$B,$A199,'Data For Calculation - Insuranc'!$H:$H,"Master Dealer")) + SUMIFS('Data For Calculation - Insuranc'!I:I,'Data For Calculation - Insuranc'!$A:$A,$A199,'Data For Calculation - Insuranc'!$H:$H,"Self")</f>
        <v>0</v>
      </c>
      <c r="BW199" s="33">
        <f>IF($CC199 = "Dealer", SUMIFS('Data For Calculation - Insuranc'!J:J,'Data For Calculation - Insuranc'!$B:$B,$A199,'Data For Calculation - Insuranc'!$H:$H,"Master Dealer")) + SUMIFS('Data For Calculation - Insuranc'!J:J,'Data For Calculation - Insuranc'!$A:$A,$A199,'Data For Calculation - Insuranc'!$H:$H,"Self")</f>
        <v>0</v>
      </c>
      <c r="BX199" s="33">
        <f>IF($CC199 = "Dealer", SUMIFS('Data For Calculation - Insuranc'!K:K,'Data For Calculation - Insuranc'!$B:$B,$A199,'Data For Calculation - Insuranc'!$H:$H,"Master Dealer")) + SUMIFS('Data For Calculation - Insuranc'!K:K,'Data For Calculation - Insuranc'!$A:$A,$A199,'Data For Calculation - Insuranc'!$H:$H,"Self")</f>
        <v>0</v>
      </c>
      <c r="BY199" s="25" t="str">
        <f>(Sheet1!N199)</f>
        <v>Vidhi Trading</v>
      </c>
      <c r="BZ199" s="25" t="str">
        <f>(Sheet1!O199)</f>
        <v>1RYX1vfvY0jbK-8SlRPLYU11dr-HUe2ntxj5PumL7c0I</v>
      </c>
      <c r="CA199" s="25" t="str">
        <f>(Sheet1!AV199)</f>
        <v/>
      </c>
      <c r="CB199" s="25" t="str">
        <f>(Sheet1!AW199)</f>
        <v/>
      </c>
      <c r="CC199" s="25" t="str">
        <f>(Sheet1!P199)</f>
        <v>Sub Dealer</v>
      </c>
    </row>
    <row r="200">
      <c r="A200" s="25" t="str">
        <f>(Sheet1!A200)</f>
        <v>1vLaBz74ueKQC05BDHxZbKK6goeX4KXIwd6Tvp-pl8Zg</v>
      </c>
      <c r="B200" s="25" t="str">
        <f>(Sheet1!B200)</f>
        <v>Mahesh Motor 1 - Dinajpur</v>
      </c>
      <c r="C200" s="30" t="str">
        <f>Sheet1!BB200</f>
        <v>No</v>
      </c>
      <c r="D200" s="30" t="s">
        <v>13</v>
      </c>
      <c r="E200" s="34" t="s">
        <v>13</v>
      </c>
      <c r="F200" s="30" t="s">
        <v>3817</v>
      </c>
      <c r="G200" s="31">
        <v>245.0</v>
      </c>
      <c r="H200" s="34" t="s">
        <v>3853</v>
      </c>
      <c r="I200" s="34">
        <v>0.0</v>
      </c>
      <c r="J200" s="34">
        <v>100.0</v>
      </c>
      <c r="K200" s="34">
        <v>0.0</v>
      </c>
      <c r="L200" s="34">
        <v>0.0</v>
      </c>
      <c r="M200" s="33">
        <f>COUNTIFS('Data For Calculation - Insuranc'!A:A,A200,'Data For Calculation - Insuranc'!E:E,"CPA + RSA")</f>
        <v>0</v>
      </c>
      <c r="N200" s="30" t="s">
        <v>3817</v>
      </c>
      <c r="O200" s="31">
        <v>460.0</v>
      </c>
      <c r="P200" s="34" t="s">
        <v>3853</v>
      </c>
      <c r="Q200" s="34">
        <v>0.0</v>
      </c>
      <c r="R200" s="34">
        <v>100.0</v>
      </c>
      <c r="S200" s="34">
        <v>0.0</v>
      </c>
      <c r="T200" s="34">
        <v>0.0</v>
      </c>
      <c r="U200" s="33">
        <f>COUNTIFS('Data For Calculation - Insuranc'!A:A,A200,'Data For Calculation - Insuranc'!E:E,"CPA + RSA + AHDC + DOC")</f>
        <v>0</v>
      </c>
      <c r="V200" s="30" t="s">
        <v>3817</v>
      </c>
      <c r="W200" s="34">
        <v>838.99</v>
      </c>
      <c r="X200" s="34" t="s">
        <v>3853</v>
      </c>
      <c r="Y200" s="34">
        <v>0.0</v>
      </c>
      <c r="Z200" s="34">
        <v>100.0</v>
      </c>
      <c r="AA200" s="34">
        <v>0.0</v>
      </c>
      <c r="AB200" s="34">
        <v>0.0</v>
      </c>
      <c r="AC200" s="33">
        <f>COUNTIFS('Data For Calculation - Insuranc'!A:A,A200,'Data For Calculation - Insuranc'!E:E,"CPA + RSA : 5 Years")</f>
        <v>0</v>
      </c>
      <c r="AD200" s="30" t="s">
        <v>3817</v>
      </c>
      <c r="AE200" s="31">
        <v>838.99</v>
      </c>
      <c r="AF200" s="34" t="s">
        <v>3853</v>
      </c>
      <c r="AG200" s="34">
        <v>0.0</v>
      </c>
      <c r="AH200" s="34">
        <v>100.0</v>
      </c>
      <c r="AI200" s="34">
        <v>0.0</v>
      </c>
      <c r="AJ200" s="34">
        <v>0.0</v>
      </c>
      <c r="AK200" s="33">
        <f>COUNTIFS('Data For Calculation - Insuranc'!A:A,A200,'Data For Calculation - Insuranc'!E:E,"Assistance + CPA : 5 Years")</f>
        <v>0</v>
      </c>
      <c r="AL200" s="30" t="s">
        <v>3817</v>
      </c>
      <c r="AM200" s="31">
        <v>290.0</v>
      </c>
      <c r="AN200" s="34" t="s">
        <v>3853</v>
      </c>
      <c r="AO200" s="34">
        <v>0.0</v>
      </c>
      <c r="AP200" s="34">
        <v>100.0</v>
      </c>
      <c r="AQ200" s="34">
        <v>0.0</v>
      </c>
      <c r="AR200" s="34">
        <v>0.0</v>
      </c>
      <c r="AS200" s="33">
        <f>COUNTIFS('Data For Calculation - Insuranc'!A:A,A200,'Data For Calculation - Insuranc'!E:E,"RSA + AHDC + DOC")</f>
        <v>0</v>
      </c>
      <c r="AT200" s="33"/>
      <c r="AU200" s="33"/>
      <c r="AV200" s="33"/>
      <c r="AW200" s="33"/>
      <c r="AX200" s="33"/>
      <c r="AY200" s="33"/>
      <c r="AZ200" s="33"/>
      <c r="BA200" s="33"/>
      <c r="BB200" s="33"/>
      <c r="BC200" s="33"/>
      <c r="BD200" s="33"/>
      <c r="BE200" s="33"/>
      <c r="BF200" s="33"/>
      <c r="BG200" s="33"/>
      <c r="BH200" s="33"/>
      <c r="BI200" s="33"/>
      <c r="BJ200" s="33"/>
      <c r="BK200" s="33"/>
      <c r="BL200" s="33"/>
      <c r="BM200" s="33"/>
      <c r="BN200" s="33"/>
      <c r="BO200" s="33"/>
      <c r="BP200" s="33"/>
      <c r="BQ200" s="33"/>
      <c r="BR200" s="33">
        <f t="shared" si="1"/>
        <v>0</v>
      </c>
      <c r="BS200" s="33">
        <f>SUMIFS('Data For Calculation - Insuranc'!I:I,'Data For Calculation - Insuranc'!$A:$A,$A200)</f>
        <v>0</v>
      </c>
      <c r="BT200" s="33">
        <f>SUMIFS('Data For Calculation - Insuranc'!J:J,'Data For Calculation - Insuranc'!$A:$A,$A200)</f>
        <v>0</v>
      </c>
      <c r="BU200" s="33">
        <f>SUMIFS('Data For Calculation - Insuranc'!K:K,'Data For Calculation - Insuranc'!$A:$A,$A200)</f>
        <v>0</v>
      </c>
      <c r="BV200" s="33">
        <f>IF($CC200 = "Dealer", SUMIFS('Data For Calculation - Insuranc'!I:I,'Data For Calculation - Insuranc'!$B:$B,$A200,'Data For Calculation - Insuranc'!$H:$H,"Master Dealer")) + SUMIFS('Data For Calculation - Insuranc'!I:I,'Data For Calculation - Insuranc'!$A:$A,$A200,'Data For Calculation - Insuranc'!$H:$H,"Self")</f>
        <v>0</v>
      </c>
      <c r="BW200" s="33">
        <f>IF($CC200 = "Dealer", SUMIFS('Data For Calculation - Insuranc'!J:J,'Data For Calculation - Insuranc'!$B:$B,$A200,'Data For Calculation - Insuranc'!$H:$H,"Master Dealer")) + SUMIFS('Data For Calculation - Insuranc'!J:J,'Data For Calculation - Insuranc'!$A:$A,$A200,'Data For Calculation - Insuranc'!$H:$H,"Self")</f>
        <v>0</v>
      </c>
      <c r="BX200" s="33">
        <f>IF($CC200 = "Dealer", SUMIFS('Data For Calculation - Insuranc'!K:K,'Data For Calculation - Insuranc'!$B:$B,$A200,'Data For Calculation - Insuranc'!$H:$H,"Master Dealer")) + SUMIFS('Data For Calculation - Insuranc'!K:K,'Data For Calculation - Insuranc'!$A:$A,$A200,'Data For Calculation - Insuranc'!$H:$H,"Self")</f>
        <v>0</v>
      </c>
      <c r="BY200" s="25" t="str">
        <f>(Sheet1!N200)</f>
        <v>MAHESH MOTORS - DINAJPUR</v>
      </c>
      <c r="BZ200" s="25" t="str">
        <f>(Sheet1!O200)</f>
        <v>1DVpSm5a7kKqZxFgDUdJBRIcgAuTZosRKDnkmPEIdEG4</v>
      </c>
      <c r="CA200" s="25" t="str">
        <f>(Sheet1!AV200)</f>
        <v/>
      </c>
      <c r="CB200" s="25" t="str">
        <f>(Sheet1!AW200)</f>
        <v/>
      </c>
      <c r="CC200" s="26" t="str">
        <f>(Sheet1!P200)</f>
        <v>Sub Dealer</v>
      </c>
    </row>
    <row r="201">
      <c r="A201" s="25" t="str">
        <f>(Sheet1!A201)</f>
        <v>1rhJaBBEzbkggfETTk-DY2S-cRSFPRY-RoZp0bXmjg2U</v>
      </c>
      <c r="B201" s="25" t="str">
        <f>(Sheet1!B201)</f>
        <v>Mahesh Motor 2 - Dinajpur</v>
      </c>
      <c r="C201" s="30" t="str">
        <f>Sheet1!BB201</f>
        <v>No</v>
      </c>
      <c r="D201" s="30" t="s">
        <v>13</v>
      </c>
      <c r="E201" s="34" t="s">
        <v>13</v>
      </c>
      <c r="F201" s="30" t="s">
        <v>3817</v>
      </c>
      <c r="G201" s="31">
        <v>245.0</v>
      </c>
      <c r="H201" s="34" t="s">
        <v>3853</v>
      </c>
      <c r="I201" s="34">
        <v>0.0</v>
      </c>
      <c r="J201" s="34">
        <v>100.0</v>
      </c>
      <c r="K201" s="34">
        <v>0.0</v>
      </c>
      <c r="L201" s="34">
        <v>0.0</v>
      </c>
      <c r="M201" s="33">
        <f>COUNTIFS('Data For Calculation - Insuranc'!A:A,A201,'Data For Calculation - Insuranc'!E:E,"CPA + RSA")</f>
        <v>0</v>
      </c>
      <c r="N201" s="30" t="s">
        <v>3817</v>
      </c>
      <c r="O201" s="31">
        <v>460.0</v>
      </c>
      <c r="P201" s="34" t="s">
        <v>3853</v>
      </c>
      <c r="Q201" s="34">
        <v>0.0</v>
      </c>
      <c r="R201" s="34">
        <v>100.0</v>
      </c>
      <c r="S201" s="34">
        <v>0.0</v>
      </c>
      <c r="T201" s="34">
        <v>0.0</v>
      </c>
      <c r="U201" s="33">
        <f>COUNTIFS('Data For Calculation - Insuranc'!A:A,A201,'Data For Calculation - Insuranc'!E:E,"CPA + RSA + AHDC + DOC")</f>
        <v>0</v>
      </c>
      <c r="V201" s="30" t="s">
        <v>3817</v>
      </c>
      <c r="W201" s="34">
        <v>838.99</v>
      </c>
      <c r="X201" s="34" t="s">
        <v>3853</v>
      </c>
      <c r="Y201" s="34">
        <v>0.0</v>
      </c>
      <c r="Z201" s="34">
        <v>100.0</v>
      </c>
      <c r="AA201" s="34">
        <v>0.0</v>
      </c>
      <c r="AB201" s="34">
        <v>0.0</v>
      </c>
      <c r="AC201" s="33">
        <f>COUNTIFS('Data For Calculation - Insuranc'!A:A,A201,'Data For Calculation - Insuranc'!E:E,"CPA + RSA : 5 Years")</f>
        <v>0</v>
      </c>
      <c r="AD201" s="30" t="s">
        <v>3817</v>
      </c>
      <c r="AE201" s="31">
        <v>838.99</v>
      </c>
      <c r="AF201" s="34" t="s">
        <v>3853</v>
      </c>
      <c r="AG201" s="34">
        <v>0.0</v>
      </c>
      <c r="AH201" s="34">
        <v>100.0</v>
      </c>
      <c r="AI201" s="34">
        <v>0.0</v>
      </c>
      <c r="AJ201" s="34">
        <v>0.0</v>
      </c>
      <c r="AK201" s="33">
        <f>COUNTIFS('Data For Calculation - Insuranc'!A:A,A201,'Data For Calculation - Insuranc'!E:E,"Assistance + CPA : 5 Years")</f>
        <v>0</v>
      </c>
      <c r="AL201" s="30" t="s">
        <v>3817</v>
      </c>
      <c r="AM201" s="31">
        <v>290.0</v>
      </c>
      <c r="AN201" s="34" t="s">
        <v>3853</v>
      </c>
      <c r="AO201" s="34">
        <v>0.0</v>
      </c>
      <c r="AP201" s="34">
        <v>100.0</v>
      </c>
      <c r="AQ201" s="34">
        <v>0.0</v>
      </c>
      <c r="AR201" s="34">
        <v>0.0</v>
      </c>
      <c r="AS201" s="33">
        <f>COUNTIFS('Data For Calculation - Insuranc'!A:A,A201,'Data For Calculation - Insuranc'!E:E,"RSA + AHDC + DOC")</f>
        <v>0</v>
      </c>
      <c r="AT201" s="33"/>
      <c r="AU201" s="33"/>
      <c r="AV201" s="33"/>
      <c r="AW201" s="33"/>
      <c r="AX201" s="33"/>
      <c r="AY201" s="33"/>
      <c r="AZ201" s="33"/>
      <c r="BA201" s="33"/>
      <c r="BB201" s="33"/>
      <c r="BC201" s="33"/>
      <c r="BD201" s="33"/>
      <c r="BE201" s="33"/>
      <c r="BF201" s="33"/>
      <c r="BG201" s="33"/>
      <c r="BH201" s="33"/>
      <c r="BI201" s="33"/>
      <c r="BJ201" s="33"/>
      <c r="BK201" s="33"/>
      <c r="BL201" s="33"/>
      <c r="BM201" s="33"/>
      <c r="BN201" s="33"/>
      <c r="BO201" s="33"/>
      <c r="BP201" s="33"/>
      <c r="BQ201" s="33"/>
      <c r="BR201" s="33">
        <f t="shared" si="1"/>
        <v>0</v>
      </c>
      <c r="BS201" s="33">
        <f>SUMIFS('Data For Calculation - Insuranc'!I:I,'Data For Calculation - Insuranc'!$A:$A,$A201)</f>
        <v>0</v>
      </c>
      <c r="BT201" s="33">
        <f>SUMIFS('Data For Calculation - Insuranc'!J:J,'Data For Calculation - Insuranc'!$A:$A,$A201)</f>
        <v>0</v>
      </c>
      <c r="BU201" s="33">
        <f>SUMIFS('Data For Calculation - Insuranc'!K:K,'Data For Calculation - Insuranc'!$A:$A,$A201)</f>
        <v>0</v>
      </c>
      <c r="BV201" s="33">
        <f>IF($CC201 = "Dealer", SUMIFS('Data For Calculation - Insuranc'!I:I,'Data For Calculation - Insuranc'!$B:$B,$A201,'Data For Calculation - Insuranc'!$H:$H,"Master Dealer")) + SUMIFS('Data For Calculation - Insuranc'!I:I,'Data For Calculation - Insuranc'!$A:$A,$A201,'Data For Calculation - Insuranc'!$H:$H,"Self")</f>
        <v>0</v>
      </c>
      <c r="BW201" s="33">
        <f>IF($CC201 = "Dealer", SUMIFS('Data For Calculation - Insuranc'!J:J,'Data For Calculation - Insuranc'!$B:$B,$A201,'Data For Calculation - Insuranc'!$H:$H,"Master Dealer")) + SUMIFS('Data For Calculation - Insuranc'!J:J,'Data For Calculation - Insuranc'!$A:$A,$A201,'Data For Calculation - Insuranc'!$H:$H,"Self")</f>
        <v>0</v>
      </c>
      <c r="BX201" s="33">
        <f>IF($CC201 = "Dealer", SUMIFS('Data For Calculation - Insuranc'!K:K,'Data For Calculation - Insuranc'!$B:$B,$A201,'Data For Calculation - Insuranc'!$H:$H,"Master Dealer")) + SUMIFS('Data For Calculation - Insuranc'!K:K,'Data For Calculation - Insuranc'!$A:$A,$A201,'Data For Calculation - Insuranc'!$H:$H,"Self")</f>
        <v>0</v>
      </c>
      <c r="BY201" s="25" t="str">
        <f>(Sheet1!N201)</f>
        <v>MAHESH MOTORS - DINAJPUR</v>
      </c>
      <c r="BZ201" s="25" t="str">
        <f>(Sheet1!O201)</f>
        <v>1DVpSm5a7kKqZxFgDUdJBRIcgAuTZosRKDnkmPEIdEG4</v>
      </c>
      <c r="CA201" s="25" t="str">
        <f>(Sheet1!AV201)</f>
        <v/>
      </c>
      <c r="CB201" s="25" t="str">
        <f>(Sheet1!AW201)</f>
        <v/>
      </c>
      <c r="CC201" s="26" t="str">
        <f>(Sheet1!P201)</f>
        <v>Sub Dealer</v>
      </c>
    </row>
    <row r="202">
      <c r="A202" s="25" t="str">
        <f>(Sheet1!A202)</f>
        <v>1HiDqUYA_MPU2cm2LpWmxJaCWOO7QBi_JoETCkTl7vPU</v>
      </c>
      <c r="B202" s="25" t="str">
        <f>(Sheet1!B202)</f>
        <v>Mahesh Motor 3 - Dinajpur</v>
      </c>
      <c r="C202" s="30" t="str">
        <f>Sheet1!BB202</f>
        <v>No</v>
      </c>
      <c r="D202" s="30" t="s">
        <v>13</v>
      </c>
      <c r="E202" s="34" t="s">
        <v>13</v>
      </c>
      <c r="F202" s="30" t="s">
        <v>3817</v>
      </c>
      <c r="G202" s="31">
        <v>245.0</v>
      </c>
      <c r="H202" s="34" t="s">
        <v>3853</v>
      </c>
      <c r="I202" s="34">
        <v>0.0</v>
      </c>
      <c r="J202" s="34">
        <v>100.0</v>
      </c>
      <c r="K202" s="34">
        <v>0.0</v>
      </c>
      <c r="L202" s="34">
        <v>0.0</v>
      </c>
      <c r="M202" s="33">
        <f>COUNTIFS('Data For Calculation - Insuranc'!A:A,A202,'Data For Calculation - Insuranc'!E:E,"CPA + RSA")</f>
        <v>0</v>
      </c>
      <c r="N202" s="30" t="s">
        <v>3817</v>
      </c>
      <c r="O202" s="31">
        <v>460.0</v>
      </c>
      <c r="P202" s="34" t="s">
        <v>3853</v>
      </c>
      <c r="Q202" s="34">
        <v>0.0</v>
      </c>
      <c r="R202" s="34">
        <v>100.0</v>
      </c>
      <c r="S202" s="34">
        <v>0.0</v>
      </c>
      <c r="T202" s="34">
        <v>0.0</v>
      </c>
      <c r="U202" s="33">
        <f>COUNTIFS('Data For Calculation - Insuranc'!A:A,A202,'Data For Calculation - Insuranc'!E:E,"CPA + RSA + AHDC + DOC")</f>
        <v>0</v>
      </c>
      <c r="V202" s="30" t="s">
        <v>3817</v>
      </c>
      <c r="W202" s="34">
        <v>838.99</v>
      </c>
      <c r="X202" s="34" t="s">
        <v>3853</v>
      </c>
      <c r="Y202" s="34">
        <v>0.0</v>
      </c>
      <c r="Z202" s="34">
        <v>100.0</v>
      </c>
      <c r="AA202" s="34">
        <v>0.0</v>
      </c>
      <c r="AB202" s="34">
        <v>0.0</v>
      </c>
      <c r="AC202" s="33">
        <f>COUNTIFS('Data For Calculation - Insuranc'!A:A,A202,'Data For Calculation - Insuranc'!E:E,"CPA + RSA : 5 Years")</f>
        <v>0</v>
      </c>
      <c r="AD202" s="30" t="s">
        <v>3817</v>
      </c>
      <c r="AE202" s="31">
        <v>838.99</v>
      </c>
      <c r="AF202" s="34" t="s">
        <v>3853</v>
      </c>
      <c r="AG202" s="34">
        <v>0.0</v>
      </c>
      <c r="AH202" s="34">
        <v>100.0</v>
      </c>
      <c r="AI202" s="34">
        <v>0.0</v>
      </c>
      <c r="AJ202" s="34">
        <v>0.0</v>
      </c>
      <c r="AK202" s="33">
        <f>COUNTIFS('Data For Calculation - Insuranc'!A:A,A202,'Data For Calculation - Insuranc'!E:E,"Assistance + CPA : 5 Years")</f>
        <v>0</v>
      </c>
      <c r="AL202" s="30" t="s">
        <v>3817</v>
      </c>
      <c r="AM202" s="31">
        <v>290.0</v>
      </c>
      <c r="AN202" s="34" t="s">
        <v>3853</v>
      </c>
      <c r="AO202" s="34">
        <v>0.0</v>
      </c>
      <c r="AP202" s="34">
        <v>100.0</v>
      </c>
      <c r="AQ202" s="34">
        <v>0.0</v>
      </c>
      <c r="AR202" s="34">
        <v>0.0</v>
      </c>
      <c r="AS202" s="33">
        <f>COUNTIFS('Data For Calculation - Insuranc'!A:A,A202,'Data For Calculation - Insuranc'!E:E,"RSA + AHDC + DOC")</f>
        <v>0</v>
      </c>
      <c r="AT202" s="33"/>
      <c r="AU202" s="33"/>
      <c r="AV202" s="33"/>
      <c r="AW202" s="33"/>
      <c r="AX202" s="33"/>
      <c r="AY202" s="33"/>
      <c r="AZ202" s="33"/>
      <c r="BA202" s="33"/>
      <c r="BB202" s="33"/>
      <c r="BC202" s="33"/>
      <c r="BD202" s="33"/>
      <c r="BE202" s="33"/>
      <c r="BF202" s="33"/>
      <c r="BG202" s="33"/>
      <c r="BH202" s="33"/>
      <c r="BI202" s="33"/>
      <c r="BJ202" s="33"/>
      <c r="BK202" s="33"/>
      <c r="BL202" s="33"/>
      <c r="BM202" s="33"/>
      <c r="BN202" s="33"/>
      <c r="BO202" s="33"/>
      <c r="BP202" s="33"/>
      <c r="BQ202" s="33"/>
      <c r="BR202" s="33">
        <f t="shared" si="1"/>
        <v>0</v>
      </c>
      <c r="BS202" s="33">
        <f>SUMIFS('Data For Calculation - Insuranc'!I:I,'Data For Calculation - Insuranc'!$A:$A,$A202)</f>
        <v>0</v>
      </c>
      <c r="BT202" s="33">
        <f>SUMIFS('Data For Calculation - Insuranc'!J:J,'Data For Calculation - Insuranc'!$A:$A,$A202)</f>
        <v>0</v>
      </c>
      <c r="BU202" s="33">
        <f>SUMIFS('Data For Calculation - Insuranc'!K:K,'Data For Calculation - Insuranc'!$A:$A,$A202)</f>
        <v>0</v>
      </c>
      <c r="BV202" s="33">
        <f>IF($CC202 = "Dealer", SUMIFS('Data For Calculation - Insuranc'!I:I,'Data For Calculation - Insuranc'!$B:$B,$A202,'Data For Calculation - Insuranc'!$H:$H,"Master Dealer")) + SUMIFS('Data For Calculation - Insuranc'!I:I,'Data For Calculation - Insuranc'!$A:$A,$A202,'Data For Calculation - Insuranc'!$H:$H,"Self")</f>
        <v>0</v>
      </c>
      <c r="BW202" s="33">
        <f>IF($CC202 = "Dealer", SUMIFS('Data For Calculation - Insuranc'!J:J,'Data For Calculation - Insuranc'!$B:$B,$A202,'Data For Calculation - Insuranc'!$H:$H,"Master Dealer")) + SUMIFS('Data For Calculation - Insuranc'!J:J,'Data For Calculation - Insuranc'!$A:$A,$A202,'Data For Calculation - Insuranc'!$H:$H,"Self")</f>
        <v>0</v>
      </c>
      <c r="BX202" s="33">
        <f>IF($CC202 = "Dealer", SUMIFS('Data For Calculation - Insuranc'!K:K,'Data For Calculation - Insuranc'!$B:$B,$A202,'Data For Calculation - Insuranc'!$H:$H,"Master Dealer")) + SUMIFS('Data For Calculation - Insuranc'!K:K,'Data For Calculation - Insuranc'!$A:$A,$A202,'Data For Calculation - Insuranc'!$H:$H,"Self")</f>
        <v>0</v>
      </c>
      <c r="BY202" s="25" t="str">
        <f>(Sheet1!N202)</f>
        <v>MAHESH MOTORS - DINAJPUR</v>
      </c>
      <c r="BZ202" s="25" t="str">
        <f>(Sheet1!O202)</f>
        <v>1DVpSm5a7kKqZxFgDUdJBRIcgAuTZosRKDnkmPEIdEG4</v>
      </c>
      <c r="CA202" s="25" t="str">
        <f>(Sheet1!AV202)</f>
        <v/>
      </c>
      <c r="CB202" s="25" t="str">
        <f>(Sheet1!AW202)</f>
        <v/>
      </c>
      <c r="CC202" s="26" t="str">
        <f>(Sheet1!P202)</f>
        <v>Sub Dealer</v>
      </c>
    </row>
    <row r="203">
      <c r="A203" s="25" t="str">
        <f>(Sheet1!A203)</f>
        <v>1u5nlK89DUKbohumNTMcU9oOnhT7__c91_mu2iHHIxhk</v>
      </c>
      <c r="B203" s="25" t="str">
        <f>(Sheet1!B203)</f>
        <v>Tiwari Automobiles(AM) - Chhibramau</v>
      </c>
      <c r="C203" s="30" t="str">
        <f>Sheet1!BB203</f>
        <v>No</v>
      </c>
      <c r="D203" s="30" t="s">
        <v>13</v>
      </c>
      <c r="E203" s="34" t="s">
        <v>13</v>
      </c>
      <c r="F203" s="25" t="s">
        <v>3820</v>
      </c>
      <c r="G203" s="33">
        <v>205.0</v>
      </c>
      <c r="H203" s="34" t="s">
        <v>3853</v>
      </c>
      <c r="I203" s="34">
        <v>0.0</v>
      </c>
      <c r="J203" s="34">
        <v>100.0</v>
      </c>
      <c r="K203" s="34">
        <v>0.0</v>
      </c>
      <c r="L203" s="34">
        <v>0.0</v>
      </c>
      <c r="M203" s="33">
        <f>COUNTIFS('Data For Calculation - Insuranc'!A:A,A203,'Data For Calculation - Insuranc'!E:E,"CPA + RSA")</f>
        <v>0</v>
      </c>
      <c r="N203" s="25" t="s">
        <v>3820</v>
      </c>
      <c r="O203" s="33">
        <v>460.0</v>
      </c>
      <c r="P203" s="34" t="s">
        <v>3853</v>
      </c>
      <c r="Q203" s="34">
        <v>0.0</v>
      </c>
      <c r="R203" s="34">
        <v>100.0</v>
      </c>
      <c r="S203" s="34">
        <v>0.0</v>
      </c>
      <c r="T203" s="34">
        <v>0.0</v>
      </c>
      <c r="U203" s="33">
        <f>COUNTIFS('Data For Calculation - Insuranc'!A:A,A203,'Data For Calculation - Insuranc'!E:E,"CPA + RSA + AHDC + DOC")</f>
        <v>0</v>
      </c>
      <c r="V203" s="25" t="s">
        <v>3820</v>
      </c>
      <c r="W203" s="33">
        <v>838.99</v>
      </c>
      <c r="X203" s="34" t="s">
        <v>3853</v>
      </c>
      <c r="Y203" s="34">
        <v>0.0</v>
      </c>
      <c r="Z203" s="34">
        <v>100.0</v>
      </c>
      <c r="AA203" s="34">
        <v>0.0</v>
      </c>
      <c r="AB203" s="34">
        <v>0.0</v>
      </c>
      <c r="AC203" s="33">
        <f>COUNTIFS('Data For Calculation - Insuranc'!A:A,A203,'Data For Calculation - Insuranc'!E:E,"CPA + RSA : 5 Years")</f>
        <v>0</v>
      </c>
      <c r="AD203" s="25" t="s">
        <v>3820</v>
      </c>
      <c r="AE203" s="33">
        <v>838.99</v>
      </c>
      <c r="AF203" s="34" t="s">
        <v>3853</v>
      </c>
      <c r="AG203" s="34">
        <v>0.0</v>
      </c>
      <c r="AH203" s="34">
        <v>100.0</v>
      </c>
      <c r="AI203" s="34">
        <v>0.0</v>
      </c>
      <c r="AJ203" s="34">
        <v>0.0</v>
      </c>
      <c r="AK203" s="33">
        <f>COUNTIFS('Data For Calculation - Insuranc'!A:A,A203,'Data For Calculation - Insuranc'!E:E,"Assistance + CPA : 5 Years")</f>
        <v>0</v>
      </c>
      <c r="AL203" s="25" t="s">
        <v>3820</v>
      </c>
      <c r="AM203" s="31">
        <v>290.0</v>
      </c>
      <c r="AN203" s="34" t="s">
        <v>3853</v>
      </c>
      <c r="AO203" s="34">
        <v>0.0</v>
      </c>
      <c r="AP203" s="34">
        <v>100.0</v>
      </c>
      <c r="AQ203" s="34">
        <v>0.0</v>
      </c>
      <c r="AR203" s="34">
        <v>0.0</v>
      </c>
      <c r="AS203" s="33">
        <f>COUNTIFS('Data For Calculation - Insuranc'!A:A,A203,'Data For Calculation - Insuranc'!E:E,"RSA + AHDC + DOC")</f>
        <v>0</v>
      </c>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33">
        <f t="shared" si="1"/>
        <v>0</v>
      </c>
      <c r="BS203" s="33">
        <f>SUMIFS('Data For Calculation - Insuranc'!I:I,'Data For Calculation - Insuranc'!$A:$A,$A203)</f>
        <v>0</v>
      </c>
      <c r="BT203" s="33">
        <f>SUMIFS('Data For Calculation - Insuranc'!J:J,'Data For Calculation - Insuranc'!$A:$A,$A203)</f>
        <v>0</v>
      </c>
      <c r="BU203" s="33">
        <f>SUMIFS('Data For Calculation - Insuranc'!K:K,'Data For Calculation - Insuranc'!$A:$A,$A203)</f>
        <v>0</v>
      </c>
      <c r="BV203" s="33">
        <f>IF($CC203 = "Dealer", SUMIFS('Data For Calculation - Insuranc'!I:I,'Data For Calculation - Insuranc'!$B:$B,$A203,'Data For Calculation - Insuranc'!$H:$H,"Master Dealer")) + SUMIFS('Data For Calculation - Insuranc'!I:I,'Data For Calculation - Insuranc'!$A:$A,$A203,'Data For Calculation - Insuranc'!$H:$H,"Self")</f>
        <v>0</v>
      </c>
      <c r="BW203" s="33">
        <f>IF($CC203 = "Dealer", SUMIFS('Data For Calculation - Insuranc'!J:J,'Data For Calculation - Insuranc'!$B:$B,$A203,'Data For Calculation - Insuranc'!$H:$H,"Master Dealer")) + SUMIFS('Data For Calculation - Insuranc'!J:J,'Data For Calculation - Insuranc'!$A:$A,$A203,'Data For Calculation - Insuranc'!$H:$H,"Self")</f>
        <v>0</v>
      </c>
      <c r="BX203" s="33">
        <f>IF($CC203 = "Dealer", SUMIFS('Data For Calculation - Insuranc'!K:K,'Data For Calculation - Insuranc'!$B:$B,$A203,'Data For Calculation - Insuranc'!$H:$H,"Master Dealer")) + SUMIFS('Data For Calculation - Insuranc'!K:K,'Data For Calculation - Insuranc'!$A:$A,$A203,'Data For Calculation - Insuranc'!$H:$H,"Self")</f>
        <v>0</v>
      </c>
      <c r="BY203" s="25" t="str">
        <f>(Sheet1!N203)</f>
        <v>Asha Motor - Kannauj</v>
      </c>
      <c r="BZ203" s="25" t="str">
        <f>(Sheet1!O203)</f>
        <v>1hlnCiW64Y7uZNVOj2ewyfTULbWj1dUaXX2rUREx8W8o</v>
      </c>
      <c r="CA203" s="25" t="str">
        <f>(Sheet1!AV203)</f>
        <v/>
      </c>
      <c r="CB203" s="25" t="str">
        <f>(Sheet1!AW203)</f>
        <v/>
      </c>
      <c r="CC203" s="25" t="str">
        <f>(Sheet1!P203)</f>
        <v>Sub Dealer</v>
      </c>
    </row>
    <row r="204">
      <c r="A204" s="25" t="str">
        <f>(Sheet1!A204)</f>
        <v>1Enun10TuqDjmYI19mcuHneCrMiJ9pWK970R1I3IYu50</v>
      </c>
      <c r="B204" s="25" t="str">
        <f>(Sheet1!B204)</f>
        <v>Shanu Motors(AM) - Saurikh</v>
      </c>
      <c r="C204" s="30" t="str">
        <f>Sheet1!BB204</f>
        <v>No</v>
      </c>
      <c r="D204" s="30" t="s">
        <v>13</v>
      </c>
      <c r="E204" s="34" t="s">
        <v>13</v>
      </c>
      <c r="F204" s="25" t="s">
        <v>3820</v>
      </c>
      <c r="G204" s="33">
        <v>205.0</v>
      </c>
      <c r="H204" s="34" t="s">
        <v>3853</v>
      </c>
      <c r="I204" s="34">
        <v>0.0</v>
      </c>
      <c r="J204" s="34">
        <v>100.0</v>
      </c>
      <c r="K204" s="34">
        <v>0.0</v>
      </c>
      <c r="L204" s="34">
        <v>0.0</v>
      </c>
      <c r="M204" s="33">
        <f>COUNTIFS('Data For Calculation - Insuranc'!A:A,A204,'Data For Calculation - Insuranc'!E:E,"CPA + RSA")</f>
        <v>0</v>
      </c>
      <c r="N204" s="25" t="s">
        <v>3820</v>
      </c>
      <c r="O204" s="33">
        <v>460.0</v>
      </c>
      <c r="P204" s="34" t="s">
        <v>3853</v>
      </c>
      <c r="Q204" s="34">
        <v>0.0</v>
      </c>
      <c r="R204" s="34">
        <v>100.0</v>
      </c>
      <c r="S204" s="34">
        <v>0.0</v>
      </c>
      <c r="T204" s="34">
        <v>0.0</v>
      </c>
      <c r="U204" s="33">
        <f>COUNTIFS('Data For Calculation - Insuranc'!A:A,A204,'Data For Calculation - Insuranc'!E:E,"CPA + RSA + AHDC + DOC")</f>
        <v>0</v>
      </c>
      <c r="V204" s="25" t="s">
        <v>3820</v>
      </c>
      <c r="W204" s="33">
        <v>838.99</v>
      </c>
      <c r="X204" s="34" t="s">
        <v>3853</v>
      </c>
      <c r="Y204" s="34">
        <v>0.0</v>
      </c>
      <c r="Z204" s="34">
        <v>100.0</v>
      </c>
      <c r="AA204" s="34">
        <v>0.0</v>
      </c>
      <c r="AB204" s="34">
        <v>0.0</v>
      </c>
      <c r="AC204" s="33">
        <f>COUNTIFS('Data For Calculation - Insuranc'!A:A,A204,'Data For Calculation - Insuranc'!E:E,"CPA + RSA : 5 Years")</f>
        <v>0</v>
      </c>
      <c r="AD204" s="25" t="s">
        <v>3820</v>
      </c>
      <c r="AE204" s="33">
        <v>838.99</v>
      </c>
      <c r="AF204" s="34" t="s">
        <v>3853</v>
      </c>
      <c r="AG204" s="34">
        <v>0.0</v>
      </c>
      <c r="AH204" s="34">
        <v>100.0</v>
      </c>
      <c r="AI204" s="34">
        <v>0.0</v>
      </c>
      <c r="AJ204" s="34">
        <v>0.0</v>
      </c>
      <c r="AK204" s="33">
        <f>COUNTIFS('Data For Calculation - Insuranc'!A:A,A204,'Data For Calculation - Insuranc'!E:E,"Assistance + CPA : 5 Years")</f>
        <v>0</v>
      </c>
      <c r="AL204" s="25" t="s">
        <v>3820</v>
      </c>
      <c r="AM204" s="31">
        <v>290.0</v>
      </c>
      <c r="AN204" s="34" t="s">
        <v>3853</v>
      </c>
      <c r="AO204" s="34">
        <v>0.0</v>
      </c>
      <c r="AP204" s="34">
        <v>100.0</v>
      </c>
      <c r="AQ204" s="34">
        <v>0.0</v>
      </c>
      <c r="AR204" s="34">
        <v>0.0</v>
      </c>
      <c r="AS204" s="33">
        <f>COUNTIFS('Data For Calculation - Insuranc'!A:A,A204,'Data For Calculation - Insuranc'!E:E,"RSA + AHDC + DOC")</f>
        <v>0</v>
      </c>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33">
        <f t="shared" si="1"/>
        <v>0</v>
      </c>
      <c r="BS204" s="33">
        <f>SUMIFS('Data For Calculation - Insuranc'!I:I,'Data For Calculation - Insuranc'!$A:$A,$A204)</f>
        <v>0</v>
      </c>
      <c r="BT204" s="33">
        <f>SUMIFS('Data For Calculation - Insuranc'!J:J,'Data For Calculation - Insuranc'!$A:$A,$A204)</f>
        <v>0</v>
      </c>
      <c r="BU204" s="33">
        <f>SUMIFS('Data For Calculation - Insuranc'!K:K,'Data For Calculation - Insuranc'!$A:$A,$A204)</f>
        <v>0</v>
      </c>
      <c r="BV204" s="33">
        <f>IF($CC204 = "Dealer", SUMIFS('Data For Calculation - Insuranc'!I:I,'Data For Calculation - Insuranc'!$B:$B,$A204,'Data For Calculation - Insuranc'!$H:$H,"Master Dealer")) + SUMIFS('Data For Calculation - Insuranc'!I:I,'Data For Calculation - Insuranc'!$A:$A,$A204,'Data For Calculation - Insuranc'!$H:$H,"Self")</f>
        <v>0</v>
      </c>
      <c r="BW204" s="33">
        <f>IF($CC204 = "Dealer", SUMIFS('Data For Calculation - Insuranc'!J:J,'Data For Calculation - Insuranc'!$B:$B,$A204,'Data For Calculation - Insuranc'!$H:$H,"Master Dealer")) + SUMIFS('Data For Calculation - Insuranc'!J:J,'Data For Calculation - Insuranc'!$A:$A,$A204,'Data For Calculation - Insuranc'!$H:$H,"Self")</f>
        <v>0</v>
      </c>
      <c r="BX204" s="33">
        <f>IF($CC204 = "Dealer", SUMIFS('Data For Calculation - Insuranc'!K:K,'Data For Calculation - Insuranc'!$B:$B,$A204,'Data For Calculation - Insuranc'!$H:$H,"Master Dealer")) + SUMIFS('Data For Calculation - Insuranc'!K:K,'Data For Calculation - Insuranc'!$A:$A,$A204,'Data For Calculation - Insuranc'!$H:$H,"Self")</f>
        <v>0</v>
      </c>
      <c r="BY204" s="25" t="str">
        <f>(Sheet1!N204)</f>
        <v>Asha Motor - Kannauj</v>
      </c>
      <c r="BZ204" s="25" t="str">
        <f>(Sheet1!O204)</f>
        <v>1hlnCiW64Y7uZNVOj2ewyfTULbWj1dUaXX2rUREx8W8o</v>
      </c>
      <c r="CA204" s="25" t="str">
        <f>(Sheet1!AV204)</f>
        <v/>
      </c>
      <c r="CB204" s="25" t="str">
        <f>(Sheet1!AW204)</f>
        <v/>
      </c>
      <c r="CC204" s="25" t="str">
        <f>(Sheet1!P204)</f>
        <v>Sub Dealer</v>
      </c>
    </row>
    <row r="205">
      <c r="A205" s="25" t="str">
        <f>(Sheet1!A205)</f>
        <v>1t2jvG-avz320SBpAYKAjPj-BB8Kp974TQ1yfGetbst8</v>
      </c>
      <c r="B205" s="25" t="str">
        <f>(Sheet1!B205)</f>
        <v>Tirwa Motors(AM) - Tirwa</v>
      </c>
      <c r="C205" s="30" t="str">
        <f>Sheet1!BB205</f>
        <v>No</v>
      </c>
      <c r="D205" s="30" t="s">
        <v>13</v>
      </c>
      <c r="E205" s="34" t="s">
        <v>13</v>
      </c>
      <c r="F205" s="25" t="s">
        <v>3820</v>
      </c>
      <c r="G205" s="33">
        <v>205.0</v>
      </c>
      <c r="H205" s="34" t="s">
        <v>3853</v>
      </c>
      <c r="I205" s="34">
        <v>0.0</v>
      </c>
      <c r="J205" s="34">
        <v>100.0</v>
      </c>
      <c r="K205" s="34">
        <v>0.0</v>
      </c>
      <c r="L205" s="34">
        <v>0.0</v>
      </c>
      <c r="M205" s="33">
        <f>COUNTIFS('Data For Calculation - Insuranc'!A:A,A205,'Data For Calculation - Insuranc'!E:E,"CPA + RSA")</f>
        <v>0</v>
      </c>
      <c r="N205" s="25" t="s">
        <v>3820</v>
      </c>
      <c r="O205" s="33">
        <v>460.0</v>
      </c>
      <c r="P205" s="34" t="s">
        <v>3853</v>
      </c>
      <c r="Q205" s="34">
        <v>0.0</v>
      </c>
      <c r="R205" s="34">
        <v>100.0</v>
      </c>
      <c r="S205" s="34">
        <v>0.0</v>
      </c>
      <c r="T205" s="34">
        <v>0.0</v>
      </c>
      <c r="U205" s="33">
        <f>COUNTIFS('Data For Calculation - Insuranc'!A:A,A205,'Data For Calculation - Insuranc'!E:E,"CPA + RSA + AHDC + DOC")</f>
        <v>0</v>
      </c>
      <c r="V205" s="25" t="s">
        <v>3820</v>
      </c>
      <c r="W205" s="33">
        <v>838.99</v>
      </c>
      <c r="X205" s="34" t="s">
        <v>3853</v>
      </c>
      <c r="Y205" s="34">
        <v>0.0</v>
      </c>
      <c r="Z205" s="34">
        <v>100.0</v>
      </c>
      <c r="AA205" s="34">
        <v>0.0</v>
      </c>
      <c r="AB205" s="34">
        <v>0.0</v>
      </c>
      <c r="AC205" s="33">
        <f>COUNTIFS('Data For Calculation - Insuranc'!A:A,A205,'Data For Calculation - Insuranc'!E:E,"CPA + RSA : 5 Years")</f>
        <v>0</v>
      </c>
      <c r="AD205" s="25" t="s">
        <v>3820</v>
      </c>
      <c r="AE205" s="33">
        <v>838.99</v>
      </c>
      <c r="AF205" s="34" t="s">
        <v>3853</v>
      </c>
      <c r="AG205" s="34">
        <v>0.0</v>
      </c>
      <c r="AH205" s="34">
        <v>100.0</v>
      </c>
      <c r="AI205" s="34">
        <v>0.0</v>
      </c>
      <c r="AJ205" s="34">
        <v>0.0</v>
      </c>
      <c r="AK205" s="33">
        <f>COUNTIFS('Data For Calculation - Insuranc'!A:A,A205,'Data For Calculation - Insuranc'!E:E,"Assistance + CPA : 5 Years")</f>
        <v>0</v>
      </c>
      <c r="AL205" s="25" t="s">
        <v>3820</v>
      </c>
      <c r="AM205" s="31">
        <v>290.0</v>
      </c>
      <c r="AN205" s="34" t="s">
        <v>3853</v>
      </c>
      <c r="AO205" s="34">
        <v>0.0</v>
      </c>
      <c r="AP205" s="34">
        <v>100.0</v>
      </c>
      <c r="AQ205" s="34">
        <v>0.0</v>
      </c>
      <c r="AR205" s="34">
        <v>0.0</v>
      </c>
      <c r="AS205" s="33">
        <f>COUNTIFS('Data For Calculation - Insuranc'!A:A,A205,'Data For Calculation - Insuranc'!E:E,"RSA + AHDC + DOC")</f>
        <v>0</v>
      </c>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33">
        <f t="shared" si="1"/>
        <v>0</v>
      </c>
      <c r="BS205" s="33">
        <f>SUMIFS('Data For Calculation - Insuranc'!I:I,'Data For Calculation - Insuranc'!$A:$A,$A205)</f>
        <v>0</v>
      </c>
      <c r="BT205" s="33">
        <f>SUMIFS('Data For Calculation - Insuranc'!J:J,'Data For Calculation - Insuranc'!$A:$A,$A205)</f>
        <v>0</v>
      </c>
      <c r="BU205" s="33">
        <f>SUMIFS('Data For Calculation - Insuranc'!K:K,'Data For Calculation - Insuranc'!$A:$A,$A205)</f>
        <v>0</v>
      </c>
      <c r="BV205" s="33">
        <f>IF($CC205 = "Dealer", SUMIFS('Data For Calculation - Insuranc'!I:I,'Data For Calculation - Insuranc'!$B:$B,$A205,'Data For Calculation - Insuranc'!$H:$H,"Master Dealer")) + SUMIFS('Data For Calculation - Insuranc'!I:I,'Data For Calculation - Insuranc'!$A:$A,$A205,'Data For Calculation - Insuranc'!$H:$H,"Self")</f>
        <v>0</v>
      </c>
      <c r="BW205" s="33">
        <f>IF($CC205 = "Dealer", SUMIFS('Data For Calculation - Insuranc'!J:J,'Data For Calculation - Insuranc'!$B:$B,$A205,'Data For Calculation - Insuranc'!$H:$H,"Master Dealer")) + SUMIFS('Data For Calculation - Insuranc'!J:J,'Data For Calculation - Insuranc'!$A:$A,$A205,'Data For Calculation - Insuranc'!$H:$H,"Self")</f>
        <v>0</v>
      </c>
      <c r="BX205" s="33">
        <f>IF($CC205 = "Dealer", SUMIFS('Data For Calculation - Insuranc'!K:K,'Data For Calculation - Insuranc'!$B:$B,$A205,'Data For Calculation - Insuranc'!$H:$H,"Master Dealer")) + SUMIFS('Data For Calculation - Insuranc'!K:K,'Data For Calculation - Insuranc'!$A:$A,$A205,'Data For Calculation - Insuranc'!$H:$H,"Self")</f>
        <v>0</v>
      </c>
      <c r="BY205" s="25" t="str">
        <f>(Sheet1!N205)</f>
        <v>Asha Motor - Kannauj</v>
      </c>
      <c r="BZ205" s="25" t="str">
        <f>(Sheet1!O205)</f>
        <v>1hlnCiW64Y7uZNVOj2ewyfTULbWj1dUaXX2rUREx8W8o</v>
      </c>
      <c r="CA205" s="25" t="str">
        <f>(Sheet1!AV205)</f>
        <v/>
      </c>
      <c r="CB205" s="25" t="str">
        <f>(Sheet1!AW205)</f>
        <v/>
      </c>
      <c r="CC205" s="25" t="str">
        <f>(Sheet1!P205)</f>
        <v>Sub Dealer</v>
      </c>
    </row>
    <row r="206">
      <c r="A206" s="25" t="str">
        <f>(Sheet1!A206)</f>
        <v>1bfmIig1fGVakKR5J49ypp9KG-WRhILBb521RabDqaq4</v>
      </c>
      <c r="B206" s="25" t="str">
        <f>(Sheet1!B206)</f>
        <v>Ganesh Motors(AM) - Thathiya</v>
      </c>
      <c r="C206" s="30" t="str">
        <f>Sheet1!BB206</f>
        <v>No</v>
      </c>
      <c r="D206" s="30" t="s">
        <v>13</v>
      </c>
      <c r="E206" s="34" t="s">
        <v>13</v>
      </c>
      <c r="F206" s="25" t="s">
        <v>3820</v>
      </c>
      <c r="G206" s="33">
        <v>205.0</v>
      </c>
      <c r="H206" s="34" t="s">
        <v>3853</v>
      </c>
      <c r="I206" s="34">
        <v>0.0</v>
      </c>
      <c r="J206" s="34">
        <v>100.0</v>
      </c>
      <c r="K206" s="34">
        <v>0.0</v>
      </c>
      <c r="L206" s="34">
        <v>0.0</v>
      </c>
      <c r="M206" s="33">
        <f>COUNTIFS('Data For Calculation - Insuranc'!A:A,A206,'Data For Calculation - Insuranc'!E:E,"CPA + RSA")</f>
        <v>0</v>
      </c>
      <c r="N206" s="25" t="s">
        <v>3820</v>
      </c>
      <c r="O206" s="33">
        <v>460.0</v>
      </c>
      <c r="P206" s="34" t="s">
        <v>3853</v>
      </c>
      <c r="Q206" s="34">
        <v>0.0</v>
      </c>
      <c r="R206" s="34">
        <v>100.0</v>
      </c>
      <c r="S206" s="34">
        <v>0.0</v>
      </c>
      <c r="T206" s="34">
        <v>0.0</v>
      </c>
      <c r="U206" s="33">
        <f>COUNTIFS('Data For Calculation - Insuranc'!A:A,A206,'Data For Calculation - Insuranc'!E:E,"CPA + RSA + AHDC + DOC")</f>
        <v>0</v>
      </c>
      <c r="V206" s="25" t="s">
        <v>3820</v>
      </c>
      <c r="W206" s="33">
        <v>838.99</v>
      </c>
      <c r="X206" s="34" t="s">
        <v>3853</v>
      </c>
      <c r="Y206" s="34">
        <v>0.0</v>
      </c>
      <c r="Z206" s="34">
        <v>100.0</v>
      </c>
      <c r="AA206" s="34">
        <v>0.0</v>
      </c>
      <c r="AB206" s="34">
        <v>0.0</v>
      </c>
      <c r="AC206" s="33">
        <f>COUNTIFS('Data For Calculation - Insuranc'!A:A,A206,'Data For Calculation - Insuranc'!E:E,"CPA + RSA : 5 Years")</f>
        <v>0</v>
      </c>
      <c r="AD206" s="25" t="s">
        <v>3820</v>
      </c>
      <c r="AE206" s="33">
        <v>838.99</v>
      </c>
      <c r="AF206" s="34" t="s">
        <v>3853</v>
      </c>
      <c r="AG206" s="34">
        <v>0.0</v>
      </c>
      <c r="AH206" s="34">
        <v>100.0</v>
      </c>
      <c r="AI206" s="34">
        <v>0.0</v>
      </c>
      <c r="AJ206" s="34">
        <v>0.0</v>
      </c>
      <c r="AK206" s="33">
        <f>COUNTIFS('Data For Calculation - Insuranc'!A:A,A206,'Data For Calculation - Insuranc'!E:E,"Assistance + CPA : 5 Years")</f>
        <v>0</v>
      </c>
      <c r="AL206" s="25" t="s">
        <v>3820</v>
      </c>
      <c r="AM206" s="31">
        <v>290.0</v>
      </c>
      <c r="AN206" s="34" t="s">
        <v>3853</v>
      </c>
      <c r="AO206" s="34">
        <v>0.0</v>
      </c>
      <c r="AP206" s="34">
        <v>100.0</v>
      </c>
      <c r="AQ206" s="34">
        <v>0.0</v>
      </c>
      <c r="AR206" s="34">
        <v>0.0</v>
      </c>
      <c r="AS206" s="33">
        <f>COUNTIFS('Data For Calculation - Insuranc'!A:A,A206,'Data For Calculation - Insuranc'!E:E,"RSA + AHDC + DOC")</f>
        <v>0</v>
      </c>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33">
        <f t="shared" si="1"/>
        <v>0</v>
      </c>
      <c r="BS206" s="33">
        <f>SUMIFS('Data For Calculation - Insuranc'!I:I,'Data For Calculation - Insuranc'!$A:$A,$A206)</f>
        <v>0</v>
      </c>
      <c r="BT206" s="33">
        <f>SUMIFS('Data For Calculation - Insuranc'!J:J,'Data For Calculation - Insuranc'!$A:$A,$A206)</f>
        <v>0</v>
      </c>
      <c r="BU206" s="33">
        <f>SUMIFS('Data For Calculation - Insuranc'!K:K,'Data For Calculation - Insuranc'!$A:$A,$A206)</f>
        <v>0</v>
      </c>
      <c r="BV206" s="33">
        <f>IF($CC206 = "Dealer", SUMIFS('Data For Calculation - Insuranc'!I:I,'Data For Calculation - Insuranc'!$B:$B,$A206,'Data For Calculation - Insuranc'!$H:$H,"Master Dealer")) + SUMIFS('Data For Calculation - Insuranc'!I:I,'Data For Calculation - Insuranc'!$A:$A,$A206,'Data For Calculation - Insuranc'!$H:$H,"Self")</f>
        <v>0</v>
      </c>
      <c r="BW206" s="33">
        <f>IF($CC206 = "Dealer", SUMIFS('Data For Calculation - Insuranc'!J:J,'Data For Calculation - Insuranc'!$B:$B,$A206,'Data For Calculation - Insuranc'!$H:$H,"Master Dealer")) + SUMIFS('Data For Calculation - Insuranc'!J:J,'Data For Calculation - Insuranc'!$A:$A,$A206,'Data For Calculation - Insuranc'!$H:$H,"Self")</f>
        <v>0</v>
      </c>
      <c r="BX206" s="33">
        <f>IF($CC206 = "Dealer", SUMIFS('Data For Calculation - Insuranc'!K:K,'Data For Calculation - Insuranc'!$B:$B,$A206,'Data For Calculation - Insuranc'!$H:$H,"Master Dealer")) + SUMIFS('Data For Calculation - Insuranc'!K:K,'Data For Calculation - Insuranc'!$A:$A,$A206,'Data For Calculation - Insuranc'!$H:$H,"Self")</f>
        <v>0</v>
      </c>
      <c r="BY206" s="25" t="str">
        <f>(Sheet1!N206)</f>
        <v>Asha Motor - Kannauj</v>
      </c>
      <c r="BZ206" s="25" t="str">
        <f>(Sheet1!O206)</f>
        <v>1hlnCiW64Y7uZNVOj2ewyfTULbWj1dUaXX2rUREx8W8o</v>
      </c>
      <c r="CA206" s="25" t="str">
        <f>(Sheet1!AV206)</f>
        <v/>
      </c>
      <c r="CB206" s="25" t="str">
        <f>(Sheet1!AW206)</f>
        <v/>
      </c>
      <c r="CC206" s="25" t="str">
        <f>(Sheet1!P206)</f>
        <v>Sub Dealer</v>
      </c>
    </row>
    <row r="207">
      <c r="A207" s="25" t="str">
        <f>(Sheet1!A207)</f>
        <v>17IHK48lZbcBlgGAJSiVd_55rLbshhnkDVBqTU63zg3g</v>
      </c>
      <c r="B207" s="25" t="str">
        <f>(Sheet1!B207)</f>
        <v>Balaji Autowheels(AM) - Nademau</v>
      </c>
      <c r="C207" s="30" t="str">
        <f>Sheet1!BB207</f>
        <v>No</v>
      </c>
      <c r="D207" s="30" t="s">
        <v>13</v>
      </c>
      <c r="E207" s="34" t="s">
        <v>13</v>
      </c>
      <c r="F207" s="25" t="s">
        <v>3820</v>
      </c>
      <c r="G207" s="33">
        <v>205.0</v>
      </c>
      <c r="H207" s="34" t="s">
        <v>3853</v>
      </c>
      <c r="I207" s="34">
        <v>0.0</v>
      </c>
      <c r="J207" s="34">
        <v>100.0</v>
      </c>
      <c r="K207" s="34">
        <v>0.0</v>
      </c>
      <c r="L207" s="34">
        <v>0.0</v>
      </c>
      <c r="M207" s="33">
        <f>COUNTIFS('Data For Calculation - Insuranc'!A:A,A207,'Data For Calculation - Insuranc'!E:E,"CPA + RSA")</f>
        <v>0</v>
      </c>
      <c r="N207" s="25" t="s">
        <v>3820</v>
      </c>
      <c r="O207" s="33">
        <v>460.0</v>
      </c>
      <c r="P207" s="34" t="s">
        <v>3853</v>
      </c>
      <c r="Q207" s="34">
        <v>0.0</v>
      </c>
      <c r="R207" s="34">
        <v>100.0</v>
      </c>
      <c r="S207" s="34">
        <v>0.0</v>
      </c>
      <c r="T207" s="34">
        <v>0.0</v>
      </c>
      <c r="U207" s="33">
        <f>COUNTIFS('Data For Calculation - Insuranc'!A:A,A207,'Data For Calculation - Insuranc'!E:E,"CPA + RSA + AHDC + DOC")</f>
        <v>0</v>
      </c>
      <c r="V207" s="25" t="s">
        <v>3820</v>
      </c>
      <c r="W207" s="33">
        <v>838.99</v>
      </c>
      <c r="X207" s="34" t="s">
        <v>3853</v>
      </c>
      <c r="Y207" s="34">
        <v>0.0</v>
      </c>
      <c r="Z207" s="34">
        <v>100.0</v>
      </c>
      <c r="AA207" s="34">
        <v>0.0</v>
      </c>
      <c r="AB207" s="34">
        <v>0.0</v>
      </c>
      <c r="AC207" s="33">
        <f>COUNTIFS('Data For Calculation - Insuranc'!A:A,A207,'Data For Calculation - Insuranc'!E:E,"CPA + RSA : 5 Years")</f>
        <v>0</v>
      </c>
      <c r="AD207" s="25" t="s">
        <v>3820</v>
      </c>
      <c r="AE207" s="33">
        <v>838.99</v>
      </c>
      <c r="AF207" s="34" t="s">
        <v>3853</v>
      </c>
      <c r="AG207" s="34">
        <v>0.0</v>
      </c>
      <c r="AH207" s="34">
        <v>100.0</v>
      </c>
      <c r="AI207" s="34">
        <v>0.0</v>
      </c>
      <c r="AJ207" s="34">
        <v>0.0</v>
      </c>
      <c r="AK207" s="33">
        <f>COUNTIFS('Data For Calculation - Insuranc'!A:A,A207,'Data For Calculation - Insuranc'!E:E,"Assistance + CPA : 5 Years")</f>
        <v>0</v>
      </c>
      <c r="AL207" s="25" t="s">
        <v>3820</v>
      </c>
      <c r="AM207" s="31">
        <v>290.0</v>
      </c>
      <c r="AN207" s="34" t="s">
        <v>3853</v>
      </c>
      <c r="AO207" s="34">
        <v>0.0</v>
      </c>
      <c r="AP207" s="34">
        <v>100.0</v>
      </c>
      <c r="AQ207" s="34">
        <v>0.0</v>
      </c>
      <c r="AR207" s="34">
        <v>0.0</v>
      </c>
      <c r="AS207" s="33">
        <f>COUNTIFS('Data For Calculation - Insuranc'!A:A,A207,'Data For Calculation - Insuranc'!E:E,"RSA + AHDC + DOC")</f>
        <v>0</v>
      </c>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33">
        <f t="shared" si="1"/>
        <v>0</v>
      </c>
      <c r="BS207" s="33">
        <f>SUMIFS('Data For Calculation - Insuranc'!I:I,'Data For Calculation - Insuranc'!$A:$A,$A207)</f>
        <v>0</v>
      </c>
      <c r="BT207" s="33">
        <f>SUMIFS('Data For Calculation - Insuranc'!J:J,'Data For Calculation - Insuranc'!$A:$A,$A207)</f>
        <v>0</v>
      </c>
      <c r="BU207" s="33">
        <f>SUMIFS('Data For Calculation - Insuranc'!K:K,'Data For Calculation - Insuranc'!$A:$A,$A207)</f>
        <v>0</v>
      </c>
      <c r="BV207" s="33">
        <f>IF($CC207 = "Dealer", SUMIFS('Data For Calculation - Insuranc'!I:I,'Data For Calculation - Insuranc'!$B:$B,$A207,'Data For Calculation - Insuranc'!$H:$H,"Master Dealer")) + SUMIFS('Data For Calculation - Insuranc'!I:I,'Data For Calculation - Insuranc'!$A:$A,$A207,'Data For Calculation - Insuranc'!$H:$H,"Self")</f>
        <v>0</v>
      </c>
      <c r="BW207" s="33">
        <f>IF($CC207 = "Dealer", SUMIFS('Data For Calculation - Insuranc'!J:J,'Data For Calculation - Insuranc'!$B:$B,$A207,'Data For Calculation - Insuranc'!$H:$H,"Master Dealer")) + SUMIFS('Data For Calculation - Insuranc'!J:J,'Data For Calculation - Insuranc'!$A:$A,$A207,'Data For Calculation - Insuranc'!$H:$H,"Self")</f>
        <v>0</v>
      </c>
      <c r="BX207" s="33">
        <f>IF($CC207 = "Dealer", SUMIFS('Data For Calculation - Insuranc'!K:K,'Data For Calculation - Insuranc'!$B:$B,$A207,'Data For Calculation - Insuranc'!$H:$H,"Master Dealer")) + SUMIFS('Data For Calculation - Insuranc'!K:K,'Data For Calculation - Insuranc'!$A:$A,$A207,'Data For Calculation - Insuranc'!$H:$H,"Self")</f>
        <v>0</v>
      </c>
      <c r="BY207" s="25" t="str">
        <f>(Sheet1!N207)</f>
        <v>Asha Motor - Kannauj</v>
      </c>
      <c r="BZ207" s="25" t="str">
        <f>(Sheet1!O207)</f>
        <v>1hlnCiW64Y7uZNVOj2ewyfTULbWj1dUaXX2rUREx8W8o</v>
      </c>
      <c r="CA207" s="25" t="str">
        <f>(Sheet1!AV207)</f>
        <v/>
      </c>
      <c r="CB207" s="25" t="str">
        <f>(Sheet1!AW207)</f>
        <v/>
      </c>
      <c r="CC207" s="25" t="str">
        <f>(Sheet1!P207)</f>
        <v>Sub Dealer</v>
      </c>
    </row>
    <row r="208">
      <c r="A208" s="25" t="str">
        <f>(Sheet1!A208)</f>
        <v>1brGGXYNO7p4ye7lOi0GBEPWtsN031lP69rhfRORc5eg</v>
      </c>
      <c r="B208" s="25" t="str">
        <f>(Sheet1!B208)</f>
        <v>Shubhi Motors(AM) - Umarda</v>
      </c>
      <c r="C208" s="30" t="str">
        <f>Sheet1!BB208</f>
        <v>No</v>
      </c>
      <c r="D208" s="30" t="s">
        <v>13</v>
      </c>
      <c r="E208" s="34" t="s">
        <v>13</v>
      </c>
      <c r="F208" s="25" t="s">
        <v>3820</v>
      </c>
      <c r="G208" s="33">
        <v>205.0</v>
      </c>
      <c r="H208" s="34" t="s">
        <v>3853</v>
      </c>
      <c r="I208" s="34">
        <v>0.0</v>
      </c>
      <c r="J208" s="34">
        <v>100.0</v>
      </c>
      <c r="K208" s="34">
        <v>0.0</v>
      </c>
      <c r="L208" s="34">
        <v>0.0</v>
      </c>
      <c r="M208" s="33">
        <f>COUNTIFS('Data For Calculation - Insuranc'!A:A,A208,'Data For Calculation - Insuranc'!E:E,"CPA + RSA")</f>
        <v>0</v>
      </c>
      <c r="N208" s="25" t="s">
        <v>3820</v>
      </c>
      <c r="O208" s="33">
        <v>460.0</v>
      </c>
      <c r="P208" s="34" t="s">
        <v>3853</v>
      </c>
      <c r="Q208" s="34">
        <v>0.0</v>
      </c>
      <c r="R208" s="34">
        <v>100.0</v>
      </c>
      <c r="S208" s="34">
        <v>0.0</v>
      </c>
      <c r="T208" s="34">
        <v>0.0</v>
      </c>
      <c r="U208" s="33">
        <f>COUNTIFS('Data For Calculation - Insuranc'!A:A,A208,'Data For Calculation - Insuranc'!E:E,"CPA + RSA + AHDC + DOC")</f>
        <v>0</v>
      </c>
      <c r="V208" s="25" t="s">
        <v>3820</v>
      </c>
      <c r="W208" s="33">
        <v>838.99</v>
      </c>
      <c r="X208" s="34" t="s">
        <v>3853</v>
      </c>
      <c r="Y208" s="34">
        <v>0.0</v>
      </c>
      <c r="Z208" s="34">
        <v>100.0</v>
      </c>
      <c r="AA208" s="34">
        <v>0.0</v>
      </c>
      <c r="AB208" s="34">
        <v>0.0</v>
      </c>
      <c r="AC208" s="33">
        <f>COUNTIFS('Data For Calculation - Insuranc'!A:A,A208,'Data For Calculation - Insuranc'!E:E,"CPA + RSA : 5 Years")</f>
        <v>0</v>
      </c>
      <c r="AD208" s="25" t="s">
        <v>3820</v>
      </c>
      <c r="AE208" s="33">
        <v>838.99</v>
      </c>
      <c r="AF208" s="34" t="s">
        <v>3853</v>
      </c>
      <c r="AG208" s="34">
        <v>0.0</v>
      </c>
      <c r="AH208" s="34">
        <v>100.0</v>
      </c>
      <c r="AI208" s="34">
        <v>0.0</v>
      </c>
      <c r="AJ208" s="34">
        <v>0.0</v>
      </c>
      <c r="AK208" s="33">
        <f>COUNTIFS('Data For Calculation - Insuranc'!A:A,A208,'Data For Calculation - Insuranc'!E:E,"Assistance + CPA : 5 Years")</f>
        <v>0</v>
      </c>
      <c r="AL208" s="25" t="s">
        <v>3820</v>
      </c>
      <c r="AM208" s="31">
        <v>290.0</v>
      </c>
      <c r="AN208" s="34" t="s">
        <v>3853</v>
      </c>
      <c r="AO208" s="34">
        <v>0.0</v>
      </c>
      <c r="AP208" s="34">
        <v>100.0</v>
      </c>
      <c r="AQ208" s="34">
        <v>0.0</v>
      </c>
      <c r="AR208" s="34">
        <v>0.0</v>
      </c>
      <c r="AS208" s="33">
        <f>COUNTIFS('Data For Calculation - Insuranc'!A:A,A208,'Data For Calculation - Insuranc'!E:E,"RSA + AHDC + DOC")</f>
        <v>0</v>
      </c>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33">
        <f t="shared" si="1"/>
        <v>0</v>
      </c>
      <c r="BS208" s="33">
        <f>SUMIFS('Data For Calculation - Insuranc'!I:I,'Data For Calculation - Insuranc'!$A:$A,$A208)</f>
        <v>0</v>
      </c>
      <c r="BT208" s="33">
        <f>SUMIFS('Data For Calculation - Insuranc'!J:J,'Data For Calculation - Insuranc'!$A:$A,$A208)</f>
        <v>0</v>
      </c>
      <c r="BU208" s="33">
        <f>SUMIFS('Data For Calculation - Insuranc'!K:K,'Data For Calculation - Insuranc'!$A:$A,$A208)</f>
        <v>0</v>
      </c>
      <c r="BV208" s="33">
        <f>IF($CC208 = "Dealer", SUMIFS('Data For Calculation - Insuranc'!I:I,'Data For Calculation - Insuranc'!$B:$B,$A208,'Data For Calculation - Insuranc'!$H:$H,"Master Dealer")) + SUMIFS('Data For Calculation - Insuranc'!I:I,'Data For Calculation - Insuranc'!$A:$A,$A208,'Data For Calculation - Insuranc'!$H:$H,"Self")</f>
        <v>0</v>
      </c>
      <c r="BW208" s="33">
        <f>IF($CC208 = "Dealer", SUMIFS('Data For Calculation - Insuranc'!J:J,'Data For Calculation - Insuranc'!$B:$B,$A208,'Data For Calculation - Insuranc'!$H:$H,"Master Dealer")) + SUMIFS('Data For Calculation - Insuranc'!J:J,'Data For Calculation - Insuranc'!$A:$A,$A208,'Data For Calculation - Insuranc'!$H:$H,"Self")</f>
        <v>0</v>
      </c>
      <c r="BX208" s="33">
        <f>IF($CC208 = "Dealer", SUMIFS('Data For Calculation - Insuranc'!K:K,'Data For Calculation - Insuranc'!$B:$B,$A208,'Data For Calculation - Insuranc'!$H:$H,"Master Dealer")) + SUMIFS('Data For Calculation - Insuranc'!K:K,'Data For Calculation - Insuranc'!$A:$A,$A208,'Data For Calculation - Insuranc'!$H:$H,"Self")</f>
        <v>0</v>
      </c>
      <c r="BY208" s="25" t="str">
        <f>(Sheet1!N208)</f>
        <v>Asha Motor - Kannauj</v>
      </c>
      <c r="BZ208" s="25" t="str">
        <f>(Sheet1!O208)</f>
        <v>1hlnCiW64Y7uZNVOj2ewyfTULbWj1dUaXX2rUREx8W8o</v>
      </c>
      <c r="CA208" s="25" t="str">
        <f>(Sheet1!AV208)</f>
        <v/>
      </c>
      <c r="CB208" s="25" t="str">
        <f>(Sheet1!AW208)</f>
        <v/>
      </c>
      <c r="CC208" s="25" t="str">
        <f>(Sheet1!P208)</f>
        <v>Sub Dealer</v>
      </c>
    </row>
    <row r="209">
      <c r="A209" s="25" t="str">
        <f>(Sheet1!A209)</f>
        <v>1_xXDhPc2zYZ10fr1h3mfn-L73eXsLjI78QDoo4z-PJk</v>
      </c>
      <c r="B209" s="25" t="str">
        <f>(Sheet1!B209)</f>
        <v>SM Motors(AM) - Sakrawa</v>
      </c>
      <c r="C209" s="30" t="str">
        <f>Sheet1!BB209</f>
        <v>No</v>
      </c>
      <c r="D209" s="30" t="s">
        <v>13</v>
      </c>
      <c r="E209" s="34" t="s">
        <v>13</v>
      </c>
      <c r="F209" s="25" t="s">
        <v>3820</v>
      </c>
      <c r="G209" s="33">
        <v>205.0</v>
      </c>
      <c r="H209" s="34" t="s">
        <v>3853</v>
      </c>
      <c r="I209" s="34">
        <v>0.0</v>
      </c>
      <c r="J209" s="34">
        <v>100.0</v>
      </c>
      <c r="K209" s="34">
        <v>0.0</v>
      </c>
      <c r="L209" s="34">
        <v>0.0</v>
      </c>
      <c r="M209" s="33">
        <f>COUNTIFS('Data For Calculation - Insuranc'!A:A,A209,'Data For Calculation - Insuranc'!E:E,"CPA + RSA")</f>
        <v>0</v>
      </c>
      <c r="N209" s="25" t="s">
        <v>3820</v>
      </c>
      <c r="O209" s="33">
        <v>460.0</v>
      </c>
      <c r="P209" s="34" t="s">
        <v>3853</v>
      </c>
      <c r="Q209" s="34">
        <v>0.0</v>
      </c>
      <c r="R209" s="34">
        <v>100.0</v>
      </c>
      <c r="S209" s="34">
        <v>0.0</v>
      </c>
      <c r="T209" s="34">
        <v>0.0</v>
      </c>
      <c r="U209" s="33">
        <f>COUNTIFS('Data For Calculation - Insuranc'!A:A,A209,'Data For Calculation - Insuranc'!E:E,"CPA + RSA + AHDC + DOC")</f>
        <v>0</v>
      </c>
      <c r="V209" s="25" t="s">
        <v>3820</v>
      </c>
      <c r="W209" s="33">
        <v>838.99</v>
      </c>
      <c r="X209" s="34" t="s">
        <v>3853</v>
      </c>
      <c r="Y209" s="34">
        <v>0.0</v>
      </c>
      <c r="Z209" s="34">
        <v>100.0</v>
      </c>
      <c r="AA209" s="34">
        <v>0.0</v>
      </c>
      <c r="AB209" s="34">
        <v>0.0</v>
      </c>
      <c r="AC209" s="33">
        <f>COUNTIFS('Data For Calculation - Insuranc'!A:A,A209,'Data For Calculation - Insuranc'!E:E,"CPA + RSA : 5 Years")</f>
        <v>0</v>
      </c>
      <c r="AD209" s="25" t="s">
        <v>3820</v>
      </c>
      <c r="AE209" s="33">
        <v>838.99</v>
      </c>
      <c r="AF209" s="34" t="s">
        <v>3853</v>
      </c>
      <c r="AG209" s="34">
        <v>0.0</v>
      </c>
      <c r="AH209" s="34">
        <v>100.0</v>
      </c>
      <c r="AI209" s="34">
        <v>0.0</v>
      </c>
      <c r="AJ209" s="34">
        <v>0.0</v>
      </c>
      <c r="AK209" s="33">
        <f>COUNTIFS('Data For Calculation - Insuranc'!A:A,A209,'Data For Calculation - Insuranc'!E:E,"Assistance + CPA : 5 Years")</f>
        <v>0</v>
      </c>
      <c r="AL209" s="25" t="s">
        <v>3820</v>
      </c>
      <c r="AM209" s="31">
        <v>290.0</v>
      </c>
      <c r="AN209" s="34" t="s">
        <v>3853</v>
      </c>
      <c r="AO209" s="34">
        <v>0.0</v>
      </c>
      <c r="AP209" s="34">
        <v>100.0</v>
      </c>
      <c r="AQ209" s="34">
        <v>0.0</v>
      </c>
      <c r="AR209" s="34">
        <v>0.0</v>
      </c>
      <c r="AS209" s="33">
        <f>COUNTIFS('Data For Calculation - Insuranc'!A:A,A209,'Data For Calculation - Insuranc'!E:E,"RSA + AHDC + DOC")</f>
        <v>0</v>
      </c>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33">
        <f t="shared" si="1"/>
        <v>0</v>
      </c>
      <c r="BS209" s="33">
        <f>SUMIFS('Data For Calculation - Insuranc'!I:I,'Data For Calculation - Insuranc'!$A:$A,$A209)</f>
        <v>0</v>
      </c>
      <c r="BT209" s="33">
        <f>SUMIFS('Data For Calculation - Insuranc'!J:J,'Data For Calculation - Insuranc'!$A:$A,$A209)</f>
        <v>0</v>
      </c>
      <c r="BU209" s="33">
        <f>SUMIFS('Data For Calculation - Insuranc'!K:K,'Data For Calculation - Insuranc'!$A:$A,$A209)</f>
        <v>0</v>
      </c>
      <c r="BV209" s="33">
        <f>IF($CC209 = "Dealer", SUMIFS('Data For Calculation - Insuranc'!I:I,'Data For Calculation - Insuranc'!$B:$B,$A209,'Data For Calculation - Insuranc'!$H:$H,"Master Dealer")) + SUMIFS('Data For Calculation - Insuranc'!I:I,'Data For Calculation - Insuranc'!$A:$A,$A209,'Data For Calculation - Insuranc'!$H:$H,"Self")</f>
        <v>0</v>
      </c>
      <c r="BW209" s="33">
        <f>IF($CC209 = "Dealer", SUMIFS('Data For Calculation - Insuranc'!J:J,'Data For Calculation - Insuranc'!$B:$B,$A209,'Data For Calculation - Insuranc'!$H:$H,"Master Dealer")) + SUMIFS('Data For Calculation - Insuranc'!J:J,'Data For Calculation - Insuranc'!$A:$A,$A209,'Data For Calculation - Insuranc'!$H:$H,"Self")</f>
        <v>0</v>
      </c>
      <c r="BX209" s="33">
        <f>IF($CC209 = "Dealer", SUMIFS('Data For Calculation - Insuranc'!K:K,'Data For Calculation - Insuranc'!$B:$B,$A209,'Data For Calculation - Insuranc'!$H:$H,"Master Dealer")) + SUMIFS('Data For Calculation - Insuranc'!K:K,'Data For Calculation - Insuranc'!$A:$A,$A209,'Data For Calculation - Insuranc'!$H:$H,"Self")</f>
        <v>0</v>
      </c>
      <c r="BY209" s="25" t="str">
        <f>(Sheet1!N209)</f>
        <v>Asha Motor - Kannauj</v>
      </c>
      <c r="BZ209" s="25" t="str">
        <f>(Sheet1!O209)</f>
        <v>1hlnCiW64Y7uZNVOj2ewyfTULbWj1dUaXX2rUREx8W8o</v>
      </c>
      <c r="CA209" s="25" t="str">
        <f>(Sheet1!AV209)</f>
        <v/>
      </c>
      <c r="CB209" s="25" t="str">
        <f>(Sheet1!AW209)</f>
        <v/>
      </c>
      <c r="CC209" s="25" t="str">
        <f>(Sheet1!P209)</f>
        <v>Sub Dealer</v>
      </c>
    </row>
    <row r="210">
      <c r="A210" s="25" t="str">
        <f>(Sheet1!A210)</f>
        <v>1OzQsznHYYDF5b9H7Egq-41PQKlWLvAn0FP2aFBNQa-s</v>
      </c>
      <c r="B210" s="25" t="str">
        <f>(Sheet1!B210)</f>
        <v>Sri Venkkateshwara(VT) - Raichur</v>
      </c>
      <c r="C210" s="30" t="str">
        <f>Sheet1!BB210</f>
        <v>No</v>
      </c>
      <c r="D210" s="30" t="s">
        <v>3821</v>
      </c>
      <c r="E210" s="34" t="s">
        <v>13</v>
      </c>
      <c r="F210" s="30" t="s">
        <v>3856</v>
      </c>
      <c r="G210" s="31">
        <v>201.0</v>
      </c>
      <c r="H210" s="34" t="s">
        <v>3853</v>
      </c>
      <c r="I210" s="34">
        <v>0.0</v>
      </c>
      <c r="J210" s="34">
        <v>100.0</v>
      </c>
      <c r="K210" s="34">
        <v>0.0</v>
      </c>
      <c r="L210" s="34">
        <v>0.0</v>
      </c>
      <c r="M210" s="33">
        <f>COUNTIFS('Data For Calculation - Insuranc'!A:A,A210,'Data For Calculation - Insuranc'!E:E,"CPA + RSA")</f>
        <v>0</v>
      </c>
      <c r="N210" s="30" t="s">
        <v>3856</v>
      </c>
      <c r="O210" s="31">
        <v>390.0</v>
      </c>
      <c r="P210" s="34" t="s">
        <v>3853</v>
      </c>
      <c r="Q210" s="34">
        <v>0.0</v>
      </c>
      <c r="R210" s="34">
        <v>100.0</v>
      </c>
      <c r="S210" s="34">
        <v>0.0</v>
      </c>
      <c r="T210" s="34">
        <v>0.0</v>
      </c>
      <c r="U210" s="33">
        <f>COUNTIFS('Data For Calculation - Insuranc'!A:A,A210,'Data For Calculation - Insuranc'!E:E,"CPA + RSA + AHDC + DOC")</f>
        <v>0</v>
      </c>
      <c r="V210" s="30" t="s">
        <v>3856</v>
      </c>
      <c r="W210" s="34">
        <v>1100.0</v>
      </c>
      <c r="X210" s="34" t="s">
        <v>3853</v>
      </c>
      <c r="Y210" s="34">
        <v>0.0</v>
      </c>
      <c r="Z210" s="34">
        <v>100.0</v>
      </c>
      <c r="AA210" s="34">
        <v>0.0</v>
      </c>
      <c r="AB210" s="34">
        <v>0.0</v>
      </c>
      <c r="AC210" s="33">
        <f>COUNTIFS('Data For Calculation - Insuranc'!A:A,A210,'Data For Calculation - Insuranc'!E:E,"CPA + RSA : 5 Years")</f>
        <v>0</v>
      </c>
      <c r="AD210" s="30" t="s">
        <v>3856</v>
      </c>
      <c r="AE210" s="31">
        <v>939.0</v>
      </c>
      <c r="AF210" s="34" t="s">
        <v>3853</v>
      </c>
      <c r="AG210" s="34">
        <v>0.0</v>
      </c>
      <c r="AH210" s="34">
        <v>100.0</v>
      </c>
      <c r="AI210" s="34">
        <v>0.0</v>
      </c>
      <c r="AJ210" s="34">
        <v>0.0</v>
      </c>
      <c r="AK210" s="33">
        <f>COUNTIFS('Data For Calculation - Insuranc'!A:A,A210,'Data For Calculation - Insuranc'!E:E,"Assistance + CPA : 5 Years")</f>
        <v>0</v>
      </c>
      <c r="AL210" s="30" t="s">
        <v>3856</v>
      </c>
      <c r="AM210" s="31">
        <v>290.0</v>
      </c>
      <c r="AN210" s="34" t="s">
        <v>3853</v>
      </c>
      <c r="AO210" s="34">
        <v>0.0</v>
      </c>
      <c r="AP210" s="34">
        <v>100.0</v>
      </c>
      <c r="AQ210" s="34">
        <v>0.0</v>
      </c>
      <c r="AR210" s="34">
        <v>0.0</v>
      </c>
      <c r="AS210" s="33">
        <f>COUNTIFS('Data For Calculation - Insuranc'!A:A,A210,'Data For Calculation - Insuranc'!E:E,"RSA + AHDC + DOC")</f>
        <v>0</v>
      </c>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33">
        <f t="shared" si="1"/>
        <v>0</v>
      </c>
      <c r="BS210" s="33">
        <f>SUMIFS('Data For Calculation - Insuranc'!I:I,'Data For Calculation - Insuranc'!$A:$A,$A210)</f>
        <v>0</v>
      </c>
      <c r="BT210" s="33">
        <f>SUMIFS('Data For Calculation - Insuranc'!J:J,'Data For Calculation - Insuranc'!$A:$A,$A210)</f>
        <v>0</v>
      </c>
      <c r="BU210" s="33">
        <f>SUMIFS('Data For Calculation - Insuranc'!K:K,'Data For Calculation - Insuranc'!$A:$A,$A210)</f>
        <v>0</v>
      </c>
      <c r="BV210" s="33">
        <f>IF($CC210 = "Dealer", SUMIFS('Data For Calculation - Insuranc'!I:I,'Data For Calculation - Insuranc'!$B:$B,$A210,'Data For Calculation - Insuranc'!$H:$H,"Master Dealer")) + SUMIFS('Data For Calculation - Insuranc'!I:I,'Data For Calculation - Insuranc'!$A:$A,$A210,'Data For Calculation - Insuranc'!$H:$H,"Self")</f>
        <v>0</v>
      </c>
      <c r="BW210" s="33">
        <f>IF($CC210 = "Dealer", SUMIFS('Data For Calculation - Insuranc'!J:J,'Data For Calculation - Insuranc'!$B:$B,$A210,'Data For Calculation - Insuranc'!$H:$H,"Master Dealer")) + SUMIFS('Data For Calculation - Insuranc'!J:J,'Data For Calculation - Insuranc'!$A:$A,$A210,'Data For Calculation - Insuranc'!$H:$H,"Self")</f>
        <v>0</v>
      </c>
      <c r="BX210" s="33">
        <f>IF($CC210 = "Dealer", SUMIFS('Data For Calculation - Insuranc'!K:K,'Data For Calculation - Insuranc'!$B:$B,$A210,'Data For Calculation - Insuranc'!$H:$H,"Master Dealer")) + SUMIFS('Data For Calculation - Insuranc'!K:K,'Data For Calculation - Insuranc'!$A:$A,$A210,'Data For Calculation - Insuranc'!$H:$H,"Self")</f>
        <v>0</v>
      </c>
      <c r="BY210" s="25" t="str">
        <f>(Sheet1!N210)</f>
        <v>Vidhi Trading</v>
      </c>
      <c r="BZ210" s="25" t="str">
        <f>(Sheet1!O210)</f>
        <v>1RYX1vfvY0jbK-8SlRPLYU11dr-HUe2ntxj5PumL7c0I</v>
      </c>
      <c r="CA210" s="25" t="str">
        <f>(Sheet1!AV210)</f>
        <v/>
      </c>
      <c r="CB210" s="25" t="str">
        <f>(Sheet1!AW210)</f>
        <v/>
      </c>
      <c r="CC210" s="25" t="str">
        <f>(Sheet1!P210)</f>
        <v>Sub Dealer</v>
      </c>
    </row>
    <row r="211">
      <c r="A211" s="25" t="str">
        <f>(Sheet1!A211)</f>
        <v>11KI2mOYZ4I9wDgZ2By8zUkmcvYLaWDOUT2Ivww0nVBM</v>
      </c>
      <c r="B211" s="25" t="str">
        <f>(Sheet1!B211)</f>
        <v>Shree Balaji Bajaj Showroom(VT) - Raichur</v>
      </c>
      <c r="C211" s="30" t="str">
        <f>Sheet1!BB211</f>
        <v>No</v>
      </c>
      <c r="D211" s="30" t="s">
        <v>3821</v>
      </c>
      <c r="E211" s="34" t="s">
        <v>13</v>
      </c>
      <c r="F211" s="30" t="s">
        <v>3856</v>
      </c>
      <c r="G211" s="31">
        <v>201.0</v>
      </c>
      <c r="H211" s="34" t="s">
        <v>3853</v>
      </c>
      <c r="I211" s="34">
        <v>0.0</v>
      </c>
      <c r="J211" s="34">
        <v>100.0</v>
      </c>
      <c r="K211" s="34">
        <v>0.0</v>
      </c>
      <c r="L211" s="34">
        <v>0.0</v>
      </c>
      <c r="M211" s="33">
        <f>COUNTIFS('Data For Calculation - Insuranc'!A:A,A211,'Data For Calculation - Insuranc'!E:E,"CPA + RSA")</f>
        <v>0</v>
      </c>
      <c r="N211" s="30" t="s">
        <v>3856</v>
      </c>
      <c r="O211" s="31">
        <v>390.0</v>
      </c>
      <c r="P211" s="34" t="s">
        <v>3853</v>
      </c>
      <c r="Q211" s="34">
        <v>0.0</v>
      </c>
      <c r="R211" s="34">
        <v>100.0</v>
      </c>
      <c r="S211" s="34">
        <v>0.0</v>
      </c>
      <c r="T211" s="34">
        <v>0.0</v>
      </c>
      <c r="U211" s="33">
        <f>COUNTIFS('Data For Calculation - Insuranc'!A:A,A211,'Data For Calculation - Insuranc'!E:E,"CPA + RSA + AHDC + DOC")</f>
        <v>0</v>
      </c>
      <c r="V211" s="30" t="s">
        <v>3856</v>
      </c>
      <c r="W211" s="34">
        <v>1100.0</v>
      </c>
      <c r="X211" s="34" t="s">
        <v>3853</v>
      </c>
      <c r="Y211" s="34">
        <v>0.0</v>
      </c>
      <c r="Z211" s="34">
        <v>100.0</v>
      </c>
      <c r="AA211" s="34">
        <v>0.0</v>
      </c>
      <c r="AB211" s="34">
        <v>0.0</v>
      </c>
      <c r="AC211" s="33">
        <f>COUNTIFS('Data For Calculation - Insuranc'!A:A,A211,'Data For Calculation - Insuranc'!E:E,"CPA + RSA : 5 Years")</f>
        <v>0</v>
      </c>
      <c r="AD211" s="30" t="s">
        <v>3856</v>
      </c>
      <c r="AE211" s="31">
        <v>939.0</v>
      </c>
      <c r="AF211" s="34" t="s">
        <v>3853</v>
      </c>
      <c r="AG211" s="34">
        <v>0.0</v>
      </c>
      <c r="AH211" s="34">
        <v>100.0</v>
      </c>
      <c r="AI211" s="34">
        <v>0.0</v>
      </c>
      <c r="AJ211" s="34">
        <v>0.0</v>
      </c>
      <c r="AK211" s="33">
        <f>COUNTIFS('Data For Calculation - Insuranc'!A:A,A211,'Data For Calculation - Insuranc'!E:E,"Assistance + CPA : 5 Years")</f>
        <v>0</v>
      </c>
      <c r="AL211" s="30" t="s">
        <v>3856</v>
      </c>
      <c r="AM211" s="31">
        <v>290.0</v>
      </c>
      <c r="AN211" s="34" t="s">
        <v>3853</v>
      </c>
      <c r="AO211" s="34">
        <v>0.0</v>
      </c>
      <c r="AP211" s="34">
        <v>100.0</v>
      </c>
      <c r="AQ211" s="34">
        <v>0.0</v>
      </c>
      <c r="AR211" s="34">
        <v>0.0</v>
      </c>
      <c r="AS211" s="33">
        <f>COUNTIFS('Data For Calculation - Insuranc'!A:A,A211,'Data For Calculation - Insuranc'!E:E,"RSA + AHDC + DOC")</f>
        <v>0</v>
      </c>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33">
        <f t="shared" si="1"/>
        <v>0</v>
      </c>
      <c r="BS211" s="33">
        <f>SUMIFS('Data For Calculation - Insuranc'!I:I,'Data For Calculation - Insuranc'!$A:$A,$A211)</f>
        <v>0</v>
      </c>
      <c r="BT211" s="33">
        <f>SUMIFS('Data For Calculation - Insuranc'!J:J,'Data For Calculation - Insuranc'!$A:$A,$A211)</f>
        <v>0</v>
      </c>
      <c r="BU211" s="33">
        <f>SUMIFS('Data For Calculation - Insuranc'!K:K,'Data For Calculation - Insuranc'!$A:$A,$A211)</f>
        <v>0</v>
      </c>
      <c r="BV211" s="33">
        <f>IF($CC211 = "Dealer", SUMIFS('Data For Calculation - Insuranc'!I:I,'Data For Calculation - Insuranc'!$B:$B,$A211,'Data For Calculation - Insuranc'!$H:$H,"Master Dealer")) + SUMIFS('Data For Calculation - Insuranc'!I:I,'Data For Calculation - Insuranc'!$A:$A,$A211,'Data For Calculation - Insuranc'!$H:$H,"Self")</f>
        <v>0</v>
      </c>
      <c r="BW211" s="33">
        <f>IF($CC211 = "Dealer", SUMIFS('Data For Calculation - Insuranc'!J:J,'Data For Calculation - Insuranc'!$B:$B,$A211,'Data For Calculation - Insuranc'!$H:$H,"Master Dealer")) + SUMIFS('Data For Calculation - Insuranc'!J:J,'Data For Calculation - Insuranc'!$A:$A,$A211,'Data For Calculation - Insuranc'!$H:$H,"Self")</f>
        <v>0</v>
      </c>
      <c r="BX211" s="33">
        <f>IF($CC211 = "Dealer", SUMIFS('Data For Calculation - Insuranc'!K:K,'Data For Calculation - Insuranc'!$B:$B,$A211,'Data For Calculation - Insuranc'!$H:$H,"Master Dealer")) + SUMIFS('Data For Calculation - Insuranc'!K:K,'Data For Calculation - Insuranc'!$A:$A,$A211,'Data For Calculation - Insuranc'!$H:$H,"Self")</f>
        <v>0</v>
      </c>
      <c r="BY211" s="25" t="str">
        <f>(Sheet1!N211)</f>
        <v>Vidhi Trading</v>
      </c>
      <c r="BZ211" s="25" t="str">
        <f>(Sheet1!O211)</f>
        <v>1RYX1vfvY0jbK-8SlRPLYU11dr-HUe2ntxj5PumL7c0I</v>
      </c>
      <c r="CA211" s="25" t="str">
        <f>(Sheet1!AV211)</f>
        <v/>
      </c>
      <c r="CB211" s="25" t="str">
        <f>(Sheet1!AW211)</f>
        <v/>
      </c>
      <c r="CC211" s="25" t="str">
        <f>(Sheet1!P211)</f>
        <v>Sub Dealer</v>
      </c>
    </row>
    <row r="212">
      <c r="A212" s="25" t="str">
        <f>(Sheet1!A212)</f>
        <v>1UEfgxxulqp3XdpHhzd5wSRwLxDHVUpADNPLxS1b2Hvo</v>
      </c>
      <c r="B212" s="25" t="str">
        <f>(Sheet1!B212)</f>
        <v>Mayank TEST</v>
      </c>
      <c r="C212" s="30" t="str">
        <f>Sheet1!BB212</f>
        <v>No</v>
      </c>
      <c r="D212" s="30" t="s">
        <v>13</v>
      </c>
      <c r="E212" s="34" t="s">
        <v>13</v>
      </c>
      <c r="F212" s="30" t="s">
        <v>3817</v>
      </c>
      <c r="G212" s="31">
        <v>290.0</v>
      </c>
      <c r="H212" s="34" t="s">
        <v>3853</v>
      </c>
      <c r="I212" s="34">
        <v>0.0</v>
      </c>
      <c r="J212" s="34">
        <v>100.0</v>
      </c>
      <c r="K212" s="34">
        <v>0.0</v>
      </c>
      <c r="L212" s="34">
        <v>0.0</v>
      </c>
      <c r="M212" s="33">
        <f>COUNTIFS('Data For Calculation - Insuranc'!A:A,A212,'Data For Calculation - Insuranc'!E:E,"CPA + RSA")</f>
        <v>0</v>
      </c>
      <c r="N212" s="30" t="s">
        <v>3854</v>
      </c>
      <c r="O212" s="31">
        <v>460.0</v>
      </c>
      <c r="P212" s="34" t="s">
        <v>3853</v>
      </c>
      <c r="Q212" s="34">
        <v>20.0</v>
      </c>
      <c r="R212" s="34">
        <v>60.0</v>
      </c>
      <c r="S212" s="34">
        <v>20.0</v>
      </c>
      <c r="T212" s="34">
        <v>20.0</v>
      </c>
      <c r="U212" s="33">
        <f>COUNTIFS('Data For Calculation - Insuranc'!A:A,A212,'Data For Calculation - Insuranc'!E:E,"CPA + RSA + AHDC + DOC")</f>
        <v>0</v>
      </c>
      <c r="V212" s="30" t="s">
        <v>3817</v>
      </c>
      <c r="W212" s="34">
        <v>838.99</v>
      </c>
      <c r="X212" s="34" t="s">
        <v>3853</v>
      </c>
      <c r="Y212" s="34">
        <v>0.0</v>
      </c>
      <c r="Z212" s="34">
        <v>100.0</v>
      </c>
      <c r="AA212" s="34">
        <v>0.0</v>
      </c>
      <c r="AB212" s="34">
        <v>0.0</v>
      </c>
      <c r="AC212" s="33">
        <f>COUNTIFS('Data For Calculation - Insuranc'!A:A,A212,'Data For Calculation - Insuranc'!E:E,"CPA + RSA : 5 Years")</f>
        <v>0</v>
      </c>
      <c r="AD212" s="30" t="s">
        <v>3817</v>
      </c>
      <c r="AE212" s="31">
        <v>838.99</v>
      </c>
      <c r="AF212" s="34" t="s">
        <v>3853</v>
      </c>
      <c r="AG212" s="34">
        <v>0.0</v>
      </c>
      <c r="AH212" s="34">
        <v>100.0</v>
      </c>
      <c r="AI212" s="34">
        <v>0.0</v>
      </c>
      <c r="AJ212" s="34">
        <v>0.0</v>
      </c>
      <c r="AK212" s="33">
        <f>COUNTIFS('Data For Calculation - Insuranc'!A:A,A212,'Data For Calculation - Insuranc'!E:E,"Assistance + CPA : 5 Years")</f>
        <v>0</v>
      </c>
      <c r="AL212" s="30" t="s">
        <v>3817</v>
      </c>
      <c r="AM212" s="31">
        <v>290.0</v>
      </c>
      <c r="AN212" s="34" t="s">
        <v>3853</v>
      </c>
      <c r="AO212" s="34">
        <v>0.0</v>
      </c>
      <c r="AP212" s="34">
        <v>100.0</v>
      </c>
      <c r="AQ212" s="34">
        <v>0.0</v>
      </c>
      <c r="AR212" s="34">
        <v>0.0</v>
      </c>
      <c r="AS212" s="33">
        <f>COUNTIFS('Data For Calculation - Insuranc'!A:A,A212,'Data For Calculation - Insuranc'!E:E,"RSA + AHDC + DOC")</f>
        <v>0</v>
      </c>
      <c r="AT212" s="33"/>
      <c r="AU212" s="33"/>
      <c r="AV212" s="33"/>
      <c r="AW212" s="33"/>
      <c r="AX212" s="33"/>
      <c r="AY212" s="33"/>
      <c r="AZ212" s="33"/>
      <c r="BA212" s="33"/>
      <c r="BB212" s="33"/>
      <c r="BC212" s="33"/>
      <c r="BD212" s="33"/>
      <c r="BE212" s="33"/>
      <c r="BF212" s="33"/>
      <c r="BG212" s="33"/>
      <c r="BH212" s="33"/>
      <c r="BI212" s="33"/>
      <c r="BJ212" s="33"/>
      <c r="BK212" s="33"/>
      <c r="BL212" s="33"/>
      <c r="BM212" s="33"/>
      <c r="BN212" s="33"/>
      <c r="BO212" s="33"/>
      <c r="BP212" s="33"/>
      <c r="BQ212" s="33"/>
      <c r="BR212" s="33">
        <f t="shared" si="1"/>
        <v>0</v>
      </c>
      <c r="BS212" s="33">
        <f>SUMIFS('Data For Calculation - Insuranc'!I:I,'Data For Calculation - Insuranc'!$A:$A,$A212)</f>
        <v>0</v>
      </c>
      <c r="BT212" s="33">
        <f>SUMIFS('Data For Calculation - Insuranc'!J:J,'Data For Calculation - Insuranc'!$A:$A,$A212)</f>
        <v>0</v>
      </c>
      <c r="BU212" s="33">
        <f>SUMIFS('Data For Calculation - Insuranc'!K:K,'Data For Calculation - Insuranc'!$A:$A,$A212)</f>
        <v>0</v>
      </c>
      <c r="BV212" s="33">
        <f>IF($CC212 = "Dealer", SUMIFS('Data For Calculation - Insuranc'!I:I,'Data For Calculation - Insuranc'!$B:$B,$A212,'Data For Calculation - Insuranc'!$H:$H,"Master Dealer")) + SUMIFS('Data For Calculation - Insuranc'!I:I,'Data For Calculation - Insuranc'!$A:$A,$A212,'Data For Calculation - Insuranc'!$H:$H,"Self")</f>
        <v>0</v>
      </c>
      <c r="BW212" s="33">
        <f>IF($CC212 = "Dealer", SUMIFS('Data For Calculation - Insuranc'!J:J,'Data For Calculation - Insuranc'!$B:$B,$A212,'Data For Calculation - Insuranc'!$H:$H,"Master Dealer")) + SUMIFS('Data For Calculation - Insuranc'!J:J,'Data For Calculation - Insuranc'!$A:$A,$A212,'Data For Calculation - Insuranc'!$H:$H,"Self")</f>
        <v>0</v>
      </c>
      <c r="BX212" s="33">
        <f>IF($CC212 = "Dealer", SUMIFS('Data For Calculation - Insuranc'!K:K,'Data For Calculation - Insuranc'!$B:$B,$A212,'Data For Calculation - Insuranc'!$H:$H,"Master Dealer")) + SUMIFS('Data For Calculation - Insuranc'!K:K,'Data For Calculation - Insuranc'!$A:$A,$A212,'Data For Calculation - Insuranc'!$H:$H,"Self")</f>
        <v>0</v>
      </c>
      <c r="BY212" s="25" t="str">
        <f>(Sheet1!N212)</f>
        <v>MPS</v>
      </c>
      <c r="BZ212" s="25" t="str">
        <f>(Sheet1!O212)</f>
        <v>1ClXh28BQwwGN7Q42xt0Dc8b_R_3jweBItLcbwVq3Rj0</v>
      </c>
      <c r="CA212" s="25" t="str">
        <f>(Sheet1!AV212)</f>
        <v/>
      </c>
      <c r="CB212" s="25" t="str">
        <f>(Sheet1!AW212)</f>
        <v/>
      </c>
      <c r="CC212" s="26" t="str">
        <f>(Sheet1!P212)</f>
        <v>Sub Dealer</v>
      </c>
    </row>
    <row r="213">
      <c r="A213" s="25" t="str">
        <f>(Sheet1!A213)</f>
        <v>1GSsoBjWtxEEY9Oe4QB_zfBq2Y31JMCHYWDUPZcHZ4Is</v>
      </c>
      <c r="B213" s="25" t="str">
        <f>(Sheet1!B213)</f>
        <v>Begusarai Auto Agencies - Begusarai</v>
      </c>
      <c r="C213" s="30" t="str">
        <f>Sheet1!BB213</f>
        <v>No</v>
      </c>
      <c r="D213" s="30" t="s">
        <v>13</v>
      </c>
      <c r="E213" s="34" t="s">
        <v>13</v>
      </c>
      <c r="F213" s="30" t="s">
        <v>3817</v>
      </c>
      <c r="G213" s="40">
        <v>205.0</v>
      </c>
      <c r="H213" s="34" t="s">
        <v>3853</v>
      </c>
      <c r="I213" s="34">
        <v>0.0</v>
      </c>
      <c r="J213" s="34">
        <v>100.0</v>
      </c>
      <c r="K213" s="34">
        <v>0.0</v>
      </c>
      <c r="L213" s="34">
        <v>0.0</v>
      </c>
      <c r="M213" s="33">
        <f>COUNTIFS('Data For Calculation - Insuranc'!A:A,A213,'Data For Calculation - Insuranc'!E:E,"CPA + RSA")</f>
        <v>0</v>
      </c>
      <c r="N213" s="30" t="s">
        <v>3817</v>
      </c>
      <c r="O213" s="31">
        <v>375.0</v>
      </c>
      <c r="P213" s="34" t="s">
        <v>3853</v>
      </c>
      <c r="Q213" s="34">
        <v>0.0</v>
      </c>
      <c r="R213" s="34">
        <v>100.0</v>
      </c>
      <c r="S213" s="34">
        <v>0.0</v>
      </c>
      <c r="T213" s="34">
        <v>0.0</v>
      </c>
      <c r="U213" s="33">
        <f>COUNTIFS('Data For Calculation - Insuranc'!A:A,A213,'Data For Calculation - Insuranc'!E:E,"CPA + RSA + AHDC + DOC")</f>
        <v>0</v>
      </c>
      <c r="V213" s="30" t="s">
        <v>3817</v>
      </c>
      <c r="W213" s="34">
        <v>838.99</v>
      </c>
      <c r="X213" s="34" t="s">
        <v>3853</v>
      </c>
      <c r="Y213" s="34">
        <v>0.0</v>
      </c>
      <c r="Z213" s="34">
        <v>100.0</v>
      </c>
      <c r="AA213" s="34">
        <v>0.0</v>
      </c>
      <c r="AB213" s="34">
        <v>0.0</v>
      </c>
      <c r="AC213" s="33">
        <f>COUNTIFS('Data For Calculation - Insuranc'!A:A,A213,'Data For Calculation - Insuranc'!E:E,"CPA + RSA : 5 Years")</f>
        <v>0</v>
      </c>
      <c r="AD213" s="30" t="s">
        <v>3817</v>
      </c>
      <c r="AE213" s="31">
        <v>838.99</v>
      </c>
      <c r="AF213" s="34" t="s">
        <v>3853</v>
      </c>
      <c r="AG213" s="34">
        <v>0.0</v>
      </c>
      <c r="AH213" s="34">
        <v>100.0</v>
      </c>
      <c r="AI213" s="34">
        <v>0.0</v>
      </c>
      <c r="AJ213" s="34">
        <v>0.0</v>
      </c>
      <c r="AK213" s="33">
        <f>COUNTIFS('Data For Calculation - Insuranc'!A:A,A213,'Data For Calculation - Insuranc'!E:E,"Assistance + CPA : 5 Years")</f>
        <v>0</v>
      </c>
      <c r="AL213" s="30" t="s">
        <v>3817</v>
      </c>
      <c r="AM213" s="31">
        <v>290.0</v>
      </c>
      <c r="AN213" s="34" t="s">
        <v>3853</v>
      </c>
      <c r="AO213" s="34">
        <v>0.0</v>
      </c>
      <c r="AP213" s="34">
        <v>100.0</v>
      </c>
      <c r="AQ213" s="34">
        <v>0.0</v>
      </c>
      <c r="AR213" s="34">
        <v>0.0</v>
      </c>
      <c r="AS213" s="33">
        <f>COUNTIFS('Data For Calculation - Insuranc'!A:A,A213,'Data For Calculation - Insuranc'!E:E,"RSA + AHDC + DOC")</f>
        <v>0</v>
      </c>
      <c r="AT213" s="33"/>
      <c r="AU213" s="33"/>
      <c r="AV213" s="33"/>
      <c r="AW213" s="33"/>
      <c r="AX213" s="33"/>
      <c r="AY213" s="33"/>
      <c r="AZ213" s="33"/>
      <c r="BA213" s="33"/>
      <c r="BB213" s="33"/>
      <c r="BC213" s="33"/>
      <c r="BD213" s="33"/>
      <c r="BE213" s="33"/>
      <c r="BF213" s="33"/>
      <c r="BG213" s="33"/>
      <c r="BH213" s="33"/>
      <c r="BI213" s="33"/>
      <c r="BJ213" s="33"/>
      <c r="BK213" s="33"/>
      <c r="BL213" s="33"/>
      <c r="BM213" s="33"/>
      <c r="BN213" s="33"/>
      <c r="BO213" s="33"/>
      <c r="BP213" s="33"/>
      <c r="BQ213" s="33"/>
      <c r="BR213" s="33">
        <f t="shared" si="1"/>
        <v>0</v>
      </c>
      <c r="BS213" s="33">
        <f>SUMIFS('Data For Calculation - Insuranc'!I:I,'Data For Calculation - Insuranc'!$A:$A,$A213)</f>
        <v>0</v>
      </c>
      <c r="BT213" s="33">
        <f>SUMIFS('Data For Calculation - Insuranc'!J:J,'Data For Calculation - Insuranc'!$A:$A,$A213)</f>
        <v>0</v>
      </c>
      <c r="BU213" s="33">
        <f>SUMIFS('Data For Calculation - Insuranc'!K:K,'Data For Calculation - Insuranc'!$A:$A,$A213)</f>
        <v>0</v>
      </c>
      <c r="BV213" s="33">
        <f>IF($CC213 = "Dealer", SUMIFS('Data For Calculation - Insuranc'!I:I,'Data For Calculation - Insuranc'!$B:$B,$A213,'Data For Calculation - Insuranc'!$H:$H,"Master Dealer")) + SUMIFS('Data For Calculation - Insuranc'!I:I,'Data For Calculation - Insuranc'!$A:$A,$A213,'Data For Calculation - Insuranc'!$H:$H,"Self")</f>
        <v>0</v>
      </c>
      <c r="BW213" s="33">
        <f>IF($CC213 = "Dealer", SUMIFS('Data For Calculation - Insuranc'!J:J,'Data For Calculation - Insuranc'!$B:$B,$A213,'Data For Calculation - Insuranc'!$H:$H,"Master Dealer")) + SUMIFS('Data For Calculation - Insuranc'!J:J,'Data For Calculation - Insuranc'!$A:$A,$A213,'Data For Calculation - Insuranc'!$H:$H,"Self")</f>
        <v>0</v>
      </c>
      <c r="BX213" s="33">
        <f>IF($CC213 = "Dealer", SUMIFS('Data For Calculation - Insuranc'!K:K,'Data For Calculation - Insuranc'!$B:$B,$A213,'Data For Calculation - Insuranc'!$H:$H,"Master Dealer")) + SUMIFS('Data For Calculation - Insuranc'!K:K,'Data For Calculation - Insuranc'!$A:$A,$A213,'Data For Calculation - Insuranc'!$H:$H,"Self")</f>
        <v>0</v>
      </c>
      <c r="BY213" s="25" t="str">
        <f>(Sheet1!N213)</f>
        <v>Begusarai Auto Agencies - Begusarai</v>
      </c>
      <c r="BZ213" s="25" t="str">
        <f>(Sheet1!O213)</f>
        <v>1GSsoBjWtxEEY9Oe4QB_zfBq2Y31JMCHYWDUPZcHZ4Is</v>
      </c>
      <c r="CA213" s="25" t="str">
        <f>(Sheet1!AV213)</f>
        <v/>
      </c>
      <c r="CB213" s="25" t="str">
        <f>(Sheet1!AW213)</f>
        <v/>
      </c>
      <c r="CC213" s="26" t="str">
        <f>(Sheet1!P213)</f>
        <v>Dealer</v>
      </c>
    </row>
    <row r="214">
      <c r="A214" s="25" t="str">
        <f>(Sheet1!A214)</f>
        <v>1cVGXbO2lp52NndvygvM_F7Cqcy0EMGxzT1ZUlpTQeiI</v>
      </c>
      <c r="B214" s="25" t="str">
        <f>(Sheet1!B214)</f>
        <v>BARABANKI MOTORS</v>
      </c>
      <c r="C214" s="30" t="str">
        <f>Sheet1!BB214</f>
        <v>No</v>
      </c>
      <c r="D214" s="30" t="s">
        <v>13</v>
      </c>
      <c r="E214" s="34" t="s">
        <v>13</v>
      </c>
      <c r="F214" s="25" t="s">
        <v>3820</v>
      </c>
      <c r="G214" s="31">
        <v>290.0</v>
      </c>
      <c r="H214" s="34" t="s">
        <v>3853</v>
      </c>
      <c r="I214" s="34">
        <v>0.0</v>
      </c>
      <c r="J214" s="34">
        <v>100.0</v>
      </c>
      <c r="K214" s="34">
        <v>0.0</v>
      </c>
      <c r="L214" s="34">
        <v>0.0</v>
      </c>
      <c r="M214" s="33">
        <f>COUNTIFS('Data For Calculation - Insuranc'!A:A,A214,'Data For Calculation - Insuranc'!E:E,"CPA + RSA")</f>
        <v>0</v>
      </c>
      <c r="N214" s="25" t="s">
        <v>3820</v>
      </c>
      <c r="O214" s="33">
        <v>460.0</v>
      </c>
      <c r="P214" s="34" t="s">
        <v>3853</v>
      </c>
      <c r="Q214" s="34">
        <v>0.0</v>
      </c>
      <c r="R214" s="34">
        <v>100.0</v>
      </c>
      <c r="S214" s="34">
        <v>0.0</v>
      </c>
      <c r="T214" s="34">
        <v>0.0</v>
      </c>
      <c r="U214" s="33">
        <f>COUNTIFS('Data For Calculation - Insuranc'!A:A,A214,'Data For Calculation - Insuranc'!E:E,"CPA + RSA + AHDC + DOC")</f>
        <v>0</v>
      </c>
      <c r="V214" s="25" t="s">
        <v>3820</v>
      </c>
      <c r="W214" s="33">
        <v>838.99</v>
      </c>
      <c r="X214" s="34" t="s">
        <v>3853</v>
      </c>
      <c r="Y214" s="34">
        <v>0.0</v>
      </c>
      <c r="Z214" s="34">
        <v>100.0</v>
      </c>
      <c r="AA214" s="34">
        <v>0.0</v>
      </c>
      <c r="AB214" s="34">
        <v>0.0</v>
      </c>
      <c r="AC214" s="33">
        <f>COUNTIFS('Data For Calculation - Insuranc'!A:A,A214,'Data For Calculation - Insuranc'!E:E,"CPA + RSA : 5 Years")</f>
        <v>0</v>
      </c>
      <c r="AD214" s="25" t="s">
        <v>3820</v>
      </c>
      <c r="AE214" s="33">
        <v>838.99</v>
      </c>
      <c r="AF214" s="34" t="s">
        <v>3853</v>
      </c>
      <c r="AG214" s="34">
        <v>0.0</v>
      </c>
      <c r="AH214" s="34">
        <v>100.0</v>
      </c>
      <c r="AI214" s="34">
        <v>0.0</v>
      </c>
      <c r="AJ214" s="34">
        <v>0.0</v>
      </c>
      <c r="AK214" s="33">
        <f>COUNTIFS('Data For Calculation - Insuranc'!A:A,A214,'Data For Calculation - Insuranc'!E:E,"Assistance + CPA : 5 Years")</f>
        <v>0</v>
      </c>
      <c r="AL214" s="25" t="s">
        <v>3820</v>
      </c>
      <c r="AM214" s="31">
        <v>290.0</v>
      </c>
      <c r="AN214" s="34" t="s">
        <v>3853</v>
      </c>
      <c r="AO214" s="34">
        <v>0.0</v>
      </c>
      <c r="AP214" s="34">
        <v>100.0</v>
      </c>
      <c r="AQ214" s="34">
        <v>0.0</v>
      </c>
      <c r="AR214" s="34">
        <v>0.0</v>
      </c>
      <c r="AS214" s="33">
        <f>COUNTIFS('Data For Calculation - Insuranc'!A:A,A214,'Data For Calculation - Insuranc'!E:E,"RSA + AHDC + DOC")</f>
        <v>0</v>
      </c>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33">
        <f t="shared" si="1"/>
        <v>0</v>
      </c>
      <c r="BS214" s="33">
        <f>SUMIFS('Data For Calculation - Insuranc'!I:I,'Data For Calculation - Insuranc'!$A:$A,$A214)</f>
        <v>0</v>
      </c>
      <c r="BT214" s="33">
        <f>SUMIFS('Data For Calculation - Insuranc'!J:J,'Data For Calculation - Insuranc'!$A:$A,$A214)</f>
        <v>0</v>
      </c>
      <c r="BU214" s="33">
        <f>SUMIFS('Data For Calculation - Insuranc'!K:K,'Data For Calculation - Insuranc'!$A:$A,$A214)</f>
        <v>0</v>
      </c>
      <c r="BV214" s="33">
        <f>IF($CC214 = "Dealer", SUMIFS('Data For Calculation - Insuranc'!I:I,'Data For Calculation - Insuranc'!$B:$B,$A214,'Data For Calculation - Insuranc'!$H:$H,"Master Dealer")) + SUMIFS('Data For Calculation - Insuranc'!I:I,'Data For Calculation - Insuranc'!$A:$A,$A214,'Data For Calculation - Insuranc'!$H:$H,"Self")</f>
        <v>0</v>
      </c>
      <c r="BW214" s="33">
        <f>IF($CC214 = "Dealer", SUMIFS('Data For Calculation - Insuranc'!J:J,'Data For Calculation - Insuranc'!$B:$B,$A214,'Data For Calculation - Insuranc'!$H:$H,"Master Dealer")) + SUMIFS('Data For Calculation - Insuranc'!J:J,'Data For Calculation - Insuranc'!$A:$A,$A214,'Data For Calculation - Insuranc'!$H:$H,"Self")</f>
        <v>0</v>
      </c>
      <c r="BX214" s="33">
        <f>IF($CC214 = "Dealer", SUMIFS('Data For Calculation - Insuranc'!K:K,'Data For Calculation - Insuranc'!$B:$B,$A214,'Data For Calculation - Insuranc'!$H:$H,"Master Dealer")) + SUMIFS('Data For Calculation - Insuranc'!K:K,'Data For Calculation - Insuranc'!$A:$A,$A214,'Data For Calculation - Insuranc'!$H:$H,"Self")</f>
        <v>0</v>
      </c>
      <c r="BY214" s="25" t="str">
        <f>(Sheet1!N214)</f>
        <v>BARABANKI MOTORS</v>
      </c>
      <c r="BZ214" s="25" t="str">
        <f>(Sheet1!O214)</f>
        <v>1cVGXbO2lp52NndvygvM_F7Cqcy0EMGxzT1ZUlpTQeiI</v>
      </c>
      <c r="CA214" s="25" t="str">
        <f>(Sheet1!AV214)</f>
        <v/>
      </c>
      <c r="CB214" s="25" t="str">
        <f>(Sheet1!AW214)</f>
        <v/>
      </c>
      <c r="CC214" s="25" t="str">
        <f>(Sheet1!P214)</f>
        <v>Dealer</v>
      </c>
    </row>
    <row r="215">
      <c r="A215" s="25" t="str">
        <f>(Sheet1!A215)</f>
        <v>189IwjZKbhxdfpCM3_XZAiWsKnV1TiiKuwuI8GFe4AH0</v>
      </c>
      <c r="B215" s="25" t="str">
        <f>(Sheet1!B215)</f>
        <v>Bombay Automobiles- RAEBARELI</v>
      </c>
      <c r="C215" s="30" t="str">
        <f>Sheet1!BB215</f>
        <v>No</v>
      </c>
      <c r="D215" s="30" t="s">
        <v>13</v>
      </c>
      <c r="E215" s="34" t="s">
        <v>13</v>
      </c>
      <c r="F215" s="25" t="s">
        <v>3820</v>
      </c>
      <c r="G215" s="31">
        <v>290.0</v>
      </c>
      <c r="H215" s="34" t="s">
        <v>3853</v>
      </c>
      <c r="I215" s="34">
        <v>0.0</v>
      </c>
      <c r="J215" s="34">
        <v>100.0</v>
      </c>
      <c r="K215" s="34">
        <v>0.0</v>
      </c>
      <c r="L215" s="34">
        <v>0.0</v>
      </c>
      <c r="M215" s="33">
        <f>COUNTIFS('Data For Calculation - Insuranc'!A:A,A215,'Data For Calculation - Insuranc'!E:E,"CPA + RSA")</f>
        <v>0</v>
      </c>
      <c r="N215" s="25" t="s">
        <v>3820</v>
      </c>
      <c r="O215" s="33">
        <v>460.0</v>
      </c>
      <c r="P215" s="34" t="s">
        <v>3853</v>
      </c>
      <c r="Q215" s="34">
        <v>0.0</v>
      </c>
      <c r="R215" s="34">
        <v>100.0</v>
      </c>
      <c r="S215" s="34">
        <v>0.0</v>
      </c>
      <c r="T215" s="34">
        <v>0.0</v>
      </c>
      <c r="U215" s="33">
        <f>COUNTIFS('Data For Calculation - Insuranc'!A:A,A215,'Data For Calculation - Insuranc'!E:E,"CPA + RSA + AHDC + DOC")</f>
        <v>0</v>
      </c>
      <c r="V215" s="25" t="s">
        <v>3820</v>
      </c>
      <c r="W215" s="33">
        <v>838.99</v>
      </c>
      <c r="X215" s="34" t="s">
        <v>3853</v>
      </c>
      <c r="Y215" s="34">
        <v>0.0</v>
      </c>
      <c r="Z215" s="34">
        <v>100.0</v>
      </c>
      <c r="AA215" s="34">
        <v>0.0</v>
      </c>
      <c r="AB215" s="34">
        <v>0.0</v>
      </c>
      <c r="AC215" s="33">
        <f>COUNTIFS('Data For Calculation - Insuranc'!A:A,A215,'Data For Calculation - Insuranc'!E:E,"CPA + RSA : 5 Years")</f>
        <v>0</v>
      </c>
      <c r="AD215" s="25" t="s">
        <v>3820</v>
      </c>
      <c r="AE215" s="33">
        <v>838.99</v>
      </c>
      <c r="AF215" s="34" t="s">
        <v>3853</v>
      </c>
      <c r="AG215" s="34">
        <v>0.0</v>
      </c>
      <c r="AH215" s="34">
        <v>100.0</v>
      </c>
      <c r="AI215" s="34">
        <v>0.0</v>
      </c>
      <c r="AJ215" s="34">
        <v>0.0</v>
      </c>
      <c r="AK215" s="33">
        <f>COUNTIFS('Data For Calculation - Insuranc'!A:A,A215,'Data For Calculation - Insuranc'!E:E,"Assistance + CPA : 5 Years")</f>
        <v>0</v>
      </c>
      <c r="AL215" s="25" t="s">
        <v>3820</v>
      </c>
      <c r="AM215" s="31">
        <v>290.0</v>
      </c>
      <c r="AN215" s="34" t="s">
        <v>3853</v>
      </c>
      <c r="AO215" s="34">
        <v>0.0</v>
      </c>
      <c r="AP215" s="34">
        <v>100.0</v>
      </c>
      <c r="AQ215" s="34">
        <v>0.0</v>
      </c>
      <c r="AR215" s="34">
        <v>0.0</v>
      </c>
      <c r="AS215" s="33">
        <f>COUNTIFS('Data For Calculation - Insuranc'!A:A,A215,'Data For Calculation - Insuranc'!E:E,"RSA + AHDC + DOC")</f>
        <v>0</v>
      </c>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33">
        <f t="shared" si="1"/>
        <v>0</v>
      </c>
      <c r="BS215" s="33">
        <f>SUMIFS('Data For Calculation - Insuranc'!I:I,'Data For Calculation - Insuranc'!$A:$A,$A215)</f>
        <v>0</v>
      </c>
      <c r="BT215" s="33">
        <f>SUMIFS('Data For Calculation - Insuranc'!J:J,'Data For Calculation - Insuranc'!$A:$A,$A215)</f>
        <v>0</v>
      </c>
      <c r="BU215" s="33">
        <f>SUMIFS('Data For Calculation - Insuranc'!K:K,'Data For Calculation - Insuranc'!$A:$A,$A215)</f>
        <v>0</v>
      </c>
      <c r="BV215" s="33">
        <f>IF($CC215 = "Dealer", SUMIFS('Data For Calculation - Insuranc'!I:I,'Data For Calculation - Insuranc'!$B:$B,$A215,'Data For Calculation - Insuranc'!$H:$H,"Master Dealer")) + SUMIFS('Data For Calculation - Insuranc'!I:I,'Data For Calculation - Insuranc'!$A:$A,$A215,'Data For Calculation - Insuranc'!$H:$H,"Self")</f>
        <v>0</v>
      </c>
      <c r="BW215" s="33">
        <f>IF($CC215 = "Dealer", SUMIFS('Data For Calculation - Insuranc'!J:J,'Data For Calculation - Insuranc'!$B:$B,$A215,'Data For Calculation - Insuranc'!$H:$H,"Master Dealer")) + SUMIFS('Data For Calculation - Insuranc'!J:J,'Data For Calculation - Insuranc'!$A:$A,$A215,'Data For Calculation - Insuranc'!$H:$H,"Self")</f>
        <v>0</v>
      </c>
      <c r="BX215" s="33">
        <f>IF($CC215 = "Dealer", SUMIFS('Data For Calculation - Insuranc'!K:K,'Data For Calculation - Insuranc'!$B:$B,$A215,'Data For Calculation - Insuranc'!$H:$H,"Master Dealer")) + SUMIFS('Data For Calculation - Insuranc'!K:K,'Data For Calculation - Insuranc'!$A:$A,$A215,'Data For Calculation - Insuranc'!$H:$H,"Self")</f>
        <v>0</v>
      </c>
      <c r="BY215" s="25" t="str">
        <f>(Sheet1!N215)</f>
        <v>Bombay Automobiles- RAEBARELI</v>
      </c>
      <c r="BZ215" s="25" t="str">
        <f>(Sheet1!O215)</f>
        <v>189IwjZKbhxdfpCM3_XZAiWsKnV1TiiKuwuI8GFe4AH0</v>
      </c>
      <c r="CA215" s="25" t="str">
        <f>(Sheet1!AV215)</f>
        <v/>
      </c>
      <c r="CB215" s="25" t="str">
        <f>(Sheet1!AW215)</f>
        <v/>
      </c>
      <c r="CC215" s="25" t="str">
        <f>(Sheet1!P215)</f>
        <v>Dealer</v>
      </c>
    </row>
    <row r="216">
      <c r="A216" s="25" t="str">
        <f>(Sheet1!A216)</f>
        <v>10FVvx9Av8wfEkk7tdoP2PF6PtATj8pRZnm-XwFei7iM</v>
      </c>
      <c r="B216" s="25" t="str">
        <f>(Sheet1!B216)</f>
        <v>A.K Automobile(AM) - Taligram</v>
      </c>
      <c r="C216" s="30" t="str">
        <f>Sheet1!BB216</f>
        <v>No</v>
      </c>
      <c r="D216" s="30" t="s">
        <v>13</v>
      </c>
      <c r="E216" s="34" t="s">
        <v>13</v>
      </c>
      <c r="F216" s="25" t="s">
        <v>3820</v>
      </c>
      <c r="G216" s="31">
        <v>205.0</v>
      </c>
      <c r="H216" s="34" t="s">
        <v>3853</v>
      </c>
      <c r="I216" s="34">
        <v>0.0</v>
      </c>
      <c r="J216" s="34">
        <v>100.0</v>
      </c>
      <c r="K216" s="34">
        <v>0.0</v>
      </c>
      <c r="L216" s="34">
        <v>0.0</v>
      </c>
      <c r="M216" s="33">
        <f>COUNTIFS('Data For Calculation - Insuranc'!A:A,A216,'Data For Calculation - Insuranc'!E:E,"CPA + RSA")</f>
        <v>0</v>
      </c>
      <c r="N216" s="25" t="s">
        <v>3820</v>
      </c>
      <c r="O216" s="33">
        <v>460.0</v>
      </c>
      <c r="P216" s="34" t="s">
        <v>3853</v>
      </c>
      <c r="Q216" s="34">
        <v>0.0</v>
      </c>
      <c r="R216" s="34">
        <v>100.0</v>
      </c>
      <c r="S216" s="34">
        <v>0.0</v>
      </c>
      <c r="T216" s="34">
        <v>0.0</v>
      </c>
      <c r="U216" s="33">
        <f>COUNTIFS('Data For Calculation - Insuranc'!A:A,A216,'Data For Calculation - Insuranc'!E:E,"CPA + RSA + AHDC + DOC")</f>
        <v>0</v>
      </c>
      <c r="V216" s="25" t="s">
        <v>3820</v>
      </c>
      <c r="W216" s="33">
        <v>838.99</v>
      </c>
      <c r="X216" s="34" t="s">
        <v>3853</v>
      </c>
      <c r="Y216" s="34">
        <v>0.0</v>
      </c>
      <c r="Z216" s="34">
        <v>100.0</v>
      </c>
      <c r="AA216" s="34">
        <v>0.0</v>
      </c>
      <c r="AB216" s="34">
        <v>0.0</v>
      </c>
      <c r="AC216" s="33">
        <f>COUNTIFS('Data For Calculation - Insuranc'!A:A,A216,'Data For Calculation - Insuranc'!E:E,"CPA + RSA : 5 Years")</f>
        <v>0</v>
      </c>
      <c r="AD216" s="25" t="s">
        <v>3820</v>
      </c>
      <c r="AE216" s="33">
        <v>838.99</v>
      </c>
      <c r="AF216" s="34" t="s">
        <v>3853</v>
      </c>
      <c r="AG216" s="34">
        <v>0.0</v>
      </c>
      <c r="AH216" s="34">
        <v>100.0</v>
      </c>
      <c r="AI216" s="34">
        <v>0.0</v>
      </c>
      <c r="AJ216" s="34">
        <v>0.0</v>
      </c>
      <c r="AK216" s="33">
        <f>COUNTIFS('Data For Calculation - Insuranc'!A:A,A216,'Data For Calculation - Insuranc'!E:E,"Assistance + CPA : 5 Years")</f>
        <v>0</v>
      </c>
      <c r="AL216" s="25" t="s">
        <v>3820</v>
      </c>
      <c r="AM216" s="31">
        <v>290.0</v>
      </c>
      <c r="AN216" s="34" t="s">
        <v>3853</v>
      </c>
      <c r="AO216" s="34">
        <v>0.0</v>
      </c>
      <c r="AP216" s="34">
        <v>100.0</v>
      </c>
      <c r="AQ216" s="34">
        <v>0.0</v>
      </c>
      <c r="AR216" s="34">
        <v>0.0</v>
      </c>
      <c r="AS216" s="33">
        <f>COUNTIFS('Data For Calculation - Insuranc'!A:A,A216,'Data For Calculation - Insuranc'!E:E,"RSA + AHDC + DOC")</f>
        <v>0</v>
      </c>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33">
        <f t="shared" si="1"/>
        <v>0</v>
      </c>
      <c r="BS216" s="33">
        <f>SUMIFS('Data For Calculation - Insuranc'!I:I,'Data For Calculation - Insuranc'!$A:$A,$A216)</f>
        <v>0</v>
      </c>
      <c r="BT216" s="33">
        <f>SUMIFS('Data For Calculation - Insuranc'!J:J,'Data For Calculation - Insuranc'!$A:$A,$A216)</f>
        <v>0</v>
      </c>
      <c r="BU216" s="33">
        <f>SUMIFS('Data For Calculation - Insuranc'!K:K,'Data For Calculation - Insuranc'!$A:$A,$A216)</f>
        <v>0</v>
      </c>
      <c r="BV216" s="33">
        <f>IF($CC216 = "Dealer", SUMIFS('Data For Calculation - Insuranc'!I:I,'Data For Calculation - Insuranc'!$B:$B,$A216,'Data For Calculation - Insuranc'!$H:$H,"Master Dealer")) + SUMIFS('Data For Calculation - Insuranc'!I:I,'Data For Calculation - Insuranc'!$A:$A,$A216,'Data For Calculation - Insuranc'!$H:$H,"Self")</f>
        <v>0</v>
      </c>
      <c r="BW216" s="33">
        <f>IF($CC216 = "Dealer", SUMIFS('Data For Calculation - Insuranc'!J:J,'Data For Calculation - Insuranc'!$B:$B,$A216,'Data For Calculation - Insuranc'!$H:$H,"Master Dealer")) + SUMIFS('Data For Calculation - Insuranc'!J:J,'Data For Calculation - Insuranc'!$A:$A,$A216,'Data For Calculation - Insuranc'!$H:$H,"Self")</f>
        <v>0</v>
      </c>
      <c r="BX216" s="33">
        <f>IF($CC216 = "Dealer", SUMIFS('Data For Calculation - Insuranc'!K:K,'Data For Calculation - Insuranc'!$B:$B,$A216,'Data For Calculation - Insuranc'!$H:$H,"Master Dealer")) + SUMIFS('Data For Calculation - Insuranc'!K:K,'Data For Calculation - Insuranc'!$A:$A,$A216,'Data For Calculation - Insuranc'!$H:$H,"Self")</f>
        <v>0</v>
      </c>
      <c r="BY216" s="25" t="str">
        <f>(Sheet1!N216)</f>
        <v>Asha Motor - Kannauj</v>
      </c>
      <c r="BZ216" s="25" t="str">
        <f>(Sheet1!O216)</f>
        <v>1hlnCiW64Y7uZNVOj2ewyfTULbWj1dUaXX2rUREx8W8o</v>
      </c>
      <c r="CA216" s="25" t="str">
        <f>(Sheet1!AV216)</f>
        <v/>
      </c>
      <c r="CB216" s="25" t="str">
        <f>(Sheet1!AW216)</f>
        <v/>
      </c>
      <c r="CC216" s="25" t="str">
        <f>(Sheet1!P216)</f>
        <v>Sub Dealer</v>
      </c>
    </row>
    <row r="217">
      <c r="A217" s="25" t="str">
        <f>(Sheet1!A217)</f>
        <v>19J_y8BUN9RSe9TTg9cxKYBBv29Tfi7RwvKo8Va7MJRQ</v>
      </c>
      <c r="B217" s="25" t="str">
        <f>(Sheet1!B217)</f>
        <v>Kshitij Auto Wheelers - Mirzapur</v>
      </c>
      <c r="C217" s="30" t="str">
        <f>Sheet1!BB217</f>
        <v>No</v>
      </c>
      <c r="D217" s="30" t="s">
        <v>13</v>
      </c>
      <c r="E217" s="34" t="s">
        <v>13</v>
      </c>
      <c r="F217" s="25" t="s">
        <v>3820</v>
      </c>
      <c r="G217" s="31">
        <v>205.0</v>
      </c>
      <c r="H217" s="34" t="s">
        <v>3853</v>
      </c>
      <c r="I217" s="34">
        <v>0.0</v>
      </c>
      <c r="J217" s="34">
        <v>100.0</v>
      </c>
      <c r="K217" s="34">
        <v>0.0</v>
      </c>
      <c r="L217" s="34">
        <v>0.0</v>
      </c>
      <c r="M217" s="33">
        <f>COUNTIFS('Data For Calculation - Insuranc'!A:A,A217,'Data For Calculation - Insuranc'!E:E,"CPA + RSA")</f>
        <v>0</v>
      </c>
      <c r="N217" s="25" t="s">
        <v>3820</v>
      </c>
      <c r="O217" s="33">
        <v>460.0</v>
      </c>
      <c r="P217" s="34" t="s">
        <v>3853</v>
      </c>
      <c r="Q217" s="34">
        <v>0.0</v>
      </c>
      <c r="R217" s="34">
        <v>100.0</v>
      </c>
      <c r="S217" s="34">
        <v>0.0</v>
      </c>
      <c r="T217" s="34">
        <v>0.0</v>
      </c>
      <c r="U217" s="33">
        <f>COUNTIFS('Data For Calculation - Insuranc'!A:A,A217,'Data For Calculation - Insuranc'!E:E,"CPA + RSA + AHDC + DOC")</f>
        <v>0</v>
      </c>
      <c r="V217" s="25" t="s">
        <v>3820</v>
      </c>
      <c r="W217" s="33">
        <v>838.99</v>
      </c>
      <c r="X217" s="34" t="s">
        <v>3853</v>
      </c>
      <c r="Y217" s="34">
        <v>0.0</v>
      </c>
      <c r="Z217" s="34">
        <v>100.0</v>
      </c>
      <c r="AA217" s="34">
        <v>0.0</v>
      </c>
      <c r="AB217" s="34">
        <v>0.0</v>
      </c>
      <c r="AC217" s="33">
        <f>COUNTIFS('Data For Calculation - Insuranc'!A:A,A217,'Data For Calculation - Insuranc'!E:E,"CPA + RSA : 5 Years")</f>
        <v>0</v>
      </c>
      <c r="AD217" s="25" t="s">
        <v>3820</v>
      </c>
      <c r="AE217" s="33">
        <v>838.99</v>
      </c>
      <c r="AF217" s="34" t="s">
        <v>3853</v>
      </c>
      <c r="AG217" s="34">
        <v>0.0</v>
      </c>
      <c r="AH217" s="34">
        <v>100.0</v>
      </c>
      <c r="AI217" s="34">
        <v>0.0</v>
      </c>
      <c r="AJ217" s="34">
        <v>0.0</v>
      </c>
      <c r="AK217" s="33">
        <f>COUNTIFS('Data For Calculation - Insuranc'!A:A,A217,'Data For Calculation - Insuranc'!E:E,"Assistance + CPA : 5 Years")</f>
        <v>0</v>
      </c>
      <c r="AL217" s="25" t="s">
        <v>3820</v>
      </c>
      <c r="AM217" s="31">
        <v>290.0</v>
      </c>
      <c r="AN217" s="34" t="s">
        <v>3853</v>
      </c>
      <c r="AO217" s="34">
        <v>0.0</v>
      </c>
      <c r="AP217" s="34">
        <v>100.0</v>
      </c>
      <c r="AQ217" s="34">
        <v>0.0</v>
      </c>
      <c r="AR217" s="34">
        <v>0.0</v>
      </c>
      <c r="AS217" s="33">
        <f>COUNTIFS('Data For Calculation - Insuranc'!A:A,A217,'Data For Calculation - Insuranc'!E:E,"RSA + AHDC + DOC")</f>
        <v>0</v>
      </c>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33">
        <f t="shared" si="1"/>
        <v>0</v>
      </c>
      <c r="BS217" s="33">
        <f>SUMIFS('Data For Calculation - Insuranc'!I:I,'Data For Calculation - Insuranc'!$A:$A,$A217)</f>
        <v>0</v>
      </c>
      <c r="BT217" s="33">
        <f>SUMIFS('Data For Calculation - Insuranc'!J:J,'Data For Calculation - Insuranc'!$A:$A,$A217)</f>
        <v>0</v>
      </c>
      <c r="BU217" s="33">
        <f>SUMIFS('Data For Calculation - Insuranc'!K:K,'Data For Calculation - Insuranc'!$A:$A,$A217)</f>
        <v>0</v>
      </c>
      <c r="BV217" s="33">
        <f>IF($CC217 = "Dealer", SUMIFS('Data For Calculation - Insuranc'!I:I,'Data For Calculation - Insuranc'!$B:$B,$A217,'Data For Calculation - Insuranc'!$H:$H,"Master Dealer")) + SUMIFS('Data For Calculation - Insuranc'!I:I,'Data For Calculation - Insuranc'!$A:$A,$A217,'Data For Calculation - Insuranc'!$H:$H,"Self")</f>
        <v>0</v>
      </c>
      <c r="BW217" s="33">
        <f>IF($CC217 = "Dealer", SUMIFS('Data For Calculation - Insuranc'!J:J,'Data For Calculation - Insuranc'!$B:$B,$A217,'Data For Calculation - Insuranc'!$H:$H,"Master Dealer")) + SUMIFS('Data For Calculation - Insuranc'!J:J,'Data For Calculation - Insuranc'!$A:$A,$A217,'Data For Calculation - Insuranc'!$H:$H,"Self")</f>
        <v>0</v>
      </c>
      <c r="BX217" s="33">
        <f>IF($CC217 = "Dealer", SUMIFS('Data For Calculation - Insuranc'!K:K,'Data For Calculation - Insuranc'!$B:$B,$A217,'Data For Calculation - Insuranc'!$H:$H,"Master Dealer")) + SUMIFS('Data For Calculation - Insuranc'!K:K,'Data For Calculation - Insuranc'!$A:$A,$A217,'Data For Calculation - Insuranc'!$H:$H,"Self")</f>
        <v>0</v>
      </c>
      <c r="BY217" s="25" t="str">
        <f>(Sheet1!N217)</f>
        <v>Kshitij Auto Wheelers - Mirzapur</v>
      </c>
      <c r="BZ217" s="25" t="str">
        <f>(Sheet1!O217)</f>
        <v>19J_y8BUN9RSe9TTg9cxKYBBv29Tfi7RwvKo8Va7MJRQ</v>
      </c>
      <c r="CA217" s="25" t="str">
        <f>(Sheet1!AV217)</f>
        <v/>
      </c>
      <c r="CB217" s="25" t="str">
        <f>(Sheet1!AW217)</f>
        <v/>
      </c>
      <c r="CC217" s="25" t="str">
        <f>(Sheet1!P217)</f>
        <v>Dealer</v>
      </c>
    </row>
    <row r="218">
      <c r="A218" s="25" t="str">
        <f>(Sheet1!A218)</f>
        <v>1pIkLTEq99ZID0V0k8H0hOFXZDJQMaAoy2fsIol-e81k</v>
      </c>
      <c r="B218" s="25" t="str">
        <f>(Sheet1!B218)</f>
        <v>NITIN MATANHELIA - GORAKHPUR</v>
      </c>
      <c r="C218" s="30" t="str">
        <f>Sheet1!BB218</f>
        <v>No</v>
      </c>
      <c r="D218" s="30" t="s">
        <v>13</v>
      </c>
      <c r="E218" s="34" t="s">
        <v>13</v>
      </c>
      <c r="F218" s="25" t="s">
        <v>3820</v>
      </c>
      <c r="G218" s="31">
        <v>205.0</v>
      </c>
      <c r="H218" s="34" t="s">
        <v>3853</v>
      </c>
      <c r="I218" s="34">
        <v>0.0</v>
      </c>
      <c r="J218" s="34">
        <v>100.0</v>
      </c>
      <c r="K218" s="34">
        <v>0.0</v>
      </c>
      <c r="L218" s="34">
        <v>0.0</v>
      </c>
      <c r="M218" s="33">
        <f>COUNTIFS('Data For Calculation - Insuranc'!A:A,A218,'Data For Calculation - Insuranc'!E:E,"CPA + RSA")</f>
        <v>0</v>
      </c>
      <c r="N218" s="25" t="s">
        <v>3820</v>
      </c>
      <c r="O218" s="33">
        <v>460.0</v>
      </c>
      <c r="P218" s="34" t="s">
        <v>3853</v>
      </c>
      <c r="Q218" s="34">
        <v>0.0</v>
      </c>
      <c r="R218" s="34">
        <v>100.0</v>
      </c>
      <c r="S218" s="34">
        <v>0.0</v>
      </c>
      <c r="T218" s="34">
        <v>0.0</v>
      </c>
      <c r="U218" s="33">
        <f>COUNTIFS('Data For Calculation - Insuranc'!A:A,A218,'Data For Calculation - Insuranc'!E:E,"CPA + RSA + AHDC + DOC")</f>
        <v>0</v>
      </c>
      <c r="V218" s="25" t="s">
        <v>3820</v>
      </c>
      <c r="W218" s="33">
        <v>838.99</v>
      </c>
      <c r="X218" s="34" t="s">
        <v>3853</v>
      </c>
      <c r="Y218" s="34">
        <v>0.0</v>
      </c>
      <c r="Z218" s="34">
        <v>100.0</v>
      </c>
      <c r="AA218" s="34">
        <v>0.0</v>
      </c>
      <c r="AB218" s="34">
        <v>0.0</v>
      </c>
      <c r="AC218" s="33">
        <f>COUNTIFS('Data For Calculation - Insuranc'!A:A,A218,'Data For Calculation - Insuranc'!E:E,"CPA + RSA : 5 Years")</f>
        <v>0</v>
      </c>
      <c r="AD218" s="25" t="s">
        <v>3820</v>
      </c>
      <c r="AE218" s="33">
        <v>838.99</v>
      </c>
      <c r="AF218" s="34" t="s">
        <v>3853</v>
      </c>
      <c r="AG218" s="34">
        <v>0.0</v>
      </c>
      <c r="AH218" s="34">
        <v>100.0</v>
      </c>
      <c r="AI218" s="34">
        <v>0.0</v>
      </c>
      <c r="AJ218" s="34">
        <v>0.0</v>
      </c>
      <c r="AK218" s="33">
        <f>COUNTIFS('Data For Calculation - Insuranc'!A:A,A218,'Data For Calculation - Insuranc'!E:E,"Assistance + CPA : 5 Years")</f>
        <v>0</v>
      </c>
      <c r="AL218" s="25" t="s">
        <v>3820</v>
      </c>
      <c r="AM218" s="31">
        <v>290.0</v>
      </c>
      <c r="AN218" s="34" t="s">
        <v>3853</v>
      </c>
      <c r="AO218" s="34">
        <v>0.0</v>
      </c>
      <c r="AP218" s="34">
        <v>100.0</v>
      </c>
      <c r="AQ218" s="34">
        <v>0.0</v>
      </c>
      <c r="AR218" s="34">
        <v>0.0</v>
      </c>
      <c r="AS218" s="33">
        <f>COUNTIFS('Data For Calculation - Insuranc'!A:A,A218,'Data For Calculation - Insuranc'!E:E,"RSA + AHDC + DOC")</f>
        <v>0</v>
      </c>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33">
        <f t="shared" si="1"/>
        <v>0</v>
      </c>
      <c r="BS218" s="33">
        <f>SUMIFS('Data For Calculation - Insuranc'!I:I,'Data For Calculation - Insuranc'!$A:$A,$A218)</f>
        <v>0</v>
      </c>
      <c r="BT218" s="33">
        <f>SUMIFS('Data For Calculation - Insuranc'!J:J,'Data For Calculation - Insuranc'!$A:$A,$A218)</f>
        <v>0</v>
      </c>
      <c r="BU218" s="33">
        <f>SUMIFS('Data For Calculation - Insuranc'!K:K,'Data For Calculation - Insuranc'!$A:$A,$A218)</f>
        <v>0</v>
      </c>
      <c r="BV218" s="33">
        <f>IF($CC218 = "Dealer", SUMIFS('Data For Calculation - Insuranc'!I:I,'Data For Calculation - Insuranc'!$B:$B,$A218,'Data For Calculation - Insuranc'!$H:$H,"Master Dealer")) + SUMIFS('Data For Calculation - Insuranc'!I:I,'Data For Calculation - Insuranc'!$A:$A,$A218,'Data For Calculation - Insuranc'!$H:$H,"Self")</f>
        <v>0</v>
      </c>
      <c r="BW218" s="33">
        <f>IF($CC218 = "Dealer", SUMIFS('Data For Calculation - Insuranc'!J:J,'Data For Calculation - Insuranc'!$B:$B,$A218,'Data For Calculation - Insuranc'!$H:$H,"Master Dealer")) + SUMIFS('Data For Calculation - Insuranc'!J:J,'Data For Calculation - Insuranc'!$A:$A,$A218,'Data For Calculation - Insuranc'!$H:$H,"Self")</f>
        <v>0</v>
      </c>
      <c r="BX218" s="33">
        <f>IF($CC218 = "Dealer", SUMIFS('Data For Calculation - Insuranc'!K:K,'Data For Calculation - Insuranc'!$B:$B,$A218,'Data For Calculation - Insuranc'!$H:$H,"Master Dealer")) + SUMIFS('Data For Calculation - Insuranc'!K:K,'Data For Calculation - Insuranc'!$A:$A,$A218,'Data For Calculation - Insuranc'!$H:$H,"Self")</f>
        <v>0</v>
      </c>
      <c r="BY218" s="25" t="str">
        <f>(Sheet1!N218)</f>
        <v>NITIN MATANHELIA - GORAKHPUR</v>
      </c>
      <c r="BZ218" s="25" t="str">
        <f>(Sheet1!O218)</f>
        <v>1pIkLTEq99ZID0V0k8H0hOFXZDJQMaAoy2fsIol-e81k</v>
      </c>
      <c r="CA218" s="25" t="str">
        <f>(Sheet1!AV218)</f>
        <v/>
      </c>
      <c r="CB218" s="25" t="str">
        <f>(Sheet1!AW218)</f>
        <v/>
      </c>
      <c r="CC218" s="25" t="str">
        <f>(Sheet1!P218)</f>
        <v>Dealer</v>
      </c>
    </row>
    <row r="219">
      <c r="A219" s="25" t="str">
        <f>(Sheet1!A219)</f>
        <v>15TCKogSV6eLWZg1o0BLy9c__at_HGv_nwylQpiLk1k0</v>
      </c>
      <c r="B219" s="25" t="str">
        <f>(Sheet1!B219)</f>
        <v>Shivam Automobile - Chakia</v>
      </c>
      <c r="C219" s="30" t="str">
        <f>Sheet1!BB219</f>
        <v>No</v>
      </c>
      <c r="D219" s="30" t="s">
        <v>13</v>
      </c>
      <c r="E219" s="34" t="s">
        <v>13</v>
      </c>
      <c r="F219" s="30" t="s">
        <v>3817</v>
      </c>
      <c r="G219" s="31">
        <v>290.0</v>
      </c>
      <c r="H219" s="34" t="s">
        <v>3853</v>
      </c>
      <c r="I219" s="34">
        <v>0.0</v>
      </c>
      <c r="J219" s="34">
        <v>100.0</v>
      </c>
      <c r="K219" s="34">
        <v>0.0</v>
      </c>
      <c r="L219" s="34">
        <v>0.0</v>
      </c>
      <c r="M219" s="33">
        <f>COUNTIFS('Data For Calculation - Insuranc'!A:A,A219,'Data For Calculation - Insuranc'!E:E,"CPA + RSA")</f>
        <v>0</v>
      </c>
      <c r="N219" s="30" t="s">
        <v>3817</v>
      </c>
      <c r="O219" s="31">
        <v>375.0</v>
      </c>
      <c r="P219" s="34" t="s">
        <v>3853</v>
      </c>
      <c r="Q219" s="34">
        <v>0.0</v>
      </c>
      <c r="R219" s="34">
        <v>100.0</v>
      </c>
      <c r="S219" s="34">
        <v>0.0</v>
      </c>
      <c r="T219" s="34">
        <v>0.0</v>
      </c>
      <c r="U219" s="33">
        <f>COUNTIFS('Data For Calculation - Insuranc'!A:A,A219,'Data For Calculation - Insuranc'!E:E,"CPA + RSA + AHDC + DOC")</f>
        <v>0</v>
      </c>
      <c r="V219" s="30" t="s">
        <v>3817</v>
      </c>
      <c r="W219" s="34">
        <v>838.99</v>
      </c>
      <c r="X219" s="34" t="s">
        <v>3853</v>
      </c>
      <c r="Y219" s="34">
        <v>0.0</v>
      </c>
      <c r="Z219" s="34">
        <v>100.0</v>
      </c>
      <c r="AA219" s="34">
        <v>0.0</v>
      </c>
      <c r="AB219" s="34">
        <v>0.0</v>
      </c>
      <c r="AC219" s="33">
        <f>COUNTIFS('Data For Calculation - Insuranc'!A:A,A219,'Data For Calculation - Insuranc'!E:E,"CPA + RSA : 5 Years")</f>
        <v>0</v>
      </c>
      <c r="AD219" s="30" t="s">
        <v>3817</v>
      </c>
      <c r="AE219" s="31">
        <v>838.99</v>
      </c>
      <c r="AF219" s="34" t="s">
        <v>3853</v>
      </c>
      <c r="AG219" s="34">
        <v>0.0</v>
      </c>
      <c r="AH219" s="34">
        <v>100.0</v>
      </c>
      <c r="AI219" s="34">
        <v>0.0</v>
      </c>
      <c r="AJ219" s="34">
        <v>0.0</v>
      </c>
      <c r="AK219" s="33">
        <f>COUNTIFS('Data For Calculation - Insuranc'!A:A,A219,'Data For Calculation - Insuranc'!E:E,"Assistance + CPA : 5 Years")</f>
        <v>0</v>
      </c>
      <c r="AL219" s="30" t="s">
        <v>3817</v>
      </c>
      <c r="AM219" s="31">
        <v>290.0</v>
      </c>
      <c r="AN219" s="34" t="s">
        <v>3853</v>
      </c>
      <c r="AO219" s="34">
        <v>0.0</v>
      </c>
      <c r="AP219" s="34">
        <v>100.0</v>
      </c>
      <c r="AQ219" s="34">
        <v>0.0</v>
      </c>
      <c r="AR219" s="34">
        <v>0.0</v>
      </c>
      <c r="AS219" s="33">
        <f>COUNTIFS('Data For Calculation - Insuranc'!A:A,A219,'Data For Calculation - Insuranc'!E:E,"RSA + AHDC + DOC")</f>
        <v>0</v>
      </c>
      <c r="AT219" s="33"/>
      <c r="AU219" s="33"/>
      <c r="AV219" s="33"/>
      <c r="AW219" s="33"/>
      <c r="AX219" s="33"/>
      <c r="AY219" s="33"/>
      <c r="AZ219" s="33"/>
      <c r="BA219" s="33"/>
      <c r="BB219" s="33"/>
      <c r="BC219" s="33"/>
      <c r="BD219" s="33"/>
      <c r="BE219" s="33"/>
      <c r="BF219" s="33"/>
      <c r="BG219" s="33"/>
      <c r="BH219" s="33"/>
      <c r="BI219" s="33"/>
      <c r="BJ219" s="33"/>
      <c r="BK219" s="33"/>
      <c r="BL219" s="33"/>
      <c r="BM219" s="33"/>
      <c r="BN219" s="33"/>
      <c r="BO219" s="33"/>
      <c r="BP219" s="33"/>
      <c r="BQ219" s="33"/>
      <c r="BR219" s="33">
        <f t="shared" si="1"/>
        <v>0</v>
      </c>
      <c r="BS219" s="33">
        <f>SUMIFS('Data For Calculation - Insuranc'!I:I,'Data For Calculation - Insuranc'!$A:$A,$A219)</f>
        <v>0</v>
      </c>
      <c r="BT219" s="33">
        <f>SUMIFS('Data For Calculation - Insuranc'!J:J,'Data For Calculation - Insuranc'!$A:$A,$A219)</f>
        <v>0</v>
      </c>
      <c r="BU219" s="33">
        <f>SUMIFS('Data For Calculation - Insuranc'!K:K,'Data For Calculation - Insuranc'!$A:$A,$A219)</f>
        <v>0</v>
      </c>
      <c r="BV219" s="33">
        <f>IF($CC219 = "Dealer", SUMIFS('Data For Calculation - Insuranc'!I:I,'Data For Calculation - Insuranc'!$B:$B,$A219,'Data For Calculation - Insuranc'!$H:$H,"Master Dealer")) + SUMIFS('Data For Calculation - Insuranc'!I:I,'Data For Calculation - Insuranc'!$A:$A,$A219,'Data For Calculation - Insuranc'!$H:$H,"Self")</f>
        <v>0</v>
      </c>
      <c r="BW219" s="33">
        <f>IF($CC219 = "Dealer", SUMIFS('Data For Calculation - Insuranc'!J:J,'Data For Calculation - Insuranc'!$B:$B,$A219,'Data For Calculation - Insuranc'!$H:$H,"Master Dealer")) + SUMIFS('Data For Calculation - Insuranc'!J:J,'Data For Calculation - Insuranc'!$A:$A,$A219,'Data For Calculation - Insuranc'!$H:$H,"Self")</f>
        <v>0</v>
      </c>
      <c r="BX219" s="33">
        <f>IF($CC219 = "Dealer", SUMIFS('Data For Calculation - Insuranc'!K:K,'Data For Calculation - Insuranc'!$B:$B,$A219,'Data For Calculation - Insuranc'!$H:$H,"Master Dealer")) + SUMIFS('Data For Calculation - Insuranc'!K:K,'Data For Calculation - Insuranc'!$A:$A,$A219,'Data For Calculation - Insuranc'!$H:$H,"Self")</f>
        <v>0</v>
      </c>
      <c r="BY219" s="25" t="str">
        <f>(Sheet1!N219)</f>
        <v>Shivam Automobile - Chakia</v>
      </c>
      <c r="BZ219" s="25" t="str">
        <f>(Sheet1!O219)</f>
        <v>15TCKogSV6eLWZg1o0BLy9c__at_HGv_nwylQpiLk1k0</v>
      </c>
      <c r="CA219" s="25" t="str">
        <f>(Sheet1!AV219)</f>
        <v/>
      </c>
      <c r="CB219" s="25" t="str">
        <f>(Sheet1!AW219)</f>
        <v/>
      </c>
      <c r="CC219" s="26" t="str">
        <f>(Sheet1!P219)</f>
        <v>Dealer</v>
      </c>
    </row>
    <row r="220">
      <c r="A220" s="25" t="str">
        <f>(Sheet1!A220)</f>
        <v>1IW00YIJovrtt6A8q0p0zoi4iwBPaPgOVnZqjzOz5yP0</v>
      </c>
      <c r="B220" s="25" t="str">
        <f>(Sheet1!B220)</f>
        <v>SHYAM MOTORS - FATEHPUR</v>
      </c>
      <c r="C220" s="30" t="str">
        <f>Sheet1!BB220</f>
        <v>No</v>
      </c>
      <c r="D220" s="30" t="s">
        <v>13</v>
      </c>
      <c r="E220" s="34" t="s">
        <v>13</v>
      </c>
      <c r="F220" s="25" t="s">
        <v>3820</v>
      </c>
      <c r="G220" s="31">
        <v>290.0</v>
      </c>
      <c r="H220" s="34" t="s">
        <v>3853</v>
      </c>
      <c r="I220" s="34">
        <v>0.0</v>
      </c>
      <c r="J220" s="34">
        <v>100.0</v>
      </c>
      <c r="K220" s="34">
        <v>0.0</v>
      </c>
      <c r="L220" s="34">
        <v>0.0</v>
      </c>
      <c r="M220" s="33">
        <f>COUNTIFS('Data For Calculation - Insuranc'!A:A,A220,'Data For Calculation - Insuranc'!E:E,"CPA + RSA")</f>
        <v>0</v>
      </c>
      <c r="N220" s="25" t="s">
        <v>3820</v>
      </c>
      <c r="O220" s="33">
        <v>460.0</v>
      </c>
      <c r="P220" s="34" t="s">
        <v>3853</v>
      </c>
      <c r="Q220" s="34">
        <v>0.0</v>
      </c>
      <c r="R220" s="34">
        <v>100.0</v>
      </c>
      <c r="S220" s="34">
        <v>0.0</v>
      </c>
      <c r="T220" s="34">
        <v>0.0</v>
      </c>
      <c r="U220" s="33">
        <f>COUNTIFS('Data For Calculation - Insuranc'!A:A,A220,'Data For Calculation - Insuranc'!E:E,"CPA + RSA + AHDC + DOC")</f>
        <v>0</v>
      </c>
      <c r="V220" s="25" t="s">
        <v>3820</v>
      </c>
      <c r="W220" s="33">
        <v>838.99</v>
      </c>
      <c r="X220" s="34" t="s">
        <v>3853</v>
      </c>
      <c r="Y220" s="34">
        <v>0.0</v>
      </c>
      <c r="Z220" s="34">
        <v>100.0</v>
      </c>
      <c r="AA220" s="34">
        <v>0.0</v>
      </c>
      <c r="AB220" s="34">
        <v>0.0</v>
      </c>
      <c r="AC220" s="33">
        <f>COUNTIFS('Data For Calculation - Insuranc'!A:A,A220,'Data For Calculation - Insuranc'!E:E,"CPA + RSA : 5 Years")</f>
        <v>0</v>
      </c>
      <c r="AD220" s="25" t="s">
        <v>3820</v>
      </c>
      <c r="AE220" s="33">
        <v>838.99</v>
      </c>
      <c r="AF220" s="34" t="s">
        <v>3853</v>
      </c>
      <c r="AG220" s="34">
        <v>0.0</v>
      </c>
      <c r="AH220" s="34">
        <v>100.0</v>
      </c>
      <c r="AI220" s="34">
        <v>0.0</v>
      </c>
      <c r="AJ220" s="34">
        <v>0.0</v>
      </c>
      <c r="AK220" s="33">
        <f>COUNTIFS('Data For Calculation - Insuranc'!A:A,A220,'Data For Calculation - Insuranc'!E:E,"Assistance + CPA : 5 Years")</f>
        <v>0</v>
      </c>
      <c r="AL220" s="25" t="s">
        <v>3820</v>
      </c>
      <c r="AM220" s="31">
        <v>290.0</v>
      </c>
      <c r="AN220" s="34" t="s">
        <v>3853</v>
      </c>
      <c r="AO220" s="34">
        <v>0.0</v>
      </c>
      <c r="AP220" s="34">
        <v>100.0</v>
      </c>
      <c r="AQ220" s="34">
        <v>0.0</v>
      </c>
      <c r="AR220" s="34">
        <v>0.0</v>
      </c>
      <c r="AS220" s="33">
        <f>COUNTIFS('Data For Calculation - Insuranc'!A:A,A220,'Data For Calculation - Insuranc'!E:E,"RSA + AHDC + DOC")</f>
        <v>0</v>
      </c>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33">
        <f t="shared" si="1"/>
        <v>0</v>
      </c>
      <c r="BS220" s="33">
        <f>SUMIFS('Data For Calculation - Insuranc'!I:I,'Data For Calculation - Insuranc'!$A:$A,$A220)</f>
        <v>0</v>
      </c>
      <c r="BT220" s="33">
        <f>SUMIFS('Data For Calculation - Insuranc'!J:J,'Data For Calculation - Insuranc'!$A:$A,$A220)</f>
        <v>0</v>
      </c>
      <c r="BU220" s="33">
        <f>SUMIFS('Data For Calculation - Insuranc'!K:K,'Data For Calculation - Insuranc'!$A:$A,$A220)</f>
        <v>0</v>
      </c>
      <c r="BV220" s="33">
        <f>IF($CC220 = "Dealer", SUMIFS('Data For Calculation - Insuranc'!I:I,'Data For Calculation - Insuranc'!$B:$B,$A220,'Data For Calculation - Insuranc'!$H:$H,"Master Dealer")) + SUMIFS('Data For Calculation - Insuranc'!I:I,'Data For Calculation - Insuranc'!$A:$A,$A220,'Data For Calculation - Insuranc'!$H:$H,"Self")</f>
        <v>0</v>
      </c>
      <c r="BW220" s="33">
        <f>IF($CC220 = "Dealer", SUMIFS('Data For Calculation - Insuranc'!J:J,'Data For Calculation - Insuranc'!$B:$B,$A220,'Data For Calculation - Insuranc'!$H:$H,"Master Dealer")) + SUMIFS('Data For Calculation - Insuranc'!J:J,'Data For Calculation - Insuranc'!$A:$A,$A220,'Data For Calculation - Insuranc'!$H:$H,"Self")</f>
        <v>0</v>
      </c>
      <c r="BX220" s="33">
        <f>IF($CC220 = "Dealer", SUMIFS('Data For Calculation - Insuranc'!K:K,'Data For Calculation - Insuranc'!$B:$B,$A220,'Data For Calculation - Insuranc'!$H:$H,"Master Dealer")) + SUMIFS('Data For Calculation - Insuranc'!K:K,'Data For Calculation - Insuranc'!$A:$A,$A220,'Data For Calculation - Insuranc'!$H:$H,"Self")</f>
        <v>0</v>
      </c>
      <c r="BY220" s="25" t="str">
        <f>(Sheet1!N220)</f>
        <v>SHYAM MOTORS - FATEHPUR</v>
      </c>
      <c r="BZ220" s="25" t="str">
        <f>(Sheet1!O220)</f>
        <v>1IW00YIJovrtt6A8q0p0zoi4iwBPaPgOVnZqjzOz5yP0</v>
      </c>
      <c r="CA220" s="25" t="str">
        <f>(Sheet1!AV220)</f>
        <v/>
      </c>
      <c r="CB220" s="25" t="str">
        <f>(Sheet1!AW220)</f>
        <v/>
      </c>
      <c r="CC220" s="25" t="str">
        <f>(Sheet1!P220)</f>
        <v>Dealer</v>
      </c>
    </row>
    <row r="221">
      <c r="A221" s="25" t="str">
        <f>(Sheet1!A221)</f>
        <v>1WXvYHRsq58CQOMiTQW5jz_Rk7VXZzJwGsE9DYysdKio</v>
      </c>
      <c r="B221" s="25" t="str">
        <f>(Sheet1!B221)</f>
        <v>Goel Motors - Lucknow</v>
      </c>
      <c r="C221" s="30" t="str">
        <f>Sheet1!BB221</f>
        <v>No</v>
      </c>
      <c r="D221" s="30" t="s">
        <v>13</v>
      </c>
      <c r="E221" s="34" t="s">
        <v>13</v>
      </c>
      <c r="F221" s="25" t="s">
        <v>3820</v>
      </c>
      <c r="G221" s="31">
        <v>290.0</v>
      </c>
      <c r="H221" s="34" t="s">
        <v>3853</v>
      </c>
      <c r="I221" s="34">
        <v>0.0</v>
      </c>
      <c r="J221" s="34">
        <v>100.0</v>
      </c>
      <c r="K221" s="34">
        <v>0.0</v>
      </c>
      <c r="L221" s="34">
        <v>0.0</v>
      </c>
      <c r="M221" s="33">
        <f>COUNTIFS('Data For Calculation - Insuranc'!A:A,A221,'Data For Calculation - Insuranc'!E:E,"CPA + RSA")</f>
        <v>0</v>
      </c>
      <c r="N221" s="25" t="s">
        <v>3820</v>
      </c>
      <c r="O221" s="33">
        <v>460.0</v>
      </c>
      <c r="P221" s="34" t="s">
        <v>3853</v>
      </c>
      <c r="Q221" s="34">
        <v>0.0</v>
      </c>
      <c r="R221" s="34">
        <v>100.0</v>
      </c>
      <c r="S221" s="34">
        <v>0.0</v>
      </c>
      <c r="T221" s="34">
        <v>0.0</v>
      </c>
      <c r="U221" s="33">
        <f>COUNTIFS('Data For Calculation - Insuranc'!A:A,A221,'Data For Calculation - Insuranc'!E:E,"CPA + RSA + AHDC + DOC")</f>
        <v>0</v>
      </c>
      <c r="V221" s="25" t="s">
        <v>3820</v>
      </c>
      <c r="W221" s="33">
        <v>838.99</v>
      </c>
      <c r="X221" s="34" t="s">
        <v>3853</v>
      </c>
      <c r="Y221" s="34">
        <v>0.0</v>
      </c>
      <c r="Z221" s="34">
        <v>100.0</v>
      </c>
      <c r="AA221" s="34">
        <v>0.0</v>
      </c>
      <c r="AB221" s="34">
        <v>0.0</v>
      </c>
      <c r="AC221" s="33">
        <f>COUNTIFS('Data For Calculation - Insuranc'!A:A,A221,'Data For Calculation - Insuranc'!E:E,"CPA + RSA : 5 Years")</f>
        <v>0</v>
      </c>
      <c r="AD221" s="25" t="s">
        <v>3820</v>
      </c>
      <c r="AE221" s="33">
        <v>838.99</v>
      </c>
      <c r="AF221" s="34" t="s">
        <v>3853</v>
      </c>
      <c r="AG221" s="34">
        <v>0.0</v>
      </c>
      <c r="AH221" s="34">
        <v>100.0</v>
      </c>
      <c r="AI221" s="34">
        <v>0.0</v>
      </c>
      <c r="AJ221" s="34">
        <v>0.0</v>
      </c>
      <c r="AK221" s="33">
        <f>COUNTIFS('Data For Calculation - Insuranc'!A:A,A221,'Data For Calculation - Insuranc'!E:E,"Assistance + CPA : 5 Years")</f>
        <v>0</v>
      </c>
      <c r="AL221" s="25" t="s">
        <v>3820</v>
      </c>
      <c r="AM221" s="31">
        <v>290.0</v>
      </c>
      <c r="AN221" s="34" t="s">
        <v>3853</v>
      </c>
      <c r="AO221" s="34">
        <v>0.0</v>
      </c>
      <c r="AP221" s="34">
        <v>100.0</v>
      </c>
      <c r="AQ221" s="34">
        <v>0.0</v>
      </c>
      <c r="AR221" s="34">
        <v>0.0</v>
      </c>
      <c r="AS221" s="33">
        <f>COUNTIFS('Data For Calculation - Insuranc'!A:A,A221,'Data For Calculation - Insuranc'!E:E,"RSA + AHDC + DOC")</f>
        <v>0</v>
      </c>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33">
        <f t="shared" si="1"/>
        <v>0</v>
      </c>
      <c r="BS221" s="33">
        <f>SUMIFS('Data For Calculation - Insuranc'!I:I,'Data For Calculation - Insuranc'!$A:$A,$A221)</f>
        <v>0</v>
      </c>
      <c r="BT221" s="33">
        <f>SUMIFS('Data For Calculation - Insuranc'!J:J,'Data For Calculation - Insuranc'!$A:$A,$A221)</f>
        <v>0</v>
      </c>
      <c r="BU221" s="33">
        <f>SUMIFS('Data For Calculation - Insuranc'!K:K,'Data For Calculation - Insuranc'!$A:$A,$A221)</f>
        <v>0</v>
      </c>
      <c r="BV221" s="33">
        <f>IF($CC221 = "Dealer", SUMIFS('Data For Calculation - Insuranc'!I:I,'Data For Calculation - Insuranc'!$B:$B,$A221,'Data For Calculation - Insuranc'!$H:$H,"Master Dealer")) + SUMIFS('Data For Calculation - Insuranc'!I:I,'Data For Calculation - Insuranc'!$A:$A,$A221,'Data For Calculation - Insuranc'!$H:$H,"Self")</f>
        <v>0</v>
      </c>
      <c r="BW221" s="33">
        <f>IF($CC221 = "Dealer", SUMIFS('Data For Calculation - Insuranc'!J:J,'Data For Calculation - Insuranc'!$B:$B,$A221,'Data For Calculation - Insuranc'!$H:$H,"Master Dealer")) + SUMIFS('Data For Calculation - Insuranc'!J:J,'Data For Calculation - Insuranc'!$A:$A,$A221,'Data For Calculation - Insuranc'!$H:$H,"Self")</f>
        <v>0</v>
      </c>
      <c r="BX221" s="33">
        <f>IF($CC221 = "Dealer", SUMIFS('Data For Calculation - Insuranc'!K:K,'Data For Calculation - Insuranc'!$B:$B,$A221,'Data For Calculation - Insuranc'!$H:$H,"Master Dealer")) + SUMIFS('Data For Calculation - Insuranc'!K:K,'Data For Calculation - Insuranc'!$A:$A,$A221,'Data For Calculation - Insuranc'!$H:$H,"Self")</f>
        <v>0</v>
      </c>
      <c r="BY221" s="25" t="str">
        <f>(Sheet1!N221)</f>
        <v>Goel Motors - Lucknow</v>
      </c>
      <c r="BZ221" s="25" t="str">
        <f>(Sheet1!O221)</f>
        <v>1WXvYHRsq58CQOMiTQW5jz_Rk7VXZzJwGsE9DYysdKio</v>
      </c>
      <c r="CA221" s="25" t="str">
        <f>(Sheet1!AV221)</f>
        <v/>
      </c>
      <c r="CB221" s="25" t="str">
        <f>(Sheet1!AW221)</f>
        <v/>
      </c>
      <c r="CC221" s="25" t="str">
        <f>(Sheet1!P221)</f>
        <v>Dealer</v>
      </c>
    </row>
    <row r="222">
      <c r="A222" s="25" t="str">
        <f>(Sheet1!A222)</f>
        <v>1Y48WevU4dZlpN_oRadqFSD4ED20x97CYUdeAzWdn3go</v>
      </c>
      <c r="B222" s="25" t="str">
        <f>(Sheet1!B222)</f>
        <v>Mahalaxmi TVS- AHEMDABAD</v>
      </c>
      <c r="C222" s="30" t="str">
        <f>Sheet1!BB222</f>
        <v>No</v>
      </c>
      <c r="D222" s="30" t="s">
        <v>13</v>
      </c>
      <c r="E222" s="34" t="s">
        <v>13</v>
      </c>
      <c r="F222" s="30" t="s">
        <v>3817</v>
      </c>
      <c r="G222" s="31">
        <v>235.0</v>
      </c>
      <c r="H222" s="34" t="s">
        <v>3853</v>
      </c>
      <c r="I222" s="34">
        <v>0.0</v>
      </c>
      <c r="J222" s="34">
        <v>100.0</v>
      </c>
      <c r="K222" s="34">
        <v>0.0</v>
      </c>
      <c r="L222" s="34">
        <v>0.0</v>
      </c>
      <c r="M222" s="33">
        <f>COUNTIFS('Data For Calculation - Insuranc'!A:A,A222,'Data For Calculation - Insuranc'!E:E,"CPA + RSA")</f>
        <v>0</v>
      </c>
      <c r="N222" s="30" t="s">
        <v>3817</v>
      </c>
      <c r="O222" s="31">
        <v>460.0</v>
      </c>
      <c r="P222" s="34" t="s">
        <v>3853</v>
      </c>
      <c r="Q222" s="34">
        <v>0.0</v>
      </c>
      <c r="R222" s="34">
        <v>100.0</v>
      </c>
      <c r="S222" s="34">
        <v>0.0</v>
      </c>
      <c r="T222" s="34">
        <v>0.0</v>
      </c>
      <c r="U222" s="33">
        <f>COUNTIFS('Data For Calculation - Insuranc'!A:A,A222,'Data For Calculation - Insuranc'!E:E,"CPA + RSA + AHDC + DOC")</f>
        <v>0</v>
      </c>
      <c r="V222" s="30" t="s">
        <v>3817</v>
      </c>
      <c r="W222" s="34">
        <v>838.99</v>
      </c>
      <c r="X222" s="34" t="s">
        <v>3853</v>
      </c>
      <c r="Y222" s="34">
        <v>0.0</v>
      </c>
      <c r="Z222" s="34">
        <v>100.0</v>
      </c>
      <c r="AA222" s="34">
        <v>0.0</v>
      </c>
      <c r="AB222" s="34">
        <v>0.0</v>
      </c>
      <c r="AC222" s="33">
        <f>COUNTIFS('Data For Calculation - Insuranc'!A:A,A222,'Data For Calculation - Insuranc'!E:E,"CPA + RSA : 5 Years")</f>
        <v>0</v>
      </c>
      <c r="AD222" s="30" t="s">
        <v>3817</v>
      </c>
      <c r="AE222" s="31">
        <v>838.99</v>
      </c>
      <c r="AF222" s="34" t="s">
        <v>3853</v>
      </c>
      <c r="AG222" s="34">
        <v>0.0</v>
      </c>
      <c r="AH222" s="34">
        <v>100.0</v>
      </c>
      <c r="AI222" s="34">
        <v>0.0</v>
      </c>
      <c r="AJ222" s="34">
        <v>0.0</v>
      </c>
      <c r="AK222" s="33">
        <f>COUNTIFS('Data For Calculation - Insuranc'!A:A,A222,'Data For Calculation - Insuranc'!E:E,"Assistance + CPA : 5 Years")</f>
        <v>0</v>
      </c>
      <c r="AL222" s="30" t="s">
        <v>3817</v>
      </c>
      <c r="AM222" s="31">
        <v>290.0</v>
      </c>
      <c r="AN222" s="34" t="s">
        <v>3853</v>
      </c>
      <c r="AO222" s="34">
        <v>0.0</v>
      </c>
      <c r="AP222" s="34">
        <v>100.0</v>
      </c>
      <c r="AQ222" s="34">
        <v>0.0</v>
      </c>
      <c r="AR222" s="34">
        <v>0.0</v>
      </c>
      <c r="AS222" s="33">
        <f>COUNTIFS('Data For Calculation - Insuranc'!A:A,A222,'Data For Calculation - Insuranc'!E:E,"RSA + AHDC + DOC")</f>
        <v>0</v>
      </c>
      <c r="AT222" s="33"/>
      <c r="AU222" s="33"/>
      <c r="AV222" s="33"/>
      <c r="AW222" s="33"/>
      <c r="AX222" s="33"/>
      <c r="AY222" s="33"/>
      <c r="AZ222" s="33"/>
      <c r="BA222" s="33"/>
      <c r="BB222" s="33"/>
      <c r="BC222" s="33"/>
      <c r="BD222" s="33"/>
      <c r="BE222" s="33"/>
      <c r="BF222" s="33"/>
      <c r="BG222" s="33"/>
      <c r="BH222" s="33"/>
      <c r="BI222" s="33"/>
      <c r="BJ222" s="33"/>
      <c r="BK222" s="33"/>
      <c r="BL222" s="33"/>
      <c r="BM222" s="33"/>
      <c r="BN222" s="33"/>
      <c r="BO222" s="33"/>
      <c r="BP222" s="33"/>
      <c r="BQ222" s="33"/>
      <c r="BR222" s="33">
        <f t="shared" si="1"/>
        <v>0</v>
      </c>
      <c r="BS222" s="33">
        <f>SUMIFS('Data For Calculation - Insuranc'!I:I,'Data For Calculation - Insuranc'!$A:$A,$A222)</f>
        <v>0</v>
      </c>
      <c r="BT222" s="33">
        <f>SUMIFS('Data For Calculation - Insuranc'!J:J,'Data For Calculation - Insuranc'!$A:$A,$A222)</f>
        <v>0</v>
      </c>
      <c r="BU222" s="33">
        <f>SUMIFS('Data For Calculation - Insuranc'!K:K,'Data For Calculation - Insuranc'!$A:$A,$A222)</f>
        <v>0</v>
      </c>
      <c r="BV222" s="33">
        <f>IF($CC222 = "Dealer", SUMIFS('Data For Calculation - Insuranc'!I:I,'Data For Calculation - Insuranc'!$B:$B,$A222,'Data For Calculation - Insuranc'!$H:$H,"Master Dealer")) + SUMIFS('Data For Calculation - Insuranc'!I:I,'Data For Calculation - Insuranc'!$A:$A,$A222,'Data For Calculation - Insuranc'!$H:$H,"Self")</f>
        <v>0</v>
      </c>
      <c r="BW222" s="33">
        <f>IF($CC222 = "Dealer", SUMIFS('Data For Calculation - Insuranc'!J:J,'Data For Calculation - Insuranc'!$B:$B,$A222,'Data For Calculation - Insuranc'!$H:$H,"Master Dealer")) + SUMIFS('Data For Calculation - Insuranc'!J:J,'Data For Calculation - Insuranc'!$A:$A,$A222,'Data For Calculation - Insuranc'!$H:$H,"Self")</f>
        <v>0</v>
      </c>
      <c r="BX222" s="33">
        <f>IF($CC222 = "Dealer", SUMIFS('Data For Calculation - Insuranc'!K:K,'Data For Calculation - Insuranc'!$B:$B,$A222,'Data For Calculation - Insuranc'!$H:$H,"Master Dealer")) + SUMIFS('Data For Calculation - Insuranc'!K:K,'Data For Calculation - Insuranc'!$A:$A,$A222,'Data For Calculation - Insuranc'!$H:$H,"Self")</f>
        <v>0</v>
      </c>
      <c r="BY222" s="25" t="str">
        <f>(Sheet1!N222)</f>
        <v>Mahalaxmi TVS- AHEMDABAD</v>
      </c>
      <c r="BZ222" s="25" t="str">
        <f>(Sheet1!O222)</f>
        <v>1Y48WevU4dZlpN_oRadqFSD4ED20x97CYUdeAzWdn3go</v>
      </c>
      <c r="CA222" s="25" t="str">
        <f>(Sheet1!AV222)</f>
        <v/>
      </c>
      <c r="CB222" s="25" t="str">
        <f>(Sheet1!AW222)</f>
        <v/>
      </c>
      <c r="CC222" s="26" t="str">
        <f>(Sheet1!P222)</f>
        <v>Dealer</v>
      </c>
    </row>
    <row r="223">
      <c r="A223" s="25" t="str">
        <f>(Sheet1!A223)</f>
        <v>1iBXH7o4SHrOUcyupGINEY029YtS1MVzDOPaqJv2RrfU</v>
      </c>
      <c r="B223" s="25" t="str">
        <f>(Sheet1!B223)</f>
        <v>MADAN AUTO AGENCY - LAURIYA</v>
      </c>
      <c r="C223" s="30" t="str">
        <f>Sheet1!BB223</f>
        <v>No</v>
      </c>
      <c r="D223" s="30" t="s">
        <v>13</v>
      </c>
      <c r="E223" s="34" t="s">
        <v>13</v>
      </c>
      <c r="F223" s="25" t="s">
        <v>3820</v>
      </c>
      <c r="G223" s="31">
        <v>205.0</v>
      </c>
      <c r="H223" s="34" t="s">
        <v>3853</v>
      </c>
      <c r="I223" s="34">
        <v>0.0</v>
      </c>
      <c r="J223" s="34">
        <v>100.0</v>
      </c>
      <c r="K223" s="34">
        <v>0.0</v>
      </c>
      <c r="L223" s="34">
        <v>0.0</v>
      </c>
      <c r="M223" s="33">
        <f>COUNTIFS('Data For Calculation - Insuranc'!A:A,A223,'Data For Calculation - Insuranc'!E:E,"CPA + RSA")</f>
        <v>0</v>
      </c>
      <c r="N223" s="25" t="s">
        <v>3820</v>
      </c>
      <c r="O223" s="33">
        <v>460.0</v>
      </c>
      <c r="P223" s="34" t="s">
        <v>3853</v>
      </c>
      <c r="Q223" s="34">
        <v>0.0</v>
      </c>
      <c r="R223" s="34">
        <v>100.0</v>
      </c>
      <c r="S223" s="34">
        <v>0.0</v>
      </c>
      <c r="T223" s="34">
        <v>0.0</v>
      </c>
      <c r="U223" s="33">
        <f>COUNTIFS('Data For Calculation - Insuranc'!A:A,A223,'Data For Calculation - Insuranc'!E:E,"CPA + RSA + AHDC + DOC")</f>
        <v>0</v>
      </c>
      <c r="V223" s="25" t="s">
        <v>3820</v>
      </c>
      <c r="W223" s="33">
        <v>838.99</v>
      </c>
      <c r="X223" s="34" t="s">
        <v>3853</v>
      </c>
      <c r="Y223" s="34">
        <v>0.0</v>
      </c>
      <c r="Z223" s="34">
        <v>100.0</v>
      </c>
      <c r="AA223" s="34">
        <v>0.0</v>
      </c>
      <c r="AB223" s="34">
        <v>0.0</v>
      </c>
      <c r="AC223" s="33">
        <f>COUNTIFS('Data For Calculation - Insuranc'!A:A,A223,'Data For Calculation - Insuranc'!E:E,"CPA + RSA : 5 Years")</f>
        <v>0</v>
      </c>
      <c r="AD223" s="25" t="s">
        <v>3820</v>
      </c>
      <c r="AE223" s="33">
        <v>838.99</v>
      </c>
      <c r="AF223" s="34" t="s">
        <v>3853</v>
      </c>
      <c r="AG223" s="34">
        <v>0.0</v>
      </c>
      <c r="AH223" s="34">
        <v>100.0</v>
      </c>
      <c r="AI223" s="34">
        <v>0.0</v>
      </c>
      <c r="AJ223" s="34">
        <v>0.0</v>
      </c>
      <c r="AK223" s="33">
        <f>COUNTIFS('Data For Calculation - Insuranc'!A:A,A223,'Data For Calculation - Insuranc'!E:E,"Assistance + CPA : 5 Years")</f>
        <v>0</v>
      </c>
      <c r="AL223" s="25" t="s">
        <v>3820</v>
      </c>
      <c r="AM223" s="31">
        <v>290.0</v>
      </c>
      <c r="AN223" s="34" t="s">
        <v>3853</v>
      </c>
      <c r="AO223" s="34">
        <v>0.0</v>
      </c>
      <c r="AP223" s="34">
        <v>100.0</v>
      </c>
      <c r="AQ223" s="34">
        <v>0.0</v>
      </c>
      <c r="AR223" s="34">
        <v>0.0</v>
      </c>
      <c r="AS223" s="33">
        <f>COUNTIFS('Data For Calculation - Insuranc'!A:A,A223,'Data For Calculation - Insuranc'!E:E,"RSA + AHDC + DOC")</f>
        <v>0</v>
      </c>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33">
        <f t="shared" si="1"/>
        <v>0</v>
      </c>
      <c r="BS223" s="33">
        <f>SUMIFS('Data For Calculation - Insuranc'!I:I,'Data For Calculation - Insuranc'!$A:$A,$A223)</f>
        <v>0</v>
      </c>
      <c r="BT223" s="33">
        <f>SUMIFS('Data For Calculation - Insuranc'!J:J,'Data For Calculation - Insuranc'!$A:$A,$A223)</f>
        <v>0</v>
      </c>
      <c r="BU223" s="33">
        <f>SUMIFS('Data For Calculation - Insuranc'!K:K,'Data For Calculation - Insuranc'!$A:$A,$A223)</f>
        <v>0</v>
      </c>
      <c r="BV223" s="33">
        <f>IF($CC223 = "Dealer", SUMIFS('Data For Calculation - Insuranc'!I:I,'Data For Calculation - Insuranc'!$B:$B,$A223,'Data For Calculation - Insuranc'!$H:$H,"Master Dealer")) + SUMIFS('Data For Calculation - Insuranc'!I:I,'Data For Calculation - Insuranc'!$A:$A,$A223,'Data For Calculation - Insuranc'!$H:$H,"Self")</f>
        <v>0</v>
      </c>
      <c r="BW223" s="33">
        <f>IF($CC223 = "Dealer", SUMIFS('Data For Calculation - Insuranc'!J:J,'Data For Calculation - Insuranc'!$B:$B,$A223,'Data For Calculation - Insuranc'!$H:$H,"Master Dealer")) + SUMIFS('Data For Calculation - Insuranc'!J:J,'Data For Calculation - Insuranc'!$A:$A,$A223,'Data For Calculation - Insuranc'!$H:$H,"Self")</f>
        <v>0</v>
      </c>
      <c r="BX223" s="33">
        <f>IF($CC223 = "Dealer", SUMIFS('Data For Calculation - Insuranc'!K:K,'Data For Calculation - Insuranc'!$B:$B,$A223,'Data For Calculation - Insuranc'!$H:$H,"Master Dealer")) + SUMIFS('Data For Calculation - Insuranc'!K:K,'Data For Calculation - Insuranc'!$A:$A,$A223,'Data For Calculation - Insuranc'!$H:$H,"Self")</f>
        <v>0</v>
      </c>
      <c r="BY223" s="25" t="str">
        <f>(Sheet1!N223)</f>
        <v>Modern Auto Agency - Bettiah</v>
      </c>
      <c r="BZ223" s="25" t="str">
        <f>(Sheet1!O223)</f>
        <v>1_UtGSoyOsljQXvmry7gfXGYwjwEjQbghQQGZebnq45M</v>
      </c>
      <c r="CA223" s="25" t="str">
        <f>(Sheet1!AV223)</f>
        <v/>
      </c>
      <c r="CB223" s="25" t="str">
        <f>(Sheet1!AW223)</f>
        <v/>
      </c>
      <c r="CC223" s="25" t="str">
        <f>(Sheet1!P223)</f>
        <v>Sub Dealer</v>
      </c>
    </row>
    <row r="224">
      <c r="A224" s="25" t="str">
        <f>(Sheet1!A224)</f>
        <v>1JAbS28NFmfJxZrsQ7twsfzmqCme35J_wqOELlcNcX1c</v>
      </c>
      <c r="B224" s="25" t="str">
        <f>(Sheet1!B224)</f>
        <v>STALLIONZ TVS - AHMEDABAD</v>
      </c>
      <c r="C224" s="30" t="str">
        <f>Sheet1!BB224</f>
        <v>No</v>
      </c>
      <c r="D224" s="30" t="s">
        <v>13</v>
      </c>
      <c r="E224" s="34" t="s">
        <v>13</v>
      </c>
      <c r="F224" s="30" t="s">
        <v>3817</v>
      </c>
      <c r="G224" s="31">
        <v>215.0</v>
      </c>
      <c r="H224" s="34" t="s">
        <v>3853</v>
      </c>
      <c r="I224" s="34">
        <v>0.0</v>
      </c>
      <c r="J224" s="34">
        <v>100.0</v>
      </c>
      <c r="K224" s="34">
        <v>0.0</v>
      </c>
      <c r="L224" s="34">
        <v>0.0</v>
      </c>
      <c r="M224" s="33">
        <f>COUNTIFS('Data For Calculation - Insuranc'!A:A,A224,'Data For Calculation - Insuranc'!E:E,"CPA + RSA")</f>
        <v>0</v>
      </c>
      <c r="N224" s="30" t="s">
        <v>3817</v>
      </c>
      <c r="O224" s="31">
        <v>460.0</v>
      </c>
      <c r="P224" s="34" t="s">
        <v>3853</v>
      </c>
      <c r="Q224" s="34">
        <v>0.0</v>
      </c>
      <c r="R224" s="34">
        <v>100.0</v>
      </c>
      <c r="S224" s="34">
        <v>0.0</v>
      </c>
      <c r="T224" s="34">
        <v>0.0</v>
      </c>
      <c r="U224" s="33">
        <f>COUNTIFS('Data For Calculation - Insuranc'!A:A,A224,'Data For Calculation - Insuranc'!E:E,"CPA + RSA + AHDC + DOC")</f>
        <v>0</v>
      </c>
      <c r="V224" s="30" t="s">
        <v>3817</v>
      </c>
      <c r="W224" s="34">
        <v>838.99</v>
      </c>
      <c r="X224" s="34" t="s">
        <v>3853</v>
      </c>
      <c r="Y224" s="34">
        <v>0.0</v>
      </c>
      <c r="Z224" s="34">
        <v>100.0</v>
      </c>
      <c r="AA224" s="34">
        <v>0.0</v>
      </c>
      <c r="AB224" s="34">
        <v>0.0</v>
      </c>
      <c r="AC224" s="33">
        <f>COUNTIFS('Data For Calculation - Insuranc'!A:A,A224,'Data For Calculation - Insuranc'!E:E,"CPA + RSA : 5 Years")</f>
        <v>0</v>
      </c>
      <c r="AD224" s="30" t="s">
        <v>3817</v>
      </c>
      <c r="AE224" s="31">
        <v>838.99</v>
      </c>
      <c r="AF224" s="34" t="s">
        <v>3853</v>
      </c>
      <c r="AG224" s="34">
        <v>0.0</v>
      </c>
      <c r="AH224" s="34">
        <v>100.0</v>
      </c>
      <c r="AI224" s="34">
        <v>0.0</v>
      </c>
      <c r="AJ224" s="34">
        <v>0.0</v>
      </c>
      <c r="AK224" s="33">
        <f>COUNTIFS('Data For Calculation - Insuranc'!A:A,A224,'Data For Calculation - Insuranc'!E:E,"Assistance + CPA : 5 Years")</f>
        <v>0</v>
      </c>
      <c r="AL224" s="30" t="s">
        <v>3817</v>
      </c>
      <c r="AM224" s="31">
        <v>290.0</v>
      </c>
      <c r="AN224" s="34" t="s">
        <v>3853</v>
      </c>
      <c r="AO224" s="34">
        <v>0.0</v>
      </c>
      <c r="AP224" s="34">
        <v>100.0</v>
      </c>
      <c r="AQ224" s="34">
        <v>0.0</v>
      </c>
      <c r="AR224" s="34">
        <v>0.0</v>
      </c>
      <c r="AS224" s="33">
        <f>COUNTIFS('Data For Calculation - Insuranc'!A:A,A224,'Data For Calculation - Insuranc'!E:E,"RSA + AHDC + DOC")</f>
        <v>0</v>
      </c>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f t="shared" si="1"/>
        <v>0</v>
      </c>
      <c r="BS224" s="33">
        <f>SUMIFS('Data For Calculation - Insuranc'!I:I,'Data For Calculation - Insuranc'!$A:$A,$A224)</f>
        <v>0</v>
      </c>
      <c r="BT224" s="33">
        <f>SUMIFS('Data For Calculation - Insuranc'!J:J,'Data For Calculation - Insuranc'!$A:$A,$A224)</f>
        <v>0</v>
      </c>
      <c r="BU224" s="33">
        <f>SUMIFS('Data For Calculation - Insuranc'!K:K,'Data For Calculation - Insuranc'!$A:$A,$A224)</f>
        <v>0</v>
      </c>
      <c r="BV224" s="33">
        <f>IF($CC224 = "Dealer", SUMIFS('Data For Calculation - Insuranc'!I:I,'Data For Calculation - Insuranc'!$B:$B,$A224,'Data For Calculation - Insuranc'!$H:$H,"Master Dealer")) + SUMIFS('Data For Calculation - Insuranc'!I:I,'Data For Calculation - Insuranc'!$A:$A,$A224,'Data For Calculation - Insuranc'!$H:$H,"Self")</f>
        <v>0</v>
      </c>
      <c r="BW224" s="33">
        <f>IF($CC224 = "Dealer", SUMIFS('Data For Calculation - Insuranc'!J:J,'Data For Calculation - Insuranc'!$B:$B,$A224,'Data For Calculation - Insuranc'!$H:$H,"Master Dealer")) + SUMIFS('Data For Calculation - Insuranc'!J:J,'Data For Calculation - Insuranc'!$A:$A,$A224,'Data For Calculation - Insuranc'!$H:$H,"Self")</f>
        <v>0</v>
      </c>
      <c r="BX224" s="33">
        <f>IF($CC224 = "Dealer", SUMIFS('Data For Calculation - Insuranc'!K:K,'Data For Calculation - Insuranc'!$B:$B,$A224,'Data For Calculation - Insuranc'!$H:$H,"Master Dealer")) + SUMIFS('Data For Calculation - Insuranc'!K:K,'Data For Calculation - Insuranc'!$A:$A,$A224,'Data For Calculation - Insuranc'!$H:$H,"Self")</f>
        <v>0</v>
      </c>
      <c r="BY224" s="25" t="str">
        <f>(Sheet1!N224)</f>
        <v>STALLIONZ TVS - AHMEDABAD</v>
      </c>
      <c r="BZ224" s="25" t="str">
        <f>(Sheet1!O224)</f>
        <v>1JAbS28NFmfJxZrsQ7twsfzmqCme35J_wqOELlcNcX1c</v>
      </c>
      <c r="CA224" s="25" t="str">
        <f>(Sheet1!AV224)</f>
        <v/>
      </c>
      <c r="CB224" s="25" t="str">
        <f>(Sheet1!AW224)</f>
        <v/>
      </c>
      <c r="CC224" s="26" t="str">
        <f>(Sheet1!P224)</f>
        <v>Dealer</v>
      </c>
    </row>
    <row r="225">
      <c r="A225" s="25" t="str">
        <f>(Sheet1!A225)</f>
        <v>1KROhijYRp4JJHg6qMghouwiu3FhY0i9nzQ4icP6smio</v>
      </c>
      <c r="B225" s="25" t="str">
        <f>(Sheet1!B225)</f>
        <v>SAI HERO-UDGIR</v>
      </c>
      <c r="C225" s="30" t="str">
        <f>Sheet1!BB225</f>
        <v>No</v>
      </c>
      <c r="D225" s="30" t="s">
        <v>13</v>
      </c>
      <c r="E225" s="34" t="s">
        <v>13</v>
      </c>
      <c r="F225" s="30" t="s">
        <v>3820</v>
      </c>
      <c r="G225" s="31">
        <v>290.0</v>
      </c>
      <c r="H225" s="34" t="s">
        <v>3853</v>
      </c>
      <c r="I225" s="34">
        <v>0.0</v>
      </c>
      <c r="J225" s="34">
        <v>100.0</v>
      </c>
      <c r="K225" s="34">
        <v>0.0</v>
      </c>
      <c r="L225" s="34">
        <v>0.0</v>
      </c>
      <c r="M225" s="33">
        <f>COUNTIFS('Data For Calculation - Insuranc'!A:A,A225,'Data For Calculation - Insuranc'!E:E,"CPA + RSA")</f>
        <v>0</v>
      </c>
      <c r="N225" s="30" t="s">
        <v>3820</v>
      </c>
      <c r="O225" s="31">
        <v>460.0</v>
      </c>
      <c r="P225" s="34" t="s">
        <v>3853</v>
      </c>
      <c r="Q225" s="34">
        <v>0.0</v>
      </c>
      <c r="R225" s="34">
        <v>100.0</v>
      </c>
      <c r="S225" s="34">
        <v>0.0</v>
      </c>
      <c r="T225" s="34">
        <v>0.0</v>
      </c>
      <c r="U225" s="33">
        <f>COUNTIFS('Data For Calculation - Insuranc'!A:A,A225,'Data For Calculation - Insuranc'!E:E,"CPA + RSA + AHDC + DOC")</f>
        <v>0</v>
      </c>
      <c r="V225" s="30" t="s">
        <v>3820</v>
      </c>
      <c r="W225" s="34">
        <v>838.99</v>
      </c>
      <c r="X225" s="34" t="s">
        <v>3853</v>
      </c>
      <c r="Y225" s="34">
        <v>0.0</v>
      </c>
      <c r="Z225" s="34">
        <v>100.0</v>
      </c>
      <c r="AA225" s="34">
        <v>0.0</v>
      </c>
      <c r="AB225" s="34">
        <v>0.0</v>
      </c>
      <c r="AC225" s="33">
        <f>COUNTIFS('Data For Calculation - Insuranc'!A:A,A225,'Data For Calculation - Insuranc'!E:E,"CPA + RSA : 5 Years")</f>
        <v>0</v>
      </c>
      <c r="AD225" s="30" t="s">
        <v>3820</v>
      </c>
      <c r="AE225" s="31">
        <v>838.99</v>
      </c>
      <c r="AF225" s="34" t="s">
        <v>3853</v>
      </c>
      <c r="AG225" s="34">
        <v>0.0</v>
      </c>
      <c r="AH225" s="34">
        <v>100.0</v>
      </c>
      <c r="AI225" s="34">
        <v>0.0</v>
      </c>
      <c r="AJ225" s="34">
        <v>0.0</v>
      </c>
      <c r="AK225" s="33">
        <f>COUNTIFS('Data For Calculation - Insuranc'!A:A,A225,'Data For Calculation - Insuranc'!E:E,"Assistance + CPA : 5 Years")</f>
        <v>0</v>
      </c>
      <c r="AL225" s="30" t="s">
        <v>3820</v>
      </c>
      <c r="AM225" s="31">
        <v>290.0</v>
      </c>
      <c r="AN225" s="34" t="s">
        <v>3853</v>
      </c>
      <c r="AO225" s="34">
        <v>0.0</v>
      </c>
      <c r="AP225" s="34">
        <v>100.0</v>
      </c>
      <c r="AQ225" s="34">
        <v>0.0</v>
      </c>
      <c r="AR225" s="34">
        <v>0.0</v>
      </c>
      <c r="AS225" s="33">
        <f>COUNTIFS('Data For Calculation - Insuranc'!A:A,A225,'Data For Calculation - Insuranc'!E:E,"RSA + AHDC + DOC")</f>
        <v>0</v>
      </c>
      <c r="AT225" s="33"/>
      <c r="AU225" s="33"/>
      <c r="AV225" s="33"/>
      <c r="AW225" s="33"/>
      <c r="AX225" s="33"/>
      <c r="AY225" s="33"/>
      <c r="AZ225" s="33"/>
      <c r="BA225" s="33"/>
      <c r="BB225" s="33"/>
      <c r="BC225" s="33"/>
      <c r="BD225" s="33"/>
      <c r="BE225" s="33"/>
      <c r="BF225" s="33"/>
      <c r="BG225" s="33"/>
      <c r="BH225" s="33"/>
      <c r="BI225" s="33"/>
      <c r="BJ225" s="33"/>
      <c r="BK225" s="33"/>
      <c r="BL225" s="33"/>
      <c r="BM225" s="33"/>
      <c r="BN225" s="33"/>
      <c r="BO225" s="33"/>
      <c r="BP225" s="33"/>
      <c r="BQ225" s="33"/>
      <c r="BR225" s="33">
        <f t="shared" si="1"/>
        <v>0</v>
      </c>
      <c r="BS225" s="33">
        <f>SUMIFS('Data For Calculation - Insuranc'!I:I,'Data For Calculation - Insuranc'!$A:$A,$A225)</f>
        <v>0</v>
      </c>
      <c r="BT225" s="33">
        <f>SUMIFS('Data For Calculation - Insuranc'!J:J,'Data For Calculation - Insuranc'!$A:$A,$A225)</f>
        <v>0</v>
      </c>
      <c r="BU225" s="33">
        <f>SUMIFS('Data For Calculation - Insuranc'!K:K,'Data For Calculation - Insuranc'!$A:$A,$A225)</f>
        <v>0</v>
      </c>
      <c r="BV225" s="33">
        <f>IF($CC225 = "Dealer", SUMIFS('Data For Calculation - Insuranc'!I:I,'Data For Calculation - Insuranc'!$B:$B,$A225,'Data For Calculation - Insuranc'!$H:$H,"Master Dealer")) + SUMIFS('Data For Calculation - Insuranc'!I:I,'Data For Calculation - Insuranc'!$A:$A,$A225,'Data For Calculation - Insuranc'!$H:$H,"Self")</f>
        <v>0</v>
      </c>
      <c r="BW225" s="33">
        <f>IF($CC225 = "Dealer", SUMIFS('Data For Calculation - Insuranc'!J:J,'Data For Calculation - Insuranc'!$B:$B,$A225,'Data For Calculation - Insuranc'!$H:$H,"Master Dealer")) + SUMIFS('Data For Calculation - Insuranc'!J:J,'Data For Calculation - Insuranc'!$A:$A,$A225,'Data For Calculation - Insuranc'!$H:$H,"Self")</f>
        <v>0</v>
      </c>
      <c r="BX225" s="33">
        <f>IF($CC225 = "Dealer", SUMIFS('Data For Calculation - Insuranc'!K:K,'Data For Calculation - Insuranc'!$B:$B,$A225,'Data For Calculation - Insuranc'!$H:$H,"Master Dealer")) + SUMIFS('Data For Calculation - Insuranc'!K:K,'Data For Calculation - Insuranc'!$A:$A,$A225,'Data For Calculation - Insuranc'!$H:$H,"Self")</f>
        <v>0</v>
      </c>
      <c r="BY225" s="25" t="str">
        <f>(Sheet1!N225)</f>
        <v>SAI HERO-UDGIR</v>
      </c>
      <c r="BZ225" s="25" t="str">
        <f>(Sheet1!O225)</f>
        <v>1KROhijYRp4JJHg6qMghouwiu3FhY0i9nzQ4icP6smio</v>
      </c>
      <c r="CA225" s="25" t="str">
        <f>(Sheet1!AV225)</f>
        <v/>
      </c>
      <c r="CB225" s="25" t="str">
        <f>(Sheet1!AW225)</f>
        <v/>
      </c>
      <c r="CC225" s="26" t="str">
        <f>(Sheet1!P225)</f>
        <v>Dealer</v>
      </c>
    </row>
    <row r="226">
      <c r="A226" s="25" t="str">
        <f>(Sheet1!A226)</f>
        <v>1nEeaFhAsFkti6A1RQlVCs8bVVDbn1HO5_E8Nv2sncWw</v>
      </c>
      <c r="B226" s="25" t="str">
        <f>(Sheet1!B226)</f>
        <v>Mahalaxmi TVS-ISANPUR</v>
      </c>
      <c r="C226" s="30" t="str">
        <f>Sheet1!BB226</f>
        <v>No</v>
      </c>
      <c r="D226" s="30" t="s">
        <v>13</v>
      </c>
      <c r="E226" s="34" t="s">
        <v>13</v>
      </c>
      <c r="F226" s="30" t="s">
        <v>3817</v>
      </c>
      <c r="G226" s="31">
        <v>235.0</v>
      </c>
      <c r="H226" s="34" t="s">
        <v>3853</v>
      </c>
      <c r="I226" s="34">
        <v>0.0</v>
      </c>
      <c r="J226" s="34">
        <v>100.0</v>
      </c>
      <c r="K226" s="34">
        <v>0.0</v>
      </c>
      <c r="L226" s="34">
        <v>0.0</v>
      </c>
      <c r="M226" s="33">
        <f>COUNTIFS('Data For Calculation - Insuranc'!A:A,A226,'Data For Calculation - Insuranc'!E:E,"CPA + RSA")</f>
        <v>0</v>
      </c>
      <c r="N226" s="30" t="s">
        <v>3817</v>
      </c>
      <c r="O226" s="31">
        <v>460.0</v>
      </c>
      <c r="P226" s="34" t="s">
        <v>3853</v>
      </c>
      <c r="Q226" s="34">
        <v>0.0</v>
      </c>
      <c r="R226" s="34">
        <v>100.0</v>
      </c>
      <c r="S226" s="34">
        <v>0.0</v>
      </c>
      <c r="T226" s="34">
        <v>0.0</v>
      </c>
      <c r="U226" s="33">
        <f>COUNTIFS('Data For Calculation - Insuranc'!A:A,A226,'Data For Calculation - Insuranc'!E:E,"CPA + RSA + AHDC + DOC")</f>
        <v>0</v>
      </c>
      <c r="V226" s="30" t="s">
        <v>3817</v>
      </c>
      <c r="W226" s="34">
        <v>838.99</v>
      </c>
      <c r="X226" s="34" t="s">
        <v>3853</v>
      </c>
      <c r="Y226" s="34">
        <v>0.0</v>
      </c>
      <c r="Z226" s="34">
        <v>100.0</v>
      </c>
      <c r="AA226" s="34">
        <v>0.0</v>
      </c>
      <c r="AB226" s="34">
        <v>0.0</v>
      </c>
      <c r="AC226" s="33">
        <f>COUNTIFS('Data For Calculation - Insuranc'!A:A,A226,'Data For Calculation - Insuranc'!E:E,"CPA + RSA : 5 Years")</f>
        <v>0</v>
      </c>
      <c r="AD226" s="30" t="s">
        <v>3817</v>
      </c>
      <c r="AE226" s="31">
        <v>838.99</v>
      </c>
      <c r="AF226" s="34" t="s">
        <v>3853</v>
      </c>
      <c r="AG226" s="34">
        <v>0.0</v>
      </c>
      <c r="AH226" s="34">
        <v>100.0</v>
      </c>
      <c r="AI226" s="34">
        <v>0.0</v>
      </c>
      <c r="AJ226" s="34">
        <v>0.0</v>
      </c>
      <c r="AK226" s="33">
        <f>COUNTIFS('Data For Calculation - Insuranc'!A:A,A226,'Data For Calculation - Insuranc'!E:E,"Assistance + CPA : 5 Years")</f>
        <v>0</v>
      </c>
      <c r="AL226" s="30" t="s">
        <v>3817</v>
      </c>
      <c r="AM226" s="31">
        <v>290.0</v>
      </c>
      <c r="AN226" s="34" t="s">
        <v>3853</v>
      </c>
      <c r="AO226" s="34">
        <v>0.0</v>
      </c>
      <c r="AP226" s="34">
        <v>100.0</v>
      </c>
      <c r="AQ226" s="34">
        <v>0.0</v>
      </c>
      <c r="AR226" s="34">
        <v>0.0</v>
      </c>
      <c r="AS226" s="33">
        <f>COUNTIFS('Data For Calculation - Insuranc'!A:A,A226,'Data For Calculation - Insuranc'!E:E,"RSA + AHDC + DOC")</f>
        <v>0</v>
      </c>
      <c r="AT226" s="33"/>
      <c r="AU226" s="33"/>
      <c r="AV226" s="33"/>
      <c r="AW226" s="33"/>
      <c r="AX226" s="33"/>
      <c r="AY226" s="33"/>
      <c r="AZ226" s="33"/>
      <c r="BA226" s="33"/>
      <c r="BB226" s="33"/>
      <c r="BC226" s="33"/>
      <c r="BD226" s="33"/>
      <c r="BE226" s="33"/>
      <c r="BF226" s="33"/>
      <c r="BG226" s="33"/>
      <c r="BH226" s="33"/>
      <c r="BI226" s="33"/>
      <c r="BJ226" s="33"/>
      <c r="BK226" s="33"/>
      <c r="BL226" s="33"/>
      <c r="BM226" s="33"/>
      <c r="BN226" s="33"/>
      <c r="BO226" s="33"/>
      <c r="BP226" s="33"/>
      <c r="BQ226" s="33"/>
      <c r="BR226" s="33">
        <f t="shared" si="1"/>
        <v>0</v>
      </c>
      <c r="BS226" s="33">
        <f>SUMIFS('Data For Calculation - Insuranc'!I:I,'Data For Calculation - Insuranc'!$A:$A,$A226)</f>
        <v>0</v>
      </c>
      <c r="BT226" s="33">
        <f>SUMIFS('Data For Calculation - Insuranc'!J:J,'Data For Calculation - Insuranc'!$A:$A,$A226)</f>
        <v>0</v>
      </c>
      <c r="BU226" s="33">
        <f>SUMIFS('Data For Calculation - Insuranc'!K:K,'Data For Calculation - Insuranc'!$A:$A,$A226)</f>
        <v>0</v>
      </c>
      <c r="BV226" s="33">
        <f>IF($CC226 = "Dealer", SUMIFS('Data For Calculation - Insuranc'!I:I,'Data For Calculation - Insuranc'!$B:$B,$A226,'Data For Calculation - Insuranc'!$H:$H,"Master Dealer")) + SUMIFS('Data For Calculation - Insuranc'!I:I,'Data For Calculation - Insuranc'!$A:$A,$A226,'Data For Calculation - Insuranc'!$H:$H,"Self")</f>
        <v>0</v>
      </c>
      <c r="BW226" s="33">
        <f>IF($CC226 = "Dealer", SUMIFS('Data For Calculation - Insuranc'!J:J,'Data For Calculation - Insuranc'!$B:$B,$A226,'Data For Calculation - Insuranc'!$H:$H,"Master Dealer")) + SUMIFS('Data For Calculation - Insuranc'!J:J,'Data For Calculation - Insuranc'!$A:$A,$A226,'Data For Calculation - Insuranc'!$H:$H,"Self")</f>
        <v>0</v>
      </c>
      <c r="BX226" s="33">
        <f>IF($CC226 = "Dealer", SUMIFS('Data For Calculation - Insuranc'!K:K,'Data For Calculation - Insuranc'!$B:$B,$A226,'Data For Calculation - Insuranc'!$H:$H,"Master Dealer")) + SUMIFS('Data For Calculation - Insuranc'!K:K,'Data For Calculation - Insuranc'!$A:$A,$A226,'Data For Calculation - Insuranc'!$H:$H,"Self")</f>
        <v>0</v>
      </c>
      <c r="BY226" s="25" t="str">
        <f>(Sheet1!N226)</f>
        <v>Mahalaxmi TVS- AHEMDABAD</v>
      </c>
      <c r="BZ226" s="25" t="str">
        <f>(Sheet1!O226)</f>
        <v>1Y48WevU4dZlpN_oRadqFSD4ED20x97CYUdeAzWdn3go</v>
      </c>
      <c r="CA226" s="25" t="str">
        <f>(Sheet1!AV226)</f>
        <v/>
      </c>
      <c r="CB226" s="25" t="str">
        <f>(Sheet1!AW226)</f>
        <v/>
      </c>
      <c r="CC226" s="26" t="str">
        <f>(Sheet1!P226)</f>
        <v>Sub Dealer</v>
      </c>
    </row>
    <row r="227">
      <c r="A227" s="25" t="str">
        <f>(Sheet1!A227)</f>
        <v>1IMcQqxHRw8US8te4fBVvZW4P02L-zmWAO8h94QGx7Eg</v>
      </c>
      <c r="B227" s="25" t="str">
        <f>(Sheet1!B227)</f>
        <v>MAHALAXMI TVS-ODHAV</v>
      </c>
      <c r="C227" s="30" t="str">
        <f>Sheet1!BB227</f>
        <v>No</v>
      </c>
      <c r="D227" s="30" t="s">
        <v>13</v>
      </c>
      <c r="E227" s="34" t="s">
        <v>13</v>
      </c>
      <c r="F227" s="30" t="s">
        <v>3817</v>
      </c>
      <c r="G227" s="31">
        <v>235.0</v>
      </c>
      <c r="H227" s="34" t="s">
        <v>3853</v>
      </c>
      <c r="I227" s="34">
        <v>0.0</v>
      </c>
      <c r="J227" s="34">
        <v>100.0</v>
      </c>
      <c r="K227" s="34">
        <v>0.0</v>
      </c>
      <c r="L227" s="34">
        <v>0.0</v>
      </c>
      <c r="M227" s="33">
        <f>COUNTIFS('Data For Calculation - Insuranc'!A:A,A227,'Data For Calculation - Insuranc'!E:E,"CPA + RSA")</f>
        <v>0</v>
      </c>
      <c r="N227" s="30" t="s">
        <v>3817</v>
      </c>
      <c r="O227" s="31">
        <v>460.0</v>
      </c>
      <c r="P227" s="34" t="s">
        <v>3853</v>
      </c>
      <c r="Q227" s="34">
        <v>0.0</v>
      </c>
      <c r="R227" s="34">
        <v>100.0</v>
      </c>
      <c r="S227" s="34">
        <v>0.0</v>
      </c>
      <c r="T227" s="34">
        <v>0.0</v>
      </c>
      <c r="U227" s="33">
        <f>COUNTIFS('Data For Calculation - Insuranc'!A:A,A227,'Data For Calculation - Insuranc'!E:E,"CPA + RSA + AHDC + DOC")</f>
        <v>0</v>
      </c>
      <c r="V227" s="30" t="s">
        <v>3817</v>
      </c>
      <c r="W227" s="34">
        <v>838.99</v>
      </c>
      <c r="X227" s="34" t="s">
        <v>3853</v>
      </c>
      <c r="Y227" s="34">
        <v>0.0</v>
      </c>
      <c r="Z227" s="34">
        <v>100.0</v>
      </c>
      <c r="AA227" s="34">
        <v>0.0</v>
      </c>
      <c r="AB227" s="34">
        <v>0.0</v>
      </c>
      <c r="AC227" s="33">
        <f>COUNTIFS('Data For Calculation - Insuranc'!A:A,A227,'Data For Calculation - Insuranc'!E:E,"CPA + RSA : 5 Years")</f>
        <v>0</v>
      </c>
      <c r="AD227" s="30" t="s">
        <v>3817</v>
      </c>
      <c r="AE227" s="31">
        <v>838.99</v>
      </c>
      <c r="AF227" s="34" t="s">
        <v>3853</v>
      </c>
      <c r="AG227" s="34">
        <v>0.0</v>
      </c>
      <c r="AH227" s="34">
        <v>100.0</v>
      </c>
      <c r="AI227" s="34">
        <v>0.0</v>
      </c>
      <c r="AJ227" s="34">
        <v>0.0</v>
      </c>
      <c r="AK227" s="33">
        <f>COUNTIFS('Data For Calculation - Insuranc'!A:A,A227,'Data For Calculation - Insuranc'!E:E,"Assistance + CPA : 5 Years")</f>
        <v>0</v>
      </c>
      <c r="AL227" s="30" t="s">
        <v>3817</v>
      </c>
      <c r="AM227" s="31">
        <v>290.0</v>
      </c>
      <c r="AN227" s="34" t="s">
        <v>3853</v>
      </c>
      <c r="AO227" s="34">
        <v>0.0</v>
      </c>
      <c r="AP227" s="34">
        <v>100.0</v>
      </c>
      <c r="AQ227" s="34">
        <v>0.0</v>
      </c>
      <c r="AR227" s="34">
        <v>0.0</v>
      </c>
      <c r="AS227" s="33">
        <f>COUNTIFS('Data For Calculation - Insuranc'!A:A,A227,'Data For Calculation - Insuranc'!E:E,"RSA + AHDC + DOC")</f>
        <v>0</v>
      </c>
      <c r="AT227" s="33"/>
      <c r="AU227" s="33"/>
      <c r="AV227" s="33"/>
      <c r="AW227" s="33"/>
      <c r="AX227" s="33"/>
      <c r="AY227" s="33"/>
      <c r="AZ227" s="33"/>
      <c r="BA227" s="33"/>
      <c r="BB227" s="33"/>
      <c r="BC227" s="33"/>
      <c r="BD227" s="33"/>
      <c r="BE227" s="33"/>
      <c r="BF227" s="33"/>
      <c r="BG227" s="33"/>
      <c r="BH227" s="33"/>
      <c r="BI227" s="33"/>
      <c r="BJ227" s="33"/>
      <c r="BK227" s="33"/>
      <c r="BL227" s="33"/>
      <c r="BM227" s="33"/>
      <c r="BN227" s="33"/>
      <c r="BO227" s="33"/>
      <c r="BP227" s="33"/>
      <c r="BQ227" s="33"/>
      <c r="BR227" s="33">
        <f t="shared" si="1"/>
        <v>0</v>
      </c>
      <c r="BS227" s="33">
        <f>SUMIFS('Data For Calculation - Insuranc'!I:I,'Data For Calculation - Insuranc'!$A:$A,$A227)</f>
        <v>0</v>
      </c>
      <c r="BT227" s="33">
        <f>SUMIFS('Data For Calculation - Insuranc'!J:J,'Data For Calculation - Insuranc'!$A:$A,$A227)</f>
        <v>0</v>
      </c>
      <c r="BU227" s="33">
        <f>SUMIFS('Data For Calculation - Insuranc'!K:K,'Data For Calculation - Insuranc'!$A:$A,$A227)</f>
        <v>0</v>
      </c>
      <c r="BV227" s="33">
        <f>IF($CC227 = "Dealer", SUMIFS('Data For Calculation - Insuranc'!I:I,'Data For Calculation - Insuranc'!$B:$B,$A227,'Data For Calculation - Insuranc'!$H:$H,"Master Dealer")) + SUMIFS('Data For Calculation - Insuranc'!I:I,'Data For Calculation - Insuranc'!$A:$A,$A227,'Data For Calculation - Insuranc'!$H:$H,"Self")</f>
        <v>0</v>
      </c>
      <c r="BW227" s="33">
        <f>IF($CC227 = "Dealer", SUMIFS('Data For Calculation - Insuranc'!J:J,'Data For Calculation - Insuranc'!$B:$B,$A227,'Data For Calculation - Insuranc'!$H:$H,"Master Dealer")) + SUMIFS('Data For Calculation - Insuranc'!J:J,'Data For Calculation - Insuranc'!$A:$A,$A227,'Data For Calculation - Insuranc'!$H:$H,"Self")</f>
        <v>0</v>
      </c>
      <c r="BX227" s="33">
        <f>IF($CC227 = "Dealer", SUMIFS('Data For Calculation - Insuranc'!K:K,'Data For Calculation - Insuranc'!$B:$B,$A227,'Data For Calculation - Insuranc'!$H:$H,"Master Dealer")) + SUMIFS('Data For Calculation - Insuranc'!K:K,'Data For Calculation - Insuranc'!$A:$A,$A227,'Data For Calculation - Insuranc'!$H:$H,"Self")</f>
        <v>0</v>
      </c>
      <c r="BY227" s="25" t="str">
        <f>(Sheet1!N227)</f>
        <v>Mahalaxmi TVS- AHEMDABAD</v>
      </c>
      <c r="BZ227" s="25" t="str">
        <f>(Sheet1!O227)</f>
        <v>1Y48WevU4dZlpN_oRadqFSD4ED20x97CYUdeAzWdn3go</v>
      </c>
      <c r="CA227" s="25" t="str">
        <f>(Sheet1!AV227)</f>
        <v/>
      </c>
      <c r="CB227" s="25" t="str">
        <f>(Sheet1!AW227)</f>
        <v/>
      </c>
      <c r="CC227" s="26" t="str">
        <f>(Sheet1!P227)</f>
        <v>Sub Dealer</v>
      </c>
    </row>
    <row r="228">
      <c r="A228" s="25" t="str">
        <f>(Sheet1!A228)</f>
        <v>1adAGJVvFi0F-pwP4fXxBabggqbrsou9iy1He5MQkXp4</v>
      </c>
      <c r="B228" s="25" t="str">
        <f>(Sheet1!B228)</f>
        <v>Janta Automobiles - Sariswa</v>
      </c>
      <c r="C228" s="30" t="str">
        <f>Sheet1!BB228</f>
        <v>No</v>
      </c>
      <c r="D228" s="30" t="s">
        <v>13</v>
      </c>
      <c r="E228" s="34" t="s">
        <v>13</v>
      </c>
      <c r="F228" s="30" t="s">
        <v>3820</v>
      </c>
      <c r="G228" s="31">
        <v>290.0</v>
      </c>
      <c r="H228" s="34" t="s">
        <v>3853</v>
      </c>
      <c r="I228" s="34">
        <v>0.0</v>
      </c>
      <c r="J228" s="34">
        <v>100.0</v>
      </c>
      <c r="K228" s="34">
        <v>0.0</v>
      </c>
      <c r="L228" s="34">
        <v>0.0</v>
      </c>
      <c r="M228" s="33">
        <f>COUNTIFS('Data For Calculation - Insuranc'!A:A,A228,'Data For Calculation - Insuranc'!E:E,"CPA + RSA")</f>
        <v>0</v>
      </c>
      <c r="N228" s="30" t="s">
        <v>3820</v>
      </c>
      <c r="O228" s="31">
        <v>460.0</v>
      </c>
      <c r="P228" s="34" t="s">
        <v>3853</v>
      </c>
      <c r="Q228" s="34">
        <v>0.0</v>
      </c>
      <c r="R228" s="34">
        <v>100.0</v>
      </c>
      <c r="S228" s="34">
        <v>0.0</v>
      </c>
      <c r="T228" s="34">
        <v>0.0</v>
      </c>
      <c r="U228" s="33">
        <f>COUNTIFS('Data For Calculation - Insuranc'!A:A,A228,'Data For Calculation - Insuranc'!E:E,"CPA + RSA + AHDC + DOC")</f>
        <v>0</v>
      </c>
      <c r="V228" s="30" t="s">
        <v>3820</v>
      </c>
      <c r="W228" s="34">
        <v>838.99</v>
      </c>
      <c r="X228" s="34" t="s">
        <v>3853</v>
      </c>
      <c r="Y228" s="34">
        <v>0.0</v>
      </c>
      <c r="Z228" s="34">
        <v>100.0</v>
      </c>
      <c r="AA228" s="34">
        <v>0.0</v>
      </c>
      <c r="AB228" s="34">
        <v>0.0</v>
      </c>
      <c r="AC228" s="33">
        <f>COUNTIFS('Data For Calculation - Insuranc'!A:A,A228,'Data For Calculation - Insuranc'!E:E,"CPA + RSA : 5 Years")</f>
        <v>0</v>
      </c>
      <c r="AD228" s="30" t="s">
        <v>3820</v>
      </c>
      <c r="AE228" s="31">
        <v>838.99</v>
      </c>
      <c r="AF228" s="34" t="s">
        <v>3853</v>
      </c>
      <c r="AG228" s="34">
        <v>0.0</v>
      </c>
      <c r="AH228" s="34">
        <v>100.0</v>
      </c>
      <c r="AI228" s="34">
        <v>0.0</v>
      </c>
      <c r="AJ228" s="34">
        <v>0.0</v>
      </c>
      <c r="AK228" s="33">
        <f>COUNTIFS('Data For Calculation - Insuranc'!A:A,A228,'Data For Calculation - Insuranc'!E:E,"Assistance + CPA : 5 Years")</f>
        <v>0</v>
      </c>
      <c r="AL228" s="30" t="s">
        <v>3820</v>
      </c>
      <c r="AM228" s="31">
        <v>290.0</v>
      </c>
      <c r="AN228" s="34" t="s">
        <v>3853</v>
      </c>
      <c r="AO228" s="34">
        <v>0.0</v>
      </c>
      <c r="AP228" s="34">
        <v>100.0</v>
      </c>
      <c r="AQ228" s="34">
        <v>0.0</v>
      </c>
      <c r="AR228" s="34">
        <v>0.0</v>
      </c>
      <c r="AS228" s="33">
        <f>COUNTIFS('Data For Calculation - Insuranc'!A:A,A228,'Data For Calculation - Insuranc'!E:E,"RSA + AHDC + DOC")</f>
        <v>0</v>
      </c>
      <c r="AT228" s="33"/>
      <c r="AU228" s="33"/>
      <c r="AV228" s="33"/>
      <c r="AW228" s="33"/>
      <c r="AX228" s="33"/>
      <c r="AY228" s="33"/>
      <c r="AZ228" s="33"/>
      <c r="BA228" s="33"/>
      <c r="BB228" s="33"/>
      <c r="BC228" s="33"/>
      <c r="BD228" s="33"/>
      <c r="BE228" s="33"/>
      <c r="BF228" s="33"/>
      <c r="BG228" s="33"/>
      <c r="BH228" s="33"/>
      <c r="BI228" s="33"/>
      <c r="BJ228" s="33"/>
      <c r="BK228" s="33"/>
      <c r="BL228" s="33"/>
      <c r="BM228" s="33"/>
      <c r="BN228" s="33"/>
      <c r="BO228" s="33"/>
      <c r="BP228" s="33"/>
      <c r="BQ228" s="33"/>
      <c r="BR228" s="33">
        <f t="shared" si="1"/>
        <v>0</v>
      </c>
      <c r="BS228" s="33">
        <f>SUMIFS('Data For Calculation - Insuranc'!I:I,'Data For Calculation - Insuranc'!$A:$A,$A228)</f>
        <v>0</v>
      </c>
      <c r="BT228" s="33">
        <f>SUMIFS('Data For Calculation - Insuranc'!J:J,'Data For Calculation - Insuranc'!$A:$A,$A228)</f>
        <v>0</v>
      </c>
      <c r="BU228" s="33">
        <f>SUMIFS('Data For Calculation - Insuranc'!K:K,'Data For Calculation - Insuranc'!$A:$A,$A228)</f>
        <v>0</v>
      </c>
      <c r="BV228" s="33">
        <f>IF($CC228 = "Dealer", SUMIFS('Data For Calculation - Insuranc'!I:I,'Data For Calculation - Insuranc'!$B:$B,$A228,'Data For Calculation - Insuranc'!$H:$H,"Master Dealer")) + SUMIFS('Data For Calculation - Insuranc'!I:I,'Data For Calculation - Insuranc'!$A:$A,$A228,'Data For Calculation - Insuranc'!$H:$H,"Self")</f>
        <v>0</v>
      </c>
      <c r="BW228" s="33">
        <f>IF($CC228 = "Dealer", SUMIFS('Data For Calculation - Insuranc'!J:J,'Data For Calculation - Insuranc'!$B:$B,$A228,'Data For Calculation - Insuranc'!$H:$H,"Master Dealer")) + SUMIFS('Data For Calculation - Insuranc'!J:J,'Data For Calculation - Insuranc'!$A:$A,$A228,'Data For Calculation - Insuranc'!$H:$H,"Self")</f>
        <v>0</v>
      </c>
      <c r="BX228" s="33">
        <f>IF($CC228 = "Dealer", SUMIFS('Data For Calculation - Insuranc'!K:K,'Data For Calculation - Insuranc'!$B:$B,$A228,'Data For Calculation - Insuranc'!$H:$H,"Master Dealer")) + SUMIFS('Data For Calculation - Insuranc'!K:K,'Data For Calculation - Insuranc'!$A:$A,$A228,'Data For Calculation - Insuranc'!$H:$H,"Self")</f>
        <v>0</v>
      </c>
      <c r="BY228" s="25" t="str">
        <f>(Sheet1!N228)</f>
        <v>Modern Auto Agency - Bettiah</v>
      </c>
      <c r="BZ228" s="25" t="str">
        <f>(Sheet1!O228)</f>
        <v>1_UtGSoyOsljQXvmry7gfXGYwjwEjQbghQQGZebnq45M</v>
      </c>
      <c r="CA228" s="25" t="str">
        <f>(Sheet1!AV228)</f>
        <v/>
      </c>
      <c r="CB228" s="25" t="str">
        <f>(Sheet1!AW228)</f>
        <v/>
      </c>
      <c r="CC228" s="26" t="str">
        <f>(Sheet1!P228)</f>
        <v>Sub Dealer</v>
      </c>
    </row>
    <row r="229">
      <c r="A229" s="26" t="str">
        <f>(Sheet1!A229)</f>
        <v>15uhTTh3U4NtU7dtogFOcc_qPQ7_1_JO1RNn9VV2M20o</v>
      </c>
      <c r="B229" s="26" t="str">
        <f>(Sheet1!B229)</f>
        <v>SHYAM BIHARI AUTO-CHANDOS</v>
      </c>
      <c r="C229" s="30" t="str">
        <f>Sheet1!BB229</f>
        <v>No</v>
      </c>
      <c r="D229" s="34" t="s">
        <v>13</v>
      </c>
      <c r="E229" s="34" t="s">
        <v>13</v>
      </c>
      <c r="F229" s="34" t="s">
        <v>3820</v>
      </c>
      <c r="G229" s="34">
        <v>170.0</v>
      </c>
      <c r="H229" s="34" t="s">
        <v>3853</v>
      </c>
      <c r="I229" s="34">
        <v>0.0</v>
      </c>
      <c r="J229" s="34">
        <v>100.0</v>
      </c>
      <c r="K229" s="34">
        <v>0.0</v>
      </c>
      <c r="L229" s="34">
        <v>0.0</v>
      </c>
      <c r="M229" s="33">
        <f>COUNTIFS('Data For Calculation - Insuranc'!A:A,A229,'Data For Calculation - Insuranc'!E:E,"CPA + RSA")</f>
        <v>0</v>
      </c>
      <c r="N229" s="34" t="s">
        <v>3820</v>
      </c>
      <c r="O229" s="34">
        <v>170.0</v>
      </c>
      <c r="P229" s="34" t="s">
        <v>3853</v>
      </c>
      <c r="Q229" s="34">
        <v>0.0</v>
      </c>
      <c r="R229" s="34">
        <v>100.0</v>
      </c>
      <c r="S229" s="34">
        <v>0.0</v>
      </c>
      <c r="T229" s="34">
        <v>0.0</v>
      </c>
      <c r="U229" s="33">
        <f>COUNTIFS('Data For Calculation - Insuranc'!A:A,A229,'Data For Calculation - Insuranc'!E:E,"CPA + RSA + AHDC + DOC")</f>
        <v>0</v>
      </c>
      <c r="V229" s="34" t="s">
        <v>3820</v>
      </c>
      <c r="W229" s="34">
        <v>838.99</v>
      </c>
      <c r="X229" s="34" t="s">
        <v>3853</v>
      </c>
      <c r="Y229" s="34">
        <v>0.0</v>
      </c>
      <c r="Z229" s="34">
        <v>100.0</v>
      </c>
      <c r="AA229" s="34">
        <v>0.0</v>
      </c>
      <c r="AB229" s="34">
        <v>0.0</v>
      </c>
      <c r="AC229" s="33">
        <f>COUNTIFS('Data For Calculation - Insuranc'!A:A,A229,'Data For Calculation - Insuranc'!E:E,"CPA + RSA : 5 Years")</f>
        <v>0</v>
      </c>
      <c r="AD229" s="34" t="s">
        <v>3820</v>
      </c>
      <c r="AE229" s="34">
        <v>838.99</v>
      </c>
      <c r="AF229" s="34" t="s">
        <v>3853</v>
      </c>
      <c r="AG229" s="34">
        <v>0.0</v>
      </c>
      <c r="AH229" s="34">
        <v>100.0</v>
      </c>
      <c r="AI229" s="34">
        <v>0.0</v>
      </c>
      <c r="AJ229" s="34">
        <v>0.0</v>
      </c>
      <c r="AK229" s="33">
        <f>COUNTIFS('Data For Calculation - Insuranc'!A:A,A229,'Data For Calculation - Insuranc'!E:E,"Assistance + CPA : 5 Years")</f>
        <v>0</v>
      </c>
      <c r="AL229" s="34" t="s">
        <v>3820</v>
      </c>
      <c r="AM229" s="34">
        <v>290.0</v>
      </c>
      <c r="AN229" s="34" t="s">
        <v>3853</v>
      </c>
      <c r="AO229" s="34">
        <v>0.0</v>
      </c>
      <c r="AP229" s="34">
        <v>100.0</v>
      </c>
      <c r="AQ229" s="34">
        <v>0.0</v>
      </c>
      <c r="AR229" s="34">
        <v>0.0</v>
      </c>
      <c r="AS229" s="33">
        <f>COUNTIFS('Data For Calculation - Insuranc'!A:A,A229,'Data For Calculation - Insuranc'!E:E,"RSA + AHDC + DOC")</f>
        <v>0</v>
      </c>
      <c r="BR229" s="33">
        <f t="shared" si="1"/>
        <v>0</v>
      </c>
      <c r="BS229" s="33">
        <f>SUMIFS('Data For Calculation - Insuranc'!I:I,'Data For Calculation - Insuranc'!$A:$A,$A229)</f>
        <v>0</v>
      </c>
      <c r="BT229" s="33">
        <f>SUMIFS('Data For Calculation - Insuranc'!J:J,'Data For Calculation - Insuranc'!$A:$A,$A229)</f>
        <v>0</v>
      </c>
      <c r="BU229" s="33">
        <f>SUMIFS('Data For Calculation - Insuranc'!K:K,'Data For Calculation - Insuranc'!$A:$A,$A229)</f>
        <v>0</v>
      </c>
      <c r="BV229" s="33">
        <f>IF($CC229 = "Dealer", SUMIFS('Data For Calculation - Insuranc'!I:I,'Data For Calculation - Insuranc'!$B:$B,$A229,'Data For Calculation - Insuranc'!$H:$H,"Master Dealer")) + SUMIFS('Data For Calculation - Insuranc'!I:I,'Data For Calculation - Insuranc'!$A:$A,$A229,'Data For Calculation - Insuranc'!$H:$H,"Self")</f>
        <v>0</v>
      </c>
      <c r="BW229" s="33">
        <f>IF($CC229 = "Dealer", SUMIFS('Data For Calculation - Insuranc'!J:J,'Data For Calculation - Insuranc'!$B:$B,$A229,'Data For Calculation - Insuranc'!$H:$H,"Master Dealer")) + SUMIFS('Data For Calculation - Insuranc'!J:J,'Data For Calculation - Insuranc'!$A:$A,$A229,'Data For Calculation - Insuranc'!$H:$H,"Self")</f>
        <v>0</v>
      </c>
      <c r="BX229" s="33">
        <f>IF($CC229 = "Dealer", SUMIFS('Data For Calculation - Insuranc'!K:K,'Data For Calculation - Insuranc'!$B:$B,$A229,'Data For Calculation - Insuranc'!$H:$H,"Master Dealer")) + SUMIFS('Data For Calculation - Insuranc'!K:K,'Data For Calculation - Insuranc'!$A:$A,$A229,'Data For Calculation - Insuranc'!$H:$H,"Self")</f>
        <v>0</v>
      </c>
      <c r="BY229" s="26" t="str">
        <f>(Sheet1!N229)</f>
        <v>Vikas Autowheels</v>
      </c>
      <c r="BZ229" s="26" t="str">
        <f>(Sheet1!O229)</f>
        <v>1944RLX7T1M23YXRXYoMnJ6nD_bKLldQXRpFRA0rDLvg</v>
      </c>
      <c r="CA229" s="25" t="str">
        <f>(Sheet1!AV229)</f>
        <v/>
      </c>
      <c r="CB229" s="25" t="str">
        <f>(Sheet1!AW229)</f>
        <v/>
      </c>
      <c r="CC229" s="26" t="str">
        <f>(Sheet1!P229)</f>
        <v>Sub Dealer</v>
      </c>
    </row>
    <row r="230">
      <c r="A230" s="26" t="str">
        <f>(Sheet1!A230)</f>
        <v>1TMoK3EazfL-7jZ93zmbRweRcJH2sH5eJ2ciO7ryiDaU</v>
      </c>
      <c r="B230" s="26" t="str">
        <f>(Sheet1!B230)</f>
        <v>JADON MOTORS-GABHANA</v>
      </c>
      <c r="C230" s="30" t="str">
        <f>Sheet1!BB230</f>
        <v>No</v>
      </c>
      <c r="D230" s="34" t="s">
        <v>13</v>
      </c>
      <c r="E230" s="34" t="s">
        <v>13</v>
      </c>
      <c r="F230" s="34" t="s">
        <v>3820</v>
      </c>
      <c r="G230" s="34">
        <v>170.0</v>
      </c>
      <c r="H230" s="34" t="s">
        <v>3853</v>
      </c>
      <c r="I230" s="34">
        <v>0.0</v>
      </c>
      <c r="J230" s="34">
        <v>100.0</v>
      </c>
      <c r="K230" s="34">
        <v>0.0</v>
      </c>
      <c r="L230" s="34">
        <v>0.0</v>
      </c>
      <c r="M230" s="33">
        <f>COUNTIFS('Data For Calculation - Insuranc'!A:A,A230,'Data For Calculation - Insuranc'!E:E,"CPA + RSA")</f>
        <v>0</v>
      </c>
      <c r="N230" s="34" t="s">
        <v>3820</v>
      </c>
      <c r="O230" s="34">
        <v>170.0</v>
      </c>
      <c r="P230" s="34" t="s">
        <v>3853</v>
      </c>
      <c r="Q230" s="34">
        <v>0.0</v>
      </c>
      <c r="R230" s="34">
        <v>100.0</v>
      </c>
      <c r="S230" s="34">
        <v>0.0</v>
      </c>
      <c r="T230" s="34">
        <v>0.0</v>
      </c>
      <c r="U230" s="33">
        <f>COUNTIFS('Data For Calculation - Insuranc'!A:A,A230,'Data For Calculation - Insuranc'!E:E,"CPA + RSA + AHDC + DOC")</f>
        <v>0</v>
      </c>
      <c r="V230" s="34" t="s">
        <v>3820</v>
      </c>
      <c r="W230" s="34">
        <v>838.99</v>
      </c>
      <c r="X230" s="34" t="s">
        <v>3853</v>
      </c>
      <c r="Y230" s="34">
        <v>0.0</v>
      </c>
      <c r="Z230" s="34">
        <v>100.0</v>
      </c>
      <c r="AA230" s="34">
        <v>0.0</v>
      </c>
      <c r="AB230" s="34">
        <v>0.0</v>
      </c>
      <c r="AC230" s="33">
        <f>COUNTIFS('Data For Calculation - Insuranc'!A:A,A230,'Data For Calculation - Insuranc'!E:E,"CPA + RSA : 5 Years")</f>
        <v>0</v>
      </c>
      <c r="AD230" s="34" t="s">
        <v>3820</v>
      </c>
      <c r="AE230" s="34">
        <v>838.99</v>
      </c>
      <c r="AF230" s="34" t="s">
        <v>3853</v>
      </c>
      <c r="AG230" s="34">
        <v>0.0</v>
      </c>
      <c r="AH230" s="34">
        <v>100.0</v>
      </c>
      <c r="AI230" s="34">
        <v>0.0</v>
      </c>
      <c r="AJ230" s="34">
        <v>0.0</v>
      </c>
      <c r="AK230" s="33">
        <f>COUNTIFS('Data For Calculation - Insuranc'!A:A,A230,'Data For Calculation - Insuranc'!E:E,"Assistance + CPA : 5 Years")</f>
        <v>0</v>
      </c>
      <c r="AL230" s="34" t="s">
        <v>3820</v>
      </c>
      <c r="AM230" s="34">
        <v>290.0</v>
      </c>
      <c r="AN230" s="34" t="s">
        <v>3853</v>
      </c>
      <c r="AO230" s="34">
        <v>0.0</v>
      </c>
      <c r="AP230" s="34">
        <v>100.0</v>
      </c>
      <c r="AQ230" s="34">
        <v>0.0</v>
      </c>
      <c r="AR230" s="34">
        <v>0.0</v>
      </c>
      <c r="AS230" s="33">
        <f>COUNTIFS('Data For Calculation - Insuranc'!A:A,A230,'Data For Calculation - Insuranc'!E:E,"RSA + AHDC + DOC")</f>
        <v>0</v>
      </c>
      <c r="BR230" s="33">
        <f t="shared" si="1"/>
        <v>0</v>
      </c>
      <c r="BS230" s="33">
        <f>SUMIFS('Data For Calculation - Insuranc'!I:I,'Data For Calculation - Insuranc'!$A:$A,$A230)</f>
        <v>0</v>
      </c>
      <c r="BT230" s="33">
        <f>SUMIFS('Data For Calculation - Insuranc'!J:J,'Data For Calculation - Insuranc'!$A:$A,$A230)</f>
        <v>0</v>
      </c>
      <c r="BU230" s="33">
        <f>SUMIFS('Data For Calculation - Insuranc'!K:K,'Data For Calculation - Insuranc'!$A:$A,$A230)</f>
        <v>0</v>
      </c>
      <c r="BV230" s="33">
        <f>IF($CC230 = "Dealer", SUMIFS('Data For Calculation - Insuranc'!I:I,'Data For Calculation - Insuranc'!$B:$B,$A230,'Data For Calculation - Insuranc'!$H:$H,"Master Dealer")) + SUMIFS('Data For Calculation - Insuranc'!I:I,'Data For Calculation - Insuranc'!$A:$A,$A230,'Data For Calculation - Insuranc'!$H:$H,"Self")</f>
        <v>0</v>
      </c>
      <c r="BW230" s="33">
        <f>IF($CC230 = "Dealer", SUMIFS('Data For Calculation - Insuranc'!J:J,'Data For Calculation - Insuranc'!$B:$B,$A230,'Data For Calculation - Insuranc'!$H:$H,"Master Dealer")) + SUMIFS('Data For Calculation - Insuranc'!J:J,'Data For Calculation - Insuranc'!$A:$A,$A230,'Data For Calculation - Insuranc'!$H:$H,"Self")</f>
        <v>0</v>
      </c>
      <c r="BX230" s="33">
        <f>IF($CC230 = "Dealer", SUMIFS('Data For Calculation - Insuranc'!K:K,'Data For Calculation - Insuranc'!$B:$B,$A230,'Data For Calculation - Insuranc'!$H:$H,"Master Dealer")) + SUMIFS('Data For Calculation - Insuranc'!K:K,'Data For Calculation - Insuranc'!$A:$A,$A230,'Data For Calculation - Insuranc'!$H:$H,"Self")</f>
        <v>0</v>
      </c>
      <c r="BY230" s="26" t="str">
        <f>(Sheet1!N230)</f>
        <v>Vikas Autowheels</v>
      </c>
      <c r="BZ230" s="26" t="str">
        <f>(Sheet1!O230)</f>
        <v>1944RLX7T1M23YXRXYoMnJ6nD_bKLldQXRpFRA0rDLvg</v>
      </c>
      <c r="CA230" s="25" t="str">
        <f>(Sheet1!AV230)</f>
        <v/>
      </c>
      <c r="CB230" s="25" t="str">
        <f>(Sheet1!AW230)</f>
        <v/>
      </c>
      <c r="CC230" s="26" t="str">
        <f>(Sheet1!P230)</f>
        <v>Sub Dealer</v>
      </c>
    </row>
    <row r="231">
      <c r="A231" s="26" t="str">
        <f>(Sheet1!A231)</f>
        <v>19-6IeElMwTssF4aorJkfA7Hy5Pfa62mHkj31T_xKwZg</v>
      </c>
      <c r="B231" s="26" t="str">
        <f>(Sheet1!B231)</f>
        <v>VIJAY AGENCY(AAA) - Aligarh</v>
      </c>
      <c r="C231" s="30" t="str">
        <f>Sheet1!BB231</f>
        <v>No</v>
      </c>
      <c r="D231" s="34" t="s">
        <v>13</v>
      </c>
      <c r="E231" s="34" t="s">
        <v>13</v>
      </c>
      <c r="F231" s="30" t="s">
        <v>3817</v>
      </c>
      <c r="G231" s="31">
        <v>155.0</v>
      </c>
      <c r="H231" s="34" t="s">
        <v>3853</v>
      </c>
      <c r="I231" s="34">
        <v>0.0</v>
      </c>
      <c r="J231" s="34">
        <v>100.0</v>
      </c>
      <c r="K231" s="34">
        <v>0.0</v>
      </c>
      <c r="L231" s="34">
        <v>0.0</v>
      </c>
      <c r="M231" s="33">
        <f>COUNTIFS('Data For Calculation - Insuranc'!A:A,A231,'Data For Calculation - Insuranc'!E:E,"CPA + RSA")</f>
        <v>0</v>
      </c>
      <c r="N231" s="30" t="s">
        <v>3817</v>
      </c>
      <c r="O231" s="41">
        <v>155.0</v>
      </c>
      <c r="P231" s="34" t="s">
        <v>3853</v>
      </c>
      <c r="Q231" s="34">
        <v>0.0</v>
      </c>
      <c r="R231" s="34">
        <v>100.0</v>
      </c>
      <c r="S231" s="34">
        <v>0.0</v>
      </c>
      <c r="T231" s="34">
        <v>0.0</v>
      </c>
      <c r="U231" s="33">
        <f>COUNTIFS('Data For Calculation - Insuranc'!A:A,A231,'Data For Calculation - Insuranc'!E:E,"CPA + RSA + AHDC + DOC")</f>
        <v>0</v>
      </c>
      <c r="V231" s="30" t="s">
        <v>3817</v>
      </c>
      <c r="W231" s="34">
        <v>838.99</v>
      </c>
      <c r="X231" s="34" t="s">
        <v>3853</v>
      </c>
      <c r="Y231" s="34">
        <v>0.0</v>
      </c>
      <c r="Z231" s="34">
        <v>100.0</v>
      </c>
      <c r="AA231" s="34">
        <v>0.0</v>
      </c>
      <c r="AB231" s="34">
        <v>0.0</v>
      </c>
      <c r="AC231" s="33">
        <f>COUNTIFS('Data For Calculation - Insuranc'!A:A,A231,'Data For Calculation - Insuranc'!E:E,"CPA + RSA : 5 Years")</f>
        <v>0</v>
      </c>
      <c r="AD231" s="30" t="s">
        <v>3817</v>
      </c>
      <c r="AE231" s="34">
        <v>838.99</v>
      </c>
      <c r="AF231" s="34" t="s">
        <v>3853</v>
      </c>
      <c r="AG231" s="34">
        <v>0.0</v>
      </c>
      <c r="AH231" s="34">
        <v>100.0</v>
      </c>
      <c r="AI231" s="34">
        <v>0.0</v>
      </c>
      <c r="AJ231" s="34">
        <v>0.0</v>
      </c>
      <c r="AK231" s="33">
        <f>COUNTIFS('Data For Calculation - Insuranc'!A:A,A231,'Data For Calculation - Insuranc'!E:E,"Assistance + CPA : 5 Years")</f>
        <v>0</v>
      </c>
      <c r="AL231" s="30" t="s">
        <v>3817</v>
      </c>
      <c r="AM231" s="31">
        <v>155.0</v>
      </c>
      <c r="AN231" s="34" t="s">
        <v>3853</v>
      </c>
      <c r="AO231" s="34">
        <v>0.0</v>
      </c>
      <c r="AP231" s="34">
        <v>100.0</v>
      </c>
      <c r="AQ231" s="34">
        <v>0.0</v>
      </c>
      <c r="AR231" s="34">
        <v>0.0</v>
      </c>
      <c r="AS231" s="33">
        <f>COUNTIFS('Data For Calculation - Insuranc'!A:A,A231,'Data For Calculation - Insuranc'!E:E,"RSA + AHDC + DOC")</f>
        <v>0</v>
      </c>
      <c r="BR231" s="33">
        <f t="shared" si="1"/>
        <v>0</v>
      </c>
      <c r="BS231" s="33">
        <f>SUMIFS('Data For Calculation - Insuranc'!I:I,'Data For Calculation - Insuranc'!$A:$A,$A231)</f>
        <v>0</v>
      </c>
      <c r="BT231" s="33">
        <f>SUMIFS('Data For Calculation - Insuranc'!J:J,'Data For Calculation - Insuranc'!$A:$A,$A231)</f>
        <v>0</v>
      </c>
      <c r="BU231" s="33">
        <f>SUMIFS('Data For Calculation - Insuranc'!K:K,'Data For Calculation - Insuranc'!$A:$A,$A231)</f>
        <v>0</v>
      </c>
      <c r="BV231" s="33">
        <f>IF($CC231 = "Dealer", SUMIFS('Data For Calculation - Insuranc'!I:I,'Data For Calculation - Insuranc'!$B:$B,$A231,'Data For Calculation - Insuranc'!$H:$H,"Master Dealer")) + SUMIFS('Data For Calculation - Insuranc'!I:I,'Data For Calculation - Insuranc'!$A:$A,$A231,'Data For Calculation - Insuranc'!$H:$H,"Self")</f>
        <v>0</v>
      </c>
      <c r="BW231" s="33">
        <f>IF($CC231 = "Dealer", SUMIFS('Data For Calculation - Insuranc'!J:J,'Data For Calculation - Insuranc'!$B:$B,$A231,'Data For Calculation - Insuranc'!$H:$H,"Master Dealer")) + SUMIFS('Data For Calculation - Insuranc'!J:J,'Data For Calculation - Insuranc'!$A:$A,$A231,'Data For Calculation - Insuranc'!$H:$H,"Self")</f>
        <v>0</v>
      </c>
      <c r="BX231" s="33">
        <f>IF($CC231 = "Dealer", SUMIFS('Data For Calculation - Insuranc'!K:K,'Data For Calculation - Insuranc'!$B:$B,$A231,'Data For Calculation - Insuranc'!$H:$H,"Master Dealer")) + SUMIFS('Data For Calculation - Insuranc'!K:K,'Data For Calculation - Insuranc'!$A:$A,$A231,'Data For Calculation - Insuranc'!$H:$H,"Self")</f>
        <v>0</v>
      </c>
      <c r="BY231" s="26" t="str">
        <f>(Sheet1!N231)</f>
        <v>AAA</v>
      </c>
      <c r="BZ231" s="26" t="str">
        <f>(Sheet1!O231)</f>
        <v>1AjVyIHPgPw3jscNmkTH1qzR2RokK5FZaJLjeNfOiYAA</v>
      </c>
      <c r="CA231" s="25" t="str">
        <f>(Sheet1!AV231)</f>
        <v/>
      </c>
      <c r="CB231" s="25" t="str">
        <f>(Sheet1!AW231)</f>
        <v/>
      </c>
      <c r="CC231" s="26" t="str">
        <f>(Sheet1!P231)</f>
        <v>Sub Dealer</v>
      </c>
    </row>
    <row r="232">
      <c r="A232" s="26" t="str">
        <f>(Sheet1!A232)</f>
        <v>1IvhNiO_rNg1IV2ApA-e8TfjWXV5sahUvtIFjbiqS99s</v>
      </c>
      <c r="B232" s="26" t="str">
        <f>(Sheet1!B232)</f>
        <v>Shivay Motors (AAA) - Vijaygarh</v>
      </c>
      <c r="C232" s="30" t="str">
        <f>Sheet1!BB232</f>
        <v>No</v>
      </c>
      <c r="D232" s="34" t="s">
        <v>13</v>
      </c>
      <c r="E232" s="34" t="s">
        <v>3821</v>
      </c>
      <c r="F232" s="30" t="s">
        <v>3817</v>
      </c>
      <c r="G232" s="31">
        <v>155.0</v>
      </c>
      <c r="H232" s="34" t="s">
        <v>3853</v>
      </c>
      <c r="I232" s="34">
        <v>0.0</v>
      </c>
      <c r="J232" s="34">
        <v>100.0</v>
      </c>
      <c r="K232" s="34">
        <v>0.0</v>
      </c>
      <c r="L232" s="34">
        <v>0.0</v>
      </c>
      <c r="M232" s="33">
        <f>COUNTIFS('Data For Calculation - Insuranc'!A:A,A232,'Data For Calculation - Insuranc'!E:E,"CPA + RSA")</f>
        <v>0</v>
      </c>
      <c r="N232" s="30" t="s">
        <v>3817</v>
      </c>
      <c r="O232" s="41">
        <v>155.0</v>
      </c>
      <c r="P232" s="34" t="s">
        <v>3853</v>
      </c>
      <c r="Q232" s="34">
        <v>0.0</v>
      </c>
      <c r="R232" s="34">
        <v>100.0</v>
      </c>
      <c r="S232" s="34">
        <v>0.0</v>
      </c>
      <c r="T232" s="34">
        <v>0.0</v>
      </c>
      <c r="U232" s="33">
        <f>COUNTIFS('Data For Calculation - Insuranc'!A:A,A232,'Data For Calculation - Insuranc'!E:E,"CPA + RSA + AHDC + DOC")</f>
        <v>0</v>
      </c>
      <c r="V232" s="30" t="s">
        <v>3817</v>
      </c>
      <c r="W232" s="34">
        <v>838.99</v>
      </c>
      <c r="X232" s="34" t="s">
        <v>3853</v>
      </c>
      <c r="Y232" s="34">
        <v>0.0</v>
      </c>
      <c r="Z232" s="34">
        <v>100.0</v>
      </c>
      <c r="AA232" s="34">
        <v>0.0</v>
      </c>
      <c r="AB232" s="34">
        <v>0.0</v>
      </c>
      <c r="AC232" s="33">
        <f>COUNTIFS('Data For Calculation - Insuranc'!A:A,A232,'Data For Calculation - Insuranc'!E:E,"CPA + RSA : 5 Years")</f>
        <v>0</v>
      </c>
      <c r="AD232" s="30" t="s">
        <v>3817</v>
      </c>
      <c r="AE232" s="34">
        <v>838.99</v>
      </c>
      <c r="AF232" s="34" t="s">
        <v>3853</v>
      </c>
      <c r="AG232" s="34">
        <v>0.0</v>
      </c>
      <c r="AH232" s="34">
        <v>100.0</v>
      </c>
      <c r="AI232" s="34">
        <v>0.0</v>
      </c>
      <c r="AJ232" s="34">
        <v>0.0</v>
      </c>
      <c r="AK232" s="33">
        <f>COUNTIFS('Data For Calculation - Insuranc'!A:A,A232,'Data For Calculation - Insuranc'!E:E,"Assistance + CPA : 5 Years")</f>
        <v>0</v>
      </c>
      <c r="AL232" s="30" t="s">
        <v>3817</v>
      </c>
      <c r="AM232" s="31">
        <v>155.0</v>
      </c>
      <c r="AN232" s="34" t="s">
        <v>3853</v>
      </c>
      <c r="AO232" s="34">
        <v>0.0</v>
      </c>
      <c r="AP232" s="34">
        <v>100.0</v>
      </c>
      <c r="AQ232" s="34">
        <v>0.0</v>
      </c>
      <c r="AR232" s="34">
        <v>0.0</v>
      </c>
      <c r="AS232" s="33">
        <f>COUNTIFS('Data For Calculation - Insuranc'!A:A,A232,'Data For Calculation - Insuranc'!E:E,"RSA + AHDC + DOC")</f>
        <v>0</v>
      </c>
      <c r="BR232" s="33">
        <f t="shared" si="1"/>
        <v>0</v>
      </c>
      <c r="BS232" s="33">
        <f>SUMIFS('Data For Calculation - Insuranc'!I:I,'Data For Calculation - Insuranc'!$A:$A,$A232)</f>
        <v>0</v>
      </c>
      <c r="BT232" s="33">
        <f>SUMIFS('Data For Calculation - Insuranc'!J:J,'Data For Calculation - Insuranc'!$A:$A,$A232)</f>
        <v>0</v>
      </c>
      <c r="BU232" s="33">
        <f>SUMIFS('Data For Calculation - Insuranc'!K:K,'Data For Calculation - Insuranc'!$A:$A,$A232)</f>
        <v>0</v>
      </c>
      <c r="BV232" s="33">
        <f>IF($CC232 = "Dealer", SUMIFS('Data For Calculation - Insuranc'!I:I,'Data For Calculation - Insuranc'!$B:$B,$A232,'Data For Calculation - Insuranc'!$H:$H,"Master Dealer")) + SUMIFS('Data For Calculation - Insuranc'!I:I,'Data For Calculation - Insuranc'!$A:$A,$A232,'Data For Calculation - Insuranc'!$H:$H,"Self")</f>
        <v>0</v>
      </c>
      <c r="BW232" s="33">
        <f>IF($CC232 = "Dealer", SUMIFS('Data For Calculation - Insuranc'!J:J,'Data For Calculation - Insuranc'!$B:$B,$A232,'Data For Calculation - Insuranc'!$H:$H,"Master Dealer")) + SUMIFS('Data For Calculation - Insuranc'!J:J,'Data For Calculation - Insuranc'!$A:$A,$A232,'Data For Calculation - Insuranc'!$H:$H,"Self")</f>
        <v>0</v>
      </c>
      <c r="BX232" s="33">
        <f>IF($CC232 = "Dealer", SUMIFS('Data For Calculation - Insuranc'!K:K,'Data For Calculation - Insuranc'!$B:$B,$A232,'Data For Calculation - Insuranc'!$H:$H,"Master Dealer")) + SUMIFS('Data For Calculation - Insuranc'!K:K,'Data For Calculation - Insuranc'!$A:$A,$A232,'Data For Calculation - Insuranc'!$H:$H,"Self")</f>
        <v>0</v>
      </c>
      <c r="BY232" s="26" t="str">
        <f>(Sheet1!N232)</f>
        <v>AAA</v>
      </c>
      <c r="BZ232" s="26" t="str">
        <f>(Sheet1!O232)</f>
        <v>1AjVyIHPgPw3jscNmkTH1qzR2RokK5FZaJLjeNfOiYAA</v>
      </c>
      <c r="CA232" s="25" t="str">
        <f>(Sheet1!AV232)</f>
        <v/>
      </c>
      <c r="CB232" s="25" t="str">
        <f>(Sheet1!AW232)</f>
        <v/>
      </c>
      <c r="CC232" s="26" t="str">
        <f>(Sheet1!P232)</f>
        <v>Sub Dealer</v>
      </c>
    </row>
    <row r="233">
      <c r="A233" s="26" t="str">
        <f>(Sheet1!A233)</f>
        <v>1kRyPQWS9rBO-hWXuMRpK-o-u45enSa2VVTYNekPb4kk</v>
      </c>
      <c r="B233" s="26" t="str">
        <f>(Sheet1!B233)</f>
        <v>PASHANKAR AUTO- PUNE</v>
      </c>
      <c r="C233" s="30" t="str">
        <f>Sheet1!BB233</f>
        <v>No</v>
      </c>
      <c r="D233" s="34" t="s">
        <v>13</v>
      </c>
      <c r="E233" s="34" t="s">
        <v>13</v>
      </c>
      <c r="F233" s="34" t="s">
        <v>3817</v>
      </c>
      <c r="G233" s="34">
        <v>290.0</v>
      </c>
      <c r="H233" s="34" t="s">
        <v>3853</v>
      </c>
      <c r="I233" s="34">
        <v>0.0</v>
      </c>
      <c r="J233" s="34">
        <v>100.0</v>
      </c>
      <c r="K233" s="34">
        <v>0.0</v>
      </c>
      <c r="L233" s="34">
        <v>0.0</v>
      </c>
      <c r="M233" s="33">
        <f>COUNTIFS('Data For Calculation - Insuranc'!A:A,A233,'Data For Calculation - Insuranc'!E:E,"CPA + RSA")</f>
        <v>0</v>
      </c>
      <c r="N233" s="34" t="s">
        <v>3817</v>
      </c>
      <c r="O233" s="34">
        <v>460.0</v>
      </c>
      <c r="P233" s="34" t="s">
        <v>3853</v>
      </c>
      <c r="Q233" s="34">
        <v>0.0</v>
      </c>
      <c r="R233" s="34">
        <v>100.0</v>
      </c>
      <c r="S233" s="34">
        <v>0.0</v>
      </c>
      <c r="T233" s="34">
        <v>0.0</v>
      </c>
      <c r="U233" s="33">
        <f>COUNTIFS('Data For Calculation - Insuranc'!A:A,A233,'Data For Calculation - Insuranc'!E:E,"CPA + RSA + AHDC + DOC")</f>
        <v>0</v>
      </c>
      <c r="V233" s="34" t="s">
        <v>3817</v>
      </c>
      <c r="W233" s="34">
        <v>838.99</v>
      </c>
      <c r="X233" s="34" t="s">
        <v>3853</v>
      </c>
      <c r="Y233" s="34">
        <v>0.0</v>
      </c>
      <c r="Z233" s="34">
        <v>100.0</v>
      </c>
      <c r="AA233" s="34">
        <v>0.0</v>
      </c>
      <c r="AB233" s="34">
        <v>0.0</v>
      </c>
      <c r="AC233" s="33">
        <f>COUNTIFS('Data For Calculation - Insuranc'!A:A,A233,'Data For Calculation - Insuranc'!E:E,"CPA + RSA : 5 Years")</f>
        <v>0</v>
      </c>
      <c r="AD233" s="34" t="s">
        <v>3817</v>
      </c>
      <c r="AE233" s="34">
        <v>838.99</v>
      </c>
      <c r="AF233" s="34" t="s">
        <v>3853</v>
      </c>
      <c r="AG233" s="34">
        <v>0.0</v>
      </c>
      <c r="AH233" s="34">
        <v>100.0</v>
      </c>
      <c r="AI233" s="34">
        <v>0.0</v>
      </c>
      <c r="AJ233" s="34">
        <v>0.0</v>
      </c>
      <c r="AK233" s="33">
        <f>COUNTIFS('Data For Calculation - Insuranc'!A:A,A233,'Data For Calculation - Insuranc'!E:E,"Assistance + CPA : 5 Years")</f>
        <v>0</v>
      </c>
      <c r="AL233" s="34" t="s">
        <v>3817</v>
      </c>
      <c r="AM233" s="34">
        <v>290.0</v>
      </c>
      <c r="AN233" s="34" t="s">
        <v>3853</v>
      </c>
      <c r="AO233" s="34">
        <v>0.0</v>
      </c>
      <c r="AP233" s="34">
        <v>100.0</v>
      </c>
      <c r="AQ233" s="34">
        <v>0.0</v>
      </c>
      <c r="AR233" s="34">
        <v>0.0</v>
      </c>
      <c r="AS233" s="33">
        <f>COUNTIFS('Data For Calculation - Insuranc'!A:A,A233,'Data For Calculation - Insuranc'!E:E,"RSA + AHDC + DOC")</f>
        <v>0</v>
      </c>
      <c r="BR233" s="33">
        <f t="shared" si="1"/>
        <v>0</v>
      </c>
      <c r="BS233" s="33">
        <f>SUMIFS('Data For Calculation - Insuranc'!I:I,'Data For Calculation - Insuranc'!$A:$A,$A233)</f>
        <v>0</v>
      </c>
      <c r="BT233" s="33">
        <f>SUMIFS('Data For Calculation - Insuranc'!J:J,'Data For Calculation - Insuranc'!$A:$A,$A233)</f>
        <v>0</v>
      </c>
      <c r="BU233" s="33">
        <f>SUMIFS('Data For Calculation - Insuranc'!K:K,'Data For Calculation - Insuranc'!$A:$A,$A233)</f>
        <v>0</v>
      </c>
      <c r="BV233" s="33">
        <f>IF($CC233 = "Dealer", SUMIFS('Data For Calculation - Insuranc'!I:I,'Data For Calculation - Insuranc'!$B:$B,$A233,'Data For Calculation - Insuranc'!$H:$H,"Master Dealer")) + SUMIFS('Data For Calculation - Insuranc'!I:I,'Data For Calculation - Insuranc'!$A:$A,$A233,'Data For Calculation - Insuranc'!$H:$H,"Self")</f>
        <v>0</v>
      </c>
      <c r="BW233" s="33">
        <f>IF($CC233 = "Dealer", SUMIFS('Data For Calculation - Insuranc'!J:J,'Data For Calculation - Insuranc'!$B:$B,$A233,'Data For Calculation - Insuranc'!$H:$H,"Master Dealer")) + SUMIFS('Data For Calculation - Insuranc'!J:J,'Data For Calculation - Insuranc'!$A:$A,$A233,'Data For Calculation - Insuranc'!$H:$H,"Self")</f>
        <v>0</v>
      </c>
      <c r="BX233" s="33">
        <f>IF($CC233 = "Dealer", SUMIFS('Data For Calculation - Insuranc'!K:K,'Data For Calculation - Insuranc'!$B:$B,$A233,'Data For Calculation - Insuranc'!$H:$H,"Master Dealer")) + SUMIFS('Data For Calculation - Insuranc'!K:K,'Data For Calculation - Insuranc'!$A:$A,$A233,'Data For Calculation - Insuranc'!$H:$H,"Self")</f>
        <v>0</v>
      </c>
      <c r="BY233" s="26" t="str">
        <f>(Sheet1!N233)</f>
        <v>PASHANKAR AUTO- PUNE</v>
      </c>
      <c r="BZ233" s="26" t="str">
        <f>(Sheet1!O233)</f>
        <v>1kRyPQWS9rBO-hWXuMRpK-o-u45enSa2VVTYNekPb4kk</v>
      </c>
      <c r="CA233" s="25" t="str">
        <f>(Sheet1!AV233)</f>
        <v/>
      </c>
      <c r="CB233" s="25" t="str">
        <f>(Sheet1!AW233)</f>
        <v/>
      </c>
      <c r="CC233" s="26" t="str">
        <f>(Sheet1!P233)</f>
        <v>Dealer</v>
      </c>
    </row>
    <row r="234">
      <c r="A234" s="26" t="str">
        <f>(Sheet1!A234)</f>
        <v>1R0uwjETF80Vss8P2a0gSsIF2iqphq4WIGrUlHbCVjKw</v>
      </c>
      <c r="B234" s="26" t="str">
        <f>(Sheet1!B234)</f>
        <v>VTECH TVS- AHMEDABAD</v>
      </c>
      <c r="C234" s="30" t="str">
        <f>Sheet1!BB234</f>
        <v>No</v>
      </c>
      <c r="D234" s="34" t="s">
        <v>13</v>
      </c>
      <c r="E234" s="34" t="s">
        <v>13</v>
      </c>
      <c r="F234" s="34" t="s">
        <v>3817</v>
      </c>
      <c r="G234" s="34">
        <v>215.0</v>
      </c>
      <c r="H234" s="34" t="s">
        <v>3853</v>
      </c>
      <c r="I234" s="34">
        <v>0.0</v>
      </c>
      <c r="J234" s="34">
        <v>100.0</v>
      </c>
      <c r="K234" s="34">
        <v>0.0</v>
      </c>
      <c r="L234" s="34">
        <v>0.0</v>
      </c>
      <c r="M234" s="33">
        <f>COUNTIFS('Data For Calculation - Insuranc'!A:A,A234,'Data For Calculation - Insuranc'!E:E,"CPA + RSA")</f>
        <v>0</v>
      </c>
      <c r="N234" s="34" t="s">
        <v>3817</v>
      </c>
      <c r="O234" s="34">
        <v>460.0</v>
      </c>
      <c r="P234" s="34" t="s">
        <v>3853</v>
      </c>
      <c r="Q234" s="34">
        <v>0.0</v>
      </c>
      <c r="R234" s="34">
        <v>100.0</v>
      </c>
      <c r="S234" s="34">
        <v>0.0</v>
      </c>
      <c r="T234" s="34">
        <v>0.0</v>
      </c>
      <c r="U234" s="33">
        <f>COUNTIFS('Data For Calculation - Insuranc'!A:A,A234,'Data For Calculation - Insuranc'!E:E,"CPA + RSA + AHDC + DOC")</f>
        <v>0</v>
      </c>
      <c r="V234" s="34" t="s">
        <v>3817</v>
      </c>
      <c r="W234" s="34">
        <v>838.99</v>
      </c>
      <c r="X234" s="34" t="s">
        <v>3853</v>
      </c>
      <c r="Y234" s="34">
        <v>0.0</v>
      </c>
      <c r="Z234" s="34">
        <v>100.0</v>
      </c>
      <c r="AA234" s="34">
        <v>0.0</v>
      </c>
      <c r="AB234" s="34">
        <v>0.0</v>
      </c>
      <c r="AC234" s="33">
        <f>COUNTIFS('Data For Calculation - Insuranc'!A:A,A234,'Data For Calculation - Insuranc'!E:E,"CPA + RSA : 5 Years")</f>
        <v>0</v>
      </c>
      <c r="AD234" s="34" t="s">
        <v>3817</v>
      </c>
      <c r="AE234" s="34">
        <v>838.99</v>
      </c>
      <c r="AF234" s="34" t="s">
        <v>3853</v>
      </c>
      <c r="AG234" s="34">
        <v>0.0</v>
      </c>
      <c r="AH234" s="34">
        <v>100.0</v>
      </c>
      <c r="AI234" s="34">
        <v>0.0</v>
      </c>
      <c r="AJ234" s="34">
        <v>0.0</v>
      </c>
      <c r="AK234" s="33">
        <f>COUNTIFS('Data For Calculation - Insuranc'!A:A,A234,'Data For Calculation - Insuranc'!E:E,"Assistance + CPA : 5 Years")</f>
        <v>0</v>
      </c>
      <c r="AL234" s="34" t="s">
        <v>3817</v>
      </c>
      <c r="AM234" s="34">
        <v>290.0</v>
      </c>
      <c r="AN234" s="34" t="s">
        <v>3853</v>
      </c>
      <c r="AO234" s="34">
        <v>0.0</v>
      </c>
      <c r="AP234" s="34">
        <v>100.0</v>
      </c>
      <c r="AQ234" s="34">
        <v>0.0</v>
      </c>
      <c r="AR234" s="34">
        <v>0.0</v>
      </c>
      <c r="AS234" s="33">
        <f>COUNTIFS('Data For Calculation - Insuranc'!A:A,A234,'Data For Calculation - Insuranc'!E:E,"RSA + AHDC + DOC")</f>
        <v>0</v>
      </c>
      <c r="BR234" s="33">
        <f t="shared" si="1"/>
        <v>0</v>
      </c>
      <c r="BS234" s="33">
        <f>SUMIFS('Data For Calculation - Insuranc'!I:I,'Data For Calculation - Insuranc'!$A:$A,$A234)</f>
        <v>0</v>
      </c>
      <c r="BT234" s="33">
        <f>SUMIFS('Data For Calculation - Insuranc'!J:J,'Data For Calculation - Insuranc'!$A:$A,$A234)</f>
        <v>0</v>
      </c>
      <c r="BU234" s="33">
        <f>SUMIFS('Data For Calculation - Insuranc'!K:K,'Data For Calculation - Insuranc'!$A:$A,$A234)</f>
        <v>0</v>
      </c>
      <c r="BV234" s="33">
        <f>IF($CC234 = "Dealer", SUMIFS('Data For Calculation - Insuranc'!I:I,'Data For Calculation - Insuranc'!$B:$B,$A234,'Data For Calculation - Insuranc'!$H:$H,"Master Dealer")) + SUMIFS('Data For Calculation - Insuranc'!I:I,'Data For Calculation - Insuranc'!$A:$A,$A234,'Data For Calculation - Insuranc'!$H:$H,"Self")</f>
        <v>0</v>
      </c>
      <c r="BW234" s="33">
        <f>IF($CC234 = "Dealer", SUMIFS('Data For Calculation - Insuranc'!J:J,'Data For Calculation - Insuranc'!$B:$B,$A234,'Data For Calculation - Insuranc'!$H:$H,"Master Dealer")) + SUMIFS('Data For Calculation - Insuranc'!J:J,'Data For Calculation - Insuranc'!$A:$A,$A234,'Data For Calculation - Insuranc'!$H:$H,"Self")</f>
        <v>0</v>
      </c>
      <c r="BX234" s="33">
        <f>IF($CC234 = "Dealer", SUMIFS('Data For Calculation - Insuranc'!K:K,'Data For Calculation - Insuranc'!$B:$B,$A234,'Data For Calculation - Insuranc'!$H:$H,"Master Dealer")) + SUMIFS('Data For Calculation - Insuranc'!K:K,'Data For Calculation - Insuranc'!$A:$A,$A234,'Data For Calculation - Insuranc'!$H:$H,"Self")</f>
        <v>0</v>
      </c>
      <c r="BY234" s="26" t="str">
        <f>(Sheet1!N234)</f>
        <v>VTECH TVS- AHMEDABAD</v>
      </c>
      <c r="BZ234" s="26" t="str">
        <f>(Sheet1!O234)</f>
        <v>1R0uwjETF80Vss8P2a0gSsIF2iqphq4WIGrUlHbCVjKw</v>
      </c>
      <c r="CA234" s="25" t="str">
        <f>(Sheet1!AV234)</f>
        <v/>
      </c>
      <c r="CB234" s="25" t="str">
        <f>(Sheet1!AW234)</f>
        <v/>
      </c>
      <c r="CC234" s="26" t="str">
        <f>(Sheet1!P234)</f>
        <v>Dealer</v>
      </c>
    </row>
    <row r="235">
      <c r="A235" s="26" t="str">
        <f>(Sheet1!A235)</f>
        <v>1rmVM0JAH6j1YGKR-ibbU8XL4IHeTiP7sO3zo1VitOis</v>
      </c>
      <c r="B235" s="26" t="str">
        <f>(Sheet1!B235)</f>
        <v>Tirupati Motors (AAA) - Akarabad</v>
      </c>
      <c r="C235" s="30" t="str">
        <f>Sheet1!BB235</f>
        <v>No</v>
      </c>
      <c r="D235" s="34" t="s">
        <v>13</v>
      </c>
      <c r="E235" s="34" t="s">
        <v>3821</v>
      </c>
      <c r="F235" s="30" t="s">
        <v>3817</v>
      </c>
      <c r="G235" s="31">
        <v>155.0</v>
      </c>
      <c r="H235" s="34" t="s">
        <v>3853</v>
      </c>
      <c r="I235" s="34">
        <v>0.0</v>
      </c>
      <c r="J235" s="34">
        <v>100.0</v>
      </c>
      <c r="K235" s="34">
        <v>0.0</v>
      </c>
      <c r="L235" s="34">
        <v>0.0</v>
      </c>
      <c r="M235" s="33">
        <f>COUNTIFS('Data For Calculation - Insuranc'!A:A,A235,'Data For Calculation - Insuranc'!E:E,"CPA + RSA")</f>
        <v>0</v>
      </c>
      <c r="N235" s="30" t="s">
        <v>3817</v>
      </c>
      <c r="O235" s="41">
        <v>155.0</v>
      </c>
      <c r="P235" s="34" t="s">
        <v>3853</v>
      </c>
      <c r="Q235" s="34">
        <v>0.0</v>
      </c>
      <c r="R235" s="34">
        <v>100.0</v>
      </c>
      <c r="S235" s="34">
        <v>0.0</v>
      </c>
      <c r="T235" s="34">
        <v>0.0</v>
      </c>
      <c r="U235" s="33">
        <f>COUNTIFS('Data For Calculation - Insuranc'!A:A,A235,'Data For Calculation - Insuranc'!E:E,"CPA + RSA + AHDC + DOC")</f>
        <v>0</v>
      </c>
      <c r="V235" s="30" t="s">
        <v>3817</v>
      </c>
      <c r="W235" s="34">
        <v>838.99</v>
      </c>
      <c r="X235" s="34" t="s">
        <v>3853</v>
      </c>
      <c r="Y235" s="34">
        <v>0.0</v>
      </c>
      <c r="Z235" s="34">
        <v>100.0</v>
      </c>
      <c r="AA235" s="34">
        <v>0.0</v>
      </c>
      <c r="AB235" s="34">
        <v>0.0</v>
      </c>
      <c r="AC235" s="33">
        <f>COUNTIFS('Data For Calculation - Insuranc'!A:A,A235,'Data For Calculation - Insuranc'!E:E,"CPA + RSA : 5 Years")</f>
        <v>0</v>
      </c>
      <c r="AD235" s="30" t="s">
        <v>3817</v>
      </c>
      <c r="AE235" s="34">
        <v>838.99</v>
      </c>
      <c r="AF235" s="34" t="s">
        <v>3853</v>
      </c>
      <c r="AG235" s="34">
        <v>0.0</v>
      </c>
      <c r="AH235" s="34">
        <v>100.0</v>
      </c>
      <c r="AI235" s="34">
        <v>0.0</v>
      </c>
      <c r="AJ235" s="34">
        <v>0.0</v>
      </c>
      <c r="AK235" s="33">
        <f>COUNTIFS('Data For Calculation - Insuranc'!A:A,A235,'Data For Calculation - Insuranc'!E:E,"Assistance + CPA : 5 Years")</f>
        <v>0</v>
      </c>
      <c r="AL235" s="30" t="s">
        <v>3817</v>
      </c>
      <c r="AM235" s="31">
        <v>155.0</v>
      </c>
      <c r="AN235" s="34" t="s">
        <v>3853</v>
      </c>
      <c r="AO235" s="34">
        <v>0.0</v>
      </c>
      <c r="AP235" s="34">
        <v>100.0</v>
      </c>
      <c r="AQ235" s="34">
        <v>0.0</v>
      </c>
      <c r="AR235" s="34">
        <v>0.0</v>
      </c>
      <c r="AS235" s="33">
        <f>COUNTIFS('Data For Calculation - Insuranc'!A:A,A235,'Data For Calculation - Insuranc'!E:E,"RSA + AHDC + DOC")</f>
        <v>0</v>
      </c>
      <c r="BR235" s="33">
        <f t="shared" si="1"/>
        <v>0</v>
      </c>
      <c r="BS235" s="33">
        <f>SUMIFS('Data For Calculation - Insuranc'!I:I,'Data For Calculation - Insuranc'!$A:$A,$A235)</f>
        <v>0</v>
      </c>
      <c r="BT235" s="33">
        <f>SUMIFS('Data For Calculation - Insuranc'!J:J,'Data For Calculation - Insuranc'!$A:$A,$A235)</f>
        <v>0</v>
      </c>
      <c r="BU235" s="33">
        <f>SUMIFS('Data For Calculation - Insuranc'!K:K,'Data For Calculation - Insuranc'!$A:$A,$A235)</f>
        <v>0</v>
      </c>
      <c r="BV235" s="33">
        <f>IF($CC235 = "Dealer", SUMIFS('Data For Calculation - Insuranc'!I:I,'Data For Calculation - Insuranc'!$B:$B,$A235,'Data For Calculation - Insuranc'!$H:$H,"Master Dealer")) + SUMIFS('Data For Calculation - Insuranc'!I:I,'Data For Calculation - Insuranc'!$A:$A,$A235,'Data For Calculation - Insuranc'!$H:$H,"Self")</f>
        <v>0</v>
      </c>
      <c r="BW235" s="33">
        <f>IF($CC235 = "Dealer", SUMIFS('Data For Calculation - Insuranc'!J:J,'Data For Calculation - Insuranc'!$B:$B,$A235,'Data For Calculation - Insuranc'!$H:$H,"Master Dealer")) + SUMIFS('Data For Calculation - Insuranc'!J:J,'Data For Calculation - Insuranc'!$A:$A,$A235,'Data For Calculation - Insuranc'!$H:$H,"Self")</f>
        <v>0</v>
      </c>
      <c r="BX235" s="33">
        <f>IF($CC235 = "Dealer", SUMIFS('Data For Calculation - Insuranc'!K:K,'Data For Calculation - Insuranc'!$B:$B,$A235,'Data For Calculation - Insuranc'!$H:$H,"Master Dealer")) + SUMIFS('Data For Calculation - Insuranc'!K:K,'Data For Calculation - Insuranc'!$A:$A,$A235,'Data For Calculation - Insuranc'!$H:$H,"Self")</f>
        <v>0</v>
      </c>
      <c r="BY235" s="26" t="str">
        <f>(Sheet1!N235)</f>
        <v>AAA</v>
      </c>
      <c r="BZ235" s="26" t="str">
        <f>(Sheet1!O235)</f>
        <v>1AjVyIHPgPw3jscNmkTH1qzR2RokK5FZaJLjeNfOiYAA</v>
      </c>
      <c r="CA235" s="25" t="str">
        <f>(Sheet1!AV235)</f>
        <v/>
      </c>
      <c r="CB235" s="25" t="str">
        <f>(Sheet1!AW235)</f>
        <v/>
      </c>
      <c r="CC235" s="26" t="str">
        <f>(Sheet1!P235)</f>
        <v>Sub Dealer</v>
      </c>
    </row>
    <row r="236">
      <c r="A236" s="26" t="str">
        <f>(Sheet1!A236)</f>
        <v>1_uE35CAqnGldLOvxOd9EuBeNaRXa3FdEC-O8GGHnflo</v>
      </c>
      <c r="B236" s="26" t="str">
        <f>(Sheet1!B236)</f>
        <v>Deepak automobile (AAA) - Alampur</v>
      </c>
      <c r="C236" s="30" t="str">
        <f>Sheet1!BB236</f>
        <v>No</v>
      </c>
      <c r="D236" s="34" t="s">
        <v>13</v>
      </c>
      <c r="E236" s="34" t="s">
        <v>3821</v>
      </c>
      <c r="F236" s="30" t="s">
        <v>3817</v>
      </c>
      <c r="G236" s="31">
        <v>155.0</v>
      </c>
      <c r="H236" s="34" t="s">
        <v>3853</v>
      </c>
      <c r="I236" s="34">
        <v>0.0</v>
      </c>
      <c r="J236" s="34">
        <v>100.0</v>
      </c>
      <c r="K236" s="34">
        <v>0.0</v>
      </c>
      <c r="L236" s="34">
        <v>0.0</v>
      </c>
      <c r="M236" s="33">
        <f>COUNTIFS('Data For Calculation - Insuranc'!A:A,A236,'Data For Calculation - Insuranc'!E:E,"CPA + RSA")</f>
        <v>0</v>
      </c>
      <c r="N236" s="30" t="s">
        <v>3817</v>
      </c>
      <c r="O236" s="41">
        <v>155.0</v>
      </c>
      <c r="P236" s="34" t="s">
        <v>3853</v>
      </c>
      <c r="Q236" s="34">
        <v>0.0</v>
      </c>
      <c r="R236" s="34">
        <v>100.0</v>
      </c>
      <c r="S236" s="34">
        <v>0.0</v>
      </c>
      <c r="T236" s="34">
        <v>0.0</v>
      </c>
      <c r="U236" s="33">
        <f>COUNTIFS('Data For Calculation - Insuranc'!A:A,A236,'Data For Calculation - Insuranc'!E:E,"CPA + RSA + AHDC + DOC")</f>
        <v>0</v>
      </c>
      <c r="V236" s="30" t="s">
        <v>3817</v>
      </c>
      <c r="W236" s="34">
        <v>838.99</v>
      </c>
      <c r="X236" s="34" t="s">
        <v>3853</v>
      </c>
      <c r="Y236" s="34">
        <v>0.0</v>
      </c>
      <c r="Z236" s="34">
        <v>100.0</v>
      </c>
      <c r="AA236" s="34">
        <v>0.0</v>
      </c>
      <c r="AB236" s="34">
        <v>0.0</v>
      </c>
      <c r="AC236" s="33">
        <f>COUNTIFS('Data For Calculation - Insuranc'!A:A,A236,'Data For Calculation - Insuranc'!E:E,"CPA + RSA : 5 Years")</f>
        <v>0</v>
      </c>
      <c r="AD236" s="30" t="s">
        <v>3817</v>
      </c>
      <c r="AE236" s="34">
        <v>838.99</v>
      </c>
      <c r="AF236" s="34" t="s">
        <v>3853</v>
      </c>
      <c r="AG236" s="34">
        <v>0.0</v>
      </c>
      <c r="AH236" s="34">
        <v>100.0</v>
      </c>
      <c r="AI236" s="34">
        <v>0.0</v>
      </c>
      <c r="AJ236" s="34">
        <v>0.0</v>
      </c>
      <c r="AK236" s="33">
        <f>COUNTIFS('Data For Calculation - Insuranc'!A:A,A236,'Data For Calculation - Insuranc'!E:E,"Assistance + CPA : 5 Years")</f>
        <v>0</v>
      </c>
      <c r="AL236" s="30" t="s">
        <v>3817</v>
      </c>
      <c r="AM236" s="31">
        <v>155.0</v>
      </c>
      <c r="AN236" s="34" t="s">
        <v>3853</v>
      </c>
      <c r="AO236" s="34">
        <v>0.0</v>
      </c>
      <c r="AP236" s="34">
        <v>100.0</v>
      </c>
      <c r="AQ236" s="34">
        <v>0.0</v>
      </c>
      <c r="AR236" s="34">
        <v>0.0</v>
      </c>
      <c r="AS236" s="33">
        <f>COUNTIFS('Data For Calculation - Insuranc'!A:A,A236,'Data For Calculation - Insuranc'!E:E,"RSA + AHDC + DOC")</f>
        <v>0</v>
      </c>
      <c r="BR236" s="33">
        <f t="shared" si="1"/>
        <v>0</v>
      </c>
      <c r="BS236" s="33">
        <f>SUMIFS('Data For Calculation - Insuranc'!I:I,'Data For Calculation - Insuranc'!$A:$A,$A236)</f>
        <v>0</v>
      </c>
      <c r="BT236" s="33">
        <f>SUMIFS('Data For Calculation - Insuranc'!J:J,'Data For Calculation - Insuranc'!$A:$A,$A236)</f>
        <v>0</v>
      </c>
      <c r="BU236" s="33">
        <f>SUMIFS('Data For Calculation - Insuranc'!K:K,'Data For Calculation - Insuranc'!$A:$A,$A236)</f>
        <v>0</v>
      </c>
      <c r="BV236" s="33">
        <f>IF($CC236 = "Dealer", SUMIFS('Data For Calculation - Insuranc'!I:I,'Data For Calculation - Insuranc'!$B:$B,$A236,'Data For Calculation - Insuranc'!$H:$H,"Master Dealer")) + SUMIFS('Data For Calculation - Insuranc'!I:I,'Data For Calculation - Insuranc'!$A:$A,$A236,'Data For Calculation - Insuranc'!$H:$H,"Self")</f>
        <v>0</v>
      </c>
      <c r="BW236" s="33">
        <f>IF($CC236 = "Dealer", SUMIFS('Data For Calculation - Insuranc'!J:J,'Data For Calculation - Insuranc'!$B:$B,$A236,'Data For Calculation - Insuranc'!$H:$H,"Master Dealer")) + SUMIFS('Data For Calculation - Insuranc'!J:J,'Data For Calculation - Insuranc'!$A:$A,$A236,'Data For Calculation - Insuranc'!$H:$H,"Self")</f>
        <v>0</v>
      </c>
      <c r="BX236" s="33">
        <f>IF($CC236 = "Dealer", SUMIFS('Data For Calculation - Insuranc'!K:K,'Data For Calculation - Insuranc'!$B:$B,$A236,'Data For Calculation - Insuranc'!$H:$H,"Master Dealer")) + SUMIFS('Data For Calculation - Insuranc'!K:K,'Data For Calculation - Insuranc'!$A:$A,$A236,'Data For Calculation - Insuranc'!$H:$H,"Self")</f>
        <v>0</v>
      </c>
      <c r="BY236" s="26" t="str">
        <f>(Sheet1!N236)</f>
        <v>AAA</v>
      </c>
      <c r="BZ236" s="26" t="str">
        <f>(Sheet1!O236)</f>
        <v>1AjVyIHPgPw3jscNmkTH1qzR2RokK5FZaJLjeNfOiYAA</v>
      </c>
      <c r="CA236" s="25" t="str">
        <f>(Sheet1!AV236)</f>
        <v/>
      </c>
      <c r="CB236" s="25" t="str">
        <f>(Sheet1!AW236)</f>
        <v/>
      </c>
      <c r="CC236" s="26" t="str">
        <f>(Sheet1!P236)</f>
        <v>Sub Dealer</v>
      </c>
    </row>
    <row r="237">
      <c r="A237" s="26" t="str">
        <f>(Sheet1!A237)</f>
        <v>1gvaMszi7LB0Gn6vUIkvOZFAnvJ4lHvDAQ1gAHX-11Zk</v>
      </c>
      <c r="B237" s="26" t="str">
        <f>(Sheet1!B237)</f>
        <v>Mahadev auto mobiles (AAA) - Jawan</v>
      </c>
      <c r="C237" s="30" t="str">
        <f>Sheet1!BB237</f>
        <v>No</v>
      </c>
      <c r="D237" s="34" t="s">
        <v>13</v>
      </c>
      <c r="E237" s="34" t="s">
        <v>3821</v>
      </c>
      <c r="F237" s="30" t="s">
        <v>3817</v>
      </c>
      <c r="G237" s="31">
        <v>155.0</v>
      </c>
      <c r="H237" s="34" t="s">
        <v>3853</v>
      </c>
      <c r="I237" s="34">
        <v>0.0</v>
      </c>
      <c r="J237" s="34">
        <v>100.0</v>
      </c>
      <c r="K237" s="34">
        <v>0.0</v>
      </c>
      <c r="L237" s="34">
        <v>0.0</v>
      </c>
      <c r="M237" s="33">
        <f>COUNTIFS('Data For Calculation - Insuranc'!A:A,A237,'Data For Calculation - Insuranc'!E:E,"CPA + RSA")</f>
        <v>0</v>
      </c>
      <c r="N237" s="30" t="s">
        <v>3817</v>
      </c>
      <c r="O237" s="41">
        <v>155.0</v>
      </c>
      <c r="P237" s="34" t="s">
        <v>3853</v>
      </c>
      <c r="Q237" s="34">
        <v>0.0</v>
      </c>
      <c r="R237" s="34">
        <v>100.0</v>
      </c>
      <c r="S237" s="34">
        <v>0.0</v>
      </c>
      <c r="T237" s="34">
        <v>0.0</v>
      </c>
      <c r="U237" s="33">
        <f>COUNTIFS('Data For Calculation - Insuranc'!A:A,A237,'Data For Calculation - Insuranc'!E:E,"CPA + RSA + AHDC + DOC")</f>
        <v>0</v>
      </c>
      <c r="V237" s="30" t="s">
        <v>3817</v>
      </c>
      <c r="W237" s="34">
        <v>838.99</v>
      </c>
      <c r="X237" s="34" t="s">
        <v>3853</v>
      </c>
      <c r="Y237" s="34">
        <v>0.0</v>
      </c>
      <c r="Z237" s="34">
        <v>100.0</v>
      </c>
      <c r="AA237" s="34">
        <v>0.0</v>
      </c>
      <c r="AB237" s="34">
        <v>0.0</v>
      </c>
      <c r="AC237" s="33">
        <f>COUNTIFS('Data For Calculation - Insuranc'!A:A,A237,'Data For Calculation - Insuranc'!E:E,"CPA + RSA : 5 Years")</f>
        <v>0</v>
      </c>
      <c r="AD237" s="30" t="s">
        <v>3817</v>
      </c>
      <c r="AE237" s="34">
        <v>838.99</v>
      </c>
      <c r="AF237" s="34" t="s">
        <v>3853</v>
      </c>
      <c r="AG237" s="34">
        <v>0.0</v>
      </c>
      <c r="AH237" s="34">
        <v>100.0</v>
      </c>
      <c r="AI237" s="34">
        <v>0.0</v>
      </c>
      <c r="AJ237" s="34">
        <v>0.0</v>
      </c>
      <c r="AK237" s="33">
        <f>COUNTIFS('Data For Calculation - Insuranc'!A:A,A237,'Data For Calculation - Insuranc'!E:E,"Assistance + CPA : 5 Years")</f>
        <v>0</v>
      </c>
      <c r="AL237" s="30" t="s">
        <v>3817</v>
      </c>
      <c r="AM237" s="31">
        <v>155.0</v>
      </c>
      <c r="AN237" s="34" t="s">
        <v>3853</v>
      </c>
      <c r="AO237" s="34">
        <v>0.0</v>
      </c>
      <c r="AP237" s="34">
        <v>100.0</v>
      </c>
      <c r="AQ237" s="34">
        <v>0.0</v>
      </c>
      <c r="AR237" s="34">
        <v>0.0</v>
      </c>
      <c r="AS237" s="33">
        <f>COUNTIFS('Data For Calculation - Insuranc'!A:A,A237,'Data For Calculation - Insuranc'!E:E,"RSA + AHDC + DOC")</f>
        <v>0</v>
      </c>
      <c r="BR237" s="33">
        <f t="shared" si="1"/>
        <v>0</v>
      </c>
      <c r="BS237" s="33">
        <f>SUMIFS('Data For Calculation - Insuranc'!I:I,'Data For Calculation - Insuranc'!$A:$A,$A237)</f>
        <v>0</v>
      </c>
      <c r="BT237" s="33">
        <f>SUMIFS('Data For Calculation - Insuranc'!J:J,'Data For Calculation - Insuranc'!$A:$A,$A237)</f>
        <v>0</v>
      </c>
      <c r="BU237" s="33">
        <f>SUMIFS('Data For Calculation - Insuranc'!K:K,'Data For Calculation - Insuranc'!$A:$A,$A237)</f>
        <v>0</v>
      </c>
      <c r="BV237" s="33">
        <f>IF($CC237 = "Dealer", SUMIFS('Data For Calculation - Insuranc'!I:I,'Data For Calculation - Insuranc'!$B:$B,$A237,'Data For Calculation - Insuranc'!$H:$H,"Master Dealer")) + SUMIFS('Data For Calculation - Insuranc'!I:I,'Data For Calculation - Insuranc'!$A:$A,$A237,'Data For Calculation - Insuranc'!$H:$H,"Self")</f>
        <v>0</v>
      </c>
      <c r="BW237" s="33">
        <f>IF($CC237 = "Dealer", SUMIFS('Data For Calculation - Insuranc'!J:J,'Data For Calculation - Insuranc'!$B:$B,$A237,'Data For Calculation - Insuranc'!$H:$H,"Master Dealer")) + SUMIFS('Data For Calculation - Insuranc'!J:J,'Data For Calculation - Insuranc'!$A:$A,$A237,'Data For Calculation - Insuranc'!$H:$H,"Self")</f>
        <v>0</v>
      </c>
      <c r="BX237" s="33">
        <f>IF($CC237 = "Dealer", SUMIFS('Data For Calculation - Insuranc'!K:K,'Data For Calculation - Insuranc'!$B:$B,$A237,'Data For Calculation - Insuranc'!$H:$H,"Master Dealer")) + SUMIFS('Data For Calculation - Insuranc'!K:K,'Data For Calculation - Insuranc'!$A:$A,$A237,'Data For Calculation - Insuranc'!$H:$H,"Self")</f>
        <v>0</v>
      </c>
      <c r="BY237" s="26" t="str">
        <f>(Sheet1!N237)</f>
        <v>AAA</v>
      </c>
      <c r="BZ237" s="26" t="str">
        <f>(Sheet1!O237)</f>
        <v>1AjVyIHPgPw3jscNmkTH1qzR2RokK5FZaJLjeNfOiYAA</v>
      </c>
      <c r="CA237" s="25" t="str">
        <f>(Sheet1!AV237)</f>
        <v/>
      </c>
      <c r="CB237" s="25" t="str">
        <f>(Sheet1!AW237)</f>
        <v/>
      </c>
      <c r="CC237" s="26" t="str">
        <f>(Sheet1!P237)</f>
        <v>Sub Dealer</v>
      </c>
    </row>
    <row r="238">
      <c r="A238" s="26" t="str">
        <f>(Sheet1!A238)</f>
        <v>1uBXS8-e96xatYz1I0NwbT3MoqNyeJMLj5QciM0dVzK4</v>
      </c>
      <c r="B238" s="26" t="str">
        <f>(Sheet1!B238)</f>
        <v>Shiv Shyam (AAA) - Gorai </v>
      </c>
      <c r="C238" s="30" t="str">
        <f>Sheet1!BB238</f>
        <v>No</v>
      </c>
      <c r="D238" s="34" t="s">
        <v>13</v>
      </c>
      <c r="E238" s="34" t="s">
        <v>3821</v>
      </c>
      <c r="F238" s="30" t="s">
        <v>3817</v>
      </c>
      <c r="G238" s="31">
        <v>155.0</v>
      </c>
      <c r="H238" s="34" t="s">
        <v>3853</v>
      </c>
      <c r="I238" s="34">
        <v>0.0</v>
      </c>
      <c r="J238" s="34">
        <v>100.0</v>
      </c>
      <c r="K238" s="34">
        <v>0.0</v>
      </c>
      <c r="L238" s="34">
        <v>0.0</v>
      </c>
      <c r="M238" s="33">
        <f>COUNTIFS('Data For Calculation - Insuranc'!A:A,A238,'Data For Calculation - Insuranc'!E:E,"CPA + RSA")</f>
        <v>0</v>
      </c>
      <c r="N238" s="30" t="s">
        <v>3817</v>
      </c>
      <c r="O238" s="41">
        <v>155.0</v>
      </c>
      <c r="P238" s="34" t="s">
        <v>3853</v>
      </c>
      <c r="Q238" s="34">
        <v>0.0</v>
      </c>
      <c r="R238" s="34">
        <v>100.0</v>
      </c>
      <c r="S238" s="34">
        <v>0.0</v>
      </c>
      <c r="T238" s="34">
        <v>0.0</v>
      </c>
      <c r="U238" s="33">
        <f>COUNTIFS('Data For Calculation - Insuranc'!A:A,A238,'Data For Calculation - Insuranc'!E:E,"CPA + RSA + AHDC + DOC")</f>
        <v>0</v>
      </c>
      <c r="V238" s="30" t="s">
        <v>3817</v>
      </c>
      <c r="W238" s="34">
        <v>838.99</v>
      </c>
      <c r="X238" s="34" t="s">
        <v>3853</v>
      </c>
      <c r="Y238" s="34">
        <v>0.0</v>
      </c>
      <c r="Z238" s="34">
        <v>100.0</v>
      </c>
      <c r="AA238" s="34">
        <v>0.0</v>
      </c>
      <c r="AB238" s="34">
        <v>0.0</v>
      </c>
      <c r="AC238" s="33">
        <f>COUNTIFS('Data For Calculation - Insuranc'!A:A,A238,'Data For Calculation - Insuranc'!E:E,"CPA + RSA : 5 Years")</f>
        <v>0</v>
      </c>
      <c r="AD238" s="30" t="s">
        <v>3817</v>
      </c>
      <c r="AE238" s="34">
        <v>838.99</v>
      </c>
      <c r="AF238" s="34" t="s">
        <v>3853</v>
      </c>
      <c r="AG238" s="34">
        <v>0.0</v>
      </c>
      <c r="AH238" s="34">
        <v>100.0</v>
      </c>
      <c r="AI238" s="34">
        <v>0.0</v>
      </c>
      <c r="AJ238" s="34">
        <v>0.0</v>
      </c>
      <c r="AK238" s="33">
        <f>COUNTIFS('Data For Calculation - Insuranc'!A:A,A238,'Data For Calculation - Insuranc'!E:E,"Assistance + CPA : 5 Years")</f>
        <v>0</v>
      </c>
      <c r="AL238" s="30" t="s">
        <v>3817</v>
      </c>
      <c r="AM238" s="31">
        <v>155.0</v>
      </c>
      <c r="AN238" s="34" t="s">
        <v>3853</v>
      </c>
      <c r="AO238" s="34">
        <v>0.0</v>
      </c>
      <c r="AP238" s="34">
        <v>100.0</v>
      </c>
      <c r="AQ238" s="34">
        <v>0.0</v>
      </c>
      <c r="AR238" s="34">
        <v>0.0</v>
      </c>
      <c r="AS238" s="33">
        <f>COUNTIFS('Data For Calculation - Insuranc'!A:A,A238,'Data For Calculation - Insuranc'!E:E,"RSA + AHDC + DOC")</f>
        <v>0</v>
      </c>
      <c r="BR238" s="33">
        <f t="shared" si="1"/>
        <v>0</v>
      </c>
      <c r="BS238" s="33">
        <f>SUMIFS('Data For Calculation - Insuranc'!I:I,'Data For Calculation - Insuranc'!$A:$A,$A238)</f>
        <v>0</v>
      </c>
      <c r="BT238" s="33">
        <f>SUMIFS('Data For Calculation - Insuranc'!J:J,'Data For Calculation - Insuranc'!$A:$A,$A238)</f>
        <v>0</v>
      </c>
      <c r="BU238" s="33">
        <f>SUMIFS('Data For Calculation - Insuranc'!K:K,'Data For Calculation - Insuranc'!$A:$A,$A238)</f>
        <v>0</v>
      </c>
      <c r="BV238" s="33">
        <f>IF($CC238 = "Dealer", SUMIFS('Data For Calculation - Insuranc'!I:I,'Data For Calculation - Insuranc'!$B:$B,$A238,'Data For Calculation - Insuranc'!$H:$H,"Master Dealer")) + SUMIFS('Data For Calculation - Insuranc'!I:I,'Data For Calculation - Insuranc'!$A:$A,$A238,'Data For Calculation - Insuranc'!$H:$H,"Self")</f>
        <v>0</v>
      </c>
      <c r="BW238" s="33">
        <f>IF($CC238 = "Dealer", SUMIFS('Data For Calculation - Insuranc'!J:J,'Data For Calculation - Insuranc'!$B:$B,$A238,'Data For Calculation - Insuranc'!$H:$H,"Master Dealer")) + SUMIFS('Data For Calculation - Insuranc'!J:J,'Data For Calculation - Insuranc'!$A:$A,$A238,'Data For Calculation - Insuranc'!$H:$H,"Self")</f>
        <v>0</v>
      </c>
      <c r="BX238" s="33">
        <f>IF($CC238 = "Dealer", SUMIFS('Data For Calculation - Insuranc'!K:K,'Data For Calculation - Insuranc'!$B:$B,$A238,'Data For Calculation - Insuranc'!$H:$H,"Master Dealer")) + SUMIFS('Data For Calculation - Insuranc'!K:K,'Data For Calculation - Insuranc'!$A:$A,$A238,'Data For Calculation - Insuranc'!$H:$H,"Self")</f>
        <v>0</v>
      </c>
      <c r="BY238" s="26" t="str">
        <f>(Sheet1!N238)</f>
        <v>AAA</v>
      </c>
      <c r="BZ238" s="26" t="str">
        <f>(Sheet1!O238)</f>
        <v>1AjVyIHPgPw3jscNmkTH1qzR2RokK5FZaJLjeNfOiYAA</v>
      </c>
      <c r="CA238" s="25" t="str">
        <f>(Sheet1!AV238)</f>
        <v/>
      </c>
      <c r="CB238" s="25" t="str">
        <f>(Sheet1!AW238)</f>
        <v/>
      </c>
      <c r="CC238" s="26" t="str">
        <f>(Sheet1!P238)</f>
        <v>Sub Dealer</v>
      </c>
    </row>
    <row r="239">
      <c r="A239" s="26" t="str">
        <f>(Sheet1!A239)</f>
        <v>15jnPMaEu2_OeDOATlNJjrJBvmq3ePhgdLWGBHROQJbo</v>
      </c>
      <c r="B239" s="26" t="str">
        <f>(Sheet1!B239)</f>
        <v>PASHANKAR AUTO- PUNE(SD)</v>
      </c>
      <c r="C239" s="30" t="str">
        <f>Sheet1!BB239</f>
        <v>No</v>
      </c>
      <c r="D239" s="34" t="s">
        <v>13</v>
      </c>
      <c r="E239" s="34" t="s">
        <v>13</v>
      </c>
      <c r="F239" s="34" t="s">
        <v>3817</v>
      </c>
      <c r="G239" s="34">
        <v>290.0</v>
      </c>
      <c r="H239" s="34" t="s">
        <v>3853</v>
      </c>
      <c r="I239" s="34">
        <v>0.0</v>
      </c>
      <c r="J239" s="34">
        <v>100.0</v>
      </c>
      <c r="K239" s="34">
        <v>0.0</v>
      </c>
      <c r="L239" s="34">
        <v>0.0</v>
      </c>
      <c r="M239" s="33">
        <f>COUNTIFS('Data For Calculation - Insuranc'!A:A,A239,'Data For Calculation - Insuranc'!E:E,"CPA + RSA")</f>
        <v>0</v>
      </c>
      <c r="N239" s="34" t="s">
        <v>3817</v>
      </c>
      <c r="O239" s="34">
        <v>460.0</v>
      </c>
      <c r="P239" s="34" t="s">
        <v>3853</v>
      </c>
      <c r="Q239" s="34">
        <v>0.0</v>
      </c>
      <c r="R239" s="34">
        <v>100.0</v>
      </c>
      <c r="S239" s="34">
        <v>0.0</v>
      </c>
      <c r="T239" s="34">
        <v>0.0</v>
      </c>
      <c r="U239" s="33">
        <f>COUNTIFS('Data For Calculation - Insuranc'!A:A,A239,'Data For Calculation - Insuranc'!E:E,"CPA + RSA + AHDC + DOC")</f>
        <v>0</v>
      </c>
      <c r="V239" s="34" t="s">
        <v>3817</v>
      </c>
      <c r="W239" s="34">
        <v>838.99</v>
      </c>
      <c r="X239" s="34" t="s">
        <v>3853</v>
      </c>
      <c r="Y239" s="34">
        <v>0.0</v>
      </c>
      <c r="Z239" s="34">
        <v>100.0</v>
      </c>
      <c r="AA239" s="34">
        <v>0.0</v>
      </c>
      <c r="AB239" s="34">
        <v>0.0</v>
      </c>
      <c r="AC239" s="33">
        <f>COUNTIFS('Data For Calculation - Insuranc'!A:A,A239,'Data For Calculation - Insuranc'!E:E,"CPA + RSA : 5 Years")</f>
        <v>0</v>
      </c>
      <c r="AD239" s="34" t="s">
        <v>3817</v>
      </c>
      <c r="AE239" s="34">
        <v>838.99</v>
      </c>
      <c r="AF239" s="34" t="s">
        <v>3853</v>
      </c>
      <c r="AG239" s="34">
        <v>0.0</v>
      </c>
      <c r="AH239" s="34">
        <v>100.0</v>
      </c>
      <c r="AI239" s="34">
        <v>0.0</v>
      </c>
      <c r="AJ239" s="34">
        <v>0.0</v>
      </c>
      <c r="AK239" s="33">
        <f>COUNTIFS('Data For Calculation - Insuranc'!A:A,A239,'Data For Calculation - Insuranc'!E:E,"Assistance + CPA : 5 Years")</f>
        <v>0</v>
      </c>
      <c r="AL239" s="34" t="s">
        <v>3817</v>
      </c>
      <c r="AM239" s="34">
        <v>290.0</v>
      </c>
      <c r="AN239" s="34" t="s">
        <v>3853</v>
      </c>
      <c r="AO239" s="34">
        <v>0.0</v>
      </c>
      <c r="AP239" s="34">
        <v>100.0</v>
      </c>
      <c r="AQ239" s="34">
        <v>0.0</v>
      </c>
      <c r="AR239" s="34">
        <v>0.0</v>
      </c>
      <c r="AS239" s="33">
        <f>COUNTIFS('Data For Calculation - Insuranc'!A:A,A239,'Data For Calculation - Insuranc'!E:E,"RSA + AHDC + DOC")</f>
        <v>0</v>
      </c>
      <c r="BR239" s="33">
        <f t="shared" si="1"/>
        <v>0</v>
      </c>
      <c r="BS239" s="33">
        <f>SUMIFS('Data For Calculation - Insuranc'!I:I,'Data For Calculation - Insuranc'!$A:$A,$A239)</f>
        <v>0</v>
      </c>
      <c r="BT239" s="33">
        <f>SUMIFS('Data For Calculation - Insuranc'!J:J,'Data For Calculation - Insuranc'!$A:$A,$A239)</f>
        <v>0</v>
      </c>
      <c r="BU239" s="33">
        <f>SUMIFS('Data For Calculation - Insuranc'!K:K,'Data For Calculation - Insuranc'!$A:$A,$A239)</f>
        <v>0</v>
      </c>
      <c r="BV239" s="33">
        <f>IF($CC239 = "Dealer", SUMIFS('Data For Calculation - Insuranc'!I:I,'Data For Calculation - Insuranc'!$B:$B,$A239,'Data For Calculation - Insuranc'!$H:$H,"Master Dealer")) + SUMIFS('Data For Calculation - Insuranc'!I:I,'Data For Calculation - Insuranc'!$A:$A,$A239,'Data For Calculation - Insuranc'!$H:$H,"Self")</f>
        <v>0</v>
      </c>
      <c r="BW239" s="33">
        <f>IF($CC239 = "Dealer", SUMIFS('Data For Calculation - Insuranc'!J:J,'Data For Calculation - Insuranc'!$B:$B,$A239,'Data For Calculation - Insuranc'!$H:$H,"Master Dealer")) + SUMIFS('Data For Calculation - Insuranc'!J:J,'Data For Calculation - Insuranc'!$A:$A,$A239,'Data For Calculation - Insuranc'!$H:$H,"Self")</f>
        <v>0</v>
      </c>
      <c r="BX239" s="33">
        <f>IF($CC239 = "Dealer", SUMIFS('Data For Calculation - Insuranc'!K:K,'Data For Calculation - Insuranc'!$B:$B,$A239,'Data For Calculation - Insuranc'!$H:$H,"Master Dealer")) + SUMIFS('Data For Calculation - Insuranc'!K:K,'Data For Calculation - Insuranc'!$A:$A,$A239,'Data For Calculation - Insuranc'!$H:$H,"Self")</f>
        <v>0</v>
      </c>
      <c r="BY239" s="26" t="str">
        <f>(Sheet1!N239)</f>
        <v>PASHANKAR AUTO- PUNE</v>
      </c>
      <c r="BZ239" s="26" t="str">
        <f>(Sheet1!O239)</f>
        <v>1kRyPQWS9rBO-hWXuMRpK-o-u45enSa2VVTYNekPb4kk</v>
      </c>
      <c r="CA239" s="25" t="str">
        <f>(Sheet1!AV239)</f>
        <v/>
      </c>
      <c r="CB239" s="25" t="str">
        <f>(Sheet1!AW239)</f>
        <v/>
      </c>
      <c r="CC239" s="26" t="str">
        <f>(Sheet1!P239)</f>
        <v>Sub Dealer</v>
      </c>
    </row>
    <row r="240">
      <c r="A240" s="26" t="str">
        <f>(Sheet1!A240)</f>
        <v>1D3-RH4t-FdI5s6mabxVe_emj1BWZlSPFuf3stfCzc8s</v>
      </c>
      <c r="B240" s="26" t="str">
        <f>(Sheet1!B240)</f>
        <v>M.L. MOTORS (KH) -  Gonda</v>
      </c>
      <c r="C240" s="30" t="str">
        <f>Sheet1!BB240</f>
        <v>No</v>
      </c>
      <c r="D240" s="34" t="s">
        <v>13</v>
      </c>
      <c r="E240" s="34" t="s">
        <v>13</v>
      </c>
      <c r="F240" s="34" t="s">
        <v>3820</v>
      </c>
      <c r="G240" s="34">
        <v>205.0</v>
      </c>
      <c r="H240" s="34" t="s">
        <v>3853</v>
      </c>
      <c r="I240" s="34">
        <v>0.0</v>
      </c>
      <c r="J240" s="34">
        <v>100.0</v>
      </c>
      <c r="K240" s="34">
        <v>0.0</v>
      </c>
      <c r="L240" s="34">
        <v>0.0</v>
      </c>
      <c r="M240" s="33">
        <f>COUNTIFS('Data For Calculation - Insuranc'!A:A,A240,'Data For Calculation - Insuranc'!E:E,"CPA + RSA")</f>
        <v>0</v>
      </c>
      <c r="N240" s="34" t="s">
        <v>3820</v>
      </c>
      <c r="O240" s="34">
        <v>460.0</v>
      </c>
      <c r="P240" s="34" t="s">
        <v>3853</v>
      </c>
      <c r="Q240" s="34">
        <v>0.0</v>
      </c>
      <c r="R240" s="34">
        <v>100.0</v>
      </c>
      <c r="S240" s="34">
        <v>0.0</v>
      </c>
      <c r="T240" s="34">
        <v>0.0</v>
      </c>
      <c r="U240" s="33">
        <f>COUNTIFS('Data For Calculation - Insuranc'!A:A,A240,'Data For Calculation - Insuranc'!E:E,"CPA + RSA + AHDC + DOC")</f>
        <v>0</v>
      </c>
      <c r="V240" s="34" t="s">
        <v>3820</v>
      </c>
      <c r="W240" s="34">
        <v>838.99</v>
      </c>
      <c r="X240" s="34" t="s">
        <v>3853</v>
      </c>
      <c r="Y240" s="34">
        <v>0.0</v>
      </c>
      <c r="Z240" s="34">
        <v>100.0</v>
      </c>
      <c r="AA240" s="34">
        <v>0.0</v>
      </c>
      <c r="AB240" s="34">
        <v>0.0</v>
      </c>
      <c r="AC240" s="33">
        <f>COUNTIFS('Data For Calculation - Insuranc'!A:A,A240,'Data For Calculation - Insuranc'!E:E,"CPA + RSA : 5 Years")</f>
        <v>0</v>
      </c>
      <c r="AD240" s="34" t="s">
        <v>3820</v>
      </c>
      <c r="AE240" s="34">
        <v>838.99</v>
      </c>
      <c r="AF240" s="34" t="s">
        <v>3853</v>
      </c>
      <c r="AG240" s="34">
        <v>0.0</v>
      </c>
      <c r="AH240" s="34">
        <v>100.0</v>
      </c>
      <c r="AI240" s="34">
        <v>0.0</v>
      </c>
      <c r="AJ240" s="34">
        <v>0.0</v>
      </c>
      <c r="AK240" s="33">
        <f>COUNTIFS('Data For Calculation - Insuranc'!A:A,A240,'Data For Calculation - Insuranc'!E:E,"Assistance + CPA : 5 Years")</f>
        <v>0</v>
      </c>
      <c r="AL240" s="34" t="s">
        <v>3820</v>
      </c>
      <c r="AM240" s="34">
        <v>290.0</v>
      </c>
      <c r="AN240" s="34" t="s">
        <v>3853</v>
      </c>
      <c r="AO240" s="34">
        <v>0.0</v>
      </c>
      <c r="AP240" s="34">
        <v>100.0</v>
      </c>
      <c r="AQ240" s="34">
        <v>0.0</v>
      </c>
      <c r="AR240" s="34">
        <v>0.0</v>
      </c>
      <c r="AS240" s="33">
        <f>COUNTIFS('Data For Calculation - Insuranc'!A:A,A240,'Data For Calculation - Insuranc'!E:E,"RSA + AHDC + DOC")</f>
        <v>0</v>
      </c>
      <c r="BR240" s="33">
        <f t="shared" si="1"/>
        <v>0</v>
      </c>
      <c r="BS240" s="33">
        <f>SUMIFS('Data For Calculation - Insuranc'!I:I,'Data For Calculation - Insuranc'!$A:$A,$A240)</f>
        <v>0</v>
      </c>
      <c r="BT240" s="33">
        <f>SUMIFS('Data For Calculation - Insuranc'!J:J,'Data For Calculation - Insuranc'!$A:$A,$A240)</f>
        <v>0</v>
      </c>
      <c r="BU240" s="33">
        <f>SUMIFS('Data For Calculation - Insuranc'!K:K,'Data For Calculation - Insuranc'!$A:$A,$A240)</f>
        <v>0</v>
      </c>
      <c r="BV240" s="33">
        <f>IF($CC240 = "Dealer", SUMIFS('Data For Calculation - Insuranc'!I:I,'Data For Calculation - Insuranc'!$B:$B,$A240,'Data For Calculation - Insuranc'!$H:$H,"Master Dealer")) + SUMIFS('Data For Calculation - Insuranc'!I:I,'Data For Calculation - Insuranc'!$A:$A,$A240,'Data For Calculation - Insuranc'!$H:$H,"Self")</f>
        <v>0</v>
      </c>
      <c r="BW240" s="33">
        <f>IF($CC240 = "Dealer", SUMIFS('Data For Calculation - Insuranc'!J:J,'Data For Calculation - Insuranc'!$B:$B,$A240,'Data For Calculation - Insuranc'!$H:$H,"Master Dealer")) + SUMIFS('Data For Calculation - Insuranc'!J:J,'Data For Calculation - Insuranc'!$A:$A,$A240,'Data For Calculation - Insuranc'!$H:$H,"Self")</f>
        <v>0</v>
      </c>
      <c r="BX240" s="33">
        <f>IF($CC240 = "Dealer", SUMIFS('Data For Calculation - Insuranc'!K:K,'Data For Calculation - Insuranc'!$B:$B,$A240,'Data For Calculation - Insuranc'!$H:$H,"Master Dealer")) + SUMIFS('Data For Calculation - Insuranc'!K:K,'Data For Calculation - Insuranc'!$A:$A,$A240,'Data For Calculation - Insuranc'!$H:$H,"Self")</f>
        <v>0</v>
      </c>
      <c r="BY240" s="26" t="str">
        <f>(Sheet1!N240)</f>
        <v>Kamal Hero - Gonda</v>
      </c>
      <c r="BZ240" s="26" t="str">
        <f>(Sheet1!O240)</f>
        <v>1VIUqOp_UXFVjhTtvQswmqJ7NEi8nkGyfHAoJPy-wvSA</v>
      </c>
      <c r="CA240" s="25" t="str">
        <f>(Sheet1!AV240)</f>
        <v/>
      </c>
      <c r="CB240" s="25" t="str">
        <f>(Sheet1!AW240)</f>
        <v/>
      </c>
      <c r="CC240" s="26" t="str">
        <f>(Sheet1!P240)</f>
        <v>Sub Dealer</v>
      </c>
    </row>
    <row r="241">
      <c r="A241" s="26" t="str">
        <f>(Sheet1!A241)</f>
        <v>1uNRBa-tQr-tK4ljePvXpBlFQNtLdUR6FKNphcYBf9iY</v>
      </c>
      <c r="B241" s="26" t="str">
        <f>(Sheet1!B241)</f>
        <v>BRIJ NEW CPA - MATHURA</v>
      </c>
      <c r="C241" s="30" t="str">
        <f>Sheet1!BB241</f>
        <v>No</v>
      </c>
      <c r="D241" s="34" t="s">
        <v>13</v>
      </c>
      <c r="E241" s="34" t="s">
        <v>13</v>
      </c>
      <c r="F241" s="34" t="s">
        <v>3820</v>
      </c>
      <c r="G241" s="34">
        <v>290.0</v>
      </c>
      <c r="H241" s="34" t="s">
        <v>3853</v>
      </c>
      <c r="I241" s="34">
        <v>0.0</v>
      </c>
      <c r="J241" s="34">
        <v>100.0</v>
      </c>
      <c r="K241" s="34">
        <v>0.0</v>
      </c>
      <c r="L241" s="34">
        <v>0.0</v>
      </c>
      <c r="M241" s="33">
        <f>COUNTIFS('Data For Calculation - Insuranc'!A:A,A241,'Data For Calculation - Insuranc'!E:E,"CPA + RSA")</f>
        <v>0</v>
      </c>
      <c r="N241" s="34" t="s">
        <v>3820</v>
      </c>
      <c r="O241" s="34">
        <v>460.0</v>
      </c>
      <c r="P241" s="34" t="s">
        <v>3853</v>
      </c>
      <c r="Q241" s="34">
        <v>0.0</v>
      </c>
      <c r="R241" s="34">
        <v>100.0</v>
      </c>
      <c r="S241" s="34">
        <v>0.0</v>
      </c>
      <c r="T241" s="34">
        <v>0.0</v>
      </c>
      <c r="U241" s="33">
        <f>COUNTIFS('Data For Calculation - Insuranc'!A:A,A241,'Data For Calculation - Insuranc'!E:E,"CPA + RSA + AHDC + DOC")</f>
        <v>0</v>
      </c>
      <c r="V241" s="34" t="s">
        <v>3820</v>
      </c>
      <c r="W241" s="34">
        <v>838.99</v>
      </c>
      <c r="X241" s="34" t="s">
        <v>3853</v>
      </c>
      <c r="Y241" s="34">
        <v>0.0</v>
      </c>
      <c r="Z241" s="34">
        <v>100.0</v>
      </c>
      <c r="AA241" s="34">
        <v>0.0</v>
      </c>
      <c r="AB241" s="34">
        <v>0.0</v>
      </c>
      <c r="AC241" s="33">
        <f>COUNTIFS('Data For Calculation - Insuranc'!A:A,A241,'Data For Calculation - Insuranc'!E:E,"CPA + RSA : 5 Years")</f>
        <v>0</v>
      </c>
      <c r="AD241" s="34" t="s">
        <v>3820</v>
      </c>
      <c r="AE241" s="34">
        <v>838.99</v>
      </c>
      <c r="AF241" s="34" t="s">
        <v>3853</v>
      </c>
      <c r="AG241" s="34">
        <v>0.0</v>
      </c>
      <c r="AH241" s="34">
        <v>100.0</v>
      </c>
      <c r="AI241" s="34">
        <v>0.0</v>
      </c>
      <c r="AJ241" s="34">
        <v>0.0</v>
      </c>
      <c r="AK241" s="33">
        <f>COUNTIFS('Data For Calculation - Insuranc'!A:A,A241,'Data For Calculation - Insuranc'!E:E,"Assistance + CPA : 5 Years")</f>
        <v>0</v>
      </c>
      <c r="AL241" s="34" t="s">
        <v>3820</v>
      </c>
      <c r="AM241" s="34">
        <v>290.0</v>
      </c>
      <c r="AN241" s="34" t="s">
        <v>3853</v>
      </c>
      <c r="AO241" s="34">
        <v>0.0</v>
      </c>
      <c r="AP241" s="34">
        <v>100.0</v>
      </c>
      <c r="AQ241" s="34">
        <v>0.0</v>
      </c>
      <c r="AR241" s="34">
        <v>0.0</v>
      </c>
      <c r="AS241" s="33">
        <f>COUNTIFS('Data For Calculation - Insuranc'!A:A,A241,'Data For Calculation - Insuranc'!E:E,"RSA + AHDC + DOC")</f>
        <v>0</v>
      </c>
      <c r="BR241" s="33">
        <f t="shared" si="1"/>
        <v>0</v>
      </c>
      <c r="BS241" s="33">
        <f>SUMIFS('Data For Calculation - Insuranc'!I:I,'Data For Calculation - Insuranc'!$A:$A,$A241)</f>
        <v>0</v>
      </c>
      <c r="BT241" s="33">
        <f>SUMIFS('Data For Calculation - Insuranc'!J:J,'Data For Calculation - Insuranc'!$A:$A,$A241)</f>
        <v>0</v>
      </c>
      <c r="BU241" s="33">
        <f>SUMIFS('Data For Calculation - Insuranc'!K:K,'Data For Calculation - Insuranc'!$A:$A,$A241)</f>
        <v>0</v>
      </c>
      <c r="BV241" s="33">
        <f>IF($CC241 = "Dealer", SUMIFS('Data For Calculation - Insuranc'!I:I,'Data For Calculation - Insuranc'!$B:$B,$A241,'Data For Calculation - Insuranc'!$H:$H,"Master Dealer")) + SUMIFS('Data For Calculation - Insuranc'!I:I,'Data For Calculation - Insuranc'!$A:$A,$A241,'Data For Calculation - Insuranc'!$H:$H,"Self")</f>
        <v>0</v>
      </c>
      <c r="BW241" s="33">
        <f>IF($CC241 = "Dealer", SUMIFS('Data For Calculation - Insuranc'!J:J,'Data For Calculation - Insuranc'!$B:$B,$A241,'Data For Calculation - Insuranc'!$H:$H,"Master Dealer")) + SUMIFS('Data For Calculation - Insuranc'!J:J,'Data For Calculation - Insuranc'!$A:$A,$A241,'Data For Calculation - Insuranc'!$H:$H,"Self")</f>
        <v>0</v>
      </c>
      <c r="BX241" s="33">
        <f>IF($CC241 = "Dealer", SUMIFS('Data For Calculation - Insuranc'!K:K,'Data For Calculation - Insuranc'!$B:$B,$A241,'Data For Calculation - Insuranc'!$H:$H,"Master Dealer")) + SUMIFS('Data For Calculation - Insuranc'!K:K,'Data For Calculation - Insuranc'!$A:$A,$A241,'Data For Calculation - Insuranc'!$H:$H,"Self")</f>
        <v>0</v>
      </c>
      <c r="BY241" s="26" t="str">
        <f>(Sheet1!N241)</f>
        <v>Brij Biwheelers</v>
      </c>
      <c r="BZ241" s="26" t="str">
        <f>(Sheet1!O241)</f>
        <v>1ytBGcO8tIze81xKkAa9lWDcflthsPL6SuADAXbhmuwA</v>
      </c>
      <c r="CA241" s="25" t="str">
        <f>(Sheet1!AV241)</f>
        <v/>
      </c>
      <c r="CB241" s="25" t="str">
        <f>(Sheet1!AW241)</f>
        <v/>
      </c>
      <c r="CC241" s="26" t="str">
        <f>(Sheet1!P241)</f>
        <v>Sub Dealer</v>
      </c>
    </row>
    <row r="242">
      <c r="A242" s="26" t="str">
        <f>(Sheet1!A242)</f>
        <v>1WZ3iIAbNB5bzglH4XYG8P38qAiheukTawTpLVIGfqb8</v>
      </c>
      <c r="B242" s="26" t="str">
        <f>(Sheet1!B242)</f>
        <v>GAURAV SHARMA (BBW)- SONKH</v>
      </c>
      <c r="C242" s="30" t="str">
        <f>Sheet1!BB242</f>
        <v>No</v>
      </c>
      <c r="D242" s="34" t="s">
        <v>13</v>
      </c>
      <c r="E242" s="34" t="s">
        <v>13</v>
      </c>
      <c r="F242" s="34" t="s">
        <v>3820</v>
      </c>
      <c r="G242" s="34">
        <v>290.0</v>
      </c>
      <c r="H242" s="34" t="s">
        <v>3853</v>
      </c>
      <c r="I242" s="34">
        <v>0.0</v>
      </c>
      <c r="J242" s="34">
        <v>100.0</v>
      </c>
      <c r="K242" s="34">
        <v>0.0</v>
      </c>
      <c r="L242" s="34">
        <v>0.0</v>
      </c>
      <c r="M242" s="33">
        <f>COUNTIFS('Data For Calculation - Insuranc'!A:A,A242,'Data For Calculation - Insuranc'!E:E,"CPA + RSA")</f>
        <v>0</v>
      </c>
      <c r="N242" s="34" t="s">
        <v>3820</v>
      </c>
      <c r="O242" s="34">
        <v>460.0</v>
      </c>
      <c r="P242" s="34" t="s">
        <v>3853</v>
      </c>
      <c r="Q242" s="34">
        <v>0.0</v>
      </c>
      <c r="R242" s="34">
        <v>100.0</v>
      </c>
      <c r="S242" s="34">
        <v>0.0</v>
      </c>
      <c r="T242" s="34">
        <v>0.0</v>
      </c>
      <c r="U242" s="33">
        <f>COUNTIFS('Data For Calculation - Insuranc'!A:A,A242,'Data For Calculation - Insuranc'!E:E,"CPA + RSA + AHDC + DOC")</f>
        <v>0</v>
      </c>
      <c r="V242" s="34" t="s">
        <v>3820</v>
      </c>
      <c r="W242" s="34">
        <v>838.99</v>
      </c>
      <c r="X242" s="34" t="s">
        <v>3853</v>
      </c>
      <c r="Y242" s="34">
        <v>0.0</v>
      </c>
      <c r="Z242" s="34">
        <v>100.0</v>
      </c>
      <c r="AA242" s="34">
        <v>0.0</v>
      </c>
      <c r="AB242" s="34">
        <v>0.0</v>
      </c>
      <c r="AC242" s="33">
        <f>COUNTIFS('Data For Calculation - Insuranc'!A:A,A242,'Data For Calculation - Insuranc'!E:E,"CPA + RSA : 5 Years")</f>
        <v>0</v>
      </c>
      <c r="AD242" s="34" t="s">
        <v>3820</v>
      </c>
      <c r="AE242" s="34">
        <v>838.99</v>
      </c>
      <c r="AF242" s="34" t="s">
        <v>3853</v>
      </c>
      <c r="AG242" s="34">
        <v>0.0</v>
      </c>
      <c r="AH242" s="34">
        <v>100.0</v>
      </c>
      <c r="AI242" s="34">
        <v>0.0</v>
      </c>
      <c r="AJ242" s="34">
        <v>0.0</v>
      </c>
      <c r="AK242" s="33">
        <f>COUNTIFS('Data For Calculation - Insuranc'!A:A,A242,'Data For Calculation - Insuranc'!E:E,"Assistance + CPA : 5 Years")</f>
        <v>0</v>
      </c>
      <c r="AL242" s="34" t="s">
        <v>3820</v>
      </c>
      <c r="AM242" s="34">
        <v>290.0</v>
      </c>
      <c r="AN242" s="34" t="s">
        <v>3853</v>
      </c>
      <c r="AO242" s="34">
        <v>0.0</v>
      </c>
      <c r="AP242" s="34">
        <v>100.0</v>
      </c>
      <c r="AQ242" s="34">
        <v>0.0</v>
      </c>
      <c r="AR242" s="34">
        <v>0.0</v>
      </c>
      <c r="AS242" s="33">
        <f>COUNTIFS('Data For Calculation - Insuranc'!A:A,A242,'Data For Calculation - Insuranc'!E:E,"RSA + AHDC + DOC")</f>
        <v>0</v>
      </c>
      <c r="BR242" s="33">
        <f t="shared" si="1"/>
        <v>0</v>
      </c>
      <c r="BS242" s="33">
        <f>SUMIFS('Data For Calculation - Insuranc'!I:I,'Data For Calculation - Insuranc'!$A:$A,$A242)</f>
        <v>0</v>
      </c>
      <c r="BT242" s="33">
        <f>SUMIFS('Data For Calculation - Insuranc'!J:J,'Data For Calculation - Insuranc'!$A:$A,$A242)</f>
        <v>0</v>
      </c>
      <c r="BU242" s="33">
        <f>SUMIFS('Data For Calculation - Insuranc'!K:K,'Data For Calculation - Insuranc'!$A:$A,$A242)</f>
        <v>0</v>
      </c>
      <c r="BV242" s="33">
        <f>IF($CC242 = "Dealer", SUMIFS('Data For Calculation - Insuranc'!I:I,'Data For Calculation - Insuranc'!$B:$B,$A242,'Data For Calculation - Insuranc'!$H:$H,"Master Dealer")) + SUMIFS('Data For Calculation - Insuranc'!I:I,'Data For Calculation - Insuranc'!$A:$A,$A242,'Data For Calculation - Insuranc'!$H:$H,"Self")</f>
        <v>0</v>
      </c>
      <c r="BW242" s="33">
        <f>IF($CC242 = "Dealer", SUMIFS('Data For Calculation - Insuranc'!J:J,'Data For Calculation - Insuranc'!$B:$B,$A242,'Data For Calculation - Insuranc'!$H:$H,"Master Dealer")) + SUMIFS('Data For Calculation - Insuranc'!J:J,'Data For Calculation - Insuranc'!$A:$A,$A242,'Data For Calculation - Insuranc'!$H:$H,"Self")</f>
        <v>0</v>
      </c>
      <c r="BX242" s="33">
        <f>IF($CC242 = "Dealer", SUMIFS('Data For Calculation - Insuranc'!K:K,'Data For Calculation - Insuranc'!$B:$B,$A242,'Data For Calculation - Insuranc'!$H:$H,"Master Dealer")) + SUMIFS('Data For Calculation - Insuranc'!K:K,'Data For Calculation - Insuranc'!$A:$A,$A242,'Data For Calculation - Insuranc'!$H:$H,"Self")</f>
        <v>0</v>
      </c>
      <c r="BY242" s="26" t="str">
        <f>(Sheet1!N242)</f>
        <v>Brij Biwheelers</v>
      </c>
      <c r="BZ242" s="26" t="str">
        <f>(Sheet1!O242)</f>
        <v>1ytBGcO8tIze81xKkAa9lWDcflthsPL6SuADAXbhmuwA</v>
      </c>
      <c r="CA242" s="25" t="str">
        <f>(Sheet1!AV242)</f>
        <v/>
      </c>
      <c r="CB242" s="25" t="str">
        <f>(Sheet1!AW242)</f>
        <v/>
      </c>
      <c r="CC242" s="26" t="str">
        <f>(Sheet1!P242)</f>
        <v>Sub Dealer</v>
      </c>
    </row>
    <row r="243">
      <c r="A243" s="26" t="str">
        <f>(Sheet1!A243)</f>
        <v>1N2nhUlQIv8rArpkobd5RsjT5bHurvDy7GgSqr-hveAE</v>
      </c>
      <c r="B243" s="26" t="str">
        <f>(Sheet1!B243)</f>
        <v>MADAR AUTOMOBILE - CHAURE BAZAR</v>
      </c>
      <c r="C243" s="30" t="str">
        <f>Sheet1!BB243</f>
        <v>No</v>
      </c>
      <c r="D243" s="34" t="s">
        <v>13</v>
      </c>
      <c r="E243" s="34" t="s">
        <v>13</v>
      </c>
      <c r="F243" s="34" t="s">
        <v>3820</v>
      </c>
      <c r="G243" s="34">
        <v>290.0</v>
      </c>
      <c r="H243" s="34" t="s">
        <v>3853</v>
      </c>
      <c r="I243" s="34">
        <v>0.0</v>
      </c>
      <c r="J243" s="34">
        <v>100.0</v>
      </c>
      <c r="K243" s="34">
        <v>0.0</v>
      </c>
      <c r="L243" s="34">
        <v>0.0</v>
      </c>
      <c r="M243" s="33">
        <f>COUNTIFS('Data For Calculation - Insuranc'!A:A,A243,'Data For Calculation - Insuranc'!E:E,"CPA + RSA")</f>
        <v>0</v>
      </c>
      <c r="N243" s="34" t="s">
        <v>3820</v>
      </c>
      <c r="O243" s="34">
        <v>375.0</v>
      </c>
      <c r="P243" s="34" t="s">
        <v>3853</v>
      </c>
      <c r="Q243" s="34">
        <v>0.0</v>
      </c>
      <c r="R243" s="34">
        <v>100.0</v>
      </c>
      <c r="S243" s="34">
        <v>0.0</v>
      </c>
      <c r="T243" s="34">
        <v>0.0</v>
      </c>
      <c r="U243" s="33">
        <f>COUNTIFS('Data For Calculation - Insuranc'!A:A,A243,'Data For Calculation - Insuranc'!E:E,"CPA + RSA + AHDC + DOC")</f>
        <v>0</v>
      </c>
      <c r="V243" s="34" t="s">
        <v>3820</v>
      </c>
      <c r="W243" s="34">
        <v>838.99</v>
      </c>
      <c r="X243" s="34" t="s">
        <v>3853</v>
      </c>
      <c r="Y243" s="34">
        <v>0.0</v>
      </c>
      <c r="Z243" s="34">
        <v>100.0</v>
      </c>
      <c r="AA243" s="34">
        <v>0.0</v>
      </c>
      <c r="AB243" s="34">
        <v>0.0</v>
      </c>
      <c r="AC243" s="33">
        <f>COUNTIFS('Data For Calculation - Insuranc'!A:A,A243,'Data For Calculation - Insuranc'!E:E,"CPA + RSA : 5 Years")</f>
        <v>0</v>
      </c>
      <c r="AD243" s="34" t="s">
        <v>3820</v>
      </c>
      <c r="AE243" s="34">
        <v>838.99</v>
      </c>
      <c r="AF243" s="34" t="s">
        <v>3853</v>
      </c>
      <c r="AG243" s="34">
        <v>0.0</v>
      </c>
      <c r="AH243" s="34">
        <v>100.0</v>
      </c>
      <c r="AI243" s="34">
        <v>0.0</v>
      </c>
      <c r="AJ243" s="34">
        <v>0.0</v>
      </c>
      <c r="AK243" s="33">
        <f>COUNTIFS('Data For Calculation - Insuranc'!A:A,A243,'Data For Calculation - Insuranc'!E:E,"Assistance + CPA : 5 Years")</f>
        <v>0</v>
      </c>
      <c r="AL243" s="34" t="s">
        <v>3820</v>
      </c>
      <c r="AM243" s="34">
        <v>290.0</v>
      </c>
      <c r="AN243" s="34" t="s">
        <v>3853</v>
      </c>
      <c r="AO243" s="34">
        <v>0.0</v>
      </c>
      <c r="AP243" s="34">
        <v>100.0</v>
      </c>
      <c r="AQ243" s="34">
        <v>0.0</v>
      </c>
      <c r="AR243" s="34">
        <v>0.0</v>
      </c>
      <c r="AS243" s="33">
        <f>COUNTIFS('Data For Calculation - Insuranc'!A:A,A243,'Data For Calculation - Insuranc'!E:E,"RSA + AHDC + DOC")</f>
        <v>0</v>
      </c>
      <c r="BR243" s="33">
        <f t="shared" si="1"/>
        <v>0</v>
      </c>
      <c r="BS243" s="33">
        <f>SUMIFS('Data For Calculation - Insuranc'!I:I,'Data For Calculation - Insuranc'!$A:$A,$A243)</f>
        <v>0</v>
      </c>
      <c r="BT243" s="33">
        <f>SUMIFS('Data For Calculation - Insuranc'!J:J,'Data For Calculation - Insuranc'!$A:$A,$A243)</f>
        <v>0</v>
      </c>
      <c r="BU243" s="33">
        <f>SUMIFS('Data For Calculation - Insuranc'!K:K,'Data For Calculation - Insuranc'!$A:$A,$A243)</f>
        <v>0</v>
      </c>
      <c r="BV243" s="33">
        <f>IF($CC243 = "Dealer", SUMIFS('Data For Calculation - Insuranc'!I:I,'Data For Calculation - Insuranc'!$B:$B,$A243,'Data For Calculation - Insuranc'!$H:$H,"Master Dealer")) + SUMIFS('Data For Calculation - Insuranc'!I:I,'Data For Calculation - Insuranc'!$A:$A,$A243,'Data For Calculation - Insuranc'!$H:$H,"Self")</f>
        <v>0</v>
      </c>
      <c r="BW243" s="33">
        <f>IF($CC243 = "Dealer", SUMIFS('Data For Calculation - Insuranc'!J:J,'Data For Calculation - Insuranc'!$B:$B,$A243,'Data For Calculation - Insuranc'!$H:$H,"Master Dealer")) + SUMIFS('Data For Calculation - Insuranc'!J:J,'Data For Calculation - Insuranc'!$A:$A,$A243,'Data For Calculation - Insuranc'!$H:$H,"Self")</f>
        <v>0</v>
      </c>
      <c r="BX243" s="33">
        <f>IF($CC243 = "Dealer", SUMIFS('Data For Calculation - Insuranc'!K:K,'Data For Calculation - Insuranc'!$B:$B,$A243,'Data For Calculation - Insuranc'!$H:$H,"Master Dealer")) + SUMIFS('Data For Calculation - Insuranc'!K:K,'Data For Calculation - Insuranc'!$A:$A,$A243,'Data For Calculation - Insuranc'!$H:$H,"Self")</f>
        <v>0</v>
      </c>
      <c r="BY243" s="26" t="str">
        <f>(Sheet1!N243)</f>
        <v>Vanshadi Motors - Faizabad</v>
      </c>
      <c r="BZ243" s="26" t="str">
        <f>(Sheet1!O243)</f>
        <v>1S2YNz2hsIyDIwT68EF1VR8O-D7oanl9HQJpcApwJPG4</v>
      </c>
      <c r="CA243" s="25" t="str">
        <f>(Sheet1!AV243)</f>
        <v/>
      </c>
      <c r="CB243" s="25" t="str">
        <f>(Sheet1!AW243)</f>
        <v/>
      </c>
      <c r="CC243" s="26" t="str">
        <f>(Sheet1!P243)</f>
        <v>Sub Dealer</v>
      </c>
    </row>
    <row r="244">
      <c r="A244" s="26" t="str">
        <f>(Sheet1!A244)</f>
        <v>1kGb6hrNJXovJfW0VYZrNJI9HEgnPDMsvnJUI4qK6La4</v>
      </c>
      <c r="B244" s="26" t="str">
        <f>(Sheet1!B244)</f>
        <v>V.K MOTORS (VM)- BADAGAON</v>
      </c>
      <c r="C244" s="30" t="str">
        <f>Sheet1!BB244</f>
        <v>No</v>
      </c>
      <c r="D244" s="34" t="s">
        <v>13</v>
      </c>
      <c r="E244" s="34" t="s">
        <v>13</v>
      </c>
      <c r="F244" s="34" t="s">
        <v>3820</v>
      </c>
      <c r="G244" s="34">
        <v>290.0</v>
      </c>
      <c r="H244" s="34" t="s">
        <v>3853</v>
      </c>
      <c r="I244" s="34">
        <v>0.0</v>
      </c>
      <c r="J244" s="34">
        <v>100.0</v>
      </c>
      <c r="K244" s="34">
        <v>0.0</v>
      </c>
      <c r="L244" s="34">
        <v>0.0</v>
      </c>
      <c r="M244" s="33">
        <f>COUNTIFS('Data For Calculation - Insuranc'!A:A,A244,'Data For Calculation - Insuranc'!E:E,"CPA + RSA")</f>
        <v>0</v>
      </c>
      <c r="N244" s="34" t="s">
        <v>3820</v>
      </c>
      <c r="O244" s="34">
        <v>375.0</v>
      </c>
      <c r="P244" s="34" t="s">
        <v>3853</v>
      </c>
      <c r="Q244" s="34">
        <v>0.0</v>
      </c>
      <c r="R244" s="34">
        <v>100.0</v>
      </c>
      <c r="S244" s="34">
        <v>0.0</v>
      </c>
      <c r="T244" s="34">
        <v>0.0</v>
      </c>
      <c r="U244" s="33">
        <f>COUNTIFS('Data For Calculation - Insuranc'!A:A,A244,'Data For Calculation - Insuranc'!E:E,"CPA + RSA + AHDC + DOC")</f>
        <v>0</v>
      </c>
      <c r="V244" s="34" t="s">
        <v>3820</v>
      </c>
      <c r="W244" s="34">
        <v>838.99</v>
      </c>
      <c r="X244" s="34" t="s">
        <v>3853</v>
      </c>
      <c r="Y244" s="34">
        <v>0.0</v>
      </c>
      <c r="Z244" s="34">
        <v>100.0</v>
      </c>
      <c r="AA244" s="34">
        <v>0.0</v>
      </c>
      <c r="AB244" s="34">
        <v>0.0</v>
      </c>
      <c r="AC244" s="33">
        <f>COUNTIFS('Data For Calculation - Insuranc'!A:A,A244,'Data For Calculation - Insuranc'!E:E,"CPA + RSA : 5 Years")</f>
        <v>0</v>
      </c>
      <c r="AD244" s="34" t="s">
        <v>3820</v>
      </c>
      <c r="AE244" s="34">
        <v>838.99</v>
      </c>
      <c r="AF244" s="34" t="s">
        <v>3853</v>
      </c>
      <c r="AG244" s="34">
        <v>0.0</v>
      </c>
      <c r="AH244" s="34">
        <v>100.0</v>
      </c>
      <c r="AI244" s="34">
        <v>0.0</v>
      </c>
      <c r="AJ244" s="34">
        <v>0.0</v>
      </c>
      <c r="AK244" s="33">
        <f>COUNTIFS('Data For Calculation - Insuranc'!A:A,A244,'Data For Calculation - Insuranc'!E:E,"Assistance + CPA : 5 Years")</f>
        <v>0</v>
      </c>
      <c r="AL244" s="34" t="s">
        <v>3820</v>
      </c>
      <c r="AM244" s="34">
        <v>290.0</v>
      </c>
      <c r="AN244" s="34" t="s">
        <v>3853</v>
      </c>
      <c r="AO244" s="34">
        <v>0.0</v>
      </c>
      <c r="AP244" s="34">
        <v>100.0</v>
      </c>
      <c r="AQ244" s="34">
        <v>0.0</v>
      </c>
      <c r="AR244" s="34">
        <v>0.0</v>
      </c>
      <c r="AS244" s="33">
        <f>COUNTIFS('Data For Calculation - Insuranc'!A:A,A244,'Data For Calculation - Insuranc'!E:E,"RSA + AHDC + DOC")</f>
        <v>0</v>
      </c>
      <c r="BR244" s="33">
        <f t="shared" si="1"/>
        <v>0</v>
      </c>
      <c r="BS244" s="33">
        <f>SUMIFS('Data For Calculation - Insuranc'!I:I,'Data For Calculation - Insuranc'!$A:$A,$A244)</f>
        <v>0</v>
      </c>
      <c r="BT244" s="33">
        <f>SUMIFS('Data For Calculation - Insuranc'!J:J,'Data For Calculation - Insuranc'!$A:$A,$A244)</f>
        <v>0</v>
      </c>
      <c r="BU244" s="33">
        <f>SUMIFS('Data For Calculation - Insuranc'!K:K,'Data For Calculation - Insuranc'!$A:$A,$A244)</f>
        <v>0</v>
      </c>
      <c r="BV244" s="33">
        <f>IF($CC244 = "Dealer", SUMIFS('Data For Calculation - Insuranc'!I:I,'Data For Calculation - Insuranc'!$B:$B,$A244,'Data For Calculation - Insuranc'!$H:$H,"Master Dealer")) + SUMIFS('Data For Calculation - Insuranc'!I:I,'Data For Calculation - Insuranc'!$A:$A,$A244,'Data For Calculation - Insuranc'!$H:$H,"Self")</f>
        <v>0</v>
      </c>
      <c r="BW244" s="33">
        <f>IF($CC244 = "Dealer", SUMIFS('Data For Calculation - Insuranc'!J:J,'Data For Calculation - Insuranc'!$B:$B,$A244,'Data For Calculation - Insuranc'!$H:$H,"Master Dealer")) + SUMIFS('Data For Calculation - Insuranc'!J:J,'Data For Calculation - Insuranc'!$A:$A,$A244,'Data For Calculation - Insuranc'!$H:$H,"Self")</f>
        <v>0</v>
      </c>
      <c r="BX244" s="33">
        <f>IF($CC244 = "Dealer", SUMIFS('Data For Calculation - Insuranc'!K:K,'Data For Calculation - Insuranc'!$B:$B,$A244,'Data For Calculation - Insuranc'!$H:$H,"Master Dealer")) + SUMIFS('Data For Calculation - Insuranc'!K:K,'Data For Calculation - Insuranc'!$A:$A,$A244,'Data For Calculation - Insuranc'!$H:$H,"Self")</f>
        <v>0</v>
      </c>
      <c r="BY244" s="26" t="str">
        <f>(Sheet1!N244)</f>
        <v>Vanshadi Motors - Faizabad</v>
      </c>
      <c r="BZ244" s="26" t="str">
        <f>(Sheet1!O244)</f>
        <v>1S2YNz2hsIyDIwT68EF1VR8O-D7oanl9HQJpcApwJPG4</v>
      </c>
      <c r="CA244" s="25" t="str">
        <f>(Sheet1!AV244)</f>
        <v/>
      </c>
      <c r="CB244" s="25" t="str">
        <f>(Sheet1!AW244)</f>
        <v/>
      </c>
      <c r="CC244" s="26" t="str">
        <f>(Sheet1!P244)</f>
        <v>Sub Dealer</v>
      </c>
    </row>
    <row r="245">
      <c r="A245" s="26" t="str">
        <f>(Sheet1!A245)</f>
        <v>10eOuCid3doBRgqrYrW2izRAjuevQTzEFfL_e1Msg9_c</v>
      </c>
      <c r="B245" s="26" t="str">
        <f>(Sheet1!B245)</f>
        <v>AGARWAL AUTO SALES(CA) - RUDAULI</v>
      </c>
      <c r="C245" s="30" t="str">
        <f>Sheet1!BB245</f>
        <v>No</v>
      </c>
      <c r="D245" s="34" t="s">
        <v>13</v>
      </c>
      <c r="E245" s="34" t="s">
        <v>13</v>
      </c>
      <c r="F245" s="34" t="s">
        <v>3820</v>
      </c>
      <c r="G245" s="34">
        <v>290.0</v>
      </c>
      <c r="H245" s="34" t="s">
        <v>3853</v>
      </c>
      <c r="I245" s="34">
        <v>0.0</v>
      </c>
      <c r="J245" s="34">
        <v>100.0</v>
      </c>
      <c r="K245" s="34">
        <v>0.0</v>
      </c>
      <c r="L245" s="34">
        <v>0.0</v>
      </c>
      <c r="M245" s="33">
        <f>COUNTIFS('Data For Calculation - Insuranc'!A:A,A245,'Data For Calculation - Insuranc'!E:E,"CPA + RSA")</f>
        <v>0</v>
      </c>
      <c r="N245" s="34" t="s">
        <v>3820</v>
      </c>
      <c r="O245" s="34">
        <v>375.0</v>
      </c>
      <c r="P245" s="34" t="s">
        <v>3853</v>
      </c>
      <c r="Q245" s="34">
        <v>0.0</v>
      </c>
      <c r="R245" s="34">
        <v>100.0</v>
      </c>
      <c r="S245" s="34">
        <v>0.0</v>
      </c>
      <c r="T245" s="34">
        <v>0.0</v>
      </c>
      <c r="U245" s="33">
        <f>COUNTIFS('Data For Calculation - Insuranc'!A:A,A245,'Data For Calculation - Insuranc'!E:E,"CPA + RSA + AHDC + DOC")</f>
        <v>0</v>
      </c>
      <c r="V245" s="34" t="s">
        <v>3820</v>
      </c>
      <c r="W245" s="34">
        <v>838.99</v>
      </c>
      <c r="X245" s="34" t="s">
        <v>3853</v>
      </c>
      <c r="Y245" s="34">
        <v>0.0</v>
      </c>
      <c r="Z245" s="34">
        <v>100.0</v>
      </c>
      <c r="AA245" s="34">
        <v>0.0</v>
      </c>
      <c r="AB245" s="34">
        <v>0.0</v>
      </c>
      <c r="AC245" s="33">
        <f>COUNTIFS('Data For Calculation - Insuranc'!A:A,A245,'Data For Calculation - Insuranc'!E:E,"CPA + RSA : 5 Years")</f>
        <v>0</v>
      </c>
      <c r="AD245" s="34" t="s">
        <v>3820</v>
      </c>
      <c r="AE245" s="34">
        <v>838.99</v>
      </c>
      <c r="AF245" s="34" t="s">
        <v>3853</v>
      </c>
      <c r="AG245" s="34">
        <v>0.0</v>
      </c>
      <c r="AH245" s="34">
        <v>100.0</v>
      </c>
      <c r="AI245" s="34">
        <v>0.0</v>
      </c>
      <c r="AJ245" s="34">
        <v>0.0</v>
      </c>
      <c r="AK245" s="33">
        <f>COUNTIFS('Data For Calculation - Insuranc'!A:A,A245,'Data For Calculation - Insuranc'!E:E,"Assistance + CPA : 5 Years")</f>
        <v>0</v>
      </c>
      <c r="AL245" s="34" t="s">
        <v>3820</v>
      </c>
      <c r="AM245" s="34">
        <v>290.0</v>
      </c>
      <c r="AN245" s="34" t="s">
        <v>3853</v>
      </c>
      <c r="AO245" s="34">
        <v>0.0</v>
      </c>
      <c r="AP245" s="34">
        <v>100.0</v>
      </c>
      <c r="AQ245" s="34">
        <v>0.0</v>
      </c>
      <c r="AR245" s="34">
        <v>0.0</v>
      </c>
      <c r="AS245" s="33">
        <f>COUNTIFS('Data For Calculation - Insuranc'!A:A,A245,'Data For Calculation - Insuranc'!E:E,"RSA + AHDC + DOC")</f>
        <v>0</v>
      </c>
      <c r="BR245" s="33">
        <f t="shared" si="1"/>
        <v>0</v>
      </c>
      <c r="BS245" s="33">
        <f>SUMIFS('Data For Calculation - Insuranc'!I:I,'Data For Calculation - Insuranc'!$A:$A,$A245)</f>
        <v>0</v>
      </c>
      <c r="BT245" s="33">
        <f>SUMIFS('Data For Calculation - Insuranc'!J:J,'Data For Calculation - Insuranc'!$A:$A,$A245)</f>
        <v>0</v>
      </c>
      <c r="BU245" s="33">
        <f>SUMIFS('Data For Calculation - Insuranc'!K:K,'Data For Calculation - Insuranc'!$A:$A,$A245)</f>
        <v>0</v>
      </c>
      <c r="BV245" s="33">
        <f>IF($CC245 = "Dealer", SUMIFS('Data For Calculation - Insuranc'!I:I,'Data For Calculation - Insuranc'!$B:$B,$A245,'Data For Calculation - Insuranc'!$H:$H,"Master Dealer")) + SUMIFS('Data For Calculation - Insuranc'!I:I,'Data For Calculation - Insuranc'!$A:$A,$A245,'Data For Calculation - Insuranc'!$H:$H,"Self")</f>
        <v>0</v>
      </c>
      <c r="BW245" s="33">
        <f>IF($CC245 = "Dealer", SUMIFS('Data For Calculation - Insuranc'!J:J,'Data For Calculation - Insuranc'!$B:$B,$A245,'Data For Calculation - Insuranc'!$H:$H,"Master Dealer")) + SUMIFS('Data For Calculation - Insuranc'!J:J,'Data For Calculation - Insuranc'!$A:$A,$A245,'Data For Calculation - Insuranc'!$H:$H,"Self")</f>
        <v>0</v>
      </c>
      <c r="BX245" s="33">
        <f>IF($CC245 = "Dealer", SUMIFS('Data For Calculation - Insuranc'!K:K,'Data For Calculation - Insuranc'!$B:$B,$A245,'Data For Calculation - Insuranc'!$H:$H,"Master Dealer")) + SUMIFS('Data For Calculation - Insuranc'!K:K,'Data For Calculation - Insuranc'!$A:$A,$A245,'Data For Calculation - Insuranc'!$H:$H,"Self")</f>
        <v>0</v>
      </c>
      <c r="BY245" s="26" t="str">
        <f>(Sheet1!N245)</f>
        <v>Chandra Automobiles - Faizabad</v>
      </c>
      <c r="BZ245" s="26" t="str">
        <f>(Sheet1!O245)</f>
        <v>1TMTMDBTSLXzi0POas5HDprui-sp3TCVvRYWE8buap-0</v>
      </c>
      <c r="CA245" s="25" t="str">
        <f>(Sheet1!AV245)</f>
        <v/>
      </c>
      <c r="CB245" s="25" t="str">
        <f>(Sheet1!AW245)</f>
        <v/>
      </c>
      <c r="CC245" s="26" t="str">
        <f>(Sheet1!P245)</f>
        <v>Sub Dealer</v>
      </c>
    </row>
    <row r="246">
      <c r="A246" s="26" t="str">
        <f>(Sheet1!A246)</f>
        <v>1OENaFEyiGUoyWg7ywU3cmqippkCDyzCnmx9kypMk5Cc</v>
      </c>
      <c r="B246" s="26" t="str">
        <f>(Sheet1!B246)</f>
        <v>ASIA AUTOMOBILES (CA) - KUMAR GANJ</v>
      </c>
      <c r="C246" s="30" t="str">
        <f>Sheet1!BB246</f>
        <v>No</v>
      </c>
      <c r="D246" s="34" t="s">
        <v>13</v>
      </c>
      <c r="E246" s="34" t="s">
        <v>13</v>
      </c>
      <c r="F246" s="34" t="s">
        <v>3820</v>
      </c>
      <c r="G246" s="34">
        <v>290.0</v>
      </c>
      <c r="H246" s="34" t="s">
        <v>3853</v>
      </c>
      <c r="I246" s="34">
        <v>0.0</v>
      </c>
      <c r="J246" s="34">
        <v>100.0</v>
      </c>
      <c r="K246" s="34">
        <v>0.0</v>
      </c>
      <c r="L246" s="34">
        <v>0.0</v>
      </c>
      <c r="M246" s="33">
        <f>COUNTIFS('Data For Calculation - Insuranc'!A:A,A246,'Data For Calculation - Insuranc'!E:E,"CPA + RSA")</f>
        <v>0</v>
      </c>
      <c r="N246" s="34" t="s">
        <v>3820</v>
      </c>
      <c r="O246" s="34">
        <v>375.0</v>
      </c>
      <c r="P246" s="34" t="s">
        <v>3853</v>
      </c>
      <c r="Q246" s="34">
        <v>0.0</v>
      </c>
      <c r="R246" s="34">
        <v>100.0</v>
      </c>
      <c r="S246" s="34">
        <v>0.0</v>
      </c>
      <c r="T246" s="34">
        <v>0.0</v>
      </c>
      <c r="U246" s="33">
        <f>COUNTIFS('Data For Calculation - Insuranc'!A:A,A246,'Data For Calculation - Insuranc'!E:E,"CPA + RSA + AHDC + DOC")</f>
        <v>0</v>
      </c>
      <c r="V246" s="34" t="s">
        <v>3820</v>
      </c>
      <c r="W246" s="34">
        <v>838.99</v>
      </c>
      <c r="X246" s="34" t="s">
        <v>3853</v>
      </c>
      <c r="Y246" s="34">
        <v>0.0</v>
      </c>
      <c r="Z246" s="34">
        <v>100.0</v>
      </c>
      <c r="AA246" s="34">
        <v>0.0</v>
      </c>
      <c r="AB246" s="34">
        <v>0.0</v>
      </c>
      <c r="AC246" s="33">
        <f>COUNTIFS('Data For Calculation - Insuranc'!A:A,A246,'Data For Calculation - Insuranc'!E:E,"CPA + RSA : 5 Years")</f>
        <v>0</v>
      </c>
      <c r="AD246" s="34" t="s">
        <v>3820</v>
      </c>
      <c r="AE246" s="34">
        <v>838.99</v>
      </c>
      <c r="AF246" s="34" t="s">
        <v>3853</v>
      </c>
      <c r="AG246" s="34">
        <v>0.0</v>
      </c>
      <c r="AH246" s="34">
        <v>100.0</v>
      </c>
      <c r="AI246" s="34">
        <v>0.0</v>
      </c>
      <c r="AJ246" s="34">
        <v>0.0</v>
      </c>
      <c r="AK246" s="33">
        <f>COUNTIFS('Data For Calculation - Insuranc'!A:A,A246,'Data For Calculation - Insuranc'!E:E,"Assistance + CPA : 5 Years")</f>
        <v>0</v>
      </c>
      <c r="AL246" s="34" t="s">
        <v>3820</v>
      </c>
      <c r="AM246" s="34">
        <v>290.0</v>
      </c>
      <c r="AN246" s="34" t="s">
        <v>3853</v>
      </c>
      <c r="AO246" s="34">
        <v>0.0</v>
      </c>
      <c r="AP246" s="34">
        <v>100.0</v>
      </c>
      <c r="AQ246" s="34">
        <v>0.0</v>
      </c>
      <c r="AR246" s="34">
        <v>0.0</v>
      </c>
      <c r="AS246" s="33">
        <f>COUNTIFS('Data For Calculation - Insuranc'!A:A,A246,'Data For Calculation - Insuranc'!E:E,"RSA + AHDC + DOC")</f>
        <v>0</v>
      </c>
      <c r="BR246" s="33">
        <f t="shared" si="1"/>
        <v>0</v>
      </c>
      <c r="BS246" s="33">
        <f>SUMIFS('Data For Calculation - Insuranc'!I:I,'Data For Calculation - Insuranc'!$A:$A,$A246)</f>
        <v>0</v>
      </c>
      <c r="BT246" s="33">
        <f>SUMIFS('Data For Calculation - Insuranc'!J:J,'Data For Calculation - Insuranc'!$A:$A,$A246)</f>
        <v>0</v>
      </c>
      <c r="BU246" s="33">
        <f>SUMIFS('Data For Calculation - Insuranc'!K:K,'Data For Calculation - Insuranc'!$A:$A,$A246)</f>
        <v>0</v>
      </c>
      <c r="BV246" s="33">
        <f>IF($CC246 = "Dealer", SUMIFS('Data For Calculation - Insuranc'!I:I,'Data For Calculation - Insuranc'!$B:$B,$A246,'Data For Calculation - Insuranc'!$H:$H,"Master Dealer")) + SUMIFS('Data For Calculation - Insuranc'!I:I,'Data For Calculation - Insuranc'!$A:$A,$A246,'Data For Calculation - Insuranc'!$H:$H,"Self")</f>
        <v>0</v>
      </c>
      <c r="BW246" s="33">
        <f>IF($CC246 = "Dealer", SUMIFS('Data For Calculation - Insuranc'!J:J,'Data For Calculation - Insuranc'!$B:$B,$A246,'Data For Calculation - Insuranc'!$H:$H,"Master Dealer")) + SUMIFS('Data For Calculation - Insuranc'!J:J,'Data For Calculation - Insuranc'!$A:$A,$A246,'Data For Calculation - Insuranc'!$H:$H,"Self")</f>
        <v>0</v>
      </c>
      <c r="BX246" s="33">
        <f>IF($CC246 = "Dealer", SUMIFS('Data For Calculation - Insuranc'!K:K,'Data For Calculation - Insuranc'!$B:$B,$A246,'Data For Calculation - Insuranc'!$H:$H,"Master Dealer")) + SUMIFS('Data For Calculation - Insuranc'!K:K,'Data For Calculation - Insuranc'!$A:$A,$A246,'Data For Calculation - Insuranc'!$H:$H,"Self")</f>
        <v>0</v>
      </c>
      <c r="BY246" s="26" t="str">
        <f>(Sheet1!N246)</f>
        <v>Chandra Automobiles - Faizabad</v>
      </c>
      <c r="BZ246" s="26" t="str">
        <f>(Sheet1!O246)</f>
        <v>1TMTMDBTSLXzi0POas5HDprui-sp3TCVvRYWE8buap-0</v>
      </c>
      <c r="CA246" s="25" t="str">
        <f>(Sheet1!AV246)</f>
        <v/>
      </c>
      <c r="CB246" s="25" t="str">
        <f>(Sheet1!AW246)</f>
        <v/>
      </c>
      <c r="CC246" s="26" t="str">
        <f>(Sheet1!P246)</f>
        <v>Sub Dealer</v>
      </c>
    </row>
    <row r="247">
      <c r="A247" s="26" t="str">
        <f>(Sheet1!A247)</f>
        <v>159YPitGIgsrUYgelmfjtenQTfG48TpPtKkSuINSG0gc</v>
      </c>
      <c r="B247" s="26" t="str">
        <f>(Sheet1!B247)</f>
        <v>GUPTA AUTO SALES(CA) - SUJAGANJ</v>
      </c>
      <c r="C247" s="30" t="str">
        <f>Sheet1!BB247</f>
        <v>No</v>
      </c>
      <c r="D247" s="34" t="s">
        <v>13</v>
      </c>
      <c r="E247" s="34" t="s">
        <v>13</v>
      </c>
      <c r="F247" s="34" t="s">
        <v>3820</v>
      </c>
      <c r="G247" s="34">
        <v>290.0</v>
      </c>
      <c r="H247" s="34" t="s">
        <v>3853</v>
      </c>
      <c r="I247" s="34">
        <v>0.0</v>
      </c>
      <c r="J247" s="34">
        <v>100.0</v>
      </c>
      <c r="K247" s="34">
        <v>0.0</v>
      </c>
      <c r="L247" s="34">
        <v>0.0</v>
      </c>
      <c r="M247" s="33">
        <f>COUNTIFS('Data For Calculation - Insuranc'!A:A,A247,'Data For Calculation - Insuranc'!E:E,"CPA + RSA")</f>
        <v>0</v>
      </c>
      <c r="N247" s="34" t="s">
        <v>3820</v>
      </c>
      <c r="O247" s="34">
        <v>375.0</v>
      </c>
      <c r="P247" s="34" t="s">
        <v>3853</v>
      </c>
      <c r="Q247" s="34">
        <v>0.0</v>
      </c>
      <c r="R247" s="34">
        <v>100.0</v>
      </c>
      <c r="S247" s="34">
        <v>0.0</v>
      </c>
      <c r="T247" s="34">
        <v>0.0</v>
      </c>
      <c r="U247" s="33">
        <f>COUNTIFS('Data For Calculation - Insuranc'!A:A,A247,'Data For Calculation - Insuranc'!E:E,"CPA + RSA + AHDC + DOC")</f>
        <v>0</v>
      </c>
      <c r="V247" s="34" t="s">
        <v>3820</v>
      </c>
      <c r="W247" s="34">
        <v>838.99</v>
      </c>
      <c r="X247" s="34" t="s">
        <v>3853</v>
      </c>
      <c r="Y247" s="34">
        <v>0.0</v>
      </c>
      <c r="Z247" s="34">
        <v>100.0</v>
      </c>
      <c r="AA247" s="34">
        <v>0.0</v>
      </c>
      <c r="AB247" s="34">
        <v>0.0</v>
      </c>
      <c r="AC247" s="33">
        <f>COUNTIFS('Data For Calculation - Insuranc'!A:A,A247,'Data For Calculation - Insuranc'!E:E,"CPA + RSA : 5 Years")</f>
        <v>0</v>
      </c>
      <c r="AD247" s="34" t="s">
        <v>3820</v>
      </c>
      <c r="AE247" s="34">
        <v>838.99</v>
      </c>
      <c r="AF247" s="34" t="s">
        <v>3853</v>
      </c>
      <c r="AG247" s="34">
        <v>0.0</v>
      </c>
      <c r="AH247" s="34">
        <v>100.0</v>
      </c>
      <c r="AI247" s="34">
        <v>0.0</v>
      </c>
      <c r="AJ247" s="34">
        <v>0.0</v>
      </c>
      <c r="AK247" s="33">
        <f>COUNTIFS('Data For Calculation - Insuranc'!A:A,A247,'Data For Calculation - Insuranc'!E:E,"Assistance + CPA : 5 Years")</f>
        <v>0</v>
      </c>
      <c r="AL247" s="34" t="s">
        <v>3820</v>
      </c>
      <c r="AM247" s="34">
        <v>290.0</v>
      </c>
      <c r="AN247" s="34" t="s">
        <v>3853</v>
      </c>
      <c r="AO247" s="34">
        <v>0.0</v>
      </c>
      <c r="AP247" s="34">
        <v>100.0</v>
      </c>
      <c r="AQ247" s="34">
        <v>0.0</v>
      </c>
      <c r="AR247" s="34">
        <v>0.0</v>
      </c>
      <c r="AS247" s="33">
        <f>COUNTIFS('Data For Calculation - Insuranc'!A:A,A247,'Data For Calculation - Insuranc'!E:E,"RSA + AHDC + DOC")</f>
        <v>0</v>
      </c>
      <c r="BR247" s="33">
        <f t="shared" si="1"/>
        <v>0</v>
      </c>
      <c r="BS247" s="33">
        <f>SUMIFS('Data For Calculation - Insuranc'!I:I,'Data For Calculation - Insuranc'!$A:$A,$A247)</f>
        <v>0</v>
      </c>
      <c r="BT247" s="33">
        <f>SUMIFS('Data For Calculation - Insuranc'!J:J,'Data For Calculation - Insuranc'!$A:$A,$A247)</f>
        <v>0</v>
      </c>
      <c r="BU247" s="33">
        <f>SUMIFS('Data For Calculation - Insuranc'!K:K,'Data For Calculation - Insuranc'!$A:$A,$A247)</f>
        <v>0</v>
      </c>
      <c r="BV247" s="33">
        <f>IF($CC247 = "Dealer", SUMIFS('Data For Calculation - Insuranc'!I:I,'Data For Calculation - Insuranc'!$B:$B,$A247,'Data For Calculation - Insuranc'!$H:$H,"Master Dealer")) + SUMIFS('Data For Calculation - Insuranc'!I:I,'Data For Calculation - Insuranc'!$A:$A,$A247,'Data For Calculation - Insuranc'!$H:$H,"Self")</f>
        <v>0</v>
      </c>
      <c r="BW247" s="33">
        <f>IF($CC247 = "Dealer", SUMIFS('Data For Calculation - Insuranc'!J:J,'Data For Calculation - Insuranc'!$B:$B,$A247,'Data For Calculation - Insuranc'!$H:$H,"Master Dealer")) + SUMIFS('Data For Calculation - Insuranc'!J:J,'Data For Calculation - Insuranc'!$A:$A,$A247,'Data For Calculation - Insuranc'!$H:$H,"Self")</f>
        <v>0</v>
      </c>
      <c r="BX247" s="33">
        <f>IF($CC247 = "Dealer", SUMIFS('Data For Calculation - Insuranc'!K:K,'Data For Calculation - Insuranc'!$B:$B,$A247,'Data For Calculation - Insuranc'!$H:$H,"Master Dealer")) + SUMIFS('Data For Calculation - Insuranc'!K:K,'Data For Calculation - Insuranc'!$A:$A,$A247,'Data For Calculation - Insuranc'!$H:$H,"Self")</f>
        <v>0</v>
      </c>
      <c r="BY247" s="26" t="str">
        <f>(Sheet1!N247)</f>
        <v>Chandra Automobiles - Faizabad</v>
      </c>
      <c r="BZ247" s="26" t="str">
        <f>(Sheet1!O247)</f>
        <v>1TMTMDBTSLXzi0POas5HDprui-sp3TCVvRYWE8buap-0</v>
      </c>
      <c r="CA247" s="25" t="str">
        <f>(Sheet1!AV247)</f>
        <v/>
      </c>
      <c r="CB247" s="25" t="str">
        <f>(Sheet1!AW247)</f>
        <v/>
      </c>
      <c r="CC247" s="26" t="str">
        <f>(Sheet1!P247)</f>
        <v>Sub Dealer</v>
      </c>
    </row>
    <row r="248">
      <c r="A248" s="26" t="str">
        <f>(Sheet1!A248)</f>
        <v>1JVjJRde0atJYfSJfEseKCQhdqjcP24_d1-09TphqSpA</v>
      </c>
      <c r="B248" s="26" t="str">
        <f>(Sheet1!B248)</f>
        <v>MAWAIEE AUTOSALES(CA) - RAUZAGAON</v>
      </c>
      <c r="C248" s="30" t="str">
        <f>Sheet1!BB248</f>
        <v>No</v>
      </c>
      <c r="D248" s="34" t="s">
        <v>13</v>
      </c>
      <c r="E248" s="34" t="s">
        <v>13</v>
      </c>
      <c r="F248" s="34" t="s">
        <v>3820</v>
      </c>
      <c r="G248" s="34">
        <v>290.0</v>
      </c>
      <c r="H248" s="34" t="s">
        <v>3853</v>
      </c>
      <c r="I248" s="34">
        <v>0.0</v>
      </c>
      <c r="J248" s="34">
        <v>100.0</v>
      </c>
      <c r="K248" s="34">
        <v>0.0</v>
      </c>
      <c r="L248" s="34">
        <v>0.0</v>
      </c>
      <c r="M248" s="33">
        <f>COUNTIFS('Data For Calculation - Insuranc'!A:A,A248,'Data For Calculation - Insuranc'!E:E,"CPA + RSA")</f>
        <v>0</v>
      </c>
      <c r="N248" s="34" t="s">
        <v>3820</v>
      </c>
      <c r="O248" s="34">
        <v>375.0</v>
      </c>
      <c r="P248" s="34" t="s">
        <v>3853</v>
      </c>
      <c r="Q248" s="34">
        <v>0.0</v>
      </c>
      <c r="R248" s="34">
        <v>100.0</v>
      </c>
      <c r="S248" s="34">
        <v>0.0</v>
      </c>
      <c r="T248" s="34">
        <v>0.0</v>
      </c>
      <c r="U248" s="33">
        <f>COUNTIFS('Data For Calculation - Insuranc'!A:A,A248,'Data For Calculation - Insuranc'!E:E,"CPA + RSA + AHDC + DOC")</f>
        <v>0</v>
      </c>
      <c r="V248" s="34" t="s">
        <v>3820</v>
      </c>
      <c r="W248" s="34">
        <v>838.99</v>
      </c>
      <c r="X248" s="34" t="s">
        <v>3853</v>
      </c>
      <c r="Y248" s="34">
        <v>0.0</v>
      </c>
      <c r="Z248" s="34">
        <v>100.0</v>
      </c>
      <c r="AA248" s="34">
        <v>0.0</v>
      </c>
      <c r="AB248" s="34">
        <v>0.0</v>
      </c>
      <c r="AC248" s="33">
        <f>COUNTIFS('Data For Calculation - Insuranc'!A:A,A248,'Data For Calculation - Insuranc'!E:E,"CPA + RSA : 5 Years")</f>
        <v>0</v>
      </c>
      <c r="AD248" s="34" t="s">
        <v>3820</v>
      </c>
      <c r="AE248" s="34">
        <v>838.99</v>
      </c>
      <c r="AF248" s="34" t="s">
        <v>3853</v>
      </c>
      <c r="AG248" s="34">
        <v>0.0</v>
      </c>
      <c r="AH248" s="34">
        <v>100.0</v>
      </c>
      <c r="AI248" s="34">
        <v>0.0</v>
      </c>
      <c r="AJ248" s="34">
        <v>0.0</v>
      </c>
      <c r="AK248" s="33">
        <f>COUNTIFS('Data For Calculation - Insuranc'!A:A,A248,'Data For Calculation - Insuranc'!E:E,"Assistance + CPA : 5 Years")</f>
        <v>0</v>
      </c>
      <c r="AL248" s="34" t="s">
        <v>3820</v>
      </c>
      <c r="AM248" s="34">
        <v>290.0</v>
      </c>
      <c r="AN248" s="34" t="s">
        <v>3853</v>
      </c>
      <c r="AO248" s="34">
        <v>0.0</v>
      </c>
      <c r="AP248" s="34">
        <v>100.0</v>
      </c>
      <c r="AQ248" s="34">
        <v>0.0</v>
      </c>
      <c r="AR248" s="34">
        <v>0.0</v>
      </c>
      <c r="AS248" s="33">
        <f>COUNTIFS('Data For Calculation - Insuranc'!A:A,A248,'Data For Calculation - Insuranc'!E:E,"RSA + AHDC + DOC")</f>
        <v>0</v>
      </c>
      <c r="BR248" s="33">
        <f t="shared" si="1"/>
        <v>0</v>
      </c>
      <c r="BS248" s="33">
        <f>SUMIFS('Data For Calculation - Insuranc'!I:I,'Data For Calculation - Insuranc'!$A:$A,$A248)</f>
        <v>0</v>
      </c>
      <c r="BT248" s="33">
        <f>SUMIFS('Data For Calculation - Insuranc'!J:J,'Data For Calculation - Insuranc'!$A:$A,$A248)</f>
        <v>0</v>
      </c>
      <c r="BU248" s="33">
        <f>SUMIFS('Data For Calculation - Insuranc'!K:K,'Data For Calculation - Insuranc'!$A:$A,$A248)</f>
        <v>0</v>
      </c>
      <c r="BV248" s="33">
        <f>IF($CC248 = "Dealer", SUMIFS('Data For Calculation - Insuranc'!I:I,'Data For Calculation - Insuranc'!$B:$B,$A248,'Data For Calculation - Insuranc'!$H:$H,"Master Dealer")) + SUMIFS('Data For Calculation - Insuranc'!I:I,'Data For Calculation - Insuranc'!$A:$A,$A248,'Data For Calculation - Insuranc'!$H:$H,"Self")</f>
        <v>0</v>
      </c>
      <c r="BW248" s="33">
        <f>IF($CC248 = "Dealer", SUMIFS('Data For Calculation - Insuranc'!J:J,'Data For Calculation - Insuranc'!$B:$B,$A248,'Data For Calculation - Insuranc'!$H:$H,"Master Dealer")) + SUMIFS('Data For Calculation - Insuranc'!J:J,'Data For Calculation - Insuranc'!$A:$A,$A248,'Data For Calculation - Insuranc'!$H:$H,"Self")</f>
        <v>0</v>
      </c>
      <c r="BX248" s="33">
        <f>IF($CC248 = "Dealer", SUMIFS('Data For Calculation - Insuranc'!K:K,'Data For Calculation - Insuranc'!$B:$B,$A248,'Data For Calculation - Insuranc'!$H:$H,"Master Dealer")) + SUMIFS('Data For Calculation - Insuranc'!K:K,'Data For Calculation - Insuranc'!$A:$A,$A248,'Data For Calculation - Insuranc'!$H:$H,"Self")</f>
        <v>0</v>
      </c>
      <c r="BY248" s="26" t="str">
        <f>(Sheet1!N248)</f>
        <v>Chandra Automobiles - Faizabad</v>
      </c>
      <c r="BZ248" s="26" t="str">
        <f>(Sheet1!O248)</f>
        <v>1TMTMDBTSLXzi0POas5HDprui-sp3TCVvRYWE8buap-0</v>
      </c>
      <c r="CA248" s="25" t="str">
        <f>(Sheet1!AV248)</f>
        <v/>
      </c>
      <c r="CB248" s="25" t="str">
        <f>(Sheet1!AW248)</f>
        <v/>
      </c>
      <c r="CC248" s="26" t="str">
        <f>(Sheet1!P248)</f>
        <v>Sub Dealer</v>
      </c>
    </row>
    <row r="249">
      <c r="A249" s="26" t="str">
        <f>(Sheet1!A249)</f>
        <v>1HhuPJCqA1nYQYw-vxTr9qoSA3wtg7ifzyfbJykuK79E</v>
      </c>
      <c r="B249" s="26" t="str">
        <f>(Sheet1!B249)</f>
        <v>RADHEY AUTOMOBILES (CA) - BIKAPUR</v>
      </c>
      <c r="C249" s="30" t="str">
        <f>Sheet1!BB249</f>
        <v>No</v>
      </c>
      <c r="D249" s="34" t="s">
        <v>13</v>
      </c>
      <c r="E249" s="34" t="s">
        <v>13</v>
      </c>
      <c r="F249" s="34" t="s">
        <v>3820</v>
      </c>
      <c r="G249" s="34">
        <v>290.0</v>
      </c>
      <c r="H249" s="34" t="s">
        <v>3853</v>
      </c>
      <c r="I249" s="34">
        <v>0.0</v>
      </c>
      <c r="J249" s="34">
        <v>100.0</v>
      </c>
      <c r="K249" s="34">
        <v>0.0</v>
      </c>
      <c r="L249" s="34">
        <v>0.0</v>
      </c>
      <c r="M249" s="33">
        <f>COUNTIFS('Data For Calculation - Insuranc'!A:A,A249,'Data For Calculation - Insuranc'!E:E,"CPA + RSA")</f>
        <v>0</v>
      </c>
      <c r="N249" s="34" t="s">
        <v>3820</v>
      </c>
      <c r="O249" s="34">
        <v>375.0</v>
      </c>
      <c r="P249" s="34" t="s">
        <v>3853</v>
      </c>
      <c r="Q249" s="34">
        <v>0.0</v>
      </c>
      <c r="R249" s="34">
        <v>100.0</v>
      </c>
      <c r="S249" s="34">
        <v>0.0</v>
      </c>
      <c r="T249" s="34">
        <v>0.0</v>
      </c>
      <c r="U249" s="33">
        <f>COUNTIFS('Data For Calculation - Insuranc'!A:A,A249,'Data For Calculation - Insuranc'!E:E,"CPA + RSA + AHDC + DOC")</f>
        <v>0</v>
      </c>
      <c r="V249" s="34" t="s">
        <v>3820</v>
      </c>
      <c r="W249" s="34">
        <v>838.99</v>
      </c>
      <c r="X249" s="34" t="s">
        <v>3853</v>
      </c>
      <c r="Y249" s="34">
        <v>0.0</v>
      </c>
      <c r="Z249" s="34">
        <v>100.0</v>
      </c>
      <c r="AA249" s="34">
        <v>0.0</v>
      </c>
      <c r="AB249" s="34">
        <v>0.0</v>
      </c>
      <c r="AC249" s="33">
        <f>COUNTIFS('Data For Calculation - Insuranc'!A:A,A249,'Data For Calculation - Insuranc'!E:E,"CPA + RSA : 5 Years")</f>
        <v>0</v>
      </c>
      <c r="AD249" s="34" t="s">
        <v>3820</v>
      </c>
      <c r="AE249" s="34">
        <v>838.99</v>
      </c>
      <c r="AF249" s="34" t="s">
        <v>3853</v>
      </c>
      <c r="AG249" s="34">
        <v>0.0</v>
      </c>
      <c r="AH249" s="34">
        <v>100.0</v>
      </c>
      <c r="AI249" s="34">
        <v>0.0</v>
      </c>
      <c r="AJ249" s="34">
        <v>0.0</v>
      </c>
      <c r="AK249" s="33">
        <f>COUNTIFS('Data For Calculation - Insuranc'!A:A,A249,'Data For Calculation - Insuranc'!E:E,"Assistance + CPA : 5 Years")</f>
        <v>0</v>
      </c>
      <c r="AL249" s="34" t="s">
        <v>3820</v>
      </c>
      <c r="AM249" s="34">
        <v>290.0</v>
      </c>
      <c r="AN249" s="34" t="s">
        <v>3853</v>
      </c>
      <c r="AO249" s="34">
        <v>0.0</v>
      </c>
      <c r="AP249" s="34">
        <v>100.0</v>
      </c>
      <c r="AQ249" s="34">
        <v>0.0</v>
      </c>
      <c r="AR249" s="34">
        <v>0.0</v>
      </c>
      <c r="AS249" s="33">
        <f>COUNTIFS('Data For Calculation - Insuranc'!A:A,A249,'Data For Calculation - Insuranc'!E:E,"RSA + AHDC + DOC")</f>
        <v>0</v>
      </c>
      <c r="BR249" s="33">
        <f t="shared" si="1"/>
        <v>0</v>
      </c>
      <c r="BS249" s="33">
        <f>SUMIFS('Data For Calculation - Insuranc'!I:I,'Data For Calculation - Insuranc'!$A:$A,$A249)</f>
        <v>0</v>
      </c>
      <c r="BT249" s="33">
        <f>SUMIFS('Data For Calculation - Insuranc'!J:J,'Data For Calculation - Insuranc'!$A:$A,$A249)</f>
        <v>0</v>
      </c>
      <c r="BU249" s="33">
        <f>SUMIFS('Data For Calculation - Insuranc'!K:K,'Data For Calculation - Insuranc'!$A:$A,$A249)</f>
        <v>0</v>
      </c>
      <c r="BV249" s="33">
        <f>IF($CC249 = "Dealer", SUMIFS('Data For Calculation - Insuranc'!I:I,'Data For Calculation - Insuranc'!$B:$B,$A249,'Data For Calculation - Insuranc'!$H:$H,"Master Dealer")) + SUMIFS('Data For Calculation - Insuranc'!I:I,'Data For Calculation - Insuranc'!$A:$A,$A249,'Data For Calculation - Insuranc'!$H:$H,"Self")</f>
        <v>0</v>
      </c>
      <c r="BW249" s="33">
        <f>IF($CC249 = "Dealer", SUMIFS('Data For Calculation - Insuranc'!J:J,'Data For Calculation - Insuranc'!$B:$B,$A249,'Data For Calculation - Insuranc'!$H:$H,"Master Dealer")) + SUMIFS('Data For Calculation - Insuranc'!J:J,'Data For Calculation - Insuranc'!$A:$A,$A249,'Data For Calculation - Insuranc'!$H:$H,"Self")</f>
        <v>0</v>
      </c>
      <c r="BX249" s="33">
        <f>IF($CC249 = "Dealer", SUMIFS('Data For Calculation - Insuranc'!K:K,'Data For Calculation - Insuranc'!$B:$B,$A249,'Data For Calculation - Insuranc'!$H:$H,"Master Dealer")) + SUMIFS('Data For Calculation - Insuranc'!K:K,'Data For Calculation - Insuranc'!$A:$A,$A249,'Data For Calculation - Insuranc'!$H:$H,"Self")</f>
        <v>0</v>
      </c>
      <c r="BY249" s="26" t="str">
        <f>(Sheet1!N249)</f>
        <v>Chandra Automobiles - Faizabad</v>
      </c>
      <c r="BZ249" s="26" t="str">
        <f>(Sheet1!O249)</f>
        <v>1TMTMDBTSLXzi0POas5HDprui-sp3TCVvRYWE8buap-0</v>
      </c>
      <c r="CA249" s="25" t="str">
        <f>(Sheet1!AV249)</f>
        <v/>
      </c>
      <c r="CB249" s="25" t="str">
        <f>(Sheet1!AW249)</f>
        <v/>
      </c>
      <c r="CC249" s="26" t="str">
        <f>(Sheet1!P249)</f>
        <v>Sub Dealer</v>
      </c>
    </row>
    <row r="250">
      <c r="A250" s="26" t="str">
        <f>(Sheet1!A250)</f>
        <v>17sBaqChbGSOQK_DIkRnUGicSgCSUWKTJKT6g-HiL9uY</v>
      </c>
      <c r="B250" s="26" t="str">
        <f>(Sheet1!B250)</f>
        <v>SHREE AUTOSALES (CA) - GAOSAIGANJ</v>
      </c>
      <c r="C250" s="30" t="str">
        <f>Sheet1!BB250</f>
        <v>No</v>
      </c>
      <c r="D250" s="34" t="s">
        <v>13</v>
      </c>
      <c r="E250" s="34" t="s">
        <v>13</v>
      </c>
      <c r="F250" s="34" t="s">
        <v>3820</v>
      </c>
      <c r="G250" s="34">
        <v>290.0</v>
      </c>
      <c r="H250" s="34" t="s">
        <v>3853</v>
      </c>
      <c r="I250" s="34">
        <v>0.0</v>
      </c>
      <c r="J250" s="34">
        <v>100.0</v>
      </c>
      <c r="K250" s="34">
        <v>0.0</v>
      </c>
      <c r="L250" s="34">
        <v>0.0</v>
      </c>
      <c r="M250" s="33">
        <f>COUNTIFS('Data For Calculation - Insuranc'!A:A,A250,'Data For Calculation - Insuranc'!E:E,"CPA + RSA")</f>
        <v>0</v>
      </c>
      <c r="N250" s="34" t="s">
        <v>3820</v>
      </c>
      <c r="O250" s="34">
        <v>375.0</v>
      </c>
      <c r="P250" s="34" t="s">
        <v>3853</v>
      </c>
      <c r="Q250" s="34">
        <v>0.0</v>
      </c>
      <c r="R250" s="34">
        <v>100.0</v>
      </c>
      <c r="S250" s="34">
        <v>0.0</v>
      </c>
      <c r="T250" s="34">
        <v>0.0</v>
      </c>
      <c r="U250" s="33">
        <f>COUNTIFS('Data For Calculation - Insuranc'!A:A,A250,'Data For Calculation - Insuranc'!E:E,"CPA + RSA + AHDC + DOC")</f>
        <v>0</v>
      </c>
      <c r="V250" s="34" t="s">
        <v>3820</v>
      </c>
      <c r="W250" s="34">
        <v>838.99</v>
      </c>
      <c r="X250" s="34" t="s">
        <v>3853</v>
      </c>
      <c r="Y250" s="34">
        <v>0.0</v>
      </c>
      <c r="Z250" s="34">
        <v>100.0</v>
      </c>
      <c r="AA250" s="34">
        <v>0.0</v>
      </c>
      <c r="AB250" s="34">
        <v>0.0</v>
      </c>
      <c r="AC250" s="33">
        <f>COUNTIFS('Data For Calculation - Insuranc'!A:A,A250,'Data For Calculation - Insuranc'!E:E,"CPA + RSA : 5 Years")</f>
        <v>0</v>
      </c>
      <c r="AD250" s="34" t="s">
        <v>3820</v>
      </c>
      <c r="AE250" s="34">
        <v>838.99</v>
      </c>
      <c r="AF250" s="34" t="s">
        <v>3853</v>
      </c>
      <c r="AG250" s="34">
        <v>0.0</v>
      </c>
      <c r="AH250" s="34">
        <v>100.0</v>
      </c>
      <c r="AI250" s="34">
        <v>0.0</v>
      </c>
      <c r="AJ250" s="34">
        <v>0.0</v>
      </c>
      <c r="AK250" s="33">
        <f>COUNTIFS('Data For Calculation - Insuranc'!A:A,A250,'Data For Calculation - Insuranc'!E:E,"Assistance + CPA : 5 Years")</f>
        <v>0</v>
      </c>
      <c r="AL250" s="34" t="s">
        <v>3820</v>
      </c>
      <c r="AM250" s="34">
        <v>290.0</v>
      </c>
      <c r="AN250" s="34" t="s">
        <v>3853</v>
      </c>
      <c r="AO250" s="34">
        <v>0.0</v>
      </c>
      <c r="AP250" s="34">
        <v>100.0</v>
      </c>
      <c r="AQ250" s="34">
        <v>0.0</v>
      </c>
      <c r="AR250" s="34">
        <v>0.0</v>
      </c>
      <c r="AS250" s="33">
        <f>COUNTIFS('Data For Calculation - Insuranc'!A:A,A250,'Data For Calculation - Insuranc'!E:E,"RSA + AHDC + DOC")</f>
        <v>0</v>
      </c>
      <c r="BR250" s="33">
        <f t="shared" si="1"/>
        <v>0</v>
      </c>
      <c r="BS250" s="33">
        <f>SUMIFS('Data For Calculation - Insuranc'!I:I,'Data For Calculation - Insuranc'!$A:$A,$A250)</f>
        <v>0</v>
      </c>
      <c r="BT250" s="33">
        <f>SUMIFS('Data For Calculation - Insuranc'!J:J,'Data For Calculation - Insuranc'!$A:$A,$A250)</f>
        <v>0</v>
      </c>
      <c r="BU250" s="33">
        <f>SUMIFS('Data For Calculation - Insuranc'!K:K,'Data For Calculation - Insuranc'!$A:$A,$A250)</f>
        <v>0</v>
      </c>
      <c r="BV250" s="33">
        <f>IF($CC250 = "Dealer", SUMIFS('Data For Calculation - Insuranc'!I:I,'Data For Calculation - Insuranc'!$B:$B,$A250,'Data For Calculation - Insuranc'!$H:$H,"Master Dealer")) + SUMIFS('Data For Calculation - Insuranc'!I:I,'Data For Calculation - Insuranc'!$A:$A,$A250,'Data For Calculation - Insuranc'!$H:$H,"Self")</f>
        <v>0</v>
      </c>
      <c r="BW250" s="33">
        <f>IF($CC250 = "Dealer", SUMIFS('Data For Calculation - Insuranc'!J:J,'Data For Calculation - Insuranc'!$B:$B,$A250,'Data For Calculation - Insuranc'!$H:$H,"Master Dealer")) + SUMIFS('Data For Calculation - Insuranc'!J:J,'Data For Calculation - Insuranc'!$A:$A,$A250,'Data For Calculation - Insuranc'!$H:$H,"Self")</f>
        <v>0</v>
      </c>
      <c r="BX250" s="33">
        <f>IF($CC250 = "Dealer", SUMIFS('Data For Calculation - Insuranc'!K:K,'Data For Calculation - Insuranc'!$B:$B,$A250,'Data For Calculation - Insuranc'!$H:$H,"Master Dealer")) + SUMIFS('Data For Calculation - Insuranc'!K:K,'Data For Calculation - Insuranc'!$A:$A,$A250,'Data For Calculation - Insuranc'!$H:$H,"Self")</f>
        <v>0</v>
      </c>
      <c r="BY250" s="26" t="str">
        <f>(Sheet1!N250)</f>
        <v>Chandra Automobiles - Faizabad</v>
      </c>
      <c r="BZ250" s="26" t="str">
        <f>(Sheet1!O250)</f>
        <v>1TMTMDBTSLXzi0POas5HDprui-sp3TCVvRYWE8buap-0</v>
      </c>
      <c r="CA250" s="25" t="str">
        <f>(Sheet1!AV250)</f>
        <v/>
      </c>
      <c r="CB250" s="25" t="str">
        <f>(Sheet1!AW250)</f>
        <v/>
      </c>
      <c r="CC250" s="26" t="str">
        <f>(Sheet1!P250)</f>
        <v>Sub Dealer</v>
      </c>
    </row>
    <row r="251">
      <c r="A251" s="26" t="str">
        <f>(Sheet1!A251)</f>
        <v>1VTFWB6Hw6EUp6TdZoOlRcBVDxwR_k4LX_ysjQi3ijbA</v>
      </c>
      <c r="B251" s="26" t="str">
        <f>(Sheet1!B251)</f>
        <v>SIYARAM AUTOMOBILES(CA) - HAIDARGANJ BAZAR</v>
      </c>
      <c r="C251" s="30" t="str">
        <f>Sheet1!BB251</f>
        <v>No</v>
      </c>
      <c r="D251" s="34" t="s">
        <v>13</v>
      </c>
      <c r="E251" s="34" t="s">
        <v>13</v>
      </c>
      <c r="F251" s="34" t="s">
        <v>3820</v>
      </c>
      <c r="G251" s="34">
        <v>290.0</v>
      </c>
      <c r="H251" s="34" t="s">
        <v>3853</v>
      </c>
      <c r="I251" s="34">
        <v>0.0</v>
      </c>
      <c r="J251" s="34">
        <v>100.0</v>
      </c>
      <c r="K251" s="34">
        <v>0.0</v>
      </c>
      <c r="L251" s="34">
        <v>0.0</v>
      </c>
      <c r="M251" s="33">
        <f>COUNTIFS('Data For Calculation - Insuranc'!A:A,A251,'Data For Calculation - Insuranc'!E:E,"CPA + RSA")</f>
        <v>0</v>
      </c>
      <c r="N251" s="34" t="s">
        <v>3820</v>
      </c>
      <c r="O251" s="34">
        <v>375.0</v>
      </c>
      <c r="P251" s="34" t="s">
        <v>3853</v>
      </c>
      <c r="Q251" s="34">
        <v>0.0</v>
      </c>
      <c r="R251" s="34">
        <v>100.0</v>
      </c>
      <c r="S251" s="34">
        <v>0.0</v>
      </c>
      <c r="T251" s="34">
        <v>0.0</v>
      </c>
      <c r="U251" s="33">
        <f>COUNTIFS('Data For Calculation - Insuranc'!A:A,A251,'Data For Calculation - Insuranc'!E:E,"CPA + RSA + AHDC + DOC")</f>
        <v>0</v>
      </c>
      <c r="V251" s="34" t="s">
        <v>3820</v>
      </c>
      <c r="W251" s="34">
        <v>838.99</v>
      </c>
      <c r="X251" s="34" t="s">
        <v>3853</v>
      </c>
      <c r="Y251" s="34">
        <v>0.0</v>
      </c>
      <c r="Z251" s="34">
        <v>100.0</v>
      </c>
      <c r="AA251" s="34">
        <v>0.0</v>
      </c>
      <c r="AB251" s="34">
        <v>0.0</v>
      </c>
      <c r="AC251" s="33">
        <f>COUNTIFS('Data For Calculation - Insuranc'!A:A,A251,'Data For Calculation - Insuranc'!E:E,"CPA + RSA : 5 Years")</f>
        <v>0</v>
      </c>
      <c r="AD251" s="34" t="s">
        <v>3820</v>
      </c>
      <c r="AE251" s="34">
        <v>838.99</v>
      </c>
      <c r="AF251" s="34" t="s">
        <v>3853</v>
      </c>
      <c r="AG251" s="34">
        <v>0.0</v>
      </c>
      <c r="AH251" s="34">
        <v>100.0</v>
      </c>
      <c r="AI251" s="34">
        <v>0.0</v>
      </c>
      <c r="AJ251" s="34">
        <v>0.0</v>
      </c>
      <c r="AK251" s="33">
        <f>COUNTIFS('Data For Calculation - Insuranc'!A:A,A251,'Data For Calculation - Insuranc'!E:E,"Assistance + CPA : 5 Years")</f>
        <v>0</v>
      </c>
      <c r="AL251" s="34" t="s">
        <v>3820</v>
      </c>
      <c r="AM251" s="34">
        <v>290.0</v>
      </c>
      <c r="AN251" s="34" t="s">
        <v>3853</v>
      </c>
      <c r="AO251" s="34">
        <v>0.0</v>
      </c>
      <c r="AP251" s="34">
        <v>100.0</v>
      </c>
      <c r="AQ251" s="34">
        <v>0.0</v>
      </c>
      <c r="AR251" s="34">
        <v>0.0</v>
      </c>
      <c r="AS251" s="33">
        <f>COUNTIFS('Data For Calculation - Insuranc'!A:A,A251,'Data For Calculation - Insuranc'!E:E,"RSA + AHDC + DOC")</f>
        <v>0</v>
      </c>
      <c r="BR251" s="33">
        <f t="shared" si="1"/>
        <v>0</v>
      </c>
      <c r="BS251" s="33">
        <f>SUMIFS('Data For Calculation - Insuranc'!I:I,'Data For Calculation - Insuranc'!$A:$A,$A251)</f>
        <v>0</v>
      </c>
      <c r="BT251" s="33">
        <f>SUMIFS('Data For Calculation - Insuranc'!J:J,'Data For Calculation - Insuranc'!$A:$A,$A251)</f>
        <v>0</v>
      </c>
      <c r="BU251" s="33">
        <f>SUMIFS('Data For Calculation - Insuranc'!K:K,'Data For Calculation - Insuranc'!$A:$A,$A251)</f>
        <v>0</v>
      </c>
      <c r="BV251" s="33">
        <f>IF($CC251 = "Dealer", SUMIFS('Data For Calculation - Insuranc'!I:I,'Data For Calculation - Insuranc'!$B:$B,$A251,'Data For Calculation - Insuranc'!$H:$H,"Master Dealer")) + SUMIFS('Data For Calculation - Insuranc'!I:I,'Data For Calculation - Insuranc'!$A:$A,$A251,'Data For Calculation - Insuranc'!$H:$H,"Self")</f>
        <v>0</v>
      </c>
      <c r="BW251" s="33">
        <f>IF($CC251 = "Dealer", SUMIFS('Data For Calculation - Insuranc'!J:J,'Data For Calculation - Insuranc'!$B:$B,$A251,'Data For Calculation - Insuranc'!$H:$H,"Master Dealer")) + SUMIFS('Data For Calculation - Insuranc'!J:J,'Data For Calculation - Insuranc'!$A:$A,$A251,'Data For Calculation - Insuranc'!$H:$H,"Self")</f>
        <v>0</v>
      </c>
      <c r="BX251" s="33">
        <f>IF($CC251 = "Dealer", SUMIFS('Data For Calculation - Insuranc'!K:K,'Data For Calculation - Insuranc'!$B:$B,$A251,'Data For Calculation - Insuranc'!$H:$H,"Master Dealer")) + SUMIFS('Data For Calculation - Insuranc'!K:K,'Data For Calculation - Insuranc'!$A:$A,$A251,'Data For Calculation - Insuranc'!$H:$H,"Self")</f>
        <v>0</v>
      </c>
      <c r="BY251" s="26" t="str">
        <f>(Sheet1!N251)</f>
        <v>Chandra Automobiles - Faizabad</v>
      </c>
      <c r="BZ251" s="26" t="str">
        <f>(Sheet1!O251)</f>
        <v>1TMTMDBTSLXzi0POas5HDprui-sp3TCVvRYWE8buap-0</v>
      </c>
      <c r="CA251" s="25" t="str">
        <f>(Sheet1!AV251)</f>
        <v/>
      </c>
      <c r="CB251" s="25" t="str">
        <f>(Sheet1!AW251)</f>
        <v/>
      </c>
      <c r="CC251" s="26" t="str">
        <f>(Sheet1!P251)</f>
        <v>Sub Dealer</v>
      </c>
    </row>
    <row r="252">
      <c r="A252" s="26" t="str">
        <f>(Sheet1!A252)</f>
        <v>1SSzUIjRsBuOQW-kzcJRcEuyLwfZTtwgEZNTVqimPXRM</v>
      </c>
      <c r="B252" s="26" t="str">
        <f>(Sheet1!B252)</f>
        <v>YADAV AUTOSALES (CA) - BABA BAZAR</v>
      </c>
      <c r="C252" s="30" t="str">
        <f>Sheet1!BB252</f>
        <v>No</v>
      </c>
      <c r="D252" s="34" t="s">
        <v>13</v>
      </c>
      <c r="E252" s="34" t="s">
        <v>13</v>
      </c>
      <c r="F252" s="34" t="s">
        <v>3820</v>
      </c>
      <c r="G252" s="34">
        <v>290.0</v>
      </c>
      <c r="H252" s="34" t="s">
        <v>3853</v>
      </c>
      <c r="I252" s="34">
        <v>0.0</v>
      </c>
      <c r="J252" s="34">
        <v>100.0</v>
      </c>
      <c r="K252" s="34">
        <v>0.0</v>
      </c>
      <c r="L252" s="34">
        <v>0.0</v>
      </c>
      <c r="M252" s="33">
        <f>COUNTIFS('Data For Calculation - Insuranc'!A:A,A252,'Data For Calculation - Insuranc'!E:E,"CPA + RSA")</f>
        <v>0</v>
      </c>
      <c r="N252" s="34" t="s">
        <v>3820</v>
      </c>
      <c r="O252" s="34">
        <v>375.0</v>
      </c>
      <c r="P252" s="34" t="s">
        <v>3853</v>
      </c>
      <c r="Q252" s="34">
        <v>0.0</v>
      </c>
      <c r="R252" s="34">
        <v>100.0</v>
      </c>
      <c r="S252" s="34">
        <v>0.0</v>
      </c>
      <c r="T252" s="34">
        <v>0.0</v>
      </c>
      <c r="U252" s="33">
        <f>COUNTIFS('Data For Calculation - Insuranc'!A:A,A252,'Data For Calculation - Insuranc'!E:E,"CPA + RSA + AHDC + DOC")</f>
        <v>0</v>
      </c>
      <c r="V252" s="34" t="s">
        <v>3820</v>
      </c>
      <c r="W252" s="34">
        <v>838.99</v>
      </c>
      <c r="X252" s="34" t="s">
        <v>3853</v>
      </c>
      <c r="Y252" s="34">
        <v>0.0</v>
      </c>
      <c r="Z252" s="34">
        <v>100.0</v>
      </c>
      <c r="AA252" s="34">
        <v>0.0</v>
      </c>
      <c r="AB252" s="34">
        <v>0.0</v>
      </c>
      <c r="AC252" s="33">
        <f>COUNTIFS('Data For Calculation - Insuranc'!A:A,A252,'Data For Calculation - Insuranc'!E:E,"CPA + RSA : 5 Years")</f>
        <v>0</v>
      </c>
      <c r="AD252" s="34" t="s">
        <v>3820</v>
      </c>
      <c r="AE252" s="34">
        <v>838.99</v>
      </c>
      <c r="AF252" s="34" t="s">
        <v>3853</v>
      </c>
      <c r="AG252" s="34">
        <v>0.0</v>
      </c>
      <c r="AH252" s="34">
        <v>100.0</v>
      </c>
      <c r="AI252" s="34">
        <v>0.0</v>
      </c>
      <c r="AJ252" s="34">
        <v>0.0</v>
      </c>
      <c r="AK252" s="33">
        <f>COUNTIFS('Data For Calculation - Insuranc'!A:A,A252,'Data For Calculation - Insuranc'!E:E,"Assistance + CPA : 5 Years")</f>
        <v>0</v>
      </c>
      <c r="AL252" s="34" t="s">
        <v>3820</v>
      </c>
      <c r="AM252" s="34">
        <v>290.0</v>
      </c>
      <c r="AN252" s="34" t="s">
        <v>3853</v>
      </c>
      <c r="AO252" s="34">
        <v>0.0</v>
      </c>
      <c r="AP252" s="34">
        <v>100.0</v>
      </c>
      <c r="AQ252" s="34">
        <v>0.0</v>
      </c>
      <c r="AR252" s="34">
        <v>0.0</v>
      </c>
      <c r="AS252" s="33">
        <f>COUNTIFS('Data For Calculation - Insuranc'!A:A,A252,'Data For Calculation - Insuranc'!E:E,"RSA + AHDC + DOC")</f>
        <v>0</v>
      </c>
      <c r="BR252" s="33">
        <f t="shared" si="1"/>
        <v>0</v>
      </c>
      <c r="BS252" s="33">
        <f>SUMIFS('Data For Calculation - Insuranc'!I:I,'Data For Calculation - Insuranc'!$A:$A,$A252)</f>
        <v>0</v>
      </c>
      <c r="BT252" s="33">
        <f>SUMIFS('Data For Calculation - Insuranc'!J:J,'Data For Calculation - Insuranc'!$A:$A,$A252)</f>
        <v>0</v>
      </c>
      <c r="BU252" s="33">
        <f>SUMIFS('Data For Calculation - Insuranc'!K:K,'Data For Calculation - Insuranc'!$A:$A,$A252)</f>
        <v>0</v>
      </c>
      <c r="BV252" s="33">
        <f>IF($CC252 = "Dealer", SUMIFS('Data For Calculation - Insuranc'!I:I,'Data For Calculation - Insuranc'!$B:$B,$A252,'Data For Calculation - Insuranc'!$H:$H,"Master Dealer")) + SUMIFS('Data For Calculation - Insuranc'!I:I,'Data For Calculation - Insuranc'!$A:$A,$A252,'Data For Calculation - Insuranc'!$H:$H,"Self")</f>
        <v>0</v>
      </c>
      <c r="BW252" s="33">
        <f>IF($CC252 = "Dealer", SUMIFS('Data For Calculation - Insuranc'!J:J,'Data For Calculation - Insuranc'!$B:$B,$A252,'Data For Calculation - Insuranc'!$H:$H,"Master Dealer")) + SUMIFS('Data For Calculation - Insuranc'!J:J,'Data For Calculation - Insuranc'!$A:$A,$A252,'Data For Calculation - Insuranc'!$H:$H,"Self")</f>
        <v>0</v>
      </c>
      <c r="BX252" s="33">
        <f>IF($CC252 = "Dealer", SUMIFS('Data For Calculation - Insuranc'!K:K,'Data For Calculation - Insuranc'!$B:$B,$A252,'Data For Calculation - Insuranc'!$H:$H,"Master Dealer")) + SUMIFS('Data For Calculation - Insuranc'!K:K,'Data For Calculation - Insuranc'!$A:$A,$A252,'Data For Calculation - Insuranc'!$H:$H,"Self")</f>
        <v>0</v>
      </c>
      <c r="BY252" s="26" t="str">
        <f>(Sheet1!N252)</f>
        <v>Chandra Automobiles - Faizabad</v>
      </c>
      <c r="BZ252" s="26" t="str">
        <f>(Sheet1!O252)</f>
        <v>1TMTMDBTSLXzi0POas5HDprui-sp3TCVvRYWE8buap-0</v>
      </c>
      <c r="CA252" s="25" t="str">
        <f>(Sheet1!AV252)</f>
        <v/>
      </c>
      <c r="CB252" s="25" t="str">
        <f>(Sheet1!AW252)</f>
        <v/>
      </c>
      <c r="CC252" s="26" t="str">
        <f>(Sheet1!P252)</f>
        <v>Sub Dealer</v>
      </c>
    </row>
    <row r="253">
      <c r="A253" s="26" t="str">
        <f>(Sheet1!A253)</f>
        <v>1osOyuHF4zURKwQBQVId__BAxFL3ovjDFMAESaHNUzcw</v>
      </c>
      <c r="B253" s="26" t="str">
        <f>(Sheet1!B253)</f>
        <v>GURU AUTO (MA) - AGSAULI</v>
      </c>
      <c r="C253" s="30" t="str">
        <f>Sheet1!BB253</f>
        <v>No</v>
      </c>
      <c r="D253" s="34" t="s">
        <v>13</v>
      </c>
      <c r="E253" s="34" t="s">
        <v>13</v>
      </c>
      <c r="F253" s="34" t="s">
        <v>3820</v>
      </c>
      <c r="G253" s="31">
        <v>170.0</v>
      </c>
      <c r="H253" s="34" t="s">
        <v>3853</v>
      </c>
      <c r="I253" s="34">
        <v>0.0</v>
      </c>
      <c r="J253" s="34">
        <v>100.0</v>
      </c>
      <c r="K253" s="34">
        <v>0.0</v>
      </c>
      <c r="L253" s="34">
        <v>0.0</v>
      </c>
      <c r="M253" s="33">
        <f>COUNTIFS('Data For Calculation - Insuranc'!A:A,A253,'Data For Calculation - Insuranc'!E:E,"CPA + RSA")</f>
        <v>0</v>
      </c>
      <c r="N253" s="34" t="s">
        <v>3820</v>
      </c>
      <c r="O253" s="31">
        <v>170.0</v>
      </c>
      <c r="P253" s="34" t="s">
        <v>3853</v>
      </c>
      <c r="Q253" s="34">
        <v>0.0</v>
      </c>
      <c r="R253" s="34">
        <v>100.0</v>
      </c>
      <c r="S253" s="34">
        <v>0.0</v>
      </c>
      <c r="T253" s="34">
        <v>0.0</v>
      </c>
      <c r="U253" s="33">
        <f>COUNTIFS('Data For Calculation - Insuranc'!A:A,A253,'Data For Calculation - Insuranc'!E:E,"CPA + RSA + AHDC + DOC")</f>
        <v>0</v>
      </c>
      <c r="V253" s="34" t="s">
        <v>3820</v>
      </c>
      <c r="W253" s="34">
        <v>838.99</v>
      </c>
      <c r="X253" s="34" t="s">
        <v>3853</v>
      </c>
      <c r="Y253" s="34">
        <v>0.0</v>
      </c>
      <c r="Z253" s="34">
        <v>100.0</v>
      </c>
      <c r="AA253" s="34">
        <v>0.0</v>
      </c>
      <c r="AB253" s="34">
        <v>0.0</v>
      </c>
      <c r="AC253" s="33">
        <f>COUNTIFS('Data For Calculation - Insuranc'!A:A,A253,'Data For Calculation - Insuranc'!E:E,"CPA + RSA : 5 Years")</f>
        <v>0</v>
      </c>
      <c r="AD253" s="34" t="s">
        <v>3820</v>
      </c>
      <c r="AE253" s="34">
        <v>838.99</v>
      </c>
      <c r="AF253" s="34" t="s">
        <v>3853</v>
      </c>
      <c r="AG253" s="34">
        <v>0.0</v>
      </c>
      <c r="AH253" s="34">
        <v>100.0</v>
      </c>
      <c r="AI253" s="34">
        <v>0.0</v>
      </c>
      <c r="AJ253" s="34">
        <v>0.0</v>
      </c>
      <c r="AK253" s="33">
        <f>COUNTIFS('Data For Calculation - Insuranc'!A:A,A253,'Data For Calculation - Insuranc'!E:E,"Assistance + CPA : 5 Years")</f>
        <v>0</v>
      </c>
      <c r="AL253" s="34" t="s">
        <v>3820</v>
      </c>
      <c r="AM253" s="31">
        <v>170.0</v>
      </c>
      <c r="AN253" s="34" t="s">
        <v>3853</v>
      </c>
      <c r="AO253" s="34">
        <v>0.0</v>
      </c>
      <c r="AP253" s="34">
        <v>100.0</v>
      </c>
      <c r="AQ253" s="34">
        <v>0.0</v>
      </c>
      <c r="AR253" s="34">
        <v>0.0</v>
      </c>
      <c r="AS253" s="33">
        <f>COUNTIFS('Data For Calculation - Insuranc'!A:A,A253,'Data For Calculation - Insuranc'!E:E,"RSA + AHDC + DOC")</f>
        <v>0</v>
      </c>
      <c r="BR253" s="33">
        <f t="shared" si="1"/>
        <v>0</v>
      </c>
      <c r="BS253" s="33">
        <f>SUMIFS('Data For Calculation - Insuranc'!I:I,'Data For Calculation - Insuranc'!$A:$A,$A253)</f>
        <v>0</v>
      </c>
      <c r="BT253" s="33">
        <f>SUMIFS('Data For Calculation - Insuranc'!J:J,'Data For Calculation - Insuranc'!$A:$A,$A253)</f>
        <v>0</v>
      </c>
      <c r="BU253" s="33">
        <f>SUMIFS('Data For Calculation - Insuranc'!K:K,'Data For Calculation - Insuranc'!$A:$A,$A253)</f>
        <v>0</v>
      </c>
      <c r="BV253" s="33">
        <f>IF($CC253 = "Dealer", SUMIFS('Data For Calculation - Insuranc'!I:I,'Data For Calculation - Insuranc'!$B:$B,$A253,'Data For Calculation - Insuranc'!$H:$H,"Master Dealer")) + SUMIFS('Data For Calculation - Insuranc'!I:I,'Data For Calculation - Insuranc'!$A:$A,$A253,'Data For Calculation - Insuranc'!$H:$H,"Self")</f>
        <v>0</v>
      </c>
      <c r="BW253" s="33">
        <f>IF($CC253 = "Dealer", SUMIFS('Data For Calculation - Insuranc'!J:J,'Data For Calculation - Insuranc'!$B:$B,$A253,'Data For Calculation - Insuranc'!$H:$H,"Master Dealer")) + SUMIFS('Data For Calculation - Insuranc'!J:J,'Data For Calculation - Insuranc'!$A:$A,$A253,'Data For Calculation - Insuranc'!$H:$H,"Self")</f>
        <v>0</v>
      </c>
      <c r="BX253" s="33">
        <f>IF($CC253 = "Dealer", SUMIFS('Data For Calculation - Insuranc'!K:K,'Data For Calculation - Insuranc'!$B:$B,$A253,'Data For Calculation - Insuranc'!$H:$H,"Master Dealer")) + SUMIFS('Data For Calculation - Insuranc'!K:K,'Data For Calculation - Insuranc'!$A:$A,$A253,'Data For Calculation - Insuranc'!$H:$H,"Self")</f>
        <v>0</v>
      </c>
      <c r="BY253" s="26" t="str">
        <f>(Sheet1!N253)</f>
        <v>Maharaja Autoworld</v>
      </c>
      <c r="BZ253" s="26" t="str">
        <f>(Sheet1!O253)</f>
        <v>1mkGLSaVL5-IAXKq9KqXFgJH64Li9oMA9V0u_seCn1jg</v>
      </c>
      <c r="CA253" s="25" t="str">
        <f>(Sheet1!AV253)</f>
        <v/>
      </c>
      <c r="CB253" s="25" t="str">
        <f>(Sheet1!AW253)</f>
        <v/>
      </c>
      <c r="CC253" s="26" t="str">
        <f>(Sheet1!P253)</f>
        <v>Sub Dealer</v>
      </c>
    </row>
    <row r="254">
      <c r="A254" s="26" t="str">
        <f>(Sheet1!A254)</f>
        <v>1jBLj7YlO7RVCF75qSzQ559wmnPniOl1ikS8tNuHDQd0</v>
      </c>
      <c r="B254" s="26" t="str">
        <f>(Sheet1!B254)</f>
        <v>SAGAR AUTOMOBILES (MAW) - MURSAN</v>
      </c>
      <c r="C254" s="30" t="str">
        <f>Sheet1!BB254</f>
        <v>No</v>
      </c>
      <c r="D254" s="34" t="s">
        <v>13</v>
      </c>
      <c r="E254" s="34" t="s">
        <v>13</v>
      </c>
      <c r="F254" s="34" t="s">
        <v>3820</v>
      </c>
      <c r="G254" s="31">
        <v>170.0</v>
      </c>
      <c r="H254" s="34" t="s">
        <v>3853</v>
      </c>
      <c r="I254" s="34">
        <v>0.0</v>
      </c>
      <c r="J254" s="34">
        <v>100.0</v>
      </c>
      <c r="K254" s="34">
        <v>0.0</v>
      </c>
      <c r="L254" s="34">
        <v>0.0</v>
      </c>
      <c r="M254" s="33">
        <f>COUNTIFS('Data For Calculation - Insuranc'!A:A,A254,'Data For Calculation - Insuranc'!E:E,"CPA + RSA")</f>
        <v>0</v>
      </c>
      <c r="N254" s="34" t="s">
        <v>3820</v>
      </c>
      <c r="O254" s="31">
        <v>170.0</v>
      </c>
      <c r="P254" s="34" t="s">
        <v>3853</v>
      </c>
      <c r="Q254" s="34">
        <v>0.0</v>
      </c>
      <c r="R254" s="34">
        <v>100.0</v>
      </c>
      <c r="S254" s="34">
        <v>0.0</v>
      </c>
      <c r="T254" s="34">
        <v>0.0</v>
      </c>
      <c r="U254" s="33">
        <f>COUNTIFS('Data For Calculation - Insuranc'!A:A,A254,'Data For Calculation - Insuranc'!E:E,"CPA + RSA + AHDC + DOC")</f>
        <v>0</v>
      </c>
      <c r="V254" s="34" t="s">
        <v>3820</v>
      </c>
      <c r="W254" s="34">
        <v>838.99</v>
      </c>
      <c r="X254" s="34" t="s">
        <v>3853</v>
      </c>
      <c r="Y254" s="34">
        <v>0.0</v>
      </c>
      <c r="Z254" s="34">
        <v>100.0</v>
      </c>
      <c r="AA254" s="34">
        <v>0.0</v>
      </c>
      <c r="AB254" s="34">
        <v>0.0</v>
      </c>
      <c r="AC254" s="33">
        <f>COUNTIFS('Data For Calculation - Insuranc'!A:A,A254,'Data For Calculation - Insuranc'!E:E,"CPA + RSA : 5 Years")</f>
        <v>0</v>
      </c>
      <c r="AD254" s="34" t="s">
        <v>3820</v>
      </c>
      <c r="AE254" s="34">
        <v>838.99</v>
      </c>
      <c r="AF254" s="34" t="s">
        <v>3853</v>
      </c>
      <c r="AG254" s="34">
        <v>0.0</v>
      </c>
      <c r="AH254" s="34">
        <v>100.0</v>
      </c>
      <c r="AI254" s="34">
        <v>0.0</v>
      </c>
      <c r="AJ254" s="34">
        <v>0.0</v>
      </c>
      <c r="AK254" s="33">
        <f>COUNTIFS('Data For Calculation - Insuranc'!A:A,A254,'Data For Calculation - Insuranc'!E:E,"Assistance + CPA : 5 Years")</f>
        <v>0</v>
      </c>
      <c r="AL254" s="34" t="s">
        <v>3820</v>
      </c>
      <c r="AM254" s="31">
        <v>170.0</v>
      </c>
      <c r="AN254" s="34" t="s">
        <v>3853</v>
      </c>
      <c r="AO254" s="34">
        <v>0.0</v>
      </c>
      <c r="AP254" s="34">
        <v>100.0</v>
      </c>
      <c r="AQ254" s="34">
        <v>0.0</v>
      </c>
      <c r="AR254" s="34">
        <v>0.0</v>
      </c>
      <c r="AS254" s="33">
        <f>COUNTIFS('Data For Calculation - Insuranc'!A:A,A254,'Data For Calculation - Insuranc'!E:E,"RSA + AHDC + DOC")</f>
        <v>0</v>
      </c>
      <c r="BR254" s="33">
        <f t="shared" si="1"/>
        <v>0</v>
      </c>
      <c r="BS254" s="33">
        <f>SUMIFS('Data For Calculation - Insuranc'!I:I,'Data For Calculation - Insuranc'!$A:$A,$A254)</f>
        <v>0</v>
      </c>
      <c r="BT254" s="33">
        <f>SUMIFS('Data For Calculation - Insuranc'!J:J,'Data For Calculation - Insuranc'!$A:$A,$A254)</f>
        <v>0</v>
      </c>
      <c r="BU254" s="33">
        <f>SUMIFS('Data For Calculation - Insuranc'!K:K,'Data For Calculation - Insuranc'!$A:$A,$A254)</f>
        <v>0</v>
      </c>
      <c r="BV254" s="33">
        <f>IF($CC254 = "Dealer", SUMIFS('Data For Calculation - Insuranc'!I:I,'Data For Calculation - Insuranc'!$B:$B,$A254,'Data For Calculation - Insuranc'!$H:$H,"Master Dealer")) + SUMIFS('Data For Calculation - Insuranc'!I:I,'Data For Calculation - Insuranc'!$A:$A,$A254,'Data For Calculation - Insuranc'!$H:$H,"Self")</f>
        <v>0</v>
      </c>
      <c r="BW254" s="33">
        <f>IF($CC254 = "Dealer", SUMIFS('Data For Calculation - Insuranc'!J:J,'Data For Calculation - Insuranc'!$B:$B,$A254,'Data For Calculation - Insuranc'!$H:$H,"Master Dealer")) + SUMIFS('Data For Calculation - Insuranc'!J:J,'Data For Calculation - Insuranc'!$A:$A,$A254,'Data For Calculation - Insuranc'!$H:$H,"Self")</f>
        <v>0</v>
      </c>
      <c r="BX254" s="33">
        <f>IF($CC254 = "Dealer", SUMIFS('Data For Calculation - Insuranc'!K:K,'Data For Calculation - Insuranc'!$B:$B,$A254,'Data For Calculation - Insuranc'!$H:$H,"Master Dealer")) + SUMIFS('Data For Calculation - Insuranc'!K:K,'Data For Calculation - Insuranc'!$A:$A,$A254,'Data For Calculation - Insuranc'!$H:$H,"Self")</f>
        <v>0</v>
      </c>
      <c r="BY254" s="26" t="str">
        <f>(Sheet1!N254)</f>
        <v>Maharaja Autoworld</v>
      </c>
      <c r="BZ254" s="26" t="str">
        <f>(Sheet1!O254)</f>
        <v>1mkGLSaVL5-IAXKq9KqXFgJH64Li9oMA9V0u_seCn1jg</v>
      </c>
      <c r="CA254" s="25" t="str">
        <f>(Sheet1!AV254)</f>
        <v/>
      </c>
      <c r="CB254" s="25" t="str">
        <f>(Sheet1!AW254)</f>
        <v/>
      </c>
      <c r="CC254" s="26" t="str">
        <f>(Sheet1!P254)</f>
        <v>Sub Dealer</v>
      </c>
    </row>
    <row r="255">
      <c r="A255" s="26" t="str">
        <f>(Sheet1!A255)</f>
        <v>15WvTCHWZ7k40lgk7ekOThzqz2K_9MGli20N9iYkrug0</v>
      </c>
      <c r="B255" s="26" t="str">
        <f>(Sheet1!B255)</f>
        <v>KWALITY MOTORS (MAW) - SASNI</v>
      </c>
      <c r="C255" s="30" t="str">
        <f>Sheet1!BB255</f>
        <v>No</v>
      </c>
      <c r="D255" s="34" t="s">
        <v>13</v>
      </c>
      <c r="E255" s="34" t="s">
        <v>13</v>
      </c>
      <c r="F255" s="34" t="s">
        <v>3820</v>
      </c>
      <c r="G255" s="31">
        <v>170.0</v>
      </c>
      <c r="H255" s="34" t="s">
        <v>3853</v>
      </c>
      <c r="I255" s="34">
        <v>0.0</v>
      </c>
      <c r="J255" s="34">
        <v>100.0</v>
      </c>
      <c r="K255" s="34">
        <v>0.0</v>
      </c>
      <c r="L255" s="34">
        <v>0.0</v>
      </c>
      <c r="M255" s="33">
        <f>COUNTIFS('Data For Calculation - Insuranc'!A:A,A255,'Data For Calculation - Insuranc'!E:E,"CPA + RSA")</f>
        <v>0</v>
      </c>
      <c r="N255" s="34" t="s">
        <v>3820</v>
      </c>
      <c r="O255" s="31">
        <v>170.0</v>
      </c>
      <c r="P255" s="34" t="s">
        <v>3853</v>
      </c>
      <c r="Q255" s="34">
        <v>0.0</v>
      </c>
      <c r="R255" s="34">
        <v>100.0</v>
      </c>
      <c r="S255" s="34">
        <v>0.0</v>
      </c>
      <c r="T255" s="34">
        <v>0.0</v>
      </c>
      <c r="U255" s="33">
        <f>COUNTIFS('Data For Calculation - Insuranc'!A:A,A255,'Data For Calculation - Insuranc'!E:E,"CPA + RSA + AHDC + DOC")</f>
        <v>0</v>
      </c>
      <c r="V255" s="34" t="s">
        <v>3820</v>
      </c>
      <c r="W255" s="34">
        <v>838.99</v>
      </c>
      <c r="X255" s="34" t="s">
        <v>3853</v>
      </c>
      <c r="Y255" s="34">
        <v>0.0</v>
      </c>
      <c r="Z255" s="34">
        <v>100.0</v>
      </c>
      <c r="AA255" s="34">
        <v>0.0</v>
      </c>
      <c r="AB255" s="34">
        <v>0.0</v>
      </c>
      <c r="AC255" s="33">
        <f>COUNTIFS('Data For Calculation - Insuranc'!A:A,A255,'Data For Calculation - Insuranc'!E:E,"CPA + RSA : 5 Years")</f>
        <v>0</v>
      </c>
      <c r="AD255" s="34" t="s">
        <v>3820</v>
      </c>
      <c r="AE255" s="34">
        <v>838.99</v>
      </c>
      <c r="AF255" s="34" t="s">
        <v>3853</v>
      </c>
      <c r="AG255" s="34">
        <v>0.0</v>
      </c>
      <c r="AH255" s="34">
        <v>100.0</v>
      </c>
      <c r="AI255" s="34">
        <v>0.0</v>
      </c>
      <c r="AJ255" s="34">
        <v>0.0</v>
      </c>
      <c r="AK255" s="33">
        <f>COUNTIFS('Data For Calculation - Insuranc'!A:A,A255,'Data For Calculation - Insuranc'!E:E,"Assistance + CPA : 5 Years")</f>
        <v>0</v>
      </c>
      <c r="AL255" s="34" t="s">
        <v>3820</v>
      </c>
      <c r="AM255" s="31">
        <v>170.0</v>
      </c>
      <c r="AN255" s="34" t="s">
        <v>3853</v>
      </c>
      <c r="AO255" s="34">
        <v>0.0</v>
      </c>
      <c r="AP255" s="34">
        <v>100.0</v>
      </c>
      <c r="AQ255" s="34">
        <v>0.0</v>
      </c>
      <c r="AR255" s="34">
        <v>0.0</v>
      </c>
      <c r="AS255" s="33">
        <f>COUNTIFS('Data For Calculation - Insuranc'!A:A,A255,'Data For Calculation - Insuranc'!E:E,"RSA + AHDC + DOC")</f>
        <v>0</v>
      </c>
      <c r="BR255" s="33">
        <f t="shared" si="1"/>
        <v>0</v>
      </c>
      <c r="BS255" s="33">
        <f>SUMIFS('Data For Calculation - Insuranc'!I:I,'Data For Calculation - Insuranc'!$A:$A,$A255)</f>
        <v>0</v>
      </c>
      <c r="BT255" s="33">
        <f>SUMIFS('Data For Calculation - Insuranc'!J:J,'Data For Calculation - Insuranc'!$A:$A,$A255)</f>
        <v>0</v>
      </c>
      <c r="BU255" s="33">
        <f>SUMIFS('Data For Calculation - Insuranc'!K:K,'Data For Calculation - Insuranc'!$A:$A,$A255)</f>
        <v>0</v>
      </c>
      <c r="BV255" s="33">
        <f>IF($CC255 = "Dealer", SUMIFS('Data For Calculation - Insuranc'!I:I,'Data For Calculation - Insuranc'!$B:$B,$A255,'Data For Calculation - Insuranc'!$H:$H,"Master Dealer")) + SUMIFS('Data For Calculation - Insuranc'!I:I,'Data For Calculation - Insuranc'!$A:$A,$A255,'Data For Calculation - Insuranc'!$H:$H,"Self")</f>
        <v>0</v>
      </c>
      <c r="BW255" s="33">
        <f>IF($CC255 = "Dealer", SUMIFS('Data For Calculation - Insuranc'!J:J,'Data For Calculation - Insuranc'!$B:$B,$A255,'Data For Calculation - Insuranc'!$H:$H,"Master Dealer")) + SUMIFS('Data For Calculation - Insuranc'!J:J,'Data For Calculation - Insuranc'!$A:$A,$A255,'Data For Calculation - Insuranc'!$H:$H,"Self")</f>
        <v>0</v>
      </c>
      <c r="BX255" s="33">
        <f>IF($CC255 = "Dealer", SUMIFS('Data For Calculation - Insuranc'!K:K,'Data For Calculation - Insuranc'!$B:$B,$A255,'Data For Calculation - Insuranc'!$H:$H,"Master Dealer")) + SUMIFS('Data For Calculation - Insuranc'!K:K,'Data For Calculation - Insuranc'!$A:$A,$A255,'Data For Calculation - Insuranc'!$H:$H,"Self")</f>
        <v>0</v>
      </c>
      <c r="BY255" s="26" t="str">
        <f>(Sheet1!N255)</f>
        <v>Maharaja Autoworld</v>
      </c>
      <c r="BZ255" s="26" t="str">
        <f>(Sheet1!O255)</f>
        <v>1mkGLSaVL5-IAXKq9KqXFgJH64Li9oMA9V0u_seCn1jg</v>
      </c>
      <c r="CA255" s="25" t="str">
        <f>(Sheet1!AV255)</f>
        <v/>
      </c>
      <c r="CB255" s="25" t="str">
        <f>(Sheet1!AW255)</f>
        <v/>
      </c>
      <c r="CC255" s="26" t="str">
        <f>(Sheet1!P255)</f>
        <v>Sub Dealer</v>
      </c>
    </row>
    <row r="256">
      <c r="A256" s="26" t="str">
        <f>(Sheet1!A256)</f>
        <v>1zWSCvcfPxAcr86Cn-xiLCzYM42hDpWaMzqQvGvc-Ojw</v>
      </c>
      <c r="B256" s="26" t="str">
        <f>(Sheet1!B256)</f>
        <v>ZEESHAN AUTOMOBILES (CA) - SOHAWAL</v>
      </c>
      <c r="C256" s="30" t="str">
        <f>Sheet1!BB256</f>
        <v>No</v>
      </c>
      <c r="D256" s="34" t="s">
        <v>13</v>
      </c>
      <c r="E256" s="34" t="s">
        <v>13</v>
      </c>
      <c r="F256" s="34" t="s">
        <v>3820</v>
      </c>
      <c r="G256" s="34">
        <v>290.0</v>
      </c>
      <c r="H256" s="34" t="s">
        <v>3853</v>
      </c>
      <c r="I256" s="34">
        <v>0.0</v>
      </c>
      <c r="J256" s="34">
        <v>100.0</v>
      </c>
      <c r="K256" s="34">
        <v>0.0</v>
      </c>
      <c r="L256" s="34">
        <v>0.0</v>
      </c>
      <c r="M256" s="33">
        <f>COUNTIFS('Data For Calculation - Insuranc'!A:A,A256,'Data For Calculation - Insuranc'!E:E,"CPA + RSA")</f>
        <v>0</v>
      </c>
      <c r="N256" s="34" t="s">
        <v>3820</v>
      </c>
      <c r="O256" s="34">
        <v>375.0</v>
      </c>
      <c r="P256" s="34" t="s">
        <v>3853</v>
      </c>
      <c r="Q256" s="34">
        <v>0.0</v>
      </c>
      <c r="R256" s="34">
        <v>100.0</v>
      </c>
      <c r="S256" s="34">
        <v>0.0</v>
      </c>
      <c r="T256" s="34">
        <v>0.0</v>
      </c>
      <c r="U256" s="33">
        <f>COUNTIFS('Data For Calculation - Insuranc'!A:A,A256,'Data For Calculation - Insuranc'!E:E,"CPA + RSA + AHDC + DOC")</f>
        <v>0</v>
      </c>
      <c r="V256" s="34" t="s">
        <v>3820</v>
      </c>
      <c r="W256" s="34">
        <v>838.99</v>
      </c>
      <c r="X256" s="34" t="s">
        <v>3853</v>
      </c>
      <c r="Y256" s="34">
        <v>0.0</v>
      </c>
      <c r="Z256" s="34">
        <v>100.0</v>
      </c>
      <c r="AA256" s="34">
        <v>0.0</v>
      </c>
      <c r="AB256" s="34">
        <v>0.0</v>
      </c>
      <c r="AC256" s="33">
        <f>COUNTIFS('Data For Calculation - Insuranc'!A:A,A256,'Data For Calculation - Insuranc'!E:E,"CPA + RSA : 5 Years")</f>
        <v>0</v>
      </c>
      <c r="AD256" s="34" t="s">
        <v>3820</v>
      </c>
      <c r="AE256" s="34">
        <v>838.99</v>
      </c>
      <c r="AF256" s="34" t="s">
        <v>3853</v>
      </c>
      <c r="AG256" s="34">
        <v>0.0</v>
      </c>
      <c r="AH256" s="34">
        <v>100.0</v>
      </c>
      <c r="AI256" s="34">
        <v>0.0</v>
      </c>
      <c r="AJ256" s="34">
        <v>0.0</v>
      </c>
      <c r="AK256" s="33">
        <f>COUNTIFS('Data For Calculation - Insuranc'!A:A,A256,'Data For Calculation - Insuranc'!E:E,"Assistance + CPA : 5 Years")</f>
        <v>0</v>
      </c>
      <c r="AL256" s="34" t="s">
        <v>3820</v>
      </c>
      <c r="AM256" s="34">
        <v>290.0</v>
      </c>
      <c r="AN256" s="34" t="s">
        <v>3853</v>
      </c>
      <c r="AO256" s="34">
        <v>0.0</v>
      </c>
      <c r="AP256" s="34">
        <v>100.0</v>
      </c>
      <c r="AQ256" s="34">
        <v>0.0</v>
      </c>
      <c r="AR256" s="34">
        <v>0.0</v>
      </c>
      <c r="AS256" s="33">
        <f>COUNTIFS('Data For Calculation - Insuranc'!A:A,A256,'Data For Calculation - Insuranc'!E:E,"RSA + AHDC + DOC")</f>
        <v>0</v>
      </c>
      <c r="BR256" s="33">
        <f t="shared" si="1"/>
        <v>0</v>
      </c>
      <c r="BS256" s="33">
        <f>SUMIFS('Data For Calculation - Insuranc'!I:I,'Data For Calculation - Insuranc'!$A:$A,$A256)</f>
        <v>0</v>
      </c>
      <c r="BT256" s="33">
        <f>SUMIFS('Data For Calculation - Insuranc'!J:J,'Data For Calculation - Insuranc'!$A:$A,$A256)</f>
        <v>0</v>
      </c>
      <c r="BU256" s="33">
        <f>SUMIFS('Data For Calculation - Insuranc'!K:K,'Data For Calculation - Insuranc'!$A:$A,$A256)</f>
        <v>0</v>
      </c>
      <c r="BV256" s="33">
        <f>IF($CC256 = "Dealer", SUMIFS('Data For Calculation - Insuranc'!I:I,'Data For Calculation - Insuranc'!$B:$B,$A256,'Data For Calculation - Insuranc'!$H:$H,"Master Dealer")) + SUMIFS('Data For Calculation - Insuranc'!I:I,'Data For Calculation - Insuranc'!$A:$A,$A256,'Data For Calculation - Insuranc'!$H:$H,"Self")</f>
        <v>0</v>
      </c>
      <c r="BW256" s="33">
        <f>IF($CC256 = "Dealer", SUMIFS('Data For Calculation - Insuranc'!J:J,'Data For Calculation - Insuranc'!$B:$B,$A256,'Data For Calculation - Insuranc'!$H:$H,"Master Dealer")) + SUMIFS('Data For Calculation - Insuranc'!J:J,'Data For Calculation - Insuranc'!$A:$A,$A256,'Data For Calculation - Insuranc'!$H:$H,"Self")</f>
        <v>0</v>
      </c>
      <c r="BX256" s="33">
        <f>IF($CC256 = "Dealer", SUMIFS('Data For Calculation - Insuranc'!K:K,'Data For Calculation - Insuranc'!$B:$B,$A256,'Data For Calculation - Insuranc'!$H:$H,"Master Dealer")) + SUMIFS('Data For Calculation - Insuranc'!K:K,'Data For Calculation - Insuranc'!$A:$A,$A256,'Data For Calculation - Insuranc'!$H:$H,"Self")</f>
        <v>0</v>
      </c>
      <c r="BY256" s="26" t="str">
        <f>(Sheet1!N256)</f>
        <v>Chandra Automobiles - Faizabad</v>
      </c>
      <c r="BZ256" s="26" t="str">
        <f>(Sheet1!O256)</f>
        <v>1TMTMDBTSLXzi0POas5HDprui-sp3TCVvRYWE8buap-0</v>
      </c>
      <c r="CA256" s="25" t="str">
        <f>(Sheet1!AV256)</f>
        <v/>
      </c>
      <c r="CB256" s="25" t="str">
        <f>(Sheet1!AW256)</f>
        <v/>
      </c>
      <c r="CC256" s="26" t="str">
        <f>(Sheet1!P256)</f>
        <v>Sub Dealer</v>
      </c>
    </row>
    <row r="257">
      <c r="A257" s="26" t="str">
        <f>(Sheet1!A257)</f>
        <v>1tYhmR4lNj1YHeqiigs35s15UxKEVLcMXrnIYSlOkRQk</v>
      </c>
      <c r="B257" s="26" t="str">
        <f>(Sheet1!B257)</f>
        <v>SANDEEP HERO (VA) - INAYAT NAGAR</v>
      </c>
      <c r="C257" s="30" t="str">
        <f>Sheet1!BB257</f>
        <v>No</v>
      </c>
      <c r="D257" s="34" t="s">
        <v>13</v>
      </c>
      <c r="E257" s="34" t="s">
        <v>13</v>
      </c>
      <c r="F257" s="34" t="s">
        <v>3820</v>
      </c>
      <c r="G257" s="34">
        <v>290.0</v>
      </c>
      <c r="H257" s="34" t="s">
        <v>3853</v>
      </c>
      <c r="I257" s="34">
        <v>0.0</v>
      </c>
      <c r="J257" s="34">
        <v>100.0</v>
      </c>
      <c r="K257" s="34">
        <v>0.0</v>
      </c>
      <c r="L257" s="34">
        <v>0.0</v>
      </c>
      <c r="M257" s="33">
        <f>COUNTIFS('Data For Calculation - Insuranc'!A:A,A257,'Data For Calculation - Insuranc'!E:E,"CPA + RSA")</f>
        <v>0</v>
      </c>
      <c r="N257" s="34" t="s">
        <v>3820</v>
      </c>
      <c r="O257" s="34">
        <v>375.0</v>
      </c>
      <c r="P257" s="34" t="s">
        <v>3853</v>
      </c>
      <c r="Q257" s="34">
        <v>0.0</v>
      </c>
      <c r="R257" s="34">
        <v>100.0</v>
      </c>
      <c r="S257" s="34">
        <v>0.0</v>
      </c>
      <c r="T257" s="34">
        <v>0.0</v>
      </c>
      <c r="U257" s="33">
        <f>COUNTIFS('Data For Calculation - Insuranc'!A:A,A257,'Data For Calculation - Insuranc'!E:E,"CPA + RSA + AHDC + DOC")</f>
        <v>0</v>
      </c>
      <c r="V257" s="34" t="s">
        <v>3820</v>
      </c>
      <c r="W257" s="34">
        <v>838.99</v>
      </c>
      <c r="X257" s="34" t="s">
        <v>3853</v>
      </c>
      <c r="Y257" s="34">
        <v>0.0</v>
      </c>
      <c r="Z257" s="34">
        <v>100.0</v>
      </c>
      <c r="AA257" s="34">
        <v>0.0</v>
      </c>
      <c r="AB257" s="34">
        <v>0.0</v>
      </c>
      <c r="AC257" s="33">
        <f>COUNTIFS('Data For Calculation - Insuranc'!A:A,A257,'Data For Calculation - Insuranc'!E:E,"CPA + RSA : 5 Years")</f>
        <v>0</v>
      </c>
      <c r="AD257" s="34" t="s">
        <v>3820</v>
      </c>
      <c r="AE257" s="34">
        <v>838.99</v>
      </c>
      <c r="AF257" s="34" t="s">
        <v>3853</v>
      </c>
      <c r="AG257" s="34">
        <v>0.0</v>
      </c>
      <c r="AH257" s="34">
        <v>100.0</v>
      </c>
      <c r="AI257" s="34">
        <v>0.0</v>
      </c>
      <c r="AJ257" s="34">
        <v>0.0</v>
      </c>
      <c r="AK257" s="33">
        <f>COUNTIFS('Data For Calculation - Insuranc'!A:A,A257,'Data For Calculation - Insuranc'!E:E,"Assistance + CPA : 5 Years")</f>
        <v>0</v>
      </c>
      <c r="AL257" s="34" t="s">
        <v>3820</v>
      </c>
      <c r="AM257" s="34">
        <v>290.0</v>
      </c>
      <c r="AN257" s="34" t="s">
        <v>3853</v>
      </c>
      <c r="AO257" s="34">
        <v>0.0</v>
      </c>
      <c r="AP257" s="34">
        <v>100.0</v>
      </c>
      <c r="AQ257" s="34">
        <v>0.0</v>
      </c>
      <c r="AR257" s="34">
        <v>0.0</v>
      </c>
      <c r="AS257" s="33">
        <f>COUNTIFS('Data For Calculation - Insuranc'!A:A,A257,'Data For Calculation - Insuranc'!E:E,"RSA + AHDC + DOC")</f>
        <v>0</v>
      </c>
      <c r="BR257" s="33">
        <f t="shared" si="1"/>
        <v>0</v>
      </c>
      <c r="BS257" s="33">
        <f>SUMIFS('Data For Calculation - Insuranc'!I:I,'Data For Calculation - Insuranc'!$A:$A,$A257)</f>
        <v>0</v>
      </c>
      <c r="BT257" s="33">
        <f>SUMIFS('Data For Calculation - Insuranc'!J:J,'Data For Calculation - Insuranc'!$A:$A,$A257)</f>
        <v>0</v>
      </c>
      <c r="BU257" s="33">
        <f>SUMIFS('Data For Calculation - Insuranc'!K:K,'Data For Calculation - Insuranc'!$A:$A,$A257)</f>
        <v>0</v>
      </c>
      <c r="BV257" s="33">
        <f>IF($CC257 = "Dealer", SUMIFS('Data For Calculation - Insuranc'!I:I,'Data For Calculation - Insuranc'!$B:$B,$A257,'Data For Calculation - Insuranc'!$H:$H,"Master Dealer")) + SUMIFS('Data For Calculation - Insuranc'!I:I,'Data For Calculation - Insuranc'!$A:$A,$A257,'Data For Calculation - Insuranc'!$H:$H,"Self")</f>
        <v>0</v>
      </c>
      <c r="BW257" s="33">
        <f>IF($CC257 = "Dealer", SUMIFS('Data For Calculation - Insuranc'!J:J,'Data For Calculation - Insuranc'!$B:$B,$A257,'Data For Calculation - Insuranc'!$H:$H,"Master Dealer")) + SUMIFS('Data For Calculation - Insuranc'!J:J,'Data For Calculation - Insuranc'!$A:$A,$A257,'Data For Calculation - Insuranc'!$H:$H,"Self")</f>
        <v>0</v>
      </c>
      <c r="BX257" s="33">
        <f>IF($CC257 = "Dealer", SUMIFS('Data For Calculation - Insuranc'!K:K,'Data For Calculation - Insuranc'!$B:$B,$A257,'Data For Calculation - Insuranc'!$H:$H,"Master Dealer")) + SUMIFS('Data For Calculation - Insuranc'!K:K,'Data For Calculation - Insuranc'!$A:$A,$A257,'Data For Calculation - Insuranc'!$H:$H,"Self")</f>
        <v>0</v>
      </c>
      <c r="BY257" s="26" t="str">
        <f>(Sheet1!N257)</f>
        <v>Vanshadi Motors - Faizabad</v>
      </c>
      <c r="BZ257" s="26" t="str">
        <f>(Sheet1!O257)</f>
        <v>1S2YNz2hsIyDIwT68EF1VR8O-D7oanl9HQJpcApwJPG4</v>
      </c>
      <c r="CA257" s="25" t="str">
        <f>(Sheet1!AV257)</f>
        <v/>
      </c>
      <c r="CB257" s="25" t="str">
        <f>(Sheet1!AW257)</f>
        <v/>
      </c>
      <c r="CC257" s="26" t="str">
        <f>(Sheet1!P257)</f>
        <v>Sub Dealer</v>
      </c>
    </row>
    <row r="258">
      <c r="A258" s="26" t="str">
        <f>(Sheet1!A258)</f>
        <v>1oG8KJLWAlMywHu47lg3UpNHq7GaTnmFRLHM1WnMwroU</v>
      </c>
      <c r="B258" s="26" t="str">
        <f>(Sheet1!B258)</f>
        <v>RAHUL AUTOSALES (VA) - LALUWA PUR</v>
      </c>
      <c r="C258" s="30" t="str">
        <f>Sheet1!BB258</f>
        <v>No</v>
      </c>
      <c r="D258" s="34" t="s">
        <v>13</v>
      </c>
      <c r="E258" s="34" t="s">
        <v>13</v>
      </c>
      <c r="F258" s="34" t="s">
        <v>3820</v>
      </c>
      <c r="G258" s="34">
        <v>290.0</v>
      </c>
      <c r="H258" s="34" t="s">
        <v>3853</v>
      </c>
      <c r="I258" s="34">
        <v>0.0</v>
      </c>
      <c r="J258" s="34">
        <v>100.0</v>
      </c>
      <c r="K258" s="34">
        <v>0.0</v>
      </c>
      <c r="L258" s="34">
        <v>0.0</v>
      </c>
      <c r="M258" s="33">
        <f>COUNTIFS('Data For Calculation - Insuranc'!A:A,A258,'Data For Calculation - Insuranc'!E:E,"CPA + RSA")</f>
        <v>0</v>
      </c>
      <c r="N258" s="34" t="s">
        <v>3820</v>
      </c>
      <c r="O258" s="34">
        <v>375.0</v>
      </c>
      <c r="P258" s="34" t="s">
        <v>3853</v>
      </c>
      <c r="Q258" s="34">
        <v>0.0</v>
      </c>
      <c r="R258" s="34">
        <v>100.0</v>
      </c>
      <c r="S258" s="34">
        <v>0.0</v>
      </c>
      <c r="T258" s="34">
        <v>0.0</v>
      </c>
      <c r="U258" s="33">
        <f>COUNTIFS('Data For Calculation - Insuranc'!A:A,A258,'Data For Calculation - Insuranc'!E:E,"CPA + RSA + AHDC + DOC")</f>
        <v>0</v>
      </c>
      <c r="V258" s="34" t="s">
        <v>3820</v>
      </c>
      <c r="W258" s="34">
        <v>838.99</v>
      </c>
      <c r="X258" s="34" t="s">
        <v>3853</v>
      </c>
      <c r="Y258" s="34">
        <v>0.0</v>
      </c>
      <c r="Z258" s="34">
        <v>100.0</v>
      </c>
      <c r="AA258" s="34">
        <v>0.0</v>
      </c>
      <c r="AB258" s="34">
        <v>0.0</v>
      </c>
      <c r="AC258" s="33">
        <f>COUNTIFS('Data For Calculation - Insuranc'!A:A,A258,'Data For Calculation - Insuranc'!E:E,"CPA + RSA : 5 Years")</f>
        <v>0</v>
      </c>
      <c r="AD258" s="34" t="s">
        <v>3820</v>
      </c>
      <c r="AE258" s="34">
        <v>838.99</v>
      </c>
      <c r="AF258" s="34" t="s">
        <v>3853</v>
      </c>
      <c r="AG258" s="34">
        <v>0.0</v>
      </c>
      <c r="AH258" s="34">
        <v>100.0</v>
      </c>
      <c r="AI258" s="34">
        <v>0.0</v>
      </c>
      <c r="AJ258" s="34">
        <v>0.0</v>
      </c>
      <c r="AK258" s="33">
        <f>COUNTIFS('Data For Calculation - Insuranc'!A:A,A258,'Data For Calculation - Insuranc'!E:E,"Assistance + CPA : 5 Years")</f>
        <v>0</v>
      </c>
      <c r="AL258" s="34" t="s">
        <v>3820</v>
      </c>
      <c r="AM258" s="34">
        <v>290.0</v>
      </c>
      <c r="AN258" s="34" t="s">
        <v>3853</v>
      </c>
      <c r="AO258" s="34">
        <v>0.0</v>
      </c>
      <c r="AP258" s="34">
        <v>100.0</v>
      </c>
      <c r="AQ258" s="34">
        <v>0.0</v>
      </c>
      <c r="AR258" s="34">
        <v>0.0</v>
      </c>
      <c r="AS258" s="33">
        <f>COUNTIFS('Data For Calculation - Insuranc'!A:A,A258,'Data For Calculation - Insuranc'!E:E,"RSA + AHDC + DOC")</f>
        <v>0</v>
      </c>
      <c r="BR258" s="33">
        <f t="shared" si="1"/>
        <v>0</v>
      </c>
      <c r="BS258" s="33">
        <f>SUMIFS('Data For Calculation - Insuranc'!I:I,'Data For Calculation - Insuranc'!$A:$A,$A258)</f>
        <v>0</v>
      </c>
      <c r="BT258" s="33">
        <f>SUMIFS('Data For Calculation - Insuranc'!J:J,'Data For Calculation - Insuranc'!$A:$A,$A258)</f>
        <v>0</v>
      </c>
      <c r="BU258" s="33">
        <f>SUMIFS('Data For Calculation - Insuranc'!K:K,'Data For Calculation - Insuranc'!$A:$A,$A258)</f>
        <v>0</v>
      </c>
      <c r="BV258" s="33">
        <f>IF($CC258 = "Dealer", SUMIFS('Data For Calculation - Insuranc'!I:I,'Data For Calculation - Insuranc'!$B:$B,$A258,'Data For Calculation - Insuranc'!$H:$H,"Master Dealer")) + SUMIFS('Data For Calculation - Insuranc'!I:I,'Data For Calculation - Insuranc'!$A:$A,$A258,'Data For Calculation - Insuranc'!$H:$H,"Self")</f>
        <v>0</v>
      </c>
      <c r="BW258" s="33">
        <f>IF($CC258 = "Dealer", SUMIFS('Data For Calculation - Insuranc'!J:J,'Data For Calculation - Insuranc'!$B:$B,$A258,'Data For Calculation - Insuranc'!$H:$H,"Master Dealer")) + SUMIFS('Data For Calculation - Insuranc'!J:J,'Data For Calculation - Insuranc'!$A:$A,$A258,'Data For Calculation - Insuranc'!$H:$H,"Self")</f>
        <v>0</v>
      </c>
      <c r="BX258" s="33">
        <f>IF($CC258 = "Dealer", SUMIFS('Data For Calculation - Insuranc'!K:K,'Data For Calculation - Insuranc'!$B:$B,$A258,'Data For Calculation - Insuranc'!$H:$H,"Master Dealer")) + SUMIFS('Data For Calculation - Insuranc'!K:K,'Data For Calculation - Insuranc'!$A:$A,$A258,'Data For Calculation - Insuranc'!$H:$H,"Self")</f>
        <v>0</v>
      </c>
      <c r="BY258" s="26" t="str">
        <f>(Sheet1!N258)</f>
        <v>Vanshadi Motors - Faizabad</v>
      </c>
      <c r="BZ258" s="26" t="str">
        <f>(Sheet1!O258)</f>
        <v>1S2YNz2hsIyDIwT68EF1VR8O-D7oanl9HQJpcApwJPG4</v>
      </c>
      <c r="CA258" s="25" t="str">
        <f>(Sheet1!AV258)</f>
        <v/>
      </c>
      <c r="CB258" s="25" t="str">
        <f>(Sheet1!AW258)</f>
        <v/>
      </c>
      <c r="CC258" s="26" t="str">
        <f>(Sheet1!P258)</f>
        <v>Sub Dealer</v>
      </c>
    </row>
    <row r="259">
      <c r="A259" s="26" t="str">
        <f>(Sheet1!A259)</f>
        <v>18YeFXhbwOry3OVJYZRIqhn6Omyqh0U-ahQsWUD0TmFQ</v>
      </c>
      <c r="B259" s="26" t="str">
        <f>(Sheet1!B259)</f>
        <v>SILVER WHEELS - KANPUR</v>
      </c>
      <c r="C259" s="30" t="str">
        <f>Sheet1!BB259</f>
        <v>No</v>
      </c>
      <c r="D259" s="34" t="s">
        <v>13</v>
      </c>
      <c r="E259" s="34" t="s">
        <v>13</v>
      </c>
      <c r="F259" s="34" t="s">
        <v>3817</v>
      </c>
      <c r="G259" s="34">
        <v>290.0</v>
      </c>
      <c r="H259" s="34" t="s">
        <v>3853</v>
      </c>
      <c r="I259" s="34">
        <v>0.0</v>
      </c>
      <c r="J259" s="34">
        <v>100.0</v>
      </c>
      <c r="K259" s="34">
        <v>0.0</v>
      </c>
      <c r="L259" s="34">
        <v>0.0</v>
      </c>
      <c r="M259" s="33">
        <f>COUNTIFS('Data For Calculation - Insuranc'!A:A,A259,'Data For Calculation - Insuranc'!E:E,"CPA + RSA")</f>
        <v>0</v>
      </c>
      <c r="N259" s="34" t="s">
        <v>3817</v>
      </c>
      <c r="O259" s="34">
        <v>460.0</v>
      </c>
      <c r="P259" s="34" t="s">
        <v>3853</v>
      </c>
      <c r="Q259" s="34">
        <v>0.0</v>
      </c>
      <c r="R259" s="34">
        <v>100.0</v>
      </c>
      <c r="S259" s="34">
        <v>0.0</v>
      </c>
      <c r="T259" s="34">
        <v>0.0</v>
      </c>
      <c r="U259" s="33">
        <f>COUNTIFS('Data For Calculation - Insuranc'!A:A,A259,'Data For Calculation - Insuranc'!E:E,"CPA + RSA + AHDC + DOC")</f>
        <v>0</v>
      </c>
      <c r="V259" s="34" t="s">
        <v>3817</v>
      </c>
      <c r="W259" s="34">
        <v>838.99</v>
      </c>
      <c r="X259" s="34" t="s">
        <v>3853</v>
      </c>
      <c r="Y259" s="34">
        <v>0.0</v>
      </c>
      <c r="Z259" s="34">
        <v>100.0</v>
      </c>
      <c r="AA259" s="34">
        <v>0.0</v>
      </c>
      <c r="AB259" s="34">
        <v>0.0</v>
      </c>
      <c r="AC259" s="33">
        <f>COUNTIFS('Data For Calculation - Insuranc'!A:A,A259,'Data For Calculation - Insuranc'!E:E,"CPA + RSA : 5 Years")</f>
        <v>0</v>
      </c>
      <c r="AD259" s="34" t="s">
        <v>3817</v>
      </c>
      <c r="AE259" s="34">
        <v>838.99</v>
      </c>
      <c r="AF259" s="34" t="s">
        <v>3853</v>
      </c>
      <c r="AG259" s="34">
        <v>0.0</v>
      </c>
      <c r="AH259" s="34">
        <v>100.0</v>
      </c>
      <c r="AI259" s="34">
        <v>0.0</v>
      </c>
      <c r="AJ259" s="34">
        <v>0.0</v>
      </c>
      <c r="AK259" s="33">
        <f>COUNTIFS('Data For Calculation - Insuranc'!A:A,A259,'Data For Calculation - Insuranc'!E:E,"Assistance + CPA : 5 Years")</f>
        <v>0</v>
      </c>
      <c r="AL259" s="34" t="s">
        <v>3817</v>
      </c>
      <c r="AM259" s="34">
        <v>290.0</v>
      </c>
      <c r="AN259" s="34" t="s">
        <v>3853</v>
      </c>
      <c r="AO259" s="34">
        <v>0.0</v>
      </c>
      <c r="AP259" s="34">
        <v>100.0</v>
      </c>
      <c r="AQ259" s="34">
        <v>0.0</v>
      </c>
      <c r="AR259" s="34">
        <v>0.0</v>
      </c>
      <c r="AS259" s="33">
        <f>COUNTIFS('Data For Calculation - Insuranc'!A:A,A259,'Data For Calculation - Insuranc'!E:E,"RSA + AHDC + DOC")</f>
        <v>0</v>
      </c>
      <c r="BR259" s="33">
        <f t="shared" si="1"/>
        <v>0</v>
      </c>
      <c r="BS259" s="33">
        <f>SUMIFS('Data For Calculation - Insuranc'!I:I,'Data For Calculation - Insuranc'!$A:$A,$A259)</f>
        <v>0</v>
      </c>
      <c r="BT259" s="33">
        <f>SUMIFS('Data For Calculation - Insuranc'!J:J,'Data For Calculation - Insuranc'!$A:$A,$A259)</f>
        <v>0</v>
      </c>
      <c r="BU259" s="33">
        <f>SUMIFS('Data For Calculation - Insuranc'!K:K,'Data For Calculation - Insuranc'!$A:$A,$A259)</f>
        <v>0</v>
      </c>
      <c r="BV259" s="33">
        <f>IF($CC259 = "Dealer", SUMIFS('Data For Calculation - Insuranc'!I:I,'Data For Calculation - Insuranc'!$B:$B,$A259,'Data For Calculation - Insuranc'!$H:$H,"Master Dealer")) + SUMIFS('Data For Calculation - Insuranc'!I:I,'Data For Calculation - Insuranc'!$A:$A,$A259,'Data For Calculation - Insuranc'!$H:$H,"Self")</f>
        <v>0</v>
      </c>
      <c r="BW259" s="33">
        <f>IF($CC259 = "Dealer", SUMIFS('Data For Calculation - Insuranc'!J:J,'Data For Calculation - Insuranc'!$B:$B,$A259,'Data For Calculation - Insuranc'!$H:$H,"Master Dealer")) + SUMIFS('Data For Calculation - Insuranc'!J:J,'Data For Calculation - Insuranc'!$A:$A,$A259,'Data For Calculation - Insuranc'!$H:$H,"Self")</f>
        <v>0</v>
      </c>
      <c r="BX259" s="33">
        <f>IF($CC259 = "Dealer", SUMIFS('Data For Calculation - Insuranc'!K:K,'Data For Calculation - Insuranc'!$B:$B,$A259,'Data For Calculation - Insuranc'!$H:$H,"Master Dealer")) + SUMIFS('Data For Calculation - Insuranc'!K:K,'Data For Calculation - Insuranc'!$A:$A,$A259,'Data For Calculation - Insuranc'!$H:$H,"Self")</f>
        <v>0</v>
      </c>
      <c r="BY259" s="26" t="str">
        <f>(Sheet1!N259)</f>
        <v>SILVER WHEELS - KANPUR</v>
      </c>
      <c r="BZ259" s="26" t="str">
        <f>(Sheet1!O259)</f>
        <v>18YeFXhbwOry3OVJYZRIqhn6Omyqh0U-ahQsWUD0TmFQ</v>
      </c>
      <c r="CA259" s="25" t="str">
        <f>(Sheet1!AV259)</f>
        <v/>
      </c>
      <c r="CB259" s="25" t="str">
        <f>(Sheet1!AW259)</f>
        <v/>
      </c>
      <c r="CC259" s="26" t="str">
        <f>(Sheet1!P259)</f>
        <v>Dealer</v>
      </c>
    </row>
    <row r="260">
      <c r="A260" s="26" t="str">
        <f>(Sheet1!A260)</f>
        <v>1i7nD8aYC6tcitvs73AUebjtv4kfapAZjbotnlncyi9w</v>
      </c>
      <c r="B260" s="26" t="str">
        <f>(Sheet1!B260)</f>
        <v>SARASWATI MOTORS - PRAYAGRAJ</v>
      </c>
      <c r="C260" s="30" t="str">
        <f>Sheet1!BB260</f>
        <v>No</v>
      </c>
      <c r="D260" s="34" t="s">
        <v>13</v>
      </c>
      <c r="E260" s="34" t="s">
        <v>13</v>
      </c>
      <c r="F260" s="34" t="s">
        <v>3820</v>
      </c>
      <c r="G260" s="34">
        <v>290.0</v>
      </c>
      <c r="H260" s="34" t="s">
        <v>3853</v>
      </c>
      <c r="I260" s="34">
        <v>0.0</v>
      </c>
      <c r="J260" s="34">
        <v>100.0</v>
      </c>
      <c r="K260" s="34">
        <v>0.0</v>
      </c>
      <c r="L260" s="34">
        <v>0.0</v>
      </c>
      <c r="M260" s="33">
        <f>COUNTIFS('Data For Calculation - Insuranc'!A:A,A260,'Data For Calculation - Insuranc'!E:E,"CPA + RSA")</f>
        <v>0</v>
      </c>
      <c r="N260" s="34" t="s">
        <v>3820</v>
      </c>
      <c r="O260" s="34">
        <v>460.0</v>
      </c>
      <c r="P260" s="34" t="s">
        <v>3853</v>
      </c>
      <c r="Q260" s="34">
        <v>0.0</v>
      </c>
      <c r="R260" s="34">
        <v>100.0</v>
      </c>
      <c r="S260" s="34">
        <v>0.0</v>
      </c>
      <c r="T260" s="34">
        <v>0.0</v>
      </c>
      <c r="U260" s="33">
        <f>COUNTIFS('Data For Calculation - Insuranc'!A:A,A260,'Data For Calculation - Insuranc'!E:E,"CPA + RSA + AHDC + DOC")</f>
        <v>0</v>
      </c>
      <c r="V260" s="34" t="s">
        <v>3820</v>
      </c>
      <c r="W260" s="34">
        <v>838.99</v>
      </c>
      <c r="X260" s="34" t="s">
        <v>3853</v>
      </c>
      <c r="Y260" s="34">
        <v>0.0</v>
      </c>
      <c r="Z260" s="34">
        <v>100.0</v>
      </c>
      <c r="AA260" s="34">
        <v>0.0</v>
      </c>
      <c r="AB260" s="34">
        <v>0.0</v>
      </c>
      <c r="AC260" s="33">
        <f>COUNTIFS('Data For Calculation - Insuranc'!A:A,A260,'Data For Calculation - Insuranc'!E:E,"CPA + RSA : 5 Years")</f>
        <v>0</v>
      </c>
      <c r="AD260" s="34" t="s">
        <v>3820</v>
      </c>
      <c r="AE260" s="34">
        <v>838.99</v>
      </c>
      <c r="AF260" s="34" t="s">
        <v>3853</v>
      </c>
      <c r="AG260" s="34">
        <v>0.0</v>
      </c>
      <c r="AH260" s="34">
        <v>100.0</v>
      </c>
      <c r="AI260" s="34">
        <v>0.0</v>
      </c>
      <c r="AJ260" s="34">
        <v>0.0</v>
      </c>
      <c r="AK260" s="33">
        <f>COUNTIFS('Data For Calculation - Insuranc'!A:A,A260,'Data For Calculation - Insuranc'!E:E,"Assistance + CPA : 5 Years")</f>
        <v>0</v>
      </c>
      <c r="AL260" s="34" t="s">
        <v>3820</v>
      </c>
      <c r="AM260" s="34">
        <v>290.0</v>
      </c>
      <c r="AN260" s="34" t="s">
        <v>3853</v>
      </c>
      <c r="AO260" s="34">
        <v>0.0</v>
      </c>
      <c r="AP260" s="34">
        <v>100.0</v>
      </c>
      <c r="AQ260" s="34">
        <v>0.0</v>
      </c>
      <c r="AR260" s="34">
        <v>0.0</v>
      </c>
      <c r="AS260" s="33">
        <f>COUNTIFS('Data For Calculation - Insuranc'!A:A,A260,'Data For Calculation - Insuranc'!E:E,"RSA + AHDC + DOC")</f>
        <v>0</v>
      </c>
      <c r="BR260" s="33">
        <f t="shared" si="1"/>
        <v>0</v>
      </c>
      <c r="BS260" s="33">
        <f>SUMIFS('Data For Calculation - Insuranc'!I:I,'Data For Calculation - Insuranc'!$A:$A,$A260)</f>
        <v>0</v>
      </c>
      <c r="BT260" s="33">
        <f>SUMIFS('Data For Calculation - Insuranc'!J:J,'Data For Calculation - Insuranc'!$A:$A,$A260)</f>
        <v>0</v>
      </c>
      <c r="BU260" s="33">
        <f>SUMIFS('Data For Calculation - Insuranc'!K:K,'Data For Calculation - Insuranc'!$A:$A,$A260)</f>
        <v>0</v>
      </c>
      <c r="BV260" s="33">
        <f>IF($CC260 = "Dealer", SUMIFS('Data For Calculation - Insuranc'!I:I,'Data For Calculation - Insuranc'!$B:$B,$A260,'Data For Calculation - Insuranc'!$H:$H,"Master Dealer")) + SUMIFS('Data For Calculation - Insuranc'!I:I,'Data For Calculation - Insuranc'!$A:$A,$A260,'Data For Calculation - Insuranc'!$H:$H,"Self")</f>
        <v>0</v>
      </c>
      <c r="BW260" s="33">
        <f>IF($CC260 = "Dealer", SUMIFS('Data For Calculation - Insuranc'!J:J,'Data For Calculation - Insuranc'!$B:$B,$A260,'Data For Calculation - Insuranc'!$H:$H,"Master Dealer")) + SUMIFS('Data For Calculation - Insuranc'!J:J,'Data For Calculation - Insuranc'!$A:$A,$A260,'Data For Calculation - Insuranc'!$H:$H,"Self")</f>
        <v>0</v>
      </c>
      <c r="BX260" s="33">
        <f>IF($CC260 = "Dealer", SUMIFS('Data For Calculation - Insuranc'!K:K,'Data For Calculation - Insuranc'!$B:$B,$A260,'Data For Calculation - Insuranc'!$H:$H,"Master Dealer")) + SUMIFS('Data For Calculation - Insuranc'!K:K,'Data For Calculation - Insuranc'!$A:$A,$A260,'Data For Calculation - Insuranc'!$H:$H,"Self")</f>
        <v>0</v>
      </c>
      <c r="BY260" s="26" t="str">
        <f>(Sheet1!N260)</f>
        <v>SARASWATI MOTORS - PRAYAGRAJ</v>
      </c>
      <c r="BZ260" s="26" t="str">
        <f>(Sheet1!O260)</f>
        <v>1i7nD8aYC6tcitvs73AUebjtv4kfapAZjbotnlncyi9w</v>
      </c>
      <c r="CA260" s="25" t="str">
        <f>(Sheet1!AV260)</f>
        <v/>
      </c>
      <c r="CB260" s="25" t="str">
        <f>(Sheet1!AW260)</f>
        <v/>
      </c>
      <c r="CC260" s="26" t="str">
        <f>(Sheet1!P260)</f>
        <v>Dealer</v>
      </c>
    </row>
    <row r="261">
      <c r="A261" s="26" t="str">
        <f>(Sheet1!A261)</f>
        <v>1yvgpH1Hw8bnf4lrnmBAiOKNDWfY-irs2VtrGdI62N3w</v>
      </c>
      <c r="B261" s="26" t="str">
        <f>(Sheet1!B261)</f>
        <v>Mongold World Hero(VAW) - Khair</v>
      </c>
      <c r="C261" s="30" t="str">
        <f>Sheet1!BB261</f>
        <v>No</v>
      </c>
      <c r="D261" s="34" t="s">
        <v>13</v>
      </c>
      <c r="E261" s="34" t="s">
        <v>13</v>
      </c>
      <c r="F261" s="34" t="s">
        <v>3820</v>
      </c>
      <c r="G261" s="34">
        <v>290.0</v>
      </c>
      <c r="H261" s="34" t="s">
        <v>3853</v>
      </c>
      <c r="I261" s="34">
        <v>0.0</v>
      </c>
      <c r="J261" s="34">
        <v>100.0</v>
      </c>
      <c r="K261" s="34">
        <v>0.0</v>
      </c>
      <c r="L261" s="34">
        <v>0.0</v>
      </c>
      <c r="M261" s="33">
        <f>COUNTIFS('Data For Calculation - Insuranc'!A:A,A261,'Data For Calculation - Insuranc'!E:E,"CPA + RSA")</f>
        <v>0</v>
      </c>
      <c r="N261" s="34" t="s">
        <v>3820</v>
      </c>
      <c r="O261" s="34">
        <v>460.0</v>
      </c>
      <c r="P261" s="34" t="s">
        <v>3853</v>
      </c>
      <c r="Q261" s="34">
        <v>0.0</v>
      </c>
      <c r="R261" s="34">
        <v>100.0</v>
      </c>
      <c r="S261" s="34">
        <v>0.0</v>
      </c>
      <c r="T261" s="34">
        <v>0.0</v>
      </c>
      <c r="U261" s="33">
        <f>COUNTIFS('Data For Calculation - Insuranc'!A:A,A261,'Data For Calculation - Insuranc'!E:E,"CPA + RSA + AHDC + DOC")</f>
        <v>0</v>
      </c>
      <c r="V261" s="34" t="s">
        <v>3820</v>
      </c>
      <c r="W261" s="34">
        <v>838.99</v>
      </c>
      <c r="X261" s="34" t="s">
        <v>3853</v>
      </c>
      <c r="Y261" s="34">
        <v>0.0</v>
      </c>
      <c r="Z261" s="34">
        <v>100.0</v>
      </c>
      <c r="AA261" s="34">
        <v>0.0</v>
      </c>
      <c r="AB261" s="34">
        <v>0.0</v>
      </c>
      <c r="AC261" s="33">
        <f>COUNTIFS('Data For Calculation - Insuranc'!A:A,A261,'Data For Calculation - Insuranc'!E:E,"CPA + RSA : 5 Years")</f>
        <v>0</v>
      </c>
      <c r="AD261" s="34" t="s">
        <v>3820</v>
      </c>
      <c r="AE261" s="34">
        <v>838.99</v>
      </c>
      <c r="AF261" s="34" t="s">
        <v>3853</v>
      </c>
      <c r="AG261" s="34">
        <v>0.0</v>
      </c>
      <c r="AH261" s="34">
        <v>100.0</v>
      </c>
      <c r="AI261" s="34">
        <v>0.0</v>
      </c>
      <c r="AJ261" s="34">
        <v>0.0</v>
      </c>
      <c r="AK261" s="33">
        <f>COUNTIFS('Data For Calculation - Insuranc'!A:A,A261,'Data For Calculation - Insuranc'!E:E,"Assistance + CPA : 5 Years")</f>
        <v>0</v>
      </c>
      <c r="AL261" s="34" t="s">
        <v>3820</v>
      </c>
      <c r="AM261" s="34">
        <v>290.0</v>
      </c>
      <c r="AN261" s="34" t="s">
        <v>3853</v>
      </c>
      <c r="AO261" s="34">
        <v>0.0</v>
      </c>
      <c r="AP261" s="34">
        <v>100.0</v>
      </c>
      <c r="AQ261" s="34">
        <v>0.0</v>
      </c>
      <c r="AR261" s="34">
        <v>0.0</v>
      </c>
      <c r="AS261" s="33">
        <f>COUNTIFS('Data For Calculation - Insuranc'!A:A,A261,'Data For Calculation - Insuranc'!E:E,"RSA + AHDC + DOC")</f>
        <v>0</v>
      </c>
      <c r="BR261" s="33">
        <f t="shared" si="1"/>
        <v>0</v>
      </c>
      <c r="BS261" s="33">
        <f>SUMIFS('Data For Calculation - Insuranc'!I:I,'Data For Calculation - Insuranc'!$A:$A,$A261)</f>
        <v>0</v>
      </c>
      <c r="BT261" s="33">
        <f>SUMIFS('Data For Calculation - Insuranc'!J:J,'Data For Calculation - Insuranc'!$A:$A,$A261)</f>
        <v>0</v>
      </c>
      <c r="BU261" s="33">
        <f>SUMIFS('Data For Calculation - Insuranc'!K:K,'Data For Calculation - Insuranc'!$A:$A,$A261)</f>
        <v>0</v>
      </c>
      <c r="BV261" s="33">
        <f>IF($CC261 = "Dealer", SUMIFS('Data For Calculation - Insuranc'!I:I,'Data For Calculation - Insuranc'!$B:$B,$A261,'Data For Calculation - Insuranc'!$H:$H,"Master Dealer")) + SUMIFS('Data For Calculation - Insuranc'!I:I,'Data For Calculation - Insuranc'!$A:$A,$A261,'Data For Calculation - Insuranc'!$H:$H,"Self")</f>
        <v>0</v>
      </c>
      <c r="BW261" s="33">
        <f>IF($CC261 = "Dealer", SUMIFS('Data For Calculation - Insuranc'!J:J,'Data For Calculation - Insuranc'!$B:$B,$A261,'Data For Calculation - Insuranc'!$H:$H,"Master Dealer")) + SUMIFS('Data For Calculation - Insuranc'!J:J,'Data For Calculation - Insuranc'!$A:$A,$A261,'Data For Calculation - Insuranc'!$H:$H,"Self")</f>
        <v>0</v>
      </c>
      <c r="BX261" s="33">
        <f>IF($CC261 = "Dealer", SUMIFS('Data For Calculation - Insuranc'!K:K,'Data For Calculation - Insuranc'!$B:$B,$A261,'Data For Calculation - Insuranc'!$H:$H,"Master Dealer")) + SUMIFS('Data For Calculation - Insuranc'!K:K,'Data For Calculation - Insuranc'!$A:$A,$A261,'Data For Calculation - Insuranc'!$H:$H,"Self")</f>
        <v>0</v>
      </c>
      <c r="BY261" s="26" t="str">
        <f>(Sheet1!N261)</f>
        <v>Vikas Autowheels</v>
      </c>
      <c r="BZ261" s="26" t="str">
        <f>(Sheet1!O261)</f>
        <v>1944RLX7T1M23YXRXYoMnJ6nD_bKLldQXRpFRA0rDLvg</v>
      </c>
      <c r="CA261" s="25" t="str">
        <f>(Sheet1!AV261)</f>
        <v/>
      </c>
      <c r="CB261" s="25" t="str">
        <f>(Sheet1!AW261)</f>
        <v/>
      </c>
      <c r="CC261" s="26" t="str">
        <f>(Sheet1!P261)</f>
        <v>Sub Dealer</v>
      </c>
    </row>
    <row r="262">
      <c r="A262" s="26" t="str">
        <f>(Sheet1!A262)</f>
        <v>14mB4gV5ERRUfHqgfkG9Y3k4vrKZM_vGy769D96a1XRs</v>
      </c>
      <c r="B262" s="26" t="str">
        <f>(Sheet1!B262)</f>
        <v>SHIV GANGA AUTOMOBILES  - DELHI</v>
      </c>
      <c r="C262" s="30" t="str">
        <f>Sheet1!BB262</f>
        <v>Yes</v>
      </c>
      <c r="D262" s="34" t="s">
        <v>13</v>
      </c>
      <c r="E262" s="34" t="s">
        <v>13</v>
      </c>
      <c r="F262" s="34" t="s">
        <v>3820</v>
      </c>
      <c r="G262" s="34">
        <v>290.0</v>
      </c>
      <c r="H262" s="34" t="s">
        <v>3853</v>
      </c>
      <c r="I262" s="34">
        <v>0.0</v>
      </c>
      <c r="J262" s="34">
        <v>100.0</v>
      </c>
      <c r="K262" s="34">
        <v>0.0</v>
      </c>
      <c r="L262" s="34">
        <v>0.0</v>
      </c>
      <c r="M262" s="33">
        <f>COUNTIFS('Data For Calculation - Insuranc'!A:A,A262,'Data For Calculation - Insuranc'!E:E,"CPA + RSA")</f>
        <v>0</v>
      </c>
      <c r="N262" s="34" t="s">
        <v>3854</v>
      </c>
      <c r="O262" s="34">
        <v>100.0</v>
      </c>
      <c r="P262" s="34" t="s">
        <v>3855</v>
      </c>
      <c r="Q262" s="34">
        <v>2000.0</v>
      </c>
      <c r="R262" s="34">
        <v>100.0</v>
      </c>
      <c r="S262" s="34">
        <v>0.0</v>
      </c>
      <c r="T262" s="34">
        <v>0.0</v>
      </c>
      <c r="U262" s="33">
        <f>COUNTIFS('Data For Calculation - Insuranc'!A:A,A262,'Data For Calculation - Insuranc'!E:E,"CPA + RSA + AHDC + DOC")</f>
        <v>0</v>
      </c>
      <c r="V262" s="34" t="s">
        <v>3820</v>
      </c>
      <c r="W262" s="34">
        <v>838.99</v>
      </c>
      <c r="X262" s="34" t="s">
        <v>3853</v>
      </c>
      <c r="Y262" s="34">
        <v>0.0</v>
      </c>
      <c r="Z262" s="34">
        <v>100.0</v>
      </c>
      <c r="AA262" s="34">
        <v>0.0</v>
      </c>
      <c r="AB262" s="34">
        <v>0.0</v>
      </c>
      <c r="AC262" s="33">
        <f>COUNTIFS('Data For Calculation - Insuranc'!A:A,A262,'Data For Calculation - Insuranc'!E:E,"CPA + RSA : 5 Years")</f>
        <v>0</v>
      </c>
      <c r="AD262" s="34" t="s">
        <v>3820</v>
      </c>
      <c r="AE262" s="34">
        <v>838.99</v>
      </c>
      <c r="AF262" s="34" t="s">
        <v>3853</v>
      </c>
      <c r="AG262" s="34">
        <v>0.0</v>
      </c>
      <c r="AH262" s="34">
        <v>100.0</v>
      </c>
      <c r="AI262" s="34">
        <v>0.0</v>
      </c>
      <c r="AJ262" s="34">
        <v>0.0</v>
      </c>
      <c r="AK262" s="33">
        <f>COUNTIFS('Data For Calculation - Insuranc'!A:A,A262,'Data For Calculation - Insuranc'!E:E,"Assistance + CPA : 5 Years")</f>
        <v>0</v>
      </c>
      <c r="AL262" s="34" t="s">
        <v>3854</v>
      </c>
      <c r="AM262" s="34">
        <v>100.0</v>
      </c>
      <c r="AN262" s="34" t="s">
        <v>3855</v>
      </c>
      <c r="AO262" s="34">
        <v>2000.0</v>
      </c>
      <c r="AP262" s="34">
        <v>100.0</v>
      </c>
      <c r="AQ262" s="34">
        <v>0.0</v>
      </c>
      <c r="AR262" s="34">
        <v>0.0</v>
      </c>
      <c r="AS262" s="33">
        <f>COUNTIFS('Data For Calculation - Insuranc'!A:A,A262,'Data For Calculation - Insuranc'!E:E,"RSA + AHDC + DOC")</f>
        <v>0</v>
      </c>
      <c r="BR262" s="33">
        <f t="shared" si="1"/>
        <v>0</v>
      </c>
      <c r="BS262" s="33">
        <f>SUMIFS('Data For Calculation - Insuranc'!I:I,'Data For Calculation - Insuranc'!$A:$A,$A262)</f>
        <v>-6060.68</v>
      </c>
      <c r="BT262" s="33">
        <f>SUMIFS('Data For Calculation - Insuranc'!J:J,'Data For Calculation - Insuranc'!$A:$A,$A262)</f>
        <v>0</v>
      </c>
      <c r="BU262" s="33">
        <f>SUMIFS('Data For Calculation - Insuranc'!K:K,'Data For Calculation - Insuranc'!$A:$A,$A262)</f>
        <v>-6060.68</v>
      </c>
      <c r="BV262" s="33">
        <f>IF($CC262 = "Dealer", SUMIFS('Data For Calculation - Insuranc'!I:I,'Data For Calculation - Insuranc'!$B:$B,$A262,'Data For Calculation - Insuranc'!$H:$H,"Master Dealer")) + SUMIFS('Data For Calculation - Insuranc'!I:I,'Data For Calculation - Insuranc'!$A:$A,$A262,'Data For Calculation - Insuranc'!$H:$H,"Self")</f>
        <v>-6060.68</v>
      </c>
      <c r="BW262" s="33">
        <f>IF($CC262 = "Dealer", SUMIFS('Data For Calculation - Insuranc'!J:J,'Data For Calculation - Insuranc'!$B:$B,$A262,'Data For Calculation - Insuranc'!$H:$H,"Master Dealer")) + SUMIFS('Data For Calculation - Insuranc'!J:J,'Data For Calculation - Insuranc'!$A:$A,$A262,'Data For Calculation - Insuranc'!$H:$H,"Self")</f>
        <v>0</v>
      </c>
      <c r="BX262" s="33">
        <f>IF($CC262 = "Dealer", SUMIFS('Data For Calculation - Insuranc'!K:K,'Data For Calculation - Insuranc'!$B:$B,$A262,'Data For Calculation - Insuranc'!$H:$H,"Master Dealer")) + SUMIFS('Data For Calculation - Insuranc'!K:K,'Data For Calculation - Insuranc'!$A:$A,$A262,'Data For Calculation - Insuranc'!$H:$H,"Self")</f>
        <v>-6060.68</v>
      </c>
      <c r="BY262" s="26" t="str">
        <f>(Sheet1!N262)</f>
        <v>SHIV GANGA AUTOMOBILES  - DELHI</v>
      </c>
      <c r="BZ262" s="26" t="str">
        <f>(Sheet1!O262)</f>
        <v>14mB4gV5ERRUfHqgfkG9Y3k4vrKZM_vGy769D96a1XRs</v>
      </c>
      <c r="CA262" s="25" t="str">
        <f>(Sheet1!AV262)</f>
        <v/>
      </c>
      <c r="CB262" s="25" t="str">
        <f>(Sheet1!AW262)</f>
        <v/>
      </c>
      <c r="CC262" s="26" t="str">
        <f>(Sheet1!P262)</f>
        <v>Dealer</v>
      </c>
    </row>
    <row r="263">
      <c r="A263" s="26" t="str">
        <f>(Sheet1!A263)</f>
        <v>1mwtInypGX68IAfrIujI69hhRfhbAPm5uMzQxz3Da4FQ</v>
      </c>
      <c r="B263" s="26" t="str">
        <f>(Sheet1!B263)</f>
        <v>Lucky Automobiles(MAA) - Nautan</v>
      </c>
      <c r="C263" s="30" t="str">
        <f>Sheet1!BB263</f>
        <v>No</v>
      </c>
      <c r="D263" s="34" t="s">
        <v>13</v>
      </c>
      <c r="E263" s="34" t="s">
        <v>13</v>
      </c>
      <c r="F263" s="34" t="s">
        <v>3820</v>
      </c>
      <c r="G263" s="34">
        <v>290.0</v>
      </c>
      <c r="H263" s="34" t="s">
        <v>3853</v>
      </c>
      <c r="I263" s="34">
        <v>0.0</v>
      </c>
      <c r="J263" s="34">
        <v>100.0</v>
      </c>
      <c r="K263" s="34">
        <v>0.0</v>
      </c>
      <c r="L263" s="34">
        <v>0.0</v>
      </c>
      <c r="M263" s="33">
        <f>COUNTIFS('Data For Calculation - Insuranc'!A:A,A263,'Data For Calculation - Insuranc'!E:E,"CPA + RSA")</f>
        <v>0</v>
      </c>
      <c r="N263" s="34" t="s">
        <v>3820</v>
      </c>
      <c r="O263" s="34">
        <v>460.0</v>
      </c>
      <c r="P263" s="34" t="s">
        <v>3853</v>
      </c>
      <c r="Q263" s="34">
        <v>0.0</v>
      </c>
      <c r="R263" s="34">
        <v>100.0</v>
      </c>
      <c r="S263" s="34">
        <v>0.0</v>
      </c>
      <c r="T263" s="34">
        <v>0.0</v>
      </c>
      <c r="U263" s="33">
        <f>COUNTIFS('Data For Calculation - Insuranc'!A:A,A263,'Data For Calculation - Insuranc'!E:E,"CPA + RSA + AHDC + DOC")</f>
        <v>0</v>
      </c>
      <c r="V263" s="34" t="s">
        <v>3820</v>
      </c>
      <c r="W263" s="34">
        <v>838.99</v>
      </c>
      <c r="X263" s="34" t="s">
        <v>3853</v>
      </c>
      <c r="Y263" s="34">
        <v>0.0</v>
      </c>
      <c r="Z263" s="34">
        <v>100.0</v>
      </c>
      <c r="AA263" s="34">
        <v>0.0</v>
      </c>
      <c r="AB263" s="34">
        <v>0.0</v>
      </c>
      <c r="AC263" s="33">
        <f>COUNTIFS('Data For Calculation - Insuranc'!A:A,A263,'Data For Calculation - Insuranc'!E:E,"CPA + RSA : 5 Years")</f>
        <v>0</v>
      </c>
      <c r="AD263" s="34" t="s">
        <v>3820</v>
      </c>
      <c r="AE263" s="34">
        <v>838.99</v>
      </c>
      <c r="AF263" s="34" t="s">
        <v>3853</v>
      </c>
      <c r="AG263" s="34">
        <v>0.0</v>
      </c>
      <c r="AH263" s="34">
        <v>100.0</v>
      </c>
      <c r="AI263" s="34">
        <v>0.0</v>
      </c>
      <c r="AJ263" s="34">
        <v>0.0</v>
      </c>
      <c r="AK263" s="33">
        <f>COUNTIFS('Data For Calculation - Insuranc'!A:A,A263,'Data For Calculation - Insuranc'!E:E,"Assistance + CPA : 5 Years")</f>
        <v>0</v>
      </c>
      <c r="AL263" s="34" t="s">
        <v>3820</v>
      </c>
      <c r="AM263" s="34">
        <v>290.0</v>
      </c>
      <c r="AN263" s="34" t="s">
        <v>3853</v>
      </c>
      <c r="AO263" s="34">
        <v>0.0</v>
      </c>
      <c r="AP263" s="34">
        <v>100.0</v>
      </c>
      <c r="AQ263" s="34">
        <v>0.0</v>
      </c>
      <c r="AR263" s="34">
        <v>0.0</v>
      </c>
      <c r="AS263" s="33">
        <f>COUNTIFS('Data For Calculation - Insuranc'!A:A,A263,'Data For Calculation - Insuranc'!E:E,"RSA + AHDC + DOC")</f>
        <v>0</v>
      </c>
      <c r="BR263" s="33">
        <f t="shared" si="1"/>
        <v>0</v>
      </c>
      <c r="BS263" s="33">
        <f>SUMIFS('Data For Calculation - Insuranc'!I:I,'Data For Calculation - Insuranc'!$A:$A,$A263)</f>
        <v>0</v>
      </c>
      <c r="BT263" s="33">
        <f>SUMIFS('Data For Calculation - Insuranc'!J:J,'Data For Calculation - Insuranc'!$A:$A,$A263)</f>
        <v>0</v>
      </c>
      <c r="BU263" s="33">
        <f>SUMIFS('Data For Calculation - Insuranc'!K:K,'Data For Calculation - Insuranc'!$A:$A,$A263)</f>
        <v>0</v>
      </c>
      <c r="BV263" s="33">
        <f>IF($CC263 = "Dealer", SUMIFS('Data For Calculation - Insuranc'!I:I,'Data For Calculation - Insuranc'!$B:$B,$A263,'Data For Calculation - Insuranc'!$H:$H,"Master Dealer")) + SUMIFS('Data For Calculation - Insuranc'!I:I,'Data For Calculation - Insuranc'!$A:$A,$A263,'Data For Calculation - Insuranc'!$H:$H,"Self")</f>
        <v>0</v>
      </c>
      <c r="BW263" s="33">
        <f>IF($CC263 = "Dealer", SUMIFS('Data For Calculation - Insuranc'!J:J,'Data For Calculation - Insuranc'!$B:$B,$A263,'Data For Calculation - Insuranc'!$H:$H,"Master Dealer")) + SUMIFS('Data For Calculation - Insuranc'!J:J,'Data For Calculation - Insuranc'!$A:$A,$A263,'Data For Calculation - Insuranc'!$H:$H,"Self")</f>
        <v>0</v>
      </c>
      <c r="BX263" s="33">
        <f>IF($CC263 = "Dealer", SUMIFS('Data For Calculation - Insuranc'!K:K,'Data For Calculation - Insuranc'!$B:$B,$A263,'Data For Calculation - Insuranc'!$H:$H,"Master Dealer")) + SUMIFS('Data For Calculation - Insuranc'!K:K,'Data For Calculation - Insuranc'!$A:$A,$A263,'Data For Calculation - Insuranc'!$H:$H,"Self")</f>
        <v>0</v>
      </c>
      <c r="BY263" s="26" t="str">
        <f>(Sheet1!N263)</f>
        <v>Modern Auto Agency - Bettiah</v>
      </c>
      <c r="BZ263" s="26" t="str">
        <f>(Sheet1!O263)</f>
        <v>1_UtGSoyOsljQXvmry7gfXGYwjwEjQbghQQGZebnq45M</v>
      </c>
      <c r="CA263" s="25" t="str">
        <f>(Sheet1!AV263)</f>
        <v/>
      </c>
      <c r="CB263" s="25" t="str">
        <f>(Sheet1!AW263)</f>
        <v/>
      </c>
      <c r="CC263" s="26" t="str">
        <f>(Sheet1!P263)</f>
        <v>Sub Dealer</v>
      </c>
    </row>
    <row r="264">
      <c r="A264" s="26" t="str">
        <f>(Sheet1!A264)</f>
        <v>1kYYRjA4wQJoSt6FzyKeD92_dgOOGuQjkf6AWpDP6NFo</v>
      </c>
      <c r="B264" s="26" t="str">
        <f>(Sheet1!B264)</f>
        <v>Jyoti Hero Agency(MAA) - Jagdishpur</v>
      </c>
      <c r="C264" s="30" t="str">
        <f>Sheet1!BB264</f>
        <v>No</v>
      </c>
      <c r="D264" s="34" t="s">
        <v>13</v>
      </c>
      <c r="E264" s="34" t="s">
        <v>13</v>
      </c>
      <c r="F264" s="34" t="s">
        <v>3820</v>
      </c>
      <c r="G264" s="34">
        <v>290.0</v>
      </c>
      <c r="H264" s="34" t="s">
        <v>3853</v>
      </c>
      <c r="I264" s="34">
        <v>0.0</v>
      </c>
      <c r="J264" s="34">
        <v>100.0</v>
      </c>
      <c r="K264" s="34">
        <v>0.0</v>
      </c>
      <c r="L264" s="34">
        <v>0.0</v>
      </c>
      <c r="M264" s="33">
        <f>COUNTIFS('Data For Calculation - Insuranc'!A:A,A264,'Data For Calculation - Insuranc'!E:E,"CPA + RSA")</f>
        <v>0</v>
      </c>
      <c r="N264" s="34" t="s">
        <v>3820</v>
      </c>
      <c r="O264" s="34">
        <v>460.0</v>
      </c>
      <c r="P264" s="34" t="s">
        <v>3853</v>
      </c>
      <c r="Q264" s="34">
        <v>0.0</v>
      </c>
      <c r="R264" s="34">
        <v>100.0</v>
      </c>
      <c r="S264" s="34">
        <v>0.0</v>
      </c>
      <c r="T264" s="34">
        <v>0.0</v>
      </c>
      <c r="U264" s="33">
        <f>COUNTIFS('Data For Calculation - Insuranc'!A:A,A264,'Data For Calculation - Insuranc'!E:E,"CPA + RSA + AHDC + DOC")</f>
        <v>0</v>
      </c>
      <c r="V264" s="34" t="s">
        <v>3820</v>
      </c>
      <c r="W264" s="34">
        <v>838.99</v>
      </c>
      <c r="X264" s="34" t="s">
        <v>3853</v>
      </c>
      <c r="Y264" s="34">
        <v>0.0</v>
      </c>
      <c r="Z264" s="34">
        <v>100.0</v>
      </c>
      <c r="AA264" s="34">
        <v>0.0</v>
      </c>
      <c r="AB264" s="34">
        <v>0.0</v>
      </c>
      <c r="AC264" s="33">
        <f>COUNTIFS('Data For Calculation - Insuranc'!A:A,A264,'Data For Calculation - Insuranc'!E:E,"CPA + RSA : 5 Years")</f>
        <v>0</v>
      </c>
      <c r="AD264" s="34" t="s">
        <v>3820</v>
      </c>
      <c r="AE264" s="34">
        <v>838.99</v>
      </c>
      <c r="AF264" s="34" t="s">
        <v>3853</v>
      </c>
      <c r="AG264" s="34">
        <v>0.0</v>
      </c>
      <c r="AH264" s="34">
        <v>100.0</v>
      </c>
      <c r="AI264" s="34">
        <v>0.0</v>
      </c>
      <c r="AJ264" s="34">
        <v>0.0</v>
      </c>
      <c r="AK264" s="33">
        <f>COUNTIFS('Data For Calculation - Insuranc'!A:A,A264,'Data For Calculation - Insuranc'!E:E,"Assistance + CPA : 5 Years")</f>
        <v>0</v>
      </c>
      <c r="AL264" s="34" t="s">
        <v>3820</v>
      </c>
      <c r="AM264" s="34">
        <v>290.0</v>
      </c>
      <c r="AN264" s="34" t="s">
        <v>3853</v>
      </c>
      <c r="AO264" s="34">
        <v>0.0</v>
      </c>
      <c r="AP264" s="34">
        <v>100.0</v>
      </c>
      <c r="AQ264" s="34">
        <v>0.0</v>
      </c>
      <c r="AR264" s="34">
        <v>0.0</v>
      </c>
      <c r="AS264" s="33">
        <f>COUNTIFS('Data For Calculation - Insuranc'!A:A,A264,'Data For Calculation - Insuranc'!E:E,"RSA + AHDC + DOC")</f>
        <v>0</v>
      </c>
      <c r="BR264" s="33">
        <f t="shared" si="1"/>
        <v>0</v>
      </c>
      <c r="BS264" s="33">
        <f>SUMIFS('Data For Calculation - Insuranc'!I:I,'Data For Calculation - Insuranc'!$A:$A,$A264)</f>
        <v>0</v>
      </c>
      <c r="BT264" s="33">
        <f>SUMIFS('Data For Calculation - Insuranc'!J:J,'Data For Calculation - Insuranc'!$A:$A,$A264)</f>
        <v>0</v>
      </c>
      <c r="BU264" s="33">
        <f>SUMIFS('Data For Calculation - Insuranc'!K:K,'Data For Calculation - Insuranc'!$A:$A,$A264)</f>
        <v>0</v>
      </c>
      <c r="BV264" s="33">
        <f>IF($CC264 = "Dealer", SUMIFS('Data For Calculation - Insuranc'!I:I,'Data For Calculation - Insuranc'!$B:$B,$A264,'Data For Calculation - Insuranc'!$H:$H,"Master Dealer")) + SUMIFS('Data For Calculation - Insuranc'!I:I,'Data For Calculation - Insuranc'!$A:$A,$A264,'Data For Calculation - Insuranc'!$H:$H,"Self")</f>
        <v>0</v>
      </c>
      <c r="BW264" s="33">
        <f>IF($CC264 = "Dealer", SUMIFS('Data For Calculation - Insuranc'!J:J,'Data For Calculation - Insuranc'!$B:$B,$A264,'Data For Calculation - Insuranc'!$H:$H,"Master Dealer")) + SUMIFS('Data For Calculation - Insuranc'!J:J,'Data For Calculation - Insuranc'!$A:$A,$A264,'Data For Calculation - Insuranc'!$H:$H,"Self")</f>
        <v>0</v>
      </c>
      <c r="BX264" s="33">
        <f>IF($CC264 = "Dealer", SUMIFS('Data For Calculation - Insuranc'!K:K,'Data For Calculation - Insuranc'!$B:$B,$A264,'Data For Calculation - Insuranc'!$H:$H,"Master Dealer")) + SUMIFS('Data For Calculation - Insuranc'!K:K,'Data For Calculation - Insuranc'!$A:$A,$A264,'Data For Calculation - Insuranc'!$H:$H,"Self")</f>
        <v>0</v>
      </c>
      <c r="BY264" s="26" t="str">
        <f>(Sheet1!N264)</f>
        <v>Modern Auto Agency - Bettiah</v>
      </c>
      <c r="BZ264" s="26" t="str">
        <f>(Sheet1!O264)</f>
        <v>1_UtGSoyOsljQXvmry7gfXGYwjwEjQbghQQGZebnq45M</v>
      </c>
      <c r="CA264" s="25" t="str">
        <f>(Sheet1!AV264)</f>
        <v/>
      </c>
      <c r="CB264" s="25" t="str">
        <f>(Sheet1!AW264)</f>
        <v/>
      </c>
      <c r="CC264" s="26" t="str">
        <f>(Sheet1!P264)</f>
        <v>Sub Dealer</v>
      </c>
    </row>
    <row r="265">
      <c r="A265" s="26" t="str">
        <f>(Sheet1!A265)</f>
        <v>1LTIwWSogdMZBmad9vycGhuGyAwmeSg8ug5WYA6jHDdw</v>
      </c>
      <c r="B265" s="26" t="str">
        <f>(Sheet1!B265)</f>
        <v>SHRI GURUKRIPA-MORNA(SBH)</v>
      </c>
      <c r="C265" s="30" t="str">
        <f>Sheet1!BB265</f>
        <v>No</v>
      </c>
      <c r="D265" s="34" t="s">
        <v>13</v>
      </c>
      <c r="E265" s="34" t="s">
        <v>13</v>
      </c>
      <c r="F265" s="34" t="s">
        <v>3820</v>
      </c>
      <c r="G265" s="34">
        <v>290.0</v>
      </c>
      <c r="H265" s="34" t="s">
        <v>3853</v>
      </c>
      <c r="I265" s="34">
        <v>0.0</v>
      </c>
      <c r="J265" s="34">
        <v>100.0</v>
      </c>
      <c r="K265" s="34">
        <v>0.0</v>
      </c>
      <c r="L265" s="34">
        <v>0.0</v>
      </c>
      <c r="M265" s="33">
        <f>COUNTIFS('Data For Calculation - Insuranc'!A:A,A265,'Data For Calculation - Insuranc'!E:E,"CPA + RSA")</f>
        <v>0</v>
      </c>
      <c r="N265" s="34" t="s">
        <v>3820</v>
      </c>
      <c r="O265" s="34">
        <v>460.0</v>
      </c>
      <c r="P265" s="34" t="s">
        <v>3853</v>
      </c>
      <c r="Q265" s="34">
        <v>0.0</v>
      </c>
      <c r="R265" s="34">
        <v>100.0</v>
      </c>
      <c r="S265" s="34">
        <v>0.0</v>
      </c>
      <c r="T265" s="34">
        <v>0.0</v>
      </c>
      <c r="U265" s="33">
        <f>COUNTIFS('Data For Calculation - Insuranc'!A:A,A265,'Data For Calculation - Insuranc'!E:E,"CPA + RSA + AHDC + DOC")</f>
        <v>0</v>
      </c>
      <c r="V265" s="34" t="s">
        <v>3820</v>
      </c>
      <c r="W265" s="34">
        <v>838.99</v>
      </c>
      <c r="X265" s="34" t="s">
        <v>3853</v>
      </c>
      <c r="Y265" s="34">
        <v>0.0</v>
      </c>
      <c r="Z265" s="34">
        <v>100.0</v>
      </c>
      <c r="AA265" s="34">
        <v>0.0</v>
      </c>
      <c r="AB265" s="34">
        <v>0.0</v>
      </c>
      <c r="AC265" s="33">
        <f>COUNTIFS('Data For Calculation - Insuranc'!A:A,A265,'Data For Calculation - Insuranc'!E:E,"CPA + RSA : 5 Years")</f>
        <v>0</v>
      </c>
      <c r="AD265" s="34" t="s">
        <v>3820</v>
      </c>
      <c r="AE265" s="34">
        <v>838.99</v>
      </c>
      <c r="AF265" s="34" t="s">
        <v>3853</v>
      </c>
      <c r="AG265" s="34">
        <v>0.0</v>
      </c>
      <c r="AH265" s="34">
        <v>100.0</v>
      </c>
      <c r="AI265" s="34">
        <v>0.0</v>
      </c>
      <c r="AJ265" s="34">
        <v>0.0</v>
      </c>
      <c r="AK265" s="33">
        <f>COUNTIFS('Data For Calculation - Insuranc'!A:A,A265,'Data For Calculation - Insuranc'!E:E,"Assistance + CPA : 5 Years")</f>
        <v>0</v>
      </c>
      <c r="AL265" s="34" t="s">
        <v>3820</v>
      </c>
      <c r="AM265" s="34">
        <v>290.0</v>
      </c>
      <c r="AN265" s="34" t="s">
        <v>3853</v>
      </c>
      <c r="AO265" s="34">
        <v>0.0</v>
      </c>
      <c r="AP265" s="34">
        <v>100.0</v>
      </c>
      <c r="AQ265" s="34">
        <v>0.0</v>
      </c>
      <c r="AR265" s="34">
        <v>0.0</v>
      </c>
      <c r="AS265" s="33">
        <f>COUNTIFS('Data For Calculation - Insuranc'!A:A,A265,'Data For Calculation - Insuranc'!E:E,"RSA + AHDC + DOC")</f>
        <v>0</v>
      </c>
      <c r="BR265" s="33">
        <f t="shared" si="1"/>
        <v>0</v>
      </c>
      <c r="BS265" s="33">
        <f>SUMIFS('Data For Calculation - Insuranc'!I:I,'Data For Calculation - Insuranc'!$A:$A,$A265)</f>
        <v>0</v>
      </c>
      <c r="BT265" s="33">
        <f>SUMIFS('Data For Calculation - Insuranc'!J:J,'Data For Calculation - Insuranc'!$A:$A,$A265)</f>
        <v>0</v>
      </c>
      <c r="BU265" s="33">
        <f>SUMIFS('Data For Calculation - Insuranc'!K:K,'Data For Calculation - Insuranc'!$A:$A,$A265)</f>
        <v>0</v>
      </c>
      <c r="BV265" s="33">
        <f>IF($CC265 = "Dealer", SUMIFS('Data For Calculation - Insuranc'!I:I,'Data For Calculation - Insuranc'!$B:$B,$A265,'Data For Calculation - Insuranc'!$H:$H,"Master Dealer")) + SUMIFS('Data For Calculation - Insuranc'!I:I,'Data For Calculation - Insuranc'!$A:$A,$A265,'Data For Calculation - Insuranc'!$H:$H,"Self")</f>
        <v>0</v>
      </c>
      <c r="BW265" s="33">
        <f>IF($CC265 = "Dealer", SUMIFS('Data For Calculation - Insuranc'!J:J,'Data For Calculation - Insuranc'!$B:$B,$A265,'Data For Calculation - Insuranc'!$H:$H,"Master Dealer")) + SUMIFS('Data For Calculation - Insuranc'!J:J,'Data For Calculation - Insuranc'!$A:$A,$A265,'Data For Calculation - Insuranc'!$H:$H,"Self")</f>
        <v>0</v>
      </c>
      <c r="BX265" s="33">
        <f>IF($CC265 = "Dealer", SUMIFS('Data For Calculation - Insuranc'!K:K,'Data For Calculation - Insuranc'!$B:$B,$A265,'Data For Calculation - Insuranc'!$H:$H,"Master Dealer")) + SUMIFS('Data For Calculation - Insuranc'!K:K,'Data For Calculation - Insuranc'!$A:$A,$A265,'Data For Calculation - Insuranc'!$H:$H,"Self")</f>
        <v>0</v>
      </c>
      <c r="BY265" s="26" t="str">
        <f>(Sheet1!N265)</f>
        <v>Shri Balaji Hero - Muzaffarnagar</v>
      </c>
      <c r="BZ265" s="26" t="str">
        <f>(Sheet1!O265)</f>
        <v>1qJGCYN0EdS2nWGXVYAHwXqSjiLE2C95anQkkbLONbKQ</v>
      </c>
      <c r="CA265" s="25" t="str">
        <f>(Sheet1!AV265)</f>
        <v/>
      </c>
      <c r="CB265" s="25" t="str">
        <f>(Sheet1!AW265)</f>
        <v/>
      </c>
      <c r="CC265" s="26" t="str">
        <f>(Sheet1!P265)</f>
        <v>Sub Dealer</v>
      </c>
    </row>
    <row r="266">
      <c r="A266" s="26" t="str">
        <f>(Sheet1!A266)</f>
        <v>1g0qiuDcnbyBi-CYwlfpEUrOj5boKaQ0D16LWou5stMc</v>
      </c>
      <c r="B266" s="26" t="str">
        <f>(Sheet1!B266)</f>
        <v> VINAYAK AUTOMOBILES-TITAWI(SBH)</v>
      </c>
      <c r="C266" s="30" t="str">
        <f>Sheet1!BB266</f>
        <v>No</v>
      </c>
      <c r="D266" s="34" t="s">
        <v>13</v>
      </c>
      <c r="E266" s="34" t="s">
        <v>13</v>
      </c>
      <c r="F266" s="34" t="s">
        <v>3820</v>
      </c>
      <c r="G266" s="34">
        <v>290.0</v>
      </c>
      <c r="H266" s="34" t="s">
        <v>3853</v>
      </c>
      <c r="I266" s="34">
        <v>0.0</v>
      </c>
      <c r="J266" s="34">
        <v>100.0</v>
      </c>
      <c r="K266" s="34">
        <v>0.0</v>
      </c>
      <c r="L266" s="34">
        <v>0.0</v>
      </c>
      <c r="M266" s="33">
        <f>COUNTIFS('Data For Calculation - Insuranc'!A:A,A266,'Data For Calculation - Insuranc'!E:E,"CPA + RSA")</f>
        <v>0</v>
      </c>
      <c r="N266" s="34" t="s">
        <v>3820</v>
      </c>
      <c r="O266" s="34">
        <v>460.0</v>
      </c>
      <c r="P266" s="34" t="s">
        <v>3853</v>
      </c>
      <c r="Q266" s="34">
        <v>0.0</v>
      </c>
      <c r="R266" s="34">
        <v>100.0</v>
      </c>
      <c r="S266" s="34">
        <v>0.0</v>
      </c>
      <c r="T266" s="34">
        <v>0.0</v>
      </c>
      <c r="U266" s="33">
        <f>COUNTIFS('Data For Calculation - Insuranc'!A:A,A266,'Data For Calculation - Insuranc'!E:E,"CPA + RSA + AHDC + DOC")</f>
        <v>0</v>
      </c>
      <c r="V266" s="34" t="s">
        <v>3820</v>
      </c>
      <c r="W266" s="34">
        <v>838.99</v>
      </c>
      <c r="X266" s="34" t="s">
        <v>3853</v>
      </c>
      <c r="Y266" s="34">
        <v>0.0</v>
      </c>
      <c r="Z266" s="34">
        <v>100.0</v>
      </c>
      <c r="AA266" s="34">
        <v>0.0</v>
      </c>
      <c r="AB266" s="34">
        <v>0.0</v>
      </c>
      <c r="AC266" s="33">
        <f>COUNTIFS('Data For Calculation - Insuranc'!A:A,A266,'Data For Calculation - Insuranc'!E:E,"CPA + RSA : 5 Years")</f>
        <v>0</v>
      </c>
      <c r="AD266" s="34" t="s">
        <v>3820</v>
      </c>
      <c r="AE266" s="34">
        <v>838.99</v>
      </c>
      <c r="AF266" s="34" t="s">
        <v>3853</v>
      </c>
      <c r="AG266" s="34">
        <v>0.0</v>
      </c>
      <c r="AH266" s="34">
        <v>100.0</v>
      </c>
      <c r="AI266" s="34">
        <v>0.0</v>
      </c>
      <c r="AJ266" s="34">
        <v>0.0</v>
      </c>
      <c r="AK266" s="33">
        <f>COUNTIFS('Data For Calculation - Insuranc'!A:A,A266,'Data For Calculation - Insuranc'!E:E,"Assistance + CPA : 5 Years")</f>
        <v>0</v>
      </c>
      <c r="AL266" s="34" t="s">
        <v>3820</v>
      </c>
      <c r="AM266" s="34">
        <v>290.0</v>
      </c>
      <c r="AN266" s="34" t="s">
        <v>3853</v>
      </c>
      <c r="AO266" s="34">
        <v>0.0</v>
      </c>
      <c r="AP266" s="34">
        <v>100.0</v>
      </c>
      <c r="AQ266" s="34">
        <v>0.0</v>
      </c>
      <c r="AR266" s="34">
        <v>0.0</v>
      </c>
      <c r="AS266" s="33">
        <f>COUNTIFS('Data For Calculation - Insuranc'!A:A,A266,'Data For Calculation - Insuranc'!E:E,"RSA + AHDC + DOC")</f>
        <v>0</v>
      </c>
      <c r="BR266" s="33">
        <f t="shared" si="1"/>
        <v>0</v>
      </c>
      <c r="BS266" s="33">
        <f>SUMIFS('Data For Calculation - Insuranc'!I:I,'Data For Calculation - Insuranc'!$A:$A,$A266)</f>
        <v>0</v>
      </c>
      <c r="BT266" s="33">
        <f>SUMIFS('Data For Calculation - Insuranc'!J:J,'Data For Calculation - Insuranc'!$A:$A,$A266)</f>
        <v>0</v>
      </c>
      <c r="BU266" s="33">
        <f>SUMIFS('Data For Calculation - Insuranc'!K:K,'Data For Calculation - Insuranc'!$A:$A,$A266)</f>
        <v>0</v>
      </c>
      <c r="BV266" s="33">
        <f>IF($CC266 = "Dealer", SUMIFS('Data For Calculation - Insuranc'!I:I,'Data For Calculation - Insuranc'!$B:$B,$A266,'Data For Calculation - Insuranc'!$H:$H,"Master Dealer")) + SUMIFS('Data For Calculation - Insuranc'!I:I,'Data For Calculation - Insuranc'!$A:$A,$A266,'Data For Calculation - Insuranc'!$H:$H,"Self")</f>
        <v>0</v>
      </c>
      <c r="BW266" s="33">
        <f>IF($CC266 = "Dealer", SUMIFS('Data For Calculation - Insuranc'!J:J,'Data For Calculation - Insuranc'!$B:$B,$A266,'Data For Calculation - Insuranc'!$H:$H,"Master Dealer")) + SUMIFS('Data For Calculation - Insuranc'!J:J,'Data For Calculation - Insuranc'!$A:$A,$A266,'Data For Calculation - Insuranc'!$H:$H,"Self")</f>
        <v>0</v>
      </c>
      <c r="BX266" s="33">
        <f>IF($CC266 = "Dealer", SUMIFS('Data For Calculation - Insuranc'!K:K,'Data For Calculation - Insuranc'!$B:$B,$A266,'Data For Calculation - Insuranc'!$H:$H,"Master Dealer")) + SUMIFS('Data For Calculation - Insuranc'!K:K,'Data For Calculation - Insuranc'!$A:$A,$A266,'Data For Calculation - Insuranc'!$H:$H,"Self")</f>
        <v>0</v>
      </c>
      <c r="BY266" s="26" t="str">
        <f>(Sheet1!N266)</f>
        <v>Shri Balaji Hero - Muzaffarnagar</v>
      </c>
      <c r="BZ266" s="26" t="str">
        <f>(Sheet1!O266)</f>
        <v>1qJGCYN0EdS2nWGXVYAHwXqSjiLE2C95anQkkbLONbKQ</v>
      </c>
      <c r="CA266" s="25" t="str">
        <f>(Sheet1!AV266)</f>
        <v/>
      </c>
      <c r="CB266" s="25" t="str">
        <f>(Sheet1!AW266)</f>
        <v/>
      </c>
      <c r="CC266" s="26" t="str">
        <f>(Sheet1!P266)</f>
        <v>Sub Dealer</v>
      </c>
    </row>
    <row r="267">
      <c r="A267" s="26" t="str">
        <f>(Sheet1!A267)</f>
        <v>11f9wtVFkWuND5MycjAQF0s33JyN2F1jC8n_ilAvNXUE</v>
      </c>
      <c r="B267" s="26" t="str">
        <f>(Sheet1!B267)</f>
        <v>Om moters (AAA) - Jalali</v>
      </c>
      <c r="C267" s="30" t="str">
        <f>Sheet1!BB267</f>
        <v>No</v>
      </c>
      <c r="D267" s="34" t="s">
        <v>13</v>
      </c>
      <c r="E267" s="34" t="s">
        <v>13</v>
      </c>
      <c r="F267" s="34" t="s">
        <v>3820</v>
      </c>
      <c r="G267" s="34">
        <v>290.0</v>
      </c>
      <c r="H267" s="34" t="s">
        <v>3853</v>
      </c>
      <c r="I267" s="34">
        <v>0.0</v>
      </c>
      <c r="J267" s="34">
        <v>100.0</v>
      </c>
      <c r="K267" s="34">
        <v>0.0</v>
      </c>
      <c r="L267" s="34">
        <v>0.0</v>
      </c>
      <c r="M267" s="33">
        <f>COUNTIFS('Data For Calculation - Insuranc'!A:A,A267,'Data For Calculation - Insuranc'!E:E,"CPA + RSA")</f>
        <v>0</v>
      </c>
      <c r="N267" s="34" t="s">
        <v>3820</v>
      </c>
      <c r="O267" s="34">
        <v>460.0</v>
      </c>
      <c r="P267" s="34" t="s">
        <v>3853</v>
      </c>
      <c r="Q267" s="34">
        <v>0.0</v>
      </c>
      <c r="R267" s="34">
        <v>100.0</v>
      </c>
      <c r="S267" s="34">
        <v>0.0</v>
      </c>
      <c r="T267" s="34">
        <v>0.0</v>
      </c>
      <c r="U267" s="33">
        <f>COUNTIFS('Data For Calculation - Insuranc'!A:A,A267,'Data For Calculation - Insuranc'!E:E,"CPA + RSA + AHDC + DOC")</f>
        <v>0</v>
      </c>
      <c r="V267" s="34" t="s">
        <v>3820</v>
      </c>
      <c r="W267" s="34">
        <v>838.99</v>
      </c>
      <c r="X267" s="34" t="s">
        <v>3853</v>
      </c>
      <c r="Y267" s="34">
        <v>0.0</v>
      </c>
      <c r="Z267" s="34">
        <v>100.0</v>
      </c>
      <c r="AA267" s="34">
        <v>0.0</v>
      </c>
      <c r="AB267" s="34">
        <v>0.0</v>
      </c>
      <c r="AC267" s="33">
        <f>COUNTIFS('Data For Calculation - Insuranc'!A:A,A267,'Data For Calculation - Insuranc'!E:E,"CPA + RSA : 5 Years")</f>
        <v>0</v>
      </c>
      <c r="AD267" s="34" t="s">
        <v>3820</v>
      </c>
      <c r="AE267" s="34">
        <v>838.99</v>
      </c>
      <c r="AF267" s="34" t="s">
        <v>3853</v>
      </c>
      <c r="AG267" s="34">
        <v>0.0</v>
      </c>
      <c r="AH267" s="34">
        <v>100.0</v>
      </c>
      <c r="AI267" s="34">
        <v>0.0</v>
      </c>
      <c r="AJ267" s="34">
        <v>0.0</v>
      </c>
      <c r="AK267" s="33">
        <f>COUNTIFS('Data For Calculation - Insuranc'!A:A,A267,'Data For Calculation - Insuranc'!E:E,"Assistance + CPA : 5 Years")</f>
        <v>0</v>
      </c>
      <c r="AL267" s="34" t="s">
        <v>3820</v>
      </c>
      <c r="AM267" s="34">
        <v>290.0</v>
      </c>
      <c r="AN267" s="34" t="s">
        <v>3853</v>
      </c>
      <c r="AO267" s="34">
        <v>0.0</v>
      </c>
      <c r="AP267" s="34">
        <v>100.0</v>
      </c>
      <c r="AQ267" s="34">
        <v>0.0</v>
      </c>
      <c r="AR267" s="34">
        <v>0.0</v>
      </c>
      <c r="AS267" s="33">
        <f>COUNTIFS('Data For Calculation - Insuranc'!A:A,A267,'Data For Calculation - Insuranc'!E:E,"RSA + AHDC + DOC")</f>
        <v>0</v>
      </c>
      <c r="BR267" s="33">
        <f t="shared" si="1"/>
        <v>0</v>
      </c>
      <c r="BS267" s="33">
        <f>SUMIFS('Data For Calculation - Insuranc'!I:I,'Data For Calculation - Insuranc'!$A:$A,$A267)</f>
        <v>0</v>
      </c>
      <c r="BT267" s="33">
        <f>SUMIFS('Data For Calculation - Insuranc'!J:J,'Data For Calculation - Insuranc'!$A:$A,$A267)</f>
        <v>0</v>
      </c>
      <c r="BU267" s="33">
        <f>SUMIFS('Data For Calculation - Insuranc'!K:K,'Data For Calculation - Insuranc'!$A:$A,$A267)</f>
        <v>0</v>
      </c>
      <c r="BV267" s="33">
        <f>IF($CC267 = "Dealer", SUMIFS('Data For Calculation - Insuranc'!I:I,'Data For Calculation - Insuranc'!$B:$B,$A267,'Data For Calculation - Insuranc'!$H:$H,"Master Dealer")) + SUMIFS('Data For Calculation - Insuranc'!I:I,'Data For Calculation - Insuranc'!$A:$A,$A267,'Data For Calculation - Insuranc'!$H:$H,"Self")</f>
        <v>0</v>
      </c>
      <c r="BW267" s="33">
        <f>IF($CC267 = "Dealer", SUMIFS('Data For Calculation - Insuranc'!J:J,'Data For Calculation - Insuranc'!$B:$B,$A267,'Data For Calculation - Insuranc'!$H:$H,"Master Dealer")) + SUMIFS('Data For Calculation - Insuranc'!J:J,'Data For Calculation - Insuranc'!$A:$A,$A267,'Data For Calculation - Insuranc'!$H:$H,"Self")</f>
        <v>0</v>
      </c>
      <c r="BX267" s="33">
        <f>IF($CC267 = "Dealer", SUMIFS('Data For Calculation - Insuranc'!K:K,'Data For Calculation - Insuranc'!$B:$B,$A267,'Data For Calculation - Insuranc'!$H:$H,"Master Dealer")) + SUMIFS('Data For Calculation - Insuranc'!K:K,'Data For Calculation - Insuranc'!$A:$A,$A267,'Data For Calculation - Insuranc'!$H:$H,"Self")</f>
        <v>0</v>
      </c>
      <c r="BY267" s="26" t="str">
        <f>(Sheet1!N267)</f>
        <v>AAA</v>
      </c>
      <c r="BZ267" s="26" t="str">
        <f>(Sheet1!O267)</f>
        <v>1AjVyIHPgPw3jscNmkTH1qzR2RokK5FZaJLjeNfOiYAA</v>
      </c>
      <c r="CA267" s="25" t="str">
        <f>(Sheet1!AV267)</f>
        <v/>
      </c>
      <c r="CB267" s="25" t="str">
        <f>(Sheet1!AW267)</f>
        <v/>
      </c>
      <c r="CC267" s="26" t="str">
        <f>(Sheet1!P267)</f>
        <v>Sub Dealer</v>
      </c>
    </row>
    <row r="268">
      <c r="A268" s="26" t="str">
        <f>(Sheet1!A268)</f>
        <v>1-MGz10ueHtF28FBo7G_OHqG8elKH6byTXmsAdLd1HwQ</v>
      </c>
      <c r="B268" s="26" t="str">
        <f>(Sheet1!B268)</f>
        <v>AAA Counter - Bada gaon</v>
      </c>
      <c r="C268" s="30" t="str">
        <f>Sheet1!BB268</f>
        <v>No</v>
      </c>
      <c r="D268" s="34" t="s">
        <v>13</v>
      </c>
      <c r="E268" s="34" t="s">
        <v>13</v>
      </c>
      <c r="F268" s="34" t="s">
        <v>3820</v>
      </c>
      <c r="G268" s="34">
        <v>290.0</v>
      </c>
      <c r="H268" s="34" t="s">
        <v>3853</v>
      </c>
      <c r="I268" s="34">
        <v>0.0</v>
      </c>
      <c r="J268" s="34">
        <v>100.0</v>
      </c>
      <c r="K268" s="34">
        <v>0.0</v>
      </c>
      <c r="L268" s="34">
        <v>0.0</v>
      </c>
      <c r="M268" s="33">
        <f>COUNTIFS('Data For Calculation - Insuranc'!A:A,A268,'Data For Calculation - Insuranc'!E:E,"CPA + RSA")</f>
        <v>0</v>
      </c>
      <c r="N268" s="34" t="s">
        <v>3820</v>
      </c>
      <c r="O268" s="34">
        <v>460.0</v>
      </c>
      <c r="P268" s="34" t="s">
        <v>3853</v>
      </c>
      <c r="Q268" s="34">
        <v>0.0</v>
      </c>
      <c r="R268" s="34">
        <v>100.0</v>
      </c>
      <c r="S268" s="34">
        <v>0.0</v>
      </c>
      <c r="T268" s="34">
        <v>0.0</v>
      </c>
      <c r="U268" s="33">
        <f>COUNTIFS('Data For Calculation - Insuranc'!A:A,A268,'Data For Calculation - Insuranc'!E:E,"CPA + RSA + AHDC + DOC")</f>
        <v>0</v>
      </c>
      <c r="V268" s="34" t="s">
        <v>3820</v>
      </c>
      <c r="W268" s="34">
        <v>838.99</v>
      </c>
      <c r="X268" s="34" t="s">
        <v>3853</v>
      </c>
      <c r="Y268" s="34">
        <v>0.0</v>
      </c>
      <c r="Z268" s="34">
        <v>100.0</v>
      </c>
      <c r="AA268" s="34">
        <v>0.0</v>
      </c>
      <c r="AB268" s="34">
        <v>0.0</v>
      </c>
      <c r="AC268" s="33">
        <f>COUNTIFS('Data For Calculation - Insuranc'!A:A,A268,'Data For Calculation - Insuranc'!E:E,"CPA + RSA : 5 Years")</f>
        <v>0</v>
      </c>
      <c r="AD268" s="34" t="s">
        <v>3820</v>
      </c>
      <c r="AE268" s="34">
        <v>838.99</v>
      </c>
      <c r="AF268" s="34" t="s">
        <v>3853</v>
      </c>
      <c r="AG268" s="34">
        <v>0.0</v>
      </c>
      <c r="AH268" s="34">
        <v>100.0</v>
      </c>
      <c r="AI268" s="34">
        <v>0.0</v>
      </c>
      <c r="AJ268" s="34">
        <v>0.0</v>
      </c>
      <c r="AK268" s="33">
        <f>COUNTIFS('Data For Calculation - Insuranc'!A:A,A268,'Data For Calculation - Insuranc'!E:E,"Assistance + CPA : 5 Years")</f>
        <v>0</v>
      </c>
      <c r="AL268" s="34" t="s">
        <v>3820</v>
      </c>
      <c r="AM268" s="34">
        <v>290.0</v>
      </c>
      <c r="AN268" s="34" t="s">
        <v>3853</v>
      </c>
      <c r="AO268" s="34">
        <v>0.0</v>
      </c>
      <c r="AP268" s="34">
        <v>100.0</v>
      </c>
      <c r="AQ268" s="34">
        <v>0.0</v>
      </c>
      <c r="AR268" s="34">
        <v>0.0</v>
      </c>
      <c r="AS268" s="33">
        <f>COUNTIFS('Data For Calculation - Insuranc'!A:A,A268,'Data For Calculation - Insuranc'!E:E,"RSA + AHDC + DOC")</f>
        <v>0</v>
      </c>
      <c r="BR268" s="33">
        <f t="shared" si="1"/>
        <v>0</v>
      </c>
      <c r="BS268" s="33">
        <f>SUMIFS('Data For Calculation - Insuranc'!I:I,'Data For Calculation - Insuranc'!$A:$A,$A268)</f>
        <v>0</v>
      </c>
      <c r="BT268" s="33">
        <f>SUMIFS('Data For Calculation - Insuranc'!J:J,'Data For Calculation - Insuranc'!$A:$A,$A268)</f>
        <v>0</v>
      </c>
      <c r="BU268" s="33">
        <f>SUMIFS('Data For Calculation - Insuranc'!K:K,'Data For Calculation - Insuranc'!$A:$A,$A268)</f>
        <v>0</v>
      </c>
      <c r="BV268" s="33">
        <f>IF($CC268 = "Dealer", SUMIFS('Data For Calculation - Insuranc'!I:I,'Data For Calculation - Insuranc'!$B:$B,$A268,'Data For Calculation - Insuranc'!$H:$H,"Master Dealer")) + SUMIFS('Data For Calculation - Insuranc'!I:I,'Data For Calculation - Insuranc'!$A:$A,$A268,'Data For Calculation - Insuranc'!$H:$H,"Self")</f>
        <v>0</v>
      </c>
      <c r="BW268" s="33">
        <f>IF($CC268 = "Dealer", SUMIFS('Data For Calculation - Insuranc'!J:J,'Data For Calculation - Insuranc'!$B:$B,$A268,'Data For Calculation - Insuranc'!$H:$H,"Master Dealer")) + SUMIFS('Data For Calculation - Insuranc'!J:J,'Data For Calculation - Insuranc'!$A:$A,$A268,'Data For Calculation - Insuranc'!$H:$H,"Self")</f>
        <v>0</v>
      </c>
      <c r="BX268" s="33">
        <f>IF($CC268 = "Dealer", SUMIFS('Data For Calculation - Insuranc'!K:K,'Data For Calculation - Insuranc'!$B:$B,$A268,'Data For Calculation - Insuranc'!$H:$H,"Master Dealer")) + SUMIFS('Data For Calculation - Insuranc'!K:K,'Data For Calculation - Insuranc'!$A:$A,$A268,'Data For Calculation - Insuranc'!$H:$H,"Self")</f>
        <v>0</v>
      </c>
      <c r="BY268" s="26" t="str">
        <f>(Sheet1!N268)</f>
        <v>AAA</v>
      </c>
      <c r="BZ268" s="26" t="str">
        <f>(Sheet1!O268)</f>
        <v>1AjVyIHPgPw3jscNmkTH1qzR2RokK5FZaJLjeNfOiYAA</v>
      </c>
      <c r="CA268" s="25" t="str">
        <f>(Sheet1!AV268)</f>
        <v/>
      </c>
      <c r="CB268" s="25" t="str">
        <f>(Sheet1!AW268)</f>
        <v/>
      </c>
      <c r="CC268" s="26" t="str">
        <f>(Sheet1!P268)</f>
        <v>Sub Dealer</v>
      </c>
    </row>
    <row r="269">
      <c r="A269" s="26" t="str">
        <f>(Sheet1!A269)</f>
        <v>1Ql_6BdBcHGAyITSZt1pNUK3bW54CzeThIBXr7aH7K3Y</v>
      </c>
      <c r="B269" s="26" t="str">
        <f>(Sheet1!B269)</f>
        <v>Gupta Automobiles - Padrauna</v>
      </c>
      <c r="C269" s="30" t="str">
        <f>Sheet1!BB269</f>
        <v>No</v>
      </c>
      <c r="D269" s="34" t="s">
        <v>13</v>
      </c>
      <c r="E269" s="34" t="s">
        <v>13</v>
      </c>
      <c r="F269" s="34" t="s">
        <v>3820</v>
      </c>
      <c r="G269" s="34">
        <v>290.0</v>
      </c>
      <c r="H269" s="34" t="s">
        <v>3853</v>
      </c>
      <c r="I269" s="34">
        <v>0.0</v>
      </c>
      <c r="J269" s="34">
        <v>100.0</v>
      </c>
      <c r="K269" s="34">
        <v>0.0</v>
      </c>
      <c r="L269" s="34">
        <v>0.0</v>
      </c>
      <c r="M269" s="33">
        <f>COUNTIFS('Data For Calculation - Insuranc'!A:A,A269,'Data For Calculation - Insuranc'!E:E,"CPA + RSA")</f>
        <v>0</v>
      </c>
      <c r="N269" s="34" t="s">
        <v>3820</v>
      </c>
      <c r="O269" s="34">
        <v>460.0</v>
      </c>
      <c r="P269" s="34" t="s">
        <v>3853</v>
      </c>
      <c r="Q269" s="34">
        <v>0.0</v>
      </c>
      <c r="R269" s="34">
        <v>100.0</v>
      </c>
      <c r="S269" s="34">
        <v>0.0</v>
      </c>
      <c r="T269" s="34">
        <v>0.0</v>
      </c>
      <c r="U269" s="33">
        <f>COUNTIFS('Data For Calculation - Insuranc'!A:A,A269,'Data For Calculation - Insuranc'!E:E,"CPA + RSA + AHDC + DOC")</f>
        <v>0</v>
      </c>
      <c r="V269" s="34" t="s">
        <v>3820</v>
      </c>
      <c r="W269" s="34">
        <v>838.99</v>
      </c>
      <c r="X269" s="34" t="s">
        <v>3853</v>
      </c>
      <c r="Y269" s="34">
        <v>0.0</v>
      </c>
      <c r="Z269" s="34">
        <v>100.0</v>
      </c>
      <c r="AA269" s="34">
        <v>0.0</v>
      </c>
      <c r="AB269" s="34">
        <v>0.0</v>
      </c>
      <c r="AC269" s="33">
        <f>COUNTIFS('Data For Calculation - Insuranc'!A:A,A269,'Data For Calculation - Insuranc'!E:E,"CPA + RSA : 5 Years")</f>
        <v>0</v>
      </c>
      <c r="AD269" s="34" t="s">
        <v>3820</v>
      </c>
      <c r="AE269" s="34">
        <v>838.99</v>
      </c>
      <c r="AF269" s="34" t="s">
        <v>3853</v>
      </c>
      <c r="AG269" s="34">
        <v>0.0</v>
      </c>
      <c r="AH269" s="34">
        <v>100.0</v>
      </c>
      <c r="AI269" s="34">
        <v>0.0</v>
      </c>
      <c r="AJ269" s="34">
        <v>0.0</v>
      </c>
      <c r="AK269" s="33">
        <f>COUNTIFS('Data For Calculation - Insuranc'!A:A,A269,'Data For Calculation - Insuranc'!E:E,"Assistance + CPA : 5 Years")</f>
        <v>0</v>
      </c>
      <c r="AL269" s="34" t="s">
        <v>3820</v>
      </c>
      <c r="AM269" s="34">
        <v>290.0</v>
      </c>
      <c r="AN269" s="34" t="s">
        <v>3853</v>
      </c>
      <c r="AO269" s="34">
        <v>0.0</v>
      </c>
      <c r="AP269" s="34">
        <v>100.0</v>
      </c>
      <c r="AQ269" s="34">
        <v>0.0</v>
      </c>
      <c r="AR269" s="34">
        <v>0.0</v>
      </c>
      <c r="AS269" s="33">
        <f>COUNTIFS('Data For Calculation - Insuranc'!A:A,A269,'Data For Calculation - Insuranc'!E:E,"RSA + AHDC + DOC")</f>
        <v>0</v>
      </c>
      <c r="BR269" s="33">
        <f t="shared" si="1"/>
        <v>0</v>
      </c>
      <c r="BS269" s="33">
        <f>SUMIFS('Data For Calculation - Insuranc'!I:I,'Data For Calculation - Insuranc'!$A:$A,$A269)</f>
        <v>0</v>
      </c>
      <c r="BT269" s="33">
        <f>SUMIFS('Data For Calculation - Insuranc'!J:J,'Data For Calculation - Insuranc'!$A:$A,$A269)</f>
        <v>0</v>
      </c>
      <c r="BU269" s="33">
        <f>SUMIFS('Data For Calculation - Insuranc'!K:K,'Data For Calculation - Insuranc'!$A:$A,$A269)</f>
        <v>0</v>
      </c>
      <c r="BV269" s="33">
        <f>IF($CC269 = "Dealer", SUMIFS('Data For Calculation - Insuranc'!I:I,'Data For Calculation - Insuranc'!$B:$B,$A269,'Data For Calculation - Insuranc'!$H:$H,"Master Dealer")) + SUMIFS('Data For Calculation - Insuranc'!I:I,'Data For Calculation - Insuranc'!$A:$A,$A269,'Data For Calculation - Insuranc'!$H:$H,"Self")</f>
        <v>0</v>
      </c>
      <c r="BW269" s="33">
        <f>IF($CC269 = "Dealer", SUMIFS('Data For Calculation - Insuranc'!J:J,'Data For Calculation - Insuranc'!$B:$B,$A269,'Data For Calculation - Insuranc'!$H:$H,"Master Dealer")) + SUMIFS('Data For Calculation - Insuranc'!J:J,'Data For Calculation - Insuranc'!$A:$A,$A269,'Data For Calculation - Insuranc'!$H:$H,"Self")</f>
        <v>0</v>
      </c>
      <c r="BX269" s="33">
        <f>IF($CC269 = "Dealer", SUMIFS('Data For Calculation - Insuranc'!K:K,'Data For Calculation - Insuranc'!$B:$B,$A269,'Data For Calculation - Insuranc'!$H:$H,"Master Dealer")) + SUMIFS('Data For Calculation - Insuranc'!K:K,'Data For Calculation - Insuranc'!$A:$A,$A269,'Data For Calculation - Insuranc'!$H:$H,"Self")</f>
        <v>0</v>
      </c>
      <c r="BY269" s="26" t="str">
        <f>(Sheet1!N269)</f>
        <v>Gupta Automobiles - Padrauna</v>
      </c>
      <c r="BZ269" s="26" t="str">
        <f>(Sheet1!O269)</f>
        <v>1Ql_6BdBcHGAyITSZt1pNUK3bW54CzeThIBXr7aH7K3Y</v>
      </c>
      <c r="CA269" s="25" t="str">
        <f>(Sheet1!AV269)</f>
        <v/>
      </c>
      <c r="CB269" s="25" t="str">
        <f>(Sheet1!AW269)</f>
        <v/>
      </c>
      <c r="CC269" s="26" t="str">
        <f>(Sheet1!P269)</f>
        <v>Dealer</v>
      </c>
    </row>
    <row r="270">
      <c r="A270" s="26" t="str">
        <f>(Sheet1!A270)</f>
        <v>1T9TOPNccEkZyvcMjs5_ErkZRFNoV3A33YcZPKCnjNeI</v>
      </c>
      <c r="B270" s="26" t="str">
        <f>(Sheet1!B270)</f>
        <v>VAISHNO MOTORS - JHUGAWA</v>
      </c>
      <c r="C270" s="30" t="str">
        <f>Sheet1!BB270</f>
        <v>No</v>
      </c>
      <c r="D270" s="34" t="s">
        <v>13</v>
      </c>
      <c r="E270" s="34" t="s">
        <v>13</v>
      </c>
      <c r="F270" s="34" t="s">
        <v>3820</v>
      </c>
      <c r="G270" s="34">
        <v>290.0</v>
      </c>
      <c r="H270" s="34" t="s">
        <v>3853</v>
      </c>
      <c r="I270" s="34">
        <v>0.0</v>
      </c>
      <c r="J270" s="34">
        <v>100.0</v>
      </c>
      <c r="K270" s="34">
        <v>0.0</v>
      </c>
      <c r="L270" s="34">
        <v>0.0</v>
      </c>
      <c r="M270" s="33">
        <f>COUNTIFS('Data For Calculation - Insuranc'!A:A,A270,'Data For Calculation - Insuranc'!E:E,"CPA + RSA")</f>
        <v>0</v>
      </c>
      <c r="N270" s="34" t="s">
        <v>3820</v>
      </c>
      <c r="O270" s="34">
        <v>460.0</v>
      </c>
      <c r="P270" s="34" t="s">
        <v>3853</v>
      </c>
      <c r="Q270" s="34">
        <v>0.0</v>
      </c>
      <c r="R270" s="34">
        <v>100.0</v>
      </c>
      <c r="S270" s="34">
        <v>0.0</v>
      </c>
      <c r="T270" s="34">
        <v>0.0</v>
      </c>
      <c r="U270" s="33">
        <f>COUNTIFS('Data For Calculation - Insuranc'!A:A,A270,'Data For Calculation - Insuranc'!E:E,"CPA + RSA + AHDC + DOC")</f>
        <v>0</v>
      </c>
      <c r="V270" s="34" t="s">
        <v>3820</v>
      </c>
      <c r="W270" s="34">
        <v>838.99</v>
      </c>
      <c r="X270" s="34" t="s">
        <v>3853</v>
      </c>
      <c r="Y270" s="34">
        <v>0.0</v>
      </c>
      <c r="Z270" s="34">
        <v>100.0</v>
      </c>
      <c r="AA270" s="34">
        <v>0.0</v>
      </c>
      <c r="AB270" s="34">
        <v>0.0</v>
      </c>
      <c r="AC270" s="33">
        <f>COUNTIFS('Data For Calculation - Insuranc'!A:A,A270,'Data For Calculation - Insuranc'!E:E,"CPA + RSA : 5 Years")</f>
        <v>0</v>
      </c>
      <c r="AD270" s="34" t="s">
        <v>3820</v>
      </c>
      <c r="AE270" s="34">
        <v>838.99</v>
      </c>
      <c r="AF270" s="34" t="s">
        <v>3853</v>
      </c>
      <c r="AG270" s="34">
        <v>0.0</v>
      </c>
      <c r="AH270" s="34">
        <v>100.0</v>
      </c>
      <c r="AI270" s="34">
        <v>0.0</v>
      </c>
      <c r="AJ270" s="34">
        <v>0.0</v>
      </c>
      <c r="AK270" s="33">
        <f>COUNTIFS('Data For Calculation - Insuranc'!A:A,A270,'Data For Calculation - Insuranc'!E:E,"Assistance + CPA : 5 Years")</f>
        <v>0</v>
      </c>
      <c r="AL270" s="34" t="s">
        <v>3820</v>
      </c>
      <c r="AM270" s="34">
        <v>290.0</v>
      </c>
      <c r="AN270" s="34" t="s">
        <v>3853</v>
      </c>
      <c r="AO270" s="34">
        <v>0.0</v>
      </c>
      <c r="AP270" s="34">
        <v>100.0</v>
      </c>
      <c r="AQ270" s="34">
        <v>0.0</v>
      </c>
      <c r="AR270" s="34">
        <v>0.0</v>
      </c>
      <c r="AS270" s="33">
        <f>COUNTIFS('Data For Calculation - Insuranc'!A:A,A270,'Data For Calculation - Insuranc'!E:E,"RSA + AHDC + DOC")</f>
        <v>0</v>
      </c>
      <c r="BR270" s="33">
        <f t="shared" si="1"/>
        <v>0</v>
      </c>
      <c r="BS270" s="33">
        <f>SUMIFS('Data For Calculation - Insuranc'!I:I,'Data For Calculation - Insuranc'!$A:$A,$A270)</f>
        <v>0</v>
      </c>
      <c r="BT270" s="33">
        <f>SUMIFS('Data For Calculation - Insuranc'!J:J,'Data For Calculation - Insuranc'!$A:$A,$A270)</f>
        <v>0</v>
      </c>
      <c r="BU270" s="33">
        <f>SUMIFS('Data For Calculation - Insuranc'!K:K,'Data For Calculation - Insuranc'!$A:$A,$A270)</f>
        <v>0</v>
      </c>
      <c r="BV270" s="33">
        <f>IF($CC270 = "Dealer", SUMIFS('Data For Calculation - Insuranc'!I:I,'Data For Calculation - Insuranc'!$B:$B,$A270,'Data For Calculation - Insuranc'!$H:$H,"Master Dealer")) + SUMIFS('Data For Calculation - Insuranc'!I:I,'Data For Calculation - Insuranc'!$A:$A,$A270,'Data For Calculation - Insuranc'!$H:$H,"Self")</f>
        <v>0</v>
      </c>
      <c r="BW270" s="33">
        <f>IF($CC270 = "Dealer", SUMIFS('Data For Calculation - Insuranc'!J:J,'Data For Calculation - Insuranc'!$B:$B,$A270,'Data For Calculation - Insuranc'!$H:$H,"Master Dealer")) + SUMIFS('Data For Calculation - Insuranc'!J:J,'Data For Calculation - Insuranc'!$A:$A,$A270,'Data For Calculation - Insuranc'!$H:$H,"Self")</f>
        <v>0</v>
      </c>
      <c r="BX270" s="33">
        <f>IF($CC270 = "Dealer", SUMIFS('Data For Calculation - Insuranc'!K:K,'Data For Calculation - Insuranc'!$B:$B,$A270,'Data For Calculation - Insuranc'!$H:$H,"Master Dealer")) + SUMIFS('Data For Calculation - Insuranc'!K:K,'Data For Calculation - Insuranc'!$A:$A,$A270,'Data For Calculation - Insuranc'!$H:$H,"Self")</f>
        <v>0</v>
      </c>
      <c r="BY270" s="26" t="str">
        <f>(Sheet1!N270)</f>
        <v>VAISHNO MOTORS - JHUGAWA</v>
      </c>
      <c r="BZ270" s="26" t="str">
        <f>(Sheet1!O270)</f>
        <v>1T9TOPNccEkZyvcMjs5_ErkZRFNoV3A33YcZPKCnjNeI</v>
      </c>
      <c r="CA270" s="25" t="str">
        <f>(Sheet1!AV270)</f>
        <v/>
      </c>
      <c r="CB270" s="25" t="str">
        <f>(Sheet1!AW270)</f>
        <v/>
      </c>
      <c r="CC270" s="26" t="str">
        <f>(Sheet1!P270)</f>
        <v>Dealer</v>
      </c>
    </row>
    <row r="271">
      <c r="A271" s="26" t="str">
        <f>(Sheet1!A271)</f>
        <v>1XA3IU40iudWqjc-iMpo4sIeP_Jq8_MOSk2H-xzRtlHA</v>
      </c>
      <c r="B271" s="26" t="str">
        <f>(Sheet1!B271)</f>
        <v>Gupta automobiles(GA)- Ramkola road</v>
      </c>
      <c r="C271" s="30" t="str">
        <f>Sheet1!BB271</f>
        <v>No</v>
      </c>
      <c r="D271" s="34" t="s">
        <v>13</v>
      </c>
      <c r="E271" s="34" t="s">
        <v>13</v>
      </c>
      <c r="F271" s="34" t="s">
        <v>3820</v>
      </c>
      <c r="G271" s="34">
        <v>290.0</v>
      </c>
      <c r="H271" s="34" t="s">
        <v>3853</v>
      </c>
      <c r="I271" s="34">
        <v>0.0</v>
      </c>
      <c r="J271" s="34">
        <v>100.0</v>
      </c>
      <c r="K271" s="34">
        <v>0.0</v>
      </c>
      <c r="L271" s="34">
        <v>0.0</v>
      </c>
      <c r="M271" s="33">
        <f>COUNTIFS('Data For Calculation - Insuranc'!A:A,A271,'Data For Calculation - Insuranc'!E:E,"CPA + RSA")</f>
        <v>0</v>
      </c>
      <c r="N271" s="34" t="s">
        <v>3820</v>
      </c>
      <c r="O271" s="34">
        <v>460.0</v>
      </c>
      <c r="P271" s="34" t="s">
        <v>3853</v>
      </c>
      <c r="Q271" s="34">
        <v>0.0</v>
      </c>
      <c r="R271" s="34">
        <v>100.0</v>
      </c>
      <c r="S271" s="34">
        <v>0.0</v>
      </c>
      <c r="T271" s="34">
        <v>0.0</v>
      </c>
      <c r="U271" s="33">
        <f>COUNTIFS('Data For Calculation - Insuranc'!A:A,A271,'Data For Calculation - Insuranc'!E:E,"CPA + RSA + AHDC + DOC")</f>
        <v>0</v>
      </c>
      <c r="V271" s="34" t="s">
        <v>3820</v>
      </c>
      <c r="W271" s="34">
        <v>838.99</v>
      </c>
      <c r="X271" s="34" t="s">
        <v>3853</v>
      </c>
      <c r="Y271" s="34">
        <v>0.0</v>
      </c>
      <c r="Z271" s="34">
        <v>100.0</v>
      </c>
      <c r="AA271" s="34">
        <v>0.0</v>
      </c>
      <c r="AB271" s="34">
        <v>0.0</v>
      </c>
      <c r="AC271" s="33">
        <f>COUNTIFS('Data For Calculation - Insuranc'!A:A,A271,'Data For Calculation - Insuranc'!E:E,"CPA + RSA : 5 Years")</f>
        <v>0</v>
      </c>
      <c r="AD271" s="34" t="s">
        <v>3820</v>
      </c>
      <c r="AE271" s="34">
        <v>838.99</v>
      </c>
      <c r="AF271" s="34" t="s">
        <v>3853</v>
      </c>
      <c r="AG271" s="34">
        <v>0.0</v>
      </c>
      <c r="AH271" s="34">
        <v>100.0</v>
      </c>
      <c r="AI271" s="34">
        <v>0.0</v>
      </c>
      <c r="AJ271" s="34">
        <v>0.0</v>
      </c>
      <c r="AK271" s="33">
        <f>COUNTIFS('Data For Calculation - Insuranc'!A:A,A271,'Data For Calculation - Insuranc'!E:E,"Assistance + CPA : 5 Years")</f>
        <v>0</v>
      </c>
      <c r="AL271" s="34" t="s">
        <v>3820</v>
      </c>
      <c r="AM271" s="34">
        <v>290.0</v>
      </c>
      <c r="AN271" s="34" t="s">
        <v>3853</v>
      </c>
      <c r="AO271" s="34">
        <v>0.0</v>
      </c>
      <c r="AP271" s="34">
        <v>100.0</v>
      </c>
      <c r="AQ271" s="34">
        <v>0.0</v>
      </c>
      <c r="AR271" s="34">
        <v>0.0</v>
      </c>
      <c r="AS271" s="33">
        <f>COUNTIFS('Data For Calculation - Insuranc'!A:A,A271,'Data For Calculation - Insuranc'!E:E,"RSA + AHDC + DOC")</f>
        <v>0</v>
      </c>
      <c r="BR271" s="33">
        <f t="shared" si="1"/>
        <v>0</v>
      </c>
      <c r="BS271" s="33">
        <f>SUMIFS('Data For Calculation - Insuranc'!I:I,'Data For Calculation - Insuranc'!$A:$A,$A271)</f>
        <v>0</v>
      </c>
      <c r="BT271" s="33">
        <f>SUMIFS('Data For Calculation - Insuranc'!J:J,'Data For Calculation - Insuranc'!$A:$A,$A271)</f>
        <v>0</v>
      </c>
      <c r="BU271" s="33">
        <f>SUMIFS('Data For Calculation - Insuranc'!K:K,'Data For Calculation - Insuranc'!$A:$A,$A271)</f>
        <v>0</v>
      </c>
      <c r="BV271" s="33">
        <f>IF($CC271 = "Dealer", SUMIFS('Data For Calculation - Insuranc'!I:I,'Data For Calculation - Insuranc'!$B:$B,$A271,'Data For Calculation - Insuranc'!$H:$H,"Master Dealer")) + SUMIFS('Data For Calculation - Insuranc'!I:I,'Data For Calculation - Insuranc'!$A:$A,$A271,'Data For Calculation - Insuranc'!$H:$H,"Self")</f>
        <v>0</v>
      </c>
      <c r="BW271" s="33">
        <f>IF($CC271 = "Dealer", SUMIFS('Data For Calculation - Insuranc'!J:J,'Data For Calculation - Insuranc'!$B:$B,$A271,'Data For Calculation - Insuranc'!$H:$H,"Master Dealer")) + SUMIFS('Data For Calculation - Insuranc'!J:J,'Data For Calculation - Insuranc'!$A:$A,$A271,'Data For Calculation - Insuranc'!$H:$H,"Self")</f>
        <v>0</v>
      </c>
      <c r="BX271" s="33">
        <f>IF($CC271 = "Dealer", SUMIFS('Data For Calculation - Insuranc'!K:K,'Data For Calculation - Insuranc'!$B:$B,$A271,'Data For Calculation - Insuranc'!$H:$H,"Master Dealer")) + SUMIFS('Data For Calculation - Insuranc'!K:K,'Data For Calculation - Insuranc'!$A:$A,$A271,'Data For Calculation - Insuranc'!$H:$H,"Self")</f>
        <v>0</v>
      </c>
      <c r="BY271" s="26" t="str">
        <f>(Sheet1!N271)</f>
        <v>Gupta Automobiles - Padrauna</v>
      </c>
      <c r="BZ271" s="26" t="str">
        <f>(Sheet1!O271)</f>
        <v>1Ql_6BdBcHGAyITSZt1pNUK3bW54CzeThIBXr7aH7K3Y</v>
      </c>
      <c r="CA271" s="25" t="str">
        <f>(Sheet1!AV271)</f>
        <v/>
      </c>
      <c r="CB271" s="25" t="str">
        <f>(Sheet1!AW271)</f>
        <v/>
      </c>
      <c r="CC271" s="26" t="str">
        <f>(Sheet1!P271)</f>
        <v>Sub Dealer</v>
      </c>
    </row>
    <row r="272">
      <c r="A272" s="26" t="str">
        <f>(Sheet1!A272)</f>
        <v>1xdBmlu3NG6ftZ2So7cKWCZU08O5EvzyDf43msSPJABE</v>
      </c>
      <c r="B272" s="26" t="str">
        <f>(Sheet1!B272)</f>
        <v>Shri Guru Motors (GA) - PAKADIYAR BAZAR</v>
      </c>
      <c r="C272" s="30" t="str">
        <f>Sheet1!BB272</f>
        <v>No</v>
      </c>
      <c r="D272" s="34" t="s">
        <v>13</v>
      </c>
      <c r="E272" s="34" t="s">
        <v>13</v>
      </c>
      <c r="F272" s="34" t="s">
        <v>3820</v>
      </c>
      <c r="G272" s="34">
        <v>290.0</v>
      </c>
      <c r="H272" s="34" t="s">
        <v>3853</v>
      </c>
      <c r="I272" s="34">
        <v>0.0</v>
      </c>
      <c r="J272" s="34">
        <v>100.0</v>
      </c>
      <c r="K272" s="34">
        <v>0.0</v>
      </c>
      <c r="L272" s="34">
        <v>0.0</v>
      </c>
      <c r="M272" s="33">
        <f>COUNTIFS('Data For Calculation - Insuranc'!A:A,A272,'Data For Calculation - Insuranc'!E:E,"CPA + RSA")</f>
        <v>0</v>
      </c>
      <c r="N272" s="34" t="s">
        <v>3820</v>
      </c>
      <c r="O272" s="34">
        <v>460.0</v>
      </c>
      <c r="P272" s="34" t="s">
        <v>3853</v>
      </c>
      <c r="Q272" s="34">
        <v>0.0</v>
      </c>
      <c r="R272" s="34">
        <v>100.0</v>
      </c>
      <c r="S272" s="34">
        <v>0.0</v>
      </c>
      <c r="T272" s="34">
        <v>0.0</v>
      </c>
      <c r="U272" s="33">
        <f>COUNTIFS('Data For Calculation - Insuranc'!A:A,A272,'Data For Calculation - Insuranc'!E:E,"CPA + RSA + AHDC + DOC")</f>
        <v>0</v>
      </c>
      <c r="V272" s="34" t="s">
        <v>3820</v>
      </c>
      <c r="W272" s="34">
        <v>838.99</v>
      </c>
      <c r="X272" s="34" t="s">
        <v>3853</v>
      </c>
      <c r="Y272" s="34">
        <v>0.0</v>
      </c>
      <c r="Z272" s="34">
        <v>100.0</v>
      </c>
      <c r="AA272" s="34">
        <v>0.0</v>
      </c>
      <c r="AB272" s="34">
        <v>0.0</v>
      </c>
      <c r="AC272" s="33">
        <f>COUNTIFS('Data For Calculation - Insuranc'!A:A,A272,'Data For Calculation - Insuranc'!E:E,"CPA + RSA : 5 Years")</f>
        <v>0</v>
      </c>
      <c r="AD272" s="34" t="s">
        <v>3820</v>
      </c>
      <c r="AE272" s="34">
        <v>838.99</v>
      </c>
      <c r="AF272" s="34" t="s">
        <v>3853</v>
      </c>
      <c r="AG272" s="34">
        <v>0.0</v>
      </c>
      <c r="AH272" s="34">
        <v>100.0</v>
      </c>
      <c r="AI272" s="34">
        <v>0.0</v>
      </c>
      <c r="AJ272" s="34">
        <v>0.0</v>
      </c>
      <c r="AK272" s="33">
        <f>COUNTIFS('Data For Calculation - Insuranc'!A:A,A272,'Data For Calculation - Insuranc'!E:E,"Assistance + CPA : 5 Years")</f>
        <v>0</v>
      </c>
      <c r="AL272" s="34" t="s">
        <v>3820</v>
      </c>
      <c r="AM272" s="34">
        <v>290.0</v>
      </c>
      <c r="AN272" s="34" t="s">
        <v>3853</v>
      </c>
      <c r="AO272" s="34">
        <v>0.0</v>
      </c>
      <c r="AP272" s="34">
        <v>100.0</v>
      </c>
      <c r="AQ272" s="34">
        <v>0.0</v>
      </c>
      <c r="AR272" s="34">
        <v>0.0</v>
      </c>
      <c r="AS272" s="33">
        <f>COUNTIFS('Data For Calculation - Insuranc'!A:A,A272,'Data For Calculation - Insuranc'!E:E,"RSA + AHDC + DOC")</f>
        <v>0</v>
      </c>
      <c r="BR272" s="33">
        <f t="shared" si="1"/>
        <v>0</v>
      </c>
      <c r="BS272" s="33">
        <f>SUMIFS('Data For Calculation - Insuranc'!I:I,'Data For Calculation - Insuranc'!$A:$A,$A272)</f>
        <v>0</v>
      </c>
      <c r="BT272" s="33">
        <f>SUMIFS('Data For Calculation - Insuranc'!J:J,'Data For Calculation - Insuranc'!$A:$A,$A272)</f>
        <v>0</v>
      </c>
      <c r="BU272" s="33">
        <f>SUMIFS('Data For Calculation - Insuranc'!K:K,'Data For Calculation - Insuranc'!$A:$A,$A272)</f>
        <v>0</v>
      </c>
      <c r="BV272" s="33">
        <f>IF($CC272 = "Dealer", SUMIFS('Data For Calculation - Insuranc'!I:I,'Data For Calculation - Insuranc'!$B:$B,$A272,'Data For Calculation - Insuranc'!$H:$H,"Master Dealer")) + SUMIFS('Data For Calculation - Insuranc'!I:I,'Data For Calculation - Insuranc'!$A:$A,$A272,'Data For Calculation - Insuranc'!$H:$H,"Self")</f>
        <v>0</v>
      </c>
      <c r="BW272" s="33">
        <f>IF($CC272 = "Dealer", SUMIFS('Data For Calculation - Insuranc'!J:J,'Data For Calculation - Insuranc'!$B:$B,$A272,'Data For Calculation - Insuranc'!$H:$H,"Master Dealer")) + SUMIFS('Data For Calculation - Insuranc'!J:J,'Data For Calculation - Insuranc'!$A:$A,$A272,'Data For Calculation - Insuranc'!$H:$H,"Self")</f>
        <v>0</v>
      </c>
      <c r="BX272" s="33">
        <f>IF($CC272 = "Dealer", SUMIFS('Data For Calculation - Insuranc'!K:K,'Data For Calculation - Insuranc'!$B:$B,$A272,'Data For Calculation - Insuranc'!$H:$H,"Master Dealer")) + SUMIFS('Data For Calculation - Insuranc'!K:K,'Data For Calculation - Insuranc'!$A:$A,$A272,'Data For Calculation - Insuranc'!$H:$H,"Self")</f>
        <v>0</v>
      </c>
      <c r="BY272" s="26" t="str">
        <f>(Sheet1!N272)</f>
        <v>Gupta Automobiles - Padrauna</v>
      </c>
      <c r="BZ272" s="26" t="str">
        <f>(Sheet1!O272)</f>
        <v>1Ql_6BdBcHGAyITSZt1pNUK3bW54CzeThIBXr7aH7K3Y</v>
      </c>
      <c r="CA272" s="25" t="str">
        <f>(Sheet1!AV272)</f>
        <v/>
      </c>
      <c r="CB272" s="25" t="str">
        <f>(Sheet1!AW272)</f>
        <v/>
      </c>
      <c r="CC272" s="26" t="str">
        <f>(Sheet1!P272)</f>
        <v>Sub Dealer</v>
      </c>
    </row>
    <row r="273">
      <c r="A273" s="26" t="str">
        <f>(Sheet1!A273)</f>
        <v>1_5VG-F35BWYeavx2Egt3_WJsCY1xhX1lyqQW8SX-6Tg</v>
      </c>
      <c r="B273" s="26" t="str">
        <f>(Sheet1!B273)</f>
        <v>SINGLA AGENCIES- BADARPUR</v>
      </c>
      <c r="C273" s="30" t="str">
        <f>Sheet1!BB273</f>
        <v>No</v>
      </c>
      <c r="D273" s="34" t="s">
        <v>13</v>
      </c>
      <c r="E273" s="34" t="s">
        <v>13</v>
      </c>
      <c r="F273" s="34" t="s">
        <v>3820</v>
      </c>
      <c r="G273" s="34">
        <v>290.0</v>
      </c>
      <c r="H273" s="34" t="s">
        <v>3853</v>
      </c>
      <c r="I273" s="34">
        <v>0.0</v>
      </c>
      <c r="J273" s="34">
        <v>100.0</v>
      </c>
      <c r="K273" s="34">
        <v>0.0</v>
      </c>
      <c r="L273" s="34">
        <v>0.0</v>
      </c>
      <c r="M273" s="33">
        <f>COUNTIFS('Data For Calculation - Insuranc'!A:A,A273,'Data For Calculation - Insuranc'!E:E,"CPA + RSA")</f>
        <v>0</v>
      </c>
      <c r="N273" s="34" t="s">
        <v>3820</v>
      </c>
      <c r="O273" s="34">
        <v>460.0</v>
      </c>
      <c r="P273" s="34" t="s">
        <v>3853</v>
      </c>
      <c r="Q273" s="34">
        <v>0.0</v>
      </c>
      <c r="R273" s="34">
        <v>100.0</v>
      </c>
      <c r="S273" s="34">
        <v>0.0</v>
      </c>
      <c r="T273" s="34">
        <v>0.0</v>
      </c>
      <c r="U273" s="33">
        <f>COUNTIFS('Data For Calculation - Insuranc'!A:A,A273,'Data For Calculation - Insuranc'!E:E,"CPA + RSA + AHDC + DOC")</f>
        <v>0</v>
      </c>
      <c r="V273" s="34" t="s">
        <v>3820</v>
      </c>
      <c r="W273" s="34">
        <v>838.99</v>
      </c>
      <c r="X273" s="34" t="s">
        <v>3853</v>
      </c>
      <c r="Y273" s="34">
        <v>0.0</v>
      </c>
      <c r="Z273" s="34">
        <v>100.0</v>
      </c>
      <c r="AA273" s="34">
        <v>0.0</v>
      </c>
      <c r="AB273" s="34">
        <v>0.0</v>
      </c>
      <c r="AC273" s="33">
        <f>COUNTIFS('Data For Calculation - Insuranc'!A:A,A273,'Data For Calculation - Insuranc'!E:E,"CPA + RSA : 5 Years")</f>
        <v>0</v>
      </c>
      <c r="AD273" s="34" t="s">
        <v>3820</v>
      </c>
      <c r="AE273" s="34">
        <v>838.99</v>
      </c>
      <c r="AF273" s="34" t="s">
        <v>3853</v>
      </c>
      <c r="AG273" s="34">
        <v>0.0</v>
      </c>
      <c r="AH273" s="34">
        <v>100.0</v>
      </c>
      <c r="AI273" s="34">
        <v>0.0</v>
      </c>
      <c r="AJ273" s="34">
        <v>0.0</v>
      </c>
      <c r="AK273" s="33">
        <f>COUNTIFS('Data For Calculation - Insuranc'!A:A,A273,'Data For Calculation - Insuranc'!E:E,"Assistance + CPA : 5 Years")</f>
        <v>0</v>
      </c>
      <c r="AL273" s="34" t="s">
        <v>3820</v>
      </c>
      <c r="AM273" s="34">
        <v>290.0</v>
      </c>
      <c r="AN273" s="34" t="s">
        <v>3853</v>
      </c>
      <c r="AO273" s="34">
        <v>0.0</v>
      </c>
      <c r="AP273" s="34">
        <v>100.0</v>
      </c>
      <c r="AQ273" s="34">
        <v>0.0</v>
      </c>
      <c r="AR273" s="34">
        <v>0.0</v>
      </c>
      <c r="AS273" s="33">
        <f>COUNTIFS('Data For Calculation - Insuranc'!A:A,A273,'Data For Calculation - Insuranc'!E:E,"RSA + AHDC + DOC")</f>
        <v>0</v>
      </c>
      <c r="BR273" s="33">
        <f t="shared" si="1"/>
        <v>0</v>
      </c>
      <c r="BS273" s="33">
        <f>SUMIFS('Data For Calculation - Insuranc'!I:I,'Data For Calculation - Insuranc'!$A:$A,$A273)</f>
        <v>0</v>
      </c>
      <c r="BT273" s="33">
        <f>SUMIFS('Data For Calculation - Insuranc'!J:J,'Data For Calculation - Insuranc'!$A:$A,$A273)</f>
        <v>0</v>
      </c>
      <c r="BU273" s="33">
        <f>SUMIFS('Data For Calculation - Insuranc'!K:K,'Data For Calculation - Insuranc'!$A:$A,$A273)</f>
        <v>0</v>
      </c>
      <c r="BV273" s="33">
        <f>IF($CC273 = "Dealer", SUMIFS('Data For Calculation - Insuranc'!I:I,'Data For Calculation - Insuranc'!$B:$B,$A273,'Data For Calculation - Insuranc'!$H:$H,"Master Dealer")) + SUMIFS('Data For Calculation - Insuranc'!I:I,'Data For Calculation - Insuranc'!$A:$A,$A273,'Data For Calculation - Insuranc'!$H:$H,"Self")</f>
        <v>0</v>
      </c>
      <c r="BW273" s="33">
        <f>IF($CC273 = "Dealer", SUMIFS('Data For Calculation - Insuranc'!J:J,'Data For Calculation - Insuranc'!$B:$B,$A273,'Data For Calculation - Insuranc'!$H:$H,"Master Dealer")) + SUMIFS('Data For Calculation - Insuranc'!J:J,'Data For Calculation - Insuranc'!$A:$A,$A273,'Data For Calculation - Insuranc'!$H:$H,"Self")</f>
        <v>0</v>
      </c>
      <c r="BX273" s="33">
        <f>IF($CC273 = "Dealer", SUMIFS('Data For Calculation - Insuranc'!K:K,'Data For Calculation - Insuranc'!$B:$B,$A273,'Data For Calculation - Insuranc'!$H:$H,"Master Dealer")) + SUMIFS('Data For Calculation - Insuranc'!K:K,'Data For Calculation - Insuranc'!$A:$A,$A273,'Data For Calculation - Insuranc'!$H:$H,"Self")</f>
        <v>0</v>
      </c>
      <c r="BY273" s="26" t="str">
        <f>(Sheet1!N273)</f>
        <v>SINGLA AGENCIES- BADARPUR</v>
      </c>
      <c r="BZ273" s="26" t="str">
        <f>(Sheet1!O273)</f>
        <v>1_5VG-F35BWYeavx2Egt3_WJsCY1xhX1lyqQW8SX-6Tg</v>
      </c>
      <c r="CA273" s="25" t="str">
        <f>(Sheet1!AV273)</f>
        <v/>
      </c>
      <c r="CB273" s="25" t="str">
        <f>(Sheet1!AW273)</f>
        <v/>
      </c>
      <c r="CC273" s="26" t="str">
        <f>(Sheet1!P273)</f>
        <v>Dealer</v>
      </c>
    </row>
    <row r="274">
      <c r="A274" s="26" t="str">
        <f>(Sheet1!A274)</f>
        <v>19pAMM1ODD7HC9W7d0aVqaU20HF154F5SEq_JiEg9FBM</v>
      </c>
      <c r="B274" s="26" t="str">
        <f>(Sheet1!B274)</f>
        <v>J k Motors (GA) - Mansoorganj </v>
      </c>
      <c r="C274" s="30" t="str">
        <f>Sheet1!BB274</f>
        <v>No</v>
      </c>
      <c r="D274" s="34" t="s">
        <v>13</v>
      </c>
      <c r="E274" s="34" t="s">
        <v>13</v>
      </c>
      <c r="F274" s="34" t="s">
        <v>3820</v>
      </c>
      <c r="G274" s="34">
        <v>290.0</v>
      </c>
      <c r="H274" s="34" t="s">
        <v>3853</v>
      </c>
      <c r="I274" s="34">
        <v>0.0</v>
      </c>
      <c r="J274" s="34">
        <v>100.0</v>
      </c>
      <c r="K274" s="34">
        <v>0.0</v>
      </c>
      <c r="L274" s="34">
        <v>0.0</v>
      </c>
      <c r="M274" s="33">
        <f>COUNTIFS('Data For Calculation - Insuranc'!A:A,A274,'Data For Calculation - Insuranc'!E:E,"CPA + RSA")</f>
        <v>0</v>
      </c>
      <c r="N274" s="34" t="s">
        <v>3820</v>
      </c>
      <c r="O274" s="34">
        <v>460.0</v>
      </c>
      <c r="P274" s="34" t="s">
        <v>3853</v>
      </c>
      <c r="Q274" s="34">
        <v>0.0</v>
      </c>
      <c r="R274" s="34">
        <v>100.0</v>
      </c>
      <c r="S274" s="34">
        <v>0.0</v>
      </c>
      <c r="T274" s="34">
        <v>0.0</v>
      </c>
      <c r="U274" s="33">
        <f>COUNTIFS('Data For Calculation - Insuranc'!A:A,A274,'Data For Calculation - Insuranc'!E:E,"CPA + RSA + AHDC + DOC")</f>
        <v>0</v>
      </c>
      <c r="V274" s="34" t="s">
        <v>3820</v>
      </c>
      <c r="W274" s="34">
        <v>838.99</v>
      </c>
      <c r="X274" s="34" t="s">
        <v>3853</v>
      </c>
      <c r="Y274" s="34">
        <v>0.0</v>
      </c>
      <c r="Z274" s="34">
        <v>100.0</v>
      </c>
      <c r="AA274" s="34">
        <v>0.0</v>
      </c>
      <c r="AB274" s="34">
        <v>0.0</v>
      </c>
      <c r="AC274" s="33">
        <f>COUNTIFS('Data For Calculation - Insuranc'!A:A,A274,'Data For Calculation - Insuranc'!E:E,"CPA + RSA : 5 Years")</f>
        <v>0</v>
      </c>
      <c r="AD274" s="34" t="s">
        <v>3820</v>
      </c>
      <c r="AE274" s="34">
        <v>838.99</v>
      </c>
      <c r="AF274" s="34" t="s">
        <v>3853</v>
      </c>
      <c r="AG274" s="34">
        <v>0.0</v>
      </c>
      <c r="AH274" s="34">
        <v>100.0</v>
      </c>
      <c r="AI274" s="34">
        <v>0.0</v>
      </c>
      <c r="AJ274" s="34">
        <v>0.0</v>
      </c>
      <c r="AK274" s="33">
        <f>COUNTIFS('Data For Calculation - Insuranc'!A:A,A274,'Data For Calculation - Insuranc'!E:E,"Assistance + CPA : 5 Years")</f>
        <v>0</v>
      </c>
      <c r="AL274" s="34" t="s">
        <v>3820</v>
      </c>
      <c r="AM274" s="34">
        <v>290.0</v>
      </c>
      <c r="AN274" s="34" t="s">
        <v>3853</v>
      </c>
      <c r="AO274" s="34">
        <v>0.0</v>
      </c>
      <c r="AP274" s="34">
        <v>100.0</v>
      </c>
      <c r="AQ274" s="34">
        <v>0.0</v>
      </c>
      <c r="AR274" s="34">
        <v>0.0</v>
      </c>
      <c r="AS274" s="33">
        <f>COUNTIFS('Data For Calculation - Insuranc'!A:A,A274,'Data For Calculation - Insuranc'!E:E,"RSA + AHDC + DOC")</f>
        <v>0</v>
      </c>
      <c r="BR274" s="33">
        <f t="shared" si="1"/>
        <v>0</v>
      </c>
      <c r="BS274" s="33">
        <f>SUMIFS('Data For Calculation - Insuranc'!I:I,'Data For Calculation - Insuranc'!$A:$A,$A274)</f>
        <v>0</v>
      </c>
      <c r="BT274" s="33">
        <f>SUMIFS('Data For Calculation - Insuranc'!J:J,'Data For Calculation - Insuranc'!$A:$A,$A274)</f>
        <v>0</v>
      </c>
      <c r="BU274" s="33">
        <f>SUMIFS('Data For Calculation - Insuranc'!K:K,'Data For Calculation - Insuranc'!$A:$A,$A274)</f>
        <v>0</v>
      </c>
      <c r="BV274" s="33">
        <f>IF($CC274 = "Dealer", SUMIFS('Data For Calculation - Insuranc'!I:I,'Data For Calculation - Insuranc'!$B:$B,$A274,'Data For Calculation - Insuranc'!$H:$H,"Master Dealer")) + SUMIFS('Data For Calculation - Insuranc'!I:I,'Data For Calculation - Insuranc'!$A:$A,$A274,'Data For Calculation - Insuranc'!$H:$H,"Self")</f>
        <v>0</v>
      </c>
      <c r="BW274" s="33">
        <f>IF($CC274 = "Dealer", SUMIFS('Data For Calculation - Insuranc'!J:J,'Data For Calculation - Insuranc'!$B:$B,$A274,'Data For Calculation - Insuranc'!$H:$H,"Master Dealer")) + SUMIFS('Data For Calculation - Insuranc'!J:J,'Data For Calculation - Insuranc'!$A:$A,$A274,'Data For Calculation - Insuranc'!$H:$H,"Self")</f>
        <v>0</v>
      </c>
      <c r="BX274" s="33">
        <f>IF($CC274 = "Dealer", SUMIFS('Data For Calculation - Insuranc'!K:K,'Data For Calculation - Insuranc'!$B:$B,$A274,'Data For Calculation - Insuranc'!$H:$H,"Master Dealer")) + SUMIFS('Data For Calculation - Insuranc'!K:K,'Data For Calculation - Insuranc'!$A:$A,$A274,'Data For Calculation - Insuranc'!$H:$H,"Self")</f>
        <v>0</v>
      </c>
      <c r="BY274" s="26" t="str">
        <f>(Sheet1!N274)</f>
        <v>Gupta Automobiles - Padrauna</v>
      </c>
      <c r="BZ274" s="26" t="str">
        <f>(Sheet1!O274)</f>
        <v>1Ql_6BdBcHGAyITSZt1pNUK3bW54CzeThIBXr7aH7K3Y</v>
      </c>
      <c r="CA274" s="25" t="str">
        <f>(Sheet1!AV274)</f>
        <v/>
      </c>
      <c r="CB274" s="25" t="str">
        <f>(Sheet1!AW274)</f>
        <v/>
      </c>
      <c r="CC274" s="26" t="str">
        <f>(Sheet1!P274)</f>
        <v>Sub Dealer</v>
      </c>
    </row>
    <row r="275">
      <c r="A275" s="26" t="str">
        <f>(Sheet1!A275)</f>
        <v>1mc_8vM2cvVxFaLxhqehg3pn4kwEVbCwCJJWsBRw5SJA</v>
      </c>
      <c r="B275" s="26" t="str">
        <f>(Sheet1!B275)</f>
        <v>Singla Agencies-Sangam vihar-(SAB)</v>
      </c>
      <c r="C275" s="30" t="str">
        <f>Sheet1!BB275</f>
        <v>No</v>
      </c>
      <c r="D275" s="34" t="s">
        <v>13</v>
      </c>
      <c r="E275" s="34" t="s">
        <v>13</v>
      </c>
      <c r="F275" s="34" t="s">
        <v>3820</v>
      </c>
      <c r="G275" s="34">
        <v>290.0</v>
      </c>
      <c r="H275" s="34" t="s">
        <v>3853</v>
      </c>
      <c r="I275" s="34">
        <v>0.0</v>
      </c>
      <c r="J275" s="34">
        <v>100.0</v>
      </c>
      <c r="K275" s="34">
        <v>0.0</v>
      </c>
      <c r="L275" s="34">
        <v>0.0</v>
      </c>
      <c r="M275" s="33">
        <f>COUNTIFS('Data For Calculation - Insuranc'!A:A,A275,'Data For Calculation - Insuranc'!E:E,"CPA + RSA")</f>
        <v>0</v>
      </c>
      <c r="N275" s="34" t="s">
        <v>3820</v>
      </c>
      <c r="O275" s="34">
        <v>460.0</v>
      </c>
      <c r="P275" s="34" t="s">
        <v>3853</v>
      </c>
      <c r="Q275" s="34">
        <v>0.0</v>
      </c>
      <c r="R275" s="34">
        <v>100.0</v>
      </c>
      <c r="S275" s="34">
        <v>0.0</v>
      </c>
      <c r="T275" s="34">
        <v>0.0</v>
      </c>
      <c r="U275" s="33">
        <f>COUNTIFS('Data For Calculation - Insuranc'!A:A,A275,'Data For Calculation - Insuranc'!E:E,"CPA + RSA + AHDC + DOC")</f>
        <v>0</v>
      </c>
      <c r="V275" s="34" t="s">
        <v>3820</v>
      </c>
      <c r="W275" s="34">
        <v>838.99</v>
      </c>
      <c r="X275" s="34" t="s">
        <v>3853</v>
      </c>
      <c r="Y275" s="34">
        <v>0.0</v>
      </c>
      <c r="Z275" s="34">
        <v>100.0</v>
      </c>
      <c r="AA275" s="34">
        <v>0.0</v>
      </c>
      <c r="AB275" s="34">
        <v>0.0</v>
      </c>
      <c r="AC275" s="33">
        <f>COUNTIFS('Data For Calculation - Insuranc'!A:A,A275,'Data For Calculation - Insuranc'!E:E,"CPA + RSA : 5 Years")</f>
        <v>0</v>
      </c>
      <c r="AD275" s="34" t="s">
        <v>3820</v>
      </c>
      <c r="AE275" s="34">
        <v>838.99</v>
      </c>
      <c r="AF275" s="34" t="s">
        <v>3853</v>
      </c>
      <c r="AG275" s="34">
        <v>0.0</v>
      </c>
      <c r="AH275" s="34">
        <v>100.0</v>
      </c>
      <c r="AI275" s="34">
        <v>0.0</v>
      </c>
      <c r="AJ275" s="34">
        <v>0.0</v>
      </c>
      <c r="AK275" s="33">
        <f>COUNTIFS('Data For Calculation - Insuranc'!A:A,A275,'Data For Calculation - Insuranc'!E:E,"Assistance + CPA : 5 Years")</f>
        <v>0</v>
      </c>
      <c r="AL275" s="34" t="s">
        <v>3820</v>
      </c>
      <c r="AM275" s="34">
        <v>290.0</v>
      </c>
      <c r="AN275" s="34" t="s">
        <v>3853</v>
      </c>
      <c r="AO275" s="34">
        <v>0.0</v>
      </c>
      <c r="AP275" s="34">
        <v>100.0</v>
      </c>
      <c r="AQ275" s="34">
        <v>0.0</v>
      </c>
      <c r="AR275" s="34">
        <v>0.0</v>
      </c>
      <c r="AS275" s="33">
        <f>COUNTIFS('Data For Calculation - Insuranc'!A:A,A275,'Data For Calculation - Insuranc'!E:E,"RSA + AHDC + DOC")</f>
        <v>0</v>
      </c>
      <c r="BR275" s="33">
        <f t="shared" si="1"/>
        <v>0</v>
      </c>
      <c r="BS275" s="33">
        <f>SUMIFS('Data For Calculation - Insuranc'!I:I,'Data For Calculation - Insuranc'!$A:$A,$A275)</f>
        <v>0</v>
      </c>
      <c r="BT275" s="33">
        <f>SUMIFS('Data For Calculation - Insuranc'!J:J,'Data For Calculation - Insuranc'!$A:$A,$A275)</f>
        <v>0</v>
      </c>
      <c r="BU275" s="33">
        <f>SUMIFS('Data For Calculation - Insuranc'!K:K,'Data For Calculation - Insuranc'!$A:$A,$A275)</f>
        <v>0</v>
      </c>
      <c r="BV275" s="33">
        <f>IF($CC275 = "Dealer", SUMIFS('Data For Calculation - Insuranc'!I:I,'Data For Calculation - Insuranc'!$B:$B,$A275,'Data For Calculation - Insuranc'!$H:$H,"Master Dealer")) + SUMIFS('Data For Calculation - Insuranc'!I:I,'Data For Calculation - Insuranc'!$A:$A,$A275,'Data For Calculation - Insuranc'!$H:$H,"Self")</f>
        <v>0</v>
      </c>
      <c r="BW275" s="33">
        <f>IF($CC275 = "Dealer", SUMIFS('Data For Calculation - Insuranc'!J:J,'Data For Calculation - Insuranc'!$B:$B,$A275,'Data For Calculation - Insuranc'!$H:$H,"Master Dealer")) + SUMIFS('Data For Calculation - Insuranc'!J:J,'Data For Calculation - Insuranc'!$A:$A,$A275,'Data For Calculation - Insuranc'!$H:$H,"Self")</f>
        <v>0</v>
      </c>
      <c r="BX275" s="33">
        <f>IF($CC275 = "Dealer", SUMIFS('Data For Calculation - Insuranc'!K:K,'Data For Calculation - Insuranc'!$B:$B,$A275,'Data For Calculation - Insuranc'!$H:$H,"Master Dealer")) + SUMIFS('Data For Calculation - Insuranc'!K:K,'Data For Calculation - Insuranc'!$A:$A,$A275,'Data For Calculation - Insuranc'!$H:$H,"Self")</f>
        <v>0</v>
      </c>
      <c r="BY275" s="26" t="str">
        <f>(Sheet1!N275)</f>
        <v>SINGLA AGENCIES- BADARPUR</v>
      </c>
      <c r="BZ275" s="26" t="str">
        <f>(Sheet1!O275)</f>
        <v>1_5VG-F35BWYeavx2Egt3_WJsCY1xhX1lyqQW8SX-6Tg</v>
      </c>
      <c r="CA275" s="25" t="str">
        <f>(Sheet1!AV275)</f>
        <v/>
      </c>
      <c r="CB275" s="25" t="str">
        <f>(Sheet1!AW275)</f>
        <v/>
      </c>
      <c r="CC275" s="26" t="str">
        <f>(Sheet1!P275)</f>
        <v>Sub Dealer</v>
      </c>
    </row>
    <row r="276">
      <c r="A276" s="26" t="str">
        <f>(Sheet1!A276)</f>
        <v>1OSf6HUPm5hUkqeVhhPHbTNPPdXQV5R9xQcrIw2sZ88s</v>
      </c>
      <c r="B276" s="26" t="str">
        <f>(Sheet1!B276)</f>
        <v>Krishna Motors-Madanpur Khadar-(SAB)</v>
      </c>
      <c r="C276" s="30" t="str">
        <f>Sheet1!BB276</f>
        <v>No</v>
      </c>
      <c r="D276" s="34" t="s">
        <v>13</v>
      </c>
      <c r="E276" s="34" t="s">
        <v>13</v>
      </c>
      <c r="F276" s="34" t="s">
        <v>3820</v>
      </c>
      <c r="G276" s="34">
        <v>290.0</v>
      </c>
      <c r="H276" s="34" t="s">
        <v>3853</v>
      </c>
      <c r="I276" s="34">
        <v>0.0</v>
      </c>
      <c r="J276" s="34">
        <v>100.0</v>
      </c>
      <c r="K276" s="34">
        <v>0.0</v>
      </c>
      <c r="L276" s="34">
        <v>0.0</v>
      </c>
      <c r="M276" s="33">
        <f>COUNTIFS('Data For Calculation - Insuranc'!A:A,A276,'Data For Calculation - Insuranc'!E:E,"CPA + RSA")</f>
        <v>0</v>
      </c>
      <c r="N276" s="34" t="s">
        <v>3820</v>
      </c>
      <c r="O276" s="34">
        <v>460.0</v>
      </c>
      <c r="P276" s="34" t="s">
        <v>3853</v>
      </c>
      <c r="Q276" s="34">
        <v>0.0</v>
      </c>
      <c r="R276" s="34">
        <v>100.0</v>
      </c>
      <c r="S276" s="34">
        <v>0.0</v>
      </c>
      <c r="T276" s="34">
        <v>0.0</v>
      </c>
      <c r="U276" s="33">
        <f>COUNTIFS('Data For Calculation - Insuranc'!A:A,A276,'Data For Calculation - Insuranc'!E:E,"CPA + RSA + AHDC + DOC")</f>
        <v>0</v>
      </c>
      <c r="V276" s="34" t="s">
        <v>3820</v>
      </c>
      <c r="W276" s="34">
        <v>838.99</v>
      </c>
      <c r="X276" s="34" t="s">
        <v>3853</v>
      </c>
      <c r="Y276" s="34">
        <v>0.0</v>
      </c>
      <c r="Z276" s="34">
        <v>100.0</v>
      </c>
      <c r="AA276" s="34">
        <v>0.0</v>
      </c>
      <c r="AB276" s="34">
        <v>0.0</v>
      </c>
      <c r="AC276" s="33">
        <f>COUNTIFS('Data For Calculation - Insuranc'!A:A,A276,'Data For Calculation - Insuranc'!E:E,"CPA + RSA : 5 Years")</f>
        <v>0</v>
      </c>
      <c r="AD276" s="34" t="s">
        <v>3820</v>
      </c>
      <c r="AE276" s="34">
        <v>838.99</v>
      </c>
      <c r="AF276" s="34" t="s">
        <v>3853</v>
      </c>
      <c r="AG276" s="34">
        <v>0.0</v>
      </c>
      <c r="AH276" s="34">
        <v>100.0</v>
      </c>
      <c r="AI276" s="34">
        <v>0.0</v>
      </c>
      <c r="AJ276" s="34">
        <v>0.0</v>
      </c>
      <c r="AK276" s="33">
        <f>COUNTIFS('Data For Calculation - Insuranc'!A:A,A276,'Data For Calculation - Insuranc'!E:E,"Assistance + CPA : 5 Years")</f>
        <v>0</v>
      </c>
      <c r="AL276" s="34" t="s">
        <v>3820</v>
      </c>
      <c r="AM276" s="34">
        <v>290.0</v>
      </c>
      <c r="AN276" s="34" t="s">
        <v>3853</v>
      </c>
      <c r="AO276" s="34">
        <v>0.0</v>
      </c>
      <c r="AP276" s="34">
        <v>100.0</v>
      </c>
      <c r="AQ276" s="34">
        <v>0.0</v>
      </c>
      <c r="AR276" s="34">
        <v>0.0</v>
      </c>
      <c r="AS276" s="33">
        <f>COUNTIFS('Data For Calculation - Insuranc'!A:A,A276,'Data For Calculation - Insuranc'!E:E,"RSA + AHDC + DOC")</f>
        <v>0</v>
      </c>
      <c r="BR276" s="33">
        <f t="shared" si="1"/>
        <v>0</v>
      </c>
      <c r="BS276" s="33">
        <f>SUMIFS('Data For Calculation - Insuranc'!I:I,'Data For Calculation - Insuranc'!$A:$A,$A276)</f>
        <v>0</v>
      </c>
      <c r="BT276" s="33">
        <f>SUMIFS('Data For Calculation - Insuranc'!J:J,'Data For Calculation - Insuranc'!$A:$A,$A276)</f>
        <v>0</v>
      </c>
      <c r="BU276" s="33">
        <f>SUMIFS('Data For Calculation - Insuranc'!K:K,'Data For Calculation - Insuranc'!$A:$A,$A276)</f>
        <v>0</v>
      </c>
      <c r="BV276" s="33">
        <f>IF($CC276 = "Dealer", SUMIFS('Data For Calculation - Insuranc'!I:I,'Data For Calculation - Insuranc'!$B:$B,$A276,'Data For Calculation - Insuranc'!$H:$H,"Master Dealer")) + SUMIFS('Data For Calculation - Insuranc'!I:I,'Data For Calculation - Insuranc'!$A:$A,$A276,'Data For Calculation - Insuranc'!$H:$H,"Self")</f>
        <v>0</v>
      </c>
      <c r="BW276" s="33">
        <f>IF($CC276 = "Dealer", SUMIFS('Data For Calculation - Insuranc'!J:J,'Data For Calculation - Insuranc'!$B:$B,$A276,'Data For Calculation - Insuranc'!$H:$H,"Master Dealer")) + SUMIFS('Data For Calculation - Insuranc'!J:J,'Data For Calculation - Insuranc'!$A:$A,$A276,'Data For Calculation - Insuranc'!$H:$H,"Self")</f>
        <v>0</v>
      </c>
      <c r="BX276" s="33">
        <f>IF($CC276 = "Dealer", SUMIFS('Data For Calculation - Insuranc'!K:K,'Data For Calculation - Insuranc'!$B:$B,$A276,'Data For Calculation - Insuranc'!$H:$H,"Master Dealer")) + SUMIFS('Data For Calculation - Insuranc'!K:K,'Data For Calculation - Insuranc'!$A:$A,$A276,'Data For Calculation - Insuranc'!$H:$H,"Self")</f>
        <v>0</v>
      </c>
      <c r="BY276" s="26" t="str">
        <f>(Sheet1!N276)</f>
        <v>SINGLA AGENCIES- BADARPUR</v>
      </c>
      <c r="BZ276" s="26" t="str">
        <f>(Sheet1!O276)</f>
        <v>1_5VG-F35BWYeavx2Egt3_WJsCY1xhX1lyqQW8SX-6Tg</v>
      </c>
      <c r="CA276" s="25" t="str">
        <f>(Sheet1!AV276)</f>
        <v/>
      </c>
      <c r="CB276" s="25" t="str">
        <f>(Sheet1!AW276)</f>
        <v/>
      </c>
      <c r="CC276" s="26" t="str">
        <f>(Sheet1!P276)</f>
        <v>Sub Dealer</v>
      </c>
    </row>
    <row r="277">
      <c r="A277" s="26" t="str">
        <f>(Sheet1!A277)</f>
        <v>1_NK5IeBBhUwOkOG5CiLqBmnSrAsMKt3Ny0Eyc48kmrA</v>
      </c>
      <c r="B277" s="26" t="str">
        <f>(Sheet1!B277)</f>
        <v>Singla Motors-JAITPUR- (SAB)</v>
      </c>
      <c r="C277" s="30" t="str">
        <f>Sheet1!BB277</f>
        <v>No</v>
      </c>
      <c r="D277" s="34" t="s">
        <v>13</v>
      </c>
      <c r="E277" s="34" t="s">
        <v>13</v>
      </c>
      <c r="F277" s="34" t="s">
        <v>3820</v>
      </c>
      <c r="G277" s="34">
        <v>290.0</v>
      </c>
      <c r="H277" s="34" t="s">
        <v>3853</v>
      </c>
      <c r="I277" s="34">
        <v>0.0</v>
      </c>
      <c r="J277" s="34">
        <v>100.0</v>
      </c>
      <c r="K277" s="34">
        <v>0.0</v>
      </c>
      <c r="L277" s="34">
        <v>0.0</v>
      </c>
      <c r="M277" s="33">
        <f>COUNTIFS('Data For Calculation - Insuranc'!A:A,A277,'Data For Calculation - Insuranc'!E:E,"CPA + RSA")</f>
        <v>0</v>
      </c>
      <c r="N277" s="34" t="s">
        <v>3820</v>
      </c>
      <c r="O277" s="34">
        <v>460.0</v>
      </c>
      <c r="P277" s="34" t="s">
        <v>3853</v>
      </c>
      <c r="Q277" s="34">
        <v>0.0</v>
      </c>
      <c r="R277" s="34">
        <v>100.0</v>
      </c>
      <c r="S277" s="34">
        <v>0.0</v>
      </c>
      <c r="T277" s="34">
        <v>0.0</v>
      </c>
      <c r="U277" s="33">
        <f>COUNTIFS('Data For Calculation - Insuranc'!A:A,A277,'Data For Calculation - Insuranc'!E:E,"CPA + RSA + AHDC + DOC")</f>
        <v>0</v>
      </c>
      <c r="V277" s="34" t="s">
        <v>3820</v>
      </c>
      <c r="W277" s="34">
        <v>838.99</v>
      </c>
      <c r="X277" s="34" t="s">
        <v>3853</v>
      </c>
      <c r="Y277" s="34">
        <v>0.0</v>
      </c>
      <c r="Z277" s="34">
        <v>100.0</v>
      </c>
      <c r="AA277" s="34">
        <v>0.0</v>
      </c>
      <c r="AB277" s="34">
        <v>0.0</v>
      </c>
      <c r="AC277" s="33">
        <f>COUNTIFS('Data For Calculation - Insuranc'!A:A,A277,'Data For Calculation - Insuranc'!E:E,"CPA + RSA : 5 Years")</f>
        <v>0</v>
      </c>
      <c r="AD277" s="34" t="s">
        <v>3820</v>
      </c>
      <c r="AE277" s="34">
        <v>838.99</v>
      </c>
      <c r="AF277" s="34" t="s">
        <v>3853</v>
      </c>
      <c r="AG277" s="34">
        <v>0.0</v>
      </c>
      <c r="AH277" s="34">
        <v>100.0</v>
      </c>
      <c r="AI277" s="34">
        <v>0.0</v>
      </c>
      <c r="AJ277" s="34">
        <v>0.0</v>
      </c>
      <c r="AK277" s="33">
        <f>COUNTIFS('Data For Calculation - Insuranc'!A:A,A277,'Data For Calculation - Insuranc'!E:E,"Assistance + CPA : 5 Years")</f>
        <v>0</v>
      </c>
      <c r="AL277" s="34" t="s">
        <v>3820</v>
      </c>
      <c r="AM277" s="34">
        <v>290.0</v>
      </c>
      <c r="AN277" s="34" t="s">
        <v>3853</v>
      </c>
      <c r="AO277" s="34">
        <v>0.0</v>
      </c>
      <c r="AP277" s="34">
        <v>100.0</v>
      </c>
      <c r="AQ277" s="34">
        <v>0.0</v>
      </c>
      <c r="AR277" s="34">
        <v>0.0</v>
      </c>
      <c r="AS277" s="33">
        <f>COUNTIFS('Data For Calculation - Insuranc'!A:A,A277,'Data For Calculation - Insuranc'!E:E,"RSA + AHDC + DOC")</f>
        <v>0</v>
      </c>
      <c r="BR277" s="33">
        <f t="shared" si="1"/>
        <v>0</v>
      </c>
      <c r="BS277" s="33">
        <f>SUMIFS('Data For Calculation - Insuranc'!I:I,'Data For Calculation - Insuranc'!$A:$A,$A277)</f>
        <v>0</v>
      </c>
      <c r="BT277" s="33">
        <f>SUMIFS('Data For Calculation - Insuranc'!J:J,'Data For Calculation - Insuranc'!$A:$A,$A277)</f>
        <v>0</v>
      </c>
      <c r="BU277" s="33">
        <f>SUMIFS('Data For Calculation - Insuranc'!K:K,'Data For Calculation - Insuranc'!$A:$A,$A277)</f>
        <v>0</v>
      </c>
      <c r="BV277" s="33">
        <f>IF($CC277 = "Dealer", SUMIFS('Data For Calculation - Insuranc'!I:I,'Data For Calculation - Insuranc'!$B:$B,$A277,'Data For Calculation - Insuranc'!$H:$H,"Master Dealer")) + SUMIFS('Data For Calculation - Insuranc'!I:I,'Data For Calculation - Insuranc'!$A:$A,$A277,'Data For Calculation - Insuranc'!$H:$H,"Self")</f>
        <v>0</v>
      </c>
      <c r="BW277" s="33">
        <f>IF($CC277 = "Dealer", SUMIFS('Data For Calculation - Insuranc'!J:J,'Data For Calculation - Insuranc'!$B:$B,$A277,'Data For Calculation - Insuranc'!$H:$H,"Master Dealer")) + SUMIFS('Data For Calculation - Insuranc'!J:J,'Data For Calculation - Insuranc'!$A:$A,$A277,'Data For Calculation - Insuranc'!$H:$H,"Self")</f>
        <v>0</v>
      </c>
      <c r="BX277" s="33">
        <f>IF($CC277 = "Dealer", SUMIFS('Data For Calculation - Insuranc'!K:K,'Data For Calculation - Insuranc'!$B:$B,$A277,'Data For Calculation - Insuranc'!$H:$H,"Master Dealer")) + SUMIFS('Data For Calculation - Insuranc'!K:K,'Data For Calculation - Insuranc'!$A:$A,$A277,'Data For Calculation - Insuranc'!$H:$H,"Self")</f>
        <v>0</v>
      </c>
      <c r="BY277" s="26" t="str">
        <f>(Sheet1!N277)</f>
        <v>SINGLA AGENCIES- BADARPUR</v>
      </c>
      <c r="BZ277" s="26" t="str">
        <f>(Sheet1!O277)</f>
        <v>1_5VG-F35BWYeavx2Egt3_WJsCY1xhX1lyqQW8SX-6Tg</v>
      </c>
      <c r="CA277" s="25" t="str">
        <f>(Sheet1!AV277)</f>
        <v/>
      </c>
      <c r="CB277" s="25" t="str">
        <f>(Sheet1!AW277)</f>
        <v/>
      </c>
      <c r="CC277" s="26" t="str">
        <f>(Sheet1!P277)</f>
        <v>Sub Dealer</v>
      </c>
    </row>
    <row r="278">
      <c r="A278" s="26" t="str">
        <f>(Sheet1!A278)</f>
        <v>1QOJhpGMdUnxjEHflCyBx-7AgAkJDocYTlbeJzELOi9U</v>
      </c>
      <c r="B278" s="26" t="str">
        <f>(Sheet1!B278)</f>
        <v>Singla Auto Need- Pandav nagar- (SAB)</v>
      </c>
      <c r="C278" s="30" t="str">
        <f>Sheet1!BB278</f>
        <v>No</v>
      </c>
      <c r="D278" s="34" t="s">
        <v>13</v>
      </c>
      <c r="E278" s="34" t="s">
        <v>13</v>
      </c>
      <c r="F278" s="34" t="s">
        <v>3820</v>
      </c>
      <c r="G278" s="34">
        <v>290.0</v>
      </c>
      <c r="H278" s="34" t="s">
        <v>3853</v>
      </c>
      <c r="I278" s="34">
        <v>0.0</v>
      </c>
      <c r="J278" s="34">
        <v>100.0</v>
      </c>
      <c r="K278" s="34">
        <v>0.0</v>
      </c>
      <c r="L278" s="34">
        <v>0.0</v>
      </c>
      <c r="M278" s="33">
        <f>COUNTIFS('Data For Calculation - Insuranc'!A:A,A278,'Data For Calculation - Insuranc'!E:E,"CPA + RSA")</f>
        <v>0</v>
      </c>
      <c r="N278" s="34" t="s">
        <v>3820</v>
      </c>
      <c r="O278" s="34">
        <v>460.0</v>
      </c>
      <c r="P278" s="34" t="s">
        <v>3853</v>
      </c>
      <c r="Q278" s="34">
        <v>0.0</v>
      </c>
      <c r="R278" s="34">
        <v>100.0</v>
      </c>
      <c r="S278" s="34">
        <v>0.0</v>
      </c>
      <c r="T278" s="34">
        <v>0.0</v>
      </c>
      <c r="U278" s="33">
        <f>COUNTIFS('Data For Calculation - Insuranc'!A:A,A278,'Data For Calculation - Insuranc'!E:E,"CPA + RSA + AHDC + DOC")</f>
        <v>0</v>
      </c>
      <c r="V278" s="34" t="s">
        <v>3820</v>
      </c>
      <c r="W278" s="34">
        <v>838.99</v>
      </c>
      <c r="X278" s="34" t="s">
        <v>3853</v>
      </c>
      <c r="Y278" s="34">
        <v>0.0</v>
      </c>
      <c r="Z278" s="34">
        <v>100.0</v>
      </c>
      <c r="AA278" s="34">
        <v>0.0</v>
      </c>
      <c r="AB278" s="34">
        <v>0.0</v>
      </c>
      <c r="AC278" s="33">
        <f>COUNTIFS('Data For Calculation - Insuranc'!A:A,A278,'Data For Calculation - Insuranc'!E:E,"CPA + RSA : 5 Years")</f>
        <v>0</v>
      </c>
      <c r="AD278" s="34" t="s">
        <v>3820</v>
      </c>
      <c r="AE278" s="34">
        <v>838.99</v>
      </c>
      <c r="AF278" s="34" t="s">
        <v>3853</v>
      </c>
      <c r="AG278" s="34">
        <v>0.0</v>
      </c>
      <c r="AH278" s="34">
        <v>100.0</v>
      </c>
      <c r="AI278" s="34">
        <v>0.0</v>
      </c>
      <c r="AJ278" s="34">
        <v>0.0</v>
      </c>
      <c r="AK278" s="33">
        <f>COUNTIFS('Data For Calculation - Insuranc'!A:A,A278,'Data For Calculation - Insuranc'!E:E,"Assistance + CPA : 5 Years")</f>
        <v>0</v>
      </c>
      <c r="AL278" s="34" t="s">
        <v>3820</v>
      </c>
      <c r="AM278" s="34">
        <v>290.0</v>
      </c>
      <c r="AN278" s="34" t="s">
        <v>3853</v>
      </c>
      <c r="AO278" s="34">
        <v>0.0</v>
      </c>
      <c r="AP278" s="34">
        <v>100.0</v>
      </c>
      <c r="AQ278" s="34">
        <v>0.0</v>
      </c>
      <c r="AR278" s="34">
        <v>0.0</v>
      </c>
      <c r="AS278" s="33">
        <f>COUNTIFS('Data For Calculation - Insuranc'!A:A,A278,'Data For Calculation - Insuranc'!E:E,"RSA + AHDC + DOC")</f>
        <v>0</v>
      </c>
      <c r="BR278" s="33">
        <f t="shared" si="1"/>
        <v>0</v>
      </c>
      <c r="BS278" s="33">
        <f>SUMIFS('Data For Calculation - Insuranc'!I:I,'Data For Calculation - Insuranc'!$A:$A,$A278)</f>
        <v>0</v>
      </c>
      <c r="BT278" s="33">
        <f>SUMIFS('Data For Calculation - Insuranc'!J:J,'Data For Calculation - Insuranc'!$A:$A,$A278)</f>
        <v>0</v>
      </c>
      <c r="BU278" s="33">
        <f>SUMIFS('Data For Calculation - Insuranc'!K:K,'Data For Calculation - Insuranc'!$A:$A,$A278)</f>
        <v>0</v>
      </c>
      <c r="BV278" s="33">
        <f>IF($CC278 = "Dealer", SUMIFS('Data For Calculation - Insuranc'!I:I,'Data For Calculation - Insuranc'!$B:$B,$A278,'Data For Calculation - Insuranc'!$H:$H,"Master Dealer")) + SUMIFS('Data For Calculation - Insuranc'!I:I,'Data For Calculation - Insuranc'!$A:$A,$A278,'Data For Calculation - Insuranc'!$H:$H,"Self")</f>
        <v>0</v>
      </c>
      <c r="BW278" s="33">
        <f>IF($CC278 = "Dealer", SUMIFS('Data For Calculation - Insuranc'!J:J,'Data For Calculation - Insuranc'!$B:$B,$A278,'Data For Calculation - Insuranc'!$H:$H,"Master Dealer")) + SUMIFS('Data For Calculation - Insuranc'!J:J,'Data For Calculation - Insuranc'!$A:$A,$A278,'Data For Calculation - Insuranc'!$H:$H,"Self")</f>
        <v>0</v>
      </c>
      <c r="BX278" s="33">
        <f>IF($CC278 = "Dealer", SUMIFS('Data For Calculation - Insuranc'!K:K,'Data For Calculation - Insuranc'!$B:$B,$A278,'Data For Calculation - Insuranc'!$H:$H,"Master Dealer")) + SUMIFS('Data For Calculation - Insuranc'!K:K,'Data For Calculation - Insuranc'!$A:$A,$A278,'Data For Calculation - Insuranc'!$H:$H,"Self")</f>
        <v>0</v>
      </c>
      <c r="BY278" s="26" t="str">
        <f>(Sheet1!N278)</f>
        <v>SINGLA AGENCIES- BADARPUR</v>
      </c>
      <c r="BZ278" s="26" t="str">
        <f>(Sheet1!O278)</f>
        <v>1_5VG-F35BWYeavx2Egt3_WJsCY1xhX1lyqQW8SX-6Tg</v>
      </c>
      <c r="CA278" s="25" t="str">
        <f>(Sheet1!AV278)</f>
        <v/>
      </c>
      <c r="CB278" s="25" t="str">
        <f>(Sheet1!AW278)</f>
        <v/>
      </c>
      <c r="CC278" s="26" t="str">
        <f>(Sheet1!P278)</f>
        <v>Sub Dealer</v>
      </c>
    </row>
    <row r="279">
      <c r="A279" s="26" t="str">
        <f>(Sheet1!A279)</f>
        <v>1Pl3xCS8yRV5PgPEBDpSJ_TjqRSqKz0udLYEAfWnXS6o</v>
      </c>
      <c r="B279" s="26" t="str">
        <f>(Sheet1!B279)</f>
        <v>Yash Automobiles (GA) - Salemgarh</v>
      </c>
      <c r="C279" s="30" t="str">
        <f>Sheet1!BB279</f>
        <v>No</v>
      </c>
      <c r="D279" s="34" t="s">
        <v>13</v>
      </c>
      <c r="E279" s="34" t="s">
        <v>13</v>
      </c>
      <c r="F279" s="34" t="s">
        <v>3820</v>
      </c>
      <c r="G279" s="34">
        <v>290.0</v>
      </c>
      <c r="H279" s="34" t="s">
        <v>3853</v>
      </c>
      <c r="I279" s="34">
        <v>0.0</v>
      </c>
      <c r="J279" s="34">
        <v>100.0</v>
      </c>
      <c r="K279" s="34">
        <v>0.0</v>
      </c>
      <c r="L279" s="34">
        <v>0.0</v>
      </c>
      <c r="M279" s="33">
        <f>COUNTIFS('Data For Calculation - Insuranc'!A:A,A279,'Data For Calculation - Insuranc'!E:E,"CPA + RSA")</f>
        <v>0</v>
      </c>
      <c r="N279" s="34" t="s">
        <v>3820</v>
      </c>
      <c r="O279" s="34">
        <v>460.0</v>
      </c>
      <c r="P279" s="34" t="s">
        <v>3853</v>
      </c>
      <c r="Q279" s="34">
        <v>0.0</v>
      </c>
      <c r="R279" s="34">
        <v>100.0</v>
      </c>
      <c r="S279" s="34">
        <v>0.0</v>
      </c>
      <c r="T279" s="34">
        <v>0.0</v>
      </c>
      <c r="U279" s="33">
        <f>COUNTIFS('Data For Calculation - Insuranc'!A:A,A279,'Data For Calculation - Insuranc'!E:E,"CPA + RSA + AHDC + DOC")</f>
        <v>0</v>
      </c>
      <c r="V279" s="34" t="s">
        <v>3820</v>
      </c>
      <c r="W279" s="34">
        <v>838.99</v>
      </c>
      <c r="X279" s="34" t="s">
        <v>3853</v>
      </c>
      <c r="Y279" s="34">
        <v>0.0</v>
      </c>
      <c r="Z279" s="34">
        <v>100.0</v>
      </c>
      <c r="AA279" s="34">
        <v>0.0</v>
      </c>
      <c r="AB279" s="34">
        <v>0.0</v>
      </c>
      <c r="AC279" s="33">
        <f>COUNTIFS('Data For Calculation - Insuranc'!A:A,A279,'Data For Calculation - Insuranc'!E:E,"CPA + RSA : 5 Years")</f>
        <v>0</v>
      </c>
      <c r="AD279" s="34" t="s">
        <v>3820</v>
      </c>
      <c r="AE279" s="34">
        <v>838.99</v>
      </c>
      <c r="AF279" s="34" t="s">
        <v>3853</v>
      </c>
      <c r="AG279" s="34">
        <v>0.0</v>
      </c>
      <c r="AH279" s="34">
        <v>100.0</v>
      </c>
      <c r="AI279" s="34">
        <v>0.0</v>
      </c>
      <c r="AJ279" s="34">
        <v>0.0</v>
      </c>
      <c r="AK279" s="33">
        <f>COUNTIFS('Data For Calculation - Insuranc'!A:A,A279,'Data For Calculation - Insuranc'!E:E,"Assistance + CPA : 5 Years")</f>
        <v>0</v>
      </c>
      <c r="AL279" s="34" t="s">
        <v>3820</v>
      </c>
      <c r="AM279" s="34">
        <v>290.0</v>
      </c>
      <c r="AN279" s="34" t="s">
        <v>3853</v>
      </c>
      <c r="AO279" s="34">
        <v>0.0</v>
      </c>
      <c r="AP279" s="34">
        <v>100.0</v>
      </c>
      <c r="AQ279" s="34">
        <v>0.0</v>
      </c>
      <c r="AR279" s="34">
        <v>0.0</v>
      </c>
      <c r="AS279" s="33">
        <f>COUNTIFS('Data For Calculation - Insuranc'!A:A,A279,'Data For Calculation - Insuranc'!E:E,"RSA + AHDC + DOC")</f>
        <v>0</v>
      </c>
      <c r="BR279" s="33">
        <f t="shared" si="1"/>
        <v>0</v>
      </c>
      <c r="BS279" s="33">
        <f>SUMIFS('Data For Calculation - Insuranc'!I:I,'Data For Calculation - Insuranc'!$A:$A,$A279)</f>
        <v>0</v>
      </c>
      <c r="BT279" s="33">
        <f>SUMIFS('Data For Calculation - Insuranc'!J:J,'Data For Calculation - Insuranc'!$A:$A,$A279)</f>
        <v>0</v>
      </c>
      <c r="BU279" s="33">
        <f>SUMIFS('Data For Calculation - Insuranc'!K:K,'Data For Calculation - Insuranc'!$A:$A,$A279)</f>
        <v>0</v>
      </c>
      <c r="BV279" s="33">
        <f>IF($CC279 = "Dealer", SUMIFS('Data For Calculation - Insuranc'!I:I,'Data For Calculation - Insuranc'!$B:$B,$A279,'Data For Calculation - Insuranc'!$H:$H,"Master Dealer")) + SUMIFS('Data For Calculation - Insuranc'!I:I,'Data For Calculation - Insuranc'!$A:$A,$A279,'Data For Calculation - Insuranc'!$H:$H,"Self")</f>
        <v>0</v>
      </c>
      <c r="BW279" s="33">
        <f>IF($CC279 = "Dealer", SUMIFS('Data For Calculation - Insuranc'!J:J,'Data For Calculation - Insuranc'!$B:$B,$A279,'Data For Calculation - Insuranc'!$H:$H,"Master Dealer")) + SUMIFS('Data For Calculation - Insuranc'!J:J,'Data For Calculation - Insuranc'!$A:$A,$A279,'Data For Calculation - Insuranc'!$H:$H,"Self")</f>
        <v>0</v>
      </c>
      <c r="BX279" s="33">
        <f>IF($CC279 = "Dealer", SUMIFS('Data For Calculation - Insuranc'!K:K,'Data For Calculation - Insuranc'!$B:$B,$A279,'Data For Calculation - Insuranc'!$H:$H,"Master Dealer")) + SUMIFS('Data For Calculation - Insuranc'!K:K,'Data For Calculation - Insuranc'!$A:$A,$A279,'Data For Calculation - Insuranc'!$H:$H,"Self")</f>
        <v>0</v>
      </c>
      <c r="BY279" s="26" t="str">
        <f>(Sheet1!N279)</f>
        <v>Gupta Automobiles - Padrauna</v>
      </c>
      <c r="BZ279" s="26" t="str">
        <f>(Sheet1!O279)</f>
        <v>1Ql_6BdBcHGAyITSZt1pNUK3bW54CzeThIBXr7aH7K3Y</v>
      </c>
      <c r="CA279" s="25" t="str">
        <f>(Sheet1!AV279)</f>
        <v/>
      </c>
      <c r="CB279" s="25" t="str">
        <f>(Sheet1!AW279)</f>
        <v/>
      </c>
      <c r="CC279" s="26" t="str">
        <f>(Sheet1!P279)</f>
        <v>Sub Dealer</v>
      </c>
    </row>
    <row r="280">
      <c r="A280" s="26" t="str">
        <f>(Sheet1!A280)</f>
        <v>1MwGB4NlbAA1sDO4RNS9Gt7hcxUDE9RrGsbtMfLGnXmc</v>
      </c>
      <c r="B280" s="26" t="str">
        <f>(Sheet1!B280)</f>
        <v>Rishabh Motors (GA) - SEORAHI</v>
      </c>
      <c r="C280" s="30" t="str">
        <f>Sheet1!BB280</f>
        <v>No</v>
      </c>
      <c r="D280" s="34" t="s">
        <v>13</v>
      </c>
      <c r="E280" s="34" t="s">
        <v>13</v>
      </c>
      <c r="F280" s="34" t="s">
        <v>3820</v>
      </c>
      <c r="G280" s="34">
        <v>290.0</v>
      </c>
      <c r="H280" s="34" t="s">
        <v>3853</v>
      </c>
      <c r="I280" s="34">
        <v>0.0</v>
      </c>
      <c r="J280" s="34">
        <v>100.0</v>
      </c>
      <c r="K280" s="34">
        <v>0.0</v>
      </c>
      <c r="L280" s="34">
        <v>0.0</v>
      </c>
      <c r="M280" s="33">
        <f>COUNTIFS('Data For Calculation - Insuranc'!A:A,A280,'Data For Calculation - Insuranc'!E:E,"CPA + RSA")</f>
        <v>0</v>
      </c>
      <c r="N280" s="34" t="s">
        <v>3820</v>
      </c>
      <c r="O280" s="34">
        <v>460.0</v>
      </c>
      <c r="P280" s="34" t="s">
        <v>3853</v>
      </c>
      <c r="Q280" s="34">
        <v>0.0</v>
      </c>
      <c r="R280" s="34">
        <v>100.0</v>
      </c>
      <c r="S280" s="34">
        <v>0.0</v>
      </c>
      <c r="T280" s="34">
        <v>0.0</v>
      </c>
      <c r="U280" s="33">
        <f>COUNTIFS('Data For Calculation - Insuranc'!A:A,A280,'Data For Calculation - Insuranc'!E:E,"CPA + RSA + AHDC + DOC")</f>
        <v>0</v>
      </c>
      <c r="V280" s="34" t="s">
        <v>3820</v>
      </c>
      <c r="W280" s="34">
        <v>838.99</v>
      </c>
      <c r="X280" s="34" t="s">
        <v>3853</v>
      </c>
      <c r="Y280" s="34">
        <v>0.0</v>
      </c>
      <c r="Z280" s="34">
        <v>100.0</v>
      </c>
      <c r="AA280" s="34">
        <v>0.0</v>
      </c>
      <c r="AB280" s="34">
        <v>0.0</v>
      </c>
      <c r="AC280" s="33">
        <f>COUNTIFS('Data For Calculation - Insuranc'!A:A,A280,'Data For Calculation - Insuranc'!E:E,"CPA + RSA : 5 Years")</f>
        <v>0</v>
      </c>
      <c r="AD280" s="34" t="s">
        <v>3820</v>
      </c>
      <c r="AE280" s="34">
        <v>838.99</v>
      </c>
      <c r="AF280" s="34" t="s">
        <v>3853</v>
      </c>
      <c r="AG280" s="34">
        <v>0.0</v>
      </c>
      <c r="AH280" s="34">
        <v>100.0</v>
      </c>
      <c r="AI280" s="34">
        <v>0.0</v>
      </c>
      <c r="AJ280" s="34">
        <v>0.0</v>
      </c>
      <c r="AK280" s="33">
        <f>COUNTIFS('Data For Calculation - Insuranc'!A:A,A280,'Data For Calculation - Insuranc'!E:E,"Assistance + CPA : 5 Years")</f>
        <v>0</v>
      </c>
      <c r="AL280" s="34" t="s">
        <v>3820</v>
      </c>
      <c r="AM280" s="34">
        <v>290.0</v>
      </c>
      <c r="AN280" s="34" t="s">
        <v>3853</v>
      </c>
      <c r="AO280" s="34">
        <v>0.0</v>
      </c>
      <c r="AP280" s="34">
        <v>100.0</v>
      </c>
      <c r="AQ280" s="34">
        <v>0.0</v>
      </c>
      <c r="AR280" s="34">
        <v>0.0</v>
      </c>
      <c r="AS280" s="33">
        <f>COUNTIFS('Data For Calculation - Insuranc'!A:A,A280,'Data For Calculation - Insuranc'!E:E,"RSA + AHDC + DOC")</f>
        <v>0</v>
      </c>
      <c r="BR280" s="33">
        <f t="shared" si="1"/>
        <v>0</v>
      </c>
      <c r="BS280" s="33">
        <f>SUMIFS('Data For Calculation - Insuranc'!I:I,'Data For Calculation - Insuranc'!$A:$A,$A280)</f>
        <v>0</v>
      </c>
      <c r="BT280" s="33">
        <f>SUMIFS('Data For Calculation - Insuranc'!J:J,'Data For Calculation - Insuranc'!$A:$A,$A280)</f>
        <v>0</v>
      </c>
      <c r="BU280" s="33">
        <f>SUMIFS('Data For Calculation - Insuranc'!K:K,'Data For Calculation - Insuranc'!$A:$A,$A280)</f>
        <v>0</v>
      </c>
      <c r="BV280" s="33">
        <f>IF($CC280 = "Dealer", SUMIFS('Data For Calculation - Insuranc'!I:I,'Data For Calculation - Insuranc'!$B:$B,$A280,'Data For Calculation - Insuranc'!$H:$H,"Master Dealer")) + SUMIFS('Data For Calculation - Insuranc'!I:I,'Data For Calculation - Insuranc'!$A:$A,$A280,'Data For Calculation - Insuranc'!$H:$H,"Self")</f>
        <v>0</v>
      </c>
      <c r="BW280" s="33">
        <f>IF($CC280 = "Dealer", SUMIFS('Data For Calculation - Insuranc'!J:J,'Data For Calculation - Insuranc'!$B:$B,$A280,'Data For Calculation - Insuranc'!$H:$H,"Master Dealer")) + SUMIFS('Data For Calculation - Insuranc'!J:J,'Data For Calculation - Insuranc'!$A:$A,$A280,'Data For Calculation - Insuranc'!$H:$H,"Self")</f>
        <v>0</v>
      </c>
      <c r="BX280" s="33">
        <f>IF($CC280 = "Dealer", SUMIFS('Data For Calculation - Insuranc'!K:K,'Data For Calculation - Insuranc'!$B:$B,$A280,'Data For Calculation - Insuranc'!$H:$H,"Master Dealer")) + SUMIFS('Data For Calculation - Insuranc'!K:K,'Data For Calculation - Insuranc'!$A:$A,$A280,'Data For Calculation - Insuranc'!$H:$H,"Self")</f>
        <v>0</v>
      </c>
      <c r="BY280" s="26" t="str">
        <f>(Sheet1!N280)</f>
        <v>Gupta Automobiles - Padrauna</v>
      </c>
      <c r="BZ280" s="26" t="str">
        <f>(Sheet1!O280)</f>
        <v>1Ql_6BdBcHGAyITSZt1pNUK3bW54CzeThIBXr7aH7K3Y</v>
      </c>
      <c r="CA280" s="25" t="str">
        <f>(Sheet1!AV280)</f>
        <v/>
      </c>
      <c r="CB280" s="25" t="str">
        <f>(Sheet1!AW280)</f>
        <v/>
      </c>
      <c r="CC280" s="26" t="str">
        <f>(Sheet1!P280)</f>
        <v>Sub Dealer</v>
      </c>
    </row>
    <row r="281">
      <c r="A281" s="26" t="str">
        <f>(Sheet1!A281)</f>
        <v>1_OiNFW1L4uli0OUd47a3WJ8Vi8oF4ELvOE04d55Bxu8</v>
      </c>
      <c r="B281" s="26" t="str">
        <f>(Sheet1!B281)</f>
        <v>Aditya Automobiles (GA) - Khadda</v>
      </c>
      <c r="C281" s="30" t="str">
        <f>Sheet1!BB281</f>
        <v>No</v>
      </c>
      <c r="D281" s="34" t="s">
        <v>13</v>
      </c>
      <c r="E281" s="34" t="s">
        <v>13</v>
      </c>
      <c r="F281" s="34" t="s">
        <v>3820</v>
      </c>
      <c r="G281" s="34">
        <v>290.0</v>
      </c>
      <c r="H281" s="34" t="s">
        <v>3853</v>
      </c>
      <c r="I281" s="34">
        <v>0.0</v>
      </c>
      <c r="J281" s="34">
        <v>100.0</v>
      </c>
      <c r="K281" s="34">
        <v>0.0</v>
      </c>
      <c r="L281" s="34">
        <v>0.0</v>
      </c>
      <c r="M281" s="33">
        <f>COUNTIFS('Data For Calculation - Insuranc'!A:A,A281,'Data For Calculation - Insuranc'!E:E,"CPA + RSA")</f>
        <v>0</v>
      </c>
      <c r="N281" s="34" t="s">
        <v>3820</v>
      </c>
      <c r="O281" s="34">
        <v>460.0</v>
      </c>
      <c r="P281" s="34" t="s">
        <v>3853</v>
      </c>
      <c r="Q281" s="34">
        <v>0.0</v>
      </c>
      <c r="R281" s="34">
        <v>100.0</v>
      </c>
      <c r="S281" s="34">
        <v>0.0</v>
      </c>
      <c r="T281" s="34">
        <v>0.0</v>
      </c>
      <c r="U281" s="33">
        <f>COUNTIFS('Data For Calculation - Insuranc'!A:A,A281,'Data For Calculation - Insuranc'!E:E,"CPA + RSA + AHDC + DOC")</f>
        <v>0</v>
      </c>
      <c r="V281" s="34" t="s">
        <v>3820</v>
      </c>
      <c r="W281" s="34">
        <v>838.99</v>
      </c>
      <c r="X281" s="34" t="s">
        <v>3853</v>
      </c>
      <c r="Y281" s="34">
        <v>0.0</v>
      </c>
      <c r="Z281" s="34">
        <v>100.0</v>
      </c>
      <c r="AA281" s="34">
        <v>0.0</v>
      </c>
      <c r="AB281" s="34">
        <v>0.0</v>
      </c>
      <c r="AC281" s="33">
        <f>COUNTIFS('Data For Calculation - Insuranc'!A:A,A281,'Data For Calculation - Insuranc'!E:E,"CPA + RSA : 5 Years")</f>
        <v>0</v>
      </c>
      <c r="AD281" s="34" t="s">
        <v>3820</v>
      </c>
      <c r="AE281" s="34">
        <v>838.99</v>
      </c>
      <c r="AF281" s="34" t="s">
        <v>3853</v>
      </c>
      <c r="AG281" s="34">
        <v>0.0</v>
      </c>
      <c r="AH281" s="34">
        <v>100.0</v>
      </c>
      <c r="AI281" s="34">
        <v>0.0</v>
      </c>
      <c r="AJ281" s="34">
        <v>0.0</v>
      </c>
      <c r="AK281" s="33">
        <f>COUNTIFS('Data For Calculation - Insuranc'!A:A,A281,'Data For Calculation - Insuranc'!E:E,"Assistance + CPA : 5 Years")</f>
        <v>0</v>
      </c>
      <c r="AL281" s="34" t="s">
        <v>3820</v>
      </c>
      <c r="AM281" s="34">
        <v>290.0</v>
      </c>
      <c r="AN281" s="34" t="s">
        <v>3853</v>
      </c>
      <c r="AO281" s="34">
        <v>0.0</v>
      </c>
      <c r="AP281" s="34">
        <v>100.0</v>
      </c>
      <c r="AQ281" s="34">
        <v>0.0</v>
      </c>
      <c r="AR281" s="34">
        <v>0.0</v>
      </c>
      <c r="AS281" s="33">
        <f>COUNTIFS('Data For Calculation - Insuranc'!A:A,A281,'Data For Calculation - Insuranc'!E:E,"RSA + AHDC + DOC")</f>
        <v>0</v>
      </c>
      <c r="BR281" s="33">
        <f t="shared" si="1"/>
        <v>0</v>
      </c>
      <c r="BS281" s="33">
        <f>SUMIFS('Data For Calculation - Insuranc'!I:I,'Data For Calculation - Insuranc'!$A:$A,$A281)</f>
        <v>0</v>
      </c>
      <c r="BT281" s="33">
        <f>SUMIFS('Data For Calculation - Insuranc'!J:J,'Data For Calculation - Insuranc'!$A:$A,$A281)</f>
        <v>0</v>
      </c>
      <c r="BU281" s="33">
        <f>SUMIFS('Data For Calculation - Insuranc'!K:K,'Data For Calculation - Insuranc'!$A:$A,$A281)</f>
        <v>0</v>
      </c>
      <c r="BV281" s="33">
        <f>IF($CC281 = "Dealer", SUMIFS('Data For Calculation - Insuranc'!I:I,'Data For Calculation - Insuranc'!$B:$B,$A281,'Data For Calculation - Insuranc'!$H:$H,"Master Dealer")) + SUMIFS('Data For Calculation - Insuranc'!I:I,'Data For Calculation - Insuranc'!$A:$A,$A281,'Data For Calculation - Insuranc'!$H:$H,"Self")</f>
        <v>0</v>
      </c>
      <c r="BW281" s="33">
        <f>IF($CC281 = "Dealer", SUMIFS('Data For Calculation - Insuranc'!J:J,'Data For Calculation - Insuranc'!$B:$B,$A281,'Data For Calculation - Insuranc'!$H:$H,"Master Dealer")) + SUMIFS('Data For Calculation - Insuranc'!J:J,'Data For Calculation - Insuranc'!$A:$A,$A281,'Data For Calculation - Insuranc'!$H:$H,"Self")</f>
        <v>0</v>
      </c>
      <c r="BX281" s="33">
        <f>IF($CC281 = "Dealer", SUMIFS('Data For Calculation - Insuranc'!K:K,'Data For Calculation - Insuranc'!$B:$B,$A281,'Data For Calculation - Insuranc'!$H:$H,"Master Dealer")) + SUMIFS('Data For Calculation - Insuranc'!K:K,'Data For Calculation - Insuranc'!$A:$A,$A281,'Data For Calculation - Insuranc'!$H:$H,"Self")</f>
        <v>0</v>
      </c>
      <c r="BY281" s="26" t="str">
        <f>(Sheet1!N281)</f>
        <v>Gupta Automobiles - Padrauna</v>
      </c>
      <c r="BZ281" s="26" t="str">
        <f>(Sheet1!O281)</f>
        <v>1Ql_6BdBcHGAyITSZt1pNUK3bW54CzeThIBXr7aH7K3Y</v>
      </c>
      <c r="CA281" s="25" t="str">
        <f>(Sheet1!AV281)</f>
        <v/>
      </c>
      <c r="CB281" s="25" t="str">
        <f>(Sheet1!AW281)</f>
        <v/>
      </c>
      <c r="CC281" s="26" t="str">
        <f>(Sheet1!P281)</f>
        <v>Sub Dealer</v>
      </c>
    </row>
    <row r="282">
      <c r="A282" s="26" t="str">
        <f>(Sheet1!A282)</f>
        <v>1exeGOWVXOAcHuO2L4B0HTiLTrOKeCzbSH5QoO_nqQeA</v>
      </c>
      <c r="B282" s="26" t="str">
        <f>(Sheet1!B282)</f>
        <v>Madheshiya Automobile (GA) - Kaptanganj</v>
      </c>
      <c r="C282" s="30" t="str">
        <f>Sheet1!BB282</f>
        <v>No</v>
      </c>
      <c r="D282" s="34" t="s">
        <v>13</v>
      </c>
      <c r="E282" s="34" t="s">
        <v>13</v>
      </c>
      <c r="F282" s="34" t="s">
        <v>3820</v>
      </c>
      <c r="G282" s="34">
        <v>290.0</v>
      </c>
      <c r="H282" s="34" t="s">
        <v>3853</v>
      </c>
      <c r="I282" s="34">
        <v>0.0</v>
      </c>
      <c r="J282" s="34">
        <v>100.0</v>
      </c>
      <c r="K282" s="34">
        <v>0.0</v>
      </c>
      <c r="L282" s="34">
        <v>0.0</v>
      </c>
      <c r="M282" s="33">
        <f>COUNTIFS('Data For Calculation - Insuranc'!A:A,A282,'Data For Calculation - Insuranc'!E:E,"CPA + RSA")</f>
        <v>0</v>
      </c>
      <c r="N282" s="34" t="s">
        <v>3820</v>
      </c>
      <c r="O282" s="34">
        <v>460.0</v>
      </c>
      <c r="P282" s="34" t="s">
        <v>3853</v>
      </c>
      <c r="Q282" s="34">
        <v>0.0</v>
      </c>
      <c r="R282" s="34">
        <v>100.0</v>
      </c>
      <c r="S282" s="34">
        <v>0.0</v>
      </c>
      <c r="T282" s="34">
        <v>0.0</v>
      </c>
      <c r="U282" s="33">
        <f>COUNTIFS('Data For Calculation - Insuranc'!A:A,A282,'Data For Calculation - Insuranc'!E:E,"CPA + RSA + AHDC + DOC")</f>
        <v>0</v>
      </c>
      <c r="V282" s="34" t="s">
        <v>3820</v>
      </c>
      <c r="W282" s="34">
        <v>838.99</v>
      </c>
      <c r="X282" s="34" t="s">
        <v>3853</v>
      </c>
      <c r="Y282" s="34">
        <v>0.0</v>
      </c>
      <c r="Z282" s="34">
        <v>100.0</v>
      </c>
      <c r="AA282" s="34">
        <v>0.0</v>
      </c>
      <c r="AB282" s="34">
        <v>0.0</v>
      </c>
      <c r="AC282" s="33">
        <f>COUNTIFS('Data For Calculation - Insuranc'!A:A,A282,'Data For Calculation - Insuranc'!E:E,"CPA + RSA : 5 Years")</f>
        <v>0</v>
      </c>
      <c r="AD282" s="34" t="s">
        <v>3820</v>
      </c>
      <c r="AE282" s="34">
        <v>838.99</v>
      </c>
      <c r="AF282" s="34" t="s">
        <v>3853</v>
      </c>
      <c r="AG282" s="34">
        <v>0.0</v>
      </c>
      <c r="AH282" s="34">
        <v>100.0</v>
      </c>
      <c r="AI282" s="34">
        <v>0.0</v>
      </c>
      <c r="AJ282" s="34">
        <v>0.0</v>
      </c>
      <c r="AK282" s="33">
        <f>COUNTIFS('Data For Calculation - Insuranc'!A:A,A282,'Data For Calculation - Insuranc'!E:E,"Assistance + CPA : 5 Years")</f>
        <v>0</v>
      </c>
      <c r="AL282" s="34" t="s">
        <v>3820</v>
      </c>
      <c r="AM282" s="34">
        <v>290.0</v>
      </c>
      <c r="AN282" s="34" t="s">
        <v>3853</v>
      </c>
      <c r="AO282" s="34">
        <v>0.0</v>
      </c>
      <c r="AP282" s="34">
        <v>100.0</v>
      </c>
      <c r="AQ282" s="34">
        <v>0.0</v>
      </c>
      <c r="AR282" s="34">
        <v>0.0</v>
      </c>
      <c r="AS282" s="33">
        <f>COUNTIFS('Data For Calculation - Insuranc'!A:A,A282,'Data For Calculation - Insuranc'!E:E,"RSA + AHDC + DOC")</f>
        <v>0</v>
      </c>
      <c r="BR282" s="33">
        <f t="shared" si="1"/>
        <v>0</v>
      </c>
      <c r="BS282" s="33">
        <f>SUMIFS('Data For Calculation - Insuranc'!I:I,'Data For Calculation - Insuranc'!$A:$A,$A282)</f>
        <v>0</v>
      </c>
      <c r="BT282" s="33">
        <f>SUMIFS('Data For Calculation - Insuranc'!J:J,'Data For Calculation - Insuranc'!$A:$A,$A282)</f>
        <v>0</v>
      </c>
      <c r="BU282" s="33">
        <f>SUMIFS('Data For Calculation - Insuranc'!K:K,'Data For Calculation - Insuranc'!$A:$A,$A282)</f>
        <v>0</v>
      </c>
      <c r="BV282" s="33">
        <f>IF($CC282 = "Dealer", SUMIFS('Data For Calculation - Insuranc'!I:I,'Data For Calculation - Insuranc'!$B:$B,$A282,'Data For Calculation - Insuranc'!$H:$H,"Master Dealer")) + SUMIFS('Data For Calculation - Insuranc'!I:I,'Data For Calculation - Insuranc'!$A:$A,$A282,'Data For Calculation - Insuranc'!$H:$H,"Self")</f>
        <v>0</v>
      </c>
      <c r="BW282" s="33">
        <f>IF($CC282 = "Dealer", SUMIFS('Data For Calculation - Insuranc'!J:J,'Data For Calculation - Insuranc'!$B:$B,$A282,'Data For Calculation - Insuranc'!$H:$H,"Master Dealer")) + SUMIFS('Data For Calculation - Insuranc'!J:J,'Data For Calculation - Insuranc'!$A:$A,$A282,'Data For Calculation - Insuranc'!$H:$H,"Self")</f>
        <v>0</v>
      </c>
      <c r="BX282" s="33">
        <f>IF($CC282 = "Dealer", SUMIFS('Data For Calculation - Insuranc'!K:K,'Data For Calculation - Insuranc'!$B:$B,$A282,'Data For Calculation - Insuranc'!$H:$H,"Master Dealer")) + SUMIFS('Data For Calculation - Insuranc'!K:K,'Data For Calculation - Insuranc'!$A:$A,$A282,'Data For Calculation - Insuranc'!$H:$H,"Self")</f>
        <v>0</v>
      </c>
      <c r="BY282" s="26" t="str">
        <f>(Sheet1!N282)</f>
        <v>Gupta Automobiles - Padrauna</v>
      </c>
      <c r="BZ282" s="26" t="str">
        <f>(Sheet1!O282)</f>
        <v>1Ql_6BdBcHGAyITSZt1pNUK3bW54CzeThIBXr7aH7K3Y</v>
      </c>
      <c r="CA282" s="25" t="str">
        <f>(Sheet1!AV282)</f>
        <v/>
      </c>
      <c r="CB282" s="25" t="str">
        <f>(Sheet1!AW282)</f>
        <v/>
      </c>
      <c r="CC282" s="26" t="str">
        <f>(Sheet1!P282)</f>
        <v>Sub Dealer</v>
      </c>
    </row>
    <row r="283">
      <c r="A283" s="26" t="str">
        <f>(Sheet1!A283)</f>
        <v>1j6kSc9K8tCblFNSj_E0V1RN6vamZO2mUImuRcmAEmTA</v>
      </c>
      <c r="B283" s="26" t="str">
        <f>(Sheet1!B283)</f>
        <v>Gautam Automobiles (GA) - Bodarwar</v>
      </c>
      <c r="C283" s="30" t="str">
        <f>Sheet1!BB283</f>
        <v>No</v>
      </c>
      <c r="D283" s="34" t="s">
        <v>13</v>
      </c>
      <c r="E283" s="34" t="s">
        <v>13</v>
      </c>
      <c r="F283" s="34" t="s">
        <v>3820</v>
      </c>
      <c r="G283" s="34">
        <v>290.0</v>
      </c>
      <c r="H283" s="34" t="s">
        <v>3853</v>
      </c>
      <c r="I283" s="34">
        <v>0.0</v>
      </c>
      <c r="J283" s="34">
        <v>100.0</v>
      </c>
      <c r="K283" s="34">
        <v>0.0</v>
      </c>
      <c r="L283" s="34">
        <v>0.0</v>
      </c>
      <c r="M283" s="33">
        <f>COUNTIFS('Data For Calculation - Insuranc'!A:A,A283,'Data For Calculation - Insuranc'!E:E,"CPA + RSA")</f>
        <v>0</v>
      </c>
      <c r="N283" s="34" t="s">
        <v>3820</v>
      </c>
      <c r="O283" s="34">
        <v>460.0</v>
      </c>
      <c r="P283" s="34" t="s">
        <v>3853</v>
      </c>
      <c r="Q283" s="34">
        <v>0.0</v>
      </c>
      <c r="R283" s="34">
        <v>100.0</v>
      </c>
      <c r="S283" s="34">
        <v>0.0</v>
      </c>
      <c r="T283" s="34">
        <v>0.0</v>
      </c>
      <c r="U283" s="33">
        <f>COUNTIFS('Data For Calculation - Insuranc'!A:A,A283,'Data For Calculation - Insuranc'!E:E,"CPA + RSA + AHDC + DOC")</f>
        <v>0</v>
      </c>
      <c r="V283" s="34" t="s">
        <v>3820</v>
      </c>
      <c r="W283" s="34">
        <v>838.99</v>
      </c>
      <c r="X283" s="34" t="s">
        <v>3853</v>
      </c>
      <c r="Y283" s="34">
        <v>0.0</v>
      </c>
      <c r="Z283" s="34">
        <v>100.0</v>
      </c>
      <c r="AA283" s="34">
        <v>0.0</v>
      </c>
      <c r="AB283" s="34">
        <v>0.0</v>
      </c>
      <c r="AC283" s="33">
        <f>COUNTIFS('Data For Calculation - Insuranc'!A:A,A283,'Data For Calculation - Insuranc'!E:E,"CPA + RSA : 5 Years")</f>
        <v>0</v>
      </c>
      <c r="AD283" s="34" t="s">
        <v>3820</v>
      </c>
      <c r="AE283" s="34">
        <v>838.99</v>
      </c>
      <c r="AF283" s="34" t="s">
        <v>3853</v>
      </c>
      <c r="AG283" s="34">
        <v>0.0</v>
      </c>
      <c r="AH283" s="34">
        <v>100.0</v>
      </c>
      <c r="AI283" s="34">
        <v>0.0</v>
      </c>
      <c r="AJ283" s="34">
        <v>0.0</v>
      </c>
      <c r="AK283" s="33">
        <f>COUNTIFS('Data For Calculation - Insuranc'!A:A,A283,'Data For Calculation - Insuranc'!E:E,"Assistance + CPA : 5 Years")</f>
        <v>0</v>
      </c>
      <c r="AL283" s="34" t="s">
        <v>3820</v>
      </c>
      <c r="AM283" s="34">
        <v>290.0</v>
      </c>
      <c r="AN283" s="34" t="s">
        <v>3853</v>
      </c>
      <c r="AO283" s="34">
        <v>0.0</v>
      </c>
      <c r="AP283" s="34">
        <v>100.0</v>
      </c>
      <c r="AQ283" s="34">
        <v>0.0</v>
      </c>
      <c r="AR283" s="34">
        <v>0.0</v>
      </c>
      <c r="AS283" s="33">
        <f>COUNTIFS('Data For Calculation - Insuranc'!A:A,A283,'Data For Calculation - Insuranc'!E:E,"RSA + AHDC + DOC")</f>
        <v>0</v>
      </c>
      <c r="BR283" s="33">
        <f t="shared" si="1"/>
        <v>0</v>
      </c>
      <c r="BS283" s="33">
        <f>SUMIFS('Data For Calculation - Insuranc'!I:I,'Data For Calculation - Insuranc'!$A:$A,$A283)</f>
        <v>0</v>
      </c>
      <c r="BT283" s="33">
        <f>SUMIFS('Data For Calculation - Insuranc'!J:J,'Data For Calculation - Insuranc'!$A:$A,$A283)</f>
        <v>0</v>
      </c>
      <c r="BU283" s="33">
        <f>SUMIFS('Data For Calculation - Insuranc'!K:K,'Data For Calculation - Insuranc'!$A:$A,$A283)</f>
        <v>0</v>
      </c>
      <c r="BV283" s="33">
        <f>IF($CC283 = "Dealer", SUMIFS('Data For Calculation - Insuranc'!I:I,'Data For Calculation - Insuranc'!$B:$B,$A283,'Data For Calculation - Insuranc'!$H:$H,"Master Dealer")) + SUMIFS('Data For Calculation - Insuranc'!I:I,'Data For Calculation - Insuranc'!$A:$A,$A283,'Data For Calculation - Insuranc'!$H:$H,"Self")</f>
        <v>0</v>
      </c>
      <c r="BW283" s="33">
        <f>IF($CC283 = "Dealer", SUMIFS('Data For Calculation - Insuranc'!J:J,'Data For Calculation - Insuranc'!$B:$B,$A283,'Data For Calculation - Insuranc'!$H:$H,"Master Dealer")) + SUMIFS('Data For Calculation - Insuranc'!J:J,'Data For Calculation - Insuranc'!$A:$A,$A283,'Data For Calculation - Insuranc'!$H:$H,"Self")</f>
        <v>0</v>
      </c>
      <c r="BX283" s="33">
        <f>IF($CC283 = "Dealer", SUMIFS('Data For Calculation - Insuranc'!K:K,'Data For Calculation - Insuranc'!$B:$B,$A283,'Data For Calculation - Insuranc'!$H:$H,"Master Dealer")) + SUMIFS('Data For Calculation - Insuranc'!K:K,'Data For Calculation - Insuranc'!$A:$A,$A283,'Data For Calculation - Insuranc'!$H:$H,"Self")</f>
        <v>0</v>
      </c>
      <c r="BY283" s="26" t="str">
        <f>(Sheet1!N283)</f>
        <v>Gupta Automobiles - Padrauna</v>
      </c>
      <c r="BZ283" s="26" t="str">
        <f>(Sheet1!O283)</f>
        <v>1Ql_6BdBcHGAyITSZt1pNUK3bW54CzeThIBXr7aH7K3Y</v>
      </c>
      <c r="CA283" s="25" t="str">
        <f>(Sheet1!AV283)</f>
        <v/>
      </c>
      <c r="CB283" s="25" t="str">
        <f>(Sheet1!AW283)</f>
        <v/>
      </c>
      <c r="CC283" s="26" t="str">
        <f>(Sheet1!P283)</f>
        <v>Sub Dealer</v>
      </c>
    </row>
    <row r="284">
      <c r="A284" s="26" t="str">
        <f>(Sheet1!A284)</f>
        <v>1fv8dWFkW6b7Hzi-3JpJOz2oZJtF8mmvQvdvX2JWmNEQ</v>
      </c>
      <c r="B284" s="26" t="str">
        <f>(Sheet1!B284)</f>
        <v>Ditya Automobiles - Samaur Bazar</v>
      </c>
      <c r="C284" s="30" t="str">
        <f>Sheet1!BB284</f>
        <v>No</v>
      </c>
      <c r="D284" s="34" t="s">
        <v>13</v>
      </c>
      <c r="E284" s="34" t="s">
        <v>13</v>
      </c>
      <c r="F284" s="34" t="s">
        <v>3820</v>
      </c>
      <c r="G284" s="34">
        <v>290.0</v>
      </c>
      <c r="H284" s="34" t="s">
        <v>3853</v>
      </c>
      <c r="I284" s="34">
        <v>0.0</v>
      </c>
      <c r="J284" s="34">
        <v>100.0</v>
      </c>
      <c r="K284" s="34">
        <v>0.0</v>
      </c>
      <c r="L284" s="34">
        <v>0.0</v>
      </c>
      <c r="M284" s="33">
        <f>COUNTIFS('Data For Calculation - Insuranc'!A:A,A284,'Data For Calculation - Insuranc'!E:E,"CPA + RSA")</f>
        <v>0</v>
      </c>
      <c r="N284" s="34" t="s">
        <v>3820</v>
      </c>
      <c r="O284" s="34">
        <v>460.0</v>
      </c>
      <c r="P284" s="34" t="s">
        <v>3853</v>
      </c>
      <c r="Q284" s="34">
        <v>0.0</v>
      </c>
      <c r="R284" s="34">
        <v>100.0</v>
      </c>
      <c r="S284" s="34">
        <v>0.0</v>
      </c>
      <c r="T284" s="34">
        <v>0.0</v>
      </c>
      <c r="U284" s="33">
        <f>COUNTIFS('Data For Calculation - Insuranc'!A:A,A284,'Data For Calculation - Insuranc'!E:E,"CPA + RSA + AHDC + DOC")</f>
        <v>0</v>
      </c>
      <c r="V284" s="34" t="s">
        <v>3820</v>
      </c>
      <c r="W284" s="34">
        <v>838.99</v>
      </c>
      <c r="X284" s="34" t="s">
        <v>3853</v>
      </c>
      <c r="Y284" s="34">
        <v>0.0</v>
      </c>
      <c r="Z284" s="34">
        <v>100.0</v>
      </c>
      <c r="AA284" s="34">
        <v>0.0</v>
      </c>
      <c r="AB284" s="34">
        <v>0.0</v>
      </c>
      <c r="AC284" s="33">
        <f>COUNTIFS('Data For Calculation - Insuranc'!A:A,A284,'Data For Calculation - Insuranc'!E:E,"CPA + RSA : 5 Years")</f>
        <v>0</v>
      </c>
      <c r="AD284" s="34" t="s">
        <v>3820</v>
      </c>
      <c r="AE284" s="34">
        <v>838.99</v>
      </c>
      <c r="AF284" s="34" t="s">
        <v>3853</v>
      </c>
      <c r="AG284" s="34">
        <v>0.0</v>
      </c>
      <c r="AH284" s="34">
        <v>100.0</v>
      </c>
      <c r="AI284" s="34">
        <v>0.0</v>
      </c>
      <c r="AJ284" s="34">
        <v>0.0</v>
      </c>
      <c r="AK284" s="33">
        <f>COUNTIFS('Data For Calculation - Insuranc'!A:A,A284,'Data For Calculation - Insuranc'!E:E,"Assistance + CPA : 5 Years")</f>
        <v>0</v>
      </c>
      <c r="AL284" s="34" t="s">
        <v>3820</v>
      </c>
      <c r="AM284" s="34">
        <v>290.0</v>
      </c>
      <c r="AN284" s="34" t="s">
        <v>3853</v>
      </c>
      <c r="AO284" s="34">
        <v>0.0</v>
      </c>
      <c r="AP284" s="34">
        <v>100.0</v>
      </c>
      <c r="AQ284" s="34">
        <v>0.0</v>
      </c>
      <c r="AR284" s="34">
        <v>0.0</v>
      </c>
      <c r="AS284" s="33">
        <f>COUNTIFS('Data For Calculation - Insuranc'!A:A,A284,'Data For Calculation - Insuranc'!E:E,"RSA + AHDC + DOC")</f>
        <v>0</v>
      </c>
      <c r="BR284" s="33">
        <f t="shared" si="1"/>
        <v>0</v>
      </c>
      <c r="BS284" s="33">
        <f>SUMIFS('Data For Calculation - Insuranc'!I:I,'Data For Calculation - Insuranc'!$A:$A,$A284)</f>
        <v>0</v>
      </c>
      <c r="BT284" s="33">
        <f>SUMIFS('Data For Calculation - Insuranc'!J:J,'Data For Calculation - Insuranc'!$A:$A,$A284)</f>
        <v>0</v>
      </c>
      <c r="BU284" s="33">
        <f>SUMIFS('Data For Calculation - Insuranc'!K:K,'Data For Calculation - Insuranc'!$A:$A,$A284)</f>
        <v>0</v>
      </c>
      <c r="BV284" s="33">
        <f>IF($CC284 = "Dealer", SUMIFS('Data For Calculation - Insuranc'!I:I,'Data For Calculation - Insuranc'!$B:$B,$A284,'Data For Calculation - Insuranc'!$H:$H,"Master Dealer")) + SUMIFS('Data For Calculation - Insuranc'!I:I,'Data For Calculation - Insuranc'!$A:$A,$A284,'Data For Calculation - Insuranc'!$H:$H,"Self")</f>
        <v>0</v>
      </c>
      <c r="BW284" s="33">
        <f>IF($CC284 = "Dealer", SUMIFS('Data For Calculation - Insuranc'!J:J,'Data For Calculation - Insuranc'!$B:$B,$A284,'Data For Calculation - Insuranc'!$H:$H,"Master Dealer")) + SUMIFS('Data For Calculation - Insuranc'!J:J,'Data For Calculation - Insuranc'!$A:$A,$A284,'Data For Calculation - Insuranc'!$H:$H,"Self")</f>
        <v>0</v>
      </c>
      <c r="BX284" s="33">
        <f>IF($CC284 = "Dealer", SUMIFS('Data For Calculation - Insuranc'!K:K,'Data For Calculation - Insuranc'!$B:$B,$A284,'Data For Calculation - Insuranc'!$H:$H,"Master Dealer")) + SUMIFS('Data For Calculation - Insuranc'!K:K,'Data For Calculation - Insuranc'!$A:$A,$A284,'Data For Calculation - Insuranc'!$H:$H,"Self")</f>
        <v>0</v>
      </c>
      <c r="BY284" s="26" t="str">
        <f>(Sheet1!N284)</f>
        <v>Gupta Automobiles - Padrauna</v>
      </c>
      <c r="BZ284" s="26" t="str">
        <f>(Sheet1!O284)</f>
        <v>1Ql_6BdBcHGAyITSZt1pNUK3bW54CzeThIBXr7aH7K3Y</v>
      </c>
      <c r="CA284" s="25" t="str">
        <f>(Sheet1!AV284)</f>
        <v/>
      </c>
      <c r="CB284" s="25" t="str">
        <f>(Sheet1!AW284)</f>
        <v/>
      </c>
      <c r="CC284" s="26" t="str">
        <f>(Sheet1!P284)</f>
        <v>Sub Dealer</v>
      </c>
    </row>
    <row r="285">
      <c r="A285" s="26" t="str">
        <f>(Sheet1!A285)</f>
        <v>1W3-jZjI2u0tVYh2hYKl3zGL5m_jhz5IRzXYj0clftmM</v>
      </c>
      <c r="B285" s="26" t="str">
        <f>(Sheet1!B285)</f>
        <v>Shiv Automobiles (GA) - Sukrauli</v>
      </c>
      <c r="C285" s="30" t="str">
        <f>Sheet1!BB285</f>
        <v>No</v>
      </c>
      <c r="D285" s="34" t="s">
        <v>13</v>
      </c>
      <c r="E285" s="34" t="s">
        <v>13</v>
      </c>
      <c r="F285" s="34" t="s">
        <v>3820</v>
      </c>
      <c r="G285" s="34">
        <v>290.0</v>
      </c>
      <c r="H285" s="34" t="s">
        <v>3853</v>
      </c>
      <c r="I285" s="34">
        <v>0.0</v>
      </c>
      <c r="J285" s="34">
        <v>100.0</v>
      </c>
      <c r="K285" s="34">
        <v>0.0</v>
      </c>
      <c r="L285" s="34">
        <v>0.0</v>
      </c>
      <c r="M285" s="33">
        <f>COUNTIFS('Data For Calculation - Insuranc'!A:A,A285,'Data For Calculation - Insuranc'!E:E,"CPA + RSA")</f>
        <v>0</v>
      </c>
      <c r="N285" s="34" t="s">
        <v>3820</v>
      </c>
      <c r="O285" s="34">
        <v>460.0</v>
      </c>
      <c r="P285" s="34" t="s">
        <v>3853</v>
      </c>
      <c r="Q285" s="34">
        <v>0.0</v>
      </c>
      <c r="R285" s="34">
        <v>100.0</v>
      </c>
      <c r="S285" s="34">
        <v>0.0</v>
      </c>
      <c r="T285" s="34">
        <v>0.0</v>
      </c>
      <c r="U285" s="33">
        <f>COUNTIFS('Data For Calculation - Insuranc'!A:A,A285,'Data For Calculation - Insuranc'!E:E,"CPA + RSA + AHDC + DOC")</f>
        <v>0</v>
      </c>
      <c r="V285" s="34" t="s">
        <v>3820</v>
      </c>
      <c r="W285" s="34">
        <v>838.99</v>
      </c>
      <c r="X285" s="34" t="s">
        <v>3853</v>
      </c>
      <c r="Y285" s="34">
        <v>0.0</v>
      </c>
      <c r="Z285" s="34">
        <v>100.0</v>
      </c>
      <c r="AA285" s="34">
        <v>0.0</v>
      </c>
      <c r="AB285" s="34">
        <v>0.0</v>
      </c>
      <c r="AC285" s="33">
        <f>COUNTIFS('Data For Calculation - Insuranc'!A:A,A285,'Data For Calculation - Insuranc'!E:E,"CPA + RSA : 5 Years")</f>
        <v>0</v>
      </c>
      <c r="AD285" s="34" t="s">
        <v>3820</v>
      </c>
      <c r="AE285" s="34">
        <v>838.99</v>
      </c>
      <c r="AF285" s="34" t="s">
        <v>3853</v>
      </c>
      <c r="AG285" s="34">
        <v>0.0</v>
      </c>
      <c r="AH285" s="34">
        <v>100.0</v>
      </c>
      <c r="AI285" s="34">
        <v>0.0</v>
      </c>
      <c r="AJ285" s="34">
        <v>0.0</v>
      </c>
      <c r="AK285" s="33">
        <f>COUNTIFS('Data For Calculation - Insuranc'!A:A,A285,'Data For Calculation - Insuranc'!E:E,"Assistance + CPA : 5 Years")</f>
        <v>0</v>
      </c>
      <c r="AL285" s="34" t="s">
        <v>3820</v>
      </c>
      <c r="AM285" s="34">
        <v>290.0</v>
      </c>
      <c r="AN285" s="34" t="s">
        <v>3853</v>
      </c>
      <c r="AO285" s="34">
        <v>0.0</v>
      </c>
      <c r="AP285" s="34">
        <v>100.0</v>
      </c>
      <c r="AQ285" s="34">
        <v>0.0</v>
      </c>
      <c r="AR285" s="34">
        <v>0.0</v>
      </c>
      <c r="AS285" s="33">
        <f>COUNTIFS('Data For Calculation - Insuranc'!A:A,A285,'Data For Calculation - Insuranc'!E:E,"RSA + AHDC + DOC")</f>
        <v>0</v>
      </c>
      <c r="BR285" s="33">
        <f t="shared" si="1"/>
        <v>0</v>
      </c>
      <c r="BS285" s="33">
        <f>SUMIFS('Data For Calculation - Insuranc'!I:I,'Data For Calculation - Insuranc'!$A:$A,$A285)</f>
        <v>0</v>
      </c>
      <c r="BT285" s="33">
        <f>SUMIFS('Data For Calculation - Insuranc'!J:J,'Data For Calculation - Insuranc'!$A:$A,$A285)</f>
        <v>0</v>
      </c>
      <c r="BU285" s="33">
        <f>SUMIFS('Data For Calculation - Insuranc'!K:K,'Data For Calculation - Insuranc'!$A:$A,$A285)</f>
        <v>0</v>
      </c>
      <c r="BV285" s="33">
        <f>IF($CC285 = "Dealer", SUMIFS('Data For Calculation - Insuranc'!I:I,'Data For Calculation - Insuranc'!$B:$B,$A285,'Data For Calculation - Insuranc'!$H:$H,"Master Dealer")) + SUMIFS('Data For Calculation - Insuranc'!I:I,'Data For Calculation - Insuranc'!$A:$A,$A285,'Data For Calculation - Insuranc'!$H:$H,"Self")</f>
        <v>0</v>
      </c>
      <c r="BW285" s="33">
        <f>IF($CC285 = "Dealer", SUMIFS('Data For Calculation - Insuranc'!J:J,'Data For Calculation - Insuranc'!$B:$B,$A285,'Data For Calculation - Insuranc'!$H:$H,"Master Dealer")) + SUMIFS('Data For Calculation - Insuranc'!J:J,'Data For Calculation - Insuranc'!$A:$A,$A285,'Data For Calculation - Insuranc'!$H:$H,"Self")</f>
        <v>0</v>
      </c>
      <c r="BX285" s="33">
        <f>IF($CC285 = "Dealer", SUMIFS('Data For Calculation - Insuranc'!K:K,'Data For Calculation - Insuranc'!$B:$B,$A285,'Data For Calculation - Insuranc'!$H:$H,"Master Dealer")) + SUMIFS('Data For Calculation - Insuranc'!K:K,'Data For Calculation - Insuranc'!$A:$A,$A285,'Data For Calculation - Insuranc'!$H:$H,"Self")</f>
        <v>0</v>
      </c>
      <c r="BY285" s="26" t="str">
        <f>(Sheet1!N285)</f>
        <v>Gupta Automobiles - Padrauna</v>
      </c>
      <c r="BZ285" s="26" t="str">
        <f>(Sheet1!O285)</f>
        <v>1Ql_6BdBcHGAyITSZt1pNUK3bW54CzeThIBXr7aH7K3Y</v>
      </c>
      <c r="CA285" s="25" t="str">
        <f>(Sheet1!AV285)</f>
        <v/>
      </c>
      <c r="CB285" s="25" t="str">
        <f>(Sheet1!AW285)</f>
        <v/>
      </c>
      <c r="CC285" s="26" t="str">
        <f>(Sheet1!P285)</f>
        <v>Sub Dealer</v>
      </c>
    </row>
    <row r="286">
      <c r="A286" s="26" t="str">
        <f>(Sheet1!A286)</f>
        <v>1Rt3N-j0r2Em5s4csoiyfu2dZgRIzx0sNXUWimr9m_U4</v>
      </c>
      <c r="B286" s="26" t="str">
        <f>(Sheet1!B286)</f>
        <v>Kanha Motors (GA) - Captainganj</v>
      </c>
      <c r="C286" s="30" t="str">
        <f>Sheet1!BB286</f>
        <v>No</v>
      </c>
      <c r="D286" s="34" t="s">
        <v>13</v>
      </c>
      <c r="E286" s="34" t="s">
        <v>13</v>
      </c>
      <c r="F286" s="34" t="s">
        <v>3820</v>
      </c>
      <c r="G286" s="34">
        <v>290.0</v>
      </c>
      <c r="H286" s="34" t="s">
        <v>3853</v>
      </c>
      <c r="I286" s="34">
        <v>0.0</v>
      </c>
      <c r="J286" s="34">
        <v>100.0</v>
      </c>
      <c r="K286" s="34">
        <v>0.0</v>
      </c>
      <c r="L286" s="34">
        <v>0.0</v>
      </c>
      <c r="M286" s="33">
        <f>COUNTIFS('Data For Calculation - Insuranc'!A:A,A286,'Data For Calculation - Insuranc'!E:E,"CPA + RSA")</f>
        <v>0</v>
      </c>
      <c r="N286" s="34" t="s">
        <v>3820</v>
      </c>
      <c r="O286" s="34">
        <v>460.0</v>
      </c>
      <c r="P286" s="34" t="s">
        <v>3853</v>
      </c>
      <c r="Q286" s="34">
        <v>0.0</v>
      </c>
      <c r="R286" s="34">
        <v>100.0</v>
      </c>
      <c r="S286" s="34">
        <v>0.0</v>
      </c>
      <c r="T286" s="34">
        <v>0.0</v>
      </c>
      <c r="U286" s="33">
        <f>COUNTIFS('Data For Calculation - Insuranc'!A:A,A286,'Data For Calculation - Insuranc'!E:E,"CPA + RSA + AHDC + DOC")</f>
        <v>0</v>
      </c>
      <c r="V286" s="34" t="s">
        <v>3820</v>
      </c>
      <c r="W286" s="34">
        <v>838.99</v>
      </c>
      <c r="X286" s="34" t="s">
        <v>3853</v>
      </c>
      <c r="Y286" s="34">
        <v>0.0</v>
      </c>
      <c r="Z286" s="34">
        <v>100.0</v>
      </c>
      <c r="AA286" s="34">
        <v>0.0</v>
      </c>
      <c r="AB286" s="34">
        <v>0.0</v>
      </c>
      <c r="AC286" s="33">
        <f>COUNTIFS('Data For Calculation - Insuranc'!A:A,A286,'Data For Calculation - Insuranc'!E:E,"CPA + RSA : 5 Years")</f>
        <v>0</v>
      </c>
      <c r="AD286" s="34" t="s">
        <v>3820</v>
      </c>
      <c r="AE286" s="34">
        <v>838.99</v>
      </c>
      <c r="AF286" s="34" t="s">
        <v>3853</v>
      </c>
      <c r="AG286" s="34">
        <v>0.0</v>
      </c>
      <c r="AH286" s="34">
        <v>100.0</v>
      </c>
      <c r="AI286" s="34">
        <v>0.0</v>
      </c>
      <c r="AJ286" s="34">
        <v>0.0</v>
      </c>
      <c r="AK286" s="33">
        <f>COUNTIFS('Data For Calculation - Insuranc'!A:A,A286,'Data For Calculation - Insuranc'!E:E,"Assistance + CPA : 5 Years")</f>
        <v>0</v>
      </c>
      <c r="AL286" s="34" t="s">
        <v>3820</v>
      </c>
      <c r="AM286" s="34">
        <v>290.0</v>
      </c>
      <c r="AN286" s="34" t="s">
        <v>3853</v>
      </c>
      <c r="AO286" s="34">
        <v>0.0</v>
      </c>
      <c r="AP286" s="34">
        <v>100.0</v>
      </c>
      <c r="AQ286" s="34">
        <v>0.0</v>
      </c>
      <c r="AR286" s="34">
        <v>0.0</v>
      </c>
      <c r="AS286" s="33">
        <f>COUNTIFS('Data For Calculation - Insuranc'!A:A,A286,'Data For Calculation - Insuranc'!E:E,"RSA + AHDC + DOC")</f>
        <v>0</v>
      </c>
      <c r="BR286" s="33">
        <f t="shared" si="1"/>
        <v>0</v>
      </c>
      <c r="BS286" s="33">
        <f>SUMIFS('Data For Calculation - Insuranc'!I:I,'Data For Calculation - Insuranc'!$A:$A,$A286)</f>
        <v>0</v>
      </c>
      <c r="BT286" s="33">
        <f>SUMIFS('Data For Calculation - Insuranc'!J:J,'Data For Calculation - Insuranc'!$A:$A,$A286)</f>
        <v>0</v>
      </c>
      <c r="BU286" s="33">
        <f>SUMIFS('Data For Calculation - Insuranc'!K:K,'Data For Calculation - Insuranc'!$A:$A,$A286)</f>
        <v>0</v>
      </c>
      <c r="BV286" s="33">
        <f>IF($CC286 = "Dealer", SUMIFS('Data For Calculation - Insuranc'!I:I,'Data For Calculation - Insuranc'!$B:$B,$A286,'Data For Calculation - Insuranc'!$H:$H,"Master Dealer")) + SUMIFS('Data For Calculation - Insuranc'!I:I,'Data For Calculation - Insuranc'!$A:$A,$A286,'Data For Calculation - Insuranc'!$H:$H,"Self")</f>
        <v>0</v>
      </c>
      <c r="BW286" s="33">
        <f>IF($CC286 = "Dealer", SUMIFS('Data For Calculation - Insuranc'!J:J,'Data For Calculation - Insuranc'!$B:$B,$A286,'Data For Calculation - Insuranc'!$H:$H,"Master Dealer")) + SUMIFS('Data For Calculation - Insuranc'!J:J,'Data For Calculation - Insuranc'!$A:$A,$A286,'Data For Calculation - Insuranc'!$H:$H,"Self")</f>
        <v>0</v>
      </c>
      <c r="BX286" s="33">
        <f>IF($CC286 = "Dealer", SUMIFS('Data For Calculation - Insuranc'!K:K,'Data For Calculation - Insuranc'!$B:$B,$A286,'Data For Calculation - Insuranc'!$H:$H,"Master Dealer")) + SUMIFS('Data For Calculation - Insuranc'!K:K,'Data For Calculation - Insuranc'!$A:$A,$A286,'Data For Calculation - Insuranc'!$H:$H,"Self")</f>
        <v>0</v>
      </c>
      <c r="BY286" s="26" t="str">
        <f>(Sheet1!N286)</f>
        <v>Gupta Automobiles - Padrauna</v>
      </c>
      <c r="BZ286" s="26" t="str">
        <f>(Sheet1!O286)</f>
        <v>1Ql_6BdBcHGAyITSZt1pNUK3bW54CzeThIBXr7aH7K3Y</v>
      </c>
      <c r="CA286" s="25" t="str">
        <f>(Sheet1!AV286)</f>
        <v/>
      </c>
      <c r="CB286" s="25" t="str">
        <f>(Sheet1!AW286)</f>
        <v/>
      </c>
      <c r="CC286" s="26" t="str">
        <f>(Sheet1!P286)</f>
        <v>Sub Dealer</v>
      </c>
    </row>
    <row r="287">
      <c r="A287" s="26" t="str">
        <f>(Sheet1!A287)</f>
        <v>1D0bYz3VnU-VHJIxa-b_ygaVix-3eTTISmRnDDIWBdUM</v>
      </c>
      <c r="B287" s="26" t="str">
        <f>(Sheet1!B287)</f>
        <v>Bhudev Gupta (GA) - DUDAHI</v>
      </c>
      <c r="C287" s="30" t="str">
        <f>Sheet1!BB287</f>
        <v>No</v>
      </c>
      <c r="D287" s="34" t="s">
        <v>13</v>
      </c>
      <c r="E287" s="34" t="s">
        <v>13</v>
      </c>
      <c r="F287" s="34" t="s">
        <v>3820</v>
      </c>
      <c r="G287" s="34">
        <v>290.0</v>
      </c>
      <c r="H287" s="34" t="s">
        <v>3853</v>
      </c>
      <c r="I287" s="34">
        <v>0.0</v>
      </c>
      <c r="J287" s="34">
        <v>100.0</v>
      </c>
      <c r="K287" s="34">
        <v>0.0</v>
      </c>
      <c r="L287" s="34">
        <v>0.0</v>
      </c>
      <c r="M287" s="33">
        <f>COUNTIFS('Data For Calculation - Insuranc'!A:A,A287,'Data For Calculation - Insuranc'!E:E,"CPA + RSA")</f>
        <v>0</v>
      </c>
      <c r="N287" s="34" t="s">
        <v>3820</v>
      </c>
      <c r="O287" s="34">
        <v>460.0</v>
      </c>
      <c r="P287" s="34" t="s">
        <v>3853</v>
      </c>
      <c r="Q287" s="34">
        <v>0.0</v>
      </c>
      <c r="R287" s="34">
        <v>100.0</v>
      </c>
      <c r="S287" s="34">
        <v>0.0</v>
      </c>
      <c r="T287" s="34">
        <v>0.0</v>
      </c>
      <c r="U287" s="33">
        <f>COUNTIFS('Data For Calculation - Insuranc'!A:A,A287,'Data For Calculation - Insuranc'!E:E,"CPA + RSA + AHDC + DOC")</f>
        <v>0</v>
      </c>
      <c r="V287" s="34" t="s">
        <v>3820</v>
      </c>
      <c r="W287" s="34">
        <v>838.99</v>
      </c>
      <c r="X287" s="34" t="s">
        <v>3853</v>
      </c>
      <c r="Y287" s="34">
        <v>0.0</v>
      </c>
      <c r="Z287" s="34">
        <v>100.0</v>
      </c>
      <c r="AA287" s="34">
        <v>0.0</v>
      </c>
      <c r="AB287" s="34">
        <v>0.0</v>
      </c>
      <c r="AC287" s="33">
        <f>COUNTIFS('Data For Calculation - Insuranc'!A:A,A287,'Data For Calculation - Insuranc'!E:E,"CPA + RSA : 5 Years")</f>
        <v>0</v>
      </c>
      <c r="AD287" s="34" t="s">
        <v>3820</v>
      </c>
      <c r="AE287" s="34">
        <v>838.99</v>
      </c>
      <c r="AF287" s="34" t="s">
        <v>3853</v>
      </c>
      <c r="AG287" s="34">
        <v>0.0</v>
      </c>
      <c r="AH287" s="34">
        <v>100.0</v>
      </c>
      <c r="AI287" s="34">
        <v>0.0</v>
      </c>
      <c r="AJ287" s="34">
        <v>0.0</v>
      </c>
      <c r="AK287" s="33">
        <f>COUNTIFS('Data For Calculation - Insuranc'!A:A,A287,'Data For Calculation - Insuranc'!E:E,"Assistance + CPA : 5 Years")</f>
        <v>0</v>
      </c>
      <c r="AL287" s="34" t="s">
        <v>3820</v>
      </c>
      <c r="AM287" s="34">
        <v>290.0</v>
      </c>
      <c r="AN287" s="34" t="s">
        <v>3853</v>
      </c>
      <c r="AO287" s="34">
        <v>0.0</v>
      </c>
      <c r="AP287" s="34">
        <v>100.0</v>
      </c>
      <c r="AQ287" s="34">
        <v>0.0</v>
      </c>
      <c r="AR287" s="34">
        <v>0.0</v>
      </c>
      <c r="AS287" s="33">
        <f>COUNTIFS('Data For Calculation - Insuranc'!A:A,A287,'Data For Calculation - Insuranc'!E:E,"RSA + AHDC + DOC")</f>
        <v>0</v>
      </c>
      <c r="BR287" s="33">
        <f t="shared" si="1"/>
        <v>0</v>
      </c>
      <c r="BS287" s="33">
        <f>SUMIFS('Data For Calculation - Insuranc'!I:I,'Data For Calculation - Insuranc'!$A:$A,$A287)</f>
        <v>0</v>
      </c>
      <c r="BT287" s="33">
        <f>SUMIFS('Data For Calculation - Insuranc'!J:J,'Data For Calculation - Insuranc'!$A:$A,$A287)</f>
        <v>0</v>
      </c>
      <c r="BU287" s="33">
        <f>SUMIFS('Data For Calculation - Insuranc'!K:K,'Data For Calculation - Insuranc'!$A:$A,$A287)</f>
        <v>0</v>
      </c>
      <c r="BV287" s="33">
        <f>IF($CC287 = "Dealer", SUMIFS('Data For Calculation - Insuranc'!I:I,'Data For Calculation - Insuranc'!$B:$B,$A287,'Data For Calculation - Insuranc'!$H:$H,"Master Dealer")) + SUMIFS('Data For Calculation - Insuranc'!I:I,'Data For Calculation - Insuranc'!$A:$A,$A287,'Data For Calculation - Insuranc'!$H:$H,"Self")</f>
        <v>0</v>
      </c>
      <c r="BW287" s="33">
        <f>IF($CC287 = "Dealer", SUMIFS('Data For Calculation - Insuranc'!J:J,'Data For Calculation - Insuranc'!$B:$B,$A287,'Data For Calculation - Insuranc'!$H:$H,"Master Dealer")) + SUMIFS('Data For Calculation - Insuranc'!J:J,'Data For Calculation - Insuranc'!$A:$A,$A287,'Data For Calculation - Insuranc'!$H:$H,"Self")</f>
        <v>0</v>
      </c>
      <c r="BX287" s="33">
        <f>IF($CC287 = "Dealer", SUMIFS('Data For Calculation - Insuranc'!K:K,'Data For Calculation - Insuranc'!$B:$B,$A287,'Data For Calculation - Insuranc'!$H:$H,"Master Dealer")) + SUMIFS('Data For Calculation - Insuranc'!K:K,'Data For Calculation - Insuranc'!$A:$A,$A287,'Data For Calculation - Insuranc'!$H:$H,"Self")</f>
        <v>0</v>
      </c>
      <c r="BY287" s="26" t="str">
        <f>(Sheet1!N287)</f>
        <v>Gupta Automobiles - Padrauna</v>
      </c>
      <c r="BZ287" s="26" t="str">
        <f>(Sheet1!O287)</f>
        <v>1Ql_6BdBcHGAyITSZt1pNUK3bW54CzeThIBXr7aH7K3Y</v>
      </c>
      <c r="CA287" s="25" t="str">
        <f>(Sheet1!AV287)</f>
        <v/>
      </c>
      <c r="CB287" s="25" t="str">
        <f>(Sheet1!AW287)</f>
        <v/>
      </c>
      <c r="CC287" s="26" t="str">
        <f>(Sheet1!P287)</f>
        <v>Sub Dealer</v>
      </c>
    </row>
    <row r="288">
      <c r="A288" s="26" t="str">
        <f>(Sheet1!A288)</f>
        <v>1iS0OzsOEgzLoPMX6_hFFZoxQvPZH07oslA_7etrLuZw</v>
      </c>
      <c r="B288" s="26" t="str">
        <f>(Sheet1!B288)</f>
        <v>SHREE KHADKA G AUTO- AHMEDABAD</v>
      </c>
      <c r="C288" s="30" t="str">
        <f>Sheet1!BB288</f>
        <v>No</v>
      </c>
      <c r="D288" s="34" t="s">
        <v>13</v>
      </c>
      <c r="E288" s="34" t="s">
        <v>13</v>
      </c>
      <c r="F288" s="34" t="s">
        <v>3820</v>
      </c>
      <c r="G288" s="34">
        <v>290.0</v>
      </c>
      <c r="H288" s="34" t="s">
        <v>3853</v>
      </c>
      <c r="I288" s="34">
        <v>0.0</v>
      </c>
      <c r="J288" s="34">
        <v>100.0</v>
      </c>
      <c r="K288" s="34">
        <v>0.0</v>
      </c>
      <c r="L288" s="34">
        <v>0.0</v>
      </c>
      <c r="M288" s="33">
        <f>COUNTIFS('Data For Calculation - Insuranc'!A:A,A288,'Data For Calculation - Insuranc'!E:E,"CPA + RSA")</f>
        <v>0</v>
      </c>
      <c r="N288" s="34" t="s">
        <v>3820</v>
      </c>
      <c r="O288" s="34">
        <v>460.0</v>
      </c>
      <c r="P288" s="34" t="s">
        <v>3853</v>
      </c>
      <c r="Q288" s="34">
        <v>0.0</v>
      </c>
      <c r="R288" s="34">
        <v>100.0</v>
      </c>
      <c r="S288" s="34">
        <v>0.0</v>
      </c>
      <c r="T288" s="34">
        <v>0.0</v>
      </c>
      <c r="U288" s="33">
        <f>COUNTIFS('Data For Calculation - Insuranc'!A:A,A288,'Data For Calculation - Insuranc'!E:E,"CPA + RSA + AHDC + DOC")</f>
        <v>0</v>
      </c>
      <c r="V288" s="34" t="s">
        <v>3820</v>
      </c>
      <c r="W288" s="34">
        <v>838.99</v>
      </c>
      <c r="X288" s="34" t="s">
        <v>3853</v>
      </c>
      <c r="Y288" s="34">
        <v>0.0</v>
      </c>
      <c r="Z288" s="34">
        <v>100.0</v>
      </c>
      <c r="AA288" s="34">
        <v>0.0</v>
      </c>
      <c r="AB288" s="34">
        <v>0.0</v>
      </c>
      <c r="AC288" s="33">
        <f>COUNTIFS('Data For Calculation - Insuranc'!A:A,A288,'Data For Calculation - Insuranc'!E:E,"CPA + RSA : 5 Years")</f>
        <v>0</v>
      </c>
      <c r="AD288" s="34" t="s">
        <v>3820</v>
      </c>
      <c r="AE288" s="34">
        <v>838.99</v>
      </c>
      <c r="AF288" s="34" t="s">
        <v>3853</v>
      </c>
      <c r="AG288" s="34">
        <v>0.0</v>
      </c>
      <c r="AH288" s="34">
        <v>100.0</v>
      </c>
      <c r="AI288" s="34">
        <v>0.0</v>
      </c>
      <c r="AJ288" s="34">
        <v>0.0</v>
      </c>
      <c r="AK288" s="33">
        <f>COUNTIFS('Data For Calculation - Insuranc'!A:A,A288,'Data For Calculation - Insuranc'!E:E,"Assistance + CPA : 5 Years")</f>
        <v>0</v>
      </c>
      <c r="AL288" s="34" t="s">
        <v>3820</v>
      </c>
      <c r="AM288" s="34">
        <v>290.0</v>
      </c>
      <c r="AN288" s="34" t="s">
        <v>3853</v>
      </c>
      <c r="AO288" s="34">
        <v>0.0</v>
      </c>
      <c r="AP288" s="34">
        <v>100.0</v>
      </c>
      <c r="AQ288" s="34">
        <v>0.0</v>
      </c>
      <c r="AR288" s="34">
        <v>0.0</v>
      </c>
      <c r="AS288" s="33">
        <f>COUNTIFS('Data For Calculation - Insuranc'!A:A,A288,'Data For Calculation - Insuranc'!E:E,"RSA + AHDC + DOC")</f>
        <v>0</v>
      </c>
      <c r="BR288" s="33">
        <f t="shared" si="1"/>
        <v>0</v>
      </c>
      <c r="BS288" s="33">
        <f>SUMIFS('Data For Calculation - Insuranc'!I:I,'Data For Calculation - Insuranc'!$A:$A,$A288)</f>
        <v>0</v>
      </c>
      <c r="BT288" s="33">
        <f>SUMIFS('Data For Calculation - Insuranc'!J:J,'Data For Calculation - Insuranc'!$A:$A,$A288)</f>
        <v>0</v>
      </c>
      <c r="BU288" s="33">
        <f>SUMIFS('Data For Calculation - Insuranc'!K:K,'Data For Calculation - Insuranc'!$A:$A,$A288)</f>
        <v>0</v>
      </c>
      <c r="BV288" s="33">
        <f>IF($CC288 = "Dealer", SUMIFS('Data For Calculation - Insuranc'!I:I,'Data For Calculation - Insuranc'!$B:$B,$A288,'Data For Calculation - Insuranc'!$H:$H,"Master Dealer")) + SUMIFS('Data For Calculation - Insuranc'!I:I,'Data For Calculation - Insuranc'!$A:$A,$A288,'Data For Calculation - Insuranc'!$H:$H,"Self")</f>
        <v>0</v>
      </c>
      <c r="BW288" s="33">
        <f>IF($CC288 = "Dealer", SUMIFS('Data For Calculation - Insuranc'!J:J,'Data For Calculation - Insuranc'!$B:$B,$A288,'Data For Calculation - Insuranc'!$H:$H,"Master Dealer")) + SUMIFS('Data For Calculation - Insuranc'!J:J,'Data For Calculation - Insuranc'!$A:$A,$A288,'Data For Calculation - Insuranc'!$H:$H,"Self")</f>
        <v>0</v>
      </c>
      <c r="BX288" s="33">
        <f>IF($CC288 = "Dealer", SUMIFS('Data For Calculation - Insuranc'!K:K,'Data For Calculation - Insuranc'!$B:$B,$A288,'Data For Calculation - Insuranc'!$H:$H,"Master Dealer")) + SUMIFS('Data For Calculation - Insuranc'!K:K,'Data For Calculation - Insuranc'!$A:$A,$A288,'Data For Calculation - Insuranc'!$H:$H,"Self")</f>
        <v>0</v>
      </c>
      <c r="BY288" s="26" t="str">
        <f>(Sheet1!N288)</f>
        <v>SHREE KHADKA G AUTO- AHMEDABAD</v>
      </c>
      <c r="BZ288" s="26" t="str">
        <f>(Sheet1!O288)</f>
        <v>1iS0OzsOEgzLoPMX6_hFFZoxQvPZH07oslA_7etrLuZw</v>
      </c>
      <c r="CA288" s="25" t="str">
        <f>(Sheet1!AV288)</f>
        <v/>
      </c>
      <c r="CB288" s="25" t="str">
        <f>(Sheet1!AW288)</f>
        <v/>
      </c>
      <c r="CC288" s="26" t="str">
        <f>(Sheet1!P288)</f>
        <v>Dealer</v>
      </c>
    </row>
    <row r="289">
      <c r="A289" s="26" t="str">
        <f>(Sheet1!A289)</f>
        <v>1FBjXAE1-KKWRluxAeSNXWWc03DBWHZmw6NQIaZREyIU</v>
      </c>
      <c r="B289" s="26" t="str">
        <f>(Sheet1!B289)</f>
        <v>Singh Motor (GA) - Ahirauli Bazar</v>
      </c>
      <c r="C289" s="30" t="str">
        <f>Sheet1!BB289</f>
        <v>No</v>
      </c>
      <c r="D289" s="34" t="s">
        <v>13</v>
      </c>
      <c r="E289" s="34" t="s">
        <v>13</v>
      </c>
      <c r="F289" s="34" t="s">
        <v>3820</v>
      </c>
      <c r="G289" s="34">
        <v>290.0</v>
      </c>
      <c r="H289" s="34" t="s">
        <v>3853</v>
      </c>
      <c r="I289" s="34">
        <v>0.0</v>
      </c>
      <c r="J289" s="34">
        <v>100.0</v>
      </c>
      <c r="K289" s="34">
        <v>0.0</v>
      </c>
      <c r="L289" s="34">
        <v>0.0</v>
      </c>
      <c r="M289" s="33">
        <f>COUNTIFS('Data For Calculation - Insuranc'!A:A,A289,'Data For Calculation - Insuranc'!E:E,"CPA + RSA")</f>
        <v>0</v>
      </c>
      <c r="N289" s="34" t="s">
        <v>3820</v>
      </c>
      <c r="O289" s="34">
        <v>460.0</v>
      </c>
      <c r="P289" s="34" t="s">
        <v>3853</v>
      </c>
      <c r="Q289" s="34">
        <v>0.0</v>
      </c>
      <c r="R289" s="34">
        <v>100.0</v>
      </c>
      <c r="S289" s="34">
        <v>0.0</v>
      </c>
      <c r="T289" s="34">
        <v>0.0</v>
      </c>
      <c r="U289" s="33">
        <f>COUNTIFS('Data For Calculation - Insuranc'!A:A,A289,'Data For Calculation - Insuranc'!E:E,"CPA + RSA + AHDC + DOC")</f>
        <v>0</v>
      </c>
      <c r="V289" s="34" t="s">
        <v>3820</v>
      </c>
      <c r="W289" s="34">
        <v>838.99</v>
      </c>
      <c r="X289" s="34" t="s">
        <v>3853</v>
      </c>
      <c r="Y289" s="34">
        <v>0.0</v>
      </c>
      <c r="Z289" s="34">
        <v>100.0</v>
      </c>
      <c r="AA289" s="34">
        <v>0.0</v>
      </c>
      <c r="AB289" s="34">
        <v>0.0</v>
      </c>
      <c r="AC289" s="33">
        <f>COUNTIFS('Data For Calculation - Insuranc'!A:A,A289,'Data For Calculation - Insuranc'!E:E,"CPA + RSA : 5 Years")</f>
        <v>0</v>
      </c>
      <c r="AD289" s="34" t="s">
        <v>3820</v>
      </c>
      <c r="AE289" s="34">
        <v>838.99</v>
      </c>
      <c r="AF289" s="34" t="s">
        <v>3853</v>
      </c>
      <c r="AG289" s="34">
        <v>0.0</v>
      </c>
      <c r="AH289" s="34">
        <v>100.0</v>
      </c>
      <c r="AI289" s="34">
        <v>0.0</v>
      </c>
      <c r="AJ289" s="34">
        <v>0.0</v>
      </c>
      <c r="AK289" s="33">
        <f>COUNTIFS('Data For Calculation - Insuranc'!A:A,A289,'Data For Calculation - Insuranc'!E:E,"Assistance + CPA : 5 Years")</f>
        <v>0</v>
      </c>
      <c r="AL289" s="34" t="s">
        <v>3820</v>
      </c>
      <c r="AM289" s="34">
        <v>290.0</v>
      </c>
      <c r="AN289" s="34" t="s">
        <v>3853</v>
      </c>
      <c r="AO289" s="34">
        <v>0.0</v>
      </c>
      <c r="AP289" s="34">
        <v>100.0</v>
      </c>
      <c r="AQ289" s="34">
        <v>0.0</v>
      </c>
      <c r="AR289" s="34">
        <v>0.0</v>
      </c>
      <c r="AS289" s="33">
        <f>COUNTIFS('Data For Calculation - Insuranc'!A:A,A289,'Data For Calculation - Insuranc'!E:E,"RSA + AHDC + DOC")</f>
        <v>0</v>
      </c>
      <c r="BR289" s="33">
        <f t="shared" si="1"/>
        <v>0</v>
      </c>
      <c r="BS289" s="33">
        <f>SUMIFS('Data For Calculation - Insuranc'!I:I,'Data For Calculation - Insuranc'!$A:$A,$A289)</f>
        <v>0</v>
      </c>
      <c r="BT289" s="33">
        <f>SUMIFS('Data For Calculation - Insuranc'!J:J,'Data For Calculation - Insuranc'!$A:$A,$A289)</f>
        <v>0</v>
      </c>
      <c r="BU289" s="33">
        <f>SUMIFS('Data For Calculation - Insuranc'!K:K,'Data For Calculation - Insuranc'!$A:$A,$A289)</f>
        <v>0</v>
      </c>
      <c r="BV289" s="33">
        <f>IF($CC289 = "Dealer", SUMIFS('Data For Calculation - Insuranc'!I:I,'Data For Calculation - Insuranc'!$B:$B,$A289,'Data For Calculation - Insuranc'!$H:$H,"Master Dealer")) + SUMIFS('Data For Calculation - Insuranc'!I:I,'Data For Calculation - Insuranc'!$A:$A,$A289,'Data For Calculation - Insuranc'!$H:$H,"Self")</f>
        <v>0</v>
      </c>
      <c r="BW289" s="33">
        <f>IF($CC289 = "Dealer", SUMIFS('Data For Calculation - Insuranc'!J:J,'Data For Calculation - Insuranc'!$B:$B,$A289,'Data For Calculation - Insuranc'!$H:$H,"Master Dealer")) + SUMIFS('Data For Calculation - Insuranc'!J:J,'Data For Calculation - Insuranc'!$A:$A,$A289,'Data For Calculation - Insuranc'!$H:$H,"Self")</f>
        <v>0</v>
      </c>
      <c r="BX289" s="33">
        <f>IF($CC289 = "Dealer", SUMIFS('Data For Calculation - Insuranc'!K:K,'Data For Calculation - Insuranc'!$B:$B,$A289,'Data For Calculation - Insuranc'!$H:$H,"Master Dealer")) + SUMIFS('Data For Calculation - Insuranc'!K:K,'Data For Calculation - Insuranc'!$A:$A,$A289,'Data For Calculation - Insuranc'!$H:$H,"Self")</f>
        <v>0</v>
      </c>
      <c r="BY289" s="26" t="str">
        <f>(Sheet1!N289)</f>
        <v>Gupta Automobiles - Padrauna</v>
      </c>
      <c r="BZ289" s="26" t="str">
        <f>(Sheet1!O289)</f>
        <v>1Ql_6BdBcHGAyITSZt1pNUK3bW54CzeThIBXr7aH7K3Y</v>
      </c>
      <c r="CA289" s="25" t="str">
        <f>(Sheet1!AV289)</f>
        <v/>
      </c>
      <c r="CB289" s="25" t="str">
        <f>(Sheet1!AW289)</f>
        <v/>
      </c>
      <c r="CC289" s="26" t="str">
        <f>(Sheet1!P289)</f>
        <v>Sub Dealer</v>
      </c>
    </row>
    <row r="290">
      <c r="A290" s="26" t="str">
        <f>(Sheet1!A290)</f>
        <v>1uBiAsC5-HA2hRNcQGD_6Mpaq6LmZNpNtQhdpeLcD4Yg</v>
      </c>
      <c r="B290" s="26" t="str">
        <f>(Sheet1!B290)</f>
        <v>Laxmi Automobiles (GA) - Badhu Chauraha</v>
      </c>
      <c r="C290" s="30" t="str">
        <f>Sheet1!BB290</f>
        <v>No</v>
      </c>
      <c r="D290" s="34" t="s">
        <v>13</v>
      </c>
      <c r="E290" s="34" t="s">
        <v>13</v>
      </c>
      <c r="F290" s="34" t="s">
        <v>3820</v>
      </c>
      <c r="G290" s="34">
        <v>290.0</v>
      </c>
      <c r="H290" s="34" t="s">
        <v>3853</v>
      </c>
      <c r="I290" s="34">
        <v>0.0</v>
      </c>
      <c r="J290" s="34">
        <v>100.0</v>
      </c>
      <c r="K290" s="34">
        <v>0.0</v>
      </c>
      <c r="L290" s="34">
        <v>0.0</v>
      </c>
      <c r="M290" s="33">
        <f>COUNTIFS('Data For Calculation - Insuranc'!A:A,A290,'Data For Calculation - Insuranc'!E:E,"CPA + RSA")</f>
        <v>0</v>
      </c>
      <c r="N290" s="34" t="s">
        <v>3820</v>
      </c>
      <c r="O290" s="34">
        <v>460.0</v>
      </c>
      <c r="P290" s="34" t="s">
        <v>3853</v>
      </c>
      <c r="Q290" s="34">
        <v>0.0</v>
      </c>
      <c r="R290" s="34">
        <v>100.0</v>
      </c>
      <c r="S290" s="34">
        <v>0.0</v>
      </c>
      <c r="T290" s="34">
        <v>0.0</v>
      </c>
      <c r="U290" s="33">
        <f>COUNTIFS('Data For Calculation - Insuranc'!A:A,A290,'Data For Calculation - Insuranc'!E:E,"CPA + RSA + AHDC + DOC")</f>
        <v>0</v>
      </c>
      <c r="V290" s="34" t="s">
        <v>3820</v>
      </c>
      <c r="W290" s="34">
        <v>838.99</v>
      </c>
      <c r="X290" s="34" t="s">
        <v>3853</v>
      </c>
      <c r="Y290" s="34">
        <v>0.0</v>
      </c>
      <c r="Z290" s="34">
        <v>100.0</v>
      </c>
      <c r="AA290" s="34">
        <v>0.0</v>
      </c>
      <c r="AB290" s="34">
        <v>0.0</v>
      </c>
      <c r="AC290" s="33">
        <f>COUNTIFS('Data For Calculation - Insuranc'!A:A,A290,'Data For Calculation - Insuranc'!E:E,"CPA + RSA : 5 Years")</f>
        <v>0</v>
      </c>
      <c r="AD290" s="34" t="s">
        <v>3820</v>
      </c>
      <c r="AE290" s="34">
        <v>838.99</v>
      </c>
      <c r="AF290" s="34" t="s">
        <v>3853</v>
      </c>
      <c r="AG290" s="34">
        <v>0.0</v>
      </c>
      <c r="AH290" s="34">
        <v>100.0</v>
      </c>
      <c r="AI290" s="34">
        <v>0.0</v>
      </c>
      <c r="AJ290" s="34">
        <v>0.0</v>
      </c>
      <c r="AK290" s="33">
        <f>COUNTIFS('Data For Calculation - Insuranc'!A:A,A290,'Data For Calculation - Insuranc'!E:E,"Assistance + CPA : 5 Years")</f>
        <v>0</v>
      </c>
      <c r="AL290" s="34" t="s">
        <v>3820</v>
      </c>
      <c r="AM290" s="34">
        <v>290.0</v>
      </c>
      <c r="AN290" s="34" t="s">
        <v>3853</v>
      </c>
      <c r="AO290" s="34">
        <v>0.0</v>
      </c>
      <c r="AP290" s="34">
        <v>100.0</v>
      </c>
      <c r="AQ290" s="34">
        <v>0.0</v>
      </c>
      <c r="AR290" s="34">
        <v>0.0</v>
      </c>
      <c r="AS290" s="33">
        <f>COUNTIFS('Data For Calculation - Insuranc'!A:A,A290,'Data For Calculation - Insuranc'!E:E,"RSA + AHDC + DOC")</f>
        <v>0</v>
      </c>
      <c r="BR290" s="33">
        <f t="shared" si="1"/>
        <v>0</v>
      </c>
      <c r="BS290" s="33">
        <f>SUMIFS('Data For Calculation - Insuranc'!I:I,'Data For Calculation - Insuranc'!$A:$A,$A290)</f>
        <v>0</v>
      </c>
      <c r="BT290" s="33">
        <f>SUMIFS('Data For Calculation - Insuranc'!J:J,'Data For Calculation - Insuranc'!$A:$A,$A290)</f>
        <v>0</v>
      </c>
      <c r="BU290" s="33">
        <f>SUMIFS('Data For Calculation - Insuranc'!K:K,'Data For Calculation - Insuranc'!$A:$A,$A290)</f>
        <v>0</v>
      </c>
      <c r="BV290" s="33">
        <f>IF($CC290 = "Dealer", SUMIFS('Data For Calculation - Insuranc'!I:I,'Data For Calculation - Insuranc'!$B:$B,$A290,'Data For Calculation - Insuranc'!$H:$H,"Master Dealer")) + SUMIFS('Data For Calculation - Insuranc'!I:I,'Data For Calculation - Insuranc'!$A:$A,$A290,'Data For Calculation - Insuranc'!$H:$H,"Self")</f>
        <v>0</v>
      </c>
      <c r="BW290" s="33">
        <f>IF($CC290 = "Dealer", SUMIFS('Data For Calculation - Insuranc'!J:J,'Data For Calculation - Insuranc'!$B:$B,$A290,'Data For Calculation - Insuranc'!$H:$H,"Master Dealer")) + SUMIFS('Data For Calculation - Insuranc'!J:J,'Data For Calculation - Insuranc'!$A:$A,$A290,'Data For Calculation - Insuranc'!$H:$H,"Self")</f>
        <v>0</v>
      </c>
      <c r="BX290" s="33">
        <f>IF($CC290 = "Dealer", SUMIFS('Data For Calculation - Insuranc'!K:K,'Data For Calculation - Insuranc'!$B:$B,$A290,'Data For Calculation - Insuranc'!$H:$H,"Master Dealer")) + SUMIFS('Data For Calculation - Insuranc'!K:K,'Data For Calculation - Insuranc'!$A:$A,$A290,'Data For Calculation - Insuranc'!$H:$H,"Self")</f>
        <v>0</v>
      </c>
      <c r="BY290" s="26" t="str">
        <f>(Sheet1!N290)</f>
        <v>Gupta Automobiles - Padrauna</v>
      </c>
      <c r="BZ290" s="26" t="str">
        <f>(Sheet1!O290)</f>
        <v>1Ql_6BdBcHGAyITSZt1pNUK3bW54CzeThIBXr7aH7K3Y</v>
      </c>
      <c r="CA290" s="25" t="str">
        <f>(Sheet1!AV290)</f>
        <v/>
      </c>
      <c r="CB290" s="25" t="str">
        <f>(Sheet1!AW290)</f>
        <v/>
      </c>
      <c r="CC290" s="26" t="str">
        <f>(Sheet1!P290)</f>
        <v>Sub Dealer</v>
      </c>
    </row>
    <row r="291">
      <c r="A291" s="26" t="str">
        <f>(Sheet1!A291)</f>
        <v>1bhPjaQq-g1jDtXoW8RLurTGLJE_d2uN5NupwulpULrs</v>
      </c>
      <c r="B291" s="26" t="str">
        <f>(Sheet1!B291)</f>
        <v>Sunil Motors (GA) - Inderpur</v>
      </c>
      <c r="C291" s="30" t="str">
        <f>Sheet1!BB291</f>
        <v>No</v>
      </c>
      <c r="D291" s="34" t="s">
        <v>13</v>
      </c>
      <c r="E291" s="34" t="s">
        <v>13</v>
      </c>
      <c r="F291" s="34" t="s">
        <v>3820</v>
      </c>
      <c r="G291" s="34">
        <v>290.0</v>
      </c>
      <c r="H291" s="34" t="s">
        <v>3853</v>
      </c>
      <c r="I291" s="34">
        <v>0.0</v>
      </c>
      <c r="J291" s="34">
        <v>100.0</v>
      </c>
      <c r="K291" s="34">
        <v>0.0</v>
      </c>
      <c r="L291" s="34">
        <v>0.0</v>
      </c>
      <c r="M291" s="33">
        <f>COUNTIFS('Data For Calculation - Insuranc'!A:A,A291,'Data For Calculation - Insuranc'!E:E,"CPA + RSA")</f>
        <v>0</v>
      </c>
      <c r="N291" s="34" t="s">
        <v>3820</v>
      </c>
      <c r="O291" s="34">
        <v>460.0</v>
      </c>
      <c r="P291" s="34" t="s">
        <v>3853</v>
      </c>
      <c r="Q291" s="34">
        <v>0.0</v>
      </c>
      <c r="R291" s="34">
        <v>100.0</v>
      </c>
      <c r="S291" s="34">
        <v>0.0</v>
      </c>
      <c r="T291" s="34">
        <v>0.0</v>
      </c>
      <c r="U291" s="33">
        <f>COUNTIFS('Data For Calculation - Insuranc'!A:A,A291,'Data For Calculation - Insuranc'!E:E,"CPA + RSA + AHDC + DOC")</f>
        <v>0</v>
      </c>
      <c r="V291" s="34" t="s">
        <v>3820</v>
      </c>
      <c r="W291" s="34">
        <v>838.99</v>
      </c>
      <c r="X291" s="34" t="s">
        <v>3853</v>
      </c>
      <c r="Y291" s="34">
        <v>0.0</v>
      </c>
      <c r="Z291" s="34">
        <v>100.0</v>
      </c>
      <c r="AA291" s="34">
        <v>0.0</v>
      </c>
      <c r="AB291" s="34">
        <v>0.0</v>
      </c>
      <c r="AC291" s="33">
        <f>COUNTIFS('Data For Calculation - Insuranc'!A:A,A291,'Data For Calculation - Insuranc'!E:E,"CPA + RSA : 5 Years")</f>
        <v>0</v>
      </c>
      <c r="AD291" s="34" t="s">
        <v>3820</v>
      </c>
      <c r="AE291" s="34">
        <v>838.99</v>
      </c>
      <c r="AF291" s="34" t="s">
        <v>3853</v>
      </c>
      <c r="AG291" s="34">
        <v>0.0</v>
      </c>
      <c r="AH291" s="34">
        <v>100.0</v>
      </c>
      <c r="AI291" s="34">
        <v>0.0</v>
      </c>
      <c r="AJ291" s="34">
        <v>0.0</v>
      </c>
      <c r="AK291" s="33">
        <f>COUNTIFS('Data For Calculation - Insuranc'!A:A,A291,'Data For Calculation - Insuranc'!E:E,"Assistance + CPA : 5 Years")</f>
        <v>0</v>
      </c>
      <c r="AL291" s="34" t="s">
        <v>3820</v>
      </c>
      <c r="AM291" s="34">
        <v>290.0</v>
      </c>
      <c r="AN291" s="34" t="s">
        <v>3853</v>
      </c>
      <c r="AO291" s="34">
        <v>0.0</v>
      </c>
      <c r="AP291" s="34">
        <v>100.0</v>
      </c>
      <c r="AQ291" s="34">
        <v>0.0</v>
      </c>
      <c r="AR291" s="34">
        <v>0.0</v>
      </c>
      <c r="AS291" s="33">
        <f>COUNTIFS('Data For Calculation - Insuranc'!A:A,A291,'Data For Calculation - Insuranc'!E:E,"RSA + AHDC + DOC")</f>
        <v>0</v>
      </c>
      <c r="BR291" s="33">
        <f t="shared" si="1"/>
        <v>0</v>
      </c>
      <c r="BS291" s="33">
        <f>SUMIFS('Data For Calculation - Insuranc'!I:I,'Data For Calculation - Insuranc'!$A:$A,$A291)</f>
        <v>0</v>
      </c>
      <c r="BT291" s="33">
        <f>SUMIFS('Data For Calculation - Insuranc'!J:J,'Data For Calculation - Insuranc'!$A:$A,$A291)</f>
        <v>0</v>
      </c>
      <c r="BU291" s="33">
        <f>SUMIFS('Data For Calculation - Insuranc'!K:K,'Data For Calculation - Insuranc'!$A:$A,$A291)</f>
        <v>0</v>
      </c>
      <c r="BV291" s="33">
        <f>IF($CC291 = "Dealer", SUMIFS('Data For Calculation - Insuranc'!I:I,'Data For Calculation - Insuranc'!$B:$B,$A291,'Data For Calculation - Insuranc'!$H:$H,"Master Dealer")) + SUMIFS('Data For Calculation - Insuranc'!I:I,'Data For Calculation - Insuranc'!$A:$A,$A291,'Data For Calculation - Insuranc'!$H:$H,"Self")</f>
        <v>0</v>
      </c>
      <c r="BW291" s="33">
        <f>IF($CC291 = "Dealer", SUMIFS('Data For Calculation - Insuranc'!J:J,'Data For Calculation - Insuranc'!$B:$B,$A291,'Data For Calculation - Insuranc'!$H:$H,"Master Dealer")) + SUMIFS('Data For Calculation - Insuranc'!J:J,'Data For Calculation - Insuranc'!$A:$A,$A291,'Data For Calculation - Insuranc'!$H:$H,"Self")</f>
        <v>0</v>
      </c>
      <c r="BX291" s="33">
        <f>IF($CC291 = "Dealer", SUMIFS('Data For Calculation - Insuranc'!K:K,'Data For Calculation - Insuranc'!$B:$B,$A291,'Data For Calculation - Insuranc'!$H:$H,"Master Dealer")) + SUMIFS('Data For Calculation - Insuranc'!K:K,'Data For Calculation - Insuranc'!$A:$A,$A291,'Data For Calculation - Insuranc'!$H:$H,"Self")</f>
        <v>0</v>
      </c>
      <c r="BY291" s="26" t="str">
        <f>(Sheet1!N291)</f>
        <v>Gupta Automobiles - Padrauna</v>
      </c>
      <c r="BZ291" s="26" t="str">
        <f>(Sheet1!O291)</f>
        <v>1Ql_6BdBcHGAyITSZt1pNUK3bW54CzeThIBXr7aH7K3Y</v>
      </c>
      <c r="CA291" s="25" t="str">
        <f>(Sheet1!AV291)</f>
        <v/>
      </c>
      <c r="CB291" s="25" t="str">
        <f>(Sheet1!AW291)</f>
        <v/>
      </c>
      <c r="CC291" s="26" t="str">
        <f>(Sheet1!P291)</f>
        <v>Sub Dealer</v>
      </c>
    </row>
    <row r="292">
      <c r="A292" s="26" t="str">
        <f>(Sheet1!A292)</f>
        <v>1xFID_8JlzSrxrXeYVgdRqij29QdUPwj9WI5dysI9CDw</v>
      </c>
      <c r="B292" s="26" t="str">
        <f>(Sheet1!B292)</f>
        <v>Samar Automobiles- Dudahi</v>
      </c>
      <c r="C292" s="30" t="str">
        <f>Sheet1!BB292</f>
        <v>No</v>
      </c>
      <c r="D292" s="34" t="s">
        <v>13</v>
      </c>
      <c r="E292" s="34" t="s">
        <v>13</v>
      </c>
      <c r="F292" s="34" t="s">
        <v>3820</v>
      </c>
      <c r="G292" s="34">
        <v>290.0</v>
      </c>
      <c r="H292" s="34" t="s">
        <v>3853</v>
      </c>
      <c r="I292" s="34">
        <v>0.0</v>
      </c>
      <c r="J292" s="34">
        <v>100.0</v>
      </c>
      <c r="K292" s="34">
        <v>0.0</v>
      </c>
      <c r="L292" s="34">
        <v>0.0</v>
      </c>
      <c r="M292" s="33">
        <f>COUNTIFS('Data For Calculation - Insuranc'!A:A,A292,'Data For Calculation - Insuranc'!E:E,"CPA + RSA")</f>
        <v>0</v>
      </c>
      <c r="N292" s="34" t="s">
        <v>3820</v>
      </c>
      <c r="O292" s="34">
        <v>460.0</v>
      </c>
      <c r="P292" s="34" t="s">
        <v>3853</v>
      </c>
      <c r="Q292" s="34">
        <v>0.0</v>
      </c>
      <c r="R292" s="34">
        <v>100.0</v>
      </c>
      <c r="S292" s="34">
        <v>0.0</v>
      </c>
      <c r="T292" s="34">
        <v>0.0</v>
      </c>
      <c r="U292" s="33">
        <f>COUNTIFS('Data For Calculation - Insuranc'!A:A,A292,'Data For Calculation - Insuranc'!E:E,"CPA + RSA + AHDC + DOC")</f>
        <v>0</v>
      </c>
      <c r="V292" s="34" t="s">
        <v>3820</v>
      </c>
      <c r="W292" s="34">
        <v>838.99</v>
      </c>
      <c r="X292" s="34" t="s">
        <v>3853</v>
      </c>
      <c r="Y292" s="34">
        <v>0.0</v>
      </c>
      <c r="Z292" s="34">
        <v>100.0</v>
      </c>
      <c r="AA292" s="34">
        <v>0.0</v>
      </c>
      <c r="AB292" s="34">
        <v>0.0</v>
      </c>
      <c r="AC292" s="33">
        <f>COUNTIFS('Data For Calculation - Insuranc'!A:A,A292,'Data For Calculation - Insuranc'!E:E,"CPA + RSA : 5 Years")</f>
        <v>0</v>
      </c>
      <c r="AD292" s="34" t="s">
        <v>3820</v>
      </c>
      <c r="AE292" s="34">
        <v>838.99</v>
      </c>
      <c r="AF292" s="34" t="s">
        <v>3853</v>
      </c>
      <c r="AG292" s="34">
        <v>0.0</v>
      </c>
      <c r="AH292" s="34">
        <v>100.0</v>
      </c>
      <c r="AI292" s="34">
        <v>0.0</v>
      </c>
      <c r="AJ292" s="34">
        <v>0.0</v>
      </c>
      <c r="AK292" s="33">
        <f>COUNTIFS('Data For Calculation - Insuranc'!A:A,A292,'Data For Calculation - Insuranc'!E:E,"Assistance + CPA : 5 Years")</f>
        <v>0</v>
      </c>
      <c r="AL292" s="34" t="s">
        <v>3820</v>
      </c>
      <c r="AM292" s="34">
        <v>290.0</v>
      </c>
      <c r="AN292" s="34" t="s">
        <v>3853</v>
      </c>
      <c r="AO292" s="34">
        <v>0.0</v>
      </c>
      <c r="AP292" s="34">
        <v>100.0</v>
      </c>
      <c r="AQ292" s="34">
        <v>0.0</v>
      </c>
      <c r="AR292" s="34">
        <v>0.0</v>
      </c>
      <c r="AS292" s="33">
        <f>COUNTIFS('Data For Calculation - Insuranc'!A:A,A292,'Data For Calculation - Insuranc'!E:E,"RSA + AHDC + DOC")</f>
        <v>0</v>
      </c>
      <c r="BR292" s="33">
        <f t="shared" si="1"/>
        <v>0</v>
      </c>
      <c r="BS292" s="33">
        <f>SUMIFS('Data For Calculation - Insuranc'!I:I,'Data For Calculation - Insuranc'!$A:$A,$A292)</f>
        <v>0</v>
      </c>
      <c r="BT292" s="33">
        <f>SUMIFS('Data For Calculation - Insuranc'!J:J,'Data For Calculation - Insuranc'!$A:$A,$A292)</f>
        <v>0</v>
      </c>
      <c r="BU292" s="33">
        <f>SUMIFS('Data For Calculation - Insuranc'!K:K,'Data For Calculation - Insuranc'!$A:$A,$A292)</f>
        <v>0</v>
      </c>
      <c r="BV292" s="33">
        <f>IF($CC292 = "Dealer", SUMIFS('Data For Calculation - Insuranc'!I:I,'Data For Calculation - Insuranc'!$B:$B,$A292,'Data For Calculation - Insuranc'!$H:$H,"Master Dealer")) + SUMIFS('Data For Calculation - Insuranc'!I:I,'Data For Calculation - Insuranc'!$A:$A,$A292,'Data For Calculation - Insuranc'!$H:$H,"Self")</f>
        <v>0</v>
      </c>
      <c r="BW292" s="33">
        <f>IF($CC292 = "Dealer", SUMIFS('Data For Calculation - Insuranc'!J:J,'Data For Calculation - Insuranc'!$B:$B,$A292,'Data For Calculation - Insuranc'!$H:$H,"Master Dealer")) + SUMIFS('Data For Calculation - Insuranc'!J:J,'Data For Calculation - Insuranc'!$A:$A,$A292,'Data For Calculation - Insuranc'!$H:$H,"Self")</f>
        <v>0</v>
      </c>
      <c r="BX292" s="33">
        <f>IF($CC292 = "Dealer", SUMIFS('Data For Calculation - Insuranc'!K:K,'Data For Calculation - Insuranc'!$B:$B,$A292,'Data For Calculation - Insuranc'!$H:$H,"Master Dealer")) + SUMIFS('Data For Calculation - Insuranc'!K:K,'Data For Calculation - Insuranc'!$A:$A,$A292,'Data For Calculation - Insuranc'!$H:$H,"Self")</f>
        <v>0</v>
      </c>
      <c r="BY292" s="26" t="str">
        <f>(Sheet1!N292)</f>
        <v>Gupta Automobiles - Padrauna</v>
      </c>
      <c r="BZ292" s="26" t="str">
        <f>(Sheet1!O292)</f>
        <v>1Ql_6BdBcHGAyITSZt1pNUK3bW54CzeThIBXr7aH7K3Y</v>
      </c>
      <c r="CA292" s="25" t="str">
        <f>(Sheet1!AV292)</f>
        <v/>
      </c>
      <c r="CB292" s="25" t="str">
        <f>(Sheet1!AW292)</f>
        <v/>
      </c>
      <c r="CC292" s="26" t="str">
        <f>(Sheet1!P292)</f>
        <v>Sub Dealer</v>
      </c>
    </row>
    <row r="293">
      <c r="A293" s="26" t="str">
        <f>(Sheet1!A293)</f>
        <v>1X_m6RcHqFfcQ7cuPRVFGEfC7_tgNzz3k2sBzk-y5Lho</v>
      </c>
      <c r="B293" s="26" t="str">
        <f>(Sheet1!B293)</f>
        <v>Krishna Automobile - Mathauli bazar</v>
      </c>
      <c r="C293" s="30" t="str">
        <f>Sheet1!BB293</f>
        <v>No</v>
      </c>
      <c r="D293" s="34" t="s">
        <v>13</v>
      </c>
      <c r="E293" s="34" t="s">
        <v>13</v>
      </c>
      <c r="F293" s="34" t="s">
        <v>3820</v>
      </c>
      <c r="G293" s="34">
        <v>290.0</v>
      </c>
      <c r="H293" s="34" t="s">
        <v>3853</v>
      </c>
      <c r="I293" s="34">
        <v>0.0</v>
      </c>
      <c r="J293" s="34">
        <v>100.0</v>
      </c>
      <c r="K293" s="34">
        <v>0.0</v>
      </c>
      <c r="L293" s="34">
        <v>0.0</v>
      </c>
      <c r="M293" s="33">
        <f>COUNTIFS('Data For Calculation - Insuranc'!A:A,A293,'Data For Calculation - Insuranc'!E:E,"CPA + RSA")</f>
        <v>0</v>
      </c>
      <c r="N293" s="34" t="s">
        <v>3820</v>
      </c>
      <c r="O293" s="34">
        <v>460.0</v>
      </c>
      <c r="P293" s="34" t="s">
        <v>3853</v>
      </c>
      <c r="Q293" s="34">
        <v>0.0</v>
      </c>
      <c r="R293" s="34">
        <v>100.0</v>
      </c>
      <c r="S293" s="34">
        <v>0.0</v>
      </c>
      <c r="T293" s="34">
        <v>0.0</v>
      </c>
      <c r="U293" s="33">
        <f>COUNTIFS('Data For Calculation - Insuranc'!A:A,A293,'Data For Calculation - Insuranc'!E:E,"CPA + RSA + AHDC + DOC")</f>
        <v>0</v>
      </c>
      <c r="V293" s="34" t="s">
        <v>3820</v>
      </c>
      <c r="W293" s="34">
        <v>838.99</v>
      </c>
      <c r="X293" s="34" t="s">
        <v>3853</v>
      </c>
      <c r="Y293" s="34">
        <v>0.0</v>
      </c>
      <c r="Z293" s="34">
        <v>100.0</v>
      </c>
      <c r="AA293" s="34">
        <v>0.0</v>
      </c>
      <c r="AB293" s="34">
        <v>0.0</v>
      </c>
      <c r="AC293" s="33">
        <f>COUNTIFS('Data For Calculation - Insuranc'!A:A,A293,'Data For Calculation - Insuranc'!E:E,"CPA + RSA : 5 Years")</f>
        <v>0</v>
      </c>
      <c r="AD293" s="34" t="s">
        <v>3820</v>
      </c>
      <c r="AE293" s="34">
        <v>838.99</v>
      </c>
      <c r="AF293" s="34" t="s">
        <v>3853</v>
      </c>
      <c r="AG293" s="34">
        <v>0.0</v>
      </c>
      <c r="AH293" s="34">
        <v>100.0</v>
      </c>
      <c r="AI293" s="34">
        <v>0.0</v>
      </c>
      <c r="AJ293" s="34">
        <v>0.0</v>
      </c>
      <c r="AK293" s="33">
        <f>COUNTIFS('Data For Calculation - Insuranc'!A:A,A293,'Data For Calculation - Insuranc'!E:E,"Assistance + CPA : 5 Years")</f>
        <v>0</v>
      </c>
      <c r="AL293" s="34" t="s">
        <v>3820</v>
      </c>
      <c r="AM293" s="34">
        <v>290.0</v>
      </c>
      <c r="AN293" s="34" t="s">
        <v>3853</v>
      </c>
      <c r="AO293" s="34">
        <v>0.0</v>
      </c>
      <c r="AP293" s="34">
        <v>100.0</v>
      </c>
      <c r="AQ293" s="34">
        <v>0.0</v>
      </c>
      <c r="AR293" s="34">
        <v>0.0</v>
      </c>
      <c r="AS293" s="33">
        <f>COUNTIFS('Data For Calculation - Insuranc'!A:A,A293,'Data For Calculation - Insuranc'!E:E,"RSA + AHDC + DOC")</f>
        <v>0</v>
      </c>
      <c r="BR293" s="33">
        <f t="shared" si="1"/>
        <v>0</v>
      </c>
      <c r="BS293" s="33">
        <f>SUMIFS('Data For Calculation - Insuranc'!I:I,'Data For Calculation - Insuranc'!$A:$A,$A293)</f>
        <v>0</v>
      </c>
      <c r="BT293" s="33">
        <f>SUMIFS('Data For Calculation - Insuranc'!J:J,'Data For Calculation - Insuranc'!$A:$A,$A293)</f>
        <v>0</v>
      </c>
      <c r="BU293" s="33">
        <f>SUMIFS('Data For Calculation - Insuranc'!K:K,'Data For Calculation - Insuranc'!$A:$A,$A293)</f>
        <v>0</v>
      </c>
      <c r="BV293" s="33">
        <f>IF($CC293 = "Dealer", SUMIFS('Data For Calculation - Insuranc'!I:I,'Data For Calculation - Insuranc'!$B:$B,$A293,'Data For Calculation - Insuranc'!$H:$H,"Master Dealer")) + SUMIFS('Data For Calculation - Insuranc'!I:I,'Data For Calculation - Insuranc'!$A:$A,$A293,'Data For Calculation - Insuranc'!$H:$H,"Self")</f>
        <v>0</v>
      </c>
      <c r="BW293" s="33">
        <f>IF($CC293 = "Dealer", SUMIFS('Data For Calculation - Insuranc'!J:J,'Data For Calculation - Insuranc'!$B:$B,$A293,'Data For Calculation - Insuranc'!$H:$H,"Master Dealer")) + SUMIFS('Data For Calculation - Insuranc'!J:J,'Data For Calculation - Insuranc'!$A:$A,$A293,'Data For Calculation - Insuranc'!$H:$H,"Self")</f>
        <v>0</v>
      </c>
      <c r="BX293" s="33">
        <f>IF($CC293 = "Dealer", SUMIFS('Data For Calculation - Insuranc'!K:K,'Data For Calculation - Insuranc'!$B:$B,$A293,'Data For Calculation - Insuranc'!$H:$H,"Master Dealer")) + SUMIFS('Data For Calculation - Insuranc'!K:K,'Data For Calculation - Insuranc'!$A:$A,$A293,'Data For Calculation - Insuranc'!$H:$H,"Self")</f>
        <v>0</v>
      </c>
      <c r="BY293" s="26" t="str">
        <f>(Sheet1!N293)</f>
        <v>Gupta Automobiles - Padrauna</v>
      </c>
      <c r="BZ293" s="26" t="str">
        <f>(Sheet1!O293)</f>
        <v>1Ql_6BdBcHGAyITSZt1pNUK3bW54CzeThIBXr7aH7K3Y</v>
      </c>
      <c r="CA293" s="25" t="str">
        <f>(Sheet1!AV293)</f>
        <v/>
      </c>
      <c r="CB293" s="25" t="str">
        <f>(Sheet1!AW293)</f>
        <v/>
      </c>
      <c r="CC293" s="26" t="str">
        <f>(Sheet1!P293)</f>
        <v>Sub Dealer</v>
      </c>
    </row>
    <row r="294">
      <c r="A294" s="26" t="str">
        <f>(Sheet1!A294)</f>
        <v>1x38XOM-VqTgqoXTPjpnyXIiMMrMalrJof7768QJp3LU</v>
      </c>
      <c r="B294" s="26" t="str">
        <f>(Sheet1!B294)</f>
        <v>KATKAM HONDA-KAMMAM</v>
      </c>
      <c r="C294" s="30" t="str">
        <f>Sheet1!BB294</f>
        <v>No</v>
      </c>
      <c r="D294" s="34" t="s">
        <v>13</v>
      </c>
      <c r="E294" s="34" t="s">
        <v>13</v>
      </c>
      <c r="F294" s="34" t="s">
        <v>3820</v>
      </c>
      <c r="G294" s="34">
        <v>290.0</v>
      </c>
      <c r="H294" s="34" t="s">
        <v>3853</v>
      </c>
      <c r="I294" s="34">
        <v>0.0</v>
      </c>
      <c r="J294" s="34">
        <v>100.0</v>
      </c>
      <c r="K294" s="34">
        <v>0.0</v>
      </c>
      <c r="L294" s="34">
        <v>0.0</v>
      </c>
      <c r="M294" s="33">
        <f>COUNTIFS('Data For Calculation - Insuranc'!A:A,A294,'Data For Calculation - Insuranc'!E:E,"CPA + RSA")</f>
        <v>0</v>
      </c>
      <c r="N294" s="34" t="s">
        <v>3820</v>
      </c>
      <c r="O294" s="34">
        <v>460.0</v>
      </c>
      <c r="P294" s="34" t="s">
        <v>3853</v>
      </c>
      <c r="Q294" s="34">
        <v>0.0</v>
      </c>
      <c r="R294" s="34">
        <v>100.0</v>
      </c>
      <c r="S294" s="34">
        <v>0.0</v>
      </c>
      <c r="T294" s="34">
        <v>0.0</v>
      </c>
      <c r="U294" s="33">
        <f>COUNTIFS('Data For Calculation - Insuranc'!A:A,A294,'Data For Calculation - Insuranc'!E:E,"CPA + RSA + AHDC + DOC")</f>
        <v>0</v>
      </c>
      <c r="V294" s="34" t="s">
        <v>3820</v>
      </c>
      <c r="W294" s="34">
        <v>838.99</v>
      </c>
      <c r="X294" s="34" t="s">
        <v>3853</v>
      </c>
      <c r="Y294" s="34">
        <v>0.0</v>
      </c>
      <c r="Z294" s="34">
        <v>100.0</v>
      </c>
      <c r="AA294" s="34">
        <v>0.0</v>
      </c>
      <c r="AB294" s="34">
        <v>0.0</v>
      </c>
      <c r="AC294" s="33">
        <f>COUNTIFS('Data For Calculation - Insuranc'!A:A,A294,'Data For Calculation - Insuranc'!E:E,"CPA + RSA : 5 Years")</f>
        <v>0</v>
      </c>
      <c r="AD294" s="34" t="s">
        <v>3820</v>
      </c>
      <c r="AE294" s="34">
        <v>838.99</v>
      </c>
      <c r="AF294" s="34" t="s">
        <v>3853</v>
      </c>
      <c r="AG294" s="34">
        <v>0.0</v>
      </c>
      <c r="AH294" s="34">
        <v>100.0</v>
      </c>
      <c r="AI294" s="34">
        <v>0.0</v>
      </c>
      <c r="AJ294" s="34">
        <v>0.0</v>
      </c>
      <c r="AK294" s="33">
        <f>COUNTIFS('Data For Calculation - Insuranc'!A:A,A294,'Data For Calculation - Insuranc'!E:E,"Assistance + CPA : 5 Years")</f>
        <v>0</v>
      </c>
      <c r="AL294" s="34" t="s">
        <v>3820</v>
      </c>
      <c r="AM294" s="34">
        <v>290.0</v>
      </c>
      <c r="AN294" s="34" t="s">
        <v>3853</v>
      </c>
      <c r="AO294" s="34">
        <v>0.0</v>
      </c>
      <c r="AP294" s="34">
        <v>100.0</v>
      </c>
      <c r="AQ294" s="34">
        <v>0.0</v>
      </c>
      <c r="AR294" s="34">
        <v>0.0</v>
      </c>
      <c r="AS294" s="33">
        <f>COUNTIFS('Data For Calculation - Insuranc'!A:A,A294,'Data For Calculation - Insuranc'!E:E,"RSA + AHDC + DOC")</f>
        <v>0</v>
      </c>
      <c r="BR294" s="33">
        <f t="shared" si="1"/>
        <v>0</v>
      </c>
      <c r="BS294" s="33">
        <f>SUMIFS('Data For Calculation - Insuranc'!I:I,'Data For Calculation - Insuranc'!$A:$A,$A294)</f>
        <v>0</v>
      </c>
      <c r="BT294" s="33">
        <f>SUMIFS('Data For Calculation - Insuranc'!J:J,'Data For Calculation - Insuranc'!$A:$A,$A294)</f>
        <v>0</v>
      </c>
      <c r="BU294" s="33">
        <f>SUMIFS('Data For Calculation - Insuranc'!K:K,'Data For Calculation - Insuranc'!$A:$A,$A294)</f>
        <v>0</v>
      </c>
      <c r="BV294" s="33">
        <f>IF($CC294 = "Dealer", SUMIFS('Data For Calculation - Insuranc'!I:I,'Data For Calculation - Insuranc'!$B:$B,$A294,'Data For Calculation - Insuranc'!$H:$H,"Master Dealer")) + SUMIFS('Data For Calculation - Insuranc'!I:I,'Data For Calculation - Insuranc'!$A:$A,$A294,'Data For Calculation - Insuranc'!$H:$H,"Self")</f>
        <v>0</v>
      </c>
      <c r="BW294" s="33">
        <f>IF($CC294 = "Dealer", SUMIFS('Data For Calculation - Insuranc'!J:J,'Data For Calculation - Insuranc'!$B:$B,$A294,'Data For Calculation - Insuranc'!$H:$H,"Master Dealer")) + SUMIFS('Data For Calculation - Insuranc'!J:J,'Data For Calculation - Insuranc'!$A:$A,$A294,'Data For Calculation - Insuranc'!$H:$H,"Self")</f>
        <v>0</v>
      </c>
      <c r="BX294" s="33">
        <f>IF($CC294 = "Dealer", SUMIFS('Data For Calculation - Insuranc'!K:K,'Data For Calculation - Insuranc'!$B:$B,$A294,'Data For Calculation - Insuranc'!$H:$H,"Master Dealer")) + SUMIFS('Data For Calculation - Insuranc'!K:K,'Data For Calculation - Insuranc'!$A:$A,$A294,'Data For Calculation - Insuranc'!$H:$H,"Self")</f>
        <v>0</v>
      </c>
      <c r="BY294" s="26" t="str">
        <f>(Sheet1!N294)</f>
        <v>KATKAM HONDA-KAMMAM</v>
      </c>
      <c r="BZ294" s="26" t="str">
        <f>(Sheet1!O294)</f>
        <v>1x38XOM-VqTgqoXTPjpnyXIiMMrMalrJof7768QJp3LU</v>
      </c>
      <c r="CA294" s="25" t="str">
        <f>(Sheet1!AV294)</f>
        <v/>
      </c>
      <c r="CB294" s="25" t="str">
        <f>(Sheet1!AW294)</f>
        <v/>
      </c>
      <c r="CC294" s="26" t="str">
        <f>(Sheet1!P294)</f>
        <v>Dealer</v>
      </c>
    </row>
    <row r="295">
      <c r="A295" s="26" t="str">
        <f>(Sheet1!A295)</f>
        <v>1JCRksT80QgKH0ah33tn7at3md6-Y1gqZnHoR-f94zj4</v>
      </c>
      <c r="B295" s="26" t="str">
        <f>(Sheet1!B295)</f>
        <v>SHREE VASHU AUTOMOBILES-CHARTHAWAL(SBH)</v>
      </c>
      <c r="C295" s="30" t="str">
        <f>Sheet1!BB295</f>
        <v>No</v>
      </c>
      <c r="D295" s="34" t="s">
        <v>13</v>
      </c>
      <c r="E295" s="34" t="s">
        <v>13</v>
      </c>
      <c r="F295" s="34" t="s">
        <v>3820</v>
      </c>
      <c r="G295" s="34">
        <v>290.0</v>
      </c>
      <c r="H295" s="34" t="s">
        <v>3853</v>
      </c>
      <c r="I295" s="34">
        <v>0.0</v>
      </c>
      <c r="J295" s="34">
        <v>100.0</v>
      </c>
      <c r="K295" s="34">
        <v>0.0</v>
      </c>
      <c r="L295" s="34">
        <v>0.0</v>
      </c>
      <c r="M295" s="33">
        <f>COUNTIFS('Data For Calculation - Insuranc'!A:A,A295,'Data For Calculation - Insuranc'!E:E,"CPA + RSA")</f>
        <v>0</v>
      </c>
      <c r="N295" s="34" t="s">
        <v>3820</v>
      </c>
      <c r="O295" s="34">
        <v>460.0</v>
      </c>
      <c r="P295" s="34" t="s">
        <v>3853</v>
      </c>
      <c r="Q295" s="34">
        <v>0.0</v>
      </c>
      <c r="R295" s="34">
        <v>100.0</v>
      </c>
      <c r="S295" s="34">
        <v>0.0</v>
      </c>
      <c r="T295" s="34">
        <v>0.0</v>
      </c>
      <c r="U295" s="33">
        <f>COUNTIFS('Data For Calculation - Insuranc'!A:A,A295,'Data For Calculation - Insuranc'!E:E,"CPA + RSA + AHDC + DOC")</f>
        <v>0</v>
      </c>
      <c r="V295" s="34" t="s">
        <v>3820</v>
      </c>
      <c r="W295" s="34">
        <v>838.99</v>
      </c>
      <c r="X295" s="34" t="s">
        <v>3853</v>
      </c>
      <c r="Y295" s="34">
        <v>0.0</v>
      </c>
      <c r="Z295" s="34">
        <v>100.0</v>
      </c>
      <c r="AA295" s="34">
        <v>0.0</v>
      </c>
      <c r="AB295" s="34">
        <v>0.0</v>
      </c>
      <c r="AC295" s="33">
        <f>COUNTIFS('Data For Calculation - Insuranc'!A:A,A295,'Data For Calculation - Insuranc'!E:E,"CPA + RSA : 5 Years")</f>
        <v>0</v>
      </c>
      <c r="AD295" s="34" t="s">
        <v>3820</v>
      </c>
      <c r="AE295" s="34">
        <v>838.99</v>
      </c>
      <c r="AF295" s="34" t="s">
        <v>3853</v>
      </c>
      <c r="AG295" s="34">
        <v>0.0</v>
      </c>
      <c r="AH295" s="34">
        <v>100.0</v>
      </c>
      <c r="AI295" s="34">
        <v>0.0</v>
      </c>
      <c r="AJ295" s="34">
        <v>0.0</v>
      </c>
      <c r="AK295" s="33">
        <f>COUNTIFS('Data For Calculation - Insuranc'!A:A,A295,'Data For Calculation - Insuranc'!E:E,"Assistance + CPA : 5 Years")</f>
        <v>0</v>
      </c>
      <c r="AL295" s="34" t="s">
        <v>3820</v>
      </c>
      <c r="AM295" s="34">
        <v>290.0</v>
      </c>
      <c r="AN295" s="34" t="s">
        <v>3853</v>
      </c>
      <c r="AO295" s="34">
        <v>0.0</v>
      </c>
      <c r="AP295" s="34">
        <v>100.0</v>
      </c>
      <c r="AQ295" s="34">
        <v>0.0</v>
      </c>
      <c r="AR295" s="34">
        <v>0.0</v>
      </c>
      <c r="AS295" s="33">
        <f>COUNTIFS('Data For Calculation - Insuranc'!A:A,A295,'Data For Calculation - Insuranc'!E:E,"RSA + AHDC + DOC")</f>
        <v>0</v>
      </c>
      <c r="BR295" s="33">
        <f t="shared" si="1"/>
        <v>0</v>
      </c>
      <c r="BS295" s="33">
        <f>SUMIFS('Data For Calculation - Insuranc'!I:I,'Data For Calculation - Insuranc'!$A:$A,$A295)</f>
        <v>0</v>
      </c>
      <c r="BT295" s="33">
        <f>SUMIFS('Data For Calculation - Insuranc'!J:J,'Data For Calculation - Insuranc'!$A:$A,$A295)</f>
        <v>0</v>
      </c>
      <c r="BU295" s="33">
        <f>SUMIFS('Data For Calculation - Insuranc'!K:K,'Data For Calculation - Insuranc'!$A:$A,$A295)</f>
        <v>0</v>
      </c>
      <c r="BV295" s="33">
        <f>IF($CC295 = "Dealer", SUMIFS('Data For Calculation - Insuranc'!I:I,'Data For Calculation - Insuranc'!$B:$B,$A295,'Data For Calculation - Insuranc'!$H:$H,"Master Dealer")) + SUMIFS('Data For Calculation - Insuranc'!I:I,'Data For Calculation - Insuranc'!$A:$A,$A295,'Data For Calculation - Insuranc'!$H:$H,"Self")</f>
        <v>0</v>
      </c>
      <c r="BW295" s="33">
        <f>IF($CC295 = "Dealer", SUMIFS('Data For Calculation - Insuranc'!J:J,'Data For Calculation - Insuranc'!$B:$B,$A295,'Data For Calculation - Insuranc'!$H:$H,"Master Dealer")) + SUMIFS('Data For Calculation - Insuranc'!J:J,'Data For Calculation - Insuranc'!$A:$A,$A295,'Data For Calculation - Insuranc'!$H:$H,"Self")</f>
        <v>0</v>
      </c>
      <c r="BX295" s="33">
        <f>IF($CC295 = "Dealer", SUMIFS('Data For Calculation - Insuranc'!K:K,'Data For Calculation - Insuranc'!$B:$B,$A295,'Data For Calculation - Insuranc'!$H:$H,"Master Dealer")) + SUMIFS('Data For Calculation - Insuranc'!K:K,'Data For Calculation - Insuranc'!$A:$A,$A295,'Data For Calculation - Insuranc'!$H:$H,"Self")</f>
        <v>0</v>
      </c>
      <c r="BY295" s="26" t="str">
        <f>(Sheet1!N295)</f>
        <v>Shri Balaji Hero - Muzaffarnagar</v>
      </c>
      <c r="BZ295" s="26" t="str">
        <f>(Sheet1!O295)</f>
        <v>1qJGCYN0EdS2nWGXVYAHwXqSjiLE2C95anQkkbLONbKQ</v>
      </c>
      <c r="CA295" s="25" t="str">
        <f>(Sheet1!AV295)</f>
        <v/>
      </c>
      <c r="CB295" s="25" t="str">
        <f>(Sheet1!AW295)</f>
        <v/>
      </c>
      <c r="CC295" s="26" t="str">
        <f>(Sheet1!P295)</f>
        <v>Sub Dealer</v>
      </c>
    </row>
    <row r="296">
      <c r="A296" s="26" t="str">
        <f>(Sheet1!A296)</f>
        <v>1050xuIkuCwbciPjL7NYnIQd49nor1NbjSoUBzXpeVrU</v>
      </c>
      <c r="B296" s="26" t="str">
        <f>(Sheet1!B296)</f>
        <v>ARC HERO- MAHIPALPUR</v>
      </c>
      <c r="C296" s="30" t="str">
        <f>Sheet1!BB296</f>
        <v>Yes</v>
      </c>
      <c r="D296" s="34" t="s">
        <v>13</v>
      </c>
      <c r="E296" s="34" t="s">
        <v>13</v>
      </c>
      <c r="F296" s="34" t="s">
        <v>3820</v>
      </c>
      <c r="G296" s="34">
        <v>290.0</v>
      </c>
      <c r="H296" s="34" t="s">
        <v>3853</v>
      </c>
      <c r="I296" s="34">
        <v>0.0</v>
      </c>
      <c r="J296" s="34">
        <v>100.0</v>
      </c>
      <c r="K296" s="34">
        <v>0.0</v>
      </c>
      <c r="L296" s="34">
        <v>0.0</v>
      </c>
      <c r="M296" s="33">
        <f>COUNTIFS('Data For Calculation - Insuranc'!A:A,A296,'Data For Calculation - Insuranc'!E:E,"CPA + RSA")</f>
        <v>0</v>
      </c>
      <c r="N296" s="34" t="s">
        <v>3854</v>
      </c>
      <c r="O296" s="34">
        <v>100.0</v>
      </c>
      <c r="P296" s="34" t="s">
        <v>3855</v>
      </c>
      <c r="Q296" s="34">
        <v>2000.0</v>
      </c>
      <c r="R296" s="34">
        <v>100.0</v>
      </c>
      <c r="S296" s="34">
        <v>0.0</v>
      </c>
      <c r="T296" s="34">
        <v>0.0</v>
      </c>
      <c r="U296" s="33">
        <f>COUNTIFS('Data For Calculation - Insuranc'!A:A,A296,'Data For Calculation - Insuranc'!E:E,"CPA + RSA + AHDC + DOC")</f>
        <v>0</v>
      </c>
      <c r="V296" s="34" t="s">
        <v>3820</v>
      </c>
      <c r="W296" s="34">
        <v>838.99</v>
      </c>
      <c r="X296" s="34" t="s">
        <v>3853</v>
      </c>
      <c r="Y296" s="34">
        <v>0.0</v>
      </c>
      <c r="Z296" s="34">
        <v>100.0</v>
      </c>
      <c r="AA296" s="34">
        <v>0.0</v>
      </c>
      <c r="AB296" s="34">
        <v>0.0</v>
      </c>
      <c r="AC296" s="33">
        <f>COUNTIFS('Data For Calculation - Insuranc'!A:A,A296,'Data For Calculation - Insuranc'!E:E,"CPA + RSA : 5 Years")</f>
        <v>0</v>
      </c>
      <c r="AD296" s="34" t="s">
        <v>3820</v>
      </c>
      <c r="AE296" s="34">
        <v>838.99</v>
      </c>
      <c r="AF296" s="34" t="s">
        <v>3853</v>
      </c>
      <c r="AG296" s="34">
        <v>0.0</v>
      </c>
      <c r="AH296" s="34">
        <v>100.0</v>
      </c>
      <c r="AI296" s="34">
        <v>0.0</v>
      </c>
      <c r="AJ296" s="34">
        <v>0.0</v>
      </c>
      <c r="AK296" s="33">
        <f>COUNTIFS('Data For Calculation - Insuranc'!A:A,A296,'Data For Calculation - Insuranc'!E:E,"Assistance + CPA : 5 Years")</f>
        <v>0</v>
      </c>
      <c r="AL296" s="34" t="s">
        <v>3854</v>
      </c>
      <c r="AM296" s="34">
        <v>100.0</v>
      </c>
      <c r="AN296" s="34" t="s">
        <v>3855</v>
      </c>
      <c r="AO296" s="34">
        <v>2000.0</v>
      </c>
      <c r="AP296" s="34">
        <v>100.0</v>
      </c>
      <c r="AQ296" s="34">
        <v>0.0</v>
      </c>
      <c r="AR296" s="34">
        <v>0.0</v>
      </c>
      <c r="AS296" s="33">
        <f>COUNTIFS('Data For Calculation - Insuranc'!A:A,A296,'Data For Calculation - Insuranc'!E:E,"RSA + AHDC + DOC")</f>
        <v>0</v>
      </c>
      <c r="BR296" s="33">
        <f t="shared" si="1"/>
        <v>0</v>
      </c>
      <c r="BS296" s="33">
        <f>SUMIFS('Data For Calculation - Insuranc'!I:I,'Data For Calculation - Insuranc'!$A:$A,$A296)</f>
        <v>-117815.36</v>
      </c>
      <c r="BT296" s="33">
        <f>SUMIFS('Data For Calculation - Insuranc'!J:J,'Data For Calculation - Insuranc'!$A:$A,$A296)</f>
        <v>0</v>
      </c>
      <c r="BU296" s="33">
        <f>SUMIFS('Data For Calculation - Insuranc'!K:K,'Data For Calculation - Insuranc'!$A:$A,$A296)</f>
        <v>-117815.36</v>
      </c>
      <c r="BV296" s="33">
        <f>IF($CC296 = "Dealer", SUMIFS('Data For Calculation - Insuranc'!I:I,'Data For Calculation - Insuranc'!$B:$B,$A296,'Data For Calculation - Insuranc'!$H:$H,"Master Dealer")) + SUMIFS('Data For Calculation - Insuranc'!I:I,'Data For Calculation - Insuranc'!$A:$A,$A296,'Data For Calculation - Insuranc'!$H:$H,"Self")</f>
        <v>-117815.36</v>
      </c>
      <c r="BW296" s="33">
        <f>IF($CC296 = "Dealer", SUMIFS('Data For Calculation - Insuranc'!J:J,'Data For Calculation - Insuranc'!$B:$B,$A296,'Data For Calculation - Insuranc'!$H:$H,"Master Dealer")) + SUMIFS('Data For Calculation - Insuranc'!J:J,'Data For Calculation - Insuranc'!$A:$A,$A296,'Data For Calculation - Insuranc'!$H:$H,"Self")</f>
        <v>0</v>
      </c>
      <c r="BX296" s="33">
        <f>IF($CC296 = "Dealer", SUMIFS('Data For Calculation - Insuranc'!K:K,'Data For Calculation - Insuranc'!$B:$B,$A296,'Data For Calculation - Insuranc'!$H:$H,"Master Dealer")) + SUMIFS('Data For Calculation - Insuranc'!K:K,'Data For Calculation - Insuranc'!$A:$A,$A296,'Data For Calculation - Insuranc'!$H:$H,"Self")</f>
        <v>-117815.36</v>
      </c>
      <c r="BY296" s="26" t="str">
        <f>(Sheet1!N296)</f>
        <v>ARC HERO- MAHIPALPUR</v>
      </c>
      <c r="BZ296" s="26" t="str">
        <f>(Sheet1!O296)</f>
        <v>1050xuIkuCwbciPjL7NYnIQd49nor1NbjSoUBzXpeVrU</v>
      </c>
      <c r="CA296" s="25" t="str">
        <f>(Sheet1!AV296)</f>
        <v/>
      </c>
      <c r="CB296" s="25" t="str">
        <f>(Sheet1!AW296)</f>
        <v/>
      </c>
      <c r="CC296" s="26" t="str">
        <f>(Sheet1!P296)</f>
        <v>Dealer</v>
      </c>
    </row>
    <row r="297">
      <c r="A297" s="26" t="str">
        <f>(Sheet1!A297)</f>
        <v>1m8ka1AbXWO0NCwbciwxi-1DtNMMJX9mIx0hIP9BLnJE</v>
      </c>
      <c r="B297" s="26" t="str">
        <f>(Sheet1!B297)</f>
        <v>ARC HERO-JAMIA</v>
      </c>
      <c r="C297" s="30" t="str">
        <f>Sheet1!BB297</f>
        <v>Yes</v>
      </c>
      <c r="D297" s="34" t="s">
        <v>13</v>
      </c>
      <c r="E297" s="34" t="s">
        <v>13</v>
      </c>
      <c r="F297" s="34" t="s">
        <v>3820</v>
      </c>
      <c r="G297" s="34">
        <v>290.0</v>
      </c>
      <c r="H297" s="34" t="s">
        <v>3853</v>
      </c>
      <c r="I297" s="34">
        <v>0.0</v>
      </c>
      <c r="J297" s="34">
        <v>100.0</v>
      </c>
      <c r="K297" s="34">
        <v>0.0</v>
      </c>
      <c r="L297" s="34">
        <v>0.0</v>
      </c>
      <c r="M297" s="33">
        <f>COUNTIFS('Data For Calculation - Insuranc'!A:A,A297,'Data For Calculation - Insuranc'!E:E,"CPA + RSA")</f>
        <v>0</v>
      </c>
      <c r="N297" s="34" t="s">
        <v>3854</v>
      </c>
      <c r="O297" s="34">
        <v>100.0</v>
      </c>
      <c r="P297" s="34" t="s">
        <v>3855</v>
      </c>
      <c r="Q297" s="34">
        <v>2000.0</v>
      </c>
      <c r="R297" s="34">
        <v>100.0</v>
      </c>
      <c r="S297" s="34">
        <v>0.0</v>
      </c>
      <c r="T297" s="34">
        <v>0.0</v>
      </c>
      <c r="U297" s="33">
        <f>COUNTIFS('Data For Calculation - Insuranc'!A:A,A297,'Data For Calculation - Insuranc'!E:E,"CPA + RSA + AHDC + DOC")</f>
        <v>0</v>
      </c>
      <c r="V297" s="34" t="s">
        <v>3820</v>
      </c>
      <c r="W297" s="34">
        <v>838.99</v>
      </c>
      <c r="X297" s="34" t="s">
        <v>3853</v>
      </c>
      <c r="Y297" s="34">
        <v>0.0</v>
      </c>
      <c r="Z297" s="34">
        <v>100.0</v>
      </c>
      <c r="AA297" s="34">
        <v>0.0</v>
      </c>
      <c r="AB297" s="34">
        <v>0.0</v>
      </c>
      <c r="AC297" s="33">
        <f>COUNTIFS('Data For Calculation - Insuranc'!A:A,A297,'Data For Calculation - Insuranc'!E:E,"CPA + RSA : 5 Years")</f>
        <v>0</v>
      </c>
      <c r="AD297" s="34" t="s">
        <v>3820</v>
      </c>
      <c r="AE297" s="34">
        <v>838.99</v>
      </c>
      <c r="AF297" s="34" t="s">
        <v>3853</v>
      </c>
      <c r="AG297" s="34">
        <v>0.0</v>
      </c>
      <c r="AH297" s="34">
        <v>100.0</v>
      </c>
      <c r="AI297" s="34">
        <v>0.0</v>
      </c>
      <c r="AJ297" s="34">
        <v>0.0</v>
      </c>
      <c r="AK297" s="33">
        <f>COUNTIFS('Data For Calculation - Insuranc'!A:A,A297,'Data For Calculation - Insuranc'!E:E,"Assistance + CPA : 5 Years")</f>
        <v>0</v>
      </c>
      <c r="AL297" s="34" t="s">
        <v>3854</v>
      </c>
      <c r="AM297" s="34">
        <v>100.0</v>
      </c>
      <c r="AN297" s="34" t="s">
        <v>3855</v>
      </c>
      <c r="AO297" s="34">
        <v>2000.0</v>
      </c>
      <c r="AP297" s="34">
        <v>100.0</v>
      </c>
      <c r="AQ297" s="34">
        <v>0.0</v>
      </c>
      <c r="AR297" s="34">
        <v>0.0</v>
      </c>
      <c r="AS297" s="33">
        <f>COUNTIFS('Data For Calculation - Insuranc'!A:A,A297,'Data For Calculation - Insuranc'!E:E,"RSA + AHDC + DOC")</f>
        <v>0</v>
      </c>
      <c r="BR297" s="33">
        <f t="shared" si="1"/>
        <v>0</v>
      </c>
      <c r="BS297" s="33">
        <f>SUMIFS('Data For Calculation - Insuranc'!I:I,'Data For Calculation - Insuranc'!$A:$A,$A297)</f>
        <v>0</v>
      </c>
      <c r="BT297" s="33">
        <f>SUMIFS('Data For Calculation - Insuranc'!J:J,'Data For Calculation - Insuranc'!$A:$A,$A297)</f>
        <v>0</v>
      </c>
      <c r="BU297" s="33">
        <f>SUMIFS('Data For Calculation - Insuranc'!K:K,'Data For Calculation - Insuranc'!$A:$A,$A297)</f>
        <v>0</v>
      </c>
      <c r="BV297" s="33">
        <f>IF($CC297 = "Dealer", SUMIFS('Data For Calculation - Insuranc'!I:I,'Data For Calculation - Insuranc'!$B:$B,$A297,'Data For Calculation - Insuranc'!$H:$H,"Master Dealer")) + SUMIFS('Data For Calculation - Insuranc'!I:I,'Data For Calculation - Insuranc'!$A:$A,$A297,'Data For Calculation - Insuranc'!$H:$H,"Self")</f>
        <v>0</v>
      </c>
      <c r="BW297" s="33">
        <f>IF($CC297 = "Dealer", SUMIFS('Data For Calculation - Insuranc'!J:J,'Data For Calculation - Insuranc'!$B:$B,$A297,'Data For Calculation - Insuranc'!$H:$H,"Master Dealer")) + SUMIFS('Data For Calculation - Insuranc'!J:J,'Data For Calculation - Insuranc'!$A:$A,$A297,'Data For Calculation - Insuranc'!$H:$H,"Self")</f>
        <v>0</v>
      </c>
      <c r="BX297" s="33">
        <f>IF($CC297 = "Dealer", SUMIFS('Data For Calculation - Insuranc'!K:K,'Data For Calculation - Insuranc'!$B:$B,$A297,'Data For Calculation - Insuranc'!$H:$H,"Master Dealer")) + SUMIFS('Data For Calculation - Insuranc'!K:K,'Data For Calculation - Insuranc'!$A:$A,$A297,'Data For Calculation - Insuranc'!$H:$H,"Self")</f>
        <v>0</v>
      </c>
      <c r="BY297" s="26" t="str">
        <f>(Sheet1!N297)</f>
        <v>ARC HERO- MAHIPALPUR</v>
      </c>
      <c r="BZ297" s="26" t="str">
        <f>(Sheet1!O297)</f>
        <v>1050xuIkuCwbciPjL7NYnIQd49nor1NbjSoUBzXpeVrU</v>
      </c>
      <c r="CA297" s="25" t="str">
        <f>(Sheet1!AV297)</f>
        <v/>
      </c>
      <c r="CB297" s="25" t="str">
        <f>(Sheet1!AW297)</f>
        <v/>
      </c>
      <c r="CC297" s="26" t="str">
        <f>(Sheet1!P297)</f>
        <v>Sub Dealer</v>
      </c>
    </row>
    <row r="298">
      <c r="A298" s="26" t="str">
        <f>(Sheet1!A298)</f>
        <v>1Y1uTCqiydc9ymgUi-hDKL8MeygYhztvO_MOLfvO2Xgs</v>
      </c>
      <c r="B298" s="26" t="str">
        <f>(Sheet1!B298)</f>
        <v>ARC-ASHRAM</v>
      </c>
      <c r="C298" s="30" t="str">
        <f>Sheet1!BB298</f>
        <v>Yes</v>
      </c>
      <c r="D298" s="34" t="s">
        <v>13</v>
      </c>
      <c r="E298" s="34" t="s">
        <v>13</v>
      </c>
      <c r="F298" s="34" t="s">
        <v>3820</v>
      </c>
      <c r="G298" s="34">
        <v>290.0</v>
      </c>
      <c r="H298" s="34" t="s">
        <v>3853</v>
      </c>
      <c r="I298" s="34">
        <v>0.0</v>
      </c>
      <c r="J298" s="34">
        <v>100.0</v>
      </c>
      <c r="K298" s="34">
        <v>0.0</v>
      </c>
      <c r="L298" s="34">
        <v>0.0</v>
      </c>
      <c r="M298" s="33">
        <f>COUNTIFS('Data For Calculation - Insuranc'!A:A,A298,'Data For Calculation - Insuranc'!E:E,"CPA + RSA")</f>
        <v>0</v>
      </c>
      <c r="N298" s="34" t="s">
        <v>3854</v>
      </c>
      <c r="O298" s="34">
        <v>100.0</v>
      </c>
      <c r="P298" s="34" t="s">
        <v>3855</v>
      </c>
      <c r="Q298" s="34">
        <v>2000.0</v>
      </c>
      <c r="R298" s="34">
        <v>100.0</v>
      </c>
      <c r="S298" s="34">
        <v>0.0</v>
      </c>
      <c r="T298" s="34">
        <v>0.0</v>
      </c>
      <c r="U298" s="33">
        <f>COUNTIFS('Data For Calculation - Insuranc'!A:A,A298,'Data For Calculation - Insuranc'!E:E,"CPA + RSA + AHDC + DOC")</f>
        <v>0</v>
      </c>
      <c r="V298" s="34" t="s">
        <v>3820</v>
      </c>
      <c r="W298" s="34">
        <v>838.99</v>
      </c>
      <c r="X298" s="34" t="s">
        <v>3853</v>
      </c>
      <c r="Y298" s="34">
        <v>0.0</v>
      </c>
      <c r="Z298" s="34">
        <v>100.0</v>
      </c>
      <c r="AA298" s="34">
        <v>0.0</v>
      </c>
      <c r="AB298" s="34">
        <v>0.0</v>
      </c>
      <c r="AC298" s="33">
        <f>COUNTIFS('Data For Calculation - Insuranc'!A:A,A298,'Data For Calculation - Insuranc'!E:E,"CPA + RSA : 5 Years")</f>
        <v>0</v>
      </c>
      <c r="AD298" s="34" t="s">
        <v>3820</v>
      </c>
      <c r="AE298" s="34">
        <v>838.99</v>
      </c>
      <c r="AF298" s="34" t="s">
        <v>3853</v>
      </c>
      <c r="AG298" s="34">
        <v>0.0</v>
      </c>
      <c r="AH298" s="34">
        <v>100.0</v>
      </c>
      <c r="AI298" s="34">
        <v>0.0</v>
      </c>
      <c r="AJ298" s="34">
        <v>0.0</v>
      </c>
      <c r="AK298" s="33">
        <f>COUNTIFS('Data For Calculation - Insuranc'!A:A,A298,'Data For Calculation - Insuranc'!E:E,"Assistance + CPA : 5 Years")</f>
        <v>0</v>
      </c>
      <c r="AL298" s="34" t="s">
        <v>3854</v>
      </c>
      <c r="AM298" s="34">
        <v>100.0</v>
      </c>
      <c r="AN298" s="34" t="s">
        <v>3855</v>
      </c>
      <c r="AO298" s="34">
        <v>2000.0</v>
      </c>
      <c r="AP298" s="34">
        <v>100.0</v>
      </c>
      <c r="AQ298" s="34">
        <v>0.0</v>
      </c>
      <c r="AR298" s="34">
        <v>0.0</v>
      </c>
      <c r="AS298" s="33">
        <f>COUNTIFS('Data For Calculation - Insuranc'!A:A,A298,'Data For Calculation - Insuranc'!E:E,"RSA + AHDC + DOC")</f>
        <v>0</v>
      </c>
      <c r="BR298" s="33">
        <f t="shared" si="1"/>
        <v>0</v>
      </c>
      <c r="BS298" s="33">
        <f>SUMIFS('Data For Calculation - Insuranc'!I:I,'Data For Calculation - Insuranc'!$A:$A,$A298)</f>
        <v>0</v>
      </c>
      <c r="BT298" s="33">
        <f>SUMIFS('Data For Calculation - Insuranc'!J:J,'Data For Calculation - Insuranc'!$A:$A,$A298)</f>
        <v>0</v>
      </c>
      <c r="BU298" s="33">
        <f>SUMIFS('Data For Calculation - Insuranc'!K:K,'Data For Calculation - Insuranc'!$A:$A,$A298)</f>
        <v>0</v>
      </c>
      <c r="BV298" s="33">
        <f>IF($CC298 = "Dealer", SUMIFS('Data For Calculation - Insuranc'!I:I,'Data For Calculation - Insuranc'!$B:$B,$A298,'Data For Calculation - Insuranc'!$H:$H,"Master Dealer")) + SUMIFS('Data For Calculation - Insuranc'!I:I,'Data For Calculation - Insuranc'!$A:$A,$A298,'Data For Calculation - Insuranc'!$H:$H,"Self")</f>
        <v>0</v>
      </c>
      <c r="BW298" s="33">
        <f>IF($CC298 = "Dealer", SUMIFS('Data For Calculation - Insuranc'!J:J,'Data For Calculation - Insuranc'!$B:$B,$A298,'Data For Calculation - Insuranc'!$H:$H,"Master Dealer")) + SUMIFS('Data For Calculation - Insuranc'!J:J,'Data For Calculation - Insuranc'!$A:$A,$A298,'Data For Calculation - Insuranc'!$H:$H,"Self")</f>
        <v>0</v>
      </c>
      <c r="BX298" s="33">
        <f>IF($CC298 = "Dealer", SUMIFS('Data For Calculation - Insuranc'!K:K,'Data For Calculation - Insuranc'!$B:$B,$A298,'Data For Calculation - Insuranc'!$H:$H,"Master Dealer")) + SUMIFS('Data For Calculation - Insuranc'!K:K,'Data For Calculation - Insuranc'!$A:$A,$A298,'Data For Calculation - Insuranc'!$H:$H,"Self")</f>
        <v>0</v>
      </c>
      <c r="BY298" s="26" t="str">
        <f>(Sheet1!N298)</f>
        <v>ARC HERO- MAHIPALPUR</v>
      </c>
      <c r="BZ298" s="26" t="str">
        <f>(Sheet1!O298)</f>
        <v>1050xuIkuCwbciPjL7NYnIQd49nor1NbjSoUBzXpeVrU</v>
      </c>
      <c r="CA298" s="25" t="str">
        <f>(Sheet1!AV298)</f>
        <v/>
      </c>
      <c r="CB298" s="25" t="str">
        <f>(Sheet1!AW298)</f>
        <v/>
      </c>
      <c r="CC298" s="26" t="str">
        <f>(Sheet1!P298)</f>
        <v>Sub Dealer</v>
      </c>
    </row>
    <row r="299">
      <c r="A299" s="25" t="str">
        <f>(Sheet1!A299)</f>
        <v>1g1XusipIkc3ou5jV0CF6g9OQKAO43--ZjNw2cfWuCJ4</v>
      </c>
      <c r="B299" s="25" t="str">
        <f>(Sheet1!B299)</f>
        <v>Mahesh Motor 4 - Dinajpur</v>
      </c>
      <c r="C299" s="30" t="str">
        <f>Sheet1!BB299</f>
        <v>No</v>
      </c>
      <c r="D299" s="30" t="s">
        <v>13</v>
      </c>
      <c r="E299" s="34" t="s">
        <v>13</v>
      </c>
      <c r="F299" s="30" t="s">
        <v>3820</v>
      </c>
      <c r="G299" s="31">
        <v>290.0</v>
      </c>
      <c r="H299" s="34" t="s">
        <v>3853</v>
      </c>
      <c r="I299" s="34">
        <v>0.0</v>
      </c>
      <c r="J299" s="34">
        <v>100.0</v>
      </c>
      <c r="K299" s="34">
        <v>0.0</v>
      </c>
      <c r="L299" s="34">
        <v>0.0</v>
      </c>
      <c r="M299" s="33">
        <f>COUNTIFS('Data For Calculation - Insuranc'!A:A,A299,'Data For Calculation - Insuranc'!E:E,"CPA + RSA")</f>
        <v>0</v>
      </c>
      <c r="N299" s="30" t="s">
        <v>3820</v>
      </c>
      <c r="O299" s="31">
        <v>460.0</v>
      </c>
      <c r="P299" s="34" t="s">
        <v>3853</v>
      </c>
      <c r="Q299" s="34">
        <v>0.0</v>
      </c>
      <c r="R299" s="34">
        <v>100.0</v>
      </c>
      <c r="S299" s="34">
        <v>0.0</v>
      </c>
      <c r="T299" s="34">
        <v>0.0</v>
      </c>
      <c r="U299" s="33">
        <f>COUNTIFS('Data For Calculation - Insuranc'!A:A,A299,'Data For Calculation - Insuranc'!E:E,"CPA + RSA + AHDC + DOC")</f>
        <v>0</v>
      </c>
      <c r="V299" s="30" t="s">
        <v>3820</v>
      </c>
      <c r="W299" s="34">
        <v>838.99</v>
      </c>
      <c r="X299" s="34" t="s">
        <v>3853</v>
      </c>
      <c r="Y299" s="34">
        <v>0.0</v>
      </c>
      <c r="Z299" s="34">
        <v>100.0</v>
      </c>
      <c r="AA299" s="34">
        <v>0.0</v>
      </c>
      <c r="AB299" s="34">
        <v>0.0</v>
      </c>
      <c r="AC299" s="33">
        <f>COUNTIFS('Data For Calculation - Insuranc'!A:A,A299,'Data For Calculation - Insuranc'!E:E,"CPA + RSA : 5 Years")</f>
        <v>0</v>
      </c>
      <c r="AD299" s="30" t="s">
        <v>3820</v>
      </c>
      <c r="AE299" s="31">
        <v>838.99</v>
      </c>
      <c r="AF299" s="34" t="s">
        <v>3853</v>
      </c>
      <c r="AG299" s="34">
        <v>0.0</v>
      </c>
      <c r="AH299" s="34">
        <v>100.0</v>
      </c>
      <c r="AI299" s="34">
        <v>0.0</v>
      </c>
      <c r="AJ299" s="34">
        <v>0.0</v>
      </c>
      <c r="AK299" s="33">
        <f>COUNTIFS('Data For Calculation - Insuranc'!A:A,A299,'Data For Calculation - Insuranc'!E:E,"Assistance + CPA : 5 Years")</f>
        <v>0</v>
      </c>
      <c r="AL299" s="30" t="s">
        <v>3820</v>
      </c>
      <c r="AM299" s="31">
        <v>290.0</v>
      </c>
      <c r="AN299" s="34" t="s">
        <v>3853</v>
      </c>
      <c r="AO299" s="34">
        <v>0.0</v>
      </c>
      <c r="AP299" s="34">
        <v>100.0</v>
      </c>
      <c r="AQ299" s="34">
        <v>0.0</v>
      </c>
      <c r="AR299" s="34">
        <v>0.0</v>
      </c>
      <c r="AS299" s="33">
        <f>COUNTIFS('Data For Calculation - Insuranc'!A:A,A299,'Data For Calculation - Insuranc'!E:E,"RSA + AHDC + DOC")</f>
        <v>0</v>
      </c>
      <c r="AT299" s="33"/>
      <c r="AU299" s="33"/>
      <c r="AV299" s="33"/>
      <c r="AW299" s="33"/>
      <c r="AX299" s="33"/>
      <c r="AY299" s="33"/>
      <c r="AZ299" s="33"/>
      <c r="BA299" s="33"/>
      <c r="BB299" s="33"/>
      <c r="BC299" s="33"/>
      <c r="BD299" s="33"/>
      <c r="BE299" s="33"/>
      <c r="BF299" s="33"/>
      <c r="BG299" s="33"/>
      <c r="BH299" s="33"/>
      <c r="BI299" s="33"/>
      <c r="BJ299" s="33"/>
      <c r="BK299" s="33"/>
      <c r="BL299" s="33"/>
      <c r="BM299" s="33"/>
      <c r="BN299" s="33"/>
      <c r="BO299" s="33"/>
      <c r="BP299" s="33"/>
      <c r="BQ299" s="33"/>
      <c r="BR299" s="33">
        <f t="shared" si="1"/>
        <v>0</v>
      </c>
      <c r="BS299" s="33">
        <f>SUMIFS('Data For Calculation - Insuranc'!I:I,'Data For Calculation - Insuranc'!$A:$A,$A299)</f>
        <v>0</v>
      </c>
      <c r="BT299" s="33">
        <f>SUMIFS('Data For Calculation - Insuranc'!J:J,'Data For Calculation - Insuranc'!$A:$A,$A299)</f>
        <v>0</v>
      </c>
      <c r="BU299" s="33">
        <f>SUMIFS('Data For Calculation - Insuranc'!K:K,'Data For Calculation - Insuranc'!$A:$A,$A299)</f>
        <v>0</v>
      </c>
      <c r="BV299" s="33">
        <f>IF($CC299 = "Dealer", SUMIFS('Data For Calculation - Insuranc'!I:I,'Data For Calculation - Insuranc'!$B:$B,$A299,'Data For Calculation - Insuranc'!$H:$H,"Master Dealer")) + SUMIFS('Data For Calculation - Insuranc'!I:I,'Data For Calculation - Insuranc'!$A:$A,$A299,'Data For Calculation - Insuranc'!$H:$H,"Self")</f>
        <v>0</v>
      </c>
      <c r="BW299" s="33">
        <f>IF($CC299 = "Dealer", SUMIFS('Data For Calculation - Insuranc'!J:J,'Data For Calculation - Insuranc'!$B:$B,$A299,'Data For Calculation - Insuranc'!$H:$H,"Master Dealer")) + SUMIFS('Data For Calculation - Insuranc'!J:J,'Data For Calculation - Insuranc'!$A:$A,$A299,'Data For Calculation - Insuranc'!$H:$H,"Self")</f>
        <v>0</v>
      </c>
      <c r="BX299" s="33">
        <f>IF($CC299 = "Dealer", SUMIFS('Data For Calculation - Insuranc'!K:K,'Data For Calculation - Insuranc'!$B:$B,$A299,'Data For Calculation - Insuranc'!$H:$H,"Master Dealer")) + SUMIFS('Data For Calculation - Insuranc'!K:K,'Data For Calculation - Insuranc'!$A:$A,$A299,'Data For Calculation - Insuranc'!$H:$H,"Self")</f>
        <v>0</v>
      </c>
      <c r="BY299" s="25" t="str">
        <f>(Sheet1!N299)</f>
        <v>MAHESH MOTORS - DINAJPUR</v>
      </c>
      <c r="BZ299" s="25" t="str">
        <f>(Sheet1!O299)</f>
        <v>1DVpSm5a7kKqZxFgDUdJBRIcgAuTZosRKDnkmPEIdEG4</v>
      </c>
      <c r="CA299" s="25" t="str">
        <f>(Sheet1!AV299)</f>
        <v/>
      </c>
      <c r="CB299" s="25" t="str">
        <f>(Sheet1!AW299)</f>
        <v/>
      </c>
      <c r="CC299" s="26" t="str">
        <f>(Sheet1!P299)</f>
        <v>Sub Dealer</v>
      </c>
    </row>
    <row r="300">
      <c r="A300" s="25" t="str">
        <f>(Sheet1!A300)</f>
        <v>1t4c7ZP0L47Ls9dLmRsXxx1BWFwfzKxl5pOAYpj31jXc</v>
      </c>
      <c r="B300" s="25" t="str">
        <f>(Sheet1!B300)</f>
        <v>Dev Automobile (VAW) - Gonda</v>
      </c>
      <c r="C300" s="25" t="str">
        <f>Sheet1!BB300</f>
        <v>No</v>
      </c>
      <c r="D300" s="25" t="s">
        <v>13</v>
      </c>
      <c r="E300" s="25" t="s">
        <v>13</v>
      </c>
      <c r="F300" s="25" t="s">
        <v>3820</v>
      </c>
      <c r="G300" s="33">
        <v>290.0</v>
      </c>
      <c r="H300" s="25" t="s">
        <v>3853</v>
      </c>
      <c r="I300" s="33">
        <v>0.0</v>
      </c>
      <c r="J300" s="33">
        <v>100.0</v>
      </c>
      <c r="K300" s="33">
        <v>0.0</v>
      </c>
      <c r="L300" s="33">
        <v>0.0</v>
      </c>
      <c r="M300" s="33">
        <f>COUNTIFS('Data For Calculation - Insuranc'!A:A,A300,'Data For Calculation - Insuranc'!E:E,"CPA + RSA")</f>
        <v>0</v>
      </c>
      <c r="N300" s="25" t="s">
        <v>3820</v>
      </c>
      <c r="O300" s="33">
        <v>460.0</v>
      </c>
      <c r="P300" s="25" t="s">
        <v>3853</v>
      </c>
      <c r="Q300" s="33">
        <v>0.0</v>
      </c>
      <c r="R300" s="33">
        <v>100.0</v>
      </c>
      <c r="S300" s="33">
        <v>0.0</v>
      </c>
      <c r="T300" s="33">
        <v>0.0</v>
      </c>
      <c r="U300" s="33">
        <f>COUNTIFS('Data For Calculation - Insuranc'!A:A,A300,'Data For Calculation - Insuranc'!E:E,"CPA + RSA + AHDC + DOC")</f>
        <v>0</v>
      </c>
      <c r="V300" s="25" t="s">
        <v>3820</v>
      </c>
      <c r="W300" s="33">
        <v>838.99</v>
      </c>
      <c r="X300" s="25" t="s">
        <v>3853</v>
      </c>
      <c r="Y300" s="33">
        <v>0.0</v>
      </c>
      <c r="Z300" s="33">
        <v>100.0</v>
      </c>
      <c r="AA300" s="33">
        <v>0.0</v>
      </c>
      <c r="AB300" s="33">
        <v>0.0</v>
      </c>
      <c r="AC300" s="33">
        <f>COUNTIFS('Data For Calculation - Insuranc'!A:A,A300,'Data For Calculation - Insuranc'!E:E,"CPA + RSA : 5 Years")</f>
        <v>0</v>
      </c>
      <c r="AD300" s="25" t="s">
        <v>3820</v>
      </c>
      <c r="AE300" s="33">
        <v>838.99</v>
      </c>
      <c r="AF300" s="25" t="s">
        <v>3853</v>
      </c>
      <c r="AG300" s="33">
        <v>0.0</v>
      </c>
      <c r="AH300" s="33">
        <v>100.0</v>
      </c>
      <c r="AI300" s="33">
        <v>0.0</v>
      </c>
      <c r="AJ300" s="33">
        <v>0.0</v>
      </c>
      <c r="AK300" s="33">
        <f>COUNTIFS('Data For Calculation - Insuranc'!A:A,A300,'Data For Calculation - Insuranc'!E:E,"Assistance + CPA : 5 Years")</f>
        <v>0</v>
      </c>
      <c r="AL300" s="25" t="s">
        <v>3820</v>
      </c>
      <c r="AM300" s="33">
        <v>290.0</v>
      </c>
      <c r="AN300" s="25" t="s">
        <v>3853</v>
      </c>
      <c r="AO300" s="33">
        <v>0.0</v>
      </c>
      <c r="AP300" s="33">
        <v>100.0</v>
      </c>
      <c r="AQ300" s="33">
        <v>0.0</v>
      </c>
      <c r="AR300" s="33">
        <v>0.0</v>
      </c>
      <c r="AS300" s="33">
        <f>COUNTIFS('Data For Calculation - Insuranc'!A:A,A300,'Data For Calculation - Insuranc'!E:E,"RSA + AHDC + DOC")</f>
        <v>0</v>
      </c>
      <c r="AT300" s="25"/>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33">
        <f t="shared" si="1"/>
        <v>0</v>
      </c>
      <c r="BS300" s="33">
        <f>SUMIFS('Data For Calculation - Insuranc'!I:I,'Data For Calculation - Insuranc'!$A:$A,$A300)</f>
        <v>0</v>
      </c>
      <c r="BT300" s="33">
        <f>SUMIFS('Data For Calculation - Insuranc'!J:J,'Data For Calculation - Insuranc'!$A:$A,$A300)</f>
        <v>0</v>
      </c>
      <c r="BU300" s="33">
        <f>SUMIFS('Data For Calculation - Insuranc'!K:K,'Data For Calculation - Insuranc'!$A:$A,$A300)</f>
        <v>0</v>
      </c>
      <c r="BV300" s="33">
        <f>IF($CC300 = "Dealer", SUMIFS('Data For Calculation - Insuranc'!I:I,'Data For Calculation - Insuranc'!$B:$B,$A300,'Data For Calculation - Insuranc'!$H:$H,"Master Dealer")) + SUMIFS('Data For Calculation - Insuranc'!I:I,'Data For Calculation - Insuranc'!$A:$A,$A300,'Data For Calculation - Insuranc'!$H:$H,"Self")</f>
        <v>0</v>
      </c>
      <c r="BW300" s="33">
        <f>IF($CC300 = "Dealer", SUMIFS('Data For Calculation - Insuranc'!J:J,'Data For Calculation - Insuranc'!$B:$B,$A300,'Data For Calculation - Insuranc'!$H:$H,"Master Dealer")) + SUMIFS('Data For Calculation - Insuranc'!J:J,'Data For Calculation - Insuranc'!$A:$A,$A300,'Data For Calculation - Insuranc'!$H:$H,"Self")</f>
        <v>0</v>
      </c>
      <c r="BX300" s="33">
        <f>IF($CC300 = "Dealer", SUMIFS('Data For Calculation - Insuranc'!K:K,'Data For Calculation - Insuranc'!$B:$B,$A300,'Data For Calculation - Insuranc'!$H:$H,"Master Dealer")) + SUMIFS('Data For Calculation - Insuranc'!K:K,'Data For Calculation - Insuranc'!$A:$A,$A300,'Data For Calculation - Insuranc'!$H:$H,"Self")</f>
        <v>0</v>
      </c>
      <c r="BY300" s="25" t="str">
        <f>(Sheet1!N300)</f>
        <v>Vikas Autowheels</v>
      </c>
      <c r="BZ300" s="25" t="str">
        <f>(Sheet1!O300)</f>
        <v>1944RLX7T1M23YXRXYoMnJ6nD_bKLldQXRpFRA0rDLvg</v>
      </c>
      <c r="CA300" s="25" t="str">
        <f>(Sheet1!AV300)</f>
        <v/>
      </c>
      <c r="CB300" s="25" t="str">
        <f>(Sheet1!AW300)</f>
        <v/>
      </c>
      <c r="CC300" s="25" t="str">
        <f>(Sheet1!P300)</f>
        <v>Sub Dealer</v>
      </c>
    </row>
    <row r="301">
      <c r="A301" s="26" t="str">
        <f>(Sheet1!A301)</f>
        <v>1AN8rkD7i89vzJPwM9ksH3k-2XvTRN_Wg3aS0QeJ0a2I</v>
      </c>
      <c r="B301" s="26" t="str">
        <f>(Sheet1!B301)</f>
        <v>PASHUPATI HERO - ADCHINI</v>
      </c>
      <c r="C301" s="30" t="str">
        <f>Sheet1!BB301</f>
        <v>Yes</v>
      </c>
      <c r="D301" s="34" t="s">
        <v>13</v>
      </c>
      <c r="E301" s="34" t="s">
        <v>13</v>
      </c>
      <c r="F301" s="34" t="s">
        <v>3820</v>
      </c>
      <c r="G301" s="34">
        <v>290.0</v>
      </c>
      <c r="H301" s="34" t="s">
        <v>3853</v>
      </c>
      <c r="I301" s="34">
        <v>0.0</v>
      </c>
      <c r="J301" s="34">
        <v>0.0</v>
      </c>
      <c r="K301" s="34">
        <v>100.0</v>
      </c>
      <c r="L301" s="34">
        <v>0.0</v>
      </c>
      <c r="M301" s="33">
        <f>COUNTIFS('Data For Calculation - Insuranc'!A:A,A301,'Data For Calculation - Insuranc'!E:E,"CPA + RSA")</f>
        <v>0</v>
      </c>
      <c r="N301" s="34" t="s">
        <v>3856</v>
      </c>
      <c r="O301" s="34">
        <v>100.0</v>
      </c>
      <c r="P301" s="34" t="s">
        <v>3855</v>
      </c>
      <c r="Q301" s="34">
        <v>2000.0</v>
      </c>
      <c r="R301" s="34">
        <v>0.0</v>
      </c>
      <c r="S301" s="34">
        <v>100.0</v>
      </c>
      <c r="T301" s="34">
        <v>0.0</v>
      </c>
      <c r="U301" s="33">
        <f>COUNTIFS('Data For Calculation - Insuranc'!A:A,A301,'Data For Calculation - Insuranc'!E:E,"CPA + RSA + AHDC + DOC")</f>
        <v>0</v>
      </c>
      <c r="V301" s="34" t="s">
        <v>3820</v>
      </c>
      <c r="W301" s="34">
        <v>838.99</v>
      </c>
      <c r="X301" s="34" t="s">
        <v>3853</v>
      </c>
      <c r="Y301" s="34">
        <v>0.0</v>
      </c>
      <c r="Z301" s="34">
        <v>0.0</v>
      </c>
      <c r="AA301" s="34">
        <v>100.0</v>
      </c>
      <c r="AB301" s="34">
        <v>0.0</v>
      </c>
      <c r="AC301" s="33">
        <f>COUNTIFS('Data For Calculation - Insuranc'!A:A,A301,'Data For Calculation - Insuranc'!E:E,"CPA + RSA : 5 Years")</f>
        <v>0</v>
      </c>
      <c r="AD301" s="34" t="s">
        <v>3820</v>
      </c>
      <c r="AE301" s="34">
        <v>838.99</v>
      </c>
      <c r="AF301" s="34" t="s">
        <v>3853</v>
      </c>
      <c r="AG301" s="34">
        <v>0.0</v>
      </c>
      <c r="AH301" s="34">
        <v>0.0</v>
      </c>
      <c r="AI301" s="34">
        <v>100.0</v>
      </c>
      <c r="AJ301" s="34">
        <v>0.0</v>
      </c>
      <c r="AK301" s="33">
        <f>COUNTIFS('Data For Calculation - Insuranc'!A:A,A301,'Data For Calculation - Insuranc'!E:E,"Assistance + CPA : 5 Years")</f>
        <v>0</v>
      </c>
      <c r="AL301" s="34" t="s">
        <v>3856</v>
      </c>
      <c r="AM301" s="34">
        <v>100.0</v>
      </c>
      <c r="AN301" s="34" t="s">
        <v>3855</v>
      </c>
      <c r="AO301" s="34">
        <v>2000.0</v>
      </c>
      <c r="AP301" s="34">
        <v>0.0</v>
      </c>
      <c r="AQ301" s="34">
        <v>100.0</v>
      </c>
      <c r="AR301" s="34">
        <v>0.0</v>
      </c>
      <c r="AS301" s="33">
        <f>COUNTIFS('Data For Calculation - Insuranc'!A:A,A301,'Data For Calculation - Insuranc'!E:E,"RSA + AHDC + DOC")</f>
        <v>0</v>
      </c>
      <c r="BR301" s="33">
        <f t="shared" si="1"/>
        <v>0</v>
      </c>
      <c r="BS301" s="33">
        <f>SUMIFS('Data For Calculation - Insuranc'!I:I,'Data For Calculation - Insuranc'!$A:$A,$A301)</f>
        <v>0</v>
      </c>
      <c r="BT301" s="33">
        <f>SUMIFS('Data For Calculation - Insuranc'!J:J,'Data For Calculation - Insuranc'!$A:$A,$A301)</f>
        <v>0</v>
      </c>
      <c r="BU301" s="33">
        <f>SUMIFS('Data For Calculation - Insuranc'!K:K,'Data For Calculation - Insuranc'!$A:$A,$A301)</f>
        <v>0</v>
      </c>
      <c r="BV301" s="33">
        <f>IF($CC301 = "Dealer", SUMIFS('Data For Calculation - Insuranc'!I:I,'Data For Calculation - Insuranc'!$B:$B,$A301,'Data For Calculation - Insuranc'!$H:$H,"Master Dealer")) + SUMIFS('Data For Calculation - Insuranc'!I:I,'Data For Calculation - Insuranc'!$A:$A,$A301,'Data For Calculation - Insuranc'!$H:$H,"Self")</f>
        <v>0</v>
      </c>
      <c r="BW301" s="33">
        <f>IF($CC301 = "Dealer", SUMIFS('Data For Calculation - Insuranc'!J:J,'Data For Calculation - Insuranc'!$B:$B,$A301,'Data For Calculation - Insuranc'!$H:$H,"Master Dealer")) + SUMIFS('Data For Calculation - Insuranc'!J:J,'Data For Calculation - Insuranc'!$A:$A,$A301,'Data For Calculation - Insuranc'!$H:$H,"Self")</f>
        <v>0</v>
      </c>
      <c r="BX301" s="33">
        <f>IF($CC301 = "Dealer", SUMIFS('Data For Calculation - Insuranc'!K:K,'Data For Calculation - Insuranc'!$B:$B,$A301,'Data For Calculation - Insuranc'!$H:$H,"Master Dealer")) + SUMIFS('Data For Calculation - Insuranc'!K:K,'Data For Calculation - Insuranc'!$A:$A,$A301,'Data For Calculation - Insuranc'!$H:$H,"Self")</f>
        <v>0</v>
      </c>
      <c r="BY301" s="26" t="str">
        <f>(Sheet1!N301)</f>
        <v>PASHUPATI HERO - ADCHINI</v>
      </c>
      <c r="BZ301" s="26" t="str">
        <f>(Sheet1!O301)</f>
        <v>1AN8rkD7i89vzJPwM9ksH3k-2XvTRN_Wg3aS0QeJ0a2I</v>
      </c>
      <c r="CA301" s="25" t="str">
        <f>(Sheet1!AV301)</f>
        <v/>
      </c>
      <c r="CB301" s="25" t="str">
        <f>(Sheet1!AW301)</f>
        <v/>
      </c>
      <c r="CC301" s="26" t="str">
        <f>(Sheet1!P301)</f>
        <v>Dealer</v>
      </c>
    </row>
    <row r="302">
      <c r="A302" s="26" t="str">
        <f>(Sheet1!A302)</f>
        <v>1wvUK5nYC39vfuy54L8M4AdPHlr4l9KiUbThaTK6U6x8</v>
      </c>
      <c r="B302" s="26" t="str">
        <f>(Sheet1!B302)</f>
        <v>PASHUPATI HERO- DEOLI</v>
      </c>
      <c r="C302" s="30" t="str">
        <f>Sheet1!BB302</f>
        <v>Yes</v>
      </c>
      <c r="D302" s="34" t="s">
        <v>13</v>
      </c>
      <c r="E302" s="34" t="s">
        <v>13</v>
      </c>
      <c r="F302" s="34" t="s">
        <v>3820</v>
      </c>
      <c r="G302" s="34">
        <v>290.0</v>
      </c>
      <c r="H302" s="34" t="s">
        <v>3853</v>
      </c>
      <c r="I302" s="34">
        <v>0.0</v>
      </c>
      <c r="J302" s="34">
        <v>0.0</v>
      </c>
      <c r="K302" s="34">
        <v>100.0</v>
      </c>
      <c r="L302" s="34">
        <v>0.0</v>
      </c>
      <c r="M302" s="33">
        <f>COUNTIFS('Data For Calculation - Insuranc'!A:A,A302,'Data For Calculation - Insuranc'!E:E,"CPA + RSA")</f>
        <v>0</v>
      </c>
      <c r="N302" s="34" t="s">
        <v>3856</v>
      </c>
      <c r="O302" s="34">
        <v>100.0</v>
      </c>
      <c r="P302" s="34" t="s">
        <v>3855</v>
      </c>
      <c r="Q302" s="34">
        <v>2000.0</v>
      </c>
      <c r="R302" s="34">
        <v>0.0</v>
      </c>
      <c r="S302" s="34">
        <v>100.0</v>
      </c>
      <c r="T302" s="34">
        <v>0.0</v>
      </c>
      <c r="U302" s="33">
        <f>COUNTIFS('Data For Calculation - Insuranc'!A:A,A302,'Data For Calculation - Insuranc'!E:E,"CPA + RSA + AHDC + DOC")</f>
        <v>0</v>
      </c>
      <c r="V302" s="34" t="s">
        <v>3820</v>
      </c>
      <c r="W302" s="34">
        <v>838.99</v>
      </c>
      <c r="X302" s="34" t="s">
        <v>3853</v>
      </c>
      <c r="Y302" s="34">
        <v>0.0</v>
      </c>
      <c r="Z302" s="34">
        <v>0.0</v>
      </c>
      <c r="AA302" s="34">
        <v>100.0</v>
      </c>
      <c r="AB302" s="34">
        <v>0.0</v>
      </c>
      <c r="AC302" s="33">
        <f>COUNTIFS('Data For Calculation - Insuranc'!A:A,A302,'Data For Calculation - Insuranc'!E:E,"CPA + RSA : 5 Years")</f>
        <v>0</v>
      </c>
      <c r="AD302" s="34" t="s">
        <v>3820</v>
      </c>
      <c r="AE302" s="34">
        <v>838.99</v>
      </c>
      <c r="AF302" s="34" t="s">
        <v>3853</v>
      </c>
      <c r="AG302" s="34">
        <v>0.0</v>
      </c>
      <c r="AH302" s="34">
        <v>0.0</v>
      </c>
      <c r="AI302" s="34">
        <v>100.0</v>
      </c>
      <c r="AJ302" s="34">
        <v>0.0</v>
      </c>
      <c r="AK302" s="33">
        <f>COUNTIFS('Data For Calculation - Insuranc'!A:A,A302,'Data For Calculation - Insuranc'!E:E,"Assistance + CPA : 5 Years")</f>
        <v>0</v>
      </c>
      <c r="AL302" s="34" t="s">
        <v>3856</v>
      </c>
      <c r="AM302" s="34">
        <v>100.0</v>
      </c>
      <c r="AN302" s="34" t="s">
        <v>3855</v>
      </c>
      <c r="AO302" s="34">
        <v>2000.0</v>
      </c>
      <c r="AP302" s="34">
        <v>0.0</v>
      </c>
      <c r="AQ302" s="34">
        <v>100.0</v>
      </c>
      <c r="AR302" s="34">
        <v>0.0</v>
      </c>
      <c r="AS302" s="33">
        <f>COUNTIFS('Data For Calculation - Insuranc'!A:A,A302,'Data For Calculation - Insuranc'!E:E,"RSA + AHDC + DOC")</f>
        <v>0</v>
      </c>
      <c r="BR302" s="33">
        <f t="shared" si="1"/>
        <v>0</v>
      </c>
      <c r="BS302" s="33">
        <f>SUMIFS('Data For Calculation - Insuranc'!I:I,'Data For Calculation - Insuranc'!$A:$A,$A302)</f>
        <v>0</v>
      </c>
      <c r="BT302" s="33">
        <f>SUMIFS('Data For Calculation - Insuranc'!J:J,'Data For Calculation - Insuranc'!$A:$A,$A302)</f>
        <v>0</v>
      </c>
      <c r="BU302" s="33">
        <f>SUMIFS('Data For Calculation - Insuranc'!K:K,'Data For Calculation - Insuranc'!$A:$A,$A302)</f>
        <v>0</v>
      </c>
      <c r="BV302" s="33">
        <f>IF($CC302 = "Dealer", SUMIFS('Data For Calculation - Insuranc'!I:I,'Data For Calculation - Insuranc'!$B:$B,$A302,'Data For Calculation - Insuranc'!$H:$H,"Master Dealer")) + SUMIFS('Data For Calculation - Insuranc'!I:I,'Data For Calculation - Insuranc'!$A:$A,$A302,'Data For Calculation - Insuranc'!$H:$H,"Self")</f>
        <v>0</v>
      </c>
      <c r="BW302" s="33">
        <f>IF($CC302 = "Dealer", SUMIFS('Data For Calculation - Insuranc'!J:J,'Data For Calculation - Insuranc'!$B:$B,$A302,'Data For Calculation - Insuranc'!$H:$H,"Master Dealer")) + SUMIFS('Data For Calculation - Insuranc'!J:J,'Data For Calculation - Insuranc'!$A:$A,$A302,'Data For Calculation - Insuranc'!$H:$H,"Self")</f>
        <v>0</v>
      </c>
      <c r="BX302" s="33">
        <f>IF($CC302 = "Dealer", SUMIFS('Data For Calculation - Insuranc'!K:K,'Data For Calculation - Insuranc'!$B:$B,$A302,'Data For Calculation - Insuranc'!$H:$H,"Master Dealer")) + SUMIFS('Data For Calculation - Insuranc'!K:K,'Data For Calculation - Insuranc'!$A:$A,$A302,'Data For Calculation - Insuranc'!$H:$H,"Self")</f>
        <v>0</v>
      </c>
      <c r="BY302" s="26" t="str">
        <f>(Sheet1!N302)</f>
        <v>PASHUPATI HERO - ADCHINI</v>
      </c>
      <c r="BZ302" s="26" t="str">
        <f>(Sheet1!O302)</f>
        <v>1AN8rkD7i89vzJPwM9ksH3k-2XvTRN_Wg3aS0QeJ0a2I</v>
      </c>
      <c r="CA302" s="25" t="str">
        <f>(Sheet1!AV302)</f>
        <v/>
      </c>
      <c r="CB302" s="25" t="str">
        <f>(Sheet1!AW302)</f>
        <v/>
      </c>
      <c r="CC302" s="26" t="str">
        <f>(Sheet1!P302)</f>
        <v>Sub Dealer</v>
      </c>
    </row>
    <row r="303">
      <c r="A303" s="25" t="str">
        <f>(Sheet1!A303)</f>
        <v>1L4bmBANLoZzaH3L_g0lUkCl9uqLxMUm5AXoNn34pTXE</v>
      </c>
      <c r="B303" s="25" t="str">
        <f>(Sheet1!B303)</f>
        <v>ETGO MOTORS - NOIDA</v>
      </c>
      <c r="C303" s="30" t="str">
        <f>Sheet1!BB303</f>
        <v>No</v>
      </c>
      <c r="D303" s="30" t="s">
        <v>13</v>
      </c>
      <c r="E303" s="34" t="s">
        <v>13</v>
      </c>
      <c r="F303" s="30" t="s">
        <v>3817</v>
      </c>
      <c r="G303" s="31">
        <v>290.0</v>
      </c>
      <c r="H303" s="34" t="s">
        <v>3853</v>
      </c>
      <c r="I303" s="34">
        <v>0.0</v>
      </c>
      <c r="J303" s="34">
        <v>100.0</v>
      </c>
      <c r="K303" s="34">
        <v>0.0</v>
      </c>
      <c r="L303" s="34">
        <v>0.0</v>
      </c>
      <c r="M303" s="33">
        <f>COUNTIFS('Data For Calculation - Insuranc'!A:A,A303,'Data For Calculation - Insuranc'!E:E,"CPA + RSA")</f>
        <v>0</v>
      </c>
      <c r="N303" s="30" t="s">
        <v>3854</v>
      </c>
      <c r="O303" s="31">
        <v>460.0</v>
      </c>
      <c r="P303" s="34" t="s">
        <v>3853</v>
      </c>
      <c r="Q303" s="34">
        <v>20.0</v>
      </c>
      <c r="R303" s="34">
        <v>60.0</v>
      </c>
      <c r="S303" s="34">
        <v>20.0</v>
      </c>
      <c r="T303" s="34">
        <v>20.0</v>
      </c>
      <c r="U303" s="33">
        <f>COUNTIFS('Data For Calculation - Insuranc'!A:A,A303,'Data For Calculation - Insuranc'!E:E,"CPA + RSA + AHDC + DOC")</f>
        <v>0</v>
      </c>
      <c r="V303" s="30" t="s">
        <v>3817</v>
      </c>
      <c r="W303" s="34">
        <v>838.99</v>
      </c>
      <c r="X303" s="34" t="s">
        <v>3853</v>
      </c>
      <c r="Y303" s="34">
        <v>0.0</v>
      </c>
      <c r="Z303" s="34">
        <v>100.0</v>
      </c>
      <c r="AA303" s="34">
        <v>0.0</v>
      </c>
      <c r="AB303" s="34">
        <v>0.0</v>
      </c>
      <c r="AC303" s="33">
        <f>COUNTIFS('Data For Calculation - Insuranc'!A:A,A303,'Data For Calculation - Insuranc'!E:E,"CPA + RSA : 5 Years")</f>
        <v>0</v>
      </c>
      <c r="AD303" s="30" t="s">
        <v>3817</v>
      </c>
      <c r="AE303" s="31">
        <v>838.99</v>
      </c>
      <c r="AF303" s="34" t="s">
        <v>3853</v>
      </c>
      <c r="AG303" s="34">
        <v>0.0</v>
      </c>
      <c r="AH303" s="34">
        <v>100.0</v>
      </c>
      <c r="AI303" s="34">
        <v>0.0</v>
      </c>
      <c r="AJ303" s="34">
        <v>0.0</v>
      </c>
      <c r="AK303" s="33">
        <f>COUNTIFS('Data For Calculation - Insuranc'!A:A,A303,'Data For Calculation - Insuranc'!E:E,"Assistance + CPA : 5 Years")</f>
        <v>0</v>
      </c>
      <c r="AL303" s="30" t="s">
        <v>3817</v>
      </c>
      <c r="AM303" s="31">
        <v>290.0</v>
      </c>
      <c r="AN303" s="34" t="s">
        <v>3853</v>
      </c>
      <c r="AO303" s="34">
        <v>0.0</v>
      </c>
      <c r="AP303" s="34">
        <v>100.0</v>
      </c>
      <c r="AQ303" s="34">
        <v>0.0</v>
      </c>
      <c r="AR303" s="34">
        <v>0.0</v>
      </c>
      <c r="AS303" s="33">
        <f>COUNTIFS('Data For Calculation - Insuranc'!A:A,A303,'Data For Calculation - Insuranc'!E:E,"RSA + AHDC + DOC")</f>
        <v>0</v>
      </c>
      <c r="AT303" s="33"/>
      <c r="AU303" s="33"/>
      <c r="AV303" s="33"/>
      <c r="AW303" s="33"/>
      <c r="AX303" s="33"/>
      <c r="AY303" s="33"/>
      <c r="AZ303" s="33"/>
      <c r="BA303" s="33"/>
      <c r="BB303" s="33"/>
      <c r="BC303" s="33"/>
      <c r="BD303" s="33"/>
      <c r="BE303" s="33"/>
      <c r="BF303" s="33"/>
      <c r="BG303" s="33"/>
      <c r="BH303" s="33"/>
      <c r="BI303" s="33"/>
      <c r="BJ303" s="33"/>
      <c r="BK303" s="33"/>
      <c r="BL303" s="33"/>
      <c r="BM303" s="33"/>
      <c r="BN303" s="33"/>
      <c r="BO303" s="33"/>
      <c r="BP303" s="33"/>
      <c r="BQ303" s="33"/>
      <c r="BR303" s="33">
        <f t="shared" si="1"/>
        <v>0</v>
      </c>
      <c r="BS303" s="33">
        <f>SUMIFS('Data For Calculation - Insuranc'!I:I,'Data For Calculation - Insuranc'!$A:$A,$A303)</f>
        <v>0</v>
      </c>
      <c r="BT303" s="33">
        <f>SUMIFS('Data For Calculation - Insuranc'!J:J,'Data For Calculation - Insuranc'!$A:$A,$A303)</f>
        <v>0</v>
      </c>
      <c r="BU303" s="33">
        <f>SUMIFS('Data For Calculation - Insuranc'!K:K,'Data For Calculation - Insuranc'!$A:$A,$A303)</f>
        <v>0</v>
      </c>
      <c r="BV303" s="33">
        <f>IF($CC303 = "Dealer", SUMIFS('Data For Calculation - Insuranc'!I:I,'Data For Calculation - Insuranc'!$B:$B,$A303,'Data For Calculation - Insuranc'!$H:$H,"Master Dealer")) + SUMIFS('Data For Calculation - Insuranc'!I:I,'Data For Calculation - Insuranc'!$A:$A,$A303,'Data For Calculation - Insuranc'!$H:$H,"Self")</f>
        <v>0</v>
      </c>
      <c r="BW303" s="33">
        <f>IF($CC303 = "Dealer", SUMIFS('Data For Calculation - Insuranc'!J:J,'Data For Calculation - Insuranc'!$B:$B,$A303,'Data For Calculation - Insuranc'!$H:$H,"Master Dealer")) + SUMIFS('Data For Calculation - Insuranc'!J:J,'Data For Calculation - Insuranc'!$A:$A,$A303,'Data For Calculation - Insuranc'!$H:$H,"Self")</f>
        <v>0</v>
      </c>
      <c r="BX303" s="33">
        <f>IF($CC303 = "Dealer", SUMIFS('Data For Calculation - Insuranc'!K:K,'Data For Calculation - Insuranc'!$B:$B,$A303,'Data For Calculation - Insuranc'!$H:$H,"Master Dealer")) + SUMIFS('Data For Calculation - Insuranc'!K:K,'Data For Calculation - Insuranc'!$A:$A,$A303,'Data For Calculation - Insuranc'!$H:$H,"Self")</f>
        <v>0</v>
      </c>
      <c r="BY303" s="25" t="str">
        <f>(Sheet1!N303)</f>
        <v>ETGO MOTORS - NOIDA</v>
      </c>
      <c r="BZ303" s="25" t="str">
        <f>(Sheet1!O303)</f>
        <v>1L4bmBANLoZzaH3L_g0lUkCl9uqLxMUm5AXoNn34pTXE</v>
      </c>
      <c r="CA303" s="25" t="str">
        <f>(Sheet1!AV303)</f>
        <v/>
      </c>
      <c r="CB303" s="25" t="str">
        <f>(Sheet1!AW303)</f>
        <v/>
      </c>
      <c r="CC303" s="26" t="str">
        <f>(Sheet1!P303)</f>
        <v>Dealer</v>
      </c>
    </row>
    <row r="304">
      <c r="A304" s="25" t="str">
        <f>(Sheet1!A304)</f>
        <v>1bezs_AiyqeyfyAOe26bbRn8gMLTreFaNwbIZJkQdpqE</v>
      </c>
      <c r="B304" s="25" t="str">
        <f>(Sheet1!B304)</f>
        <v>ANANT AUTOMOBILES(KHB) - BULANDSHAHAR</v>
      </c>
      <c r="C304" s="30" t="str">
        <f>Sheet1!BB304</f>
        <v>No</v>
      </c>
      <c r="D304" s="30" t="s">
        <v>13</v>
      </c>
      <c r="E304" s="34" t="s">
        <v>13</v>
      </c>
      <c r="F304" s="30" t="s">
        <v>3817</v>
      </c>
      <c r="G304" s="31">
        <v>290.0</v>
      </c>
      <c r="H304" s="34" t="s">
        <v>3853</v>
      </c>
      <c r="I304" s="34">
        <v>0.0</v>
      </c>
      <c r="J304" s="34">
        <v>100.0</v>
      </c>
      <c r="K304" s="34">
        <v>0.0</v>
      </c>
      <c r="L304" s="34">
        <v>0.0</v>
      </c>
      <c r="M304" s="33">
        <f>COUNTIFS('Data For Calculation - Insuranc'!A:A,A304,'Data For Calculation - Insuranc'!E:E,"CPA + RSA")</f>
        <v>0</v>
      </c>
      <c r="N304" s="30" t="s">
        <v>3854</v>
      </c>
      <c r="O304" s="31">
        <v>460.0</v>
      </c>
      <c r="P304" s="34" t="s">
        <v>3853</v>
      </c>
      <c r="Q304" s="34">
        <v>20.0</v>
      </c>
      <c r="R304" s="34">
        <v>60.0</v>
      </c>
      <c r="S304" s="34">
        <v>20.0</v>
      </c>
      <c r="T304" s="34">
        <v>20.0</v>
      </c>
      <c r="U304" s="33">
        <f>COUNTIFS('Data For Calculation - Insuranc'!A:A,A304,'Data For Calculation - Insuranc'!E:E,"CPA + RSA + AHDC + DOC")</f>
        <v>0</v>
      </c>
      <c r="V304" s="30" t="s">
        <v>3817</v>
      </c>
      <c r="W304" s="34">
        <v>838.99</v>
      </c>
      <c r="X304" s="34" t="s">
        <v>3853</v>
      </c>
      <c r="Y304" s="34">
        <v>0.0</v>
      </c>
      <c r="Z304" s="34">
        <v>100.0</v>
      </c>
      <c r="AA304" s="34">
        <v>0.0</v>
      </c>
      <c r="AB304" s="34">
        <v>0.0</v>
      </c>
      <c r="AC304" s="33">
        <f>COUNTIFS('Data For Calculation - Insuranc'!A:A,A304,'Data For Calculation - Insuranc'!E:E,"CPA + RSA : 5 Years")</f>
        <v>0</v>
      </c>
      <c r="AD304" s="30" t="s">
        <v>3817</v>
      </c>
      <c r="AE304" s="31">
        <v>838.99</v>
      </c>
      <c r="AF304" s="34" t="s">
        <v>3853</v>
      </c>
      <c r="AG304" s="34">
        <v>0.0</v>
      </c>
      <c r="AH304" s="34">
        <v>100.0</v>
      </c>
      <c r="AI304" s="34">
        <v>0.0</v>
      </c>
      <c r="AJ304" s="34">
        <v>0.0</v>
      </c>
      <c r="AK304" s="33">
        <f>COUNTIFS('Data For Calculation - Insuranc'!A:A,A304,'Data For Calculation - Insuranc'!E:E,"Assistance + CPA : 5 Years")</f>
        <v>0</v>
      </c>
      <c r="AL304" s="30" t="s">
        <v>3817</v>
      </c>
      <c r="AM304" s="31">
        <v>290.0</v>
      </c>
      <c r="AN304" s="34" t="s">
        <v>3853</v>
      </c>
      <c r="AO304" s="34">
        <v>0.0</v>
      </c>
      <c r="AP304" s="34">
        <v>100.0</v>
      </c>
      <c r="AQ304" s="34">
        <v>0.0</v>
      </c>
      <c r="AR304" s="34">
        <v>0.0</v>
      </c>
      <c r="AS304" s="33">
        <f>COUNTIFS('Data For Calculation - Insuranc'!A:A,A304,'Data For Calculation - Insuranc'!E:E,"RSA + AHDC + DOC")</f>
        <v>0</v>
      </c>
      <c r="AT304" s="33"/>
      <c r="AU304" s="33"/>
      <c r="AV304" s="33"/>
      <c r="AW304" s="33"/>
      <c r="AX304" s="33"/>
      <c r="AY304" s="33"/>
      <c r="AZ304" s="33"/>
      <c r="BA304" s="33"/>
      <c r="BB304" s="33"/>
      <c r="BC304" s="33"/>
      <c r="BD304" s="33"/>
      <c r="BE304" s="33"/>
      <c r="BF304" s="33"/>
      <c r="BG304" s="33"/>
      <c r="BH304" s="33"/>
      <c r="BI304" s="33"/>
      <c r="BJ304" s="33"/>
      <c r="BK304" s="33"/>
      <c r="BL304" s="33"/>
      <c r="BM304" s="33"/>
      <c r="BN304" s="33"/>
      <c r="BO304" s="33"/>
      <c r="BP304" s="33"/>
      <c r="BQ304" s="33"/>
      <c r="BR304" s="33">
        <f t="shared" si="1"/>
        <v>0</v>
      </c>
      <c r="BS304" s="33">
        <f>SUMIFS('Data For Calculation - Insuranc'!I:I,'Data For Calculation - Insuranc'!$A:$A,$A304)</f>
        <v>0</v>
      </c>
      <c r="BT304" s="33">
        <f>SUMIFS('Data For Calculation - Insuranc'!J:J,'Data For Calculation - Insuranc'!$A:$A,$A304)</f>
        <v>0</v>
      </c>
      <c r="BU304" s="33">
        <f>SUMIFS('Data For Calculation - Insuranc'!K:K,'Data For Calculation - Insuranc'!$A:$A,$A304)</f>
        <v>0</v>
      </c>
      <c r="BV304" s="33">
        <f>IF($CC304 = "Dealer", SUMIFS('Data For Calculation - Insuranc'!I:I,'Data For Calculation - Insuranc'!$B:$B,$A304,'Data For Calculation - Insuranc'!$H:$H,"Master Dealer")) + SUMIFS('Data For Calculation - Insuranc'!I:I,'Data For Calculation - Insuranc'!$A:$A,$A304,'Data For Calculation - Insuranc'!$H:$H,"Self")</f>
        <v>0</v>
      </c>
      <c r="BW304" s="33">
        <f>IF($CC304 = "Dealer", SUMIFS('Data For Calculation - Insuranc'!J:J,'Data For Calculation - Insuranc'!$B:$B,$A304,'Data For Calculation - Insuranc'!$H:$H,"Master Dealer")) + SUMIFS('Data For Calculation - Insuranc'!J:J,'Data For Calculation - Insuranc'!$A:$A,$A304,'Data For Calculation - Insuranc'!$H:$H,"Self")</f>
        <v>0</v>
      </c>
      <c r="BX304" s="33">
        <f>IF($CC304 = "Dealer", SUMIFS('Data For Calculation - Insuranc'!K:K,'Data For Calculation - Insuranc'!$B:$B,$A304,'Data For Calculation - Insuranc'!$H:$H,"Master Dealer")) + SUMIFS('Data For Calculation - Insuranc'!K:K,'Data For Calculation - Insuranc'!$A:$A,$A304,'Data For Calculation - Insuranc'!$H:$H,"Self")</f>
        <v>0</v>
      </c>
      <c r="BY304" s="25" t="str">
        <f>(Sheet1!N304)</f>
        <v>Krishna Hero - Bulandshahr</v>
      </c>
      <c r="BZ304" s="25" t="str">
        <f>(Sheet1!O304)</f>
        <v>1mX_ZCiMgVCd3AONQ2zBbbc9wQ6Mlj2RvmkSWdpWht-8</v>
      </c>
      <c r="CA304" s="25" t="str">
        <f>(Sheet1!AV304)</f>
        <v/>
      </c>
      <c r="CB304" s="25" t="str">
        <f>(Sheet1!AW304)</f>
        <v/>
      </c>
      <c r="CC304" s="26" t="str">
        <f>(Sheet1!P304)</f>
        <v>Sub Dealer</v>
      </c>
    </row>
    <row r="305">
      <c r="A305" s="25" t="str">
        <f>(Sheet1!A305)</f>
        <v>1rxceCPc4ChTPFerx6ZXVu45MWGLeEOukTie7Dj7H2lI</v>
      </c>
      <c r="B305" s="25" t="str">
        <f>(Sheet1!B305)</f>
        <v>JAI DURGA AUTOMOBILES - LAL KUAN</v>
      </c>
      <c r="C305" s="30" t="str">
        <f>Sheet1!BB305</f>
        <v>No</v>
      </c>
      <c r="D305" s="30" t="s">
        <v>13</v>
      </c>
      <c r="E305" s="34" t="s">
        <v>13</v>
      </c>
      <c r="F305" s="30" t="s">
        <v>3817</v>
      </c>
      <c r="G305" s="31">
        <v>290.0</v>
      </c>
      <c r="H305" s="34" t="s">
        <v>3853</v>
      </c>
      <c r="I305" s="34">
        <v>0.0</v>
      </c>
      <c r="J305" s="34">
        <v>100.0</v>
      </c>
      <c r="K305" s="34">
        <v>0.0</v>
      </c>
      <c r="L305" s="34">
        <v>0.0</v>
      </c>
      <c r="M305" s="33">
        <f>COUNTIFS('Data For Calculation - Insuranc'!A:A,A305,'Data For Calculation - Insuranc'!E:E,"CPA + RSA")</f>
        <v>0</v>
      </c>
      <c r="N305" s="30" t="s">
        <v>3854</v>
      </c>
      <c r="O305" s="31">
        <v>460.0</v>
      </c>
      <c r="P305" s="34" t="s">
        <v>3853</v>
      </c>
      <c r="Q305" s="34">
        <v>20.0</v>
      </c>
      <c r="R305" s="34">
        <v>60.0</v>
      </c>
      <c r="S305" s="34">
        <v>20.0</v>
      </c>
      <c r="T305" s="34">
        <v>20.0</v>
      </c>
      <c r="U305" s="33">
        <f>COUNTIFS('Data For Calculation - Insuranc'!A:A,A305,'Data For Calculation - Insuranc'!E:E,"CPA + RSA + AHDC + DOC")</f>
        <v>0</v>
      </c>
      <c r="V305" s="30" t="s">
        <v>3817</v>
      </c>
      <c r="W305" s="34">
        <v>838.99</v>
      </c>
      <c r="X305" s="34" t="s">
        <v>3853</v>
      </c>
      <c r="Y305" s="34">
        <v>0.0</v>
      </c>
      <c r="Z305" s="34">
        <v>100.0</v>
      </c>
      <c r="AA305" s="34">
        <v>0.0</v>
      </c>
      <c r="AB305" s="34">
        <v>0.0</v>
      </c>
      <c r="AC305" s="33">
        <f>COUNTIFS('Data For Calculation - Insuranc'!A:A,A305,'Data For Calculation - Insuranc'!E:E,"CPA + RSA : 5 Years")</f>
        <v>0</v>
      </c>
      <c r="AD305" s="30" t="s">
        <v>3817</v>
      </c>
      <c r="AE305" s="31">
        <v>838.99</v>
      </c>
      <c r="AF305" s="34" t="s">
        <v>3853</v>
      </c>
      <c r="AG305" s="34">
        <v>0.0</v>
      </c>
      <c r="AH305" s="34">
        <v>100.0</v>
      </c>
      <c r="AI305" s="34">
        <v>0.0</v>
      </c>
      <c r="AJ305" s="34">
        <v>0.0</v>
      </c>
      <c r="AK305" s="33">
        <f>COUNTIFS('Data For Calculation - Insuranc'!A:A,A305,'Data For Calculation - Insuranc'!E:E,"Assistance + CPA : 5 Years")</f>
        <v>0</v>
      </c>
      <c r="AL305" s="30" t="s">
        <v>3817</v>
      </c>
      <c r="AM305" s="31">
        <v>290.0</v>
      </c>
      <c r="AN305" s="34" t="s">
        <v>3853</v>
      </c>
      <c r="AO305" s="34">
        <v>0.0</v>
      </c>
      <c r="AP305" s="34">
        <v>100.0</v>
      </c>
      <c r="AQ305" s="34">
        <v>0.0</v>
      </c>
      <c r="AR305" s="34">
        <v>0.0</v>
      </c>
      <c r="AS305" s="33">
        <f>COUNTIFS('Data For Calculation - Insuranc'!A:A,A305,'Data For Calculation - Insuranc'!E:E,"RSA + AHDC + DOC")</f>
        <v>0</v>
      </c>
      <c r="AT305" s="33"/>
      <c r="AU305" s="33"/>
      <c r="AV305" s="33"/>
      <c r="AW305" s="33"/>
      <c r="AX305" s="33"/>
      <c r="AY305" s="33"/>
      <c r="AZ305" s="33"/>
      <c r="BA305" s="33"/>
      <c r="BB305" s="33"/>
      <c r="BC305" s="33"/>
      <c r="BD305" s="33"/>
      <c r="BE305" s="33"/>
      <c r="BF305" s="33"/>
      <c r="BG305" s="33"/>
      <c r="BH305" s="33"/>
      <c r="BI305" s="33"/>
      <c r="BJ305" s="33"/>
      <c r="BK305" s="33"/>
      <c r="BL305" s="33"/>
      <c r="BM305" s="33"/>
      <c r="BN305" s="33"/>
      <c r="BO305" s="33"/>
      <c r="BP305" s="33"/>
      <c r="BQ305" s="33"/>
      <c r="BR305" s="33">
        <f t="shared" si="1"/>
        <v>0</v>
      </c>
      <c r="BS305" s="33">
        <f>SUMIFS('Data For Calculation - Insuranc'!I:I,'Data For Calculation - Insuranc'!$A:$A,$A305)</f>
        <v>0</v>
      </c>
      <c r="BT305" s="33">
        <f>SUMIFS('Data For Calculation - Insuranc'!J:J,'Data For Calculation - Insuranc'!$A:$A,$A305)</f>
        <v>0</v>
      </c>
      <c r="BU305" s="33">
        <f>SUMIFS('Data For Calculation - Insuranc'!K:K,'Data For Calculation - Insuranc'!$A:$A,$A305)</f>
        <v>0</v>
      </c>
      <c r="BV305" s="33">
        <f>IF($CC305 = "Dealer", SUMIFS('Data For Calculation - Insuranc'!I:I,'Data For Calculation - Insuranc'!$B:$B,$A305,'Data For Calculation - Insuranc'!$H:$H,"Master Dealer")) + SUMIFS('Data For Calculation - Insuranc'!I:I,'Data For Calculation - Insuranc'!$A:$A,$A305,'Data For Calculation - Insuranc'!$H:$H,"Self")</f>
        <v>0</v>
      </c>
      <c r="BW305" s="33">
        <f>IF($CC305 = "Dealer", SUMIFS('Data For Calculation - Insuranc'!J:J,'Data For Calculation - Insuranc'!$B:$B,$A305,'Data For Calculation - Insuranc'!$H:$H,"Master Dealer")) + SUMIFS('Data For Calculation - Insuranc'!J:J,'Data For Calculation - Insuranc'!$A:$A,$A305,'Data For Calculation - Insuranc'!$H:$H,"Self")</f>
        <v>0</v>
      </c>
      <c r="BX305" s="33">
        <f>IF($CC305 = "Dealer", SUMIFS('Data For Calculation - Insuranc'!K:K,'Data For Calculation - Insuranc'!$B:$B,$A305,'Data For Calculation - Insuranc'!$H:$H,"Master Dealer")) + SUMIFS('Data For Calculation - Insuranc'!K:K,'Data For Calculation - Insuranc'!$A:$A,$A305,'Data For Calculation - Insuranc'!$H:$H,"Self")</f>
        <v>0</v>
      </c>
      <c r="BY305" s="25" t="str">
        <f>(Sheet1!N305)</f>
        <v>JAI DURGA AUTOMOBILES - LAL KUAN</v>
      </c>
      <c r="BZ305" s="25" t="str">
        <f>(Sheet1!O305)</f>
        <v>1rxceCPc4ChTPFerx6ZXVu45MWGLeEOukTie7Dj7H2lI</v>
      </c>
      <c r="CA305" s="25" t="str">
        <f>(Sheet1!AV305)</f>
        <v/>
      </c>
      <c r="CB305" s="25" t="str">
        <f>(Sheet1!AW305)</f>
        <v/>
      </c>
      <c r="CC305" s="26" t="str">
        <f>(Sheet1!P305)</f>
        <v>Dealer</v>
      </c>
    </row>
    <row r="306">
      <c r="A306" s="26" t="str">
        <f>(Sheet1!A306)</f>
        <v>1LVNRMyRyFnfxu6UwLDnFcaHRPwib_izj4XjkxL7ErVk</v>
      </c>
      <c r="B306" s="26" t="str">
        <f>(Sheet1!B306)</f>
        <v>RAINBOW AUTOMOBILES - VAISHALI BIHAR</v>
      </c>
      <c r="C306" s="30" t="str">
        <f>Sheet1!BB306</f>
        <v>Yes</v>
      </c>
      <c r="D306" s="34" t="s">
        <v>13</v>
      </c>
      <c r="E306" s="34" t="s">
        <v>13</v>
      </c>
      <c r="F306" s="34" t="s">
        <v>3820</v>
      </c>
      <c r="G306" s="34">
        <v>290.0</v>
      </c>
      <c r="H306" s="34" t="s">
        <v>3853</v>
      </c>
      <c r="I306" s="34">
        <v>0.0</v>
      </c>
      <c r="J306" s="34">
        <v>100.0</v>
      </c>
      <c r="K306" s="34">
        <v>0.0</v>
      </c>
      <c r="L306" s="34">
        <v>0.0</v>
      </c>
      <c r="M306" s="33">
        <f>COUNTIFS('Data For Calculation - Insuranc'!A:A,A306,'Data For Calculation - Insuranc'!E:E,"CPA + RSA")</f>
        <v>0</v>
      </c>
      <c r="N306" s="34" t="s">
        <v>3854</v>
      </c>
      <c r="O306" s="34">
        <v>100.0</v>
      </c>
      <c r="P306" s="34" t="s">
        <v>3855</v>
      </c>
      <c r="Q306" s="34">
        <v>2000.0</v>
      </c>
      <c r="R306" s="34">
        <v>100.0</v>
      </c>
      <c r="S306" s="34">
        <v>0.0</v>
      </c>
      <c r="T306" s="34">
        <v>0.0</v>
      </c>
      <c r="U306" s="33">
        <f>COUNTIFS('Data For Calculation - Insuranc'!A:A,A306,'Data For Calculation - Insuranc'!E:E,"CPA + RSA + AHDC + DOC")</f>
        <v>0</v>
      </c>
      <c r="V306" s="34" t="s">
        <v>3820</v>
      </c>
      <c r="W306" s="34">
        <v>838.99</v>
      </c>
      <c r="X306" s="34" t="s">
        <v>3853</v>
      </c>
      <c r="Y306" s="34">
        <v>0.0</v>
      </c>
      <c r="Z306" s="34">
        <v>100.0</v>
      </c>
      <c r="AA306" s="34">
        <v>0.0</v>
      </c>
      <c r="AB306" s="34">
        <v>0.0</v>
      </c>
      <c r="AC306" s="33">
        <f>COUNTIFS('Data For Calculation - Insuranc'!A:A,A306,'Data For Calculation - Insuranc'!E:E,"CPA + RSA : 5 Years")</f>
        <v>0</v>
      </c>
      <c r="AD306" s="34" t="s">
        <v>3820</v>
      </c>
      <c r="AE306" s="34">
        <v>838.99</v>
      </c>
      <c r="AF306" s="34" t="s">
        <v>3853</v>
      </c>
      <c r="AG306" s="34">
        <v>0.0</v>
      </c>
      <c r="AH306" s="34">
        <v>100.0</v>
      </c>
      <c r="AI306" s="34">
        <v>0.0</v>
      </c>
      <c r="AJ306" s="34">
        <v>0.0</v>
      </c>
      <c r="AK306" s="33">
        <f>COUNTIFS('Data For Calculation - Insuranc'!A:A,A306,'Data For Calculation - Insuranc'!E:E,"Assistance + CPA : 5 Years")</f>
        <v>0</v>
      </c>
      <c r="AL306" s="34" t="s">
        <v>3854</v>
      </c>
      <c r="AM306" s="34">
        <v>100.0</v>
      </c>
      <c r="AN306" s="34" t="s">
        <v>3855</v>
      </c>
      <c r="AO306" s="34">
        <v>2000.0</v>
      </c>
      <c r="AP306" s="34">
        <v>100.0</v>
      </c>
      <c r="AQ306" s="34">
        <v>0.0</v>
      </c>
      <c r="AR306" s="34">
        <v>0.0</v>
      </c>
      <c r="AS306" s="33">
        <f>COUNTIFS('Data For Calculation - Insuranc'!A:A,A306,'Data For Calculation - Insuranc'!E:E,"RSA + AHDC + DOC")</f>
        <v>0</v>
      </c>
      <c r="BR306" s="33">
        <f t="shared" si="1"/>
        <v>0</v>
      </c>
      <c r="BS306" s="33">
        <f>SUMIFS('Data For Calculation - Insuranc'!I:I,'Data For Calculation - Insuranc'!$A:$A,$A306)</f>
        <v>0</v>
      </c>
      <c r="BT306" s="33">
        <f>SUMIFS('Data For Calculation - Insuranc'!J:J,'Data For Calculation - Insuranc'!$A:$A,$A306)</f>
        <v>0</v>
      </c>
      <c r="BU306" s="33">
        <f>SUMIFS('Data For Calculation - Insuranc'!K:K,'Data For Calculation - Insuranc'!$A:$A,$A306)</f>
        <v>0</v>
      </c>
      <c r="BV306" s="33">
        <f>IF($CC306 = "Dealer", SUMIFS('Data For Calculation - Insuranc'!I:I,'Data For Calculation - Insuranc'!$B:$B,$A306,'Data For Calculation - Insuranc'!$H:$H,"Master Dealer")) + SUMIFS('Data For Calculation - Insuranc'!I:I,'Data For Calculation - Insuranc'!$A:$A,$A306,'Data For Calculation - Insuranc'!$H:$H,"Self")</f>
        <v>0</v>
      </c>
      <c r="BW306" s="33">
        <f>IF($CC306 = "Dealer", SUMIFS('Data For Calculation - Insuranc'!J:J,'Data For Calculation - Insuranc'!$B:$B,$A306,'Data For Calculation - Insuranc'!$H:$H,"Master Dealer")) + SUMIFS('Data For Calculation - Insuranc'!J:J,'Data For Calculation - Insuranc'!$A:$A,$A306,'Data For Calculation - Insuranc'!$H:$H,"Self")</f>
        <v>0</v>
      </c>
      <c r="BX306" s="33">
        <f>IF($CC306 = "Dealer", SUMIFS('Data For Calculation - Insuranc'!K:K,'Data For Calculation - Insuranc'!$B:$B,$A306,'Data For Calculation - Insuranc'!$H:$H,"Master Dealer")) + SUMIFS('Data For Calculation - Insuranc'!K:K,'Data For Calculation - Insuranc'!$A:$A,$A306,'Data For Calculation - Insuranc'!$H:$H,"Self")</f>
        <v>0</v>
      </c>
      <c r="BY306" s="26" t="str">
        <f>(Sheet1!N306)</f>
        <v>RAINBOW AUTOMOBILES - VAISHALI BIHAR</v>
      </c>
      <c r="BZ306" s="26" t="str">
        <f>(Sheet1!O306)</f>
        <v>1LVNRMyRyFnfxu6UwLDnFcaHRPwib_izj4XjkxL7ErVk</v>
      </c>
      <c r="CA306" s="25" t="str">
        <f>(Sheet1!AV306)</f>
        <v/>
      </c>
      <c r="CB306" s="25" t="str">
        <f>(Sheet1!AW306)</f>
        <v/>
      </c>
      <c r="CC306" s="26" t="str">
        <f>(Sheet1!P306)</f>
        <v>Dealer</v>
      </c>
    </row>
    <row r="307">
      <c r="A307" s="25" t="str">
        <f>(Sheet1!A307)</f>
        <v>1QcwlmexfHIgCbHqzkOQkbRw_BUu-91jWceUcx2050FE</v>
      </c>
      <c r="B307" s="25" t="str">
        <f>(Sheet1!B307)</f>
        <v>Sunil Ji Honda - Firozabad</v>
      </c>
      <c r="C307" s="30" t="str">
        <f>Sheet1!BB307</f>
        <v>No</v>
      </c>
      <c r="D307" s="30" t="s">
        <v>13</v>
      </c>
      <c r="E307" s="34" t="s">
        <v>13</v>
      </c>
      <c r="F307" s="30" t="s">
        <v>3817</v>
      </c>
      <c r="G307" s="31">
        <v>290.0</v>
      </c>
      <c r="H307" s="34" t="s">
        <v>3853</v>
      </c>
      <c r="I307" s="34">
        <v>0.0</v>
      </c>
      <c r="J307" s="34">
        <v>100.0</v>
      </c>
      <c r="K307" s="34">
        <v>0.0</v>
      </c>
      <c r="L307" s="34">
        <v>0.0</v>
      </c>
      <c r="M307" s="33">
        <f>COUNTIFS('Data For Calculation - Insuranc'!A:A,A307,'Data For Calculation - Insuranc'!E:E,"CPA + RSA")</f>
        <v>0</v>
      </c>
      <c r="N307" s="30" t="s">
        <v>3854</v>
      </c>
      <c r="O307" s="31">
        <v>460.0</v>
      </c>
      <c r="P307" s="34" t="s">
        <v>3853</v>
      </c>
      <c r="Q307" s="34">
        <v>20.0</v>
      </c>
      <c r="R307" s="34">
        <v>60.0</v>
      </c>
      <c r="S307" s="34">
        <v>20.0</v>
      </c>
      <c r="T307" s="34">
        <v>20.0</v>
      </c>
      <c r="U307" s="33">
        <f>COUNTIFS('Data For Calculation - Insuranc'!A:A,A307,'Data For Calculation - Insuranc'!E:E,"CPA + RSA + AHDC + DOC")</f>
        <v>0</v>
      </c>
      <c r="V307" s="30" t="s">
        <v>3817</v>
      </c>
      <c r="W307" s="34">
        <v>838.99</v>
      </c>
      <c r="X307" s="34" t="s">
        <v>3853</v>
      </c>
      <c r="Y307" s="34">
        <v>0.0</v>
      </c>
      <c r="Z307" s="34">
        <v>100.0</v>
      </c>
      <c r="AA307" s="34">
        <v>0.0</v>
      </c>
      <c r="AB307" s="34">
        <v>0.0</v>
      </c>
      <c r="AC307" s="33">
        <f>COUNTIFS('Data For Calculation - Insuranc'!A:A,A307,'Data For Calculation - Insuranc'!E:E,"CPA + RSA : 5 Years")</f>
        <v>0</v>
      </c>
      <c r="AD307" s="30" t="s">
        <v>3817</v>
      </c>
      <c r="AE307" s="31">
        <v>838.99</v>
      </c>
      <c r="AF307" s="34" t="s">
        <v>3853</v>
      </c>
      <c r="AG307" s="34">
        <v>0.0</v>
      </c>
      <c r="AH307" s="34">
        <v>100.0</v>
      </c>
      <c r="AI307" s="34">
        <v>0.0</v>
      </c>
      <c r="AJ307" s="34">
        <v>0.0</v>
      </c>
      <c r="AK307" s="33">
        <f>COUNTIFS('Data For Calculation - Insuranc'!A:A,A307,'Data For Calculation - Insuranc'!E:E,"Assistance + CPA : 5 Years")</f>
        <v>0</v>
      </c>
      <c r="AL307" s="30" t="s">
        <v>3817</v>
      </c>
      <c r="AM307" s="31">
        <v>290.0</v>
      </c>
      <c r="AN307" s="34" t="s">
        <v>3853</v>
      </c>
      <c r="AO307" s="34">
        <v>0.0</v>
      </c>
      <c r="AP307" s="34">
        <v>100.0</v>
      </c>
      <c r="AQ307" s="34">
        <v>0.0</v>
      </c>
      <c r="AR307" s="34">
        <v>0.0</v>
      </c>
      <c r="AS307" s="33">
        <f>COUNTIFS('Data For Calculation - Insuranc'!A:A,A307,'Data For Calculation - Insuranc'!E:E,"RSA + AHDC + DOC")</f>
        <v>0</v>
      </c>
      <c r="AT307" s="33"/>
      <c r="AU307" s="33"/>
      <c r="AV307" s="33"/>
      <c r="AW307" s="33"/>
      <c r="AX307" s="33"/>
      <c r="AY307" s="33"/>
      <c r="AZ307" s="33"/>
      <c r="BA307" s="33"/>
      <c r="BB307" s="33"/>
      <c r="BC307" s="33"/>
      <c r="BD307" s="33"/>
      <c r="BE307" s="33"/>
      <c r="BF307" s="33"/>
      <c r="BG307" s="33"/>
      <c r="BH307" s="33"/>
      <c r="BI307" s="33"/>
      <c r="BJ307" s="33"/>
      <c r="BK307" s="33"/>
      <c r="BL307" s="33"/>
      <c r="BM307" s="33"/>
      <c r="BN307" s="33"/>
      <c r="BO307" s="33"/>
      <c r="BP307" s="33"/>
      <c r="BQ307" s="33"/>
      <c r="BR307" s="33">
        <f t="shared" si="1"/>
        <v>0</v>
      </c>
      <c r="BS307" s="33">
        <f>SUMIFS('Data For Calculation - Insuranc'!I:I,'Data For Calculation - Insuranc'!$A:$A,$A307)</f>
        <v>0</v>
      </c>
      <c r="BT307" s="33">
        <f>SUMIFS('Data For Calculation - Insuranc'!J:J,'Data For Calculation - Insuranc'!$A:$A,$A307)</f>
        <v>0</v>
      </c>
      <c r="BU307" s="33">
        <f>SUMIFS('Data For Calculation - Insuranc'!K:K,'Data For Calculation - Insuranc'!$A:$A,$A307)</f>
        <v>0</v>
      </c>
      <c r="BV307" s="33">
        <f>IF($CC307 = "Dealer", SUMIFS('Data For Calculation - Insuranc'!I:I,'Data For Calculation - Insuranc'!$B:$B,$A307,'Data For Calculation - Insuranc'!$H:$H,"Master Dealer")) + SUMIFS('Data For Calculation - Insuranc'!I:I,'Data For Calculation - Insuranc'!$A:$A,$A307,'Data For Calculation - Insuranc'!$H:$H,"Self")</f>
        <v>0</v>
      </c>
      <c r="BW307" s="33">
        <f>IF($CC307 = "Dealer", SUMIFS('Data For Calculation - Insuranc'!J:J,'Data For Calculation - Insuranc'!$B:$B,$A307,'Data For Calculation - Insuranc'!$H:$H,"Master Dealer")) + SUMIFS('Data For Calculation - Insuranc'!J:J,'Data For Calculation - Insuranc'!$A:$A,$A307,'Data For Calculation - Insuranc'!$H:$H,"Self")</f>
        <v>0</v>
      </c>
      <c r="BX307" s="33">
        <f>IF($CC307 = "Dealer", SUMIFS('Data For Calculation - Insuranc'!K:K,'Data For Calculation - Insuranc'!$B:$B,$A307,'Data For Calculation - Insuranc'!$H:$H,"Master Dealer")) + SUMIFS('Data For Calculation - Insuranc'!K:K,'Data For Calculation - Insuranc'!$A:$A,$A307,'Data For Calculation - Insuranc'!$H:$H,"Self")</f>
        <v>0</v>
      </c>
      <c r="BY307" s="25" t="str">
        <f>(Sheet1!N307)</f>
        <v>Sunil Ji Honda - Firozabad</v>
      </c>
      <c r="BZ307" s="25" t="str">
        <f>(Sheet1!O307)</f>
        <v>1QcwlmexfHIgCbHqzkOQkbRw_BUu-91jWceUcx2050FE</v>
      </c>
      <c r="CA307" s="25" t="str">
        <f>(Sheet1!AV307)</f>
        <v/>
      </c>
      <c r="CB307" s="25" t="str">
        <f>(Sheet1!AW307)</f>
        <v/>
      </c>
      <c r="CC307" s="26" t="str">
        <f>(Sheet1!P307)</f>
        <v>Dealer</v>
      </c>
    </row>
    <row r="308">
      <c r="A308" s="25" t="str">
        <f>(Sheet1!A308)</f>
        <v>1LnJ5zdvl1b_4zru0KcAtzT52jepIWcNiSYQkH8Ytlsg</v>
      </c>
      <c r="B308" s="25" t="str">
        <f>(Sheet1!B308)</f>
        <v>JAI DURGA AUTOMOBILES - KICHHA</v>
      </c>
      <c r="C308" s="30" t="str">
        <f>Sheet1!BB308</f>
        <v>No</v>
      </c>
      <c r="D308" s="30" t="s">
        <v>13</v>
      </c>
      <c r="E308" s="34" t="s">
        <v>13</v>
      </c>
      <c r="F308" s="30" t="s">
        <v>3817</v>
      </c>
      <c r="G308" s="31">
        <v>290.0</v>
      </c>
      <c r="H308" s="34" t="s">
        <v>3853</v>
      </c>
      <c r="I308" s="34">
        <v>0.0</v>
      </c>
      <c r="J308" s="34">
        <v>100.0</v>
      </c>
      <c r="K308" s="34">
        <v>0.0</v>
      </c>
      <c r="L308" s="34">
        <v>0.0</v>
      </c>
      <c r="M308" s="33">
        <f>COUNTIFS('Data For Calculation - Insuranc'!A:A,A308,'Data For Calculation - Insuranc'!E:E,"CPA + RSA")</f>
        <v>0</v>
      </c>
      <c r="N308" s="30" t="s">
        <v>3854</v>
      </c>
      <c r="O308" s="31">
        <v>460.0</v>
      </c>
      <c r="P308" s="34" t="s">
        <v>3853</v>
      </c>
      <c r="Q308" s="34">
        <v>20.0</v>
      </c>
      <c r="R308" s="34">
        <v>60.0</v>
      </c>
      <c r="S308" s="34">
        <v>20.0</v>
      </c>
      <c r="T308" s="34">
        <v>20.0</v>
      </c>
      <c r="U308" s="33">
        <f>COUNTIFS('Data For Calculation - Insuranc'!A:A,A308,'Data For Calculation - Insuranc'!E:E,"CPA + RSA + AHDC + DOC")</f>
        <v>0</v>
      </c>
      <c r="V308" s="30" t="s">
        <v>3817</v>
      </c>
      <c r="W308" s="34">
        <v>838.99</v>
      </c>
      <c r="X308" s="34" t="s">
        <v>3853</v>
      </c>
      <c r="Y308" s="34">
        <v>0.0</v>
      </c>
      <c r="Z308" s="34">
        <v>100.0</v>
      </c>
      <c r="AA308" s="34">
        <v>0.0</v>
      </c>
      <c r="AB308" s="34">
        <v>0.0</v>
      </c>
      <c r="AC308" s="33">
        <f>COUNTIFS('Data For Calculation - Insuranc'!A:A,A308,'Data For Calculation - Insuranc'!E:E,"CPA + RSA : 5 Years")</f>
        <v>0</v>
      </c>
      <c r="AD308" s="30" t="s">
        <v>3817</v>
      </c>
      <c r="AE308" s="31">
        <v>838.99</v>
      </c>
      <c r="AF308" s="34" t="s">
        <v>3853</v>
      </c>
      <c r="AG308" s="34">
        <v>0.0</v>
      </c>
      <c r="AH308" s="34">
        <v>100.0</v>
      </c>
      <c r="AI308" s="34">
        <v>0.0</v>
      </c>
      <c r="AJ308" s="34">
        <v>0.0</v>
      </c>
      <c r="AK308" s="33">
        <f>COUNTIFS('Data For Calculation - Insuranc'!A:A,A308,'Data For Calculation - Insuranc'!E:E,"Assistance + CPA : 5 Years")</f>
        <v>0</v>
      </c>
      <c r="AL308" s="30" t="s">
        <v>3817</v>
      </c>
      <c r="AM308" s="31">
        <v>290.0</v>
      </c>
      <c r="AN308" s="34" t="s">
        <v>3853</v>
      </c>
      <c r="AO308" s="34">
        <v>0.0</v>
      </c>
      <c r="AP308" s="34">
        <v>100.0</v>
      </c>
      <c r="AQ308" s="34">
        <v>0.0</v>
      </c>
      <c r="AR308" s="34">
        <v>0.0</v>
      </c>
      <c r="AS308" s="33">
        <f>COUNTIFS('Data For Calculation - Insuranc'!A:A,A308,'Data For Calculation - Insuranc'!E:E,"RSA + AHDC + DOC")</f>
        <v>0</v>
      </c>
      <c r="AT308" s="33"/>
      <c r="AU308" s="33"/>
      <c r="AV308" s="33"/>
      <c r="AW308" s="33"/>
      <c r="AX308" s="33"/>
      <c r="AY308" s="33"/>
      <c r="AZ308" s="33"/>
      <c r="BA308" s="33"/>
      <c r="BB308" s="33"/>
      <c r="BC308" s="33"/>
      <c r="BD308" s="33"/>
      <c r="BE308" s="33"/>
      <c r="BF308" s="33"/>
      <c r="BG308" s="33"/>
      <c r="BH308" s="33"/>
      <c r="BI308" s="33"/>
      <c r="BJ308" s="33"/>
      <c r="BK308" s="33"/>
      <c r="BL308" s="33"/>
      <c r="BM308" s="33"/>
      <c r="BN308" s="33"/>
      <c r="BO308" s="33"/>
      <c r="BP308" s="33"/>
      <c r="BQ308" s="33"/>
      <c r="BR308" s="33">
        <f t="shared" si="1"/>
        <v>0</v>
      </c>
      <c r="BS308" s="33">
        <f>SUMIFS('Data For Calculation - Insuranc'!I:I,'Data For Calculation - Insuranc'!$A:$A,$A308)</f>
        <v>0</v>
      </c>
      <c r="BT308" s="33">
        <f>SUMIFS('Data For Calculation - Insuranc'!J:J,'Data For Calculation - Insuranc'!$A:$A,$A308)</f>
        <v>0</v>
      </c>
      <c r="BU308" s="33">
        <f>SUMIFS('Data For Calculation - Insuranc'!K:K,'Data For Calculation - Insuranc'!$A:$A,$A308)</f>
        <v>0</v>
      </c>
      <c r="BV308" s="33">
        <f>IF($CC308 = "Dealer", SUMIFS('Data For Calculation - Insuranc'!I:I,'Data For Calculation - Insuranc'!$B:$B,$A308,'Data For Calculation - Insuranc'!$H:$H,"Master Dealer")) + SUMIFS('Data For Calculation - Insuranc'!I:I,'Data For Calculation - Insuranc'!$A:$A,$A308,'Data For Calculation - Insuranc'!$H:$H,"Self")</f>
        <v>0</v>
      </c>
      <c r="BW308" s="33">
        <f>IF($CC308 = "Dealer", SUMIFS('Data For Calculation - Insuranc'!J:J,'Data For Calculation - Insuranc'!$B:$B,$A308,'Data For Calculation - Insuranc'!$H:$H,"Master Dealer")) + SUMIFS('Data For Calculation - Insuranc'!J:J,'Data For Calculation - Insuranc'!$A:$A,$A308,'Data For Calculation - Insuranc'!$H:$H,"Self")</f>
        <v>0</v>
      </c>
      <c r="BX308" s="33">
        <f>IF($CC308 = "Dealer", SUMIFS('Data For Calculation - Insuranc'!K:K,'Data For Calculation - Insuranc'!$B:$B,$A308,'Data For Calculation - Insuranc'!$H:$H,"Master Dealer")) + SUMIFS('Data For Calculation - Insuranc'!K:K,'Data For Calculation - Insuranc'!$A:$A,$A308,'Data For Calculation - Insuranc'!$H:$H,"Self")</f>
        <v>0</v>
      </c>
      <c r="BY308" s="25" t="str">
        <f>(Sheet1!N308)</f>
        <v>JAI DURGA AUTOMOBILES - LAL KUAN</v>
      </c>
      <c r="BZ308" s="25" t="str">
        <f>(Sheet1!O308)</f>
        <v>1rxceCPc4ChTPFerx6ZXVu45MWGLeEOukTie7Dj7H2lI</v>
      </c>
      <c r="CA308" s="25" t="str">
        <f>(Sheet1!AV308)</f>
        <v/>
      </c>
      <c r="CB308" s="25" t="str">
        <f>(Sheet1!AW308)</f>
        <v/>
      </c>
      <c r="CC308" s="26" t="str">
        <f>(Sheet1!P308)</f>
        <v>Sub Dealer</v>
      </c>
    </row>
    <row r="309">
      <c r="A309" s="25" t="str">
        <f>(Sheet1!A309)</f>
        <v>1c4UpmPaXbD24g9f1d-SG1J5R0Bs6d07micvtytMfukg</v>
      </c>
      <c r="B309" s="25" t="str">
        <f>(Sheet1!B309)</f>
        <v>GOPAL AUTOMOBIE- NAJIBABAD</v>
      </c>
      <c r="C309" s="30" t="str">
        <f>Sheet1!BB309</f>
        <v>No</v>
      </c>
      <c r="D309" s="30" t="s">
        <v>13</v>
      </c>
      <c r="E309" s="34" t="s">
        <v>13</v>
      </c>
      <c r="F309" s="30" t="s">
        <v>3817</v>
      </c>
      <c r="G309" s="31">
        <v>290.0</v>
      </c>
      <c r="H309" s="34" t="s">
        <v>3853</v>
      </c>
      <c r="I309" s="34">
        <v>0.0</v>
      </c>
      <c r="J309" s="34">
        <v>100.0</v>
      </c>
      <c r="K309" s="34">
        <v>0.0</v>
      </c>
      <c r="L309" s="34">
        <v>0.0</v>
      </c>
      <c r="M309" s="33">
        <f>COUNTIFS('Data For Calculation - Insuranc'!A:A,A309,'Data For Calculation - Insuranc'!E:E,"CPA + RSA")</f>
        <v>0</v>
      </c>
      <c r="N309" s="30" t="s">
        <v>3854</v>
      </c>
      <c r="O309" s="31">
        <v>460.0</v>
      </c>
      <c r="P309" s="34" t="s">
        <v>3853</v>
      </c>
      <c r="Q309" s="34">
        <v>20.0</v>
      </c>
      <c r="R309" s="34">
        <v>60.0</v>
      </c>
      <c r="S309" s="34">
        <v>20.0</v>
      </c>
      <c r="T309" s="34">
        <v>20.0</v>
      </c>
      <c r="U309" s="33">
        <f>COUNTIFS('Data For Calculation - Insuranc'!A:A,A309,'Data For Calculation - Insuranc'!E:E,"CPA + RSA + AHDC + DOC")</f>
        <v>0</v>
      </c>
      <c r="V309" s="30" t="s">
        <v>3817</v>
      </c>
      <c r="W309" s="34">
        <v>838.99</v>
      </c>
      <c r="X309" s="34" t="s">
        <v>3853</v>
      </c>
      <c r="Y309" s="34">
        <v>0.0</v>
      </c>
      <c r="Z309" s="34">
        <v>100.0</v>
      </c>
      <c r="AA309" s="34">
        <v>0.0</v>
      </c>
      <c r="AB309" s="34">
        <v>0.0</v>
      </c>
      <c r="AC309" s="33">
        <f>COUNTIFS('Data For Calculation - Insuranc'!A:A,A309,'Data For Calculation - Insuranc'!E:E,"CPA + RSA : 5 Years")</f>
        <v>0</v>
      </c>
      <c r="AD309" s="30" t="s">
        <v>3817</v>
      </c>
      <c r="AE309" s="31">
        <v>838.99</v>
      </c>
      <c r="AF309" s="34" t="s">
        <v>3853</v>
      </c>
      <c r="AG309" s="34">
        <v>0.0</v>
      </c>
      <c r="AH309" s="34">
        <v>100.0</v>
      </c>
      <c r="AI309" s="34">
        <v>0.0</v>
      </c>
      <c r="AJ309" s="34">
        <v>0.0</v>
      </c>
      <c r="AK309" s="33">
        <f>COUNTIFS('Data For Calculation - Insuranc'!A:A,A309,'Data For Calculation - Insuranc'!E:E,"Assistance + CPA : 5 Years")</f>
        <v>0</v>
      </c>
      <c r="AL309" s="30" t="s">
        <v>3817</v>
      </c>
      <c r="AM309" s="31">
        <v>290.0</v>
      </c>
      <c r="AN309" s="34" t="s">
        <v>3853</v>
      </c>
      <c r="AO309" s="34">
        <v>0.0</v>
      </c>
      <c r="AP309" s="34">
        <v>100.0</v>
      </c>
      <c r="AQ309" s="34">
        <v>0.0</v>
      </c>
      <c r="AR309" s="34">
        <v>0.0</v>
      </c>
      <c r="AS309" s="33">
        <f>COUNTIFS('Data For Calculation - Insuranc'!A:A,A309,'Data For Calculation - Insuranc'!E:E,"RSA + AHDC + DOC")</f>
        <v>0</v>
      </c>
      <c r="AT309" s="33"/>
      <c r="AU309" s="33"/>
      <c r="AV309" s="33"/>
      <c r="AW309" s="33"/>
      <c r="AX309" s="33"/>
      <c r="AY309" s="33"/>
      <c r="AZ309" s="33"/>
      <c r="BA309" s="33"/>
      <c r="BB309" s="33"/>
      <c r="BC309" s="33"/>
      <c r="BD309" s="33"/>
      <c r="BE309" s="33"/>
      <c r="BF309" s="33"/>
      <c r="BG309" s="33"/>
      <c r="BH309" s="33"/>
      <c r="BI309" s="33"/>
      <c r="BJ309" s="33"/>
      <c r="BK309" s="33"/>
      <c r="BL309" s="33"/>
      <c r="BM309" s="33"/>
      <c r="BN309" s="33"/>
      <c r="BO309" s="33"/>
      <c r="BP309" s="33"/>
      <c r="BQ309" s="33"/>
      <c r="BR309" s="33">
        <f t="shared" si="1"/>
        <v>0</v>
      </c>
      <c r="BS309" s="33">
        <f>SUMIFS('Data For Calculation - Insuranc'!I:I,'Data For Calculation - Insuranc'!$A:$A,$A309)</f>
        <v>0</v>
      </c>
      <c r="BT309" s="33">
        <f>SUMIFS('Data For Calculation - Insuranc'!J:J,'Data For Calculation - Insuranc'!$A:$A,$A309)</f>
        <v>0</v>
      </c>
      <c r="BU309" s="33">
        <f>SUMIFS('Data For Calculation - Insuranc'!K:K,'Data For Calculation - Insuranc'!$A:$A,$A309)</f>
        <v>0</v>
      </c>
      <c r="BV309" s="33">
        <f>IF($CC309 = "Dealer", SUMIFS('Data For Calculation - Insuranc'!I:I,'Data For Calculation - Insuranc'!$B:$B,$A309,'Data For Calculation - Insuranc'!$H:$H,"Master Dealer")) + SUMIFS('Data For Calculation - Insuranc'!I:I,'Data For Calculation - Insuranc'!$A:$A,$A309,'Data For Calculation - Insuranc'!$H:$H,"Self")</f>
        <v>0</v>
      </c>
      <c r="BW309" s="33">
        <f>IF($CC309 = "Dealer", SUMIFS('Data For Calculation - Insuranc'!J:J,'Data For Calculation - Insuranc'!$B:$B,$A309,'Data For Calculation - Insuranc'!$H:$H,"Master Dealer")) + SUMIFS('Data For Calculation - Insuranc'!J:J,'Data For Calculation - Insuranc'!$A:$A,$A309,'Data For Calculation - Insuranc'!$H:$H,"Self")</f>
        <v>0</v>
      </c>
      <c r="BX309" s="33">
        <f>IF($CC309 = "Dealer", SUMIFS('Data For Calculation - Insuranc'!K:K,'Data For Calculation - Insuranc'!$B:$B,$A309,'Data For Calculation - Insuranc'!$H:$H,"Master Dealer")) + SUMIFS('Data For Calculation - Insuranc'!K:K,'Data For Calculation - Insuranc'!$A:$A,$A309,'Data For Calculation - Insuranc'!$H:$H,"Self")</f>
        <v>0</v>
      </c>
      <c r="BY309" s="25" t="str">
        <f>(Sheet1!N309)</f>
        <v>GOPAL AUTOMOBIE- NAJIBABAD</v>
      </c>
      <c r="BZ309" s="25" t="str">
        <f>(Sheet1!O309)</f>
        <v>1c4UpmPaXbD24g9f1d-SG1J5R0Bs6d07micvtytMfukg</v>
      </c>
      <c r="CA309" s="25" t="str">
        <f>(Sheet1!AV309)</f>
        <v/>
      </c>
      <c r="CB309" s="25" t="str">
        <f>(Sheet1!AW309)</f>
        <v/>
      </c>
      <c r="CC309" s="26" t="str">
        <f>(Sheet1!P309)</f>
        <v>Dealer</v>
      </c>
    </row>
    <row r="310">
      <c r="A310" s="25" t="str">
        <f>(Sheet1!A310)</f>
        <v>1nZkPZljbrv92nXg4QV5T4xeYzH3TvoYL_aCP-Dxrz3U</v>
      </c>
      <c r="B310" s="25" t="str">
        <f>(Sheet1!B310)</f>
        <v>EKAM TVS- PANCHKULA</v>
      </c>
      <c r="C310" s="30" t="str">
        <f>Sheet1!BB310</f>
        <v>Yes</v>
      </c>
      <c r="D310" s="30" t="s">
        <v>13</v>
      </c>
      <c r="E310" s="34" t="s">
        <v>13</v>
      </c>
      <c r="F310" s="30" t="s">
        <v>3817</v>
      </c>
      <c r="G310" s="31">
        <v>290.0</v>
      </c>
      <c r="H310" s="34" t="s">
        <v>3853</v>
      </c>
      <c r="I310" s="34">
        <v>0.0</v>
      </c>
      <c r="J310" s="34">
        <v>100.0</v>
      </c>
      <c r="K310" s="34">
        <v>0.0</v>
      </c>
      <c r="L310" s="34">
        <v>0.0</v>
      </c>
      <c r="M310" s="33">
        <f>COUNTIFS('Data For Calculation - Insuranc'!A:A,A310,'Data For Calculation - Insuranc'!E:E,"CPA + RSA")</f>
        <v>0</v>
      </c>
      <c r="N310" s="34" t="s">
        <v>3856</v>
      </c>
      <c r="O310" s="34">
        <v>100.0</v>
      </c>
      <c r="P310" s="34" t="s">
        <v>3855</v>
      </c>
      <c r="Q310" s="34">
        <v>2000.0</v>
      </c>
      <c r="R310" s="34">
        <v>0.0</v>
      </c>
      <c r="S310" s="34">
        <v>100.0</v>
      </c>
      <c r="T310" s="34">
        <v>0.0</v>
      </c>
      <c r="U310" s="33">
        <f>COUNTIFS('Data For Calculation - Insuranc'!A:A,A310,'Data For Calculation - Insuranc'!E:E,"CPA + RSA + AHDC + DOC")</f>
        <v>0</v>
      </c>
      <c r="V310" s="30" t="s">
        <v>3817</v>
      </c>
      <c r="W310" s="34">
        <v>838.99</v>
      </c>
      <c r="X310" s="34" t="s">
        <v>3853</v>
      </c>
      <c r="Y310" s="34">
        <v>0.0</v>
      </c>
      <c r="Z310" s="34">
        <v>100.0</v>
      </c>
      <c r="AA310" s="34">
        <v>0.0</v>
      </c>
      <c r="AB310" s="34">
        <v>0.0</v>
      </c>
      <c r="AC310" s="33">
        <f>COUNTIFS('Data For Calculation - Insuranc'!A:A,A310,'Data For Calculation - Insuranc'!E:E,"CPA + RSA : 5 Years")</f>
        <v>0</v>
      </c>
      <c r="AD310" s="30" t="s">
        <v>3817</v>
      </c>
      <c r="AE310" s="31">
        <v>838.99</v>
      </c>
      <c r="AF310" s="34" t="s">
        <v>3853</v>
      </c>
      <c r="AG310" s="34">
        <v>0.0</v>
      </c>
      <c r="AH310" s="34">
        <v>100.0</v>
      </c>
      <c r="AI310" s="34">
        <v>0.0</v>
      </c>
      <c r="AJ310" s="34">
        <v>0.0</v>
      </c>
      <c r="AK310" s="33">
        <f>COUNTIFS('Data For Calculation - Insuranc'!A:A,A310,'Data For Calculation - Insuranc'!E:E,"Assistance + CPA : 5 Years")</f>
        <v>0</v>
      </c>
      <c r="AL310" s="34" t="s">
        <v>3856</v>
      </c>
      <c r="AM310" s="34">
        <v>100.0</v>
      </c>
      <c r="AN310" s="34" t="s">
        <v>3855</v>
      </c>
      <c r="AO310" s="34">
        <v>2000.0</v>
      </c>
      <c r="AP310" s="34">
        <v>0.0</v>
      </c>
      <c r="AQ310" s="34">
        <v>100.0</v>
      </c>
      <c r="AR310" s="34">
        <v>0.0</v>
      </c>
      <c r="AS310" s="33">
        <f>COUNTIFS('Data For Calculation - Insuranc'!A:A,A310,'Data For Calculation - Insuranc'!E:E,"RSA + AHDC + DOC")</f>
        <v>0</v>
      </c>
      <c r="AT310" s="33"/>
      <c r="AU310" s="33"/>
      <c r="AV310" s="33"/>
      <c r="AW310" s="33"/>
      <c r="AX310" s="33"/>
      <c r="AY310" s="33"/>
      <c r="AZ310" s="33"/>
      <c r="BA310" s="33"/>
      <c r="BB310" s="33"/>
      <c r="BC310" s="33"/>
      <c r="BD310" s="33"/>
      <c r="BE310" s="33"/>
      <c r="BF310" s="33"/>
      <c r="BG310" s="33"/>
      <c r="BH310" s="33"/>
      <c r="BI310" s="33"/>
      <c r="BJ310" s="33"/>
      <c r="BK310" s="33"/>
      <c r="BL310" s="33"/>
      <c r="BM310" s="33"/>
      <c r="BN310" s="33"/>
      <c r="BO310" s="33"/>
      <c r="BP310" s="33"/>
      <c r="BQ310" s="33"/>
      <c r="BR310" s="33">
        <f t="shared" si="1"/>
        <v>0</v>
      </c>
      <c r="BS310" s="33">
        <f>SUMIFS('Data For Calculation - Insuranc'!I:I,'Data For Calculation - Insuranc'!$A:$A,$A310)</f>
        <v>0</v>
      </c>
      <c r="BT310" s="33">
        <f>SUMIFS('Data For Calculation - Insuranc'!J:J,'Data For Calculation - Insuranc'!$A:$A,$A310)</f>
        <v>0</v>
      </c>
      <c r="BU310" s="33">
        <f>SUMIFS('Data For Calculation - Insuranc'!K:K,'Data For Calculation - Insuranc'!$A:$A,$A310)</f>
        <v>0</v>
      </c>
      <c r="BV310" s="33">
        <f>IF($CC310 = "Dealer", SUMIFS('Data For Calculation - Insuranc'!I:I,'Data For Calculation - Insuranc'!$B:$B,$A310,'Data For Calculation - Insuranc'!$H:$H,"Master Dealer")) + SUMIFS('Data For Calculation - Insuranc'!I:I,'Data For Calculation - Insuranc'!$A:$A,$A310,'Data For Calculation - Insuranc'!$H:$H,"Self")</f>
        <v>0</v>
      </c>
      <c r="BW310" s="33">
        <f>IF($CC310 = "Dealer", SUMIFS('Data For Calculation - Insuranc'!J:J,'Data For Calculation - Insuranc'!$B:$B,$A310,'Data For Calculation - Insuranc'!$H:$H,"Master Dealer")) + SUMIFS('Data For Calculation - Insuranc'!J:J,'Data For Calculation - Insuranc'!$A:$A,$A310,'Data For Calculation - Insuranc'!$H:$H,"Self")</f>
        <v>0</v>
      </c>
      <c r="BX310" s="33">
        <f>IF($CC310 = "Dealer", SUMIFS('Data For Calculation - Insuranc'!K:K,'Data For Calculation - Insuranc'!$B:$B,$A310,'Data For Calculation - Insuranc'!$H:$H,"Master Dealer")) + SUMIFS('Data For Calculation - Insuranc'!K:K,'Data For Calculation - Insuranc'!$A:$A,$A310,'Data For Calculation - Insuranc'!$H:$H,"Self")</f>
        <v>0</v>
      </c>
      <c r="BY310" s="25" t="str">
        <f>(Sheet1!N310)</f>
        <v>EKAM TVS- PANCHKULA</v>
      </c>
      <c r="BZ310" s="25" t="str">
        <f>(Sheet1!O310)</f>
        <v>1nZkPZljbrv92nXg4QV5T4xeYzH3TvoYL_aCP-Dxrz3U</v>
      </c>
      <c r="CA310" s="25" t="str">
        <f>(Sheet1!AV310)</f>
        <v/>
      </c>
      <c r="CB310" s="25" t="str">
        <f>(Sheet1!AW310)</f>
        <v/>
      </c>
      <c r="CC310" s="26" t="str">
        <f>(Sheet1!P310)</f>
        <v>Dealer</v>
      </c>
    </row>
    <row r="311">
      <c r="A311" s="25" t="str">
        <f>(Sheet1!A311)</f>
        <v>10WPh_WCplOI3MhoycaJcKr3lYMretoJR3ta-W3F9m_c</v>
      </c>
      <c r="B311" s="25" t="str">
        <f>(Sheet1!B311)</f>
        <v>SANSAAR HONDA- HARIDWAR</v>
      </c>
      <c r="C311" s="30" t="str">
        <f>Sheet1!BB311</f>
        <v>No</v>
      </c>
      <c r="D311" s="30" t="s">
        <v>13</v>
      </c>
      <c r="E311" s="34" t="s">
        <v>13</v>
      </c>
      <c r="F311" s="30" t="s">
        <v>3817</v>
      </c>
      <c r="G311" s="31">
        <v>290.0</v>
      </c>
      <c r="H311" s="34" t="s">
        <v>3853</v>
      </c>
      <c r="I311" s="34">
        <v>0.0</v>
      </c>
      <c r="J311" s="34">
        <v>100.0</v>
      </c>
      <c r="K311" s="34">
        <v>0.0</v>
      </c>
      <c r="L311" s="34">
        <v>0.0</v>
      </c>
      <c r="M311" s="33">
        <f>COUNTIFS('Data For Calculation - Insuranc'!A:A,A311,'Data For Calculation - Insuranc'!E:E,"CPA + RSA")</f>
        <v>0</v>
      </c>
      <c r="N311" s="30" t="s">
        <v>3854</v>
      </c>
      <c r="O311" s="31">
        <v>460.0</v>
      </c>
      <c r="P311" s="34" t="s">
        <v>3853</v>
      </c>
      <c r="Q311" s="34">
        <v>20.0</v>
      </c>
      <c r="R311" s="34">
        <v>60.0</v>
      </c>
      <c r="S311" s="34">
        <v>20.0</v>
      </c>
      <c r="T311" s="34">
        <v>20.0</v>
      </c>
      <c r="U311" s="33">
        <f>COUNTIFS('Data For Calculation - Insuranc'!A:A,A311,'Data For Calculation - Insuranc'!E:E,"CPA + RSA + AHDC + DOC")</f>
        <v>0</v>
      </c>
      <c r="V311" s="30" t="s">
        <v>3817</v>
      </c>
      <c r="W311" s="34">
        <v>838.99</v>
      </c>
      <c r="X311" s="34" t="s">
        <v>3853</v>
      </c>
      <c r="Y311" s="34">
        <v>0.0</v>
      </c>
      <c r="Z311" s="34">
        <v>100.0</v>
      </c>
      <c r="AA311" s="34">
        <v>0.0</v>
      </c>
      <c r="AB311" s="34">
        <v>0.0</v>
      </c>
      <c r="AC311" s="33">
        <f>COUNTIFS('Data For Calculation - Insuranc'!A:A,A311,'Data For Calculation - Insuranc'!E:E,"CPA + RSA : 5 Years")</f>
        <v>0</v>
      </c>
      <c r="AD311" s="30" t="s">
        <v>3817</v>
      </c>
      <c r="AE311" s="31">
        <v>838.99</v>
      </c>
      <c r="AF311" s="34" t="s">
        <v>3853</v>
      </c>
      <c r="AG311" s="34">
        <v>0.0</v>
      </c>
      <c r="AH311" s="34">
        <v>100.0</v>
      </c>
      <c r="AI311" s="34">
        <v>0.0</v>
      </c>
      <c r="AJ311" s="34">
        <v>0.0</v>
      </c>
      <c r="AK311" s="33">
        <f>COUNTIFS('Data For Calculation - Insuranc'!A:A,A311,'Data For Calculation - Insuranc'!E:E,"Assistance + CPA : 5 Years")</f>
        <v>0</v>
      </c>
      <c r="AL311" s="30" t="s">
        <v>3817</v>
      </c>
      <c r="AM311" s="31">
        <v>290.0</v>
      </c>
      <c r="AN311" s="34" t="s">
        <v>3853</v>
      </c>
      <c r="AO311" s="34">
        <v>0.0</v>
      </c>
      <c r="AP311" s="34">
        <v>100.0</v>
      </c>
      <c r="AQ311" s="34">
        <v>0.0</v>
      </c>
      <c r="AR311" s="34">
        <v>0.0</v>
      </c>
      <c r="AS311" s="33">
        <f>COUNTIFS('Data For Calculation - Insuranc'!A:A,A311,'Data For Calculation - Insuranc'!E:E,"RSA + AHDC + DOC")</f>
        <v>0</v>
      </c>
      <c r="AT311" s="33"/>
      <c r="AU311" s="33"/>
      <c r="AV311" s="33"/>
      <c r="AW311" s="33"/>
      <c r="AX311" s="33"/>
      <c r="AY311" s="33"/>
      <c r="AZ311" s="33"/>
      <c r="BA311" s="33"/>
      <c r="BB311" s="33"/>
      <c r="BC311" s="33"/>
      <c r="BD311" s="33"/>
      <c r="BE311" s="33"/>
      <c r="BF311" s="33"/>
      <c r="BG311" s="33"/>
      <c r="BH311" s="33"/>
      <c r="BI311" s="33"/>
      <c r="BJ311" s="33"/>
      <c r="BK311" s="33"/>
      <c r="BL311" s="33"/>
      <c r="BM311" s="33"/>
      <c r="BN311" s="33"/>
      <c r="BO311" s="33"/>
      <c r="BP311" s="33"/>
      <c r="BQ311" s="33"/>
      <c r="BR311" s="33">
        <f t="shared" si="1"/>
        <v>0</v>
      </c>
      <c r="BS311" s="33">
        <f>SUMIFS('Data For Calculation - Insuranc'!I:I,'Data For Calculation - Insuranc'!$A:$A,$A311)</f>
        <v>0</v>
      </c>
      <c r="BT311" s="33">
        <f>SUMIFS('Data For Calculation - Insuranc'!J:J,'Data For Calculation - Insuranc'!$A:$A,$A311)</f>
        <v>0</v>
      </c>
      <c r="BU311" s="33">
        <f>SUMIFS('Data For Calculation - Insuranc'!K:K,'Data For Calculation - Insuranc'!$A:$A,$A311)</f>
        <v>0</v>
      </c>
      <c r="BV311" s="33">
        <f>IF($CC311 = "Dealer", SUMIFS('Data For Calculation - Insuranc'!I:I,'Data For Calculation - Insuranc'!$B:$B,$A311,'Data For Calculation - Insuranc'!$H:$H,"Master Dealer")) + SUMIFS('Data For Calculation - Insuranc'!I:I,'Data For Calculation - Insuranc'!$A:$A,$A311,'Data For Calculation - Insuranc'!$H:$H,"Self")</f>
        <v>0</v>
      </c>
      <c r="BW311" s="33">
        <f>IF($CC311 = "Dealer", SUMIFS('Data For Calculation - Insuranc'!J:J,'Data For Calculation - Insuranc'!$B:$B,$A311,'Data For Calculation - Insuranc'!$H:$H,"Master Dealer")) + SUMIFS('Data For Calculation - Insuranc'!J:J,'Data For Calculation - Insuranc'!$A:$A,$A311,'Data For Calculation - Insuranc'!$H:$H,"Self")</f>
        <v>0</v>
      </c>
      <c r="BX311" s="33">
        <f>IF($CC311 = "Dealer", SUMIFS('Data For Calculation - Insuranc'!K:K,'Data For Calculation - Insuranc'!$B:$B,$A311,'Data For Calculation - Insuranc'!$H:$H,"Master Dealer")) + SUMIFS('Data For Calculation - Insuranc'!K:K,'Data For Calculation - Insuranc'!$A:$A,$A311,'Data For Calculation - Insuranc'!$H:$H,"Self")</f>
        <v>0</v>
      </c>
      <c r="BY311" s="25" t="str">
        <f>(Sheet1!N311)</f>
        <v>SANSAAR HONDA- HARIDWAR</v>
      </c>
      <c r="BZ311" s="25" t="str">
        <f>(Sheet1!O311)</f>
        <v>10WPh_WCplOI3MhoycaJcKr3lYMretoJR3ta-W3F9m_c</v>
      </c>
      <c r="CA311" s="25" t="str">
        <f>(Sheet1!AV311)</f>
        <v/>
      </c>
      <c r="CB311" s="25" t="str">
        <f>(Sheet1!AW311)</f>
        <v/>
      </c>
      <c r="CC311" s="26" t="str">
        <f>(Sheet1!P311)</f>
        <v>Dealer</v>
      </c>
    </row>
    <row r="312">
      <c r="A312" s="25" t="str">
        <f>(Sheet1!A312)</f>
        <v>1Ymh97cWP9AVJD4TFdCUxIgPTHzjxbv5sRAkjPizS2d8</v>
      </c>
      <c r="B312" s="25" t="str">
        <f>(Sheet1!B312)</f>
        <v>TWIN CITY -KHANNA</v>
      </c>
      <c r="C312" s="30" t="str">
        <f>Sheet1!BB312</f>
        <v>No</v>
      </c>
      <c r="D312" s="30" t="s">
        <v>13</v>
      </c>
      <c r="E312" s="34" t="s">
        <v>13</v>
      </c>
      <c r="F312" s="30" t="s">
        <v>3817</v>
      </c>
      <c r="G312" s="31">
        <v>290.0</v>
      </c>
      <c r="H312" s="34" t="s">
        <v>3853</v>
      </c>
      <c r="I312" s="34">
        <v>0.0</v>
      </c>
      <c r="J312" s="34">
        <v>100.0</v>
      </c>
      <c r="K312" s="34">
        <v>0.0</v>
      </c>
      <c r="L312" s="34">
        <v>0.0</v>
      </c>
      <c r="M312" s="33">
        <f>COUNTIFS('Data For Calculation - Insuranc'!A:A,A312,'Data For Calculation - Insuranc'!E:E,"CPA + RSA")</f>
        <v>0</v>
      </c>
      <c r="N312" s="30" t="s">
        <v>3854</v>
      </c>
      <c r="O312" s="31">
        <v>460.0</v>
      </c>
      <c r="P312" s="34" t="s">
        <v>3853</v>
      </c>
      <c r="Q312" s="34">
        <v>20.0</v>
      </c>
      <c r="R312" s="34">
        <v>60.0</v>
      </c>
      <c r="S312" s="34">
        <v>20.0</v>
      </c>
      <c r="T312" s="34">
        <v>20.0</v>
      </c>
      <c r="U312" s="33">
        <f>COUNTIFS('Data For Calculation - Insuranc'!A:A,A312,'Data For Calculation - Insuranc'!E:E,"CPA + RSA + AHDC + DOC")</f>
        <v>0</v>
      </c>
      <c r="V312" s="30" t="s">
        <v>3817</v>
      </c>
      <c r="W312" s="34">
        <v>838.99</v>
      </c>
      <c r="X312" s="34" t="s">
        <v>3853</v>
      </c>
      <c r="Y312" s="34">
        <v>0.0</v>
      </c>
      <c r="Z312" s="34">
        <v>100.0</v>
      </c>
      <c r="AA312" s="34">
        <v>0.0</v>
      </c>
      <c r="AB312" s="34">
        <v>0.0</v>
      </c>
      <c r="AC312" s="33">
        <f>COUNTIFS('Data For Calculation - Insuranc'!A:A,A312,'Data For Calculation - Insuranc'!E:E,"CPA + RSA : 5 Years")</f>
        <v>0</v>
      </c>
      <c r="AD312" s="30" t="s">
        <v>3817</v>
      </c>
      <c r="AE312" s="31">
        <v>838.99</v>
      </c>
      <c r="AF312" s="34" t="s">
        <v>3853</v>
      </c>
      <c r="AG312" s="34">
        <v>0.0</v>
      </c>
      <c r="AH312" s="34">
        <v>100.0</v>
      </c>
      <c r="AI312" s="34">
        <v>0.0</v>
      </c>
      <c r="AJ312" s="34">
        <v>0.0</v>
      </c>
      <c r="AK312" s="33">
        <f>COUNTIFS('Data For Calculation - Insuranc'!A:A,A312,'Data For Calculation - Insuranc'!E:E,"Assistance + CPA : 5 Years")</f>
        <v>0</v>
      </c>
      <c r="AL312" s="30" t="s">
        <v>3817</v>
      </c>
      <c r="AM312" s="31">
        <v>290.0</v>
      </c>
      <c r="AN312" s="34" t="s">
        <v>3853</v>
      </c>
      <c r="AO312" s="34">
        <v>0.0</v>
      </c>
      <c r="AP312" s="34">
        <v>100.0</v>
      </c>
      <c r="AQ312" s="34">
        <v>0.0</v>
      </c>
      <c r="AR312" s="34">
        <v>0.0</v>
      </c>
      <c r="AS312" s="33">
        <f>COUNTIFS('Data For Calculation - Insuranc'!A:A,A312,'Data For Calculation - Insuranc'!E:E,"RSA + AHDC + DOC")</f>
        <v>0</v>
      </c>
      <c r="AT312" s="33"/>
      <c r="AU312" s="33"/>
      <c r="AV312" s="33"/>
      <c r="AW312" s="33"/>
      <c r="AX312" s="33"/>
      <c r="AY312" s="33"/>
      <c r="AZ312" s="33"/>
      <c r="BA312" s="33"/>
      <c r="BB312" s="33"/>
      <c r="BC312" s="33"/>
      <c r="BD312" s="33"/>
      <c r="BE312" s="33"/>
      <c r="BF312" s="33"/>
      <c r="BG312" s="33"/>
      <c r="BH312" s="33"/>
      <c r="BI312" s="33"/>
      <c r="BJ312" s="33"/>
      <c r="BK312" s="33"/>
      <c r="BL312" s="33"/>
      <c r="BM312" s="33"/>
      <c r="BN312" s="33"/>
      <c r="BO312" s="33"/>
      <c r="BP312" s="33"/>
      <c r="BQ312" s="33"/>
      <c r="BR312" s="33">
        <f t="shared" si="1"/>
        <v>0</v>
      </c>
      <c r="BS312" s="33">
        <f>SUMIFS('Data For Calculation - Insuranc'!I:I,'Data For Calculation - Insuranc'!$A:$A,$A312)</f>
        <v>0</v>
      </c>
      <c r="BT312" s="33">
        <f>SUMIFS('Data For Calculation - Insuranc'!J:J,'Data For Calculation - Insuranc'!$A:$A,$A312)</f>
        <v>0</v>
      </c>
      <c r="BU312" s="33">
        <f>SUMIFS('Data For Calculation - Insuranc'!K:K,'Data For Calculation - Insuranc'!$A:$A,$A312)</f>
        <v>0</v>
      </c>
      <c r="BV312" s="33">
        <f>IF($CC312 = "Dealer", SUMIFS('Data For Calculation - Insuranc'!I:I,'Data For Calculation - Insuranc'!$B:$B,$A312,'Data For Calculation - Insuranc'!$H:$H,"Master Dealer")) + SUMIFS('Data For Calculation - Insuranc'!I:I,'Data For Calculation - Insuranc'!$A:$A,$A312,'Data For Calculation - Insuranc'!$H:$H,"Self")</f>
        <v>0</v>
      </c>
      <c r="BW312" s="33">
        <f>IF($CC312 = "Dealer", SUMIFS('Data For Calculation - Insuranc'!J:J,'Data For Calculation - Insuranc'!$B:$B,$A312,'Data For Calculation - Insuranc'!$H:$H,"Master Dealer")) + SUMIFS('Data For Calculation - Insuranc'!J:J,'Data For Calculation - Insuranc'!$A:$A,$A312,'Data For Calculation - Insuranc'!$H:$H,"Self")</f>
        <v>0</v>
      </c>
      <c r="BX312" s="33">
        <f>IF($CC312 = "Dealer", SUMIFS('Data For Calculation - Insuranc'!K:K,'Data For Calculation - Insuranc'!$B:$B,$A312,'Data For Calculation - Insuranc'!$H:$H,"Master Dealer")) + SUMIFS('Data For Calculation - Insuranc'!K:K,'Data For Calculation - Insuranc'!$A:$A,$A312,'Data For Calculation - Insuranc'!$H:$H,"Self")</f>
        <v>0</v>
      </c>
      <c r="BY312" s="25" t="str">
        <f>(Sheet1!N312)</f>
        <v>TWIN CITY -KHANNA</v>
      </c>
      <c r="BZ312" s="25" t="str">
        <f>(Sheet1!O312)</f>
        <v>1Ymh97cWP9AVJD4TFdCUxIgPTHzjxbv5sRAkjPizS2d8</v>
      </c>
      <c r="CA312" s="25" t="str">
        <f>(Sheet1!AV312)</f>
        <v/>
      </c>
      <c r="CB312" s="25" t="str">
        <f>(Sheet1!AW312)</f>
        <v/>
      </c>
      <c r="CC312" s="26" t="str">
        <f>(Sheet1!P312)</f>
        <v>Dealer</v>
      </c>
    </row>
    <row r="313">
      <c r="A313" s="25" t="str">
        <f>(Sheet1!A313)</f>
        <v>1EeVOkHOYV7m-TXPjCFcVuyRfOfG243WHv6SdA9sNNrA</v>
      </c>
      <c r="B313" s="25" t="str">
        <f>(Sheet1!B313)</f>
        <v>PREM AUTO - HARIDWAR</v>
      </c>
      <c r="C313" s="30" t="str">
        <f>Sheet1!BB313</f>
        <v>No</v>
      </c>
      <c r="D313" s="30" t="s">
        <v>13</v>
      </c>
      <c r="E313" s="34" t="s">
        <v>13</v>
      </c>
      <c r="F313" s="30" t="s">
        <v>3817</v>
      </c>
      <c r="G313" s="31">
        <v>290.0</v>
      </c>
      <c r="H313" s="34" t="s">
        <v>3853</v>
      </c>
      <c r="I313" s="34">
        <v>0.0</v>
      </c>
      <c r="J313" s="34">
        <v>100.0</v>
      </c>
      <c r="K313" s="34">
        <v>0.0</v>
      </c>
      <c r="L313" s="34">
        <v>0.0</v>
      </c>
      <c r="M313" s="33">
        <f>COUNTIFS('Data For Calculation - Insuranc'!A:A,A313,'Data For Calculation - Insuranc'!E:E,"CPA + RSA")</f>
        <v>0</v>
      </c>
      <c r="N313" s="30" t="s">
        <v>3854</v>
      </c>
      <c r="O313" s="31">
        <v>460.0</v>
      </c>
      <c r="P313" s="34" t="s">
        <v>3853</v>
      </c>
      <c r="Q313" s="34">
        <v>20.0</v>
      </c>
      <c r="R313" s="34">
        <v>60.0</v>
      </c>
      <c r="S313" s="34">
        <v>20.0</v>
      </c>
      <c r="T313" s="34">
        <v>20.0</v>
      </c>
      <c r="U313" s="33">
        <f>COUNTIFS('Data For Calculation - Insuranc'!A:A,A313,'Data For Calculation - Insuranc'!E:E,"CPA + RSA + AHDC + DOC")</f>
        <v>0</v>
      </c>
      <c r="V313" s="30" t="s">
        <v>3817</v>
      </c>
      <c r="W313" s="34">
        <v>838.99</v>
      </c>
      <c r="X313" s="34" t="s">
        <v>3853</v>
      </c>
      <c r="Y313" s="34">
        <v>0.0</v>
      </c>
      <c r="Z313" s="34">
        <v>100.0</v>
      </c>
      <c r="AA313" s="34">
        <v>0.0</v>
      </c>
      <c r="AB313" s="34">
        <v>0.0</v>
      </c>
      <c r="AC313" s="33">
        <f>COUNTIFS('Data For Calculation - Insuranc'!A:A,A313,'Data For Calculation - Insuranc'!E:E,"CPA + RSA : 5 Years")</f>
        <v>0</v>
      </c>
      <c r="AD313" s="30" t="s">
        <v>3817</v>
      </c>
      <c r="AE313" s="31">
        <v>838.99</v>
      </c>
      <c r="AF313" s="34" t="s">
        <v>3853</v>
      </c>
      <c r="AG313" s="34">
        <v>0.0</v>
      </c>
      <c r="AH313" s="34">
        <v>100.0</v>
      </c>
      <c r="AI313" s="34">
        <v>0.0</v>
      </c>
      <c r="AJ313" s="34">
        <v>0.0</v>
      </c>
      <c r="AK313" s="33">
        <f>COUNTIFS('Data For Calculation - Insuranc'!A:A,A313,'Data For Calculation - Insuranc'!E:E,"Assistance + CPA : 5 Years")</f>
        <v>0</v>
      </c>
      <c r="AL313" s="30" t="s">
        <v>3817</v>
      </c>
      <c r="AM313" s="31">
        <v>290.0</v>
      </c>
      <c r="AN313" s="34" t="s">
        <v>3853</v>
      </c>
      <c r="AO313" s="34">
        <v>0.0</v>
      </c>
      <c r="AP313" s="34">
        <v>100.0</v>
      </c>
      <c r="AQ313" s="34">
        <v>0.0</v>
      </c>
      <c r="AR313" s="34">
        <v>0.0</v>
      </c>
      <c r="AS313" s="33">
        <f>COUNTIFS('Data For Calculation - Insuranc'!A:A,A313,'Data For Calculation - Insuranc'!E:E,"RSA + AHDC + DOC")</f>
        <v>0</v>
      </c>
      <c r="AT313" s="33"/>
      <c r="AU313" s="33"/>
      <c r="AV313" s="33"/>
      <c r="AW313" s="33"/>
      <c r="AX313" s="33"/>
      <c r="AY313" s="33"/>
      <c r="AZ313" s="33"/>
      <c r="BA313" s="33"/>
      <c r="BB313" s="33"/>
      <c r="BC313" s="33"/>
      <c r="BD313" s="33"/>
      <c r="BE313" s="33"/>
      <c r="BF313" s="33"/>
      <c r="BG313" s="33"/>
      <c r="BH313" s="33"/>
      <c r="BI313" s="33"/>
      <c r="BJ313" s="33"/>
      <c r="BK313" s="33"/>
      <c r="BL313" s="33"/>
      <c r="BM313" s="33"/>
      <c r="BN313" s="33"/>
      <c r="BO313" s="33"/>
      <c r="BP313" s="33"/>
      <c r="BQ313" s="33"/>
      <c r="BR313" s="33">
        <f t="shared" si="1"/>
        <v>0</v>
      </c>
      <c r="BS313" s="33">
        <f>SUMIFS('Data For Calculation - Insuranc'!I:I,'Data For Calculation - Insuranc'!$A:$A,$A313)</f>
        <v>0</v>
      </c>
      <c r="BT313" s="33">
        <f>SUMIFS('Data For Calculation - Insuranc'!J:J,'Data For Calculation - Insuranc'!$A:$A,$A313)</f>
        <v>0</v>
      </c>
      <c r="BU313" s="33">
        <f>SUMIFS('Data For Calculation - Insuranc'!K:K,'Data For Calculation - Insuranc'!$A:$A,$A313)</f>
        <v>0</v>
      </c>
      <c r="BV313" s="33">
        <f>IF($CC313 = "Dealer", SUMIFS('Data For Calculation - Insuranc'!I:I,'Data For Calculation - Insuranc'!$B:$B,$A313,'Data For Calculation - Insuranc'!$H:$H,"Master Dealer")) + SUMIFS('Data For Calculation - Insuranc'!I:I,'Data For Calculation - Insuranc'!$A:$A,$A313,'Data For Calculation - Insuranc'!$H:$H,"Self")</f>
        <v>0</v>
      </c>
      <c r="BW313" s="33">
        <f>IF($CC313 = "Dealer", SUMIFS('Data For Calculation - Insuranc'!J:J,'Data For Calculation - Insuranc'!$B:$B,$A313,'Data For Calculation - Insuranc'!$H:$H,"Master Dealer")) + SUMIFS('Data For Calculation - Insuranc'!J:J,'Data For Calculation - Insuranc'!$A:$A,$A313,'Data For Calculation - Insuranc'!$H:$H,"Self")</f>
        <v>0</v>
      </c>
      <c r="BX313" s="33">
        <f>IF($CC313 = "Dealer", SUMIFS('Data For Calculation - Insuranc'!K:K,'Data For Calculation - Insuranc'!$B:$B,$A313,'Data For Calculation - Insuranc'!$H:$H,"Master Dealer")) + SUMIFS('Data For Calculation - Insuranc'!K:K,'Data For Calculation - Insuranc'!$A:$A,$A313,'Data For Calculation - Insuranc'!$H:$H,"Self")</f>
        <v>0</v>
      </c>
      <c r="BY313" s="25" t="str">
        <f>(Sheet1!N313)</f>
        <v>PREM AUTO - HARIDWAR</v>
      </c>
      <c r="BZ313" s="25" t="str">
        <f>(Sheet1!O313)</f>
        <v>1EeVOkHOYV7m-TXPjCFcVuyRfOfG243WHv6SdA9sNNrA</v>
      </c>
      <c r="CA313" s="25" t="str">
        <f>(Sheet1!AV313)</f>
        <v/>
      </c>
      <c r="CB313" s="25" t="str">
        <f>(Sheet1!AW313)</f>
        <v/>
      </c>
      <c r="CC313" s="26" t="str">
        <f>(Sheet1!P313)</f>
        <v>Dealer</v>
      </c>
    </row>
    <row r="314">
      <c r="A314" s="25" t="str">
        <f>(Sheet1!A314)</f>
        <v>1HFkcA0tba7UnCoWEw5R4dohMFqwhpltBBsuWOiWeruA</v>
      </c>
      <c r="B314" s="25" t="str">
        <f>(Sheet1!B314)</f>
        <v>LAKHVINDRA KASHIPUR</v>
      </c>
      <c r="C314" s="30" t="str">
        <f>Sheet1!BB314</f>
        <v>No</v>
      </c>
      <c r="D314" s="30" t="s">
        <v>13</v>
      </c>
      <c r="E314" s="34" t="s">
        <v>13</v>
      </c>
      <c r="F314" s="30" t="s">
        <v>3817</v>
      </c>
      <c r="G314" s="31">
        <v>290.0</v>
      </c>
      <c r="H314" s="34" t="s">
        <v>3853</v>
      </c>
      <c r="I314" s="34">
        <v>0.0</v>
      </c>
      <c r="J314" s="34">
        <v>100.0</v>
      </c>
      <c r="K314" s="34">
        <v>0.0</v>
      </c>
      <c r="L314" s="34">
        <v>0.0</v>
      </c>
      <c r="M314" s="33">
        <f>COUNTIFS('Data For Calculation - Insuranc'!A:A,A314,'Data For Calculation - Insuranc'!E:E,"CPA + RSA")</f>
        <v>0</v>
      </c>
      <c r="N314" s="30" t="s">
        <v>3854</v>
      </c>
      <c r="O314" s="31">
        <v>460.0</v>
      </c>
      <c r="P314" s="34" t="s">
        <v>3853</v>
      </c>
      <c r="Q314" s="34">
        <v>20.0</v>
      </c>
      <c r="R314" s="34">
        <v>60.0</v>
      </c>
      <c r="S314" s="34">
        <v>20.0</v>
      </c>
      <c r="T314" s="34">
        <v>20.0</v>
      </c>
      <c r="U314" s="33">
        <f>COUNTIFS('Data For Calculation - Insuranc'!A:A,A314,'Data For Calculation - Insuranc'!E:E,"CPA + RSA + AHDC + DOC")</f>
        <v>0</v>
      </c>
      <c r="V314" s="30" t="s">
        <v>3817</v>
      </c>
      <c r="W314" s="34">
        <v>838.99</v>
      </c>
      <c r="X314" s="34" t="s">
        <v>3853</v>
      </c>
      <c r="Y314" s="34">
        <v>0.0</v>
      </c>
      <c r="Z314" s="34">
        <v>100.0</v>
      </c>
      <c r="AA314" s="34">
        <v>0.0</v>
      </c>
      <c r="AB314" s="34">
        <v>0.0</v>
      </c>
      <c r="AC314" s="33">
        <f>COUNTIFS('Data For Calculation - Insuranc'!A:A,A314,'Data For Calculation - Insuranc'!E:E,"CPA + RSA : 5 Years")</f>
        <v>0</v>
      </c>
      <c r="AD314" s="30" t="s">
        <v>3817</v>
      </c>
      <c r="AE314" s="31">
        <v>838.99</v>
      </c>
      <c r="AF314" s="34" t="s">
        <v>3853</v>
      </c>
      <c r="AG314" s="34">
        <v>0.0</v>
      </c>
      <c r="AH314" s="34">
        <v>100.0</v>
      </c>
      <c r="AI314" s="34">
        <v>0.0</v>
      </c>
      <c r="AJ314" s="34">
        <v>0.0</v>
      </c>
      <c r="AK314" s="33">
        <f>COUNTIFS('Data For Calculation - Insuranc'!A:A,A314,'Data For Calculation - Insuranc'!E:E,"Assistance + CPA : 5 Years")</f>
        <v>0</v>
      </c>
      <c r="AL314" s="30" t="s">
        <v>3817</v>
      </c>
      <c r="AM314" s="31">
        <v>290.0</v>
      </c>
      <c r="AN314" s="34" t="s">
        <v>3853</v>
      </c>
      <c r="AO314" s="34">
        <v>0.0</v>
      </c>
      <c r="AP314" s="34">
        <v>100.0</v>
      </c>
      <c r="AQ314" s="34">
        <v>0.0</v>
      </c>
      <c r="AR314" s="34">
        <v>0.0</v>
      </c>
      <c r="AS314" s="33">
        <f>COUNTIFS('Data For Calculation - Insuranc'!A:A,A314,'Data For Calculation - Insuranc'!E:E,"RSA + AHDC + DOC")</f>
        <v>0</v>
      </c>
      <c r="AT314" s="33"/>
      <c r="AU314" s="33"/>
      <c r="AV314" s="33"/>
      <c r="AW314" s="33"/>
      <c r="AX314" s="33"/>
      <c r="AY314" s="33"/>
      <c r="AZ314" s="33"/>
      <c r="BA314" s="33"/>
      <c r="BB314" s="33"/>
      <c r="BC314" s="33"/>
      <c r="BD314" s="33"/>
      <c r="BE314" s="33"/>
      <c r="BF314" s="33"/>
      <c r="BG314" s="33"/>
      <c r="BH314" s="33"/>
      <c r="BI314" s="33"/>
      <c r="BJ314" s="33"/>
      <c r="BK314" s="33"/>
      <c r="BL314" s="33"/>
      <c r="BM314" s="33"/>
      <c r="BN314" s="33"/>
      <c r="BO314" s="33"/>
      <c r="BP314" s="33"/>
      <c r="BQ314" s="33"/>
      <c r="BR314" s="33">
        <f t="shared" si="1"/>
        <v>0</v>
      </c>
      <c r="BS314" s="33">
        <f>SUMIFS('Data For Calculation - Insuranc'!I:I,'Data For Calculation - Insuranc'!$A:$A,$A314)</f>
        <v>0</v>
      </c>
      <c r="BT314" s="33">
        <f>SUMIFS('Data For Calculation - Insuranc'!J:J,'Data For Calculation - Insuranc'!$A:$A,$A314)</f>
        <v>0</v>
      </c>
      <c r="BU314" s="33">
        <f>SUMIFS('Data For Calculation - Insuranc'!K:K,'Data For Calculation - Insuranc'!$A:$A,$A314)</f>
        <v>0</v>
      </c>
      <c r="BV314" s="33">
        <f>IF($CC314 = "Dealer", SUMIFS('Data For Calculation - Insuranc'!I:I,'Data For Calculation - Insuranc'!$B:$B,$A314,'Data For Calculation - Insuranc'!$H:$H,"Master Dealer")) + SUMIFS('Data For Calculation - Insuranc'!I:I,'Data For Calculation - Insuranc'!$A:$A,$A314,'Data For Calculation - Insuranc'!$H:$H,"Self")</f>
        <v>0</v>
      </c>
      <c r="BW314" s="33">
        <f>IF($CC314 = "Dealer", SUMIFS('Data For Calculation - Insuranc'!J:J,'Data For Calculation - Insuranc'!$B:$B,$A314,'Data For Calculation - Insuranc'!$H:$H,"Master Dealer")) + SUMIFS('Data For Calculation - Insuranc'!J:J,'Data For Calculation - Insuranc'!$A:$A,$A314,'Data For Calculation - Insuranc'!$H:$H,"Self")</f>
        <v>0</v>
      </c>
      <c r="BX314" s="33">
        <f>IF($CC314 = "Dealer", SUMIFS('Data For Calculation - Insuranc'!K:K,'Data For Calculation - Insuranc'!$B:$B,$A314,'Data For Calculation - Insuranc'!$H:$H,"Master Dealer")) + SUMIFS('Data For Calculation - Insuranc'!K:K,'Data For Calculation - Insuranc'!$A:$A,$A314,'Data For Calculation - Insuranc'!$H:$H,"Self")</f>
        <v>0</v>
      </c>
      <c r="BY314" s="25" t="str">
        <f>(Sheet1!N314)</f>
        <v>LAKHVINDRA KASHIPUR</v>
      </c>
      <c r="BZ314" s="25" t="str">
        <f>(Sheet1!O314)</f>
        <v>1HFkcA0tba7UnCoWEw5R4dohMFqwhpltBBsuWOiWeruA</v>
      </c>
      <c r="CA314" s="25" t="str">
        <f>(Sheet1!AV314)</f>
        <v/>
      </c>
      <c r="CB314" s="25" t="str">
        <f>(Sheet1!AW314)</f>
        <v/>
      </c>
      <c r="CC314" s="26" t="str">
        <f>(Sheet1!P314)</f>
        <v>Dealer</v>
      </c>
    </row>
    <row r="315">
      <c r="A315" s="25" t="str">
        <f>(Sheet1!A315)</f>
        <v>1F9NONXieHjy77H-04YnZVq6s_JxwTeglgZrjTuG8YVo</v>
      </c>
      <c r="B315" s="25" t="str">
        <f>(Sheet1!B315)</f>
        <v>INDER HONDA-KASHIPUR</v>
      </c>
      <c r="C315" s="30" t="str">
        <f>Sheet1!BB315</f>
        <v>No</v>
      </c>
      <c r="D315" s="30" t="s">
        <v>13</v>
      </c>
      <c r="E315" s="34" t="s">
        <v>13</v>
      </c>
      <c r="F315" s="30" t="s">
        <v>3817</v>
      </c>
      <c r="G315" s="31">
        <v>290.0</v>
      </c>
      <c r="H315" s="34" t="s">
        <v>3853</v>
      </c>
      <c r="I315" s="34">
        <v>0.0</v>
      </c>
      <c r="J315" s="34">
        <v>100.0</v>
      </c>
      <c r="K315" s="34">
        <v>0.0</v>
      </c>
      <c r="L315" s="34">
        <v>0.0</v>
      </c>
      <c r="M315" s="33">
        <f>COUNTIFS('Data For Calculation - Insuranc'!A:A,A315,'Data For Calculation - Insuranc'!E:E,"CPA + RSA")</f>
        <v>0</v>
      </c>
      <c r="N315" s="30" t="s">
        <v>3854</v>
      </c>
      <c r="O315" s="31">
        <v>460.0</v>
      </c>
      <c r="P315" s="34" t="s">
        <v>3853</v>
      </c>
      <c r="Q315" s="34">
        <v>20.0</v>
      </c>
      <c r="R315" s="34">
        <v>60.0</v>
      </c>
      <c r="S315" s="34">
        <v>20.0</v>
      </c>
      <c r="T315" s="34">
        <v>20.0</v>
      </c>
      <c r="U315" s="33">
        <f>COUNTIFS('Data For Calculation - Insuranc'!A:A,A315,'Data For Calculation - Insuranc'!E:E,"CPA + RSA + AHDC + DOC")</f>
        <v>0</v>
      </c>
      <c r="V315" s="30" t="s">
        <v>3817</v>
      </c>
      <c r="W315" s="34">
        <v>838.99</v>
      </c>
      <c r="X315" s="34" t="s">
        <v>3853</v>
      </c>
      <c r="Y315" s="34">
        <v>0.0</v>
      </c>
      <c r="Z315" s="34">
        <v>100.0</v>
      </c>
      <c r="AA315" s="34">
        <v>0.0</v>
      </c>
      <c r="AB315" s="34">
        <v>0.0</v>
      </c>
      <c r="AC315" s="33">
        <f>COUNTIFS('Data For Calculation - Insuranc'!A:A,A315,'Data For Calculation - Insuranc'!E:E,"CPA + RSA : 5 Years")</f>
        <v>0</v>
      </c>
      <c r="AD315" s="30" t="s">
        <v>3817</v>
      </c>
      <c r="AE315" s="31">
        <v>838.99</v>
      </c>
      <c r="AF315" s="34" t="s">
        <v>3853</v>
      </c>
      <c r="AG315" s="34">
        <v>0.0</v>
      </c>
      <c r="AH315" s="34">
        <v>100.0</v>
      </c>
      <c r="AI315" s="34">
        <v>0.0</v>
      </c>
      <c r="AJ315" s="34">
        <v>0.0</v>
      </c>
      <c r="AK315" s="33">
        <f>COUNTIFS('Data For Calculation - Insuranc'!A:A,A315,'Data For Calculation - Insuranc'!E:E,"Assistance + CPA : 5 Years")</f>
        <v>0</v>
      </c>
      <c r="AL315" s="30" t="s">
        <v>3817</v>
      </c>
      <c r="AM315" s="31">
        <v>290.0</v>
      </c>
      <c r="AN315" s="34" t="s">
        <v>3853</v>
      </c>
      <c r="AO315" s="34">
        <v>0.0</v>
      </c>
      <c r="AP315" s="34">
        <v>100.0</v>
      </c>
      <c r="AQ315" s="34">
        <v>0.0</v>
      </c>
      <c r="AR315" s="34">
        <v>0.0</v>
      </c>
      <c r="AS315" s="33">
        <f>COUNTIFS('Data For Calculation - Insuranc'!A:A,A315,'Data For Calculation - Insuranc'!E:E,"RSA + AHDC + DOC")</f>
        <v>0</v>
      </c>
      <c r="AT315" s="33"/>
      <c r="AU315" s="33"/>
      <c r="AV315" s="33"/>
      <c r="AW315" s="33"/>
      <c r="AX315" s="33"/>
      <c r="AY315" s="33"/>
      <c r="AZ315" s="33"/>
      <c r="BA315" s="33"/>
      <c r="BB315" s="33"/>
      <c r="BC315" s="33"/>
      <c r="BD315" s="33"/>
      <c r="BE315" s="33"/>
      <c r="BF315" s="33"/>
      <c r="BG315" s="33"/>
      <c r="BH315" s="33"/>
      <c r="BI315" s="33"/>
      <c r="BJ315" s="33"/>
      <c r="BK315" s="33"/>
      <c r="BL315" s="33"/>
      <c r="BM315" s="33"/>
      <c r="BN315" s="33"/>
      <c r="BO315" s="33"/>
      <c r="BP315" s="33"/>
      <c r="BQ315" s="33"/>
      <c r="BR315" s="33">
        <f t="shared" si="1"/>
        <v>0</v>
      </c>
      <c r="BS315" s="33">
        <f>SUMIFS('Data For Calculation - Insuranc'!I:I,'Data For Calculation - Insuranc'!$A:$A,$A315)</f>
        <v>0</v>
      </c>
      <c r="BT315" s="33">
        <f>SUMIFS('Data For Calculation - Insuranc'!J:J,'Data For Calculation - Insuranc'!$A:$A,$A315)</f>
        <v>0</v>
      </c>
      <c r="BU315" s="33">
        <f>SUMIFS('Data For Calculation - Insuranc'!K:K,'Data For Calculation - Insuranc'!$A:$A,$A315)</f>
        <v>0</v>
      </c>
      <c r="BV315" s="33">
        <f>IF($CC315 = "Dealer", SUMIFS('Data For Calculation - Insuranc'!I:I,'Data For Calculation - Insuranc'!$B:$B,$A315,'Data For Calculation - Insuranc'!$H:$H,"Master Dealer")) + SUMIFS('Data For Calculation - Insuranc'!I:I,'Data For Calculation - Insuranc'!$A:$A,$A315,'Data For Calculation - Insuranc'!$H:$H,"Self")</f>
        <v>0</v>
      </c>
      <c r="BW315" s="33">
        <f>IF($CC315 = "Dealer", SUMIFS('Data For Calculation - Insuranc'!J:J,'Data For Calculation - Insuranc'!$B:$B,$A315,'Data For Calculation - Insuranc'!$H:$H,"Master Dealer")) + SUMIFS('Data For Calculation - Insuranc'!J:J,'Data For Calculation - Insuranc'!$A:$A,$A315,'Data For Calculation - Insuranc'!$H:$H,"Self")</f>
        <v>0</v>
      </c>
      <c r="BX315" s="33">
        <f>IF($CC315 = "Dealer", SUMIFS('Data For Calculation - Insuranc'!K:K,'Data For Calculation - Insuranc'!$B:$B,$A315,'Data For Calculation - Insuranc'!$H:$H,"Master Dealer")) + SUMIFS('Data For Calculation - Insuranc'!K:K,'Data For Calculation - Insuranc'!$A:$A,$A315,'Data For Calculation - Insuranc'!$H:$H,"Self")</f>
        <v>0</v>
      </c>
      <c r="BY315" s="25" t="str">
        <f>(Sheet1!N315)</f>
        <v>INDER HONDA-KASHIPUR</v>
      </c>
      <c r="BZ315" s="25" t="str">
        <f>(Sheet1!O315)</f>
        <v>1F9NONXieHjy77H-04YnZVq6s_JxwTeglgZrjTuG8YVo</v>
      </c>
      <c r="CA315" s="25" t="str">
        <f>(Sheet1!AV315)</f>
        <v/>
      </c>
      <c r="CB315" s="25" t="str">
        <f>(Sheet1!AW315)</f>
        <v/>
      </c>
      <c r="CC315" s="26" t="str">
        <f>(Sheet1!P315)</f>
        <v>Dealer</v>
      </c>
    </row>
    <row r="316">
      <c r="A316" s="25" t="str">
        <f>(Sheet1!A316)</f>
        <v>1-ndxJp3oX17jCcSgSWUUGvqzyoVAJHZBrfGcG-qChjg</v>
      </c>
      <c r="B316" s="25" t="str">
        <f>(Sheet1!B316)</f>
        <v>KHADKA G AUTOMOBILE- AHMEDABAD</v>
      </c>
      <c r="C316" s="30" t="str">
        <f>Sheet1!BB316</f>
        <v>No</v>
      </c>
      <c r="D316" s="30" t="s">
        <v>13</v>
      </c>
      <c r="E316" s="34" t="s">
        <v>13</v>
      </c>
      <c r="F316" s="30" t="s">
        <v>3817</v>
      </c>
      <c r="G316" s="31">
        <v>290.0</v>
      </c>
      <c r="H316" s="34" t="s">
        <v>3853</v>
      </c>
      <c r="I316" s="34">
        <v>0.0</v>
      </c>
      <c r="J316" s="34">
        <v>100.0</v>
      </c>
      <c r="K316" s="34">
        <v>0.0</v>
      </c>
      <c r="L316" s="34">
        <v>0.0</v>
      </c>
      <c r="M316" s="33">
        <f>COUNTIFS('Data For Calculation - Insuranc'!A:A,A316,'Data For Calculation - Insuranc'!E:E,"CPA + RSA")</f>
        <v>0</v>
      </c>
      <c r="N316" s="30" t="s">
        <v>3854</v>
      </c>
      <c r="O316" s="31">
        <v>460.0</v>
      </c>
      <c r="P316" s="34" t="s">
        <v>3853</v>
      </c>
      <c r="Q316" s="34">
        <v>20.0</v>
      </c>
      <c r="R316" s="34">
        <v>60.0</v>
      </c>
      <c r="S316" s="34">
        <v>20.0</v>
      </c>
      <c r="T316" s="34">
        <v>20.0</v>
      </c>
      <c r="U316" s="33">
        <f>COUNTIFS('Data For Calculation - Insuranc'!A:A,A316,'Data For Calculation - Insuranc'!E:E,"CPA + RSA + AHDC + DOC")</f>
        <v>0</v>
      </c>
      <c r="V316" s="30" t="s">
        <v>3817</v>
      </c>
      <c r="W316" s="34">
        <v>838.99</v>
      </c>
      <c r="X316" s="34" t="s">
        <v>3853</v>
      </c>
      <c r="Y316" s="34">
        <v>0.0</v>
      </c>
      <c r="Z316" s="34">
        <v>100.0</v>
      </c>
      <c r="AA316" s="34">
        <v>0.0</v>
      </c>
      <c r="AB316" s="34">
        <v>0.0</v>
      </c>
      <c r="AC316" s="33">
        <f>COUNTIFS('Data For Calculation - Insuranc'!A:A,A316,'Data For Calculation - Insuranc'!E:E,"CPA + RSA : 5 Years")</f>
        <v>0</v>
      </c>
      <c r="AD316" s="30" t="s">
        <v>3817</v>
      </c>
      <c r="AE316" s="31">
        <v>838.99</v>
      </c>
      <c r="AF316" s="34" t="s">
        <v>3853</v>
      </c>
      <c r="AG316" s="34">
        <v>0.0</v>
      </c>
      <c r="AH316" s="34">
        <v>100.0</v>
      </c>
      <c r="AI316" s="34">
        <v>0.0</v>
      </c>
      <c r="AJ316" s="34">
        <v>0.0</v>
      </c>
      <c r="AK316" s="33">
        <f>COUNTIFS('Data For Calculation - Insuranc'!A:A,A316,'Data For Calculation - Insuranc'!E:E,"Assistance + CPA : 5 Years")</f>
        <v>0</v>
      </c>
      <c r="AL316" s="30" t="s">
        <v>3817</v>
      </c>
      <c r="AM316" s="31">
        <v>290.0</v>
      </c>
      <c r="AN316" s="34" t="s">
        <v>3853</v>
      </c>
      <c r="AO316" s="34">
        <v>0.0</v>
      </c>
      <c r="AP316" s="34">
        <v>100.0</v>
      </c>
      <c r="AQ316" s="34">
        <v>0.0</v>
      </c>
      <c r="AR316" s="34">
        <v>0.0</v>
      </c>
      <c r="AS316" s="33">
        <f>COUNTIFS('Data For Calculation - Insuranc'!A:A,A316,'Data For Calculation - Insuranc'!E:E,"RSA + AHDC + DOC")</f>
        <v>0</v>
      </c>
      <c r="AT316" s="33"/>
      <c r="AU316" s="33"/>
      <c r="AV316" s="33"/>
      <c r="AW316" s="33"/>
      <c r="AX316" s="33"/>
      <c r="AY316" s="33"/>
      <c r="AZ316" s="33"/>
      <c r="BA316" s="33"/>
      <c r="BB316" s="33"/>
      <c r="BC316" s="33"/>
      <c r="BD316" s="33"/>
      <c r="BE316" s="33"/>
      <c r="BF316" s="33"/>
      <c r="BG316" s="33"/>
      <c r="BH316" s="33"/>
      <c r="BI316" s="33"/>
      <c r="BJ316" s="33"/>
      <c r="BK316" s="33"/>
      <c r="BL316" s="33"/>
      <c r="BM316" s="33"/>
      <c r="BN316" s="33"/>
      <c r="BO316" s="33"/>
      <c r="BP316" s="33"/>
      <c r="BQ316" s="33"/>
      <c r="BR316" s="33">
        <f t="shared" si="1"/>
        <v>0</v>
      </c>
      <c r="BS316" s="33">
        <f>SUMIFS('Data For Calculation - Insuranc'!I:I,'Data For Calculation - Insuranc'!$A:$A,$A316)</f>
        <v>0</v>
      </c>
      <c r="BT316" s="33">
        <f>SUMIFS('Data For Calculation - Insuranc'!J:J,'Data For Calculation - Insuranc'!$A:$A,$A316)</f>
        <v>0</v>
      </c>
      <c r="BU316" s="33">
        <f>SUMIFS('Data For Calculation - Insuranc'!K:K,'Data For Calculation - Insuranc'!$A:$A,$A316)</f>
        <v>0</v>
      </c>
      <c r="BV316" s="33">
        <f>IF($CC316 = "Dealer", SUMIFS('Data For Calculation - Insuranc'!I:I,'Data For Calculation - Insuranc'!$B:$B,$A316,'Data For Calculation - Insuranc'!$H:$H,"Master Dealer")) + SUMIFS('Data For Calculation - Insuranc'!I:I,'Data For Calculation - Insuranc'!$A:$A,$A316,'Data For Calculation - Insuranc'!$H:$H,"Self")</f>
        <v>0</v>
      </c>
      <c r="BW316" s="33">
        <f>IF($CC316 = "Dealer", SUMIFS('Data For Calculation - Insuranc'!J:J,'Data For Calculation - Insuranc'!$B:$B,$A316,'Data For Calculation - Insuranc'!$H:$H,"Master Dealer")) + SUMIFS('Data For Calculation - Insuranc'!J:J,'Data For Calculation - Insuranc'!$A:$A,$A316,'Data For Calculation - Insuranc'!$H:$H,"Self")</f>
        <v>0</v>
      </c>
      <c r="BX316" s="33">
        <f>IF($CC316 = "Dealer", SUMIFS('Data For Calculation - Insuranc'!K:K,'Data For Calculation - Insuranc'!$B:$B,$A316,'Data For Calculation - Insuranc'!$H:$H,"Master Dealer")) + SUMIFS('Data For Calculation - Insuranc'!K:K,'Data For Calculation - Insuranc'!$A:$A,$A316,'Data For Calculation - Insuranc'!$H:$H,"Self")</f>
        <v>0</v>
      </c>
      <c r="BY316" s="25" t="str">
        <f>(Sheet1!N316)</f>
        <v>KHADKA G AUTOMOBILE- AHMEDABAD</v>
      </c>
      <c r="BZ316" s="25" t="str">
        <f>(Sheet1!O316)</f>
        <v>1-ndxJp3oX17jCcSgSWUUGvqzyoVAJHZBrfGcG-qChjg</v>
      </c>
      <c r="CA316" s="25" t="str">
        <f>(Sheet1!AV316)</f>
        <v/>
      </c>
      <c r="CB316" s="25" t="str">
        <f>(Sheet1!AW316)</f>
        <v/>
      </c>
      <c r="CC316" s="26" t="str">
        <f>(Sheet1!P316)</f>
        <v>Dealer</v>
      </c>
    </row>
    <row r="317">
      <c r="A317" s="25" t="str">
        <f>(Sheet1!A317)</f>
        <v>1HzstXOBJIBMFHwYm7RpvmCIhHH60rtXQ81VHl3OF7OM</v>
      </c>
      <c r="B317" s="25" t="str">
        <f>(Sheet1!B317)</f>
        <v>SHIVANI MOTORS- ALLAHABAD</v>
      </c>
      <c r="C317" s="30" t="str">
        <f>Sheet1!BB317</f>
        <v>No</v>
      </c>
      <c r="D317" s="30" t="s">
        <v>13</v>
      </c>
      <c r="E317" s="34" t="s">
        <v>13</v>
      </c>
      <c r="F317" s="30" t="s">
        <v>3817</v>
      </c>
      <c r="G317" s="31">
        <v>290.0</v>
      </c>
      <c r="H317" s="34" t="s">
        <v>3853</v>
      </c>
      <c r="I317" s="34">
        <v>0.0</v>
      </c>
      <c r="J317" s="34">
        <v>100.0</v>
      </c>
      <c r="K317" s="34">
        <v>0.0</v>
      </c>
      <c r="L317" s="34">
        <v>0.0</v>
      </c>
      <c r="M317" s="33">
        <f>COUNTIFS('Data For Calculation - Insuranc'!A:A,A317,'Data For Calculation - Insuranc'!E:E,"CPA + RSA")</f>
        <v>0</v>
      </c>
      <c r="N317" s="30" t="s">
        <v>3854</v>
      </c>
      <c r="O317" s="31">
        <v>460.0</v>
      </c>
      <c r="P317" s="34" t="s">
        <v>3853</v>
      </c>
      <c r="Q317" s="34">
        <v>20.0</v>
      </c>
      <c r="R317" s="34">
        <v>60.0</v>
      </c>
      <c r="S317" s="34">
        <v>20.0</v>
      </c>
      <c r="T317" s="34">
        <v>20.0</v>
      </c>
      <c r="U317" s="33">
        <f>COUNTIFS('Data For Calculation - Insuranc'!A:A,A317,'Data For Calculation - Insuranc'!E:E,"CPA + RSA + AHDC + DOC")</f>
        <v>0</v>
      </c>
      <c r="V317" s="30" t="s">
        <v>3817</v>
      </c>
      <c r="W317" s="34">
        <v>838.99</v>
      </c>
      <c r="X317" s="34" t="s">
        <v>3853</v>
      </c>
      <c r="Y317" s="34">
        <v>0.0</v>
      </c>
      <c r="Z317" s="34">
        <v>100.0</v>
      </c>
      <c r="AA317" s="34">
        <v>0.0</v>
      </c>
      <c r="AB317" s="34">
        <v>0.0</v>
      </c>
      <c r="AC317" s="33">
        <f>COUNTIFS('Data For Calculation - Insuranc'!A:A,A317,'Data For Calculation - Insuranc'!E:E,"CPA + RSA : 5 Years")</f>
        <v>0</v>
      </c>
      <c r="AD317" s="30" t="s">
        <v>3817</v>
      </c>
      <c r="AE317" s="31">
        <v>838.99</v>
      </c>
      <c r="AF317" s="34" t="s">
        <v>3853</v>
      </c>
      <c r="AG317" s="34">
        <v>0.0</v>
      </c>
      <c r="AH317" s="34">
        <v>100.0</v>
      </c>
      <c r="AI317" s="34">
        <v>0.0</v>
      </c>
      <c r="AJ317" s="34">
        <v>0.0</v>
      </c>
      <c r="AK317" s="33">
        <f>COUNTIFS('Data For Calculation - Insuranc'!A:A,A317,'Data For Calculation - Insuranc'!E:E,"Assistance + CPA : 5 Years")</f>
        <v>0</v>
      </c>
      <c r="AL317" s="30" t="s">
        <v>3817</v>
      </c>
      <c r="AM317" s="31">
        <v>290.0</v>
      </c>
      <c r="AN317" s="34" t="s">
        <v>3853</v>
      </c>
      <c r="AO317" s="34">
        <v>0.0</v>
      </c>
      <c r="AP317" s="34">
        <v>100.0</v>
      </c>
      <c r="AQ317" s="34">
        <v>0.0</v>
      </c>
      <c r="AR317" s="34">
        <v>0.0</v>
      </c>
      <c r="AS317" s="33">
        <f>COUNTIFS('Data For Calculation - Insuranc'!A:A,A317,'Data For Calculation - Insuranc'!E:E,"RSA + AHDC + DOC")</f>
        <v>0</v>
      </c>
      <c r="AT317" s="33"/>
      <c r="AU317" s="33"/>
      <c r="AV317" s="33"/>
      <c r="AW317" s="33"/>
      <c r="AX317" s="33"/>
      <c r="AY317" s="33"/>
      <c r="AZ317" s="33"/>
      <c r="BA317" s="33"/>
      <c r="BB317" s="33"/>
      <c r="BC317" s="33"/>
      <c r="BD317" s="33"/>
      <c r="BE317" s="33"/>
      <c r="BF317" s="33"/>
      <c r="BG317" s="33"/>
      <c r="BH317" s="33"/>
      <c r="BI317" s="33"/>
      <c r="BJ317" s="33"/>
      <c r="BK317" s="33"/>
      <c r="BL317" s="33"/>
      <c r="BM317" s="33"/>
      <c r="BN317" s="33"/>
      <c r="BO317" s="33"/>
      <c r="BP317" s="33"/>
      <c r="BQ317" s="33"/>
      <c r="BR317" s="33">
        <f t="shared" si="1"/>
        <v>0</v>
      </c>
      <c r="BS317" s="33">
        <f>SUMIFS('Data For Calculation - Insuranc'!I:I,'Data For Calculation - Insuranc'!$A:$A,$A317)</f>
        <v>0</v>
      </c>
      <c r="BT317" s="33">
        <f>SUMIFS('Data For Calculation - Insuranc'!J:J,'Data For Calculation - Insuranc'!$A:$A,$A317)</f>
        <v>0</v>
      </c>
      <c r="BU317" s="33">
        <f>SUMIFS('Data For Calculation - Insuranc'!K:K,'Data For Calculation - Insuranc'!$A:$A,$A317)</f>
        <v>0</v>
      </c>
      <c r="BV317" s="33">
        <f>IF($CC317 = "Dealer", SUMIFS('Data For Calculation - Insuranc'!I:I,'Data For Calculation - Insuranc'!$B:$B,$A317,'Data For Calculation - Insuranc'!$H:$H,"Master Dealer")) + SUMIFS('Data For Calculation - Insuranc'!I:I,'Data For Calculation - Insuranc'!$A:$A,$A317,'Data For Calculation - Insuranc'!$H:$H,"Self")</f>
        <v>0</v>
      </c>
      <c r="BW317" s="33">
        <f>IF($CC317 = "Dealer", SUMIFS('Data For Calculation - Insuranc'!J:J,'Data For Calculation - Insuranc'!$B:$B,$A317,'Data For Calculation - Insuranc'!$H:$H,"Master Dealer")) + SUMIFS('Data For Calculation - Insuranc'!J:J,'Data For Calculation - Insuranc'!$A:$A,$A317,'Data For Calculation - Insuranc'!$H:$H,"Self")</f>
        <v>0</v>
      </c>
      <c r="BX317" s="33">
        <f>IF($CC317 = "Dealer", SUMIFS('Data For Calculation - Insuranc'!K:K,'Data For Calculation - Insuranc'!$B:$B,$A317,'Data For Calculation - Insuranc'!$H:$H,"Master Dealer")) + SUMIFS('Data For Calculation - Insuranc'!K:K,'Data For Calculation - Insuranc'!$A:$A,$A317,'Data For Calculation - Insuranc'!$H:$H,"Self")</f>
        <v>0</v>
      </c>
      <c r="BY317" s="25" t="str">
        <f>(Sheet1!N317)</f>
        <v>SHIVANI MOTORS- ALLAHABAD</v>
      </c>
      <c r="BZ317" s="25" t="str">
        <f>(Sheet1!O317)</f>
        <v>1HzstXOBJIBMFHwYm7RpvmCIhHH60rtXQ81VHl3OF7OM</v>
      </c>
      <c r="CA317" s="25" t="str">
        <f>(Sheet1!AV317)</f>
        <v/>
      </c>
      <c r="CB317" s="25" t="str">
        <f>(Sheet1!AW317)</f>
        <v/>
      </c>
      <c r="CC317" s="26" t="str">
        <f>(Sheet1!P317)</f>
        <v>Dealer</v>
      </c>
    </row>
    <row r="318">
      <c r="A318" s="25" t="str">
        <f>(Sheet1!A318)</f>
        <v>1YAU91TFMaYFp0IiAMJOnSMw_yeIgNk_GdChvblrhYL8</v>
      </c>
      <c r="B318" s="25" t="str">
        <f>(Sheet1!B318)</f>
        <v>A.R.C.C- HERO(SMA)</v>
      </c>
      <c r="C318" s="30" t="str">
        <f>Sheet1!BB318</f>
        <v>No</v>
      </c>
      <c r="D318" s="30" t="s">
        <v>13</v>
      </c>
      <c r="E318" s="34" t="s">
        <v>13</v>
      </c>
      <c r="F318" s="30" t="s">
        <v>3817</v>
      </c>
      <c r="G318" s="31">
        <v>290.0</v>
      </c>
      <c r="H318" s="34" t="s">
        <v>3853</v>
      </c>
      <c r="I318" s="34">
        <v>0.0</v>
      </c>
      <c r="J318" s="34">
        <v>100.0</v>
      </c>
      <c r="K318" s="34">
        <v>0.0</v>
      </c>
      <c r="L318" s="34">
        <v>0.0</v>
      </c>
      <c r="M318" s="33">
        <f>COUNTIFS('Data For Calculation - Insuranc'!A:A,A318,'Data For Calculation - Insuranc'!E:E,"CPA + RSA")</f>
        <v>0</v>
      </c>
      <c r="N318" s="30" t="s">
        <v>3854</v>
      </c>
      <c r="O318" s="31">
        <v>460.0</v>
      </c>
      <c r="P318" s="34" t="s">
        <v>3853</v>
      </c>
      <c r="Q318" s="34">
        <v>20.0</v>
      </c>
      <c r="R318" s="34">
        <v>60.0</v>
      </c>
      <c r="S318" s="34">
        <v>20.0</v>
      </c>
      <c r="T318" s="34">
        <v>20.0</v>
      </c>
      <c r="U318" s="33">
        <f>COUNTIFS('Data For Calculation - Insuranc'!A:A,A318,'Data For Calculation - Insuranc'!E:E,"CPA + RSA + AHDC + DOC")</f>
        <v>0</v>
      </c>
      <c r="V318" s="30" t="s">
        <v>3817</v>
      </c>
      <c r="W318" s="34">
        <v>838.99</v>
      </c>
      <c r="X318" s="34" t="s">
        <v>3853</v>
      </c>
      <c r="Y318" s="34">
        <v>0.0</v>
      </c>
      <c r="Z318" s="34">
        <v>100.0</v>
      </c>
      <c r="AA318" s="34">
        <v>0.0</v>
      </c>
      <c r="AB318" s="34">
        <v>0.0</v>
      </c>
      <c r="AC318" s="33">
        <f>COUNTIFS('Data For Calculation - Insuranc'!A:A,A318,'Data For Calculation - Insuranc'!E:E,"CPA + RSA : 5 Years")</f>
        <v>0</v>
      </c>
      <c r="AD318" s="30" t="s">
        <v>3817</v>
      </c>
      <c r="AE318" s="31">
        <v>838.99</v>
      </c>
      <c r="AF318" s="34" t="s">
        <v>3853</v>
      </c>
      <c r="AG318" s="34">
        <v>0.0</v>
      </c>
      <c r="AH318" s="34">
        <v>100.0</v>
      </c>
      <c r="AI318" s="34">
        <v>0.0</v>
      </c>
      <c r="AJ318" s="34">
        <v>0.0</v>
      </c>
      <c r="AK318" s="33">
        <f>COUNTIFS('Data For Calculation - Insuranc'!A:A,A318,'Data For Calculation - Insuranc'!E:E,"Assistance + CPA : 5 Years")</f>
        <v>0</v>
      </c>
      <c r="AL318" s="30" t="s">
        <v>3817</v>
      </c>
      <c r="AM318" s="31">
        <v>290.0</v>
      </c>
      <c r="AN318" s="34" t="s">
        <v>3853</v>
      </c>
      <c r="AO318" s="34">
        <v>0.0</v>
      </c>
      <c r="AP318" s="34">
        <v>100.0</v>
      </c>
      <c r="AQ318" s="34">
        <v>0.0</v>
      </c>
      <c r="AR318" s="34">
        <v>0.0</v>
      </c>
      <c r="AS318" s="33">
        <f>COUNTIFS('Data For Calculation - Insuranc'!A:A,A318,'Data For Calculation - Insuranc'!E:E,"RSA + AHDC + DOC")</f>
        <v>0</v>
      </c>
      <c r="AT318" s="33"/>
      <c r="AU318" s="33"/>
      <c r="AV318" s="33"/>
      <c r="AW318" s="33"/>
      <c r="AX318" s="33"/>
      <c r="AY318" s="33"/>
      <c r="AZ318" s="33"/>
      <c r="BA318" s="33"/>
      <c r="BB318" s="33"/>
      <c r="BC318" s="33"/>
      <c r="BD318" s="33"/>
      <c r="BE318" s="33"/>
      <c r="BF318" s="33"/>
      <c r="BG318" s="33"/>
      <c r="BH318" s="33"/>
      <c r="BI318" s="33"/>
      <c r="BJ318" s="33"/>
      <c r="BK318" s="33"/>
      <c r="BL318" s="33"/>
      <c r="BM318" s="33"/>
      <c r="BN318" s="33"/>
      <c r="BO318" s="33"/>
      <c r="BP318" s="33"/>
      <c r="BQ318" s="33"/>
      <c r="BR318" s="33">
        <f t="shared" si="1"/>
        <v>0</v>
      </c>
      <c r="BS318" s="33">
        <f>SUMIFS('Data For Calculation - Insuranc'!I:I,'Data For Calculation - Insuranc'!$A:$A,$A318)</f>
        <v>0</v>
      </c>
      <c r="BT318" s="33">
        <f>SUMIFS('Data For Calculation - Insuranc'!J:J,'Data For Calculation - Insuranc'!$A:$A,$A318)</f>
        <v>0</v>
      </c>
      <c r="BU318" s="33">
        <f>SUMIFS('Data For Calculation - Insuranc'!K:K,'Data For Calculation - Insuranc'!$A:$A,$A318)</f>
        <v>0</v>
      </c>
      <c r="BV318" s="33">
        <f>IF($CC318 = "Dealer", SUMIFS('Data For Calculation - Insuranc'!I:I,'Data For Calculation - Insuranc'!$B:$B,$A318,'Data For Calculation - Insuranc'!$H:$H,"Master Dealer")) + SUMIFS('Data For Calculation - Insuranc'!I:I,'Data For Calculation - Insuranc'!$A:$A,$A318,'Data For Calculation - Insuranc'!$H:$H,"Self")</f>
        <v>0</v>
      </c>
      <c r="BW318" s="33">
        <f>IF($CC318 = "Dealer", SUMIFS('Data For Calculation - Insuranc'!J:J,'Data For Calculation - Insuranc'!$B:$B,$A318,'Data For Calculation - Insuranc'!$H:$H,"Master Dealer")) + SUMIFS('Data For Calculation - Insuranc'!J:J,'Data For Calculation - Insuranc'!$A:$A,$A318,'Data For Calculation - Insuranc'!$H:$H,"Self")</f>
        <v>0</v>
      </c>
      <c r="BX318" s="33">
        <f>IF($CC318 = "Dealer", SUMIFS('Data For Calculation - Insuranc'!K:K,'Data For Calculation - Insuranc'!$B:$B,$A318,'Data For Calculation - Insuranc'!$H:$H,"Master Dealer")) + SUMIFS('Data For Calculation - Insuranc'!K:K,'Data For Calculation - Insuranc'!$A:$A,$A318,'Data For Calculation - Insuranc'!$H:$H,"Self")</f>
        <v>0</v>
      </c>
      <c r="BY318" s="25" t="str">
        <f>(Sheet1!N318)</f>
        <v>SHIVANI MOTORS- ALLAHABAD</v>
      </c>
      <c r="BZ318" s="25" t="str">
        <f>(Sheet1!O318)</f>
        <v>1HzstXOBJIBMFHwYm7RpvmCIhHH60rtXQ81VHl3OF7OM</v>
      </c>
      <c r="CA318" s="25" t="str">
        <f>(Sheet1!AV318)</f>
        <v/>
      </c>
      <c r="CB318" s="25" t="str">
        <f>(Sheet1!AW318)</f>
        <v/>
      </c>
      <c r="CC318" s="26" t="str">
        <f>(Sheet1!P318)</f>
        <v>Sub Dealer</v>
      </c>
    </row>
    <row r="319">
      <c r="A319" s="25" t="str">
        <f>(Sheet1!A319)</f>
        <v>1Sp6RBtw1AwI4BO_kbbFsvxWE7hmnjkkWSF-2QuN4NUM</v>
      </c>
      <c r="B319" s="25" t="str">
        <f>(Sheet1!B319)</f>
        <v>AMBER MOTORS--HERO-(SMA)</v>
      </c>
      <c r="C319" s="30" t="str">
        <f>Sheet1!BB319</f>
        <v>No</v>
      </c>
      <c r="D319" s="30" t="s">
        <v>13</v>
      </c>
      <c r="E319" s="34" t="s">
        <v>13</v>
      </c>
      <c r="F319" s="30" t="s">
        <v>3817</v>
      </c>
      <c r="G319" s="31">
        <v>290.0</v>
      </c>
      <c r="H319" s="34" t="s">
        <v>3853</v>
      </c>
      <c r="I319" s="34">
        <v>0.0</v>
      </c>
      <c r="J319" s="34">
        <v>100.0</v>
      </c>
      <c r="K319" s="34">
        <v>0.0</v>
      </c>
      <c r="L319" s="34">
        <v>0.0</v>
      </c>
      <c r="M319" s="33">
        <f>COUNTIFS('Data For Calculation - Insuranc'!A:A,A319,'Data For Calculation - Insuranc'!E:E,"CPA + RSA")</f>
        <v>0</v>
      </c>
      <c r="N319" s="30" t="s">
        <v>3854</v>
      </c>
      <c r="O319" s="31">
        <v>460.0</v>
      </c>
      <c r="P319" s="34" t="s">
        <v>3853</v>
      </c>
      <c r="Q319" s="34">
        <v>20.0</v>
      </c>
      <c r="R319" s="34">
        <v>60.0</v>
      </c>
      <c r="S319" s="34">
        <v>20.0</v>
      </c>
      <c r="T319" s="34">
        <v>20.0</v>
      </c>
      <c r="U319" s="33">
        <f>COUNTIFS('Data For Calculation - Insuranc'!A:A,A319,'Data For Calculation - Insuranc'!E:E,"CPA + RSA + AHDC + DOC")</f>
        <v>0</v>
      </c>
      <c r="V319" s="30" t="s">
        <v>3817</v>
      </c>
      <c r="W319" s="34">
        <v>838.99</v>
      </c>
      <c r="X319" s="34" t="s">
        <v>3853</v>
      </c>
      <c r="Y319" s="34">
        <v>0.0</v>
      </c>
      <c r="Z319" s="34">
        <v>100.0</v>
      </c>
      <c r="AA319" s="34">
        <v>0.0</v>
      </c>
      <c r="AB319" s="34">
        <v>0.0</v>
      </c>
      <c r="AC319" s="33">
        <f>COUNTIFS('Data For Calculation - Insuranc'!A:A,A319,'Data For Calculation - Insuranc'!E:E,"CPA + RSA : 5 Years")</f>
        <v>0</v>
      </c>
      <c r="AD319" s="30" t="s">
        <v>3817</v>
      </c>
      <c r="AE319" s="31">
        <v>838.99</v>
      </c>
      <c r="AF319" s="34" t="s">
        <v>3853</v>
      </c>
      <c r="AG319" s="34">
        <v>0.0</v>
      </c>
      <c r="AH319" s="34">
        <v>100.0</v>
      </c>
      <c r="AI319" s="34">
        <v>0.0</v>
      </c>
      <c r="AJ319" s="34">
        <v>0.0</v>
      </c>
      <c r="AK319" s="33">
        <f>COUNTIFS('Data For Calculation - Insuranc'!A:A,A319,'Data For Calculation - Insuranc'!E:E,"Assistance + CPA : 5 Years")</f>
        <v>0</v>
      </c>
      <c r="AL319" s="30" t="s">
        <v>3817</v>
      </c>
      <c r="AM319" s="31">
        <v>290.0</v>
      </c>
      <c r="AN319" s="34" t="s">
        <v>3853</v>
      </c>
      <c r="AO319" s="34">
        <v>0.0</v>
      </c>
      <c r="AP319" s="34">
        <v>100.0</v>
      </c>
      <c r="AQ319" s="34">
        <v>0.0</v>
      </c>
      <c r="AR319" s="34">
        <v>0.0</v>
      </c>
      <c r="AS319" s="33">
        <f>COUNTIFS('Data For Calculation - Insuranc'!A:A,A319,'Data For Calculation - Insuranc'!E:E,"RSA + AHDC + DOC")</f>
        <v>0</v>
      </c>
      <c r="AT319" s="33"/>
      <c r="AU319" s="33"/>
      <c r="AV319" s="33"/>
      <c r="AW319" s="33"/>
      <c r="AX319" s="33"/>
      <c r="AY319" s="33"/>
      <c r="AZ319" s="33"/>
      <c r="BA319" s="33"/>
      <c r="BB319" s="33"/>
      <c r="BC319" s="33"/>
      <c r="BD319" s="33"/>
      <c r="BE319" s="33"/>
      <c r="BF319" s="33"/>
      <c r="BG319" s="33"/>
      <c r="BH319" s="33"/>
      <c r="BI319" s="33"/>
      <c r="BJ319" s="33"/>
      <c r="BK319" s="33"/>
      <c r="BL319" s="33"/>
      <c r="BM319" s="33"/>
      <c r="BN319" s="33"/>
      <c r="BO319" s="33"/>
      <c r="BP319" s="33"/>
      <c r="BQ319" s="33"/>
      <c r="BR319" s="33">
        <f t="shared" si="1"/>
        <v>0</v>
      </c>
      <c r="BS319" s="33">
        <f>SUMIFS('Data For Calculation - Insuranc'!I:I,'Data For Calculation - Insuranc'!$A:$A,$A319)</f>
        <v>0</v>
      </c>
      <c r="BT319" s="33">
        <f>SUMIFS('Data For Calculation - Insuranc'!J:J,'Data For Calculation - Insuranc'!$A:$A,$A319)</f>
        <v>0</v>
      </c>
      <c r="BU319" s="33">
        <f>SUMIFS('Data For Calculation - Insuranc'!K:K,'Data For Calculation - Insuranc'!$A:$A,$A319)</f>
        <v>0</v>
      </c>
      <c r="BV319" s="33">
        <f>IF($CC319 = "Dealer", SUMIFS('Data For Calculation - Insuranc'!I:I,'Data For Calculation - Insuranc'!$B:$B,$A319,'Data For Calculation - Insuranc'!$H:$H,"Master Dealer")) + SUMIFS('Data For Calculation - Insuranc'!I:I,'Data For Calculation - Insuranc'!$A:$A,$A319,'Data For Calculation - Insuranc'!$H:$H,"Self")</f>
        <v>0</v>
      </c>
      <c r="BW319" s="33">
        <f>IF($CC319 = "Dealer", SUMIFS('Data For Calculation - Insuranc'!J:J,'Data For Calculation - Insuranc'!$B:$B,$A319,'Data For Calculation - Insuranc'!$H:$H,"Master Dealer")) + SUMIFS('Data For Calculation - Insuranc'!J:J,'Data For Calculation - Insuranc'!$A:$A,$A319,'Data For Calculation - Insuranc'!$H:$H,"Self")</f>
        <v>0</v>
      </c>
      <c r="BX319" s="33">
        <f>IF($CC319 = "Dealer", SUMIFS('Data For Calculation - Insuranc'!K:K,'Data For Calculation - Insuranc'!$B:$B,$A319,'Data For Calculation - Insuranc'!$H:$H,"Master Dealer")) + SUMIFS('Data For Calculation - Insuranc'!K:K,'Data For Calculation - Insuranc'!$A:$A,$A319,'Data For Calculation - Insuranc'!$H:$H,"Self")</f>
        <v>0</v>
      </c>
      <c r="BY319" s="25" t="str">
        <f>(Sheet1!N319)</f>
        <v>SHIVANI MOTORS- ALLAHABAD</v>
      </c>
      <c r="BZ319" s="25" t="str">
        <f>(Sheet1!O319)</f>
        <v>1HzstXOBJIBMFHwYm7RpvmCIhHH60rtXQ81VHl3OF7OM</v>
      </c>
      <c r="CA319" s="25" t="str">
        <f>(Sheet1!AV319)</f>
        <v/>
      </c>
      <c r="CB319" s="25" t="str">
        <f>(Sheet1!AW319)</f>
        <v/>
      </c>
      <c r="CC319" s="26" t="str">
        <f>(Sheet1!P319)</f>
        <v>Sub Dealer</v>
      </c>
    </row>
    <row r="320">
      <c r="A320" s="26" t="str">
        <f>(Sheet1!A320)</f>
        <v>12q3xzc4QnJvovb5WwDYonjwLc2kiwxvpEYShhfp6tf4</v>
      </c>
      <c r="B320" s="26" t="str">
        <f>(Sheet1!B320)</f>
        <v>Metro Motors- Narela(MMR)</v>
      </c>
      <c r="C320" s="30" t="str">
        <f>Sheet1!BB320</f>
        <v>Yes</v>
      </c>
      <c r="D320" s="34" t="s">
        <v>13</v>
      </c>
      <c r="E320" s="34" t="s">
        <v>13</v>
      </c>
      <c r="F320" s="34" t="s">
        <v>3820</v>
      </c>
      <c r="G320" s="34">
        <v>290.0</v>
      </c>
      <c r="H320" s="34" t="s">
        <v>3853</v>
      </c>
      <c r="I320" s="34">
        <v>0.0</v>
      </c>
      <c r="J320" s="34">
        <v>100.0</v>
      </c>
      <c r="K320" s="34">
        <v>0.0</v>
      </c>
      <c r="L320" s="34">
        <v>0.0</v>
      </c>
      <c r="M320" s="33">
        <f>COUNTIFS('Data For Calculation - Insuranc'!A:A,A320,'Data For Calculation - Insuranc'!E:E,"CPA + RSA")</f>
        <v>0</v>
      </c>
      <c r="N320" s="34" t="s">
        <v>3854</v>
      </c>
      <c r="O320" s="34">
        <v>100.0</v>
      </c>
      <c r="P320" s="34" t="s">
        <v>3855</v>
      </c>
      <c r="Q320" s="34">
        <v>2000.0</v>
      </c>
      <c r="R320" s="34">
        <v>100.0</v>
      </c>
      <c r="S320" s="34">
        <v>0.0</v>
      </c>
      <c r="T320" s="34">
        <v>0.0</v>
      </c>
      <c r="U320" s="33">
        <f>COUNTIFS('Data For Calculation - Insuranc'!A:A,A320,'Data For Calculation - Insuranc'!E:E,"CPA + RSA + AHDC + DOC")</f>
        <v>0</v>
      </c>
      <c r="V320" s="34" t="s">
        <v>3820</v>
      </c>
      <c r="W320" s="34">
        <v>838.99</v>
      </c>
      <c r="X320" s="34" t="s">
        <v>3853</v>
      </c>
      <c r="Y320" s="34">
        <v>0.0</v>
      </c>
      <c r="Z320" s="34">
        <v>100.0</v>
      </c>
      <c r="AA320" s="34">
        <v>0.0</v>
      </c>
      <c r="AB320" s="34">
        <v>0.0</v>
      </c>
      <c r="AC320" s="33">
        <f>COUNTIFS('Data For Calculation - Insuranc'!A:A,A320,'Data For Calculation - Insuranc'!E:E,"CPA + RSA : 5 Years")</f>
        <v>0</v>
      </c>
      <c r="AD320" s="34" t="s">
        <v>3820</v>
      </c>
      <c r="AE320" s="34">
        <v>838.99</v>
      </c>
      <c r="AF320" s="34" t="s">
        <v>3853</v>
      </c>
      <c r="AG320" s="34">
        <v>0.0</v>
      </c>
      <c r="AH320" s="34">
        <v>100.0</v>
      </c>
      <c r="AI320" s="34">
        <v>0.0</v>
      </c>
      <c r="AJ320" s="34">
        <v>0.0</v>
      </c>
      <c r="AK320" s="33">
        <f>COUNTIFS('Data For Calculation - Insuranc'!A:A,A320,'Data For Calculation - Insuranc'!E:E,"Assistance + CPA : 5 Years")</f>
        <v>0</v>
      </c>
      <c r="AL320" s="34" t="s">
        <v>3854</v>
      </c>
      <c r="AM320" s="34">
        <v>100.0</v>
      </c>
      <c r="AN320" s="34" t="s">
        <v>3855</v>
      </c>
      <c r="AO320" s="34">
        <v>2000.0</v>
      </c>
      <c r="AP320" s="34">
        <v>100.0</v>
      </c>
      <c r="AQ320" s="34">
        <v>0.0</v>
      </c>
      <c r="AR320" s="34">
        <v>0.0</v>
      </c>
      <c r="AS320" s="33">
        <f>COUNTIFS('Data For Calculation - Insuranc'!A:A,A320,'Data For Calculation - Insuranc'!E:E,"RSA + AHDC + DOC")</f>
        <v>0</v>
      </c>
      <c r="BR320" s="33">
        <f t="shared" si="1"/>
        <v>0</v>
      </c>
      <c r="BS320" s="33">
        <f>SUMIFS('Data For Calculation - Insuranc'!I:I,'Data For Calculation - Insuranc'!$A:$A,$A320)</f>
        <v>-34976.08</v>
      </c>
      <c r="BT320" s="33">
        <f>SUMIFS('Data For Calculation - Insuranc'!J:J,'Data For Calculation - Insuranc'!$A:$A,$A320)</f>
        <v>0</v>
      </c>
      <c r="BU320" s="33">
        <f>SUMIFS('Data For Calculation - Insuranc'!K:K,'Data For Calculation - Insuranc'!$A:$A,$A320)</f>
        <v>-34976.08</v>
      </c>
      <c r="BV320" s="33">
        <f>IF($CC320 = "Dealer", SUMIFS('Data For Calculation - Insuranc'!I:I,'Data For Calculation - Insuranc'!$B:$B,$A320,'Data For Calculation - Insuranc'!$H:$H,"Master Dealer")) + SUMIFS('Data For Calculation - Insuranc'!I:I,'Data For Calculation - Insuranc'!$A:$A,$A320,'Data For Calculation - Insuranc'!$H:$H,"Self")</f>
        <v>-34976.08</v>
      </c>
      <c r="BW320" s="33">
        <f>IF($CC320 = "Dealer", SUMIFS('Data For Calculation - Insuranc'!J:J,'Data For Calculation - Insuranc'!$B:$B,$A320,'Data For Calculation - Insuranc'!$H:$H,"Master Dealer")) + SUMIFS('Data For Calculation - Insuranc'!J:J,'Data For Calculation - Insuranc'!$A:$A,$A320,'Data For Calculation - Insuranc'!$H:$H,"Self")</f>
        <v>0</v>
      </c>
      <c r="BX320" s="33">
        <f>IF($CC320 = "Dealer", SUMIFS('Data For Calculation - Insuranc'!K:K,'Data For Calculation - Insuranc'!$B:$B,$A320,'Data For Calculation - Insuranc'!$H:$H,"Master Dealer")) + SUMIFS('Data For Calculation - Insuranc'!K:K,'Data For Calculation - Insuranc'!$A:$A,$A320,'Data For Calculation - Insuranc'!$H:$H,"Self")</f>
        <v>-34976.08</v>
      </c>
      <c r="BY320" s="26" t="str">
        <f>(Sheet1!N320)</f>
        <v>Metro Motors- Narela(MMR)</v>
      </c>
      <c r="BZ320" s="26" t="str">
        <f>(Sheet1!O320)</f>
        <v>12q3xzc4QnJvovb5WwDYonjwLc2kiwxvpEYShhfp6tf4</v>
      </c>
      <c r="CA320" s="25" t="str">
        <f>(Sheet1!AV320)</f>
        <v/>
      </c>
      <c r="CB320" s="25" t="str">
        <f>(Sheet1!AW320)</f>
        <v/>
      </c>
      <c r="CC320" s="26" t="str">
        <f>(Sheet1!P320)</f>
        <v>Dealer</v>
      </c>
    </row>
    <row r="321">
      <c r="A321" s="25" t="str">
        <f>(Sheet1!A321)</f>
        <v>12Iga9HLmHF1C_B28Sz49zBPBKFPy_vA2jBForRuUnjc</v>
      </c>
      <c r="B321" s="25" t="str">
        <f>(Sheet1!B321)</f>
        <v>JANTA MOTORS (VM) - KUSHINAGAR</v>
      </c>
      <c r="C321" s="30" t="str">
        <f>Sheet1!BB321</f>
        <v>No</v>
      </c>
      <c r="D321" s="30" t="s">
        <v>13</v>
      </c>
      <c r="E321" s="34" t="s">
        <v>13</v>
      </c>
      <c r="F321" s="30" t="s">
        <v>3817</v>
      </c>
      <c r="G321" s="31">
        <v>290.0</v>
      </c>
      <c r="H321" s="34" t="s">
        <v>3853</v>
      </c>
      <c r="I321" s="34">
        <v>0.0</v>
      </c>
      <c r="J321" s="34">
        <v>100.0</v>
      </c>
      <c r="K321" s="34">
        <v>0.0</v>
      </c>
      <c r="L321" s="34">
        <v>0.0</v>
      </c>
      <c r="M321" s="33">
        <f>COUNTIFS('Data For Calculation - Insuranc'!A:A,A321,'Data For Calculation - Insuranc'!E:E,"CPA + RSA")</f>
        <v>0</v>
      </c>
      <c r="N321" s="30" t="s">
        <v>3854</v>
      </c>
      <c r="O321" s="31">
        <v>460.0</v>
      </c>
      <c r="P321" s="34" t="s">
        <v>3853</v>
      </c>
      <c r="Q321" s="34">
        <v>20.0</v>
      </c>
      <c r="R321" s="34">
        <v>60.0</v>
      </c>
      <c r="S321" s="34">
        <v>20.0</v>
      </c>
      <c r="T321" s="34">
        <v>20.0</v>
      </c>
      <c r="U321" s="33">
        <f>COUNTIFS('Data For Calculation - Insuranc'!A:A,A321,'Data For Calculation - Insuranc'!E:E,"CPA + RSA + AHDC + DOC")</f>
        <v>0</v>
      </c>
      <c r="V321" s="30" t="s">
        <v>3817</v>
      </c>
      <c r="W321" s="34">
        <v>838.99</v>
      </c>
      <c r="X321" s="34" t="s">
        <v>3853</v>
      </c>
      <c r="Y321" s="34">
        <v>0.0</v>
      </c>
      <c r="Z321" s="34">
        <v>100.0</v>
      </c>
      <c r="AA321" s="34">
        <v>0.0</v>
      </c>
      <c r="AB321" s="34">
        <v>0.0</v>
      </c>
      <c r="AC321" s="33">
        <f>COUNTIFS('Data For Calculation - Insuranc'!A:A,A321,'Data For Calculation - Insuranc'!E:E,"CPA + RSA : 5 Years")</f>
        <v>0</v>
      </c>
      <c r="AD321" s="30" t="s">
        <v>3817</v>
      </c>
      <c r="AE321" s="31">
        <v>838.99</v>
      </c>
      <c r="AF321" s="34" t="s">
        <v>3853</v>
      </c>
      <c r="AG321" s="34">
        <v>0.0</v>
      </c>
      <c r="AH321" s="34">
        <v>100.0</v>
      </c>
      <c r="AI321" s="34">
        <v>0.0</v>
      </c>
      <c r="AJ321" s="34">
        <v>0.0</v>
      </c>
      <c r="AK321" s="33">
        <f>COUNTIFS('Data For Calculation - Insuranc'!A:A,A321,'Data For Calculation - Insuranc'!E:E,"Assistance + CPA : 5 Years")</f>
        <v>0</v>
      </c>
      <c r="AL321" s="30" t="s">
        <v>3817</v>
      </c>
      <c r="AM321" s="31">
        <v>290.0</v>
      </c>
      <c r="AN321" s="34" t="s">
        <v>3853</v>
      </c>
      <c r="AO321" s="34">
        <v>0.0</v>
      </c>
      <c r="AP321" s="34">
        <v>100.0</v>
      </c>
      <c r="AQ321" s="34">
        <v>0.0</v>
      </c>
      <c r="AR321" s="34">
        <v>0.0</v>
      </c>
      <c r="AS321" s="33">
        <f>COUNTIFS('Data For Calculation - Insuranc'!A:A,A321,'Data For Calculation - Insuranc'!E:E,"RSA + AHDC + DOC")</f>
        <v>0</v>
      </c>
      <c r="AT321" s="33"/>
      <c r="AU321" s="33"/>
      <c r="AV321" s="33"/>
      <c r="AW321" s="33"/>
      <c r="AX321" s="33"/>
      <c r="AY321" s="33"/>
      <c r="AZ321" s="33"/>
      <c r="BA321" s="33"/>
      <c r="BB321" s="33"/>
      <c r="BC321" s="33"/>
      <c r="BD321" s="33"/>
      <c r="BE321" s="33"/>
      <c r="BF321" s="33"/>
      <c r="BG321" s="33"/>
      <c r="BH321" s="33"/>
      <c r="BI321" s="33"/>
      <c r="BJ321" s="33"/>
      <c r="BK321" s="33"/>
      <c r="BL321" s="33"/>
      <c r="BM321" s="33"/>
      <c r="BN321" s="33"/>
      <c r="BO321" s="33"/>
      <c r="BP321" s="33"/>
      <c r="BQ321" s="33"/>
      <c r="BR321" s="33">
        <f t="shared" si="1"/>
        <v>0</v>
      </c>
      <c r="BS321" s="33">
        <f>SUMIFS('Data For Calculation - Insuranc'!I:I,'Data For Calculation - Insuranc'!$A:$A,$A321)</f>
        <v>0</v>
      </c>
      <c r="BT321" s="33">
        <f>SUMIFS('Data For Calculation - Insuranc'!J:J,'Data For Calculation - Insuranc'!$A:$A,$A321)</f>
        <v>0</v>
      </c>
      <c r="BU321" s="33">
        <f>SUMIFS('Data For Calculation - Insuranc'!K:K,'Data For Calculation - Insuranc'!$A:$A,$A321)</f>
        <v>0</v>
      </c>
      <c r="BV321" s="33">
        <f>IF($CC321 = "Dealer", SUMIFS('Data For Calculation - Insuranc'!I:I,'Data For Calculation - Insuranc'!$B:$B,$A321,'Data For Calculation - Insuranc'!$H:$H,"Master Dealer")) + SUMIFS('Data For Calculation - Insuranc'!I:I,'Data For Calculation - Insuranc'!$A:$A,$A321,'Data For Calculation - Insuranc'!$H:$H,"Self")</f>
        <v>0</v>
      </c>
      <c r="BW321" s="33">
        <f>IF($CC321 = "Dealer", SUMIFS('Data For Calculation - Insuranc'!J:J,'Data For Calculation - Insuranc'!$B:$B,$A321,'Data For Calculation - Insuranc'!$H:$H,"Master Dealer")) + SUMIFS('Data For Calculation - Insuranc'!J:J,'Data For Calculation - Insuranc'!$A:$A,$A321,'Data For Calculation - Insuranc'!$H:$H,"Self")</f>
        <v>0</v>
      </c>
      <c r="BX321" s="33">
        <f>IF($CC321 = "Dealer", SUMIFS('Data For Calculation - Insuranc'!K:K,'Data For Calculation - Insuranc'!$B:$B,$A321,'Data For Calculation - Insuranc'!$H:$H,"Master Dealer")) + SUMIFS('Data For Calculation - Insuranc'!K:K,'Data For Calculation - Insuranc'!$A:$A,$A321,'Data For Calculation - Insuranc'!$H:$H,"Self")</f>
        <v>0</v>
      </c>
      <c r="BY321" s="25" t="str">
        <f>(Sheet1!N321)</f>
        <v>VAISHNO MOTORS - JHUGAWA</v>
      </c>
      <c r="BZ321" s="25" t="str">
        <f>(Sheet1!O321)</f>
        <v>1T9TOPNccEkZyvcMjs5_ErkZRFNoV3A33YcZPKCnjNeI</v>
      </c>
      <c r="CA321" s="25" t="str">
        <f>(Sheet1!AV321)</f>
        <v/>
      </c>
      <c r="CB321" s="25" t="str">
        <f>(Sheet1!AW321)</f>
        <v/>
      </c>
      <c r="CC321" s="26" t="str">
        <f>(Sheet1!P321)</f>
        <v>Sub Dealer</v>
      </c>
    </row>
    <row r="322">
      <c r="A322" s="25" t="str">
        <f>(Sheet1!A322)</f>
        <v>1HsbszineZ8va458kuZefN1vGO1MrkT5vTk2Vpv1-Znw</v>
      </c>
      <c r="B322" s="25" t="str">
        <f>(Sheet1!B322)</f>
        <v>S S MOTORS(VM) - KUSHINAGAR</v>
      </c>
      <c r="C322" s="30" t="str">
        <f>Sheet1!BB322</f>
        <v>No</v>
      </c>
      <c r="D322" s="30" t="s">
        <v>13</v>
      </c>
      <c r="E322" s="34" t="s">
        <v>13</v>
      </c>
      <c r="F322" s="30" t="s">
        <v>3817</v>
      </c>
      <c r="G322" s="31">
        <v>290.0</v>
      </c>
      <c r="H322" s="34" t="s">
        <v>3853</v>
      </c>
      <c r="I322" s="34">
        <v>0.0</v>
      </c>
      <c r="J322" s="34">
        <v>100.0</v>
      </c>
      <c r="K322" s="34">
        <v>0.0</v>
      </c>
      <c r="L322" s="34">
        <v>0.0</v>
      </c>
      <c r="M322" s="33">
        <f>COUNTIFS('Data For Calculation - Insuranc'!A:A,A322,'Data For Calculation - Insuranc'!E:E,"CPA + RSA")</f>
        <v>0</v>
      </c>
      <c r="N322" s="30" t="s">
        <v>3854</v>
      </c>
      <c r="O322" s="31">
        <v>460.0</v>
      </c>
      <c r="P322" s="34" t="s">
        <v>3853</v>
      </c>
      <c r="Q322" s="34">
        <v>20.0</v>
      </c>
      <c r="R322" s="34">
        <v>60.0</v>
      </c>
      <c r="S322" s="34">
        <v>20.0</v>
      </c>
      <c r="T322" s="34">
        <v>20.0</v>
      </c>
      <c r="U322" s="33">
        <f>COUNTIFS('Data For Calculation - Insuranc'!A:A,A322,'Data For Calculation - Insuranc'!E:E,"CPA + RSA + AHDC + DOC")</f>
        <v>0</v>
      </c>
      <c r="V322" s="30" t="s">
        <v>3817</v>
      </c>
      <c r="W322" s="34">
        <v>838.99</v>
      </c>
      <c r="X322" s="34" t="s">
        <v>3853</v>
      </c>
      <c r="Y322" s="34">
        <v>0.0</v>
      </c>
      <c r="Z322" s="34">
        <v>100.0</v>
      </c>
      <c r="AA322" s="34">
        <v>0.0</v>
      </c>
      <c r="AB322" s="34">
        <v>0.0</v>
      </c>
      <c r="AC322" s="33">
        <f>COUNTIFS('Data For Calculation - Insuranc'!A:A,A322,'Data For Calculation - Insuranc'!E:E,"CPA + RSA : 5 Years")</f>
        <v>0</v>
      </c>
      <c r="AD322" s="30" t="s">
        <v>3817</v>
      </c>
      <c r="AE322" s="31">
        <v>838.99</v>
      </c>
      <c r="AF322" s="34" t="s">
        <v>3853</v>
      </c>
      <c r="AG322" s="34">
        <v>0.0</v>
      </c>
      <c r="AH322" s="34">
        <v>100.0</v>
      </c>
      <c r="AI322" s="34">
        <v>0.0</v>
      </c>
      <c r="AJ322" s="34">
        <v>0.0</v>
      </c>
      <c r="AK322" s="33">
        <f>COUNTIFS('Data For Calculation - Insuranc'!A:A,A322,'Data For Calculation - Insuranc'!E:E,"Assistance + CPA : 5 Years")</f>
        <v>0</v>
      </c>
      <c r="AL322" s="30" t="s">
        <v>3817</v>
      </c>
      <c r="AM322" s="31">
        <v>290.0</v>
      </c>
      <c r="AN322" s="34" t="s">
        <v>3853</v>
      </c>
      <c r="AO322" s="34">
        <v>0.0</v>
      </c>
      <c r="AP322" s="34">
        <v>100.0</v>
      </c>
      <c r="AQ322" s="34">
        <v>0.0</v>
      </c>
      <c r="AR322" s="34">
        <v>0.0</v>
      </c>
      <c r="AS322" s="33">
        <f>COUNTIFS('Data For Calculation - Insuranc'!A:A,A322,'Data For Calculation - Insuranc'!E:E,"RSA + AHDC + DOC")</f>
        <v>0</v>
      </c>
      <c r="AT322" s="33"/>
      <c r="AU322" s="33"/>
      <c r="AV322" s="33"/>
      <c r="AW322" s="33"/>
      <c r="AX322" s="33"/>
      <c r="AY322" s="33"/>
      <c r="AZ322" s="33"/>
      <c r="BA322" s="33"/>
      <c r="BB322" s="33"/>
      <c r="BC322" s="33"/>
      <c r="BD322" s="33"/>
      <c r="BE322" s="33"/>
      <c r="BF322" s="33"/>
      <c r="BG322" s="33"/>
      <c r="BH322" s="33"/>
      <c r="BI322" s="33"/>
      <c r="BJ322" s="33"/>
      <c r="BK322" s="33"/>
      <c r="BL322" s="33"/>
      <c r="BM322" s="33"/>
      <c r="BN322" s="33"/>
      <c r="BO322" s="33"/>
      <c r="BP322" s="33"/>
      <c r="BQ322" s="33"/>
      <c r="BR322" s="33">
        <f t="shared" si="1"/>
        <v>0</v>
      </c>
      <c r="BS322" s="33">
        <f>SUMIFS('Data For Calculation - Insuranc'!I:I,'Data For Calculation - Insuranc'!$A:$A,$A322)</f>
        <v>0</v>
      </c>
      <c r="BT322" s="33">
        <f>SUMIFS('Data For Calculation - Insuranc'!J:J,'Data For Calculation - Insuranc'!$A:$A,$A322)</f>
        <v>0</v>
      </c>
      <c r="BU322" s="33">
        <f>SUMIFS('Data For Calculation - Insuranc'!K:K,'Data For Calculation - Insuranc'!$A:$A,$A322)</f>
        <v>0</v>
      </c>
      <c r="BV322" s="33">
        <f>IF($CC322 = "Dealer", SUMIFS('Data For Calculation - Insuranc'!I:I,'Data For Calculation - Insuranc'!$B:$B,$A322,'Data For Calculation - Insuranc'!$H:$H,"Master Dealer")) + SUMIFS('Data For Calculation - Insuranc'!I:I,'Data For Calculation - Insuranc'!$A:$A,$A322,'Data For Calculation - Insuranc'!$H:$H,"Self")</f>
        <v>0</v>
      </c>
      <c r="BW322" s="33">
        <f>IF($CC322 = "Dealer", SUMIFS('Data For Calculation - Insuranc'!J:J,'Data For Calculation - Insuranc'!$B:$B,$A322,'Data For Calculation - Insuranc'!$H:$H,"Master Dealer")) + SUMIFS('Data For Calculation - Insuranc'!J:J,'Data For Calculation - Insuranc'!$A:$A,$A322,'Data For Calculation - Insuranc'!$H:$H,"Self")</f>
        <v>0</v>
      </c>
      <c r="BX322" s="33">
        <f>IF($CC322 = "Dealer", SUMIFS('Data For Calculation - Insuranc'!K:K,'Data For Calculation - Insuranc'!$B:$B,$A322,'Data For Calculation - Insuranc'!$H:$H,"Master Dealer")) + SUMIFS('Data For Calculation - Insuranc'!K:K,'Data For Calculation - Insuranc'!$A:$A,$A322,'Data For Calculation - Insuranc'!$H:$H,"Self")</f>
        <v>0</v>
      </c>
      <c r="BY322" s="25" t="str">
        <f>(Sheet1!N322)</f>
        <v>VAISHNO MOTORS - JHUGAWA</v>
      </c>
      <c r="BZ322" s="25" t="str">
        <f>(Sheet1!O322)</f>
        <v>1T9TOPNccEkZyvcMjs5_ErkZRFNoV3A33YcZPKCnjNeI</v>
      </c>
      <c r="CA322" s="25" t="str">
        <f>(Sheet1!AV322)</f>
        <v/>
      </c>
      <c r="CB322" s="25" t="str">
        <f>(Sheet1!AW322)</f>
        <v/>
      </c>
      <c r="CC322" s="26" t="str">
        <f>(Sheet1!P322)</f>
        <v>Sub Dealer</v>
      </c>
    </row>
    <row r="323">
      <c r="A323" s="25" t="str">
        <f>(Sheet1!A323)</f>
        <v>1V_fMo1qdnu3csZ89JNIghSxO3e0-gG5YDEzRqHF_0Wk</v>
      </c>
      <c r="B323" s="25" t="str">
        <f>(Sheet1!B323)</f>
        <v>C.K.R MOTORS (VM) - KUSHINAGAR</v>
      </c>
      <c r="C323" s="30" t="str">
        <f>Sheet1!BB323</f>
        <v>No</v>
      </c>
      <c r="D323" s="30" t="s">
        <v>13</v>
      </c>
      <c r="E323" s="34" t="s">
        <v>13</v>
      </c>
      <c r="F323" s="30" t="s">
        <v>3817</v>
      </c>
      <c r="G323" s="31">
        <v>290.0</v>
      </c>
      <c r="H323" s="34" t="s">
        <v>3853</v>
      </c>
      <c r="I323" s="34">
        <v>0.0</v>
      </c>
      <c r="J323" s="34">
        <v>100.0</v>
      </c>
      <c r="K323" s="34">
        <v>0.0</v>
      </c>
      <c r="L323" s="34">
        <v>0.0</v>
      </c>
      <c r="M323" s="33">
        <f>COUNTIFS('Data For Calculation - Insuranc'!A:A,A323,'Data For Calculation - Insuranc'!E:E,"CPA + RSA")</f>
        <v>0</v>
      </c>
      <c r="N323" s="30" t="s">
        <v>3854</v>
      </c>
      <c r="O323" s="31">
        <v>460.0</v>
      </c>
      <c r="P323" s="34" t="s">
        <v>3853</v>
      </c>
      <c r="Q323" s="34">
        <v>20.0</v>
      </c>
      <c r="R323" s="34">
        <v>60.0</v>
      </c>
      <c r="S323" s="34">
        <v>20.0</v>
      </c>
      <c r="T323" s="34">
        <v>20.0</v>
      </c>
      <c r="U323" s="33">
        <f>COUNTIFS('Data For Calculation - Insuranc'!A:A,A323,'Data For Calculation - Insuranc'!E:E,"CPA + RSA + AHDC + DOC")</f>
        <v>0</v>
      </c>
      <c r="V323" s="30" t="s">
        <v>3817</v>
      </c>
      <c r="W323" s="34">
        <v>838.99</v>
      </c>
      <c r="X323" s="34" t="s">
        <v>3853</v>
      </c>
      <c r="Y323" s="34">
        <v>0.0</v>
      </c>
      <c r="Z323" s="34">
        <v>100.0</v>
      </c>
      <c r="AA323" s="34">
        <v>0.0</v>
      </c>
      <c r="AB323" s="34">
        <v>0.0</v>
      </c>
      <c r="AC323" s="33">
        <f>COUNTIFS('Data For Calculation - Insuranc'!A:A,A323,'Data For Calculation - Insuranc'!E:E,"CPA + RSA : 5 Years")</f>
        <v>0</v>
      </c>
      <c r="AD323" s="30" t="s">
        <v>3817</v>
      </c>
      <c r="AE323" s="31">
        <v>838.99</v>
      </c>
      <c r="AF323" s="34" t="s">
        <v>3853</v>
      </c>
      <c r="AG323" s="34">
        <v>0.0</v>
      </c>
      <c r="AH323" s="34">
        <v>100.0</v>
      </c>
      <c r="AI323" s="34">
        <v>0.0</v>
      </c>
      <c r="AJ323" s="34">
        <v>0.0</v>
      </c>
      <c r="AK323" s="33">
        <f>COUNTIFS('Data For Calculation - Insuranc'!A:A,A323,'Data For Calculation - Insuranc'!E:E,"Assistance + CPA : 5 Years")</f>
        <v>0</v>
      </c>
      <c r="AL323" s="30" t="s">
        <v>3817</v>
      </c>
      <c r="AM323" s="31">
        <v>290.0</v>
      </c>
      <c r="AN323" s="34" t="s">
        <v>3853</v>
      </c>
      <c r="AO323" s="34">
        <v>0.0</v>
      </c>
      <c r="AP323" s="34">
        <v>100.0</v>
      </c>
      <c r="AQ323" s="34">
        <v>0.0</v>
      </c>
      <c r="AR323" s="34">
        <v>0.0</v>
      </c>
      <c r="AS323" s="33">
        <f>COUNTIFS('Data For Calculation - Insuranc'!A:A,A323,'Data For Calculation - Insuranc'!E:E,"RSA + AHDC + DOC")</f>
        <v>0</v>
      </c>
      <c r="AT323" s="33"/>
      <c r="AU323" s="33"/>
      <c r="AV323" s="33"/>
      <c r="AW323" s="33"/>
      <c r="AX323" s="33"/>
      <c r="AY323" s="33"/>
      <c r="AZ323" s="33"/>
      <c r="BA323" s="33"/>
      <c r="BB323" s="33"/>
      <c r="BC323" s="33"/>
      <c r="BD323" s="33"/>
      <c r="BE323" s="33"/>
      <c r="BF323" s="33"/>
      <c r="BG323" s="33"/>
      <c r="BH323" s="33"/>
      <c r="BI323" s="33"/>
      <c r="BJ323" s="33"/>
      <c r="BK323" s="33"/>
      <c r="BL323" s="33"/>
      <c r="BM323" s="33"/>
      <c r="BN323" s="33"/>
      <c r="BO323" s="33"/>
      <c r="BP323" s="33"/>
      <c r="BQ323" s="33"/>
      <c r="BR323" s="33">
        <f t="shared" si="1"/>
        <v>0</v>
      </c>
      <c r="BS323" s="33">
        <f>SUMIFS('Data For Calculation - Insuranc'!I:I,'Data For Calculation - Insuranc'!$A:$A,$A323)</f>
        <v>0</v>
      </c>
      <c r="BT323" s="33">
        <f>SUMIFS('Data For Calculation - Insuranc'!J:J,'Data For Calculation - Insuranc'!$A:$A,$A323)</f>
        <v>0</v>
      </c>
      <c r="BU323" s="33">
        <f>SUMIFS('Data For Calculation - Insuranc'!K:K,'Data For Calculation - Insuranc'!$A:$A,$A323)</f>
        <v>0</v>
      </c>
      <c r="BV323" s="33">
        <f>IF($CC323 = "Dealer", SUMIFS('Data For Calculation - Insuranc'!I:I,'Data For Calculation - Insuranc'!$B:$B,$A323,'Data For Calculation - Insuranc'!$H:$H,"Master Dealer")) + SUMIFS('Data For Calculation - Insuranc'!I:I,'Data For Calculation - Insuranc'!$A:$A,$A323,'Data For Calculation - Insuranc'!$H:$H,"Self")</f>
        <v>0</v>
      </c>
      <c r="BW323" s="33">
        <f>IF($CC323 = "Dealer", SUMIFS('Data For Calculation - Insuranc'!J:J,'Data For Calculation - Insuranc'!$B:$B,$A323,'Data For Calculation - Insuranc'!$H:$H,"Master Dealer")) + SUMIFS('Data For Calculation - Insuranc'!J:J,'Data For Calculation - Insuranc'!$A:$A,$A323,'Data For Calculation - Insuranc'!$H:$H,"Self")</f>
        <v>0</v>
      </c>
      <c r="BX323" s="33">
        <f>IF($CC323 = "Dealer", SUMIFS('Data For Calculation - Insuranc'!K:K,'Data For Calculation - Insuranc'!$B:$B,$A323,'Data For Calculation - Insuranc'!$H:$H,"Master Dealer")) + SUMIFS('Data For Calculation - Insuranc'!K:K,'Data For Calculation - Insuranc'!$A:$A,$A323,'Data For Calculation - Insuranc'!$H:$H,"Self")</f>
        <v>0</v>
      </c>
      <c r="BY323" s="25" t="str">
        <f>(Sheet1!N323)</f>
        <v>VAISHNO MOTORS - JHUGAWA</v>
      </c>
      <c r="BZ323" s="25" t="str">
        <f>(Sheet1!O323)</f>
        <v>1T9TOPNccEkZyvcMjs5_ErkZRFNoV3A33YcZPKCnjNeI</v>
      </c>
      <c r="CA323" s="25" t="str">
        <f>(Sheet1!AV323)</f>
        <v/>
      </c>
      <c r="CB323" s="25" t="str">
        <f>(Sheet1!AW323)</f>
        <v/>
      </c>
      <c r="CC323" s="26" t="str">
        <f>(Sheet1!P323)</f>
        <v>Sub Dealer</v>
      </c>
    </row>
    <row r="324">
      <c r="A324" s="25" t="str">
        <f>(Sheet1!A324)</f>
        <v>1widHkGzeFIwrSJjcgWI00dRaKCvRfPAM7fIXW9w6sfc</v>
      </c>
      <c r="B324" s="25" t="str">
        <f>(Sheet1!B324)</f>
        <v>GOLU AUTOMOBILE (VM) - KUSHINAGAR</v>
      </c>
      <c r="C324" s="30" t="str">
        <f>Sheet1!BB324</f>
        <v>No</v>
      </c>
      <c r="D324" s="30" t="s">
        <v>13</v>
      </c>
      <c r="E324" s="34" t="s">
        <v>13</v>
      </c>
      <c r="F324" s="30" t="s">
        <v>3817</v>
      </c>
      <c r="G324" s="31">
        <v>290.0</v>
      </c>
      <c r="H324" s="34" t="s">
        <v>3853</v>
      </c>
      <c r="I324" s="34">
        <v>0.0</v>
      </c>
      <c r="J324" s="34">
        <v>100.0</v>
      </c>
      <c r="K324" s="34">
        <v>0.0</v>
      </c>
      <c r="L324" s="34">
        <v>0.0</v>
      </c>
      <c r="M324" s="33">
        <f>COUNTIFS('Data For Calculation - Insuranc'!A:A,A324,'Data For Calculation - Insuranc'!E:E,"CPA + RSA")</f>
        <v>0</v>
      </c>
      <c r="N324" s="30" t="s">
        <v>3854</v>
      </c>
      <c r="O324" s="31">
        <v>460.0</v>
      </c>
      <c r="P324" s="34" t="s">
        <v>3853</v>
      </c>
      <c r="Q324" s="34">
        <v>20.0</v>
      </c>
      <c r="R324" s="34">
        <v>60.0</v>
      </c>
      <c r="S324" s="34">
        <v>20.0</v>
      </c>
      <c r="T324" s="34">
        <v>20.0</v>
      </c>
      <c r="U324" s="33">
        <f>COUNTIFS('Data For Calculation - Insuranc'!A:A,A324,'Data For Calculation - Insuranc'!E:E,"CPA + RSA + AHDC + DOC")</f>
        <v>0</v>
      </c>
      <c r="V324" s="30" t="s">
        <v>3817</v>
      </c>
      <c r="W324" s="34">
        <v>838.99</v>
      </c>
      <c r="X324" s="34" t="s">
        <v>3853</v>
      </c>
      <c r="Y324" s="34">
        <v>0.0</v>
      </c>
      <c r="Z324" s="34">
        <v>100.0</v>
      </c>
      <c r="AA324" s="34">
        <v>0.0</v>
      </c>
      <c r="AB324" s="34">
        <v>0.0</v>
      </c>
      <c r="AC324" s="33">
        <f>COUNTIFS('Data For Calculation - Insuranc'!A:A,A324,'Data For Calculation - Insuranc'!E:E,"CPA + RSA : 5 Years")</f>
        <v>0</v>
      </c>
      <c r="AD324" s="30" t="s">
        <v>3817</v>
      </c>
      <c r="AE324" s="31">
        <v>838.99</v>
      </c>
      <c r="AF324" s="34" t="s">
        <v>3853</v>
      </c>
      <c r="AG324" s="34">
        <v>0.0</v>
      </c>
      <c r="AH324" s="34">
        <v>100.0</v>
      </c>
      <c r="AI324" s="34">
        <v>0.0</v>
      </c>
      <c r="AJ324" s="34">
        <v>0.0</v>
      </c>
      <c r="AK324" s="33">
        <f>COUNTIFS('Data For Calculation - Insuranc'!A:A,A324,'Data For Calculation - Insuranc'!E:E,"Assistance + CPA : 5 Years")</f>
        <v>0</v>
      </c>
      <c r="AL324" s="30" t="s">
        <v>3817</v>
      </c>
      <c r="AM324" s="31">
        <v>290.0</v>
      </c>
      <c r="AN324" s="34" t="s">
        <v>3853</v>
      </c>
      <c r="AO324" s="34">
        <v>0.0</v>
      </c>
      <c r="AP324" s="34">
        <v>100.0</v>
      </c>
      <c r="AQ324" s="34">
        <v>0.0</v>
      </c>
      <c r="AR324" s="34">
        <v>0.0</v>
      </c>
      <c r="AS324" s="33">
        <f>COUNTIFS('Data For Calculation - Insuranc'!A:A,A324,'Data For Calculation - Insuranc'!E:E,"RSA + AHDC + DOC")</f>
        <v>0</v>
      </c>
      <c r="AT324" s="33"/>
      <c r="AU324" s="33"/>
      <c r="AV324" s="33"/>
      <c r="AW324" s="33"/>
      <c r="AX324" s="33"/>
      <c r="AY324" s="33"/>
      <c r="AZ324" s="33"/>
      <c r="BA324" s="33"/>
      <c r="BB324" s="33"/>
      <c r="BC324" s="33"/>
      <c r="BD324" s="33"/>
      <c r="BE324" s="33"/>
      <c r="BF324" s="33"/>
      <c r="BG324" s="33"/>
      <c r="BH324" s="33"/>
      <c r="BI324" s="33"/>
      <c r="BJ324" s="33"/>
      <c r="BK324" s="33"/>
      <c r="BL324" s="33"/>
      <c r="BM324" s="33"/>
      <c r="BN324" s="33"/>
      <c r="BO324" s="33"/>
      <c r="BP324" s="33"/>
      <c r="BQ324" s="33"/>
      <c r="BR324" s="33">
        <f t="shared" si="1"/>
        <v>0</v>
      </c>
      <c r="BS324" s="33">
        <f>SUMIFS('Data For Calculation - Insuranc'!I:I,'Data For Calculation - Insuranc'!$A:$A,$A324)</f>
        <v>0</v>
      </c>
      <c r="BT324" s="33">
        <f>SUMIFS('Data For Calculation - Insuranc'!J:J,'Data For Calculation - Insuranc'!$A:$A,$A324)</f>
        <v>0</v>
      </c>
      <c r="BU324" s="33">
        <f>SUMIFS('Data For Calculation - Insuranc'!K:K,'Data For Calculation - Insuranc'!$A:$A,$A324)</f>
        <v>0</v>
      </c>
      <c r="BV324" s="33">
        <f>IF($CC324 = "Dealer", SUMIFS('Data For Calculation - Insuranc'!I:I,'Data For Calculation - Insuranc'!$B:$B,$A324,'Data For Calculation - Insuranc'!$H:$H,"Master Dealer")) + SUMIFS('Data For Calculation - Insuranc'!I:I,'Data For Calculation - Insuranc'!$A:$A,$A324,'Data For Calculation - Insuranc'!$H:$H,"Self")</f>
        <v>0</v>
      </c>
      <c r="BW324" s="33">
        <f>IF($CC324 = "Dealer", SUMIFS('Data For Calculation - Insuranc'!J:J,'Data For Calculation - Insuranc'!$B:$B,$A324,'Data For Calculation - Insuranc'!$H:$H,"Master Dealer")) + SUMIFS('Data For Calculation - Insuranc'!J:J,'Data For Calculation - Insuranc'!$A:$A,$A324,'Data For Calculation - Insuranc'!$H:$H,"Self")</f>
        <v>0</v>
      </c>
      <c r="BX324" s="33">
        <f>IF($CC324 = "Dealer", SUMIFS('Data For Calculation - Insuranc'!K:K,'Data For Calculation - Insuranc'!$B:$B,$A324,'Data For Calculation - Insuranc'!$H:$H,"Master Dealer")) + SUMIFS('Data For Calculation - Insuranc'!K:K,'Data For Calculation - Insuranc'!$A:$A,$A324,'Data For Calculation - Insuranc'!$H:$H,"Self")</f>
        <v>0</v>
      </c>
      <c r="BY324" s="25" t="str">
        <f>(Sheet1!N324)</f>
        <v>VAISHNO MOTORS - JHUGAWA</v>
      </c>
      <c r="BZ324" s="25" t="str">
        <f>(Sheet1!O324)</f>
        <v>1T9TOPNccEkZyvcMjs5_ErkZRFNoV3A33YcZPKCnjNeI</v>
      </c>
      <c r="CA324" s="25" t="str">
        <f>(Sheet1!AV324)</f>
        <v/>
      </c>
      <c r="CB324" s="25" t="str">
        <f>(Sheet1!AW324)</f>
        <v/>
      </c>
      <c r="CC324" s="26" t="str">
        <f>(Sheet1!P324)</f>
        <v>Sub Dealer</v>
      </c>
    </row>
    <row r="325">
      <c r="A325" s="25" t="str">
        <f>(Sheet1!A325)</f>
        <v>16tjO40jnriUy06QB22S0NR8Wknhx9T0lcBH_yEqsZIw</v>
      </c>
      <c r="B325" s="25" t="str">
        <f>(Sheet1!B325)</f>
        <v>TANUSHKA HERO- GWALIOR</v>
      </c>
      <c r="C325" s="30" t="str">
        <f>Sheet1!BB325</f>
        <v>No</v>
      </c>
      <c r="D325" s="30" t="s">
        <v>13</v>
      </c>
      <c r="E325" s="34" t="s">
        <v>13</v>
      </c>
      <c r="F325" s="30" t="s">
        <v>3817</v>
      </c>
      <c r="G325" s="31">
        <v>290.0</v>
      </c>
      <c r="H325" s="34" t="s">
        <v>3853</v>
      </c>
      <c r="I325" s="34">
        <v>0.0</v>
      </c>
      <c r="J325" s="34">
        <v>100.0</v>
      </c>
      <c r="K325" s="34">
        <v>0.0</v>
      </c>
      <c r="L325" s="34">
        <v>0.0</v>
      </c>
      <c r="M325" s="33">
        <f>COUNTIFS('Data For Calculation - Insuranc'!A:A,A325,'Data For Calculation - Insuranc'!E:E,"CPA + RSA")</f>
        <v>0</v>
      </c>
      <c r="N325" s="30" t="s">
        <v>3854</v>
      </c>
      <c r="O325" s="31">
        <v>460.0</v>
      </c>
      <c r="P325" s="34" t="s">
        <v>3853</v>
      </c>
      <c r="Q325" s="34">
        <v>20.0</v>
      </c>
      <c r="R325" s="34">
        <v>60.0</v>
      </c>
      <c r="S325" s="34">
        <v>20.0</v>
      </c>
      <c r="T325" s="34">
        <v>20.0</v>
      </c>
      <c r="U325" s="33">
        <f>COUNTIFS('Data For Calculation - Insuranc'!A:A,A325,'Data For Calculation - Insuranc'!E:E,"CPA + RSA + AHDC + DOC")</f>
        <v>0</v>
      </c>
      <c r="V325" s="30" t="s">
        <v>3817</v>
      </c>
      <c r="W325" s="34">
        <v>838.99</v>
      </c>
      <c r="X325" s="34" t="s">
        <v>3853</v>
      </c>
      <c r="Y325" s="34">
        <v>0.0</v>
      </c>
      <c r="Z325" s="34">
        <v>100.0</v>
      </c>
      <c r="AA325" s="34">
        <v>0.0</v>
      </c>
      <c r="AB325" s="34">
        <v>0.0</v>
      </c>
      <c r="AC325" s="33">
        <f>COUNTIFS('Data For Calculation - Insuranc'!A:A,A325,'Data For Calculation - Insuranc'!E:E,"CPA + RSA : 5 Years")</f>
        <v>0</v>
      </c>
      <c r="AD325" s="30" t="s">
        <v>3817</v>
      </c>
      <c r="AE325" s="31">
        <v>838.99</v>
      </c>
      <c r="AF325" s="34" t="s">
        <v>3853</v>
      </c>
      <c r="AG325" s="34">
        <v>0.0</v>
      </c>
      <c r="AH325" s="34">
        <v>100.0</v>
      </c>
      <c r="AI325" s="34">
        <v>0.0</v>
      </c>
      <c r="AJ325" s="34">
        <v>0.0</v>
      </c>
      <c r="AK325" s="33">
        <f>COUNTIFS('Data For Calculation - Insuranc'!A:A,A325,'Data For Calculation - Insuranc'!E:E,"Assistance + CPA : 5 Years")</f>
        <v>0</v>
      </c>
      <c r="AL325" s="30" t="s">
        <v>3817</v>
      </c>
      <c r="AM325" s="31">
        <v>290.0</v>
      </c>
      <c r="AN325" s="34" t="s">
        <v>3853</v>
      </c>
      <c r="AO325" s="34">
        <v>0.0</v>
      </c>
      <c r="AP325" s="34">
        <v>100.0</v>
      </c>
      <c r="AQ325" s="34">
        <v>0.0</v>
      </c>
      <c r="AR325" s="34">
        <v>0.0</v>
      </c>
      <c r="AS325" s="33">
        <f>COUNTIFS('Data For Calculation - Insuranc'!A:A,A325,'Data For Calculation - Insuranc'!E:E,"RSA + AHDC + DOC")</f>
        <v>0</v>
      </c>
      <c r="AT325" s="33"/>
      <c r="AU325" s="33"/>
      <c r="AV325" s="33"/>
      <c r="AW325" s="33"/>
      <c r="AX325" s="33"/>
      <c r="AY325" s="33"/>
      <c r="AZ325" s="33"/>
      <c r="BA325" s="33"/>
      <c r="BB325" s="33"/>
      <c r="BC325" s="33"/>
      <c r="BD325" s="33"/>
      <c r="BE325" s="33"/>
      <c r="BF325" s="33"/>
      <c r="BG325" s="33"/>
      <c r="BH325" s="33"/>
      <c r="BI325" s="33"/>
      <c r="BJ325" s="33"/>
      <c r="BK325" s="33"/>
      <c r="BL325" s="33"/>
      <c r="BM325" s="33"/>
      <c r="BN325" s="33"/>
      <c r="BO325" s="33"/>
      <c r="BP325" s="33"/>
      <c r="BQ325" s="33"/>
      <c r="BR325" s="33">
        <f t="shared" si="1"/>
        <v>0</v>
      </c>
      <c r="BS325" s="33">
        <f>SUMIFS('Data For Calculation - Insuranc'!I:I,'Data For Calculation - Insuranc'!$A:$A,$A325)</f>
        <v>0</v>
      </c>
      <c r="BT325" s="33">
        <f>SUMIFS('Data For Calculation - Insuranc'!J:J,'Data For Calculation - Insuranc'!$A:$A,$A325)</f>
        <v>0</v>
      </c>
      <c r="BU325" s="33">
        <f>SUMIFS('Data For Calculation - Insuranc'!K:K,'Data For Calculation - Insuranc'!$A:$A,$A325)</f>
        <v>0</v>
      </c>
      <c r="BV325" s="33">
        <f>IF($CC325 = "Dealer", SUMIFS('Data For Calculation - Insuranc'!I:I,'Data For Calculation - Insuranc'!$B:$B,$A325,'Data For Calculation - Insuranc'!$H:$H,"Master Dealer")) + SUMIFS('Data For Calculation - Insuranc'!I:I,'Data For Calculation - Insuranc'!$A:$A,$A325,'Data For Calculation - Insuranc'!$H:$H,"Self")</f>
        <v>0</v>
      </c>
      <c r="BW325" s="33">
        <f>IF($CC325 = "Dealer", SUMIFS('Data For Calculation - Insuranc'!J:J,'Data For Calculation - Insuranc'!$B:$B,$A325,'Data For Calculation - Insuranc'!$H:$H,"Master Dealer")) + SUMIFS('Data For Calculation - Insuranc'!J:J,'Data For Calculation - Insuranc'!$A:$A,$A325,'Data For Calculation - Insuranc'!$H:$H,"Self")</f>
        <v>0</v>
      </c>
      <c r="BX325" s="33">
        <f>IF($CC325 = "Dealer", SUMIFS('Data For Calculation - Insuranc'!K:K,'Data For Calculation - Insuranc'!$B:$B,$A325,'Data For Calculation - Insuranc'!$H:$H,"Master Dealer")) + SUMIFS('Data For Calculation - Insuranc'!K:K,'Data For Calculation - Insuranc'!$A:$A,$A325,'Data For Calculation - Insuranc'!$H:$H,"Self")</f>
        <v>0</v>
      </c>
      <c r="BY325" s="25" t="str">
        <f>(Sheet1!N325)</f>
        <v>TANUSHKA HERO- GWALIOR</v>
      </c>
      <c r="BZ325" s="25" t="str">
        <f>(Sheet1!O325)</f>
        <v>16tjO40jnriUy06QB22S0NR8Wknhx9T0lcBH_yEqsZIw</v>
      </c>
      <c r="CA325" s="25" t="str">
        <f>(Sheet1!AV325)</f>
        <v/>
      </c>
      <c r="CB325" s="25" t="str">
        <f>(Sheet1!AW325)</f>
        <v/>
      </c>
      <c r="CC325" s="26" t="str">
        <f>(Sheet1!P325)</f>
        <v>Dealer</v>
      </c>
    </row>
    <row r="326">
      <c r="A326" s="25" t="str">
        <f>(Sheet1!A326)</f>
        <v>1D40bKySVAERErGis9rDO7LQ53qmdU5GNEz2GXvuNXng</v>
      </c>
      <c r="B326" s="25" t="str">
        <f>(Sheet1!B326)</f>
        <v>BABA AUTOMOBILES- SHAJAPUR</v>
      </c>
      <c r="C326" s="30" t="str">
        <f>Sheet1!BB326</f>
        <v>No</v>
      </c>
      <c r="D326" s="30" t="s">
        <v>13</v>
      </c>
      <c r="E326" s="34" t="s">
        <v>13</v>
      </c>
      <c r="F326" s="30" t="s">
        <v>3817</v>
      </c>
      <c r="G326" s="31">
        <v>290.0</v>
      </c>
      <c r="H326" s="34" t="s">
        <v>3853</v>
      </c>
      <c r="I326" s="34">
        <v>0.0</v>
      </c>
      <c r="J326" s="34">
        <v>100.0</v>
      </c>
      <c r="K326" s="34">
        <v>0.0</v>
      </c>
      <c r="L326" s="34">
        <v>0.0</v>
      </c>
      <c r="M326" s="33">
        <f>COUNTIFS('Data For Calculation - Insuranc'!A:A,A326,'Data For Calculation - Insuranc'!E:E,"CPA + RSA")</f>
        <v>0</v>
      </c>
      <c r="N326" s="30" t="s">
        <v>3854</v>
      </c>
      <c r="O326" s="31">
        <v>460.0</v>
      </c>
      <c r="P326" s="34" t="s">
        <v>3853</v>
      </c>
      <c r="Q326" s="34">
        <v>20.0</v>
      </c>
      <c r="R326" s="34">
        <v>60.0</v>
      </c>
      <c r="S326" s="34">
        <v>20.0</v>
      </c>
      <c r="T326" s="34">
        <v>20.0</v>
      </c>
      <c r="U326" s="33">
        <f>COUNTIFS('Data For Calculation - Insuranc'!A:A,A326,'Data For Calculation - Insuranc'!E:E,"CPA + RSA + AHDC + DOC")</f>
        <v>0</v>
      </c>
      <c r="V326" s="30" t="s">
        <v>3817</v>
      </c>
      <c r="W326" s="34">
        <v>838.99</v>
      </c>
      <c r="X326" s="34" t="s">
        <v>3853</v>
      </c>
      <c r="Y326" s="34">
        <v>0.0</v>
      </c>
      <c r="Z326" s="34">
        <v>100.0</v>
      </c>
      <c r="AA326" s="34">
        <v>0.0</v>
      </c>
      <c r="AB326" s="34">
        <v>0.0</v>
      </c>
      <c r="AC326" s="33">
        <f>COUNTIFS('Data For Calculation - Insuranc'!A:A,A326,'Data For Calculation - Insuranc'!E:E,"CPA + RSA : 5 Years")</f>
        <v>0</v>
      </c>
      <c r="AD326" s="30" t="s">
        <v>3817</v>
      </c>
      <c r="AE326" s="31">
        <v>838.99</v>
      </c>
      <c r="AF326" s="34" t="s">
        <v>3853</v>
      </c>
      <c r="AG326" s="34">
        <v>0.0</v>
      </c>
      <c r="AH326" s="34">
        <v>100.0</v>
      </c>
      <c r="AI326" s="34">
        <v>0.0</v>
      </c>
      <c r="AJ326" s="34">
        <v>0.0</v>
      </c>
      <c r="AK326" s="33">
        <f>COUNTIFS('Data For Calculation - Insuranc'!A:A,A326,'Data For Calculation - Insuranc'!E:E,"Assistance + CPA : 5 Years")</f>
        <v>0</v>
      </c>
      <c r="AL326" s="30" t="s">
        <v>3817</v>
      </c>
      <c r="AM326" s="31">
        <v>290.0</v>
      </c>
      <c r="AN326" s="34" t="s">
        <v>3853</v>
      </c>
      <c r="AO326" s="34">
        <v>0.0</v>
      </c>
      <c r="AP326" s="34">
        <v>100.0</v>
      </c>
      <c r="AQ326" s="34">
        <v>0.0</v>
      </c>
      <c r="AR326" s="34">
        <v>0.0</v>
      </c>
      <c r="AS326" s="33">
        <f>COUNTIFS('Data For Calculation - Insuranc'!A:A,A326,'Data For Calculation - Insuranc'!E:E,"RSA + AHDC + DOC")</f>
        <v>0</v>
      </c>
      <c r="AT326" s="33"/>
      <c r="AU326" s="33"/>
      <c r="AV326" s="33"/>
      <c r="AW326" s="33"/>
      <c r="AX326" s="33"/>
      <c r="AY326" s="33"/>
      <c r="AZ326" s="33"/>
      <c r="BA326" s="33"/>
      <c r="BB326" s="33"/>
      <c r="BC326" s="33"/>
      <c r="BD326" s="33"/>
      <c r="BE326" s="33"/>
      <c r="BF326" s="33"/>
      <c r="BG326" s="33"/>
      <c r="BH326" s="33"/>
      <c r="BI326" s="33"/>
      <c r="BJ326" s="33"/>
      <c r="BK326" s="33"/>
      <c r="BL326" s="33"/>
      <c r="BM326" s="33"/>
      <c r="BN326" s="33"/>
      <c r="BO326" s="33"/>
      <c r="BP326" s="33"/>
      <c r="BQ326" s="33"/>
      <c r="BR326" s="33">
        <f t="shared" si="1"/>
        <v>0</v>
      </c>
      <c r="BS326" s="33">
        <f>SUMIFS('Data For Calculation - Insuranc'!I:I,'Data For Calculation - Insuranc'!$A:$A,$A326)</f>
        <v>0</v>
      </c>
      <c r="BT326" s="33">
        <f>SUMIFS('Data For Calculation - Insuranc'!J:J,'Data For Calculation - Insuranc'!$A:$A,$A326)</f>
        <v>0</v>
      </c>
      <c r="BU326" s="33">
        <f>SUMIFS('Data For Calculation - Insuranc'!K:K,'Data For Calculation - Insuranc'!$A:$A,$A326)</f>
        <v>0</v>
      </c>
      <c r="BV326" s="33">
        <f>IF($CC326 = "Dealer", SUMIFS('Data For Calculation - Insuranc'!I:I,'Data For Calculation - Insuranc'!$B:$B,$A326,'Data For Calculation - Insuranc'!$H:$H,"Master Dealer")) + SUMIFS('Data For Calculation - Insuranc'!I:I,'Data For Calculation - Insuranc'!$A:$A,$A326,'Data For Calculation - Insuranc'!$H:$H,"Self")</f>
        <v>0</v>
      </c>
      <c r="BW326" s="33">
        <f>IF($CC326 = "Dealer", SUMIFS('Data For Calculation - Insuranc'!J:J,'Data For Calculation - Insuranc'!$B:$B,$A326,'Data For Calculation - Insuranc'!$H:$H,"Master Dealer")) + SUMIFS('Data For Calculation - Insuranc'!J:J,'Data For Calculation - Insuranc'!$A:$A,$A326,'Data For Calculation - Insuranc'!$H:$H,"Self")</f>
        <v>0</v>
      </c>
      <c r="BX326" s="33">
        <f>IF($CC326 = "Dealer", SUMIFS('Data For Calculation - Insuranc'!K:K,'Data For Calculation - Insuranc'!$B:$B,$A326,'Data For Calculation - Insuranc'!$H:$H,"Master Dealer")) + SUMIFS('Data For Calculation - Insuranc'!K:K,'Data For Calculation - Insuranc'!$A:$A,$A326,'Data For Calculation - Insuranc'!$H:$H,"Self")</f>
        <v>0</v>
      </c>
      <c r="BY326" s="25" t="str">
        <f>(Sheet1!N326)</f>
        <v>BABA AUTOMOBILES- SHAJAPUR</v>
      </c>
      <c r="BZ326" s="25" t="str">
        <f>(Sheet1!O326)</f>
        <v>1D40bKySVAERErGis9rDO7LQ53qmdU5GNEz2GXvuNXng</v>
      </c>
      <c r="CA326" s="25" t="str">
        <f>(Sheet1!AV326)</f>
        <v/>
      </c>
      <c r="CB326" s="25" t="str">
        <f>(Sheet1!AW326)</f>
        <v/>
      </c>
      <c r="CC326" s="26" t="str">
        <f>(Sheet1!P326)</f>
        <v>Dealer</v>
      </c>
    </row>
    <row r="327">
      <c r="A327" s="25" t="str">
        <f>(Sheet1!A327)</f>
        <v>1kOPQVkAO_ArTU1kAd_VKRa8mVwn2PXu0IkpU2xQgvUI</v>
      </c>
      <c r="B327" s="25" t="str">
        <f>(Sheet1!B327)</f>
        <v>Kapil Vashist Test</v>
      </c>
      <c r="C327" s="30" t="str">
        <f>Sheet1!BB327</f>
        <v>No</v>
      </c>
      <c r="D327" s="30" t="s">
        <v>13</v>
      </c>
      <c r="E327" s="34" t="s">
        <v>13</v>
      </c>
      <c r="F327" s="30" t="s">
        <v>3817</v>
      </c>
      <c r="G327" s="31">
        <v>290.0</v>
      </c>
      <c r="H327" s="34" t="s">
        <v>3853</v>
      </c>
      <c r="I327" s="34">
        <v>0.0</v>
      </c>
      <c r="J327" s="34">
        <v>100.0</v>
      </c>
      <c r="K327" s="34">
        <v>0.0</v>
      </c>
      <c r="L327" s="34">
        <v>0.0</v>
      </c>
      <c r="M327" s="33">
        <f>COUNTIFS('Data For Calculation - Insuranc'!A:A,A327,'Data For Calculation - Insuranc'!E:E,"CPA + RSA")</f>
        <v>0</v>
      </c>
      <c r="N327" s="30" t="s">
        <v>3854</v>
      </c>
      <c r="O327" s="31">
        <v>460.0</v>
      </c>
      <c r="P327" s="34" t="s">
        <v>3853</v>
      </c>
      <c r="Q327" s="34">
        <v>20.0</v>
      </c>
      <c r="R327" s="34">
        <v>60.0</v>
      </c>
      <c r="S327" s="34">
        <v>20.0</v>
      </c>
      <c r="T327" s="34">
        <v>20.0</v>
      </c>
      <c r="U327" s="33">
        <f>COUNTIFS('Data For Calculation - Insuranc'!A:A,A327,'Data For Calculation - Insuranc'!E:E,"CPA + RSA + AHDC + DOC")</f>
        <v>0</v>
      </c>
      <c r="V327" s="30" t="s">
        <v>3817</v>
      </c>
      <c r="W327" s="34">
        <v>838.99</v>
      </c>
      <c r="X327" s="34" t="s">
        <v>3853</v>
      </c>
      <c r="Y327" s="34">
        <v>0.0</v>
      </c>
      <c r="Z327" s="34">
        <v>100.0</v>
      </c>
      <c r="AA327" s="34">
        <v>0.0</v>
      </c>
      <c r="AB327" s="34">
        <v>0.0</v>
      </c>
      <c r="AC327" s="33">
        <f>COUNTIFS('Data For Calculation - Insuranc'!A:A,A327,'Data For Calculation - Insuranc'!E:E,"CPA + RSA : 5 Years")</f>
        <v>0</v>
      </c>
      <c r="AD327" s="30" t="s">
        <v>3817</v>
      </c>
      <c r="AE327" s="31">
        <v>838.99</v>
      </c>
      <c r="AF327" s="34" t="s">
        <v>3853</v>
      </c>
      <c r="AG327" s="34">
        <v>0.0</v>
      </c>
      <c r="AH327" s="34">
        <v>100.0</v>
      </c>
      <c r="AI327" s="34">
        <v>0.0</v>
      </c>
      <c r="AJ327" s="34">
        <v>0.0</v>
      </c>
      <c r="AK327" s="33">
        <f>COUNTIFS('Data For Calculation - Insuranc'!A:A,A327,'Data For Calculation - Insuranc'!E:E,"Assistance + CPA : 5 Years")</f>
        <v>0</v>
      </c>
      <c r="AL327" s="30" t="s">
        <v>3817</v>
      </c>
      <c r="AM327" s="31">
        <v>290.0</v>
      </c>
      <c r="AN327" s="34" t="s">
        <v>3853</v>
      </c>
      <c r="AO327" s="34">
        <v>0.0</v>
      </c>
      <c r="AP327" s="34">
        <v>100.0</v>
      </c>
      <c r="AQ327" s="34">
        <v>0.0</v>
      </c>
      <c r="AR327" s="34">
        <v>0.0</v>
      </c>
      <c r="AS327" s="33">
        <f>COUNTIFS('Data For Calculation - Insuranc'!A:A,A327,'Data For Calculation - Insuranc'!E:E,"RSA + AHDC + DOC")</f>
        <v>0</v>
      </c>
      <c r="AT327" s="33"/>
      <c r="AU327" s="33"/>
      <c r="AV327" s="33"/>
      <c r="AW327" s="33"/>
      <c r="AX327" s="33"/>
      <c r="AY327" s="33"/>
      <c r="AZ327" s="33"/>
      <c r="BA327" s="33"/>
      <c r="BB327" s="33"/>
      <c r="BC327" s="33"/>
      <c r="BD327" s="33"/>
      <c r="BE327" s="33"/>
      <c r="BF327" s="33"/>
      <c r="BG327" s="33"/>
      <c r="BH327" s="33"/>
      <c r="BI327" s="33"/>
      <c r="BJ327" s="33"/>
      <c r="BK327" s="33"/>
      <c r="BL327" s="33"/>
      <c r="BM327" s="33"/>
      <c r="BN327" s="33"/>
      <c r="BO327" s="33"/>
      <c r="BP327" s="33"/>
      <c r="BQ327" s="33"/>
      <c r="BR327" s="33">
        <f t="shared" si="1"/>
        <v>0</v>
      </c>
      <c r="BS327" s="33">
        <f>SUMIFS('Data For Calculation - Insuranc'!I:I,'Data For Calculation - Insuranc'!$A:$A,$A327)</f>
        <v>0</v>
      </c>
      <c r="BT327" s="33">
        <f>SUMIFS('Data For Calculation - Insuranc'!J:J,'Data For Calculation - Insuranc'!$A:$A,$A327)</f>
        <v>0</v>
      </c>
      <c r="BU327" s="33">
        <f>SUMIFS('Data For Calculation - Insuranc'!K:K,'Data For Calculation - Insuranc'!$A:$A,$A327)</f>
        <v>0</v>
      </c>
      <c r="BV327" s="33">
        <f>IF($CC327 = "Dealer", SUMIFS('Data For Calculation - Insuranc'!I:I,'Data For Calculation - Insuranc'!$B:$B,$A327,'Data For Calculation - Insuranc'!$H:$H,"Master Dealer")) + SUMIFS('Data For Calculation - Insuranc'!I:I,'Data For Calculation - Insuranc'!$A:$A,$A327,'Data For Calculation - Insuranc'!$H:$H,"Self")</f>
        <v>0</v>
      </c>
      <c r="BW327" s="33">
        <f>IF($CC327 = "Dealer", SUMIFS('Data For Calculation - Insuranc'!J:J,'Data For Calculation - Insuranc'!$B:$B,$A327,'Data For Calculation - Insuranc'!$H:$H,"Master Dealer")) + SUMIFS('Data For Calculation - Insuranc'!J:J,'Data For Calculation - Insuranc'!$A:$A,$A327,'Data For Calculation - Insuranc'!$H:$H,"Self")</f>
        <v>0</v>
      </c>
      <c r="BX327" s="33">
        <f>IF($CC327 = "Dealer", SUMIFS('Data For Calculation - Insuranc'!K:K,'Data For Calculation - Insuranc'!$B:$B,$A327,'Data For Calculation - Insuranc'!$H:$H,"Master Dealer")) + SUMIFS('Data For Calculation - Insuranc'!K:K,'Data For Calculation - Insuranc'!$A:$A,$A327,'Data For Calculation - Insuranc'!$H:$H,"Self")</f>
        <v>0</v>
      </c>
      <c r="BY327" s="25" t="str">
        <f>(Sheet1!N327)</f>
        <v>MPS</v>
      </c>
      <c r="BZ327" s="25" t="str">
        <f>(Sheet1!O327)</f>
        <v>1ClXh28BQwwGN7Q42xt0Dc8b_R_3jweBItLcbwVq3Rj0</v>
      </c>
      <c r="CA327" s="25" t="str">
        <f>(Sheet1!AV327)</f>
        <v/>
      </c>
      <c r="CB327" s="25" t="str">
        <f>(Sheet1!AW327)</f>
        <v/>
      </c>
      <c r="CC327" s="26" t="str">
        <f>(Sheet1!P327)</f>
        <v>Sub Dealer</v>
      </c>
    </row>
    <row r="328">
      <c r="A328" s="25" t="str">
        <f>(Sheet1!A328)</f>
        <v>1mxT1doFWSIKC49QGKrgrgC6fUkICfT4DLlAcSQC9Pc4</v>
      </c>
      <c r="B328" s="25" t="str">
        <f>(Sheet1!B328)</f>
        <v>KSHIPRA HERO-UJJAIN</v>
      </c>
      <c r="C328" s="30" t="str">
        <f>Sheet1!BB328</f>
        <v>No</v>
      </c>
      <c r="D328" s="30" t="s">
        <v>13</v>
      </c>
      <c r="E328" s="34" t="s">
        <v>13</v>
      </c>
      <c r="F328" s="30" t="s">
        <v>3817</v>
      </c>
      <c r="G328" s="31">
        <v>290.0</v>
      </c>
      <c r="H328" s="34" t="s">
        <v>3853</v>
      </c>
      <c r="I328" s="34">
        <v>0.0</v>
      </c>
      <c r="J328" s="34">
        <v>100.0</v>
      </c>
      <c r="K328" s="34">
        <v>0.0</v>
      </c>
      <c r="L328" s="34">
        <v>0.0</v>
      </c>
      <c r="M328" s="33">
        <f>COUNTIFS('Data For Calculation - Insuranc'!A:A,A328,'Data For Calculation - Insuranc'!E:E,"CPA + RSA")</f>
        <v>0</v>
      </c>
      <c r="N328" s="30" t="s">
        <v>3854</v>
      </c>
      <c r="O328" s="31">
        <v>460.0</v>
      </c>
      <c r="P328" s="34" t="s">
        <v>3853</v>
      </c>
      <c r="Q328" s="34">
        <v>20.0</v>
      </c>
      <c r="R328" s="34">
        <v>60.0</v>
      </c>
      <c r="S328" s="34">
        <v>20.0</v>
      </c>
      <c r="T328" s="34">
        <v>20.0</v>
      </c>
      <c r="U328" s="33">
        <f>COUNTIFS('Data For Calculation - Insuranc'!A:A,A328,'Data For Calculation - Insuranc'!E:E,"CPA + RSA + AHDC + DOC")</f>
        <v>0</v>
      </c>
      <c r="V328" s="30" t="s">
        <v>3817</v>
      </c>
      <c r="W328" s="34">
        <v>838.99</v>
      </c>
      <c r="X328" s="34" t="s">
        <v>3853</v>
      </c>
      <c r="Y328" s="34">
        <v>0.0</v>
      </c>
      <c r="Z328" s="34">
        <v>100.0</v>
      </c>
      <c r="AA328" s="34">
        <v>0.0</v>
      </c>
      <c r="AB328" s="34">
        <v>0.0</v>
      </c>
      <c r="AC328" s="33">
        <f>COUNTIFS('Data For Calculation - Insuranc'!A:A,A328,'Data For Calculation - Insuranc'!E:E,"CPA + RSA : 5 Years")</f>
        <v>0</v>
      </c>
      <c r="AD328" s="30" t="s">
        <v>3817</v>
      </c>
      <c r="AE328" s="31">
        <v>838.99</v>
      </c>
      <c r="AF328" s="34" t="s">
        <v>3853</v>
      </c>
      <c r="AG328" s="34">
        <v>0.0</v>
      </c>
      <c r="AH328" s="34">
        <v>100.0</v>
      </c>
      <c r="AI328" s="34">
        <v>0.0</v>
      </c>
      <c r="AJ328" s="34">
        <v>0.0</v>
      </c>
      <c r="AK328" s="33">
        <f>COUNTIFS('Data For Calculation - Insuranc'!A:A,A328,'Data For Calculation - Insuranc'!E:E,"Assistance + CPA : 5 Years")</f>
        <v>0</v>
      </c>
      <c r="AL328" s="30" t="s">
        <v>3817</v>
      </c>
      <c r="AM328" s="31">
        <v>290.0</v>
      </c>
      <c r="AN328" s="34" t="s">
        <v>3853</v>
      </c>
      <c r="AO328" s="34">
        <v>0.0</v>
      </c>
      <c r="AP328" s="34">
        <v>100.0</v>
      </c>
      <c r="AQ328" s="34">
        <v>0.0</v>
      </c>
      <c r="AR328" s="34">
        <v>0.0</v>
      </c>
      <c r="AS328" s="33">
        <f>COUNTIFS('Data For Calculation - Insuranc'!A:A,A328,'Data For Calculation - Insuranc'!E:E,"RSA + AHDC + DOC")</f>
        <v>0</v>
      </c>
      <c r="AT328" s="33"/>
      <c r="AU328" s="33"/>
      <c r="AV328" s="33"/>
      <c r="AW328" s="33"/>
      <c r="AX328" s="33"/>
      <c r="AY328" s="33"/>
      <c r="AZ328" s="33"/>
      <c r="BA328" s="33"/>
      <c r="BB328" s="33"/>
      <c r="BC328" s="33"/>
      <c r="BD328" s="33"/>
      <c r="BE328" s="33"/>
      <c r="BF328" s="33"/>
      <c r="BG328" s="33"/>
      <c r="BH328" s="33"/>
      <c r="BI328" s="33"/>
      <c r="BJ328" s="33"/>
      <c r="BK328" s="33"/>
      <c r="BL328" s="33"/>
      <c r="BM328" s="33"/>
      <c r="BN328" s="33"/>
      <c r="BO328" s="33"/>
      <c r="BP328" s="33"/>
      <c r="BQ328" s="33"/>
      <c r="BR328" s="33">
        <f t="shared" si="1"/>
        <v>0</v>
      </c>
      <c r="BS328" s="33">
        <f>SUMIFS('Data For Calculation - Insuranc'!I:I,'Data For Calculation - Insuranc'!$A:$A,$A328)</f>
        <v>0</v>
      </c>
      <c r="BT328" s="33">
        <f>SUMIFS('Data For Calculation - Insuranc'!J:J,'Data For Calculation - Insuranc'!$A:$A,$A328)</f>
        <v>0</v>
      </c>
      <c r="BU328" s="33">
        <f>SUMIFS('Data For Calculation - Insuranc'!K:K,'Data For Calculation - Insuranc'!$A:$A,$A328)</f>
        <v>0</v>
      </c>
      <c r="BV328" s="33">
        <f>IF($CC328 = "Dealer", SUMIFS('Data For Calculation - Insuranc'!I:I,'Data For Calculation - Insuranc'!$B:$B,$A328,'Data For Calculation - Insuranc'!$H:$H,"Master Dealer")) + SUMIFS('Data For Calculation - Insuranc'!I:I,'Data For Calculation - Insuranc'!$A:$A,$A328,'Data For Calculation - Insuranc'!$H:$H,"Self")</f>
        <v>0</v>
      </c>
      <c r="BW328" s="33">
        <f>IF($CC328 = "Dealer", SUMIFS('Data For Calculation - Insuranc'!J:J,'Data For Calculation - Insuranc'!$B:$B,$A328,'Data For Calculation - Insuranc'!$H:$H,"Master Dealer")) + SUMIFS('Data For Calculation - Insuranc'!J:J,'Data For Calculation - Insuranc'!$A:$A,$A328,'Data For Calculation - Insuranc'!$H:$H,"Self")</f>
        <v>0</v>
      </c>
      <c r="BX328" s="33">
        <f>IF($CC328 = "Dealer", SUMIFS('Data For Calculation - Insuranc'!K:K,'Data For Calculation - Insuranc'!$B:$B,$A328,'Data For Calculation - Insuranc'!$H:$H,"Master Dealer")) + SUMIFS('Data For Calculation - Insuranc'!K:K,'Data For Calculation - Insuranc'!$A:$A,$A328,'Data For Calculation - Insuranc'!$H:$H,"Self")</f>
        <v>0</v>
      </c>
      <c r="BY328" s="25" t="str">
        <f>(Sheet1!N328)</f>
        <v>KSHIPRA HERO-UJJAIN</v>
      </c>
      <c r="BZ328" s="25" t="str">
        <f>(Sheet1!O328)</f>
        <v>1mxT1doFWSIKC49QGKrgrgC6fUkICfT4DLlAcSQC9Pc4</v>
      </c>
      <c r="CA328" s="25" t="str">
        <f>(Sheet1!AV328)</f>
        <v/>
      </c>
      <c r="CB328" s="25" t="str">
        <f>(Sheet1!AW328)</f>
        <v/>
      </c>
      <c r="CC328" s="26" t="str">
        <f>(Sheet1!P328)</f>
        <v>Dealer</v>
      </c>
    </row>
    <row r="329">
      <c r="A329" s="25" t="str">
        <f>(Sheet1!A329)</f>
        <v>1Glot5DmufEUxf7sEoY2RAdbIWFVDuW2SHPtNIbHYEdc</v>
      </c>
      <c r="B329" s="25" t="str">
        <f>(Sheet1!B329)</f>
        <v>UPPER INDIA -DELHI</v>
      </c>
      <c r="C329" s="30" t="str">
        <f>Sheet1!BB329</f>
        <v>Yes</v>
      </c>
      <c r="D329" s="30" t="s">
        <v>13</v>
      </c>
      <c r="E329" s="34" t="s">
        <v>13</v>
      </c>
      <c r="F329" s="30" t="s">
        <v>3817</v>
      </c>
      <c r="G329" s="31">
        <v>290.0</v>
      </c>
      <c r="H329" s="34" t="s">
        <v>3853</v>
      </c>
      <c r="I329" s="34">
        <v>0.0</v>
      </c>
      <c r="J329" s="34">
        <v>100.0</v>
      </c>
      <c r="K329" s="34">
        <v>0.0</v>
      </c>
      <c r="L329" s="34">
        <v>0.0</v>
      </c>
      <c r="M329" s="33">
        <f>COUNTIFS('Data For Calculation - Insuranc'!A:A,A329,'Data For Calculation - Insuranc'!E:E,"CPA + RSA")</f>
        <v>0</v>
      </c>
      <c r="N329" s="30" t="s">
        <v>3817</v>
      </c>
      <c r="O329" s="34">
        <v>100.0</v>
      </c>
      <c r="P329" s="34" t="s">
        <v>3855</v>
      </c>
      <c r="Q329" s="34">
        <v>2000.0</v>
      </c>
      <c r="R329" s="34">
        <v>0.0</v>
      </c>
      <c r="S329" s="34">
        <v>100.0</v>
      </c>
      <c r="T329" s="34">
        <v>0.0</v>
      </c>
      <c r="U329" s="33">
        <f>COUNTIFS('Data For Calculation - Insuranc'!A:A,A329,'Data For Calculation - Insuranc'!E:E,"CPA + RSA + AHDC + DOC")</f>
        <v>0</v>
      </c>
      <c r="V329" s="30" t="s">
        <v>3817</v>
      </c>
      <c r="W329" s="34">
        <v>838.99</v>
      </c>
      <c r="X329" s="34" t="s">
        <v>3853</v>
      </c>
      <c r="Y329" s="34">
        <v>0.0</v>
      </c>
      <c r="Z329" s="34">
        <v>100.0</v>
      </c>
      <c r="AA329" s="34">
        <v>0.0</v>
      </c>
      <c r="AB329" s="34">
        <v>0.0</v>
      </c>
      <c r="AC329" s="33">
        <f>COUNTIFS('Data For Calculation - Insuranc'!A:A,A329,'Data For Calculation - Insuranc'!E:E,"CPA + RSA : 5 Years")</f>
        <v>0</v>
      </c>
      <c r="AD329" s="30" t="s">
        <v>3817</v>
      </c>
      <c r="AE329" s="31">
        <v>838.99</v>
      </c>
      <c r="AF329" s="34" t="s">
        <v>3853</v>
      </c>
      <c r="AG329" s="34">
        <v>0.0</v>
      </c>
      <c r="AH329" s="34">
        <v>100.0</v>
      </c>
      <c r="AI329" s="34">
        <v>0.0</v>
      </c>
      <c r="AJ329" s="34">
        <v>0.0</v>
      </c>
      <c r="AK329" s="33">
        <f>COUNTIFS('Data For Calculation - Insuranc'!A:A,A329,'Data For Calculation - Insuranc'!E:E,"Assistance + CPA : 5 Years")</f>
        <v>0</v>
      </c>
      <c r="AL329" s="30" t="s">
        <v>3817</v>
      </c>
      <c r="AM329" s="34">
        <v>100.0</v>
      </c>
      <c r="AN329" s="34" t="s">
        <v>3855</v>
      </c>
      <c r="AO329" s="34">
        <v>2000.0</v>
      </c>
      <c r="AP329" s="34">
        <v>0.0</v>
      </c>
      <c r="AQ329" s="34">
        <v>100.0</v>
      </c>
      <c r="AR329" s="34">
        <v>0.0</v>
      </c>
      <c r="AS329" s="33">
        <f>COUNTIFS('Data For Calculation - Insuranc'!A:A,A329,'Data For Calculation - Insuranc'!E:E,"RSA + AHDC + DOC")</f>
        <v>0</v>
      </c>
      <c r="AT329" s="33"/>
      <c r="AU329" s="33"/>
      <c r="AV329" s="33"/>
      <c r="AW329" s="33"/>
      <c r="AX329" s="33"/>
      <c r="AY329" s="33"/>
      <c r="AZ329" s="33"/>
      <c r="BA329" s="33"/>
      <c r="BB329" s="33"/>
      <c r="BC329" s="33"/>
      <c r="BD329" s="33"/>
      <c r="BE329" s="33"/>
      <c r="BF329" s="33"/>
      <c r="BG329" s="33"/>
      <c r="BH329" s="33"/>
      <c r="BI329" s="33"/>
      <c r="BJ329" s="33"/>
      <c r="BK329" s="33"/>
      <c r="BL329" s="33"/>
      <c r="BM329" s="33"/>
      <c r="BN329" s="33"/>
      <c r="BO329" s="33"/>
      <c r="BP329" s="33"/>
      <c r="BQ329" s="33"/>
      <c r="BR329" s="33">
        <f t="shared" si="1"/>
        <v>0</v>
      </c>
      <c r="BS329" s="33">
        <f>SUMIFS('Data For Calculation - Insuranc'!I:I,'Data For Calculation - Insuranc'!$A:$A,$A329)</f>
        <v>-47457.4</v>
      </c>
      <c r="BT329" s="33">
        <f>SUMIFS('Data For Calculation - Insuranc'!J:J,'Data For Calculation - Insuranc'!$A:$A,$A329)</f>
        <v>15200</v>
      </c>
      <c r="BU329" s="33">
        <f>SUMIFS('Data For Calculation - Insuranc'!K:K,'Data For Calculation - Insuranc'!$A:$A,$A329)</f>
        <v>-32257.4</v>
      </c>
      <c r="BV329" s="33">
        <f>IF($CC329 = "Dealer", SUMIFS('Data For Calculation - Insuranc'!I:I,'Data For Calculation - Insuranc'!$B:$B,$A329,'Data For Calculation - Insuranc'!$H:$H,"Master Dealer")) + SUMIFS('Data For Calculation - Insuranc'!I:I,'Data For Calculation - Insuranc'!$A:$A,$A329,'Data For Calculation - Insuranc'!$H:$H,"Self")</f>
        <v>-47457.4</v>
      </c>
      <c r="BW329" s="33">
        <f>IF($CC329 = "Dealer", SUMIFS('Data For Calculation - Insuranc'!J:J,'Data For Calculation - Insuranc'!$B:$B,$A329,'Data For Calculation - Insuranc'!$H:$H,"Master Dealer")) + SUMIFS('Data For Calculation - Insuranc'!J:J,'Data For Calculation - Insuranc'!$A:$A,$A329,'Data For Calculation - Insuranc'!$H:$H,"Self")</f>
        <v>15200</v>
      </c>
      <c r="BX329" s="33">
        <f>IF($CC329 = "Dealer", SUMIFS('Data For Calculation - Insuranc'!K:K,'Data For Calculation - Insuranc'!$B:$B,$A329,'Data For Calculation - Insuranc'!$H:$H,"Master Dealer")) + SUMIFS('Data For Calculation - Insuranc'!K:K,'Data For Calculation - Insuranc'!$A:$A,$A329,'Data For Calculation - Insuranc'!$H:$H,"Self")</f>
        <v>-32257.4</v>
      </c>
      <c r="BY329" s="25" t="str">
        <f>(Sheet1!N329)</f>
        <v>UPPER INDIA -DELHI</v>
      </c>
      <c r="BZ329" s="25" t="str">
        <f>(Sheet1!O329)</f>
        <v>1Glot5DmufEUxf7sEoY2RAdbIWFVDuW2SHPtNIbHYEdc</v>
      </c>
      <c r="CA329" s="25" t="str">
        <f>(Sheet1!AV329)</f>
        <v/>
      </c>
      <c r="CB329" s="25" t="str">
        <f>(Sheet1!AW329)</f>
        <v/>
      </c>
      <c r="CC329" s="26" t="str">
        <f>(Sheet1!P329)</f>
        <v>Dealer</v>
      </c>
    </row>
  </sheetData>
  <conditionalFormatting sqref="AP2:AR299 AP301:AR329">
    <cfRule type="expression" dxfId="4" priority="1">
      <formula>SUM($AP2, $AQ2, $AR2)&lt;100</formula>
    </cfRule>
  </conditionalFormatting>
  <conditionalFormatting sqref="J2:L299 J301:L329">
    <cfRule type="expression" dxfId="4" priority="2">
      <formula>SUM($J2, $K2, $L2)&lt;100</formula>
    </cfRule>
  </conditionalFormatting>
  <conditionalFormatting sqref="R2:T299 AP8:AR8 AP19:AR20 AP212:AR212 AP262:AR298 R301:T329 Z301:AB302 AH301:AJ302 AP301:AR302 AP306:AR306 AP310:AR310 AP320:AR329">
    <cfRule type="expression" dxfId="4" priority="3">
      <formula>SUM($R2, $S2, $T2)&lt;100</formula>
    </cfRule>
  </conditionalFormatting>
  <conditionalFormatting sqref="Z2:AB299 Z301:AB329">
    <cfRule type="expression" dxfId="4" priority="4">
      <formula>SUM($Z2, $AA2, $AB2)&lt;100</formula>
    </cfRule>
  </conditionalFormatting>
  <conditionalFormatting sqref="AH2:AJ299 AH301:AJ329">
    <cfRule type="expression" dxfId="4" priority="5">
      <formula>SUM($AH2, $AI2, $AJ2)&lt;100</formula>
    </cfRule>
  </conditionalFormatting>
  <dataValidations>
    <dataValidation type="list" allowBlank="1" showInputMessage="1" showErrorMessage="1" prompt="Invalid value" sqref="E2:E299 E301:E329">
      <formula1>"Master Dealer,Self"</formula1>
    </dataValidation>
    <dataValidation type="custom" allowBlank="1" showDropDown="1" showInputMessage="1" showErrorMessage="1" prompt="Sum of &quot;Master Dealer's Payout Percentage (%)&quot;,  &quot;Dealer's Payout Percentage (%)&quot; and &quot;Distributor's Payout Percentage (%)&quot; cannot be more than 100" sqref="Z2:AB299 Z303:AB329">
      <formula1>SUM($Z2, $AA2, $AB2)&lt;=100</formula1>
    </dataValidation>
    <dataValidation type="custom" allowBlank="1" showDropDown="1" showInputMessage="1" showErrorMessage="1" prompt="Sum of &quot;Master Dealer's Payout Percentage (%)&quot;,  &quot;Dealer's Payout Percentage (%)&quot; and &quot;Distributor's Payout Percentage (%)&quot; cannot be more than 100" sqref="AP8:AR8 AP19:AR20 AP262:AR262 AP296:AR298 R2:T299 Z301:AB302 AH301:AJ302 AP301:AR302 AP306:AR306 AP310:AR310 AP320:AR320 R301:T329 AP329:AQ329">
      <formula1>SUM($R2, $S2, $T2)&lt;=100</formula1>
    </dataValidation>
    <dataValidation type="custom" allowBlank="1" showDropDown="1" showInputMessage="1" showErrorMessage="1" prompt="Sum of &quot;Master Dealer's Payout Percentage (%)&quot;,  &quot;Dealer's Payout Percentage (%)&quot; and &quot;Distributor's Payout Percentage (%)&quot; cannot be more than 100" sqref="AH2:AJ299 AH303:AJ329">
      <formula1>SUM($AH2, $AI2, $AJ2)&lt;=100</formula1>
    </dataValidation>
    <dataValidation type="list" allowBlank="1" sqref="C2:C299 C301:C329">
      <formula1>"Yes,No"</formula1>
    </dataValidation>
    <dataValidation type="list" allowBlank="1" showErrorMessage="1" sqref="D2:D299 D301:D329">
      <formula1>"Master Dealer,Self"</formula1>
    </dataValidation>
    <dataValidation type="list" allowBlank="1" showInputMessage="1" showErrorMessage="1" prompt="Invalid value" sqref="H2:H299 P2:P299 X2:X299 AF2:AF299 AN2:AN299 H301:H329 P301:P329 X301:X329 AF301:AF329 AN301:AN329">
      <formula1>"Fixed Amount (₹),Percentage on Net (%),ACPL Plan Value,ACPL + Insurance Percent (%)"</formula1>
    </dataValidation>
    <dataValidation type="custom" allowBlank="1" showDropDown="1" showInputMessage="1" showErrorMessage="1" prompt="Sum of &quot;Master Dealer's Payout Percentage (%)&quot;,  &quot;Dealer's Payout Percentage (%)&quot; and &quot;Distributor's Payout Percentage (%)&quot; cannot be more than 100" sqref="J2:L299 J301:L329">
      <formula1>SUM($J2, $K2, $L2)&lt;=100</formula1>
    </dataValidation>
    <dataValidation type="custom" allowBlank="1" showDropDown="1" showInputMessage="1" showErrorMessage="1" prompt="Sum of &quot;Master Dealer's Payout Percentage (%)&quot;,  &quot;Dealer's Payout Percentage (%)&quot; and &quot;Distributor's Payout Percentage (%)&quot; cannot be more than 100" sqref="AP2:AR7 AP9:AR18 AP21:AR261 AP263:AR295 AP299:AR299 AP303:AR305 AP307:AR309 AP311:AR319 AP321:AR328 AR329">
      <formula1>SUM($AP2, $AQ2, $AR2)&lt;=100</formula1>
    </dataValidation>
    <dataValidation type="list" allowBlank="1" showInputMessage="1" showErrorMessage="1" prompt="Invalid Payment Terms" sqref="F2:F299 N2:N299 V2:V299 AD2:AD299 AL2:AL299 F301:F329 N301:N329 V301:V329 AD301:AD329 AL301:AL329">
      <formula1>"Full Pay,Cut &amp; Pay,Full Pay (Base Pay),Cut &amp; Pay (Base Pay),Base Pay"</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8.5"/>
    <col customWidth="1" min="2" max="2" width="26.63"/>
    <col customWidth="1" min="3" max="3" width="13.38"/>
    <col customWidth="1" min="4" max="4" width="14.0"/>
    <col customWidth="1" min="5" max="5" width="21.13"/>
    <col customWidth="1" min="6" max="6" width="26.75"/>
    <col customWidth="1" min="7" max="7" width="31.0"/>
    <col customWidth="1" min="8" max="8" width="25.0"/>
    <col customWidth="1" min="9" max="9" width="29.63"/>
    <col customWidth="1" min="10" max="10" width="34.13"/>
    <col customWidth="1" min="11" max="11" width="48.63"/>
    <col customWidth="1" min="12" max="12" width="43.13"/>
    <col customWidth="1" min="13" max="13" width="24.38"/>
    <col customWidth="1" min="14" max="77" width="29.13"/>
    <col customWidth="1" min="78" max="78" width="10.75"/>
    <col customWidth="1" min="79" max="79" width="26.5"/>
    <col customWidth="1" min="80" max="80" width="28.0"/>
    <col customWidth="1" min="81" max="81" width="32.13"/>
    <col customWidth="1" min="82" max="82" width="24.0"/>
    <col customWidth="1" min="83" max="83" width="17.25"/>
    <col customWidth="1" min="84" max="84" width="22.13"/>
    <col customWidth="1" min="85" max="85" width="16.5"/>
    <col customWidth="1" min="86" max="88" width="17.88"/>
    <col customWidth="1" min="89" max="89" width="10.0"/>
  </cols>
  <sheetData>
    <row r="1">
      <c r="A1" s="22" t="s">
        <v>3707</v>
      </c>
      <c r="B1" s="22" t="s">
        <v>1</v>
      </c>
      <c r="C1" s="24" t="s">
        <v>3822</v>
      </c>
      <c r="D1" s="24" t="s">
        <v>3712</v>
      </c>
      <c r="E1" s="24" t="s">
        <v>3816</v>
      </c>
      <c r="F1" s="24" t="s">
        <v>3857</v>
      </c>
      <c r="G1" s="24" t="s">
        <v>3858</v>
      </c>
      <c r="H1" s="24" t="s">
        <v>3859</v>
      </c>
      <c r="I1" s="24" t="s">
        <v>3860</v>
      </c>
      <c r="J1" s="24" t="s">
        <v>3861</v>
      </c>
      <c r="K1" s="24" t="s">
        <v>3862</v>
      </c>
      <c r="L1" s="24" t="s">
        <v>3863</v>
      </c>
      <c r="M1" s="24" t="s">
        <v>3864</v>
      </c>
      <c r="N1" s="24" t="s">
        <v>3865</v>
      </c>
      <c r="O1" s="46" t="s">
        <v>3866</v>
      </c>
      <c r="P1" s="46" t="s">
        <v>3867</v>
      </c>
      <c r="Q1" s="46" t="s">
        <v>3868</v>
      </c>
      <c r="R1" s="46" t="s">
        <v>3869</v>
      </c>
      <c r="S1" s="46" t="s">
        <v>3870</v>
      </c>
      <c r="T1" s="46" t="s">
        <v>3871</v>
      </c>
      <c r="U1" s="46" t="s">
        <v>3872</v>
      </c>
      <c r="V1" s="46" t="s">
        <v>3873</v>
      </c>
      <c r="W1" s="46" t="s">
        <v>3874</v>
      </c>
      <c r="X1" s="46" t="s">
        <v>3875</v>
      </c>
      <c r="Y1" s="46" t="s">
        <v>3876</v>
      </c>
      <c r="Z1" s="46" t="s">
        <v>3877</v>
      </c>
      <c r="AA1" s="46" t="s">
        <v>3878</v>
      </c>
      <c r="AB1" s="46" t="s">
        <v>3879</v>
      </c>
      <c r="AC1" s="46" t="s">
        <v>3880</v>
      </c>
      <c r="AD1" s="46" t="s">
        <v>3881</v>
      </c>
      <c r="AE1" s="46" t="s">
        <v>3882</v>
      </c>
      <c r="AF1" s="46" t="s">
        <v>3883</v>
      </c>
      <c r="AG1" s="46" t="s">
        <v>3884</v>
      </c>
      <c r="AH1" s="46" t="s">
        <v>3885</v>
      </c>
      <c r="AI1" s="46" t="s">
        <v>3886</v>
      </c>
      <c r="AJ1" s="46" t="s">
        <v>3887</v>
      </c>
      <c r="AK1" s="46" t="s">
        <v>3888</v>
      </c>
      <c r="AL1" s="46" t="s">
        <v>3889</v>
      </c>
      <c r="AM1" s="46" t="s">
        <v>3890</v>
      </c>
      <c r="AN1" s="46" t="s">
        <v>3891</v>
      </c>
      <c r="AO1" s="46" t="s">
        <v>3892</v>
      </c>
      <c r="AP1" s="46" t="s">
        <v>3893</v>
      </c>
      <c r="AQ1" s="46" t="s">
        <v>3894</v>
      </c>
      <c r="AR1" s="46" t="s">
        <v>3895</v>
      </c>
      <c r="AS1" s="46" t="s">
        <v>3896</v>
      </c>
      <c r="AT1" s="46" t="s">
        <v>3897</v>
      </c>
      <c r="AU1" s="46" t="s">
        <v>3898</v>
      </c>
      <c r="AV1" s="46" t="s">
        <v>3899</v>
      </c>
      <c r="AW1" s="46" t="s">
        <v>3900</v>
      </c>
      <c r="AX1" s="46" t="s">
        <v>3901</v>
      </c>
      <c r="AY1" s="46" t="s">
        <v>3902</v>
      </c>
      <c r="AZ1" s="46" t="s">
        <v>3903</v>
      </c>
      <c r="BA1" s="46" t="s">
        <v>3904</v>
      </c>
      <c r="BB1" s="46" t="s">
        <v>3905</v>
      </c>
      <c r="BC1" s="46" t="s">
        <v>3906</v>
      </c>
      <c r="BD1" s="46" t="s">
        <v>3907</v>
      </c>
      <c r="BE1" s="46" t="s">
        <v>3908</v>
      </c>
      <c r="BF1" s="46" t="s">
        <v>3909</v>
      </c>
      <c r="BG1" s="46" t="s">
        <v>3910</v>
      </c>
      <c r="BH1" s="46" t="s">
        <v>3911</v>
      </c>
      <c r="BI1" s="46" t="s">
        <v>3912</v>
      </c>
      <c r="BJ1" s="46" t="s">
        <v>3913</v>
      </c>
      <c r="BK1" s="46" t="s">
        <v>3914</v>
      </c>
      <c r="BL1" s="46" t="s">
        <v>3915</v>
      </c>
      <c r="BM1" s="46" t="s">
        <v>3916</v>
      </c>
      <c r="BN1" s="46" t="s">
        <v>3917</v>
      </c>
      <c r="BO1" s="46" t="s">
        <v>3918</v>
      </c>
      <c r="BP1" s="46" t="s">
        <v>3919</v>
      </c>
      <c r="BQ1" s="46" t="s">
        <v>3920</v>
      </c>
      <c r="BR1" s="46" t="s">
        <v>3921</v>
      </c>
      <c r="BS1" s="46" t="s">
        <v>3922</v>
      </c>
      <c r="BT1" s="46" t="s">
        <v>3923</v>
      </c>
      <c r="BU1" s="46" t="s">
        <v>3924</v>
      </c>
      <c r="BV1" s="46" t="s">
        <v>3925</v>
      </c>
      <c r="BW1" s="46" t="s">
        <v>3926</v>
      </c>
      <c r="BX1" s="46" t="s">
        <v>3927</v>
      </c>
      <c r="BY1" s="46" t="s">
        <v>3928</v>
      </c>
      <c r="BZ1" s="24" t="s">
        <v>3775</v>
      </c>
      <c r="CA1" s="24" t="s">
        <v>3847</v>
      </c>
      <c r="CB1" s="24" t="s">
        <v>3848</v>
      </c>
      <c r="CC1" s="24" t="s">
        <v>3849</v>
      </c>
      <c r="CD1" s="24" t="s">
        <v>3850</v>
      </c>
      <c r="CE1" s="24" t="s">
        <v>3851</v>
      </c>
      <c r="CF1" s="24" t="s">
        <v>3852</v>
      </c>
      <c r="CG1" s="24" t="s">
        <v>13</v>
      </c>
      <c r="CH1" s="24" t="s">
        <v>14</v>
      </c>
      <c r="CI1" s="24" t="s">
        <v>47</v>
      </c>
      <c r="CJ1" s="24" t="s">
        <v>48</v>
      </c>
      <c r="CK1" s="24" t="s">
        <v>15</v>
      </c>
    </row>
    <row r="2">
      <c r="A2" s="25" t="str">
        <f>(Sheet1!A2)</f>
        <v>1ClXh28BQwwGN7Q42xt0Dc8b_R_3jweBItLcbwVq3Rj0</v>
      </c>
      <c r="B2" s="25" t="str">
        <f>(Sheet1!B2)</f>
        <v>MPS</v>
      </c>
      <c r="C2" s="30" t="str">
        <f>Sheet1!BB2</f>
        <v>Yes</v>
      </c>
      <c r="D2" s="30" t="s">
        <v>13</v>
      </c>
      <c r="E2" s="34" t="s">
        <v>13</v>
      </c>
      <c r="F2" s="34" t="s">
        <v>3929</v>
      </c>
      <c r="G2" s="42" t="s">
        <v>3854</v>
      </c>
      <c r="H2" s="43">
        <v>460.0</v>
      </c>
      <c r="I2" s="42" t="s">
        <v>3853</v>
      </c>
      <c r="J2" s="43">
        <v>20.0</v>
      </c>
      <c r="K2" s="43">
        <v>60.0</v>
      </c>
      <c r="L2" s="43">
        <v>20.0</v>
      </c>
      <c r="M2" s="43">
        <v>20.0</v>
      </c>
      <c r="N2" s="33">
        <f>COUNTIFS('Data For Calculation - Insuranc'!A:A,A2,'Data For Calculation - Insuranc'!D:D,"Individual",'Data For Calculation - Insuranc'!E:E,"Bundled - 1 Year OD + 5 Year TP")</f>
        <v>0</v>
      </c>
      <c r="O2" s="34" t="s">
        <v>3930</v>
      </c>
      <c r="P2" s="42" t="s">
        <v>3854</v>
      </c>
      <c r="Q2" s="43">
        <v>460.0</v>
      </c>
      <c r="R2" s="42" t="s">
        <v>3853</v>
      </c>
      <c r="S2" s="43">
        <v>20.0</v>
      </c>
      <c r="T2" s="43">
        <v>60.0</v>
      </c>
      <c r="U2" s="43">
        <v>20.0</v>
      </c>
      <c r="V2" s="43">
        <v>20.0</v>
      </c>
      <c r="W2" s="33">
        <f>COUNTIFS('Data For Calculation - Insuranc'!A:A,A2,'Data For Calculation - Insuranc'!D:D,"Company",'Data For Calculation - Insuranc'!E:E,"Bundled - 1 Year OD + 5 Year TP")</f>
        <v>0</v>
      </c>
      <c r="X2" s="34" t="s">
        <v>3929</v>
      </c>
      <c r="Y2" s="42" t="s">
        <v>3854</v>
      </c>
      <c r="Z2" s="43">
        <v>100.0</v>
      </c>
      <c r="AA2" s="42" t="s">
        <v>3855</v>
      </c>
      <c r="AB2" s="31">
        <v>500.0</v>
      </c>
      <c r="AC2" s="43">
        <v>100.0</v>
      </c>
      <c r="AD2" s="43">
        <v>0.0</v>
      </c>
      <c r="AE2" s="43">
        <v>0.0</v>
      </c>
      <c r="AF2" s="33">
        <f>COUNTIFS('Data For Calculation - Insuranc'!A:A,A2,'Data For Calculation - Insuranc'!D:D,"Individual",'Data For Calculation - Insuranc'!E:E,"Rollover Comprehensive - 1 Year OD + 1 Year TP")</f>
        <v>0</v>
      </c>
      <c r="AG2" s="34" t="s">
        <v>3930</v>
      </c>
      <c r="AH2" s="42" t="s">
        <v>3854</v>
      </c>
      <c r="AI2" s="43">
        <v>100.0</v>
      </c>
      <c r="AJ2" s="42" t="s">
        <v>3855</v>
      </c>
      <c r="AK2" s="31">
        <v>500.0</v>
      </c>
      <c r="AL2" s="43">
        <v>100.0</v>
      </c>
      <c r="AM2" s="43">
        <v>0.0</v>
      </c>
      <c r="AN2" s="43">
        <v>0.0</v>
      </c>
      <c r="AO2" s="33">
        <f>COUNTIFS('Data For Calculation - Insuranc'!A:A,A2,'Data For Calculation - Insuranc'!D:D,"Company",'Data For Calculation - Insuranc'!E:E,"Rollover Comprehensive - 1 Year OD + 1 Year TP")</f>
        <v>0</v>
      </c>
      <c r="AP2" s="34" t="s">
        <v>3929</v>
      </c>
      <c r="AQ2" s="42" t="s">
        <v>3854</v>
      </c>
      <c r="AR2" s="43">
        <v>100.0</v>
      </c>
      <c r="AS2" s="42" t="s">
        <v>3855</v>
      </c>
      <c r="AT2" s="31">
        <v>500.0</v>
      </c>
      <c r="AU2" s="43">
        <v>100.0</v>
      </c>
      <c r="AV2" s="43">
        <v>0.0</v>
      </c>
      <c r="AW2" s="43">
        <v>0.0</v>
      </c>
      <c r="AX2" s="33">
        <f>COUNTIFS('Data For Calculation - Insuranc'!A:A,A2,'Data For Calculation - Insuranc'!D:D,"Individual",'Data For Calculation - Insuranc'!E:E,"Rollover - 1 Year OD Only")</f>
        <v>0</v>
      </c>
      <c r="AY2" s="34" t="s">
        <v>3930</v>
      </c>
      <c r="AZ2" s="42" t="s">
        <v>3854</v>
      </c>
      <c r="BA2" s="43">
        <v>100.0</v>
      </c>
      <c r="BB2" s="42" t="s">
        <v>3855</v>
      </c>
      <c r="BC2" s="31">
        <v>500.0</v>
      </c>
      <c r="BD2" s="43">
        <v>100.0</v>
      </c>
      <c r="BE2" s="43">
        <v>0.0</v>
      </c>
      <c r="BF2" s="43">
        <v>0.0</v>
      </c>
      <c r="BG2" s="33">
        <f>COUNTIFS('Data For Calculation - Insuranc'!A:A,A2,'Data For Calculation - Insuranc'!D:D,"Company",'Data For Calculation - Insuranc'!E:E,"Rollover - 1 Year OD Only")</f>
        <v>0</v>
      </c>
      <c r="BH2" s="34" t="s">
        <v>3931</v>
      </c>
      <c r="BI2" s="42" t="s">
        <v>3854</v>
      </c>
      <c r="BJ2" s="43">
        <v>100.0</v>
      </c>
      <c r="BK2" s="42" t="s">
        <v>3855</v>
      </c>
      <c r="BL2" s="31">
        <v>400.0</v>
      </c>
      <c r="BM2" s="43">
        <v>100.0</v>
      </c>
      <c r="BN2" s="43">
        <v>0.0</v>
      </c>
      <c r="BO2" s="43">
        <v>0.0</v>
      </c>
      <c r="BP2" s="33">
        <f>COUNTIFS('Data For Calculation - Insuranc'!A:A,A2,'Data For Calculation - Insuranc'!D:D,"Individual",'Data For Calculation - Insuranc'!E:E,"Rollover - 1 Year TP Only")</f>
        <v>0</v>
      </c>
      <c r="BQ2" s="34" t="s">
        <v>3932</v>
      </c>
      <c r="BR2" s="42" t="s">
        <v>3854</v>
      </c>
      <c r="BS2" s="43">
        <v>100.0</v>
      </c>
      <c r="BT2" s="42" t="s">
        <v>3855</v>
      </c>
      <c r="BU2" s="31">
        <v>400.0</v>
      </c>
      <c r="BV2" s="43">
        <v>100.0</v>
      </c>
      <c r="BW2" s="43">
        <v>0.0</v>
      </c>
      <c r="BX2" s="43">
        <v>0.0</v>
      </c>
      <c r="BY2" s="33">
        <f>COUNTIFS('Data For Calculation - Insuranc'!A:A,A2,'Data For Calculation - Insuranc'!D:D,"Company",'Data For Calculation - Insuranc'!E:E,"Rollover - 1 Year TP Only")</f>
        <v>0</v>
      </c>
      <c r="BZ2" s="31">
        <f t="shared" ref="BZ2:BZ358" si="1">N2+W2+AF2+AO2+AX2+BG2+BP2+BY2</f>
        <v>0</v>
      </c>
      <c r="CA2" s="33">
        <f>SUMIFS('Data For Calculation - Insuranc'!I:I,'Data For Calculation - Insuranc'!$A:$A,$A2)</f>
        <v>0</v>
      </c>
      <c r="CB2" s="33">
        <f>SUMIFS('Data For Calculation - Insuranc'!J:J,'Data For Calculation - Insuranc'!$A:$A,$A2)</f>
        <v>0</v>
      </c>
      <c r="CC2" s="33">
        <f>SUMIFS('Data For Calculation - Insuranc'!K:K,'Data For Calculation - Insuranc'!$A:$A,$A2)</f>
        <v>0</v>
      </c>
      <c r="CD2" s="33">
        <f>IF($CK2 = "Dealer", SUMIFS('Data For Calculation - Insuranc'!I:I,'Data For Calculation - Insuranc'!$B:$B,$A2,'Data For Calculation - Insuranc'!$H:$H,"Master Dealer")) + SUMIFS('Data For Calculation - Insuranc'!I:I,'Data For Calculation - Insuranc'!$A:$A,$A2,'Data For Calculation - Insuranc'!$H:$H,"Self")</f>
        <v>0</v>
      </c>
      <c r="CE2" s="33">
        <f>IF($CK2 = "Dealer", SUMIFS('Data For Calculation - Insuranc'!J:J,'Data For Calculation - Insuranc'!$B:$B,$A2,'Data For Calculation - Insuranc'!$H:$H,"Master Dealer")) + SUMIFS('Data For Calculation - Insuranc'!J:J,'Data For Calculation - Insuranc'!$A:$A,$A2,'Data For Calculation - Insuranc'!$H:$H,"Self")</f>
        <v>0</v>
      </c>
      <c r="CF2" s="33">
        <f>IF($CK2 = "Dealer", SUMIFS('Data For Calculation - Insuranc'!K:K,'Data For Calculation - Insuranc'!$B:$B,$A2,'Data For Calculation - Insuranc'!$H:$H,"Master Dealer")) + SUMIFS('Data For Calculation - Insuranc'!K:K,'Data For Calculation - Insuranc'!$A:$A,$A2,'Data For Calculation - Insuranc'!$H:$H,"Self")</f>
        <v>0</v>
      </c>
      <c r="CG2" s="25" t="str">
        <f>(Sheet1!N2)</f>
        <v>MPS</v>
      </c>
      <c r="CH2" s="25" t="str">
        <f>(Sheet1!O2)</f>
        <v>1ClXh28BQwwGN7Q42xt0Dc8b_R_3jweBItLcbwVq3Rj0</v>
      </c>
      <c r="CI2" s="25" t="str">
        <f>(Sheet1!AV2)</f>
        <v>5646aRFHGS76A</v>
      </c>
      <c r="CJ2" s="25" t="str">
        <f>(Sheet1!AW2)</f>
        <v>Test Distributor</v>
      </c>
      <c r="CK2" s="26" t="str">
        <f>(Sheet1!P2)</f>
        <v>Dealer</v>
      </c>
    </row>
    <row r="3">
      <c r="A3" s="25" t="str">
        <f>(Sheet1!A3)</f>
        <v>1ksPRehLH7gfgZpnXgiBGZpTtFA-KHaKr32rTQGuz3WY</v>
      </c>
      <c r="B3" s="25" t="str">
        <f>(Sheet1!B3)</f>
        <v>Globe Agencies</v>
      </c>
      <c r="C3" s="30" t="str">
        <f>Sheet1!BB3</f>
        <v>No</v>
      </c>
      <c r="D3" s="30" t="s">
        <v>13</v>
      </c>
      <c r="E3" s="34" t="s">
        <v>13</v>
      </c>
      <c r="F3" s="34" t="s">
        <v>3929</v>
      </c>
      <c r="G3" s="42" t="s">
        <v>3820</v>
      </c>
      <c r="H3" s="43">
        <v>460.0</v>
      </c>
      <c r="I3" s="42" t="s">
        <v>3853</v>
      </c>
      <c r="J3" s="43">
        <v>0.0</v>
      </c>
      <c r="K3" s="43">
        <v>100.0</v>
      </c>
      <c r="L3" s="43">
        <v>0.0</v>
      </c>
      <c r="M3" s="43">
        <v>0.0</v>
      </c>
      <c r="N3" s="33">
        <f>COUNTIFS('Data For Calculation - Insuranc'!A:A,A3,'Data For Calculation - Insuranc'!D:D,"Individual",'Data For Calculation - Insuranc'!E:E,"Bundled - 1 Year OD + 5 Year TP")</f>
        <v>0</v>
      </c>
      <c r="O3" s="34" t="s">
        <v>3930</v>
      </c>
      <c r="P3" s="42" t="s">
        <v>3820</v>
      </c>
      <c r="Q3" s="43">
        <v>460.0</v>
      </c>
      <c r="R3" s="42" t="s">
        <v>3853</v>
      </c>
      <c r="S3" s="43">
        <v>0.0</v>
      </c>
      <c r="T3" s="43">
        <v>100.0</v>
      </c>
      <c r="U3" s="43">
        <v>0.0</v>
      </c>
      <c r="V3" s="43">
        <v>0.0</v>
      </c>
      <c r="W3" s="33">
        <f>COUNTIFS('Data For Calculation - Insuranc'!A:A,A3,'Data For Calculation - Insuranc'!D:D,"Company",'Data For Calculation - Insuranc'!E:E,"Bundled - 1 Year OD + 5 Year TP")</f>
        <v>0</v>
      </c>
      <c r="X3" s="34" t="s">
        <v>3929</v>
      </c>
      <c r="Y3" s="42" t="s">
        <v>3820</v>
      </c>
      <c r="Z3" s="31">
        <v>290.0</v>
      </c>
      <c r="AA3" s="34" t="s">
        <v>3853</v>
      </c>
      <c r="AB3" s="34">
        <v>0.0</v>
      </c>
      <c r="AC3" s="34">
        <v>100.0</v>
      </c>
      <c r="AD3" s="34">
        <v>0.0</v>
      </c>
      <c r="AE3" s="34">
        <v>0.0</v>
      </c>
      <c r="AF3" s="33">
        <f>COUNTIFS('Data For Calculation - Insuranc'!A:A,A3,'Data For Calculation - Insuranc'!D:D,"Individual",'Data For Calculation - Insuranc'!E:E,"Rollover Comprehensive - 1 Year OD + 1 Year TP")</f>
        <v>0</v>
      </c>
      <c r="AG3" s="34" t="s">
        <v>3930</v>
      </c>
      <c r="AH3" s="42" t="s">
        <v>3820</v>
      </c>
      <c r="AI3" s="31">
        <v>290.0</v>
      </c>
      <c r="AJ3" s="34" t="s">
        <v>3853</v>
      </c>
      <c r="AK3" s="34">
        <v>0.0</v>
      </c>
      <c r="AL3" s="34">
        <v>100.0</v>
      </c>
      <c r="AM3" s="34">
        <v>0.0</v>
      </c>
      <c r="AN3" s="34">
        <v>0.0</v>
      </c>
      <c r="AO3" s="33">
        <f>COUNTIFS('Data For Calculation - Insuranc'!A:A,A3,'Data For Calculation - Insuranc'!D:D,"Company",'Data For Calculation - Insuranc'!E:E,"Rollover Comprehensive - 1 Year OD + 1 Year TP")</f>
        <v>0</v>
      </c>
      <c r="AP3" s="34" t="s">
        <v>3931</v>
      </c>
      <c r="AQ3" s="42" t="s">
        <v>3820</v>
      </c>
      <c r="AR3" s="31">
        <v>290.0</v>
      </c>
      <c r="AS3" s="34" t="s">
        <v>3853</v>
      </c>
      <c r="AT3" s="34">
        <v>0.0</v>
      </c>
      <c r="AU3" s="34">
        <v>100.0</v>
      </c>
      <c r="AV3" s="34">
        <v>0.0</v>
      </c>
      <c r="AW3" s="34">
        <v>0.0</v>
      </c>
      <c r="AX3" s="33">
        <f>COUNTIFS('Data For Calculation - Insuranc'!A:A,A3,'Data For Calculation - Insuranc'!D:D,"Individual",'Data For Calculation - Insuranc'!E:E,"Rollover - 1 Year OD Only")</f>
        <v>0</v>
      </c>
      <c r="AY3" s="34" t="s">
        <v>3932</v>
      </c>
      <c r="AZ3" s="42" t="s">
        <v>3820</v>
      </c>
      <c r="BA3" s="31">
        <v>290.0</v>
      </c>
      <c r="BB3" s="34" t="s">
        <v>3853</v>
      </c>
      <c r="BC3" s="34">
        <v>0.0</v>
      </c>
      <c r="BD3" s="34">
        <v>100.0</v>
      </c>
      <c r="BE3" s="34">
        <v>0.0</v>
      </c>
      <c r="BF3" s="34">
        <v>0.0</v>
      </c>
      <c r="BG3" s="33">
        <f>COUNTIFS('Data For Calculation - Insuranc'!A:A,A3,'Data For Calculation - Insuranc'!D:D,"Company",'Data For Calculation - Insuranc'!E:E,"Rollover - 1 Year OD Only")</f>
        <v>0</v>
      </c>
      <c r="BH3" s="34" t="s">
        <v>3931</v>
      </c>
      <c r="BI3" s="42" t="s">
        <v>3820</v>
      </c>
      <c r="BJ3" s="31">
        <v>290.0</v>
      </c>
      <c r="BK3" s="34" t="s">
        <v>3853</v>
      </c>
      <c r="BL3" s="34">
        <v>0.0</v>
      </c>
      <c r="BM3" s="34">
        <v>100.0</v>
      </c>
      <c r="BN3" s="34">
        <v>0.0</v>
      </c>
      <c r="BO3" s="34">
        <v>0.0</v>
      </c>
      <c r="BP3" s="33">
        <f>COUNTIFS('Data For Calculation - Insuranc'!A:A,A3,'Data For Calculation - Insuranc'!D:D,"Individual",'Data For Calculation - Insuranc'!E:E,"Rollover - 1 Year TP Only")</f>
        <v>0</v>
      </c>
      <c r="BQ3" s="34" t="s">
        <v>3932</v>
      </c>
      <c r="BR3" s="42" t="s">
        <v>3820</v>
      </c>
      <c r="BS3" s="31">
        <v>290.0</v>
      </c>
      <c r="BT3" s="34" t="s">
        <v>3853</v>
      </c>
      <c r="BU3" s="34">
        <v>0.0</v>
      </c>
      <c r="BV3" s="34">
        <v>100.0</v>
      </c>
      <c r="BW3" s="34">
        <v>0.0</v>
      </c>
      <c r="BX3" s="34">
        <v>0.0</v>
      </c>
      <c r="BY3" s="33">
        <f>COUNTIFS('Data For Calculation - Insuranc'!A:A,A3,'Data For Calculation - Insuranc'!D:D,"Company",'Data For Calculation - Insuranc'!E:E,"Rollover - 1 Year TP Only")</f>
        <v>0</v>
      </c>
      <c r="BZ3" s="31">
        <f t="shared" si="1"/>
        <v>0</v>
      </c>
      <c r="CA3" s="33">
        <f>SUMIFS('Data For Calculation - Insuranc'!I:I,'Data For Calculation - Insuranc'!$A:$A,$A3)</f>
        <v>0</v>
      </c>
      <c r="CB3" s="33">
        <f>SUMIFS('Data For Calculation - Insuranc'!J:J,'Data For Calculation - Insuranc'!$A:$A,$A3)</f>
        <v>0</v>
      </c>
      <c r="CC3" s="33">
        <f>SUMIFS('Data For Calculation - Insuranc'!K:K,'Data For Calculation - Insuranc'!$A:$A,$A3)</f>
        <v>0</v>
      </c>
      <c r="CD3" s="33">
        <f>IF($CK3 = "Dealer", SUMIFS('Data For Calculation - Insuranc'!I:I,'Data For Calculation - Insuranc'!$B:$B,$A3,'Data For Calculation - Insuranc'!$H:$H,"Master Dealer")) + SUMIFS('Data For Calculation - Insuranc'!I:I,'Data For Calculation - Insuranc'!$A:$A,$A3,'Data For Calculation - Insuranc'!$H:$H,"Self")</f>
        <v>0</v>
      </c>
      <c r="CE3" s="33">
        <f>IF($CK3 = "Dealer", SUMIFS('Data For Calculation - Insuranc'!J:J,'Data For Calculation - Insuranc'!$B:$B,$A3,'Data For Calculation - Insuranc'!$H:$H,"Master Dealer")) + SUMIFS('Data For Calculation - Insuranc'!J:J,'Data For Calculation - Insuranc'!$A:$A,$A3,'Data For Calculation - Insuranc'!$H:$H,"Self")</f>
        <v>0</v>
      </c>
      <c r="CF3" s="33">
        <f>IF($CK3 = "Dealer", SUMIFS('Data For Calculation - Insuranc'!K:K,'Data For Calculation - Insuranc'!$B:$B,$A3,'Data For Calculation - Insuranc'!$H:$H,"Master Dealer")) + SUMIFS('Data For Calculation - Insuranc'!K:K,'Data For Calculation - Insuranc'!$A:$A,$A3,'Data For Calculation - Insuranc'!$H:$H,"Self")</f>
        <v>0</v>
      </c>
      <c r="CG3" s="25" t="str">
        <f>(Sheet1!N3)</f>
        <v>Globe Agencies</v>
      </c>
      <c r="CH3" s="25" t="str">
        <f>(Sheet1!O3)</f>
        <v>1ksPRehLH7gfgZpnXgiBGZpTtFA-KHaKr32rTQGuz3WY</v>
      </c>
      <c r="CI3" s="25" t="str">
        <f>(Sheet1!AV3)</f>
        <v/>
      </c>
      <c r="CJ3" s="25" t="str">
        <f>(Sheet1!AW3)</f>
        <v/>
      </c>
      <c r="CK3" s="26" t="str">
        <f>(Sheet1!P3)</f>
        <v>Dealer</v>
      </c>
    </row>
    <row r="4">
      <c r="A4" s="25" t="str">
        <f>(Sheet1!A4)</f>
        <v>184Y3L-ZLT7vcLiFDItIcLa-18phpzEbgBCBDgt_LGCQ</v>
      </c>
      <c r="B4" s="25" t="str">
        <f>(Sheet1!B4)</f>
        <v>Jain Motorcycle Company</v>
      </c>
      <c r="C4" s="30" t="str">
        <f>Sheet1!BB4</f>
        <v>No</v>
      </c>
      <c r="D4" s="30" t="s">
        <v>13</v>
      </c>
      <c r="E4" s="34" t="s">
        <v>13</v>
      </c>
      <c r="F4" s="34" t="s">
        <v>3929</v>
      </c>
      <c r="G4" s="42" t="s">
        <v>3820</v>
      </c>
      <c r="H4" s="43">
        <v>170.0</v>
      </c>
      <c r="I4" s="42" t="s">
        <v>3853</v>
      </c>
      <c r="J4" s="43">
        <v>0.0</v>
      </c>
      <c r="K4" s="43">
        <v>100.0</v>
      </c>
      <c r="L4" s="43">
        <v>0.0</v>
      </c>
      <c r="M4" s="43">
        <v>0.0</v>
      </c>
      <c r="N4" s="33">
        <f>COUNTIFS('Data For Calculation - Insuranc'!A:A,A4,'Data For Calculation - Insuranc'!D:D,"Individual",'Data For Calculation - Insuranc'!E:E,"Bundled - 1 Year OD + 5 Year TP")</f>
        <v>0</v>
      </c>
      <c r="O4" s="34" t="s">
        <v>3930</v>
      </c>
      <c r="P4" s="42" t="s">
        <v>3820</v>
      </c>
      <c r="Q4" s="43">
        <v>170.0</v>
      </c>
      <c r="R4" s="42" t="s">
        <v>3853</v>
      </c>
      <c r="S4" s="43">
        <v>0.0</v>
      </c>
      <c r="T4" s="43">
        <v>100.0</v>
      </c>
      <c r="U4" s="43">
        <v>0.0</v>
      </c>
      <c r="V4" s="43">
        <v>0.0</v>
      </c>
      <c r="W4" s="33">
        <f>COUNTIFS('Data For Calculation - Insuranc'!A:A,A4,'Data For Calculation - Insuranc'!D:D,"Company",'Data For Calculation - Insuranc'!E:E,"Bundled - 1 Year OD + 5 Year TP")</f>
        <v>0</v>
      </c>
      <c r="X4" s="34" t="s">
        <v>3929</v>
      </c>
      <c r="Y4" s="42" t="s">
        <v>3820</v>
      </c>
      <c r="Z4" s="31">
        <v>170.0</v>
      </c>
      <c r="AA4" s="34" t="s">
        <v>3853</v>
      </c>
      <c r="AB4" s="34">
        <v>0.0</v>
      </c>
      <c r="AC4" s="34">
        <v>100.0</v>
      </c>
      <c r="AD4" s="34">
        <v>0.0</v>
      </c>
      <c r="AE4" s="34">
        <v>0.0</v>
      </c>
      <c r="AF4" s="33">
        <f>COUNTIFS('Data For Calculation - Insuranc'!A:A,A4,'Data For Calculation - Insuranc'!D:D,"Individual",'Data For Calculation - Insuranc'!E:E,"Rollover Comprehensive - 1 Year OD + 1 Year TP")</f>
        <v>0</v>
      </c>
      <c r="AG4" s="34" t="s">
        <v>3930</v>
      </c>
      <c r="AH4" s="42" t="s">
        <v>3820</v>
      </c>
      <c r="AI4" s="31">
        <v>170.0</v>
      </c>
      <c r="AJ4" s="34" t="s">
        <v>3853</v>
      </c>
      <c r="AK4" s="34">
        <v>0.0</v>
      </c>
      <c r="AL4" s="34">
        <v>100.0</v>
      </c>
      <c r="AM4" s="34">
        <v>0.0</v>
      </c>
      <c r="AN4" s="34">
        <v>0.0</v>
      </c>
      <c r="AO4" s="33">
        <f>COUNTIFS('Data For Calculation - Insuranc'!A:A,A4,'Data For Calculation - Insuranc'!D:D,"Company",'Data For Calculation - Insuranc'!E:E,"Rollover Comprehensive - 1 Year OD + 1 Year TP")</f>
        <v>0</v>
      </c>
      <c r="AP4" s="34" t="s">
        <v>3931</v>
      </c>
      <c r="AQ4" s="42" t="s">
        <v>3820</v>
      </c>
      <c r="AR4" s="31">
        <v>170.0</v>
      </c>
      <c r="AS4" s="34" t="s">
        <v>3853</v>
      </c>
      <c r="AT4" s="34">
        <v>0.0</v>
      </c>
      <c r="AU4" s="34">
        <v>100.0</v>
      </c>
      <c r="AV4" s="34">
        <v>0.0</v>
      </c>
      <c r="AW4" s="34">
        <v>0.0</v>
      </c>
      <c r="AX4" s="33">
        <f>COUNTIFS('Data For Calculation - Insuranc'!A:A,A4,'Data For Calculation - Insuranc'!D:D,"Individual",'Data For Calculation - Insuranc'!E:E,"Rollover - 1 Year OD Only")</f>
        <v>0</v>
      </c>
      <c r="AY4" s="34" t="s">
        <v>3932</v>
      </c>
      <c r="AZ4" s="42" t="s">
        <v>3820</v>
      </c>
      <c r="BA4" s="31">
        <v>170.0</v>
      </c>
      <c r="BB4" s="34" t="s">
        <v>3853</v>
      </c>
      <c r="BC4" s="34">
        <v>0.0</v>
      </c>
      <c r="BD4" s="34">
        <v>100.0</v>
      </c>
      <c r="BE4" s="34">
        <v>0.0</v>
      </c>
      <c r="BF4" s="34">
        <v>0.0</v>
      </c>
      <c r="BG4" s="33">
        <f>COUNTIFS('Data For Calculation - Insuranc'!A:A,A4,'Data For Calculation - Insuranc'!D:D,"Company",'Data For Calculation - Insuranc'!E:E,"Rollover - 1 Year OD Only")</f>
        <v>0</v>
      </c>
      <c r="BH4" s="34" t="s">
        <v>3931</v>
      </c>
      <c r="BI4" s="42" t="s">
        <v>3820</v>
      </c>
      <c r="BJ4" s="31">
        <v>170.0</v>
      </c>
      <c r="BK4" s="34" t="s">
        <v>3853</v>
      </c>
      <c r="BL4" s="34">
        <v>0.0</v>
      </c>
      <c r="BM4" s="34">
        <v>100.0</v>
      </c>
      <c r="BN4" s="34">
        <v>0.0</v>
      </c>
      <c r="BO4" s="34">
        <v>0.0</v>
      </c>
      <c r="BP4" s="33">
        <f>COUNTIFS('Data For Calculation - Insuranc'!A:A,A4,'Data For Calculation - Insuranc'!D:D,"Individual",'Data For Calculation - Insuranc'!E:E,"Rollover - 1 Year TP Only")</f>
        <v>0</v>
      </c>
      <c r="BQ4" s="34" t="s">
        <v>3932</v>
      </c>
      <c r="BR4" s="42" t="s">
        <v>3820</v>
      </c>
      <c r="BS4" s="31">
        <v>170.0</v>
      </c>
      <c r="BT4" s="34" t="s">
        <v>3853</v>
      </c>
      <c r="BU4" s="34">
        <v>0.0</v>
      </c>
      <c r="BV4" s="34">
        <v>100.0</v>
      </c>
      <c r="BW4" s="34">
        <v>0.0</v>
      </c>
      <c r="BX4" s="34">
        <v>0.0</v>
      </c>
      <c r="BY4" s="33">
        <f>COUNTIFS('Data For Calculation - Insuranc'!A:A,A4,'Data For Calculation - Insuranc'!D:D,"Company",'Data For Calculation - Insuranc'!E:E,"Rollover - 1 Year TP Only")</f>
        <v>0</v>
      </c>
      <c r="BZ4" s="31">
        <f t="shared" si="1"/>
        <v>0</v>
      </c>
      <c r="CA4" s="33">
        <f>SUMIFS('Data For Calculation - Insuranc'!I:I,'Data For Calculation - Insuranc'!$A:$A,$A4)</f>
        <v>0</v>
      </c>
      <c r="CB4" s="33">
        <f>SUMIFS('Data For Calculation - Insuranc'!J:J,'Data For Calculation - Insuranc'!$A:$A,$A4)</f>
        <v>0</v>
      </c>
      <c r="CC4" s="33">
        <f>SUMIFS('Data For Calculation - Insuranc'!K:K,'Data For Calculation - Insuranc'!$A:$A,$A4)</f>
        <v>0</v>
      </c>
      <c r="CD4" s="33">
        <f>IF($CK4 = "Dealer", SUMIFS('Data For Calculation - Insuranc'!I:I,'Data For Calculation - Insuranc'!$B:$B,$A4,'Data For Calculation - Insuranc'!$H:$H,"Master Dealer")) + SUMIFS('Data For Calculation - Insuranc'!I:I,'Data For Calculation - Insuranc'!$A:$A,$A4,'Data For Calculation - Insuranc'!$H:$H,"Self")</f>
        <v>0</v>
      </c>
      <c r="CE4" s="33">
        <f>IF($CK4 = "Dealer", SUMIFS('Data For Calculation - Insuranc'!J:J,'Data For Calculation - Insuranc'!$B:$B,$A4,'Data For Calculation - Insuranc'!$H:$H,"Master Dealer")) + SUMIFS('Data For Calculation - Insuranc'!J:J,'Data For Calculation - Insuranc'!$A:$A,$A4,'Data For Calculation - Insuranc'!$H:$H,"Self")</f>
        <v>0</v>
      </c>
      <c r="CF4" s="33">
        <f>IF($CK4 = "Dealer", SUMIFS('Data For Calculation - Insuranc'!K:K,'Data For Calculation - Insuranc'!$B:$B,$A4,'Data For Calculation - Insuranc'!$H:$H,"Master Dealer")) + SUMIFS('Data For Calculation - Insuranc'!K:K,'Data For Calculation - Insuranc'!$A:$A,$A4,'Data For Calculation - Insuranc'!$H:$H,"Self")</f>
        <v>0</v>
      </c>
      <c r="CG4" s="25" t="str">
        <f>(Sheet1!N4)</f>
        <v>Jain Motorcycle Company</v>
      </c>
      <c r="CH4" s="25" t="str">
        <f>(Sheet1!O4)</f>
        <v>184Y3L-ZLT7vcLiFDItIcLa-18phpzEbgBCBDgt_LGCQ</v>
      </c>
      <c r="CI4" s="25" t="str">
        <f>(Sheet1!AV4)</f>
        <v/>
      </c>
      <c r="CJ4" s="25" t="str">
        <f>(Sheet1!AW4)</f>
        <v/>
      </c>
      <c r="CK4" s="26" t="str">
        <f>(Sheet1!P4)</f>
        <v>Dealer</v>
      </c>
    </row>
    <row r="5">
      <c r="A5" s="25" t="str">
        <f>(Sheet1!A5)</f>
        <v>1NdxdE379VcEgyTXyFtYxSA9RX1kAZOR0rPt76NDuLUw</v>
      </c>
      <c r="B5" s="25" t="str">
        <f>(Sheet1!B5)</f>
        <v>Solitaire Automotive</v>
      </c>
      <c r="C5" s="30" t="str">
        <f>Sheet1!BB5</f>
        <v>No</v>
      </c>
      <c r="D5" s="30" t="s">
        <v>13</v>
      </c>
      <c r="E5" s="34" t="s">
        <v>13</v>
      </c>
      <c r="F5" s="34" t="s">
        <v>3929</v>
      </c>
      <c r="G5" s="42" t="s">
        <v>3817</v>
      </c>
      <c r="H5" s="43">
        <v>460.0</v>
      </c>
      <c r="I5" s="42" t="s">
        <v>3853</v>
      </c>
      <c r="J5" s="43">
        <v>0.0</v>
      </c>
      <c r="K5" s="43">
        <v>100.0</v>
      </c>
      <c r="L5" s="43">
        <v>0.0</v>
      </c>
      <c r="M5" s="43">
        <v>0.0</v>
      </c>
      <c r="N5" s="33">
        <f>COUNTIFS('Data For Calculation - Insuranc'!A:A,A5,'Data For Calculation - Insuranc'!D:D,"Individual",'Data For Calculation - Insuranc'!E:E,"Bundled - 1 Year OD + 5 Year TP")</f>
        <v>0</v>
      </c>
      <c r="O5" s="34" t="s">
        <v>3930</v>
      </c>
      <c r="P5" s="42" t="s">
        <v>3817</v>
      </c>
      <c r="Q5" s="43">
        <v>460.0</v>
      </c>
      <c r="R5" s="42" t="s">
        <v>3853</v>
      </c>
      <c r="S5" s="43">
        <v>0.0</v>
      </c>
      <c r="T5" s="43">
        <v>100.0</v>
      </c>
      <c r="U5" s="43">
        <v>0.0</v>
      </c>
      <c r="V5" s="43">
        <v>0.0</v>
      </c>
      <c r="W5" s="33">
        <f>COUNTIFS('Data For Calculation - Insuranc'!A:A,A5,'Data For Calculation - Insuranc'!D:D,"Company",'Data For Calculation - Insuranc'!E:E,"Bundled - 1 Year OD + 5 Year TP")</f>
        <v>0</v>
      </c>
      <c r="X5" s="34" t="s">
        <v>3929</v>
      </c>
      <c r="Y5" s="42" t="s">
        <v>3817</v>
      </c>
      <c r="Z5" s="31">
        <v>290.0</v>
      </c>
      <c r="AA5" s="34" t="s">
        <v>3853</v>
      </c>
      <c r="AB5" s="34">
        <v>0.0</v>
      </c>
      <c r="AC5" s="34">
        <v>100.0</v>
      </c>
      <c r="AD5" s="34">
        <v>0.0</v>
      </c>
      <c r="AE5" s="34">
        <v>0.0</v>
      </c>
      <c r="AF5" s="33">
        <f>COUNTIFS('Data For Calculation - Insuranc'!A:A,A5,'Data For Calculation - Insuranc'!D:D,"Individual",'Data For Calculation - Insuranc'!E:E,"Rollover Comprehensive - 1 Year OD + 1 Year TP")</f>
        <v>0</v>
      </c>
      <c r="AG5" s="34" t="s">
        <v>3930</v>
      </c>
      <c r="AH5" s="42" t="s">
        <v>3817</v>
      </c>
      <c r="AI5" s="31">
        <v>290.0</v>
      </c>
      <c r="AJ5" s="34" t="s">
        <v>3853</v>
      </c>
      <c r="AK5" s="34">
        <v>0.0</v>
      </c>
      <c r="AL5" s="34">
        <v>100.0</v>
      </c>
      <c r="AM5" s="34">
        <v>0.0</v>
      </c>
      <c r="AN5" s="34">
        <v>0.0</v>
      </c>
      <c r="AO5" s="33">
        <f>COUNTIFS('Data For Calculation - Insuranc'!A:A,A5,'Data For Calculation - Insuranc'!D:D,"Company",'Data For Calculation - Insuranc'!E:E,"Rollover Comprehensive - 1 Year OD + 1 Year TP")</f>
        <v>0</v>
      </c>
      <c r="AP5" s="34" t="s">
        <v>3931</v>
      </c>
      <c r="AQ5" s="42" t="s">
        <v>3817</v>
      </c>
      <c r="AR5" s="31">
        <v>290.0</v>
      </c>
      <c r="AS5" s="34" t="s">
        <v>3853</v>
      </c>
      <c r="AT5" s="34">
        <v>0.0</v>
      </c>
      <c r="AU5" s="34">
        <v>100.0</v>
      </c>
      <c r="AV5" s="34">
        <v>0.0</v>
      </c>
      <c r="AW5" s="34">
        <v>0.0</v>
      </c>
      <c r="AX5" s="33">
        <f>COUNTIFS('Data For Calculation - Insuranc'!A:A,A5,'Data For Calculation - Insuranc'!D:D,"Individual",'Data For Calculation - Insuranc'!E:E,"Rollover - 1 Year OD Only")</f>
        <v>0</v>
      </c>
      <c r="AY5" s="34" t="s">
        <v>3932</v>
      </c>
      <c r="AZ5" s="42" t="s">
        <v>3817</v>
      </c>
      <c r="BA5" s="31">
        <v>290.0</v>
      </c>
      <c r="BB5" s="34" t="s">
        <v>3853</v>
      </c>
      <c r="BC5" s="34">
        <v>0.0</v>
      </c>
      <c r="BD5" s="34">
        <v>100.0</v>
      </c>
      <c r="BE5" s="34">
        <v>0.0</v>
      </c>
      <c r="BF5" s="34">
        <v>0.0</v>
      </c>
      <c r="BG5" s="33">
        <f>COUNTIFS('Data For Calculation - Insuranc'!A:A,A5,'Data For Calculation - Insuranc'!D:D,"Company",'Data For Calculation - Insuranc'!E:E,"Rollover - 1 Year OD Only")</f>
        <v>0</v>
      </c>
      <c r="BH5" s="34" t="s">
        <v>3931</v>
      </c>
      <c r="BI5" s="42" t="s">
        <v>3817</v>
      </c>
      <c r="BJ5" s="31">
        <v>290.0</v>
      </c>
      <c r="BK5" s="34" t="s">
        <v>3853</v>
      </c>
      <c r="BL5" s="34">
        <v>0.0</v>
      </c>
      <c r="BM5" s="34">
        <v>100.0</v>
      </c>
      <c r="BN5" s="34">
        <v>0.0</v>
      </c>
      <c r="BO5" s="34">
        <v>0.0</v>
      </c>
      <c r="BP5" s="33">
        <f>COUNTIFS('Data For Calculation - Insuranc'!A:A,A5,'Data For Calculation - Insuranc'!D:D,"Individual",'Data For Calculation - Insuranc'!E:E,"Rollover - 1 Year TP Only")</f>
        <v>0</v>
      </c>
      <c r="BQ5" s="34" t="s">
        <v>3932</v>
      </c>
      <c r="BR5" s="42" t="s">
        <v>3817</v>
      </c>
      <c r="BS5" s="31">
        <v>290.0</v>
      </c>
      <c r="BT5" s="34" t="s">
        <v>3853</v>
      </c>
      <c r="BU5" s="34">
        <v>0.0</v>
      </c>
      <c r="BV5" s="34">
        <v>100.0</v>
      </c>
      <c r="BW5" s="34">
        <v>0.0</v>
      </c>
      <c r="BX5" s="34">
        <v>0.0</v>
      </c>
      <c r="BY5" s="33">
        <f>COUNTIFS('Data For Calculation - Insuranc'!A:A,A5,'Data For Calculation - Insuranc'!D:D,"Company",'Data For Calculation - Insuranc'!E:E,"Rollover - 1 Year TP Only")</f>
        <v>0</v>
      </c>
      <c r="BZ5" s="31">
        <f t="shared" si="1"/>
        <v>0</v>
      </c>
      <c r="CA5" s="33">
        <f>SUMIFS('Data For Calculation - Insuranc'!I:I,'Data For Calculation - Insuranc'!$A:$A,$A5)</f>
        <v>0</v>
      </c>
      <c r="CB5" s="33">
        <f>SUMIFS('Data For Calculation - Insuranc'!J:J,'Data For Calculation - Insuranc'!$A:$A,$A5)</f>
        <v>0</v>
      </c>
      <c r="CC5" s="33">
        <f>SUMIFS('Data For Calculation - Insuranc'!K:K,'Data For Calculation - Insuranc'!$A:$A,$A5)</f>
        <v>0</v>
      </c>
      <c r="CD5" s="33">
        <f>IF($CK5 = "Dealer", SUMIFS('Data For Calculation - Insuranc'!I:I,'Data For Calculation - Insuranc'!$B:$B,$A5,'Data For Calculation - Insuranc'!$H:$H,"Master Dealer")) + SUMIFS('Data For Calculation - Insuranc'!I:I,'Data For Calculation - Insuranc'!$A:$A,$A5,'Data For Calculation - Insuranc'!$H:$H,"Self")</f>
        <v>0</v>
      </c>
      <c r="CE5" s="33">
        <f>IF($CK5 = "Dealer", SUMIFS('Data For Calculation - Insuranc'!J:J,'Data For Calculation - Insuranc'!$B:$B,$A5,'Data For Calculation - Insuranc'!$H:$H,"Master Dealer")) + SUMIFS('Data For Calculation - Insuranc'!J:J,'Data For Calculation - Insuranc'!$A:$A,$A5,'Data For Calculation - Insuranc'!$H:$H,"Self")</f>
        <v>0</v>
      </c>
      <c r="CF5" s="33">
        <f>IF($CK5 = "Dealer", SUMIFS('Data For Calculation - Insuranc'!K:K,'Data For Calculation - Insuranc'!$B:$B,$A5,'Data For Calculation - Insuranc'!$H:$H,"Master Dealer")) + SUMIFS('Data For Calculation - Insuranc'!K:K,'Data For Calculation - Insuranc'!$A:$A,$A5,'Data For Calculation - Insuranc'!$H:$H,"Self")</f>
        <v>0</v>
      </c>
      <c r="CG5" s="25" t="str">
        <f>(Sheet1!N5)</f>
        <v>Solitaire Automotive</v>
      </c>
      <c r="CH5" s="25" t="str">
        <f>(Sheet1!O5)</f>
        <v>1NdxdE379VcEgyTXyFtYxSA9RX1kAZOR0rPt76NDuLUw</v>
      </c>
      <c r="CI5" s="25" t="str">
        <f>(Sheet1!AV5)</f>
        <v/>
      </c>
      <c r="CJ5" s="25" t="str">
        <f>(Sheet1!AW5)</f>
        <v/>
      </c>
      <c r="CK5" s="26" t="str">
        <f>(Sheet1!P5)</f>
        <v>Dealer</v>
      </c>
    </row>
    <row r="6">
      <c r="A6" s="25" t="str">
        <f>(Sheet1!A6)</f>
        <v>1gG6109tt997RZ0RZOh_BNdEtAIOwUW8ggEowedu-6Ck</v>
      </c>
      <c r="B6" s="25" t="str">
        <f>(Sheet1!B6)</f>
        <v>Asco Motors</v>
      </c>
      <c r="C6" s="30" t="str">
        <f>Sheet1!BB6</f>
        <v>No</v>
      </c>
      <c r="D6" s="30" t="s">
        <v>13</v>
      </c>
      <c r="E6" s="34" t="s">
        <v>13</v>
      </c>
      <c r="F6" s="34" t="s">
        <v>3929</v>
      </c>
      <c r="G6" s="42" t="s">
        <v>3817</v>
      </c>
      <c r="H6" s="43">
        <v>460.0</v>
      </c>
      <c r="I6" s="42" t="s">
        <v>3853</v>
      </c>
      <c r="J6" s="43">
        <v>0.0</v>
      </c>
      <c r="K6" s="43">
        <v>100.0</v>
      </c>
      <c r="L6" s="43">
        <v>0.0</v>
      </c>
      <c r="M6" s="43">
        <v>0.0</v>
      </c>
      <c r="N6" s="33">
        <f>COUNTIFS('Data For Calculation - Insuranc'!A:A,A6,'Data For Calculation - Insuranc'!D:D,"Individual",'Data For Calculation - Insuranc'!E:E,"Bundled - 1 Year OD + 5 Year TP")</f>
        <v>0</v>
      </c>
      <c r="O6" s="34" t="s">
        <v>3930</v>
      </c>
      <c r="P6" s="42" t="s">
        <v>3817</v>
      </c>
      <c r="Q6" s="43">
        <v>460.0</v>
      </c>
      <c r="R6" s="42" t="s">
        <v>3853</v>
      </c>
      <c r="S6" s="43">
        <v>0.0</v>
      </c>
      <c r="T6" s="43">
        <v>100.0</v>
      </c>
      <c r="U6" s="43">
        <v>0.0</v>
      </c>
      <c r="V6" s="43">
        <v>0.0</v>
      </c>
      <c r="W6" s="33">
        <f>COUNTIFS('Data For Calculation - Insuranc'!A:A,A6,'Data For Calculation - Insuranc'!D:D,"Company",'Data For Calculation - Insuranc'!E:E,"Bundled - 1 Year OD + 5 Year TP")</f>
        <v>0</v>
      </c>
      <c r="X6" s="34" t="s">
        <v>3929</v>
      </c>
      <c r="Y6" s="42" t="s">
        <v>3817</v>
      </c>
      <c r="Z6" s="31">
        <v>290.0</v>
      </c>
      <c r="AA6" s="34" t="s">
        <v>3853</v>
      </c>
      <c r="AB6" s="34">
        <v>0.0</v>
      </c>
      <c r="AC6" s="34">
        <v>100.0</v>
      </c>
      <c r="AD6" s="34">
        <v>0.0</v>
      </c>
      <c r="AE6" s="34">
        <v>0.0</v>
      </c>
      <c r="AF6" s="33">
        <f>COUNTIFS('Data For Calculation - Insuranc'!A:A,A6,'Data For Calculation - Insuranc'!D:D,"Individual",'Data For Calculation - Insuranc'!E:E,"Rollover Comprehensive - 1 Year OD + 1 Year TP")</f>
        <v>0</v>
      </c>
      <c r="AG6" s="34" t="s">
        <v>3930</v>
      </c>
      <c r="AH6" s="42" t="s">
        <v>3817</v>
      </c>
      <c r="AI6" s="31">
        <v>290.0</v>
      </c>
      <c r="AJ6" s="34" t="s">
        <v>3853</v>
      </c>
      <c r="AK6" s="34">
        <v>0.0</v>
      </c>
      <c r="AL6" s="34">
        <v>100.0</v>
      </c>
      <c r="AM6" s="34">
        <v>0.0</v>
      </c>
      <c r="AN6" s="34">
        <v>0.0</v>
      </c>
      <c r="AO6" s="33">
        <f>COUNTIFS('Data For Calculation - Insuranc'!A:A,A6,'Data For Calculation - Insuranc'!D:D,"Company",'Data For Calculation - Insuranc'!E:E,"Rollover Comprehensive - 1 Year OD + 1 Year TP")</f>
        <v>0</v>
      </c>
      <c r="AP6" s="34" t="s">
        <v>3931</v>
      </c>
      <c r="AQ6" s="42" t="s">
        <v>3817</v>
      </c>
      <c r="AR6" s="31">
        <v>290.0</v>
      </c>
      <c r="AS6" s="34" t="s">
        <v>3853</v>
      </c>
      <c r="AT6" s="34">
        <v>0.0</v>
      </c>
      <c r="AU6" s="34">
        <v>100.0</v>
      </c>
      <c r="AV6" s="34">
        <v>0.0</v>
      </c>
      <c r="AW6" s="34">
        <v>0.0</v>
      </c>
      <c r="AX6" s="33">
        <f>COUNTIFS('Data For Calculation - Insuranc'!A:A,A6,'Data For Calculation - Insuranc'!D:D,"Individual",'Data For Calculation - Insuranc'!E:E,"Rollover - 1 Year OD Only")</f>
        <v>0</v>
      </c>
      <c r="AY6" s="34" t="s">
        <v>3932</v>
      </c>
      <c r="AZ6" s="42" t="s">
        <v>3817</v>
      </c>
      <c r="BA6" s="31">
        <v>290.0</v>
      </c>
      <c r="BB6" s="34" t="s">
        <v>3853</v>
      </c>
      <c r="BC6" s="34">
        <v>0.0</v>
      </c>
      <c r="BD6" s="34">
        <v>100.0</v>
      </c>
      <c r="BE6" s="34">
        <v>0.0</v>
      </c>
      <c r="BF6" s="34">
        <v>0.0</v>
      </c>
      <c r="BG6" s="33">
        <f>COUNTIFS('Data For Calculation - Insuranc'!A:A,A6,'Data For Calculation - Insuranc'!D:D,"Company",'Data For Calculation - Insuranc'!E:E,"Rollover - 1 Year OD Only")</f>
        <v>0</v>
      </c>
      <c r="BH6" s="34" t="s">
        <v>3931</v>
      </c>
      <c r="BI6" s="42" t="s">
        <v>3817</v>
      </c>
      <c r="BJ6" s="31">
        <v>290.0</v>
      </c>
      <c r="BK6" s="34" t="s">
        <v>3853</v>
      </c>
      <c r="BL6" s="34">
        <v>0.0</v>
      </c>
      <c r="BM6" s="34">
        <v>100.0</v>
      </c>
      <c r="BN6" s="34">
        <v>0.0</v>
      </c>
      <c r="BO6" s="34">
        <v>0.0</v>
      </c>
      <c r="BP6" s="33">
        <f>COUNTIFS('Data For Calculation - Insuranc'!A:A,A6,'Data For Calculation - Insuranc'!D:D,"Individual",'Data For Calculation - Insuranc'!E:E,"Rollover - 1 Year TP Only")</f>
        <v>0</v>
      </c>
      <c r="BQ6" s="34" t="s">
        <v>3932</v>
      </c>
      <c r="BR6" s="42" t="s">
        <v>3817</v>
      </c>
      <c r="BS6" s="31">
        <v>290.0</v>
      </c>
      <c r="BT6" s="34" t="s">
        <v>3853</v>
      </c>
      <c r="BU6" s="34">
        <v>0.0</v>
      </c>
      <c r="BV6" s="34">
        <v>100.0</v>
      </c>
      <c r="BW6" s="34">
        <v>0.0</v>
      </c>
      <c r="BX6" s="34">
        <v>0.0</v>
      </c>
      <c r="BY6" s="33">
        <f>COUNTIFS('Data For Calculation - Insuranc'!A:A,A6,'Data For Calculation - Insuranc'!D:D,"Company",'Data For Calculation - Insuranc'!E:E,"Rollover - 1 Year TP Only")</f>
        <v>0</v>
      </c>
      <c r="BZ6" s="31">
        <f t="shared" si="1"/>
        <v>0</v>
      </c>
      <c r="CA6" s="33">
        <f>SUMIFS('Data For Calculation - Insuranc'!I:I,'Data For Calculation - Insuranc'!$A:$A,$A6)</f>
        <v>0</v>
      </c>
      <c r="CB6" s="33">
        <f>SUMIFS('Data For Calculation - Insuranc'!J:J,'Data For Calculation - Insuranc'!$A:$A,$A6)</f>
        <v>0</v>
      </c>
      <c r="CC6" s="33">
        <f>SUMIFS('Data For Calculation - Insuranc'!K:K,'Data For Calculation - Insuranc'!$A:$A,$A6)</f>
        <v>0</v>
      </c>
      <c r="CD6" s="33">
        <f>IF($CK6 = "Dealer", SUMIFS('Data For Calculation - Insuranc'!I:I,'Data For Calculation - Insuranc'!$B:$B,$A6,'Data For Calculation - Insuranc'!$H:$H,"Master Dealer")) + SUMIFS('Data For Calculation - Insuranc'!I:I,'Data For Calculation - Insuranc'!$A:$A,$A6,'Data For Calculation - Insuranc'!$H:$H,"Self")</f>
        <v>0</v>
      </c>
      <c r="CE6" s="33">
        <f>IF($CK6 = "Dealer", SUMIFS('Data For Calculation - Insuranc'!J:J,'Data For Calculation - Insuranc'!$B:$B,$A6,'Data For Calculation - Insuranc'!$H:$H,"Master Dealer")) + SUMIFS('Data For Calculation - Insuranc'!J:J,'Data For Calculation - Insuranc'!$A:$A,$A6,'Data For Calculation - Insuranc'!$H:$H,"Self")</f>
        <v>0</v>
      </c>
      <c r="CF6" s="33">
        <f>IF($CK6 = "Dealer", SUMIFS('Data For Calculation - Insuranc'!K:K,'Data For Calculation - Insuranc'!$B:$B,$A6,'Data For Calculation - Insuranc'!$H:$H,"Master Dealer")) + SUMIFS('Data For Calculation - Insuranc'!K:K,'Data For Calculation - Insuranc'!$A:$A,$A6,'Data For Calculation - Insuranc'!$H:$H,"Self")</f>
        <v>0</v>
      </c>
      <c r="CG6" s="25" t="str">
        <f>(Sheet1!N6)</f>
        <v>Asco Motors</v>
      </c>
      <c r="CH6" s="25" t="str">
        <f>(Sheet1!O6)</f>
        <v>1gG6109tt997RZ0RZOh_BNdEtAIOwUW8ggEowedu-6Ck</v>
      </c>
      <c r="CI6" s="25" t="str">
        <f>(Sheet1!AV6)</f>
        <v/>
      </c>
      <c r="CJ6" s="25" t="str">
        <f>(Sheet1!AW6)</f>
        <v/>
      </c>
      <c r="CK6" s="26" t="str">
        <f>(Sheet1!P6)</f>
        <v>Dealer</v>
      </c>
    </row>
    <row r="7">
      <c r="A7" s="25" t="str">
        <f>(Sheet1!A7)</f>
        <v>1944RLX7T1M23YXRXYoMnJ6nD_bKLldQXRpFRA0rDLvg</v>
      </c>
      <c r="B7" s="25" t="str">
        <f>(Sheet1!B7)</f>
        <v>Vikas Autowheels</v>
      </c>
      <c r="C7" s="30" t="str">
        <f>Sheet1!BB7</f>
        <v>No</v>
      </c>
      <c r="D7" s="30" t="s">
        <v>13</v>
      </c>
      <c r="E7" s="34" t="s">
        <v>13</v>
      </c>
      <c r="F7" s="34" t="s">
        <v>3929</v>
      </c>
      <c r="G7" s="42" t="s">
        <v>3820</v>
      </c>
      <c r="H7" s="43">
        <v>170.0</v>
      </c>
      <c r="I7" s="42" t="s">
        <v>3853</v>
      </c>
      <c r="J7" s="43">
        <v>0.0</v>
      </c>
      <c r="K7" s="43">
        <v>100.0</v>
      </c>
      <c r="L7" s="43">
        <v>0.0</v>
      </c>
      <c r="M7" s="43">
        <v>0.0</v>
      </c>
      <c r="N7" s="33">
        <f>COUNTIFS('Data For Calculation - Insuranc'!A:A,A7,'Data For Calculation - Insuranc'!D:D,"Individual",'Data For Calculation - Insuranc'!E:E,"Bundled - 1 Year OD + 5 Year TP")</f>
        <v>0</v>
      </c>
      <c r="O7" s="34" t="s">
        <v>3930</v>
      </c>
      <c r="P7" s="42" t="s">
        <v>3820</v>
      </c>
      <c r="Q7" s="43">
        <v>170.0</v>
      </c>
      <c r="R7" s="42" t="s">
        <v>3853</v>
      </c>
      <c r="S7" s="43">
        <v>0.0</v>
      </c>
      <c r="T7" s="43">
        <v>100.0</v>
      </c>
      <c r="U7" s="43">
        <v>0.0</v>
      </c>
      <c r="V7" s="43">
        <v>0.0</v>
      </c>
      <c r="W7" s="33">
        <f>COUNTIFS('Data For Calculation - Insuranc'!A:A,A7,'Data For Calculation - Insuranc'!D:D,"Company",'Data For Calculation - Insuranc'!E:E,"Bundled - 1 Year OD + 5 Year TP")</f>
        <v>0</v>
      </c>
      <c r="X7" s="34" t="s">
        <v>3929</v>
      </c>
      <c r="Y7" s="42" t="s">
        <v>3820</v>
      </c>
      <c r="Z7" s="31">
        <v>170.0</v>
      </c>
      <c r="AA7" s="34" t="s">
        <v>3853</v>
      </c>
      <c r="AB7" s="34">
        <v>0.0</v>
      </c>
      <c r="AC7" s="34">
        <v>100.0</v>
      </c>
      <c r="AD7" s="34">
        <v>0.0</v>
      </c>
      <c r="AE7" s="34">
        <v>0.0</v>
      </c>
      <c r="AF7" s="33">
        <f>COUNTIFS('Data For Calculation - Insuranc'!A:A,A7,'Data For Calculation - Insuranc'!D:D,"Individual",'Data For Calculation - Insuranc'!E:E,"Rollover Comprehensive - 1 Year OD + 1 Year TP")</f>
        <v>0</v>
      </c>
      <c r="AG7" s="34" t="s">
        <v>3930</v>
      </c>
      <c r="AH7" s="42" t="s">
        <v>3820</v>
      </c>
      <c r="AI7" s="31">
        <v>170.0</v>
      </c>
      <c r="AJ7" s="34" t="s">
        <v>3853</v>
      </c>
      <c r="AK7" s="34">
        <v>0.0</v>
      </c>
      <c r="AL7" s="34">
        <v>100.0</v>
      </c>
      <c r="AM7" s="34">
        <v>0.0</v>
      </c>
      <c r="AN7" s="34">
        <v>0.0</v>
      </c>
      <c r="AO7" s="33">
        <f>COUNTIFS('Data For Calculation - Insuranc'!A:A,A7,'Data For Calculation - Insuranc'!D:D,"Company",'Data For Calculation - Insuranc'!E:E,"Rollover Comprehensive - 1 Year OD + 1 Year TP")</f>
        <v>0</v>
      </c>
      <c r="AP7" s="34" t="s">
        <v>3931</v>
      </c>
      <c r="AQ7" s="42" t="s">
        <v>3820</v>
      </c>
      <c r="AR7" s="31">
        <v>170.0</v>
      </c>
      <c r="AS7" s="34" t="s">
        <v>3853</v>
      </c>
      <c r="AT7" s="34">
        <v>0.0</v>
      </c>
      <c r="AU7" s="34">
        <v>100.0</v>
      </c>
      <c r="AV7" s="34">
        <v>0.0</v>
      </c>
      <c r="AW7" s="34">
        <v>0.0</v>
      </c>
      <c r="AX7" s="33">
        <f>COUNTIFS('Data For Calculation - Insuranc'!A:A,A7,'Data For Calculation - Insuranc'!D:D,"Individual",'Data For Calculation - Insuranc'!E:E,"Rollover - 1 Year OD Only")</f>
        <v>0</v>
      </c>
      <c r="AY7" s="34" t="s">
        <v>3932</v>
      </c>
      <c r="AZ7" s="42" t="s">
        <v>3820</v>
      </c>
      <c r="BA7" s="31">
        <v>170.0</v>
      </c>
      <c r="BB7" s="34" t="s">
        <v>3853</v>
      </c>
      <c r="BC7" s="34">
        <v>0.0</v>
      </c>
      <c r="BD7" s="34">
        <v>100.0</v>
      </c>
      <c r="BE7" s="34">
        <v>0.0</v>
      </c>
      <c r="BF7" s="34">
        <v>0.0</v>
      </c>
      <c r="BG7" s="33">
        <f>COUNTIFS('Data For Calculation - Insuranc'!A:A,A7,'Data For Calculation - Insuranc'!D:D,"Company",'Data For Calculation - Insuranc'!E:E,"Rollover - 1 Year OD Only")</f>
        <v>0</v>
      </c>
      <c r="BH7" s="34" t="s">
        <v>3931</v>
      </c>
      <c r="BI7" s="42" t="s">
        <v>3820</v>
      </c>
      <c r="BJ7" s="31">
        <v>170.0</v>
      </c>
      <c r="BK7" s="34" t="s">
        <v>3853</v>
      </c>
      <c r="BL7" s="34">
        <v>0.0</v>
      </c>
      <c r="BM7" s="34">
        <v>100.0</v>
      </c>
      <c r="BN7" s="34">
        <v>0.0</v>
      </c>
      <c r="BO7" s="34">
        <v>0.0</v>
      </c>
      <c r="BP7" s="33">
        <f>COUNTIFS('Data For Calculation - Insuranc'!A:A,A7,'Data For Calculation - Insuranc'!D:D,"Individual",'Data For Calculation - Insuranc'!E:E,"Rollover - 1 Year TP Only")</f>
        <v>0</v>
      </c>
      <c r="BQ7" s="34" t="s">
        <v>3932</v>
      </c>
      <c r="BR7" s="42" t="s">
        <v>3820</v>
      </c>
      <c r="BS7" s="31">
        <v>170.0</v>
      </c>
      <c r="BT7" s="34" t="s">
        <v>3853</v>
      </c>
      <c r="BU7" s="34">
        <v>0.0</v>
      </c>
      <c r="BV7" s="34">
        <v>100.0</v>
      </c>
      <c r="BW7" s="34">
        <v>0.0</v>
      </c>
      <c r="BX7" s="34">
        <v>0.0</v>
      </c>
      <c r="BY7" s="33">
        <f>COUNTIFS('Data For Calculation - Insuranc'!A:A,A7,'Data For Calculation - Insuranc'!D:D,"Company",'Data For Calculation - Insuranc'!E:E,"Rollover - 1 Year TP Only")</f>
        <v>0</v>
      </c>
      <c r="BZ7" s="31">
        <f t="shared" si="1"/>
        <v>0</v>
      </c>
      <c r="CA7" s="33">
        <f>SUMIFS('Data For Calculation - Insuranc'!I:I,'Data For Calculation - Insuranc'!$A:$A,$A7)</f>
        <v>0</v>
      </c>
      <c r="CB7" s="33">
        <f>SUMIFS('Data For Calculation - Insuranc'!J:J,'Data For Calculation - Insuranc'!$A:$A,$A7)</f>
        <v>0</v>
      </c>
      <c r="CC7" s="33">
        <f>SUMIFS('Data For Calculation - Insuranc'!K:K,'Data For Calculation - Insuranc'!$A:$A,$A7)</f>
        <v>0</v>
      </c>
      <c r="CD7" s="33">
        <f>IF($CK7 = "Dealer", SUMIFS('Data For Calculation - Insuranc'!I:I,'Data For Calculation - Insuranc'!$B:$B,$A7,'Data For Calculation - Insuranc'!$H:$H,"Master Dealer")) + SUMIFS('Data For Calculation - Insuranc'!I:I,'Data For Calculation - Insuranc'!$A:$A,$A7,'Data For Calculation - Insuranc'!$H:$H,"Self")</f>
        <v>0</v>
      </c>
      <c r="CE7" s="33">
        <f>IF($CK7 = "Dealer", SUMIFS('Data For Calculation - Insuranc'!J:J,'Data For Calculation - Insuranc'!$B:$B,$A7,'Data For Calculation - Insuranc'!$H:$H,"Master Dealer")) + SUMIFS('Data For Calculation - Insuranc'!J:J,'Data For Calculation - Insuranc'!$A:$A,$A7,'Data For Calculation - Insuranc'!$H:$H,"Self")</f>
        <v>0</v>
      </c>
      <c r="CF7" s="33">
        <f>IF($CK7 = "Dealer", SUMIFS('Data For Calculation - Insuranc'!K:K,'Data For Calculation - Insuranc'!$B:$B,$A7,'Data For Calculation - Insuranc'!$H:$H,"Master Dealer")) + SUMIFS('Data For Calculation - Insuranc'!K:K,'Data For Calculation - Insuranc'!$A:$A,$A7,'Data For Calculation - Insuranc'!$H:$H,"Self")</f>
        <v>0</v>
      </c>
      <c r="CG7" s="25" t="str">
        <f>(Sheet1!N7)</f>
        <v>Vikas Autowheels</v>
      </c>
      <c r="CH7" s="25" t="str">
        <f>(Sheet1!O7)</f>
        <v>1944RLX7T1M23YXRXYoMnJ6nD_bKLldQXRpFRA0rDLvg</v>
      </c>
      <c r="CI7" s="25" t="str">
        <f>(Sheet1!AV7)</f>
        <v/>
      </c>
      <c r="CJ7" s="25" t="str">
        <f>(Sheet1!AW7)</f>
        <v/>
      </c>
      <c r="CK7" s="26" t="str">
        <f>(Sheet1!P7)</f>
        <v>Dealer</v>
      </c>
    </row>
    <row r="8">
      <c r="A8" s="25" t="str">
        <f>(Sheet1!A8)</f>
        <v>150xD2ZWlv_NqqijpFlWWgIoGhpbdGM3zmaQdQAd1q5M</v>
      </c>
      <c r="B8" s="25" t="str">
        <f>(Sheet1!B8)</f>
        <v>Singla Automobiles (Main Branch)</v>
      </c>
      <c r="C8" s="30" t="str">
        <f>Sheet1!BB8</f>
        <v>Yes</v>
      </c>
      <c r="D8" s="30" t="s">
        <v>13</v>
      </c>
      <c r="E8" s="34" t="s">
        <v>13</v>
      </c>
      <c r="F8" s="34" t="s">
        <v>3929</v>
      </c>
      <c r="G8" s="42" t="s">
        <v>3854</v>
      </c>
      <c r="H8" s="43">
        <v>100.0</v>
      </c>
      <c r="I8" s="42" t="s">
        <v>3855</v>
      </c>
      <c r="J8" s="43">
        <v>2000.0</v>
      </c>
      <c r="K8" s="43">
        <v>100.0</v>
      </c>
      <c r="L8" s="43">
        <v>0.0</v>
      </c>
      <c r="M8" s="43">
        <v>0.0</v>
      </c>
      <c r="N8" s="33">
        <f>COUNTIFS('Data For Calculation - Insuranc'!A:A,A8,'Data For Calculation - Insuranc'!D:D,"Individual",'Data For Calculation - Insuranc'!E:E,"Bundled - 1 Year OD + 5 Year TP")</f>
        <v>0</v>
      </c>
      <c r="O8" s="34" t="s">
        <v>3930</v>
      </c>
      <c r="P8" s="42" t="s">
        <v>3854</v>
      </c>
      <c r="Q8" s="43">
        <v>100.0</v>
      </c>
      <c r="R8" s="42" t="s">
        <v>3855</v>
      </c>
      <c r="S8" s="43">
        <v>2000.0</v>
      </c>
      <c r="T8" s="43">
        <v>100.0</v>
      </c>
      <c r="U8" s="43">
        <v>0.0</v>
      </c>
      <c r="V8" s="43">
        <v>0.0</v>
      </c>
      <c r="W8" s="33">
        <f>COUNTIFS('Data For Calculation - Insuranc'!A:A,A8,'Data For Calculation - Insuranc'!D:D,"Company",'Data For Calculation - Insuranc'!E:E,"Bundled - 1 Year OD + 5 Year TP")</f>
        <v>0</v>
      </c>
      <c r="X8" s="34" t="s">
        <v>3929</v>
      </c>
      <c r="Y8" s="42" t="s">
        <v>3854</v>
      </c>
      <c r="Z8" s="43">
        <v>100.0</v>
      </c>
      <c r="AA8" s="42" t="s">
        <v>3855</v>
      </c>
      <c r="AB8" s="31">
        <v>500.0</v>
      </c>
      <c r="AC8" s="43">
        <v>100.0</v>
      </c>
      <c r="AD8" s="43">
        <v>0.0</v>
      </c>
      <c r="AE8" s="43">
        <v>0.0</v>
      </c>
      <c r="AF8" s="33">
        <f>COUNTIFS('Data For Calculation - Insuranc'!A:A,A8,'Data For Calculation - Insuranc'!D:D,"Individual",'Data For Calculation - Insuranc'!E:E,"Rollover Comprehensive - 1 Year OD + 1 Year TP")</f>
        <v>0</v>
      </c>
      <c r="AG8" s="34" t="s">
        <v>3930</v>
      </c>
      <c r="AH8" s="42" t="s">
        <v>3854</v>
      </c>
      <c r="AI8" s="43">
        <v>100.0</v>
      </c>
      <c r="AJ8" s="42" t="s">
        <v>3855</v>
      </c>
      <c r="AK8" s="31">
        <v>500.0</v>
      </c>
      <c r="AL8" s="43">
        <v>100.0</v>
      </c>
      <c r="AM8" s="43">
        <v>0.0</v>
      </c>
      <c r="AN8" s="43">
        <v>0.0</v>
      </c>
      <c r="AO8" s="33">
        <f>COUNTIFS('Data For Calculation - Insuranc'!A:A,A8,'Data For Calculation - Insuranc'!D:D,"Company",'Data For Calculation - Insuranc'!E:E,"Rollover Comprehensive - 1 Year OD + 1 Year TP")</f>
        <v>0</v>
      </c>
      <c r="AP8" s="34" t="s">
        <v>3929</v>
      </c>
      <c r="AQ8" s="42" t="s">
        <v>3854</v>
      </c>
      <c r="AR8" s="43">
        <v>100.0</v>
      </c>
      <c r="AS8" s="42" t="s">
        <v>3855</v>
      </c>
      <c r="AT8" s="31">
        <v>500.0</v>
      </c>
      <c r="AU8" s="43">
        <v>100.0</v>
      </c>
      <c r="AV8" s="43">
        <v>0.0</v>
      </c>
      <c r="AW8" s="43">
        <v>0.0</v>
      </c>
      <c r="AX8" s="33">
        <f>COUNTIFS('Data For Calculation - Insuranc'!A:A,A8,'Data For Calculation - Insuranc'!D:D,"Individual",'Data For Calculation - Insuranc'!E:E,"Rollover - 1 Year OD Only")</f>
        <v>0</v>
      </c>
      <c r="AY8" s="34" t="s">
        <v>3930</v>
      </c>
      <c r="AZ8" s="42" t="s">
        <v>3854</v>
      </c>
      <c r="BA8" s="43">
        <v>100.0</v>
      </c>
      <c r="BB8" s="42" t="s">
        <v>3855</v>
      </c>
      <c r="BC8" s="31">
        <v>500.0</v>
      </c>
      <c r="BD8" s="43">
        <v>100.0</v>
      </c>
      <c r="BE8" s="43">
        <v>0.0</v>
      </c>
      <c r="BF8" s="43">
        <v>0.0</v>
      </c>
      <c r="BG8" s="33">
        <f>COUNTIFS('Data For Calculation - Insuranc'!A:A,A8,'Data For Calculation - Insuranc'!D:D,"Company",'Data For Calculation - Insuranc'!E:E,"Rollover - 1 Year OD Only")</f>
        <v>0</v>
      </c>
      <c r="BH8" s="34" t="s">
        <v>3931</v>
      </c>
      <c r="BI8" s="42" t="s">
        <v>3854</v>
      </c>
      <c r="BJ8" s="43">
        <v>100.0</v>
      </c>
      <c r="BK8" s="42" t="s">
        <v>3855</v>
      </c>
      <c r="BL8" s="31">
        <v>400.0</v>
      </c>
      <c r="BM8" s="43">
        <v>100.0</v>
      </c>
      <c r="BN8" s="43">
        <v>0.0</v>
      </c>
      <c r="BO8" s="43">
        <v>0.0</v>
      </c>
      <c r="BP8" s="33">
        <f>COUNTIFS('Data For Calculation - Insuranc'!A:A,A8,'Data For Calculation - Insuranc'!D:D,"Individual",'Data For Calculation - Insuranc'!E:E,"Rollover - 1 Year TP Only")</f>
        <v>0</v>
      </c>
      <c r="BQ8" s="34" t="s">
        <v>3932</v>
      </c>
      <c r="BR8" s="42" t="s">
        <v>3854</v>
      </c>
      <c r="BS8" s="43">
        <v>100.0</v>
      </c>
      <c r="BT8" s="42" t="s">
        <v>3855</v>
      </c>
      <c r="BU8" s="31">
        <v>400.0</v>
      </c>
      <c r="BV8" s="43">
        <v>100.0</v>
      </c>
      <c r="BW8" s="43">
        <v>0.0</v>
      </c>
      <c r="BX8" s="43">
        <v>0.0</v>
      </c>
      <c r="BY8" s="33">
        <f>COUNTIFS('Data For Calculation - Insuranc'!A:A,A8,'Data For Calculation - Insuranc'!D:D,"Company",'Data For Calculation - Insuranc'!E:E,"Rollover - 1 Year TP Only")</f>
        <v>0</v>
      </c>
      <c r="BZ8" s="31">
        <f t="shared" si="1"/>
        <v>0</v>
      </c>
      <c r="CA8" s="33">
        <f>SUMIFS('Data For Calculation - Insuranc'!I:I,'Data For Calculation - Insuranc'!$A:$A,$A8)</f>
        <v>0</v>
      </c>
      <c r="CB8" s="33">
        <f>SUMIFS('Data For Calculation - Insuranc'!J:J,'Data For Calculation - Insuranc'!$A:$A,$A8)</f>
        <v>0</v>
      </c>
      <c r="CC8" s="33">
        <f>SUMIFS('Data For Calculation - Insuranc'!K:K,'Data For Calculation - Insuranc'!$A:$A,$A8)</f>
        <v>0</v>
      </c>
      <c r="CD8" s="33">
        <f>IF($CK8 = "Dealer", SUMIFS('Data For Calculation - Insuranc'!I:I,'Data For Calculation - Insuranc'!$B:$B,$A8,'Data For Calculation - Insuranc'!$H:$H,"Master Dealer")) + SUMIFS('Data For Calculation - Insuranc'!I:I,'Data For Calculation - Insuranc'!$A:$A,$A8,'Data For Calculation - Insuranc'!$H:$H,"Self")</f>
        <v>0</v>
      </c>
      <c r="CE8" s="33">
        <f>IF($CK8 = "Dealer", SUMIFS('Data For Calculation - Insuranc'!J:J,'Data For Calculation - Insuranc'!$B:$B,$A8,'Data For Calculation - Insuranc'!$H:$H,"Master Dealer")) + SUMIFS('Data For Calculation - Insuranc'!J:J,'Data For Calculation - Insuranc'!$A:$A,$A8,'Data For Calculation - Insuranc'!$H:$H,"Self")</f>
        <v>0</v>
      </c>
      <c r="CF8" s="33">
        <f>IF($CK8 = "Dealer", SUMIFS('Data For Calculation - Insuranc'!K:K,'Data For Calculation - Insuranc'!$B:$B,$A8,'Data For Calculation - Insuranc'!$H:$H,"Master Dealer")) + SUMIFS('Data For Calculation - Insuranc'!K:K,'Data For Calculation - Insuranc'!$A:$A,$A8,'Data For Calculation - Insuranc'!$H:$H,"Self")</f>
        <v>0</v>
      </c>
      <c r="CG8" s="25" t="str">
        <f>(Sheet1!N8)</f>
        <v>Singla Automobiles (Main Branch)</v>
      </c>
      <c r="CH8" s="25" t="str">
        <f>(Sheet1!O8)</f>
        <v>150xD2ZWlv_NqqijpFlWWgIoGhpbdGM3zmaQdQAd1q5M</v>
      </c>
      <c r="CI8" s="25" t="str">
        <f>(Sheet1!AV8)</f>
        <v/>
      </c>
      <c r="CJ8" s="25" t="str">
        <f>(Sheet1!AW8)</f>
        <v/>
      </c>
      <c r="CK8" s="26" t="str">
        <f>(Sheet1!P8)</f>
        <v>Dealer</v>
      </c>
    </row>
    <row r="9">
      <c r="A9" s="25" t="str">
        <f>(Sheet1!A9)</f>
        <v>1MWQVORKrBhvtNepdNE6EH-DkM2hXYvqfa0X-kEKcBAI</v>
      </c>
      <c r="B9" s="25" t="str">
        <f>(Sheet1!B9)</f>
        <v>Singla Automobiles (Rajapuri)</v>
      </c>
      <c r="C9" s="30" t="str">
        <f>Sheet1!BB9</f>
        <v>No</v>
      </c>
      <c r="D9" s="30" t="s">
        <v>13</v>
      </c>
      <c r="E9" s="34" t="s">
        <v>13</v>
      </c>
      <c r="F9" s="34" t="s">
        <v>3929</v>
      </c>
      <c r="G9" s="42" t="s">
        <v>3856</v>
      </c>
      <c r="H9" s="43">
        <v>300.0</v>
      </c>
      <c r="I9" s="42" t="s">
        <v>3853</v>
      </c>
      <c r="J9" s="43">
        <v>0.0</v>
      </c>
      <c r="K9" s="43">
        <v>100.0</v>
      </c>
      <c r="L9" s="43">
        <v>0.0</v>
      </c>
      <c r="M9" s="43">
        <v>0.0</v>
      </c>
      <c r="N9" s="33">
        <f>COUNTIFS('Data For Calculation - Insuranc'!A:A,A9,'Data For Calculation - Insuranc'!D:D,"Individual",'Data For Calculation - Insuranc'!E:E,"Bundled - 1 Year OD + 5 Year TP")</f>
        <v>0</v>
      </c>
      <c r="O9" s="34" t="s">
        <v>3930</v>
      </c>
      <c r="P9" s="42" t="s">
        <v>3856</v>
      </c>
      <c r="Q9" s="43">
        <v>300.0</v>
      </c>
      <c r="R9" s="42" t="s">
        <v>3853</v>
      </c>
      <c r="S9" s="43">
        <v>0.0</v>
      </c>
      <c r="T9" s="43">
        <v>100.0</v>
      </c>
      <c r="U9" s="43">
        <v>0.0</v>
      </c>
      <c r="V9" s="43">
        <v>0.0</v>
      </c>
      <c r="W9" s="33">
        <f>COUNTIFS('Data For Calculation - Insuranc'!A:A,A9,'Data For Calculation - Insuranc'!D:D,"Company",'Data For Calculation - Insuranc'!E:E,"Bundled - 1 Year OD + 5 Year TP")</f>
        <v>0</v>
      </c>
      <c r="X9" s="34" t="s">
        <v>3929</v>
      </c>
      <c r="Y9" s="42" t="s">
        <v>3856</v>
      </c>
      <c r="Z9" s="31">
        <v>290.0</v>
      </c>
      <c r="AA9" s="34" t="s">
        <v>3853</v>
      </c>
      <c r="AB9" s="34">
        <v>0.0</v>
      </c>
      <c r="AC9" s="34">
        <v>100.0</v>
      </c>
      <c r="AD9" s="34">
        <v>0.0</v>
      </c>
      <c r="AE9" s="34">
        <v>0.0</v>
      </c>
      <c r="AF9" s="33">
        <f>COUNTIFS('Data For Calculation - Insuranc'!A:A,A9,'Data For Calculation - Insuranc'!D:D,"Individual",'Data For Calculation - Insuranc'!E:E,"Rollover Comprehensive - 1 Year OD + 1 Year TP")</f>
        <v>0</v>
      </c>
      <c r="AG9" s="34" t="s">
        <v>3930</v>
      </c>
      <c r="AH9" s="42" t="s">
        <v>3856</v>
      </c>
      <c r="AI9" s="31">
        <v>290.0</v>
      </c>
      <c r="AJ9" s="34" t="s">
        <v>3853</v>
      </c>
      <c r="AK9" s="34">
        <v>0.0</v>
      </c>
      <c r="AL9" s="34">
        <v>100.0</v>
      </c>
      <c r="AM9" s="34">
        <v>0.0</v>
      </c>
      <c r="AN9" s="34">
        <v>0.0</v>
      </c>
      <c r="AO9" s="33">
        <f>COUNTIFS('Data For Calculation - Insuranc'!A:A,A9,'Data For Calculation - Insuranc'!D:D,"Company",'Data For Calculation - Insuranc'!E:E,"Rollover Comprehensive - 1 Year OD + 1 Year TP")</f>
        <v>0</v>
      </c>
      <c r="AP9" s="34" t="s">
        <v>3931</v>
      </c>
      <c r="AQ9" s="42" t="s">
        <v>3856</v>
      </c>
      <c r="AR9" s="31">
        <v>290.0</v>
      </c>
      <c r="AS9" s="34" t="s">
        <v>3853</v>
      </c>
      <c r="AT9" s="34">
        <v>0.0</v>
      </c>
      <c r="AU9" s="34">
        <v>100.0</v>
      </c>
      <c r="AV9" s="34">
        <v>0.0</v>
      </c>
      <c r="AW9" s="34">
        <v>0.0</v>
      </c>
      <c r="AX9" s="33">
        <f>COUNTIFS('Data For Calculation - Insuranc'!A:A,A9,'Data For Calculation - Insuranc'!D:D,"Individual",'Data For Calculation - Insuranc'!E:E,"Rollover - 1 Year OD Only")</f>
        <v>0</v>
      </c>
      <c r="AY9" s="34" t="s">
        <v>3932</v>
      </c>
      <c r="AZ9" s="42" t="s">
        <v>3856</v>
      </c>
      <c r="BA9" s="31">
        <v>290.0</v>
      </c>
      <c r="BB9" s="34" t="s">
        <v>3853</v>
      </c>
      <c r="BC9" s="34">
        <v>0.0</v>
      </c>
      <c r="BD9" s="34">
        <v>100.0</v>
      </c>
      <c r="BE9" s="34">
        <v>0.0</v>
      </c>
      <c r="BF9" s="34">
        <v>0.0</v>
      </c>
      <c r="BG9" s="33">
        <f>COUNTIFS('Data For Calculation - Insuranc'!A:A,A9,'Data For Calculation - Insuranc'!D:D,"Company",'Data For Calculation - Insuranc'!E:E,"Rollover - 1 Year OD Only")</f>
        <v>0</v>
      </c>
      <c r="BH9" s="34" t="s">
        <v>3931</v>
      </c>
      <c r="BI9" s="42" t="s">
        <v>3856</v>
      </c>
      <c r="BJ9" s="31">
        <v>290.0</v>
      </c>
      <c r="BK9" s="34" t="s">
        <v>3853</v>
      </c>
      <c r="BL9" s="34">
        <v>0.0</v>
      </c>
      <c r="BM9" s="34">
        <v>100.0</v>
      </c>
      <c r="BN9" s="34">
        <v>0.0</v>
      </c>
      <c r="BO9" s="34">
        <v>0.0</v>
      </c>
      <c r="BP9" s="33">
        <f>COUNTIFS('Data For Calculation - Insuranc'!A:A,A9,'Data For Calculation - Insuranc'!D:D,"Individual",'Data For Calculation - Insuranc'!E:E,"Rollover - 1 Year TP Only")</f>
        <v>0</v>
      </c>
      <c r="BQ9" s="34" t="s">
        <v>3932</v>
      </c>
      <c r="BR9" s="42" t="s">
        <v>3856</v>
      </c>
      <c r="BS9" s="31">
        <v>290.0</v>
      </c>
      <c r="BT9" s="34" t="s">
        <v>3853</v>
      </c>
      <c r="BU9" s="34">
        <v>0.0</v>
      </c>
      <c r="BV9" s="34">
        <v>100.0</v>
      </c>
      <c r="BW9" s="34">
        <v>0.0</v>
      </c>
      <c r="BX9" s="34">
        <v>0.0</v>
      </c>
      <c r="BY9" s="33">
        <f>COUNTIFS('Data For Calculation - Insuranc'!A:A,A9,'Data For Calculation - Insuranc'!D:D,"Company",'Data For Calculation - Insuranc'!E:E,"Rollover - 1 Year TP Only")</f>
        <v>0</v>
      </c>
      <c r="BZ9" s="31">
        <f t="shared" si="1"/>
        <v>0</v>
      </c>
      <c r="CA9" s="33">
        <f>SUMIFS('Data For Calculation - Insuranc'!I:I,'Data For Calculation - Insuranc'!$A:$A,$A9)</f>
        <v>0</v>
      </c>
      <c r="CB9" s="33">
        <f>SUMIFS('Data For Calculation - Insuranc'!J:J,'Data For Calculation - Insuranc'!$A:$A,$A9)</f>
        <v>0</v>
      </c>
      <c r="CC9" s="33">
        <f>SUMIFS('Data For Calculation - Insuranc'!K:K,'Data For Calculation - Insuranc'!$A:$A,$A9)</f>
        <v>0</v>
      </c>
      <c r="CD9" s="33">
        <f>IF($CK9 = "Dealer", SUMIFS('Data For Calculation - Insuranc'!I:I,'Data For Calculation - Insuranc'!$B:$B,$A9,'Data For Calculation - Insuranc'!$H:$H,"Master Dealer")) + SUMIFS('Data For Calculation - Insuranc'!I:I,'Data For Calculation - Insuranc'!$A:$A,$A9,'Data For Calculation - Insuranc'!$H:$H,"Self")</f>
        <v>0</v>
      </c>
      <c r="CE9" s="33">
        <f>IF($CK9 = "Dealer", SUMIFS('Data For Calculation - Insuranc'!J:J,'Data For Calculation - Insuranc'!$B:$B,$A9,'Data For Calculation - Insuranc'!$H:$H,"Master Dealer")) + SUMIFS('Data For Calculation - Insuranc'!J:J,'Data For Calculation - Insuranc'!$A:$A,$A9,'Data For Calculation - Insuranc'!$H:$H,"Self")</f>
        <v>0</v>
      </c>
      <c r="CF9" s="33">
        <f>IF($CK9 = "Dealer", SUMIFS('Data For Calculation - Insuranc'!K:K,'Data For Calculation - Insuranc'!$B:$B,$A9,'Data For Calculation - Insuranc'!$H:$H,"Master Dealer")) + SUMIFS('Data For Calculation - Insuranc'!K:K,'Data For Calculation - Insuranc'!$A:$A,$A9,'Data For Calculation - Insuranc'!$H:$H,"Self")</f>
        <v>0</v>
      </c>
      <c r="CG9" s="25" t="str">
        <f>(Sheet1!N9)</f>
        <v>Singla Automobiles (Main Branch)</v>
      </c>
      <c r="CH9" s="25" t="str">
        <f>(Sheet1!O9)</f>
        <v>150xD2ZWlv_NqqijpFlWWgIoGhpbdGM3zmaQdQAd1q5M</v>
      </c>
      <c r="CI9" s="25" t="str">
        <f>(Sheet1!AV9)</f>
        <v/>
      </c>
      <c r="CJ9" s="25" t="str">
        <f>(Sheet1!AW9)</f>
        <v/>
      </c>
      <c r="CK9" s="26" t="str">
        <f>(Sheet1!P9)</f>
        <v>Sub Dealer</v>
      </c>
    </row>
    <row r="10">
      <c r="A10" s="25" t="str">
        <f>(Sheet1!A10)</f>
        <v>1K2kmTdQ29RE0odqH86t0j8wUvDVWe7UFRs_xfvl5r94</v>
      </c>
      <c r="B10" s="25" t="str">
        <f>(Sheet1!B10)</f>
        <v>Singla Automobiles (C1)</v>
      </c>
      <c r="C10" s="30" t="str">
        <f>Sheet1!BB10</f>
        <v>No</v>
      </c>
      <c r="D10" s="30" t="s">
        <v>13</v>
      </c>
      <c r="E10" s="34" t="s">
        <v>13</v>
      </c>
      <c r="F10" s="34" t="s">
        <v>3929</v>
      </c>
      <c r="G10" s="42" t="s">
        <v>3856</v>
      </c>
      <c r="H10" s="43">
        <v>300.0</v>
      </c>
      <c r="I10" s="42" t="s">
        <v>3853</v>
      </c>
      <c r="J10" s="43">
        <v>0.0</v>
      </c>
      <c r="K10" s="43">
        <v>100.0</v>
      </c>
      <c r="L10" s="43">
        <v>0.0</v>
      </c>
      <c r="M10" s="43">
        <v>0.0</v>
      </c>
      <c r="N10" s="33">
        <f>COUNTIFS('Data For Calculation - Insuranc'!A:A,A10,'Data For Calculation - Insuranc'!D:D,"Individual",'Data For Calculation - Insuranc'!E:E,"Bundled - 1 Year OD + 5 Year TP")</f>
        <v>0</v>
      </c>
      <c r="O10" s="34" t="s">
        <v>3930</v>
      </c>
      <c r="P10" s="42" t="s">
        <v>3856</v>
      </c>
      <c r="Q10" s="43">
        <v>300.0</v>
      </c>
      <c r="R10" s="42" t="s">
        <v>3853</v>
      </c>
      <c r="S10" s="43">
        <v>0.0</v>
      </c>
      <c r="T10" s="43">
        <v>100.0</v>
      </c>
      <c r="U10" s="43">
        <v>0.0</v>
      </c>
      <c r="V10" s="43">
        <v>0.0</v>
      </c>
      <c r="W10" s="33">
        <f>COUNTIFS('Data For Calculation - Insuranc'!A:A,A10,'Data For Calculation - Insuranc'!D:D,"Company",'Data For Calculation - Insuranc'!E:E,"Bundled - 1 Year OD + 5 Year TP")</f>
        <v>0</v>
      </c>
      <c r="X10" s="34" t="s">
        <v>3929</v>
      </c>
      <c r="Y10" s="42" t="s">
        <v>3856</v>
      </c>
      <c r="Z10" s="31">
        <v>290.0</v>
      </c>
      <c r="AA10" s="34" t="s">
        <v>3853</v>
      </c>
      <c r="AB10" s="34">
        <v>0.0</v>
      </c>
      <c r="AC10" s="34">
        <v>100.0</v>
      </c>
      <c r="AD10" s="34">
        <v>0.0</v>
      </c>
      <c r="AE10" s="34">
        <v>0.0</v>
      </c>
      <c r="AF10" s="33">
        <f>COUNTIFS('Data For Calculation - Insuranc'!A:A,A10,'Data For Calculation - Insuranc'!D:D,"Individual",'Data For Calculation - Insuranc'!E:E,"Rollover Comprehensive - 1 Year OD + 1 Year TP")</f>
        <v>0</v>
      </c>
      <c r="AG10" s="34" t="s">
        <v>3930</v>
      </c>
      <c r="AH10" s="42" t="s">
        <v>3856</v>
      </c>
      <c r="AI10" s="31">
        <v>290.0</v>
      </c>
      <c r="AJ10" s="34" t="s">
        <v>3853</v>
      </c>
      <c r="AK10" s="34">
        <v>0.0</v>
      </c>
      <c r="AL10" s="34">
        <v>100.0</v>
      </c>
      <c r="AM10" s="34">
        <v>0.0</v>
      </c>
      <c r="AN10" s="34">
        <v>0.0</v>
      </c>
      <c r="AO10" s="33">
        <f>COUNTIFS('Data For Calculation - Insuranc'!A:A,A10,'Data For Calculation - Insuranc'!D:D,"Company",'Data For Calculation - Insuranc'!E:E,"Rollover Comprehensive - 1 Year OD + 1 Year TP")</f>
        <v>0</v>
      </c>
      <c r="AP10" s="34" t="s">
        <v>3931</v>
      </c>
      <c r="AQ10" s="42" t="s">
        <v>3856</v>
      </c>
      <c r="AR10" s="31">
        <v>290.0</v>
      </c>
      <c r="AS10" s="34" t="s">
        <v>3853</v>
      </c>
      <c r="AT10" s="34">
        <v>0.0</v>
      </c>
      <c r="AU10" s="34">
        <v>100.0</v>
      </c>
      <c r="AV10" s="34">
        <v>0.0</v>
      </c>
      <c r="AW10" s="34">
        <v>0.0</v>
      </c>
      <c r="AX10" s="33">
        <f>COUNTIFS('Data For Calculation - Insuranc'!A:A,A10,'Data For Calculation - Insuranc'!D:D,"Individual",'Data For Calculation - Insuranc'!E:E,"Rollover - 1 Year OD Only")</f>
        <v>0</v>
      </c>
      <c r="AY10" s="34" t="s">
        <v>3932</v>
      </c>
      <c r="AZ10" s="42" t="s">
        <v>3856</v>
      </c>
      <c r="BA10" s="31">
        <v>290.0</v>
      </c>
      <c r="BB10" s="34" t="s">
        <v>3853</v>
      </c>
      <c r="BC10" s="34">
        <v>0.0</v>
      </c>
      <c r="BD10" s="34">
        <v>100.0</v>
      </c>
      <c r="BE10" s="34">
        <v>0.0</v>
      </c>
      <c r="BF10" s="34">
        <v>0.0</v>
      </c>
      <c r="BG10" s="33">
        <f>COUNTIFS('Data For Calculation - Insuranc'!A:A,A10,'Data For Calculation - Insuranc'!D:D,"Company",'Data For Calculation - Insuranc'!E:E,"Rollover - 1 Year OD Only")</f>
        <v>0</v>
      </c>
      <c r="BH10" s="34" t="s">
        <v>3931</v>
      </c>
      <c r="BI10" s="42" t="s">
        <v>3856</v>
      </c>
      <c r="BJ10" s="31">
        <v>290.0</v>
      </c>
      <c r="BK10" s="34" t="s">
        <v>3853</v>
      </c>
      <c r="BL10" s="34">
        <v>0.0</v>
      </c>
      <c r="BM10" s="34">
        <v>100.0</v>
      </c>
      <c r="BN10" s="34">
        <v>0.0</v>
      </c>
      <c r="BO10" s="34">
        <v>0.0</v>
      </c>
      <c r="BP10" s="33">
        <f>COUNTIFS('Data For Calculation - Insuranc'!A:A,A10,'Data For Calculation - Insuranc'!D:D,"Individual",'Data For Calculation - Insuranc'!E:E,"Rollover - 1 Year TP Only")</f>
        <v>0</v>
      </c>
      <c r="BQ10" s="34" t="s">
        <v>3932</v>
      </c>
      <c r="BR10" s="42" t="s">
        <v>3856</v>
      </c>
      <c r="BS10" s="31">
        <v>290.0</v>
      </c>
      <c r="BT10" s="34" t="s">
        <v>3853</v>
      </c>
      <c r="BU10" s="34">
        <v>0.0</v>
      </c>
      <c r="BV10" s="34">
        <v>100.0</v>
      </c>
      <c r="BW10" s="34">
        <v>0.0</v>
      </c>
      <c r="BX10" s="34">
        <v>0.0</v>
      </c>
      <c r="BY10" s="33">
        <f>COUNTIFS('Data For Calculation - Insuranc'!A:A,A10,'Data For Calculation - Insuranc'!D:D,"Company",'Data For Calculation - Insuranc'!E:E,"Rollover - 1 Year TP Only")</f>
        <v>0</v>
      </c>
      <c r="BZ10" s="31">
        <f t="shared" si="1"/>
        <v>0</v>
      </c>
      <c r="CA10" s="33">
        <f>SUMIFS('Data For Calculation - Insuranc'!I:I,'Data For Calculation - Insuranc'!$A:$A,$A10)</f>
        <v>0</v>
      </c>
      <c r="CB10" s="33">
        <f>SUMIFS('Data For Calculation - Insuranc'!J:J,'Data For Calculation - Insuranc'!$A:$A,$A10)</f>
        <v>0</v>
      </c>
      <c r="CC10" s="33">
        <f>SUMIFS('Data For Calculation - Insuranc'!K:K,'Data For Calculation - Insuranc'!$A:$A,$A10)</f>
        <v>0</v>
      </c>
      <c r="CD10" s="33">
        <f>IF($CK10 = "Dealer", SUMIFS('Data For Calculation - Insuranc'!I:I,'Data For Calculation - Insuranc'!$B:$B,$A10,'Data For Calculation - Insuranc'!$H:$H,"Master Dealer")) + SUMIFS('Data For Calculation - Insuranc'!I:I,'Data For Calculation - Insuranc'!$A:$A,$A10,'Data For Calculation - Insuranc'!$H:$H,"Self")</f>
        <v>0</v>
      </c>
      <c r="CE10" s="33">
        <f>IF($CK10 = "Dealer", SUMIFS('Data For Calculation - Insuranc'!J:J,'Data For Calculation - Insuranc'!$B:$B,$A10,'Data For Calculation - Insuranc'!$H:$H,"Master Dealer")) + SUMIFS('Data For Calculation - Insuranc'!J:J,'Data For Calculation - Insuranc'!$A:$A,$A10,'Data For Calculation - Insuranc'!$H:$H,"Self")</f>
        <v>0</v>
      </c>
      <c r="CF10" s="33">
        <f>IF($CK10 = "Dealer", SUMIFS('Data For Calculation - Insuranc'!K:K,'Data For Calculation - Insuranc'!$B:$B,$A10,'Data For Calculation - Insuranc'!$H:$H,"Master Dealer")) + SUMIFS('Data For Calculation - Insuranc'!K:K,'Data For Calculation - Insuranc'!$A:$A,$A10,'Data For Calculation - Insuranc'!$H:$H,"Self")</f>
        <v>0</v>
      </c>
      <c r="CG10" s="25" t="str">
        <f>(Sheet1!N10)</f>
        <v>Singla Automobiles (Main Branch)</v>
      </c>
      <c r="CH10" s="25" t="str">
        <f>(Sheet1!O10)</f>
        <v>150xD2ZWlv_NqqijpFlWWgIoGhpbdGM3zmaQdQAd1q5M</v>
      </c>
      <c r="CI10" s="25" t="str">
        <f>(Sheet1!AV10)</f>
        <v/>
      </c>
      <c r="CJ10" s="25" t="str">
        <f>(Sheet1!AW10)</f>
        <v/>
      </c>
      <c r="CK10" s="26" t="str">
        <f>(Sheet1!P10)</f>
        <v>Sub Dealer</v>
      </c>
    </row>
    <row r="11">
      <c r="A11" s="25" t="str">
        <f>(Sheet1!A11)</f>
        <v>1z3Kb0ZM3b0cYxMw2eBE8FLNbVZCR8EGVeEjtQyPaoso</v>
      </c>
      <c r="B11" s="25" t="str">
        <f>(Sheet1!B11)</f>
        <v>Singla Automobiles (Samalka)</v>
      </c>
      <c r="C11" s="30" t="str">
        <f>Sheet1!BB11</f>
        <v>No</v>
      </c>
      <c r="D11" s="30" t="s">
        <v>13</v>
      </c>
      <c r="E11" s="34" t="s">
        <v>13</v>
      </c>
      <c r="F11" s="34" t="s">
        <v>3929</v>
      </c>
      <c r="G11" s="42" t="s">
        <v>3856</v>
      </c>
      <c r="H11" s="43">
        <v>300.0</v>
      </c>
      <c r="I11" s="42" t="s">
        <v>3853</v>
      </c>
      <c r="J11" s="43">
        <v>0.0</v>
      </c>
      <c r="K11" s="43">
        <v>100.0</v>
      </c>
      <c r="L11" s="43">
        <v>0.0</v>
      </c>
      <c r="M11" s="43">
        <v>0.0</v>
      </c>
      <c r="N11" s="33">
        <f>COUNTIFS('Data For Calculation - Insuranc'!A:A,A11,'Data For Calculation - Insuranc'!D:D,"Individual",'Data For Calculation - Insuranc'!E:E,"Bundled - 1 Year OD + 5 Year TP")</f>
        <v>0</v>
      </c>
      <c r="O11" s="34" t="s">
        <v>3930</v>
      </c>
      <c r="P11" s="42" t="s">
        <v>3856</v>
      </c>
      <c r="Q11" s="43">
        <v>300.0</v>
      </c>
      <c r="R11" s="42" t="s">
        <v>3853</v>
      </c>
      <c r="S11" s="43">
        <v>0.0</v>
      </c>
      <c r="T11" s="43">
        <v>100.0</v>
      </c>
      <c r="U11" s="43">
        <v>0.0</v>
      </c>
      <c r="V11" s="43">
        <v>0.0</v>
      </c>
      <c r="W11" s="33">
        <f>COUNTIFS('Data For Calculation - Insuranc'!A:A,A11,'Data For Calculation - Insuranc'!D:D,"Company",'Data For Calculation - Insuranc'!E:E,"Bundled - 1 Year OD + 5 Year TP")</f>
        <v>0</v>
      </c>
      <c r="X11" s="34" t="s">
        <v>3929</v>
      </c>
      <c r="Y11" s="42" t="s">
        <v>3856</v>
      </c>
      <c r="Z11" s="31">
        <v>290.0</v>
      </c>
      <c r="AA11" s="34" t="s">
        <v>3853</v>
      </c>
      <c r="AB11" s="34">
        <v>0.0</v>
      </c>
      <c r="AC11" s="34">
        <v>100.0</v>
      </c>
      <c r="AD11" s="34">
        <v>0.0</v>
      </c>
      <c r="AE11" s="34">
        <v>0.0</v>
      </c>
      <c r="AF11" s="33">
        <f>COUNTIFS('Data For Calculation - Insuranc'!A:A,A11,'Data For Calculation - Insuranc'!D:D,"Individual",'Data For Calculation - Insuranc'!E:E,"Rollover Comprehensive - 1 Year OD + 1 Year TP")</f>
        <v>0</v>
      </c>
      <c r="AG11" s="34" t="s">
        <v>3930</v>
      </c>
      <c r="AH11" s="42" t="s">
        <v>3856</v>
      </c>
      <c r="AI11" s="31">
        <v>290.0</v>
      </c>
      <c r="AJ11" s="34" t="s">
        <v>3853</v>
      </c>
      <c r="AK11" s="34">
        <v>0.0</v>
      </c>
      <c r="AL11" s="34">
        <v>100.0</v>
      </c>
      <c r="AM11" s="34">
        <v>0.0</v>
      </c>
      <c r="AN11" s="34">
        <v>0.0</v>
      </c>
      <c r="AO11" s="33">
        <f>COUNTIFS('Data For Calculation - Insuranc'!A:A,A11,'Data For Calculation - Insuranc'!D:D,"Company",'Data For Calculation - Insuranc'!E:E,"Rollover Comprehensive - 1 Year OD + 1 Year TP")</f>
        <v>0</v>
      </c>
      <c r="AP11" s="34" t="s">
        <v>3931</v>
      </c>
      <c r="AQ11" s="42" t="s">
        <v>3856</v>
      </c>
      <c r="AR11" s="31">
        <v>290.0</v>
      </c>
      <c r="AS11" s="34" t="s">
        <v>3853</v>
      </c>
      <c r="AT11" s="34">
        <v>0.0</v>
      </c>
      <c r="AU11" s="34">
        <v>100.0</v>
      </c>
      <c r="AV11" s="34">
        <v>0.0</v>
      </c>
      <c r="AW11" s="34">
        <v>0.0</v>
      </c>
      <c r="AX11" s="33">
        <f>COUNTIFS('Data For Calculation - Insuranc'!A:A,A11,'Data For Calculation - Insuranc'!D:D,"Individual",'Data For Calculation - Insuranc'!E:E,"Rollover - 1 Year OD Only")</f>
        <v>0</v>
      </c>
      <c r="AY11" s="34" t="s">
        <v>3932</v>
      </c>
      <c r="AZ11" s="42" t="s">
        <v>3856</v>
      </c>
      <c r="BA11" s="31">
        <v>290.0</v>
      </c>
      <c r="BB11" s="34" t="s">
        <v>3853</v>
      </c>
      <c r="BC11" s="34">
        <v>0.0</v>
      </c>
      <c r="BD11" s="34">
        <v>100.0</v>
      </c>
      <c r="BE11" s="34">
        <v>0.0</v>
      </c>
      <c r="BF11" s="34">
        <v>0.0</v>
      </c>
      <c r="BG11" s="33">
        <f>COUNTIFS('Data For Calculation - Insuranc'!A:A,A11,'Data For Calculation - Insuranc'!D:D,"Company",'Data For Calculation - Insuranc'!E:E,"Rollover - 1 Year OD Only")</f>
        <v>0</v>
      </c>
      <c r="BH11" s="34" t="s">
        <v>3931</v>
      </c>
      <c r="BI11" s="42" t="s">
        <v>3856</v>
      </c>
      <c r="BJ11" s="31">
        <v>290.0</v>
      </c>
      <c r="BK11" s="34" t="s">
        <v>3853</v>
      </c>
      <c r="BL11" s="34">
        <v>0.0</v>
      </c>
      <c r="BM11" s="34">
        <v>100.0</v>
      </c>
      <c r="BN11" s="34">
        <v>0.0</v>
      </c>
      <c r="BO11" s="34">
        <v>0.0</v>
      </c>
      <c r="BP11" s="33">
        <f>COUNTIFS('Data For Calculation - Insuranc'!A:A,A11,'Data For Calculation - Insuranc'!D:D,"Individual",'Data For Calculation - Insuranc'!E:E,"Rollover - 1 Year TP Only")</f>
        <v>0</v>
      </c>
      <c r="BQ11" s="34" t="s">
        <v>3932</v>
      </c>
      <c r="BR11" s="42" t="s">
        <v>3856</v>
      </c>
      <c r="BS11" s="31">
        <v>290.0</v>
      </c>
      <c r="BT11" s="34" t="s">
        <v>3853</v>
      </c>
      <c r="BU11" s="34">
        <v>0.0</v>
      </c>
      <c r="BV11" s="34">
        <v>100.0</v>
      </c>
      <c r="BW11" s="34">
        <v>0.0</v>
      </c>
      <c r="BX11" s="34">
        <v>0.0</v>
      </c>
      <c r="BY11" s="33">
        <f>COUNTIFS('Data For Calculation - Insuranc'!A:A,A11,'Data For Calculation - Insuranc'!D:D,"Company",'Data For Calculation - Insuranc'!E:E,"Rollover - 1 Year TP Only")</f>
        <v>0</v>
      </c>
      <c r="BZ11" s="31">
        <f t="shared" si="1"/>
        <v>0</v>
      </c>
      <c r="CA11" s="33">
        <f>SUMIFS('Data For Calculation - Insuranc'!I:I,'Data For Calculation - Insuranc'!$A:$A,$A11)</f>
        <v>0</v>
      </c>
      <c r="CB11" s="33">
        <f>SUMIFS('Data For Calculation - Insuranc'!J:J,'Data For Calculation - Insuranc'!$A:$A,$A11)</f>
        <v>0</v>
      </c>
      <c r="CC11" s="33">
        <f>SUMIFS('Data For Calculation - Insuranc'!K:K,'Data For Calculation - Insuranc'!$A:$A,$A11)</f>
        <v>0</v>
      </c>
      <c r="CD11" s="33">
        <f>IF($CK11 = "Dealer", SUMIFS('Data For Calculation - Insuranc'!I:I,'Data For Calculation - Insuranc'!$B:$B,$A11,'Data For Calculation - Insuranc'!$H:$H,"Master Dealer")) + SUMIFS('Data For Calculation - Insuranc'!I:I,'Data For Calculation - Insuranc'!$A:$A,$A11,'Data For Calculation - Insuranc'!$H:$H,"Self")</f>
        <v>0</v>
      </c>
      <c r="CE11" s="33">
        <f>IF($CK11 = "Dealer", SUMIFS('Data For Calculation - Insuranc'!J:J,'Data For Calculation - Insuranc'!$B:$B,$A11,'Data For Calculation - Insuranc'!$H:$H,"Master Dealer")) + SUMIFS('Data For Calculation - Insuranc'!J:J,'Data For Calculation - Insuranc'!$A:$A,$A11,'Data For Calculation - Insuranc'!$H:$H,"Self")</f>
        <v>0</v>
      </c>
      <c r="CF11" s="33">
        <f>IF($CK11 = "Dealer", SUMIFS('Data For Calculation - Insuranc'!K:K,'Data For Calculation - Insuranc'!$B:$B,$A11,'Data For Calculation - Insuranc'!$H:$H,"Master Dealer")) + SUMIFS('Data For Calculation - Insuranc'!K:K,'Data For Calculation - Insuranc'!$A:$A,$A11,'Data For Calculation - Insuranc'!$H:$H,"Self")</f>
        <v>0</v>
      </c>
      <c r="CG11" s="25" t="str">
        <f>(Sheet1!N11)</f>
        <v>Singla Automobiles (Main Branch)</v>
      </c>
      <c r="CH11" s="25" t="str">
        <f>(Sheet1!O11)</f>
        <v>150xD2ZWlv_NqqijpFlWWgIoGhpbdGM3zmaQdQAd1q5M</v>
      </c>
      <c r="CI11" s="25" t="str">
        <f>(Sheet1!AV11)</f>
        <v/>
      </c>
      <c r="CJ11" s="25" t="str">
        <f>(Sheet1!AW11)</f>
        <v/>
      </c>
      <c r="CK11" s="26" t="str">
        <f>(Sheet1!P11)</f>
        <v>Sub Dealer</v>
      </c>
    </row>
    <row r="12">
      <c r="A12" s="25" t="str">
        <f>(Sheet1!A15)</f>
        <v>1ejtSq2pJ5r5wu-kZaMFvJrFblntdYFCvNJnKtYjMVzo</v>
      </c>
      <c r="B12" s="25" t="str">
        <f>(Sheet1!B15)</f>
        <v>Uppal Motors</v>
      </c>
      <c r="C12" s="30" t="str">
        <f>Sheet1!BB12</f>
        <v>No</v>
      </c>
      <c r="D12" s="30" t="s">
        <v>13</v>
      </c>
      <c r="E12" s="34" t="s">
        <v>13</v>
      </c>
      <c r="F12" s="34" t="s">
        <v>3929</v>
      </c>
      <c r="G12" s="42" t="s">
        <v>3817</v>
      </c>
      <c r="H12" s="43">
        <v>350.0</v>
      </c>
      <c r="I12" s="42" t="s">
        <v>3853</v>
      </c>
      <c r="J12" s="43">
        <v>0.0</v>
      </c>
      <c r="K12" s="43">
        <v>100.0</v>
      </c>
      <c r="L12" s="43">
        <v>0.0</v>
      </c>
      <c r="M12" s="43">
        <v>0.0</v>
      </c>
      <c r="N12" s="33">
        <f>COUNTIFS('Data For Calculation - Insuranc'!A:A,A12,'Data For Calculation - Insuranc'!D:D,"Individual",'Data For Calculation - Insuranc'!E:E,"Bundled - 1 Year OD + 5 Year TP")</f>
        <v>0</v>
      </c>
      <c r="O12" s="34" t="s">
        <v>3930</v>
      </c>
      <c r="P12" s="42" t="s">
        <v>3817</v>
      </c>
      <c r="Q12" s="43">
        <v>350.0</v>
      </c>
      <c r="R12" s="42" t="s">
        <v>3853</v>
      </c>
      <c r="S12" s="43">
        <v>0.0</v>
      </c>
      <c r="T12" s="43">
        <v>100.0</v>
      </c>
      <c r="U12" s="43">
        <v>0.0</v>
      </c>
      <c r="V12" s="43">
        <v>0.0</v>
      </c>
      <c r="W12" s="33">
        <f>COUNTIFS('Data For Calculation - Insuranc'!A:A,A12,'Data For Calculation - Insuranc'!D:D,"Company",'Data For Calculation - Insuranc'!E:E,"Bundled - 1 Year OD + 5 Year TP")</f>
        <v>0</v>
      </c>
      <c r="X12" s="34" t="s">
        <v>3929</v>
      </c>
      <c r="Y12" s="42" t="s">
        <v>3817</v>
      </c>
      <c r="Z12" s="31">
        <v>235.0</v>
      </c>
      <c r="AA12" s="34" t="s">
        <v>3853</v>
      </c>
      <c r="AB12" s="34">
        <v>0.0</v>
      </c>
      <c r="AC12" s="34">
        <v>100.0</v>
      </c>
      <c r="AD12" s="34">
        <v>0.0</v>
      </c>
      <c r="AE12" s="34">
        <v>0.0</v>
      </c>
      <c r="AF12" s="33">
        <f>COUNTIFS('Data For Calculation - Insuranc'!A:A,A12,'Data For Calculation - Insuranc'!D:D,"Individual",'Data For Calculation - Insuranc'!E:E,"Rollover Comprehensive - 1 Year OD + 1 Year TP")</f>
        <v>0</v>
      </c>
      <c r="AG12" s="34" t="s">
        <v>3930</v>
      </c>
      <c r="AH12" s="42" t="s">
        <v>3817</v>
      </c>
      <c r="AI12" s="31">
        <v>235.0</v>
      </c>
      <c r="AJ12" s="34" t="s">
        <v>3853</v>
      </c>
      <c r="AK12" s="34">
        <v>0.0</v>
      </c>
      <c r="AL12" s="34">
        <v>100.0</v>
      </c>
      <c r="AM12" s="34">
        <v>0.0</v>
      </c>
      <c r="AN12" s="34">
        <v>0.0</v>
      </c>
      <c r="AO12" s="33">
        <f>COUNTIFS('Data For Calculation - Insuranc'!A:A,A12,'Data For Calculation - Insuranc'!D:D,"Company",'Data For Calculation - Insuranc'!E:E,"Rollover Comprehensive - 1 Year OD + 1 Year TP")</f>
        <v>0</v>
      </c>
      <c r="AP12" s="34" t="s">
        <v>3931</v>
      </c>
      <c r="AQ12" s="42" t="s">
        <v>3817</v>
      </c>
      <c r="AR12" s="31">
        <v>235.0</v>
      </c>
      <c r="AS12" s="34" t="s">
        <v>3853</v>
      </c>
      <c r="AT12" s="34">
        <v>0.0</v>
      </c>
      <c r="AU12" s="34">
        <v>100.0</v>
      </c>
      <c r="AV12" s="34">
        <v>0.0</v>
      </c>
      <c r="AW12" s="34">
        <v>0.0</v>
      </c>
      <c r="AX12" s="33">
        <f>COUNTIFS('Data For Calculation - Insuranc'!A:A,A12,'Data For Calculation - Insuranc'!D:D,"Individual",'Data For Calculation - Insuranc'!E:E,"Rollover - 1 Year OD Only")</f>
        <v>0</v>
      </c>
      <c r="AY12" s="34" t="s">
        <v>3932</v>
      </c>
      <c r="AZ12" s="42" t="s">
        <v>3817</v>
      </c>
      <c r="BA12" s="31">
        <v>235.0</v>
      </c>
      <c r="BB12" s="34" t="s">
        <v>3853</v>
      </c>
      <c r="BC12" s="34">
        <v>0.0</v>
      </c>
      <c r="BD12" s="34">
        <v>100.0</v>
      </c>
      <c r="BE12" s="34">
        <v>0.0</v>
      </c>
      <c r="BF12" s="34">
        <v>0.0</v>
      </c>
      <c r="BG12" s="33">
        <f>COUNTIFS('Data For Calculation - Insuranc'!A:A,A12,'Data For Calculation - Insuranc'!D:D,"Company",'Data For Calculation - Insuranc'!E:E,"Rollover - 1 Year OD Only")</f>
        <v>0</v>
      </c>
      <c r="BH12" s="34" t="s">
        <v>3931</v>
      </c>
      <c r="BI12" s="42" t="s">
        <v>3817</v>
      </c>
      <c r="BJ12" s="31">
        <v>235.0</v>
      </c>
      <c r="BK12" s="34" t="s">
        <v>3853</v>
      </c>
      <c r="BL12" s="34">
        <v>0.0</v>
      </c>
      <c r="BM12" s="34">
        <v>100.0</v>
      </c>
      <c r="BN12" s="34">
        <v>0.0</v>
      </c>
      <c r="BO12" s="34">
        <v>0.0</v>
      </c>
      <c r="BP12" s="33">
        <f>COUNTIFS('Data For Calculation - Insuranc'!A:A,A12,'Data For Calculation - Insuranc'!D:D,"Individual",'Data For Calculation - Insuranc'!E:E,"Rollover - 1 Year TP Only")</f>
        <v>0</v>
      </c>
      <c r="BQ12" s="34" t="s">
        <v>3932</v>
      </c>
      <c r="BR12" s="42" t="s">
        <v>3817</v>
      </c>
      <c r="BS12" s="31">
        <v>235.0</v>
      </c>
      <c r="BT12" s="34" t="s">
        <v>3853</v>
      </c>
      <c r="BU12" s="34">
        <v>0.0</v>
      </c>
      <c r="BV12" s="34">
        <v>100.0</v>
      </c>
      <c r="BW12" s="34">
        <v>0.0</v>
      </c>
      <c r="BX12" s="34">
        <v>0.0</v>
      </c>
      <c r="BY12" s="33">
        <f>COUNTIFS('Data For Calculation - Insuranc'!A:A,A12,'Data For Calculation - Insuranc'!D:D,"Company",'Data For Calculation - Insuranc'!E:E,"Rollover - 1 Year TP Only")</f>
        <v>0</v>
      </c>
      <c r="BZ12" s="31">
        <f t="shared" si="1"/>
        <v>0</v>
      </c>
      <c r="CA12" s="33">
        <f>SUMIFS('Data For Calculation - Insuranc'!I:I,'Data For Calculation - Insuranc'!$A:$A,$A12)</f>
        <v>0</v>
      </c>
      <c r="CB12" s="33">
        <f>SUMIFS('Data For Calculation - Insuranc'!J:J,'Data For Calculation - Insuranc'!$A:$A,$A12)</f>
        <v>0</v>
      </c>
      <c r="CC12" s="33">
        <f>SUMIFS('Data For Calculation - Insuranc'!K:K,'Data For Calculation - Insuranc'!$A:$A,$A12)</f>
        <v>0</v>
      </c>
      <c r="CD12" s="33">
        <f>IF($CK12 = "Dealer", SUMIFS('Data For Calculation - Insuranc'!I:I,'Data For Calculation - Insuranc'!$B:$B,$A12,'Data For Calculation - Insuranc'!$H:$H,"Master Dealer")) + SUMIFS('Data For Calculation - Insuranc'!I:I,'Data For Calculation - Insuranc'!$A:$A,$A12,'Data For Calculation - Insuranc'!$H:$H,"Self")</f>
        <v>0</v>
      </c>
      <c r="CE12" s="33">
        <f>IF($CK12 = "Dealer", SUMIFS('Data For Calculation - Insuranc'!J:J,'Data For Calculation - Insuranc'!$B:$B,$A12,'Data For Calculation - Insuranc'!$H:$H,"Master Dealer")) + SUMIFS('Data For Calculation - Insuranc'!J:J,'Data For Calculation - Insuranc'!$A:$A,$A12,'Data For Calculation - Insuranc'!$H:$H,"Self")</f>
        <v>0</v>
      </c>
      <c r="CF12" s="33">
        <f>IF($CK12 = "Dealer", SUMIFS('Data For Calculation - Insuranc'!K:K,'Data For Calculation - Insuranc'!$B:$B,$A12,'Data For Calculation - Insuranc'!$H:$H,"Master Dealer")) + SUMIFS('Data For Calculation - Insuranc'!K:K,'Data For Calculation - Insuranc'!$A:$A,$A12,'Data For Calculation - Insuranc'!$H:$H,"Self")</f>
        <v>0</v>
      </c>
      <c r="CG12" s="25" t="str">
        <f>(Sheet1!N15)</f>
        <v>Uppal Motors</v>
      </c>
      <c r="CH12" s="25" t="str">
        <f>(Sheet1!O15)</f>
        <v>1ejtSq2pJ5r5wu-kZaMFvJrFblntdYFCvNJnKtYjMVzo</v>
      </c>
      <c r="CI12" s="25" t="str">
        <f>(Sheet1!AV12)</f>
        <v/>
      </c>
      <c r="CJ12" s="25" t="str">
        <f>(Sheet1!AW12)</f>
        <v/>
      </c>
      <c r="CK12" s="26" t="str">
        <f>(Sheet1!P15)</f>
        <v>Dealer</v>
      </c>
    </row>
    <row r="13">
      <c r="A13" s="25" t="str">
        <f>(Sheet1!A12)</f>
        <v>1hcMo_yCBmlA1T0WTeHgqUHMnzUUcjAMt7oOG7Fxhs7E</v>
      </c>
      <c r="B13" s="25" t="str">
        <f>(Sheet1!B12)</f>
        <v>ESS AAR Motors - Jhandewalan</v>
      </c>
      <c r="C13" s="30" t="str">
        <f>Sheet1!BB13</f>
        <v>No</v>
      </c>
      <c r="D13" s="30" t="s">
        <v>13</v>
      </c>
      <c r="E13" s="34" t="s">
        <v>13</v>
      </c>
      <c r="F13" s="34" t="s">
        <v>3929</v>
      </c>
      <c r="G13" s="42" t="s">
        <v>3817</v>
      </c>
      <c r="H13" s="43">
        <v>460.0</v>
      </c>
      <c r="I13" s="42" t="s">
        <v>3853</v>
      </c>
      <c r="J13" s="43">
        <v>0.0</v>
      </c>
      <c r="K13" s="43">
        <v>100.0</v>
      </c>
      <c r="L13" s="43">
        <v>0.0</v>
      </c>
      <c r="M13" s="43">
        <v>0.0</v>
      </c>
      <c r="N13" s="33">
        <f>COUNTIFS('Data For Calculation - Insuranc'!A:A,A13,'Data For Calculation - Insuranc'!D:D,"Individual",'Data For Calculation - Insuranc'!E:E,"Bundled - 1 Year OD + 5 Year TP")</f>
        <v>0</v>
      </c>
      <c r="O13" s="34" t="s">
        <v>3930</v>
      </c>
      <c r="P13" s="42" t="s">
        <v>3817</v>
      </c>
      <c r="Q13" s="43">
        <v>460.0</v>
      </c>
      <c r="R13" s="42" t="s">
        <v>3853</v>
      </c>
      <c r="S13" s="43">
        <v>0.0</v>
      </c>
      <c r="T13" s="43">
        <v>100.0</v>
      </c>
      <c r="U13" s="43">
        <v>0.0</v>
      </c>
      <c r="V13" s="43">
        <v>0.0</v>
      </c>
      <c r="W13" s="33">
        <f>COUNTIFS('Data For Calculation - Insuranc'!A:A,A13,'Data For Calculation - Insuranc'!D:D,"Company",'Data For Calculation - Insuranc'!E:E,"Bundled - 1 Year OD + 5 Year TP")</f>
        <v>0</v>
      </c>
      <c r="X13" s="34" t="s">
        <v>3929</v>
      </c>
      <c r="Y13" s="42" t="s">
        <v>3817</v>
      </c>
      <c r="Z13" s="31">
        <v>290.0</v>
      </c>
      <c r="AA13" s="34" t="s">
        <v>3853</v>
      </c>
      <c r="AB13" s="34">
        <v>0.0</v>
      </c>
      <c r="AC13" s="34">
        <v>100.0</v>
      </c>
      <c r="AD13" s="34">
        <v>0.0</v>
      </c>
      <c r="AE13" s="34">
        <v>0.0</v>
      </c>
      <c r="AF13" s="33">
        <f>COUNTIFS('Data For Calculation - Insuranc'!A:A,A13,'Data For Calculation - Insuranc'!D:D,"Individual",'Data For Calculation - Insuranc'!E:E,"Rollover Comprehensive - 1 Year OD + 1 Year TP")</f>
        <v>0</v>
      </c>
      <c r="AG13" s="34" t="s">
        <v>3930</v>
      </c>
      <c r="AH13" s="42" t="s">
        <v>3817</v>
      </c>
      <c r="AI13" s="31">
        <v>290.0</v>
      </c>
      <c r="AJ13" s="34" t="s">
        <v>3853</v>
      </c>
      <c r="AK13" s="34">
        <v>0.0</v>
      </c>
      <c r="AL13" s="34">
        <v>100.0</v>
      </c>
      <c r="AM13" s="34">
        <v>0.0</v>
      </c>
      <c r="AN13" s="34">
        <v>0.0</v>
      </c>
      <c r="AO13" s="33">
        <f>COUNTIFS('Data For Calculation - Insuranc'!A:A,A13,'Data For Calculation - Insuranc'!D:D,"Company",'Data For Calculation - Insuranc'!E:E,"Rollover Comprehensive - 1 Year OD + 1 Year TP")</f>
        <v>0</v>
      </c>
      <c r="AP13" s="34" t="s">
        <v>3931</v>
      </c>
      <c r="AQ13" s="42" t="s">
        <v>3817</v>
      </c>
      <c r="AR13" s="31">
        <v>290.0</v>
      </c>
      <c r="AS13" s="34" t="s">
        <v>3853</v>
      </c>
      <c r="AT13" s="34">
        <v>0.0</v>
      </c>
      <c r="AU13" s="34">
        <v>100.0</v>
      </c>
      <c r="AV13" s="34">
        <v>0.0</v>
      </c>
      <c r="AW13" s="34">
        <v>0.0</v>
      </c>
      <c r="AX13" s="33">
        <f>COUNTIFS('Data For Calculation - Insuranc'!A:A,A13,'Data For Calculation - Insuranc'!D:D,"Individual",'Data For Calculation - Insuranc'!E:E,"Rollover - 1 Year OD Only")</f>
        <v>0</v>
      </c>
      <c r="AY13" s="34" t="s">
        <v>3932</v>
      </c>
      <c r="AZ13" s="42" t="s">
        <v>3817</v>
      </c>
      <c r="BA13" s="31">
        <v>290.0</v>
      </c>
      <c r="BB13" s="34" t="s">
        <v>3853</v>
      </c>
      <c r="BC13" s="34">
        <v>0.0</v>
      </c>
      <c r="BD13" s="34">
        <v>100.0</v>
      </c>
      <c r="BE13" s="34">
        <v>0.0</v>
      </c>
      <c r="BF13" s="34">
        <v>0.0</v>
      </c>
      <c r="BG13" s="33">
        <f>COUNTIFS('Data For Calculation - Insuranc'!A:A,A13,'Data For Calculation - Insuranc'!D:D,"Company",'Data For Calculation - Insuranc'!E:E,"Rollover - 1 Year OD Only")</f>
        <v>0</v>
      </c>
      <c r="BH13" s="34" t="s">
        <v>3931</v>
      </c>
      <c r="BI13" s="42" t="s">
        <v>3817</v>
      </c>
      <c r="BJ13" s="31">
        <v>290.0</v>
      </c>
      <c r="BK13" s="34" t="s">
        <v>3853</v>
      </c>
      <c r="BL13" s="34">
        <v>0.0</v>
      </c>
      <c r="BM13" s="34">
        <v>100.0</v>
      </c>
      <c r="BN13" s="34">
        <v>0.0</v>
      </c>
      <c r="BO13" s="34">
        <v>0.0</v>
      </c>
      <c r="BP13" s="33">
        <f>COUNTIFS('Data For Calculation - Insuranc'!A:A,A13,'Data For Calculation - Insuranc'!D:D,"Individual",'Data For Calculation - Insuranc'!E:E,"Rollover - 1 Year TP Only")</f>
        <v>0</v>
      </c>
      <c r="BQ13" s="34" t="s">
        <v>3932</v>
      </c>
      <c r="BR13" s="42" t="s">
        <v>3817</v>
      </c>
      <c r="BS13" s="31">
        <v>290.0</v>
      </c>
      <c r="BT13" s="34" t="s">
        <v>3853</v>
      </c>
      <c r="BU13" s="34">
        <v>0.0</v>
      </c>
      <c r="BV13" s="34">
        <v>100.0</v>
      </c>
      <c r="BW13" s="34">
        <v>0.0</v>
      </c>
      <c r="BX13" s="34">
        <v>0.0</v>
      </c>
      <c r="BY13" s="33">
        <f>COUNTIFS('Data For Calculation - Insuranc'!A:A,A13,'Data For Calculation - Insuranc'!D:D,"Company",'Data For Calculation - Insuranc'!E:E,"Rollover - 1 Year TP Only")</f>
        <v>0</v>
      </c>
      <c r="BZ13" s="31">
        <f t="shared" si="1"/>
        <v>0</v>
      </c>
      <c r="CA13" s="33">
        <f>SUMIFS('Data For Calculation - Insuranc'!I:I,'Data For Calculation - Insuranc'!$A:$A,$A13)</f>
        <v>0</v>
      </c>
      <c r="CB13" s="33">
        <f>SUMIFS('Data For Calculation - Insuranc'!J:J,'Data For Calculation - Insuranc'!$A:$A,$A13)</f>
        <v>0</v>
      </c>
      <c r="CC13" s="33">
        <f>SUMIFS('Data For Calculation - Insuranc'!K:K,'Data For Calculation - Insuranc'!$A:$A,$A13)</f>
        <v>0</v>
      </c>
      <c r="CD13" s="33">
        <f>IF($CK13 = "Dealer", SUMIFS('Data For Calculation - Insuranc'!I:I,'Data For Calculation - Insuranc'!$B:$B,$A13,'Data For Calculation - Insuranc'!$H:$H,"Master Dealer")) + SUMIFS('Data For Calculation - Insuranc'!I:I,'Data For Calculation - Insuranc'!$A:$A,$A13,'Data For Calculation - Insuranc'!$H:$H,"Self")</f>
        <v>0</v>
      </c>
      <c r="CE13" s="33">
        <f>IF($CK13 = "Dealer", SUMIFS('Data For Calculation - Insuranc'!J:J,'Data For Calculation - Insuranc'!$B:$B,$A13,'Data For Calculation - Insuranc'!$H:$H,"Master Dealer")) + SUMIFS('Data For Calculation - Insuranc'!J:J,'Data For Calculation - Insuranc'!$A:$A,$A13,'Data For Calculation - Insuranc'!$H:$H,"Self")</f>
        <v>0</v>
      </c>
      <c r="CF13" s="33">
        <f>IF($CK13 = "Dealer", SUMIFS('Data For Calculation - Insuranc'!K:K,'Data For Calculation - Insuranc'!$B:$B,$A13,'Data For Calculation - Insuranc'!$H:$H,"Master Dealer")) + SUMIFS('Data For Calculation - Insuranc'!K:K,'Data For Calculation - Insuranc'!$A:$A,$A13,'Data For Calculation - Insuranc'!$H:$H,"Self")</f>
        <v>0</v>
      </c>
      <c r="CG13" s="25" t="str">
        <f>(Sheet1!N12)</f>
        <v>ESS AAR Motors - Jhandewalan</v>
      </c>
      <c r="CH13" s="25" t="str">
        <f>(Sheet1!O12)</f>
        <v>1hcMo_yCBmlA1T0WTeHgqUHMnzUUcjAMt7oOG7Fxhs7E</v>
      </c>
      <c r="CI13" s="25" t="str">
        <f>(Sheet1!AV13)</f>
        <v/>
      </c>
      <c r="CJ13" s="25" t="str">
        <f>(Sheet1!AW13)</f>
        <v/>
      </c>
      <c r="CK13" s="26" t="str">
        <f>(Sheet1!P12)</f>
        <v>Dealer</v>
      </c>
    </row>
    <row r="14">
      <c r="A14" s="25" t="str">
        <f>(Sheet1!A13)</f>
        <v>1uSmiJs1JBkFcacaTukzXG8U9ymYsNT0DhKFlj58ZKns</v>
      </c>
      <c r="B14" s="25" t="str">
        <f>(Sheet1!B13)</f>
        <v>ESS AAR Motors - Defence Colony</v>
      </c>
      <c r="C14" s="30" t="str">
        <f>Sheet1!BB14</f>
        <v>No</v>
      </c>
      <c r="D14" s="30" t="s">
        <v>13</v>
      </c>
      <c r="E14" s="34" t="s">
        <v>13</v>
      </c>
      <c r="F14" s="34" t="s">
        <v>3929</v>
      </c>
      <c r="G14" s="42" t="s">
        <v>3817</v>
      </c>
      <c r="H14" s="43">
        <v>460.0</v>
      </c>
      <c r="I14" s="42" t="s">
        <v>3853</v>
      </c>
      <c r="J14" s="43">
        <v>0.0</v>
      </c>
      <c r="K14" s="43">
        <v>100.0</v>
      </c>
      <c r="L14" s="43">
        <v>0.0</v>
      </c>
      <c r="M14" s="43">
        <v>0.0</v>
      </c>
      <c r="N14" s="33">
        <f>COUNTIFS('Data For Calculation - Insuranc'!A:A,A14,'Data For Calculation - Insuranc'!D:D,"Individual",'Data For Calculation - Insuranc'!E:E,"Bundled - 1 Year OD + 5 Year TP")</f>
        <v>0</v>
      </c>
      <c r="O14" s="34" t="s">
        <v>3930</v>
      </c>
      <c r="P14" s="42" t="s">
        <v>3817</v>
      </c>
      <c r="Q14" s="43">
        <v>460.0</v>
      </c>
      <c r="R14" s="42" t="s">
        <v>3853</v>
      </c>
      <c r="S14" s="43">
        <v>0.0</v>
      </c>
      <c r="T14" s="43">
        <v>100.0</v>
      </c>
      <c r="U14" s="43">
        <v>0.0</v>
      </c>
      <c r="V14" s="43">
        <v>0.0</v>
      </c>
      <c r="W14" s="33">
        <f>COUNTIFS('Data For Calculation - Insuranc'!A:A,A14,'Data For Calculation - Insuranc'!D:D,"Company",'Data For Calculation - Insuranc'!E:E,"Bundled - 1 Year OD + 5 Year TP")</f>
        <v>0</v>
      </c>
      <c r="X14" s="34" t="s">
        <v>3929</v>
      </c>
      <c r="Y14" s="42" t="s">
        <v>3817</v>
      </c>
      <c r="Z14" s="31">
        <v>290.0</v>
      </c>
      <c r="AA14" s="34" t="s">
        <v>3853</v>
      </c>
      <c r="AB14" s="34">
        <v>0.0</v>
      </c>
      <c r="AC14" s="34">
        <v>100.0</v>
      </c>
      <c r="AD14" s="34">
        <v>0.0</v>
      </c>
      <c r="AE14" s="34">
        <v>0.0</v>
      </c>
      <c r="AF14" s="33">
        <f>COUNTIFS('Data For Calculation - Insuranc'!A:A,A14,'Data For Calculation - Insuranc'!D:D,"Individual",'Data For Calculation - Insuranc'!E:E,"Rollover Comprehensive - 1 Year OD + 1 Year TP")</f>
        <v>0</v>
      </c>
      <c r="AG14" s="34" t="s">
        <v>3930</v>
      </c>
      <c r="AH14" s="42" t="s">
        <v>3817</v>
      </c>
      <c r="AI14" s="31">
        <v>290.0</v>
      </c>
      <c r="AJ14" s="34" t="s">
        <v>3853</v>
      </c>
      <c r="AK14" s="34">
        <v>0.0</v>
      </c>
      <c r="AL14" s="34">
        <v>100.0</v>
      </c>
      <c r="AM14" s="34">
        <v>0.0</v>
      </c>
      <c r="AN14" s="34">
        <v>0.0</v>
      </c>
      <c r="AO14" s="33">
        <f>COUNTIFS('Data For Calculation - Insuranc'!A:A,A14,'Data For Calculation - Insuranc'!D:D,"Company",'Data For Calculation - Insuranc'!E:E,"Rollover Comprehensive - 1 Year OD + 1 Year TP")</f>
        <v>0</v>
      </c>
      <c r="AP14" s="34" t="s">
        <v>3931</v>
      </c>
      <c r="AQ14" s="42" t="s">
        <v>3817</v>
      </c>
      <c r="AR14" s="31">
        <v>290.0</v>
      </c>
      <c r="AS14" s="34" t="s">
        <v>3853</v>
      </c>
      <c r="AT14" s="34">
        <v>0.0</v>
      </c>
      <c r="AU14" s="34">
        <v>100.0</v>
      </c>
      <c r="AV14" s="34">
        <v>0.0</v>
      </c>
      <c r="AW14" s="34">
        <v>0.0</v>
      </c>
      <c r="AX14" s="33">
        <f>COUNTIFS('Data For Calculation - Insuranc'!A:A,A14,'Data For Calculation - Insuranc'!D:D,"Individual",'Data For Calculation - Insuranc'!E:E,"Rollover - 1 Year OD Only")</f>
        <v>0</v>
      </c>
      <c r="AY14" s="34" t="s">
        <v>3932</v>
      </c>
      <c r="AZ14" s="42" t="s">
        <v>3817</v>
      </c>
      <c r="BA14" s="31">
        <v>290.0</v>
      </c>
      <c r="BB14" s="34" t="s">
        <v>3853</v>
      </c>
      <c r="BC14" s="34">
        <v>0.0</v>
      </c>
      <c r="BD14" s="34">
        <v>100.0</v>
      </c>
      <c r="BE14" s="34">
        <v>0.0</v>
      </c>
      <c r="BF14" s="34">
        <v>0.0</v>
      </c>
      <c r="BG14" s="33">
        <f>COUNTIFS('Data For Calculation - Insuranc'!A:A,A14,'Data For Calculation - Insuranc'!D:D,"Company",'Data For Calculation - Insuranc'!E:E,"Rollover - 1 Year OD Only")</f>
        <v>0</v>
      </c>
      <c r="BH14" s="34" t="s">
        <v>3931</v>
      </c>
      <c r="BI14" s="42" t="s">
        <v>3817</v>
      </c>
      <c r="BJ14" s="31">
        <v>290.0</v>
      </c>
      <c r="BK14" s="34" t="s">
        <v>3853</v>
      </c>
      <c r="BL14" s="34">
        <v>0.0</v>
      </c>
      <c r="BM14" s="34">
        <v>100.0</v>
      </c>
      <c r="BN14" s="34">
        <v>0.0</v>
      </c>
      <c r="BO14" s="34">
        <v>0.0</v>
      </c>
      <c r="BP14" s="33">
        <f>COUNTIFS('Data For Calculation - Insuranc'!A:A,A14,'Data For Calculation - Insuranc'!D:D,"Individual",'Data For Calculation - Insuranc'!E:E,"Rollover - 1 Year TP Only")</f>
        <v>0</v>
      </c>
      <c r="BQ14" s="34" t="s">
        <v>3932</v>
      </c>
      <c r="BR14" s="42" t="s">
        <v>3817</v>
      </c>
      <c r="BS14" s="31">
        <v>290.0</v>
      </c>
      <c r="BT14" s="34" t="s">
        <v>3853</v>
      </c>
      <c r="BU14" s="34">
        <v>0.0</v>
      </c>
      <c r="BV14" s="34">
        <v>100.0</v>
      </c>
      <c r="BW14" s="34">
        <v>0.0</v>
      </c>
      <c r="BX14" s="34">
        <v>0.0</v>
      </c>
      <c r="BY14" s="33">
        <f>COUNTIFS('Data For Calculation - Insuranc'!A:A,A14,'Data For Calculation - Insuranc'!D:D,"Company",'Data For Calculation - Insuranc'!E:E,"Rollover - 1 Year TP Only")</f>
        <v>0</v>
      </c>
      <c r="BZ14" s="31">
        <f t="shared" si="1"/>
        <v>0</v>
      </c>
      <c r="CA14" s="33">
        <f>SUMIFS('Data For Calculation - Insuranc'!I:I,'Data For Calculation - Insuranc'!$A:$A,$A14)</f>
        <v>0</v>
      </c>
      <c r="CB14" s="33">
        <f>SUMIFS('Data For Calculation - Insuranc'!J:J,'Data For Calculation - Insuranc'!$A:$A,$A14)</f>
        <v>0</v>
      </c>
      <c r="CC14" s="33">
        <f>SUMIFS('Data For Calculation - Insuranc'!K:K,'Data For Calculation - Insuranc'!$A:$A,$A14)</f>
        <v>0</v>
      </c>
      <c r="CD14" s="33">
        <f>IF($CK14 = "Dealer", SUMIFS('Data For Calculation - Insuranc'!I:I,'Data For Calculation - Insuranc'!$B:$B,$A14,'Data For Calculation - Insuranc'!$H:$H,"Master Dealer")) + SUMIFS('Data For Calculation - Insuranc'!I:I,'Data For Calculation - Insuranc'!$A:$A,$A14,'Data For Calculation - Insuranc'!$H:$H,"Self")</f>
        <v>0</v>
      </c>
      <c r="CE14" s="33">
        <f>IF($CK14 = "Dealer", SUMIFS('Data For Calculation - Insuranc'!J:J,'Data For Calculation - Insuranc'!$B:$B,$A14,'Data For Calculation - Insuranc'!$H:$H,"Master Dealer")) + SUMIFS('Data For Calculation - Insuranc'!J:J,'Data For Calculation - Insuranc'!$A:$A,$A14,'Data For Calculation - Insuranc'!$H:$H,"Self")</f>
        <v>0</v>
      </c>
      <c r="CF14" s="33">
        <f>IF($CK14 = "Dealer", SUMIFS('Data For Calculation - Insuranc'!K:K,'Data For Calculation - Insuranc'!$B:$B,$A14,'Data For Calculation - Insuranc'!$H:$H,"Master Dealer")) + SUMIFS('Data For Calculation - Insuranc'!K:K,'Data For Calculation - Insuranc'!$A:$A,$A14,'Data For Calculation - Insuranc'!$H:$H,"Self")</f>
        <v>0</v>
      </c>
      <c r="CG14" s="25" t="str">
        <f>(Sheet1!N13)</f>
        <v>ESS AAR Motors - Jhandewalan</v>
      </c>
      <c r="CH14" s="25" t="str">
        <f>(Sheet1!O13)</f>
        <v>1hcMo_yCBmlA1T0WTeHgqUHMnzUUcjAMt7oOG7Fxhs7E</v>
      </c>
      <c r="CI14" s="25" t="str">
        <f>(Sheet1!AV14)</f>
        <v/>
      </c>
      <c r="CJ14" s="25" t="str">
        <f>(Sheet1!AW14)</f>
        <v/>
      </c>
      <c r="CK14" s="26" t="str">
        <f>(Sheet1!P13)</f>
        <v>Sub Dealer</v>
      </c>
    </row>
    <row r="15">
      <c r="A15" s="25" t="str">
        <f>(Sheet1!A14)</f>
        <v>1ywp9soScACCtKNm18S8bSV9jfI4bUChDWcowZ3Kbzws</v>
      </c>
      <c r="B15" s="25" t="str">
        <f>(Sheet1!B14)</f>
        <v>Varshney Auto Sales - Yamaha (MPS)</v>
      </c>
      <c r="C15" s="30" t="str">
        <f>Sheet1!BB15</f>
        <v>No</v>
      </c>
      <c r="D15" s="30" t="s">
        <v>13</v>
      </c>
      <c r="E15" s="34" t="s">
        <v>13</v>
      </c>
      <c r="F15" s="34" t="s">
        <v>3929</v>
      </c>
      <c r="G15" s="42" t="s">
        <v>3817</v>
      </c>
      <c r="H15" s="43">
        <v>460.0</v>
      </c>
      <c r="I15" s="42" t="s">
        <v>3853</v>
      </c>
      <c r="J15" s="43">
        <v>0.0</v>
      </c>
      <c r="K15" s="43">
        <v>100.0</v>
      </c>
      <c r="L15" s="43">
        <v>0.0</v>
      </c>
      <c r="M15" s="43">
        <v>0.0</v>
      </c>
      <c r="N15" s="33">
        <f>COUNTIFS('Data For Calculation - Insuranc'!A:A,A15,'Data For Calculation - Insuranc'!D:D,"Individual",'Data For Calculation - Insuranc'!E:E,"Bundled - 1 Year OD + 5 Year TP")</f>
        <v>0</v>
      </c>
      <c r="O15" s="34" t="s">
        <v>3930</v>
      </c>
      <c r="P15" s="42" t="s">
        <v>3817</v>
      </c>
      <c r="Q15" s="43">
        <v>460.0</v>
      </c>
      <c r="R15" s="42" t="s">
        <v>3853</v>
      </c>
      <c r="S15" s="43">
        <v>0.0</v>
      </c>
      <c r="T15" s="43">
        <v>100.0</v>
      </c>
      <c r="U15" s="43">
        <v>0.0</v>
      </c>
      <c r="V15" s="43">
        <v>0.0</v>
      </c>
      <c r="W15" s="33">
        <f>COUNTIFS('Data For Calculation - Insuranc'!A:A,A15,'Data For Calculation - Insuranc'!D:D,"Company",'Data For Calculation - Insuranc'!E:E,"Bundled - 1 Year OD + 5 Year TP")</f>
        <v>0</v>
      </c>
      <c r="X15" s="34" t="s">
        <v>3929</v>
      </c>
      <c r="Y15" s="42" t="s">
        <v>3817</v>
      </c>
      <c r="Z15" s="31">
        <v>290.0</v>
      </c>
      <c r="AA15" s="34" t="s">
        <v>3853</v>
      </c>
      <c r="AB15" s="34">
        <v>0.0</v>
      </c>
      <c r="AC15" s="34">
        <v>100.0</v>
      </c>
      <c r="AD15" s="34">
        <v>0.0</v>
      </c>
      <c r="AE15" s="34">
        <v>0.0</v>
      </c>
      <c r="AF15" s="33">
        <f>COUNTIFS('Data For Calculation - Insuranc'!A:A,A15,'Data For Calculation - Insuranc'!D:D,"Individual",'Data For Calculation - Insuranc'!E:E,"Rollover Comprehensive - 1 Year OD + 1 Year TP")</f>
        <v>0</v>
      </c>
      <c r="AG15" s="34" t="s">
        <v>3930</v>
      </c>
      <c r="AH15" s="42" t="s">
        <v>3817</v>
      </c>
      <c r="AI15" s="31">
        <v>290.0</v>
      </c>
      <c r="AJ15" s="34" t="s">
        <v>3853</v>
      </c>
      <c r="AK15" s="34">
        <v>0.0</v>
      </c>
      <c r="AL15" s="34">
        <v>100.0</v>
      </c>
      <c r="AM15" s="34">
        <v>0.0</v>
      </c>
      <c r="AN15" s="34">
        <v>0.0</v>
      </c>
      <c r="AO15" s="33">
        <f>COUNTIFS('Data For Calculation - Insuranc'!A:A,A15,'Data For Calculation - Insuranc'!D:D,"Company",'Data For Calculation - Insuranc'!E:E,"Rollover Comprehensive - 1 Year OD + 1 Year TP")</f>
        <v>0</v>
      </c>
      <c r="AP15" s="34" t="s">
        <v>3931</v>
      </c>
      <c r="AQ15" s="42" t="s">
        <v>3817</v>
      </c>
      <c r="AR15" s="31">
        <v>290.0</v>
      </c>
      <c r="AS15" s="34" t="s">
        <v>3853</v>
      </c>
      <c r="AT15" s="34">
        <v>0.0</v>
      </c>
      <c r="AU15" s="34">
        <v>100.0</v>
      </c>
      <c r="AV15" s="34">
        <v>0.0</v>
      </c>
      <c r="AW15" s="34">
        <v>0.0</v>
      </c>
      <c r="AX15" s="33">
        <f>COUNTIFS('Data For Calculation - Insuranc'!A:A,A15,'Data For Calculation - Insuranc'!D:D,"Individual",'Data For Calculation - Insuranc'!E:E,"Rollover - 1 Year OD Only")</f>
        <v>0</v>
      </c>
      <c r="AY15" s="34" t="s">
        <v>3932</v>
      </c>
      <c r="AZ15" s="42" t="s">
        <v>3817</v>
      </c>
      <c r="BA15" s="31">
        <v>290.0</v>
      </c>
      <c r="BB15" s="34" t="s">
        <v>3853</v>
      </c>
      <c r="BC15" s="34">
        <v>0.0</v>
      </c>
      <c r="BD15" s="34">
        <v>100.0</v>
      </c>
      <c r="BE15" s="34">
        <v>0.0</v>
      </c>
      <c r="BF15" s="34">
        <v>0.0</v>
      </c>
      <c r="BG15" s="33">
        <f>COUNTIFS('Data For Calculation - Insuranc'!A:A,A15,'Data For Calculation - Insuranc'!D:D,"Company",'Data For Calculation - Insuranc'!E:E,"Rollover - 1 Year OD Only")</f>
        <v>0</v>
      </c>
      <c r="BH15" s="34" t="s">
        <v>3931</v>
      </c>
      <c r="BI15" s="42" t="s">
        <v>3817</v>
      </c>
      <c r="BJ15" s="31">
        <v>290.0</v>
      </c>
      <c r="BK15" s="34" t="s">
        <v>3853</v>
      </c>
      <c r="BL15" s="34">
        <v>0.0</v>
      </c>
      <c r="BM15" s="34">
        <v>100.0</v>
      </c>
      <c r="BN15" s="34">
        <v>0.0</v>
      </c>
      <c r="BO15" s="34">
        <v>0.0</v>
      </c>
      <c r="BP15" s="33">
        <f>COUNTIFS('Data For Calculation - Insuranc'!A:A,A15,'Data For Calculation - Insuranc'!D:D,"Individual",'Data For Calculation - Insuranc'!E:E,"Rollover - 1 Year TP Only")</f>
        <v>0</v>
      </c>
      <c r="BQ15" s="34" t="s">
        <v>3932</v>
      </c>
      <c r="BR15" s="42" t="s">
        <v>3817</v>
      </c>
      <c r="BS15" s="31">
        <v>290.0</v>
      </c>
      <c r="BT15" s="34" t="s">
        <v>3853</v>
      </c>
      <c r="BU15" s="34">
        <v>0.0</v>
      </c>
      <c r="BV15" s="34">
        <v>100.0</v>
      </c>
      <c r="BW15" s="34">
        <v>0.0</v>
      </c>
      <c r="BX15" s="34">
        <v>0.0</v>
      </c>
      <c r="BY15" s="33">
        <f>COUNTIFS('Data For Calculation - Insuranc'!A:A,A15,'Data For Calculation - Insuranc'!D:D,"Company",'Data For Calculation - Insuranc'!E:E,"Rollover - 1 Year TP Only")</f>
        <v>0</v>
      </c>
      <c r="BZ15" s="31">
        <f t="shared" si="1"/>
        <v>0</v>
      </c>
      <c r="CA15" s="33">
        <f>SUMIFS('Data For Calculation - Insuranc'!I:I,'Data For Calculation - Insuranc'!$A:$A,$A15)</f>
        <v>0</v>
      </c>
      <c r="CB15" s="33">
        <f>SUMIFS('Data For Calculation - Insuranc'!J:J,'Data For Calculation - Insuranc'!$A:$A,$A15)</f>
        <v>0</v>
      </c>
      <c r="CC15" s="33">
        <f>SUMIFS('Data For Calculation - Insuranc'!K:K,'Data For Calculation - Insuranc'!$A:$A,$A15)</f>
        <v>0</v>
      </c>
      <c r="CD15" s="33">
        <f>IF($CK15 = "Dealer", SUMIFS('Data For Calculation - Insuranc'!I:I,'Data For Calculation - Insuranc'!$B:$B,$A15,'Data For Calculation - Insuranc'!$H:$H,"Master Dealer")) + SUMIFS('Data For Calculation - Insuranc'!I:I,'Data For Calculation - Insuranc'!$A:$A,$A15,'Data For Calculation - Insuranc'!$H:$H,"Self")</f>
        <v>0</v>
      </c>
      <c r="CE15" s="33">
        <f>IF($CK15 = "Dealer", SUMIFS('Data For Calculation - Insuranc'!J:J,'Data For Calculation - Insuranc'!$B:$B,$A15,'Data For Calculation - Insuranc'!$H:$H,"Master Dealer")) + SUMIFS('Data For Calculation - Insuranc'!J:J,'Data For Calculation - Insuranc'!$A:$A,$A15,'Data For Calculation - Insuranc'!$H:$H,"Self")</f>
        <v>0</v>
      </c>
      <c r="CF15" s="33">
        <f>IF($CK15 = "Dealer", SUMIFS('Data For Calculation - Insuranc'!K:K,'Data For Calculation - Insuranc'!$B:$B,$A15,'Data For Calculation - Insuranc'!$H:$H,"Master Dealer")) + SUMIFS('Data For Calculation - Insuranc'!K:K,'Data For Calculation - Insuranc'!$A:$A,$A15,'Data For Calculation - Insuranc'!$H:$H,"Self")</f>
        <v>0</v>
      </c>
      <c r="CG15" s="25" t="str">
        <f>(Sheet1!N14)</f>
        <v>Varshney Auto Sales - Yamaha (MPS)</v>
      </c>
      <c r="CH15" s="25" t="str">
        <f>(Sheet1!O14)</f>
        <v>1ywp9soScACCtKNm18S8bSV9jfI4bUChDWcowZ3Kbzws</v>
      </c>
      <c r="CI15" s="25" t="str">
        <f>(Sheet1!AV15)</f>
        <v/>
      </c>
      <c r="CJ15" s="25" t="str">
        <f>(Sheet1!AW15)</f>
        <v/>
      </c>
      <c r="CK15" s="26" t="str">
        <f>(Sheet1!P14)</f>
        <v>Dealer</v>
      </c>
    </row>
    <row r="16">
      <c r="A16" s="25" t="str">
        <f>(Sheet1!A16)</f>
        <v>1RYX1vfvY0jbK-8SlRPLYU11dr-HUe2ntxj5PumL7c0I</v>
      </c>
      <c r="B16" s="25" t="str">
        <f>(Sheet1!B16)</f>
        <v>Vidhi Trading</v>
      </c>
      <c r="C16" s="30" t="str">
        <f>Sheet1!BB16</f>
        <v>No</v>
      </c>
      <c r="D16" s="30" t="s">
        <v>13</v>
      </c>
      <c r="E16" s="34" t="s">
        <v>13</v>
      </c>
      <c r="F16" s="34" t="s">
        <v>3929</v>
      </c>
      <c r="G16" s="42" t="s">
        <v>3856</v>
      </c>
      <c r="H16" s="43">
        <v>255.0</v>
      </c>
      <c r="I16" s="42" t="s">
        <v>3853</v>
      </c>
      <c r="J16" s="43">
        <v>0.0</v>
      </c>
      <c r="K16" s="43">
        <v>100.0</v>
      </c>
      <c r="L16" s="43">
        <v>0.0</v>
      </c>
      <c r="M16" s="43">
        <v>0.0</v>
      </c>
      <c r="N16" s="33">
        <f>COUNTIFS('Data For Calculation - Insuranc'!A:A,A16,'Data For Calculation - Insuranc'!D:D,"Individual",'Data For Calculation - Insuranc'!E:E,"Bundled - 1 Year OD + 5 Year TP")</f>
        <v>0</v>
      </c>
      <c r="O16" s="34" t="s">
        <v>3930</v>
      </c>
      <c r="P16" s="42" t="s">
        <v>3856</v>
      </c>
      <c r="Q16" s="43">
        <v>255.0</v>
      </c>
      <c r="R16" s="42" t="s">
        <v>3853</v>
      </c>
      <c r="S16" s="43">
        <v>0.0</v>
      </c>
      <c r="T16" s="43">
        <v>100.0</v>
      </c>
      <c r="U16" s="43">
        <v>0.0</v>
      </c>
      <c r="V16" s="43">
        <v>0.0</v>
      </c>
      <c r="W16" s="33">
        <f>COUNTIFS('Data For Calculation - Insuranc'!A:A,A16,'Data For Calculation - Insuranc'!D:D,"Company",'Data For Calculation - Insuranc'!E:E,"Bundled - 1 Year OD + 5 Year TP")</f>
        <v>0</v>
      </c>
      <c r="X16" s="34" t="s">
        <v>3929</v>
      </c>
      <c r="Y16" s="42" t="s">
        <v>3856</v>
      </c>
      <c r="Z16" s="31">
        <v>170.0</v>
      </c>
      <c r="AA16" s="34" t="s">
        <v>3853</v>
      </c>
      <c r="AB16" s="34">
        <v>0.0</v>
      </c>
      <c r="AC16" s="34">
        <v>100.0</v>
      </c>
      <c r="AD16" s="34">
        <v>0.0</v>
      </c>
      <c r="AE16" s="34">
        <v>0.0</v>
      </c>
      <c r="AF16" s="33">
        <f>COUNTIFS('Data For Calculation - Insuranc'!A:A,A16,'Data For Calculation - Insuranc'!D:D,"Individual",'Data For Calculation - Insuranc'!E:E,"Rollover Comprehensive - 1 Year OD + 1 Year TP")</f>
        <v>0</v>
      </c>
      <c r="AG16" s="34" t="s">
        <v>3930</v>
      </c>
      <c r="AH16" s="42" t="s">
        <v>3856</v>
      </c>
      <c r="AI16" s="31">
        <v>170.0</v>
      </c>
      <c r="AJ16" s="34" t="s">
        <v>3853</v>
      </c>
      <c r="AK16" s="34">
        <v>0.0</v>
      </c>
      <c r="AL16" s="34">
        <v>100.0</v>
      </c>
      <c r="AM16" s="34">
        <v>0.0</v>
      </c>
      <c r="AN16" s="34">
        <v>0.0</v>
      </c>
      <c r="AO16" s="33">
        <f>COUNTIFS('Data For Calculation - Insuranc'!A:A,A16,'Data For Calculation - Insuranc'!D:D,"Company",'Data For Calculation - Insuranc'!E:E,"Rollover Comprehensive - 1 Year OD + 1 Year TP")</f>
        <v>0</v>
      </c>
      <c r="AP16" s="34" t="s">
        <v>3931</v>
      </c>
      <c r="AQ16" s="42" t="s">
        <v>3856</v>
      </c>
      <c r="AR16" s="31">
        <v>170.0</v>
      </c>
      <c r="AS16" s="34" t="s">
        <v>3853</v>
      </c>
      <c r="AT16" s="34">
        <v>0.0</v>
      </c>
      <c r="AU16" s="34">
        <v>100.0</v>
      </c>
      <c r="AV16" s="34">
        <v>0.0</v>
      </c>
      <c r="AW16" s="34">
        <v>0.0</v>
      </c>
      <c r="AX16" s="33">
        <f>COUNTIFS('Data For Calculation - Insuranc'!A:A,A16,'Data For Calculation - Insuranc'!D:D,"Individual",'Data For Calculation - Insuranc'!E:E,"Rollover - 1 Year OD Only")</f>
        <v>0</v>
      </c>
      <c r="AY16" s="34" t="s">
        <v>3932</v>
      </c>
      <c r="AZ16" s="42" t="s">
        <v>3856</v>
      </c>
      <c r="BA16" s="31">
        <v>170.0</v>
      </c>
      <c r="BB16" s="34" t="s">
        <v>3853</v>
      </c>
      <c r="BC16" s="34">
        <v>0.0</v>
      </c>
      <c r="BD16" s="34">
        <v>100.0</v>
      </c>
      <c r="BE16" s="34">
        <v>0.0</v>
      </c>
      <c r="BF16" s="34">
        <v>0.0</v>
      </c>
      <c r="BG16" s="33">
        <f>COUNTIFS('Data For Calculation - Insuranc'!A:A,A16,'Data For Calculation - Insuranc'!D:D,"Company",'Data For Calculation - Insuranc'!E:E,"Rollover - 1 Year OD Only")</f>
        <v>0</v>
      </c>
      <c r="BH16" s="34" t="s">
        <v>3931</v>
      </c>
      <c r="BI16" s="42" t="s">
        <v>3856</v>
      </c>
      <c r="BJ16" s="31">
        <v>170.0</v>
      </c>
      <c r="BK16" s="34" t="s">
        <v>3853</v>
      </c>
      <c r="BL16" s="34">
        <v>0.0</v>
      </c>
      <c r="BM16" s="34">
        <v>100.0</v>
      </c>
      <c r="BN16" s="34">
        <v>0.0</v>
      </c>
      <c r="BO16" s="34">
        <v>0.0</v>
      </c>
      <c r="BP16" s="33">
        <f>COUNTIFS('Data For Calculation - Insuranc'!A:A,A16,'Data For Calculation - Insuranc'!D:D,"Individual",'Data For Calculation - Insuranc'!E:E,"Rollover - 1 Year TP Only")</f>
        <v>0</v>
      </c>
      <c r="BQ16" s="34" t="s">
        <v>3932</v>
      </c>
      <c r="BR16" s="42" t="s">
        <v>3856</v>
      </c>
      <c r="BS16" s="31">
        <v>170.0</v>
      </c>
      <c r="BT16" s="34" t="s">
        <v>3853</v>
      </c>
      <c r="BU16" s="34">
        <v>0.0</v>
      </c>
      <c r="BV16" s="34">
        <v>100.0</v>
      </c>
      <c r="BW16" s="34">
        <v>0.0</v>
      </c>
      <c r="BX16" s="34">
        <v>0.0</v>
      </c>
      <c r="BY16" s="33">
        <f>COUNTIFS('Data For Calculation - Insuranc'!A:A,A16,'Data For Calculation - Insuranc'!D:D,"Company",'Data For Calculation - Insuranc'!E:E,"Rollover - 1 Year TP Only")</f>
        <v>0</v>
      </c>
      <c r="BZ16" s="31">
        <f t="shared" si="1"/>
        <v>0</v>
      </c>
      <c r="CA16" s="33">
        <f>SUMIFS('Data For Calculation - Insuranc'!I:I,'Data For Calculation - Insuranc'!$A:$A,$A16)</f>
        <v>0</v>
      </c>
      <c r="CB16" s="33">
        <f>SUMIFS('Data For Calculation - Insuranc'!J:J,'Data For Calculation - Insuranc'!$A:$A,$A16)</f>
        <v>0</v>
      </c>
      <c r="CC16" s="33">
        <f>SUMIFS('Data For Calculation - Insuranc'!K:K,'Data For Calculation - Insuranc'!$A:$A,$A16)</f>
        <v>0</v>
      </c>
      <c r="CD16" s="33">
        <f>IF($CK16 = "Dealer", SUMIFS('Data For Calculation - Insuranc'!I:I,'Data For Calculation - Insuranc'!$B:$B,$A16,'Data For Calculation - Insuranc'!$H:$H,"Master Dealer")) + SUMIFS('Data For Calculation - Insuranc'!I:I,'Data For Calculation - Insuranc'!$A:$A,$A16,'Data For Calculation - Insuranc'!$H:$H,"Self")</f>
        <v>0</v>
      </c>
      <c r="CE16" s="33">
        <f>IF($CK16 = "Dealer", SUMIFS('Data For Calculation - Insuranc'!J:J,'Data For Calculation - Insuranc'!$B:$B,$A16,'Data For Calculation - Insuranc'!$H:$H,"Master Dealer")) + SUMIFS('Data For Calculation - Insuranc'!J:J,'Data For Calculation - Insuranc'!$A:$A,$A16,'Data For Calculation - Insuranc'!$H:$H,"Self")</f>
        <v>0</v>
      </c>
      <c r="CF16" s="33">
        <f>IF($CK16 = "Dealer", SUMIFS('Data For Calculation - Insuranc'!K:K,'Data For Calculation - Insuranc'!$B:$B,$A16,'Data For Calculation - Insuranc'!$H:$H,"Master Dealer")) + SUMIFS('Data For Calculation - Insuranc'!K:K,'Data For Calculation - Insuranc'!$A:$A,$A16,'Data For Calculation - Insuranc'!$H:$H,"Self")</f>
        <v>0</v>
      </c>
      <c r="CG16" s="25" t="str">
        <f>(Sheet1!N16)</f>
        <v>Vidhi Trading</v>
      </c>
      <c r="CH16" s="25" t="str">
        <f>(Sheet1!O16)</f>
        <v>1RYX1vfvY0jbK-8SlRPLYU11dr-HUe2ntxj5PumL7c0I</v>
      </c>
      <c r="CI16" s="25" t="str">
        <f>(Sheet1!AV16)</f>
        <v/>
      </c>
      <c r="CJ16" s="25" t="str">
        <f>(Sheet1!AW16)</f>
        <v/>
      </c>
      <c r="CK16" s="26" t="str">
        <f>(Sheet1!P16)</f>
        <v>Dealer</v>
      </c>
    </row>
    <row r="17">
      <c r="A17" s="25" t="str">
        <f>(Sheet1!A17)</f>
        <v>1ju8_gZRiNRn30bHYva0xZCNhV81e9Nwm1ItAYdj4tiU</v>
      </c>
      <c r="B17" s="25" t="str">
        <f>(Sheet1!B17)</f>
        <v>JS</v>
      </c>
      <c r="C17" s="30" t="str">
        <f>Sheet1!BB17</f>
        <v>No</v>
      </c>
      <c r="D17" s="30" t="s">
        <v>13</v>
      </c>
      <c r="E17" s="34" t="s">
        <v>13</v>
      </c>
      <c r="F17" s="34" t="s">
        <v>3929</v>
      </c>
      <c r="G17" s="42" t="s">
        <v>3817</v>
      </c>
      <c r="H17" s="43">
        <v>460.0</v>
      </c>
      <c r="I17" s="42" t="s">
        <v>3853</v>
      </c>
      <c r="J17" s="43">
        <v>0.0</v>
      </c>
      <c r="K17" s="43">
        <v>100.0</v>
      </c>
      <c r="L17" s="43">
        <v>0.0</v>
      </c>
      <c r="M17" s="43">
        <v>0.0</v>
      </c>
      <c r="N17" s="33">
        <f>COUNTIFS('Data For Calculation - Insuranc'!A:A,A17,'Data For Calculation - Insuranc'!D:D,"Individual",'Data For Calculation - Insuranc'!E:E,"Bundled - 1 Year OD + 5 Year TP")</f>
        <v>0</v>
      </c>
      <c r="O17" s="34" t="s">
        <v>3930</v>
      </c>
      <c r="P17" s="42" t="s">
        <v>3817</v>
      </c>
      <c r="Q17" s="43">
        <v>460.0</v>
      </c>
      <c r="R17" s="42" t="s">
        <v>3853</v>
      </c>
      <c r="S17" s="43">
        <v>0.0</v>
      </c>
      <c r="T17" s="43">
        <v>100.0</v>
      </c>
      <c r="U17" s="43">
        <v>0.0</v>
      </c>
      <c r="V17" s="43">
        <v>0.0</v>
      </c>
      <c r="W17" s="33">
        <f>COUNTIFS('Data For Calculation - Insuranc'!A:A,A17,'Data For Calculation - Insuranc'!D:D,"Company",'Data For Calculation - Insuranc'!E:E,"Bundled - 1 Year OD + 5 Year TP")</f>
        <v>0</v>
      </c>
      <c r="X17" s="34" t="s">
        <v>3929</v>
      </c>
      <c r="Y17" s="42" t="s">
        <v>3817</v>
      </c>
      <c r="Z17" s="31">
        <v>290.0</v>
      </c>
      <c r="AA17" s="34" t="s">
        <v>3853</v>
      </c>
      <c r="AB17" s="34">
        <v>0.0</v>
      </c>
      <c r="AC17" s="34">
        <v>100.0</v>
      </c>
      <c r="AD17" s="34">
        <v>0.0</v>
      </c>
      <c r="AE17" s="34">
        <v>0.0</v>
      </c>
      <c r="AF17" s="33">
        <f>COUNTIFS('Data For Calculation - Insuranc'!A:A,A17,'Data For Calculation - Insuranc'!D:D,"Individual",'Data For Calculation - Insuranc'!E:E,"Rollover Comprehensive - 1 Year OD + 1 Year TP")</f>
        <v>0</v>
      </c>
      <c r="AG17" s="34" t="s">
        <v>3930</v>
      </c>
      <c r="AH17" s="42" t="s">
        <v>3817</v>
      </c>
      <c r="AI17" s="31">
        <v>290.0</v>
      </c>
      <c r="AJ17" s="34" t="s">
        <v>3853</v>
      </c>
      <c r="AK17" s="34">
        <v>0.0</v>
      </c>
      <c r="AL17" s="34">
        <v>100.0</v>
      </c>
      <c r="AM17" s="34">
        <v>0.0</v>
      </c>
      <c r="AN17" s="34">
        <v>0.0</v>
      </c>
      <c r="AO17" s="33">
        <f>COUNTIFS('Data For Calculation - Insuranc'!A:A,A17,'Data For Calculation - Insuranc'!D:D,"Company",'Data For Calculation - Insuranc'!E:E,"Rollover Comprehensive - 1 Year OD + 1 Year TP")</f>
        <v>0</v>
      </c>
      <c r="AP17" s="34" t="s">
        <v>3931</v>
      </c>
      <c r="AQ17" s="42" t="s">
        <v>3817</v>
      </c>
      <c r="AR17" s="31">
        <v>290.0</v>
      </c>
      <c r="AS17" s="34" t="s">
        <v>3853</v>
      </c>
      <c r="AT17" s="34">
        <v>0.0</v>
      </c>
      <c r="AU17" s="34">
        <v>100.0</v>
      </c>
      <c r="AV17" s="34">
        <v>0.0</v>
      </c>
      <c r="AW17" s="34">
        <v>0.0</v>
      </c>
      <c r="AX17" s="33">
        <f>COUNTIFS('Data For Calculation - Insuranc'!A:A,A17,'Data For Calculation - Insuranc'!D:D,"Individual",'Data For Calculation - Insuranc'!E:E,"Rollover - 1 Year OD Only")</f>
        <v>0</v>
      </c>
      <c r="AY17" s="34" t="s">
        <v>3932</v>
      </c>
      <c r="AZ17" s="42" t="s">
        <v>3817</v>
      </c>
      <c r="BA17" s="31">
        <v>290.0</v>
      </c>
      <c r="BB17" s="34" t="s">
        <v>3853</v>
      </c>
      <c r="BC17" s="34">
        <v>0.0</v>
      </c>
      <c r="BD17" s="34">
        <v>100.0</v>
      </c>
      <c r="BE17" s="34">
        <v>0.0</v>
      </c>
      <c r="BF17" s="34">
        <v>0.0</v>
      </c>
      <c r="BG17" s="33">
        <f>COUNTIFS('Data For Calculation - Insuranc'!A:A,A17,'Data For Calculation - Insuranc'!D:D,"Company",'Data For Calculation - Insuranc'!E:E,"Rollover - 1 Year OD Only")</f>
        <v>0</v>
      </c>
      <c r="BH17" s="34" t="s">
        <v>3931</v>
      </c>
      <c r="BI17" s="42" t="s">
        <v>3817</v>
      </c>
      <c r="BJ17" s="31">
        <v>290.0</v>
      </c>
      <c r="BK17" s="34" t="s">
        <v>3853</v>
      </c>
      <c r="BL17" s="34">
        <v>0.0</v>
      </c>
      <c r="BM17" s="34">
        <v>100.0</v>
      </c>
      <c r="BN17" s="34">
        <v>0.0</v>
      </c>
      <c r="BO17" s="34">
        <v>0.0</v>
      </c>
      <c r="BP17" s="33">
        <f>COUNTIFS('Data For Calculation - Insuranc'!A:A,A17,'Data For Calculation - Insuranc'!D:D,"Individual",'Data For Calculation - Insuranc'!E:E,"Rollover - 1 Year TP Only")</f>
        <v>0</v>
      </c>
      <c r="BQ17" s="34" t="s">
        <v>3932</v>
      </c>
      <c r="BR17" s="42" t="s">
        <v>3817</v>
      </c>
      <c r="BS17" s="31">
        <v>290.0</v>
      </c>
      <c r="BT17" s="34" t="s">
        <v>3853</v>
      </c>
      <c r="BU17" s="34">
        <v>0.0</v>
      </c>
      <c r="BV17" s="34">
        <v>100.0</v>
      </c>
      <c r="BW17" s="34">
        <v>0.0</v>
      </c>
      <c r="BX17" s="34">
        <v>0.0</v>
      </c>
      <c r="BY17" s="33">
        <f>COUNTIFS('Data For Calculation - Insuranc'!A:A,A17,'Data For Calculation - Insuranc'!D:D,"Company",'Data For Calculation - Insuranc'!E:E,"Rollover - 1 Year TP Only")</f>
        <v>0</v>
      </c>
      <c r="BZ17" s="31">
        <f t="shared" si="1"/>
        <v>0</v>
      </c>
      <c r="CA17" s="33">
        <f>SUMIFS('Data For Calculation - Insuranc'!I:I,'Data For Calculation - Insuranc'!$A:$A,$A17)</f>
        <v>0</v>
      </c>
      <c r="CB17" s="33">
        <f>SUMIFS('Data For Calculation - Insuranc'!J:J,'Data For Calculation - Insuranc'!$A:$A,$A17)</f>
        <v>0</v>
      </c>
      <c r="CC17" s="33">
        <f>SUMIFS('Data For Calculation - Insuranc'!K:K,'Data For Calculation - Insuranc'!$A:$A,$A17)</f>
        <v>0</v>
      </c>
      <c r="CD17" s="33">
        <f>IF($CK17 = "Dealer", SUMIFS('Data For Calculation - Insuranc'!I:I,'Data For Calculation - Insuranc'!$B:$B,$A17,'Data For Calculation - Insuranc'!$H:$H,"Master Dealer")) + SUMIFS('Data For Calculation - Insuranc'!I:I,'Data For Calculation - Insuranc'!$A:$A,$A17,'Data For Calculation - Insuranc'!$H:$H,"Self")</f>
        <v>0</v>
      </c>
      <c r="CE17" s="33">
        <f>IF($CK17 = "Dealer", SUMIFS('Data For Calculation - Insuranc'!J:J,'Data For Calculation - Insuranc'!$B:$B,$A17,'Data For Calculation - Insuranc'!$H:$H,"Master Dealer")) + SUMIFS('Data For Calculation - Insuranc'!J:J,'Data For Calculation - Insuranc'!$A:$A,$A17,'Data For Calculation - Insuranc'!$H:$H,"Self")</f>
        <v>0</v>
      </c>
      <c r="CF17" s="33">
        <f>IF($CK17 = "Dealer", SUMIFS('Data For Calculation - Insuranc'!K:K,'Data For Calculation - Insuranc'!$B:$B,$A17,'Data For Calculation - Insuranc'!$H:$H,"Master Dealer")) + SUMIFS('Data For Calculation - Insuranc'!K:K,'Data For Calculation - Insuranc'!$A:$A,$A17,'Data For Calculation - Insuranc'!$H:$H,"Self")</f>
        <v>0</v>
      </c>
      <c r="CG17" s="25" t="str">
        <f>(Sheet1!N17)</f>
        <v>JS</v>
      </c>
      <c r="CH17" s="25" t="str">
        <f>(Sheet1!O17)</f>
        <v>1ju8_gZRiNRn30bHYva0xZCNhV81e9Nwm1ItAYdj4tiU</v>
      </c>
      <c r="CI17" s="25" t="str">
        <f>(Sheet1!AV17)</f>
        <v/>
      </c>
      <c r="CJ17" s="25" t="str">
        <f>(Sheet1!AW17)</f>
        <v/>
      </c>
      <c r="CK17" s="26" t="str">
        <f>(Sheet1!P17)</f>
        <v>Dealer</v>
      </c>
    </row>
    <row r="18">
      <c r="A18" s="25" t="str">
        <f>(Sheet1!A18)</f>
        <v>1fb4oZhqM5iGS888M6X7merPGQRxnlGglIXz2Xntr8zg</v>
      </c>
      <c r="B18" s="25" t="str">
        <f>(Sheet1!B18)</f>
        <v>Mongold World Hero</v>
      </c>
      <c r="C18" s="30" t="str">
        <f>Sheet1!BB18</f>
        <v>No</v>
      </c>
      <c r="D18" s="30" t="s">
        <v>13</v>
      </c>
      <c r="E18" s="34" t="s">
        <v>13</v>
      </c>
      <c r="F18" s="34" t="s">
        <v>3929</v>
      </c>
      <c r="G18" s="42" t="s">
        <v>3817</v>
      </c>
      <c r="H18" s="43">
        <v>460.0</v>
      </c>
      <c r="I18" s="42" t="s">
        <v>3853</v>
      </c>
      <c r="J18" s="43">
        <v>0.0</v>
      </c>
      <c r="K18" s="43">
        <v>100.0</v>
      </c>
      <c r="L18" s="43">
        <v>0.0</v>
      </c>
      <c r="M18" s="43">
        <v>0.0</v>
      </c>
      <c r="N18" s="33">
        <f>COUNTIFS('Data For Calculation - Insuranc'!A:A,A18,'Data For Calculation - Insuranc'!D:D,"Individual",'Data For Calculation - Insuranc'!E:E,"Bundled - 1 Year OD + 5 Year TP")</f>
        <v>0</v>
      </c>
      <c r="O18" s="34" t="s">
        <v>3930</v>
      </c>
      <c r="P18" s="42" t="s">
        <v>3817</v>
      </c>
      <c r="Q18" s="43">
        <v>460.0</v>
      </c>
      <c r="R18" s="42" t="s">
        <v>3853</v>
      </c>
      <c r="S18" s="43">
        <v>0.0</v>
      </c>
      <c r="T18" s="43">
        <v>100.0</v>
      </c>
      <c r="U18" s="43">
        <v>0.0</v>
      </c>
      <c r="V18" s="43">
        <v>0.0</v>
      </c>
      <c r="W18" s="33">
        <f>COUNTIFS('Data For Calculation - Insuranc'!A:A,A18,'Data For Calculation - Insuranc'!D:D,"Company",'Data For Calculation - Insuranc'!E:E,"Bundled - 1 Year OD + 5 Year TP")</f>
        <v>0</v>
      </c>
      <c r="X18" s="34" t="s">
        <v>3929</v>
      </c>
      <c r="Y18" s="42" t="s">
        <v>3817</v>
      </c>
      <c r="Z18" s="31">
        <v>290.0</v>
      </c>
      <c r="AA18" s="34" t="s">
        <v>3853</v>
      </c>
      <c r="AB18" s="34">
        <v>0.0</v>
      </c>
      <c r="AC18" s="34">
        <v>100.0</v>
      </c>
      <c r="AD18" s="34">
        <v>0.0</v>
      </c>
      <c r="AE18" s="34">
        <v>0.0</v>
      </c>
      <c r="AF18" s="33">
        <f>COUNTIFS('Data For Calculation - Insuranc'!A:A,A18,'Data For Calculation - Insuranc'!D:D,"Individual",'Data For Calculation - Insuranc'!E:E,"Rollover Comprehensive - 1 Year OD + 1 Year TP")</f>
        <v>0</v>
      </c>
      <c r="AG18" s="34" t="s">
        <v>3930</v>
      </c>
      <c r="AH18" s="42" t="s">
        <v>3817</v>
      </c>
      <c r="AI18" s="31">
        <v>290.0</v>
      </c>
      <c r="AJ18" s="34" t="s">
        <v>3853</v>
      </c>
      <c r="AK18" s="34">
        <v>0.0</v>
      </c>
      <c r="AL18" s="34">
        <v>100.0</v>
      </c>
      <c r="AM18" s="34">
        <v>0.0</v>
      </c>
      <c r="AN18" s="34">
        <v>0.0</v>
      </c>
      <c r="AO18" s="33">
        <f>COUNTIFS('Data For Calculation - Insuranc'!A:A,A18,'Data For Calculation - Insuranc'!D:D,"Company",'Data For Calculation - Insuranc'!E:E,"Rollover Comprehensive - 1 Year OD + 1 Year TP")</f>
        <v>0</v>
      </c>
      <c r="AP18" s="34" t="s">
        <v>3931</v>
      </c>
      <c r="AQ18" s="42" t="s">
        <v>3817</v>
      </c>
      <c r="AR18" s="31">
        <v>290.0</v>
      </c>
      <c r="AS18" s="34" t="s">
        <v>3853</v>
      </c>
      <c r="AT18" s="34">
        <v>0.0</v>
      </c>
      <c r="AU18" s="34">
        <v>100.0</v>
      </c>
      <c r="AV18" s="34">
        <v>0.0</v>
      </c>
      <c r="AW18" s="34">
        <v>0.0</v>
      </c>
      <c r="AX18" s="33">
        <f>COUNTIFS('Data For Calculation - Insuranc'!A:A,A18,'Data For Calculation - Insuranc'!D:D,"Individual",'Data For Calculation - Insuranc'!E:E,"Rollover - 1 Year OD Only")</f>
        <v>0</v>
      </c>
      <c r="AY18" s="34" t="s">
        <v>3932</v>
      </c>
      <c r="AZ18" s="42" t="s">
        <v>3817</v>
      </c>
      <c r="BA18" s="31">
        <v>290.0</v>
      </c>
      <c r="BB18" s="34" t="s">
        <v>3853</v>
      </c>
      <c r="BC18" s="34">
        <v>0.0</v>
      </c>
      <c r="BD18" s="34">
        <v>100.0</v>
      </c>
      <c r="BE18" s="34">
        <v>0.0</v>
      </c>
      <c r="BF18" s="34">
        <v>0.0</v>
      </c>
      <c r="BG18" s="33">
        <f>COUNTIFS('Data For Calculation - Insuranc'!A:A,A18,'Data For Calculation - Insuranc'!D:D,"Company",'Data For Calculation - Insuranc'!E:E,"Rollover - 1 Year OD Only")</f>
        <v>0</v>
      </c>
      <c r="BH18" s="34" t="s">
        <v>3931</v>
      </c>
      <c r="BI18" s="42" t="s">
        <v>3817</v>
      </c>
      <c r="BJ18" s="31">
        <v>290.0</v>
      </c>
      <c r="BK18" s="34" t="s">
        <v>3853</v>
      </c>
      <c r="BL18" s="34">
        <v>0.0</v>
      </c>
      <c r="BM18" s="34">
        <v>100.0</v>
      </c>
      <c r="BN18" s="34">
        <v>0.0</v>
      </c>
      <c r="BO18" s="34">
        <v>0.0</v>
      </c>
      <c r="BP18" s="33">
        <f>COUNTIFS('Data For Calculation - Insuranc'!A:A,A18,'Data For Calculation - Insuranc'!D:D,"Individual",'Data For Calculation - Insuranc'!E:E,"Rollover - 1 Year TP Only")</f>
        <v>0</v>
      </c>
      <c r="BQ18" s="34" t="s">
        <v>3932</v>
      </c>
      <c r="BR18" s="42" t="s">
        <v>3817</v>
      </c>
      <c r="BS18" s="31">
        <v>290.0</v>
      </c>
      <c r="BT18" s="34" t="s">
        <v>3853</v>
      </c>
      <c r="BU18" s="34">
        <v>0.0</v>
      </c>
      <c r="BV18" s="34">
        <v>100.0</v>
      </c>
      <c r="BW18" s="34">
        <v>0.0</v>
      </c>
      <c r="BX18" s="34">
        <v>0.0</v>
      </c>
      <c r="BY18" s="33">
        <f>COUNTIFS('Data For Calculation - Insuranc'!A:A,A18,'Data For Calculation - Insuranc'!D:D,"Company",'Data For Calculation - Insuranc'!E:E,"Rollover - 1 Year TP Only")</f>
        <v>0</v>
      </c>
      <c r="BZ18" s="31">
        <f t="shared" si="1"/>
        <v>0</v>
      </c>
      <c r="CA18" s="33">
        <f>SUMIFS('Data For Calculation - Insuranc'!I:I,'Data For Calculation - Insuranc'!$A:$A,$A18)</f>
        <v>0</v>
      </c>
      <c r="CB18" s="33">
        <f>SUMIFS('Data For Calculation - Insuranc'!J:J,'Data For Calculation - Insuranc'!$A:$A,$A18)</f>
        <v>0</v>
      </c>
      <c r="CC18" s="33">
        <f>SUMIFS('Data For Calculation - Insuranc'!K:K,'Data For Calculation - Insuranc'!$A:$A,$A18)</f>
        <v>0</v>
      </c>
      <c r="CD18" s="33">
        <f>IF($CK18 = "Dealer", SUMIFS('Data For Calculation - Insuranc'!I:I,'Data For Calculation - Insuranc'!$B:$B,$A18,'Data For Calculation - Insuranc'!$H:$H,"Master Dealer")) + SUMIFS('Data For Calculation - Insuranc'!I:I,'Data For Calculation - Insuranc'!$A:$A,$A18,'Data For Calculation - Insuranc'!$H:$H,"Self")</f>
        <v>0</v>
      </c>
      <c r="CE18" s="33">
        <f>IF($CK18 = "Dealer", SUMIFS('Data For Calculation - Insuranc'!J:J,'Data For Calculation - Insuranc'!$B:$B,$A18,'Data For Calculation - Insuranc'!$H:$H,"Master Dealer")) + SUMIFS('Data For Calculation - Insuranc'!J:J,'Data For Calculation - Insuranc'!$A:$A,$A18,'Data For Calculation - Insuranc'!$H:$H,"Self")</f>
        <v>0</v>
      </c>
      <c r="CF18" s="33">
        <f>IF($CK18 = "Dealer", SUMIFS('Data For Calculation - Insuranc'!K:K,'Data For Calculation - Insuranc'!$B:$B,$A18,'Data For Calculation - Insuranc'!$H:$H,"Master Dealer")) + SUMIFS('Data For Calculation - Insuranc'!K:K,'Data For Calculation - Insuranc'!$A:$A,$A18,'Data For Calculation - Insuranc'!$H:$H,"Self")</f>
        <v>0</v>
      </c>
      <c r="CG18" s="25" t="str">
        <f>(Sheet1!N18)</f>
        <v>Mongold World Hero</v>
      </c>
      <c r="CH18" s="25" t="str">
        <f>(Sheet1!O18)</f>
        <v>1fb4oZhqM5iGS888M6X7merPGQRxnlGglIXz2Xntr8zg</v>
      </c>
      <c r="CI18" s="25" t="str">
        <f>(Sheet1!AV18)</f>
        <v/>
      </c>
      <c r="CJ18" s="25" t="str">
        <f>(Sheet1!AW18)</f>
        <v/>
      </c>
      <c r="CK18" s="26" t="str">
        <f>(Sheet1!P18)</f>
        <v>Dealer</v>
      </c>
    </row>
    <row r="19">
      <c r="A19" s="25" t="str">
        <f>(Sheet1!A19)</f>
        <v>1xzNzUpRuyZzl8DSwrt-yCan_GYtxqCgVm5i_XkKZrso</v>
      </c>
      <c r="B19" s="25" t="str">
        <f>(Sheet1!B19)</f>
        <v>Metro Motors - Rohini</v>
      </c>
      <c r="C19" s="30" t="str">
        <f>Sheet1!BB19</f>
        <v>No</v>
      </c>
      <c r="D19" s="30" t="s">
        <v>13</v>
      </c>
      <c r="E19" s="34" t="s">
        <v>13</v>
      </c>
      <c r="F19" s="34" t="s">
        <v>3929</v>
      </c>
      <c r="G19" s="42" t="s">
        <v>3854</v>
      </c>
      <c r="H19" s="43">
        <v>100.0</v>
      </c>
      <c r="I19" s="42" t="s">
        <v>3855</v>
      </c>
      <c r="J19" s="43">
        <v>2000.0</v>
      </c>
      <c r="K19" s="43">
        <v>100.0</v>
      </c>
      <c r="L19" s="43">
        <v>0.0</v>
      </c>
      <c r="M19" s="43">
        <v>0.0</v>
      </c>
      <c r="N19" s="33">
        <f>COUNTIFS('Data For Calculation - Insuranc'!A:A,A19,'Data For Calculation - Insuranc'!D:D,"Individual",'Data For Calculation - Insuranc'!E:E,"Bundled - 1 Year OD + 5 Year TP")</f>
        <v>0</v>
      </c>
      <c r="O19" s="34" t="s">
        <v>3930</v>
      </c>
      <c r="P19" s="42" t="s">
        <v>3854</v>
      </c>
      <c r="Q19" s="43">
        <v>100.0</v>
      </c>
      <c r="R19" s="42" t="s">
        <v>3855</v>
      </c>
      <c r="S19" s="43">
        <v>2000.0</v>
      </c>
      <c r="T19" s="43">
        <v>100.0</v>
      </c>
      <c r="U19" s="43">
        <v>0.0</v>
      </c>
      <c r="V19" s="43">
        <v>0.0</v>
      </c>
      <c r="W19" s="33">
        <f>COUNTIFS('Data For Calculation - Insuranc'!A:A,A19,'Data For Calculation - Insuranc'!D:D,"Company",'Data For Calculation - Insuranc'!E:E,"Bundled - 1 Year OD + 5 Year TP")</f>
        <v>0</v>
      </c>
      <c r="X19" s="34" t="s">
        <v>3929</v>
      </c>
      <c r="Y19" s="42" t="s">
        <v>3854</v>
      </c>
      <c r="Z19" s="31">
        <v>290.0</v>
      </c>
      <c r="AA19" s="34" t="s">
        <v>3853</v>
      </c>
      <c r="AB19" s="34">
        <v>0.0</v>
      </c>
      <c r="AC19" s="34">
        <v>100.0</v>
      </c>
      <c r="AD19" s="34">
        <v>0.0</v>
      </c>
      <c r="AE19" s="34">
        <v>0.0</v>
      </c>
      <c r="AF19" s="33">
        <f>COUNTIFS('Data For Calculation - Insuranc'!A:A,A19,'Data For Calculation - Insuranc'!D:D,"Individual",'Data For Calculation - Insuranc'!E:E,"Rollover Comprehensive - 1 Year OD + 1 Year TP")</f>
        <v>0</v>
      </c>
      <c r="AG19" s="34" t="s">
        <v>3930</v>
      </c>
      <c r="AH19" s="42" t="s">
        <v>3854</v>
      </c>
      <c r="AI19" s="31">
        <v>290.0</v>
      </c>
      <c r="AJ19" s="34" t="s">
        <v>3853</v>
      </c>
      <c r="AK19" s="34">
        <v>0.0</v>
      </c>
      <c r="AL19" s="34">
        <v>100.0</v>
      </c>
      <c r="AM19" s="34">
        <v>0.0</v>
      </c>
      <c r="AN19" s="34">
        <v>0.0</v>
      </c>
      <c r="AO19" s="33">
        <f>COUNTIFS('Data For Calculation - Insuranc'!A:A,A19,'Data For Calculation - Insuranc'!D:D,"Company",'Data For Calculation - Insuranc'!E:E,"Rollover Comprehensive - 1 Year OD + 1 Year TP")</f>
        <v>0</v>
      </c>
      <c r="AP19" s="34" t="s">
        <v>3931</v>
      </c>
      <c r="AQ19" s="42" t="s">
        <v>3854</v>
      </c>
      <c r="AR19" s="31">
        <v>290.0</v>
      </c>
      <c r="AS19" s="34" t="s">
        <v>3853</v>
      </c>
      <c r="AT19" s="34">
        <v>0.0</v>
      </c>
      <c r="AU19" s="34">
        <v>100.0</v>
      </c>
      <c r="AV19" s="34">
        <v>0.0</v>
      </c>
      <c r="AW19" s="34">
        <v>0.0</v>
      </c>
      <c r="AX19" s="33">
        <f>COUNTIFS('Data For Calculation - Insuranc'!A:A,A19,'Data For Calculation - Insuranc'!D:D,"Individual",'Data For Calculation - Insuranc'!E:E,"Rollover - 1 Year OD Only")</f>
        <v>0</v>
      </c>
      <c r="AY19" s="34" t="s">
        <v>3932</v>
      </c>
      <c r="AZ19" s="42" t="s">
        <v>3854</v>
      </c>
      <c r="BA19" s="31">
        <v>290.0</v>
      </c>
      <c r="BB19" s="34" t="s">
        <v>3853</v>
      </c>
      <c r="BC19" s="34">
        <v>0.0</v>
      </c>
      <c r="BD19" s="34">
        <v>100.0</v>
      </c>
      <c r="BE19" s="34">
        <v>0.0</v>
      </c>
      <c r="BF19" s="34">
        <v>0.0</v>
      </c>
      <c r="BG19" s="33">
        <f>COUNTIFS('Data For Calculation - Insuranc'!A:A,A19,'Data For Calculation - Insuranc'!D:D,"Company",'Data For Calculation - Insuranc'!E:E,"Rollover - 1 Year OD Only")</f>
        <v>0</v>
      </c>
      <c r="BH19" s="34" t="s">
        <v>3931</v>
      </c>
      <c r="BI19" s="42" t="s">
        <v>3854</v>
      </c>
      <c r="BJ19" s="31">
        <v>290.0</v>
      </c>
      <c r="BK19" s="34" t="s">
        <v>3853</v>
      </c>
      <c r="BL19" s="34">
        <v>0.0</v>
      </c>
      <c r="BM19" s="34">
        <v>100.0</v>
      </c>
      <c r="BN19" s="34">
        <v>0.0</v>
      </c>
      <c r="BO19" s="34">
        <v>0.0</v>
      </c>
      <c r="BP19" s="33">
        <f>COUNTIFS('Data For Calculation - Insuranc'!A:A,A19,'Data For Calculation - Insuranc'!D:D,"Individual",'Data For Calculation - Insuranc'!E:E,"Rollover - 1 Year TP Only")</f>
        <v>0</v>
      </c>
      <c r="BQ19" s="34" t="s">
        <v>3932</v>
      </c>
      <c r="BR19" s="42" t="s">
        <v>3854</v>
      </c>
      <c r="BS19" s="31">
        <v>290.0</v>
      </c>
      <c r="BT19" s="34" t="s">
        <v>3853</v>
      </c>
      <c r="BU19" s="34">
        <v>0.0</v>
      </c>
      <c r="BV19" s="34">
        <v>100.0</v>
      </c>
      <c r="BW19" s="34">
        <v>0.0</v>
      </c>
      <c r="BX19" s="34">
        <v>0.0</v>
      </c>
      <c r="BY19" s="33">
        <f>COUNTIFS('Data For Calculation - Insuranc'!A:A,A19,'Data For Calculation - Insuranc'!D:D,"Company",'Data For Calculation - Insuranc'!E:E,"Rollover - 1 Year TP Only")</f>
        <v>0</v>
      </c>
      <c r="BZ19" s="31">
        <f t="shared" si="1"/>
        <v>0</v>
      </c>
      <c r="CA19" s="33">
        <f>SUMIFS('Data For Calculation - Insuranc'!I:I,'Data For Calculation - Insuranc'!$A:$A,$A19)</f>
        <v>0</v>
      </c>
      <c r="CB19" s="33">
        <f>SUMIFS('Data For Calculation - Insuranc'!J:J,'Data For Calculation - Insuranc'!$A:$A,$A19)</f>
        <v>0</v>
      </c>
      <c r="CC19" s="33">
        <f>SUMIFS('Data For Calculation - Insuranc'!K:K,'Data For Calculation - Insuranc'!$A:$A,$A19)</f>
        <v>0</v>
      </c>
      <c r="CD19" s="33">
        <f>IF($CK19 = "Dealer", SUMIFS('Data For Calculation - Insuranc'!I:I,'Data For Calculation - Insuranc'!$B:$B,$A19,'Data For Calculation - Insuranc'!$H:$H,"Master Dealer")) + SUMIFS('Data For Calculation - Insuranc'!I:I,'Data For Calculation - Insuranc'!$A:$A,$A19,'Data For Calculation - Insuranc'!$H:$H,"Self")</f>
        <v>0</v>
      </c>
      <c r="CE19" s="33">
        <f>IF($CK19 = "Dealer", SUMIFS('Data For Calculation - Insuranc'!J:J,'Data For Calculation - Insuranc'!$B:$B,$A19,'Data For Calculation - Insuranc'!$H:$H,"Master Dealer")) + SUMIFS('Data For Calculation - Insuranc'!J:J,'Data For Calculation - Insuranc'!$A:$A,$A19,'Data For Calculation - Insuranc'!$H:$H,"Self")</f>
        <v>0</v>
      </c>
      <c r="CF19" s="33">
        <f>IF($CK19 = "Dealer", SUMIFS('Data For Calculation - Insuranc'!K:K,'Data For Calculation - Insuranc'!$B:$B,$A19,'Data For Calculation - Insuranc'!$H:$H,"Master Dealer")) + SUMIFS('Data For Calculation - Insuranc'!K:K,'Data For Calculation - Insuranc'!$A:$A,$A19,'Data For Calculation - Insuranc'!$H:$H,"Self")</f>
        <v>0</v>
      </c>
      <c r="CG19" s="25" t="str">
        <f>(Sheet1!N19)</f>
        <v>Metro Motors - Rohini</v>
      </c>
      <c r="CH19" s="25" t="str">
        <f>(Sheet1!O19)</f>
        <v>1xzNzUpRuyZzl8DSwrt-yCan_GYtxqCgVm5i_XkKZrso</v>
      </c>
      <c r="CI19" s="25" t="str">
        <f>(Sheet1!AV19)</f>
        <v/>
      </c>
      <c r="CJ19" s="25" t="str">
        <f>(Sheet1!AW19)</f>
        <v/>
      </c>
      <c r="CK19" s="26" t="str">
        <f>(Sheet1!P19)</f>
        <v>Dealer</v>
      </c>
    </row>
    <row r="20">
      <c r="A20" s="25" t="str">
        <f>(Sheet1!A20)</f>
        <v>1aig_7rzTvnQej6pxtLbGhfZNPUH2VLzHk2NHcxmPOhg</v>
      </c>
      <c r="B20" s="25" t="str">
        <f>(Sheet1!B20)</f>
        <v>Singla Auto Agencies (Noida)</v>
      </c>
      <c r="C20" s="30" t="str">
        <f>Sheet1!BB20</f>
        <v>Yes</v>
      </c>
      <c r="D20" s="30" t="s">
        <v>13</v>
      </c>
      <c r="E20" s="34" t="s">
        <v>13</v>
      </c>
      <c r="F20" s="34" t="s">
        <v>3929</v>
      </c>
      <c r="G20" s="42" t="s">
        <v>3854</v>
      </c>
      <c r="H20" s="43">
        <v>100.0</v>
      </c>
      <c r="I20" s="42" t="s">
        <v>3855</v>
      </c>
      <c r="J20" s="43">
        <v>2300.0</v>
      </c>
      <c r="K20" s="43">
        <v>100.0</v>
      </c>
      <c r="L20" s="43">
        <v>0.0</v>
      </c>
      <c r="M20" s="43">
        <v>0.0</v>
      </c>
      <c r="N20" s="33">
        <f>COUNTIFS('Data For Calculation - Insuranc'!A:A,A20,'Data For Calculation - Insuranc'!D:D,"Individual",'Data For Calculation - Insuranc'!E:E,"Bundled - 1 Year OD + 5 Year TP")</f>
        <v>0</v>
      </c>
      <c r="O20" s="34" t="s">
        <v>3930</v>
      </c>
      <c r="P20" s="42" t="s">
        <v>3854</v>
      </c>
      <c r="Q20" s="43">
        <v>100.0</v>
      </c>
      <c r="R20" s="42" t="s">
        <v>3855</v>
      </c>
      <c r="S20" s="43">
        <v>2300.0</v>
      </c>
      <c r="T20" s="43">
        <v>100.0</v>
      </c>
      <c r="U20" s="43">
        <v>0.0</v>
      </c>
      <c r="V20" s="43">
        <v>0.0</v>
      </c>
      <c r="W20" s="33">
        <f>COUNTIFS('Data For Calculation - Insuranc'!A:A,A20,'Data For Calculation - Insuranc'!D:D,"Company",'Data For Calculation - Insuranc'!E:E,"Bundled - 1 Year OD + 5 Year TP")</f>
        <v>0</v>
      </c>
      <c r="X20" s="34" t="s">
        <v>3929</v>
      </c>
      <c r="Y20" s="42" t="s">
        <v>3854</v>
      </c>
      <c r="Z20" s="43">
        <v>100.0</v>
      </c>
      <c r="AA20" s="42" t="s">
        <v>3855</v>
      </c>
      <c r="AB20" s="31">
        <v>500.0</v>
      </c>
      <c r="AC20" s="43">
        <v>100.0</v>
      </c>
      <c r="AD20" s="43">
        <v>0.0</v>
      </c>
      <c r="AE20" s="43">
        <v>0.0</v>
      </c>
      <c r="AF20" s="33">
        <f>COUNTIFS('Data For Calculation - Insuranc'!A:A,A20,'Data For Calculation - Insuranc'!D:D,"Individual",'Data For Calculation - Insuranc'!E:E,"Rollover Comprehensive - 1 Year OD + 1 Year TP")</f>
        <v>0</v>
      </c>
      <c r="AG20" s="34" t="s">
        <v>3930</v>
      </c>
      <c r="AH20" s="42" t="s">
        <v>3854</v>
      </c>
      <c r="AI20" s="43">
        <v>100.0</v>
      </c>
      <c r="AJ20" s="42" t="s">
        <v>3855</v>
      </c>
      <c r="AK20" s="31">
        <v>500.0</v>
      </c>
      <c r="AL20" s="43">
        <v>100.0</v>
      </c>
      <c r="AM20" s="43">
        <v>0.0</v>
      </c>
      <c r="AN20" s="43">
        <v>0.0</v>
      </c>
      <c r="AO20" s="33">
        <f>COUNTIFS('Data For Calculation - Insuranc'!A:A,A20,'Data For Calculation - Insuranc'!D:D,"Company",'Data For Calculation - Insuranc'!E:E,"Rollover Comprehensive - 1 Year OD + 1 Year TP")</f>
        <v>0</v>
      </c>
      <c r="AP20" s="34" t="s">
        <v>3929</v>
      </c>
      <c r="AQ20" s="42" t="s">
        <v>3854</v>
      </c>
      <c r="AR20" s="43">
        <v>100.0</v>
      </c>
      <c r="AS20" s="42" t="s">
        <v>3855</v>
      </c>
      <c r="AT20" s="31">
        <v>500.0</v>
      </c>
      <c r="AU20" s="43">
        <v>100.0</v>
      </c>
      <c r="AV20" s="43">
        <v>0.0</v>
      </c>
      <c r="AW20" s="43">
        <v>0.0</v>
      </c>
      <c r="AX20" s="33">
        <f>COUNTIFS('Data For Calculation - Insuranc'!A:A,A20,'Data For Calculation - Insuranc'!D:D,"Individual",'Data For Calculation - Insuranc'!E:E,"Rollover - 1 Year OD Only")</f>
        <v>0</v>
      </c>
      <c r="AY20" s="34" t="s">
        <v>3930</v>
      </c>
      <c r="AZ20" s="42" t="s">
        <v>3854</v>
      </c>
      <c r="BA20" s="43">
        <v>100.0</v>
      </c>
      <c r="BB20" s="42" t="s">
        <v>3855</v>
      </c>
      <c r="BC20" s="31">
        <v>500.0</v>
      </c>
      <c r="BD20" s="43">
        <v>100.0</v>
      </c>
      <c r="BE20" s="43">
        <v>0.0</v>
      </c>
      <c r="BF20" s="43">
        <v>0.0</v>
      </c>
      <c r="BG20" s="33">
        <f>COUNTIFS('Data For Calculation - Insuranc'!A:A,A20,'Data For Calculation - Insuranc'!D:D,"Company",'Data For Calculation - Insuranc'!E:E,"Rollover - 1 Year OD Only")</f>
        <v>0</v>
      </c>
      <c r="BH20" s="34" t="s">
        <v>3931</v>
      </c>
      <c r="BI20" s="42" t="s">
        <v>3854</v>
      </c>
      <c r="BJ20" s="43">
        <v>100.0</v>
      </c>
      <c r="BK20" s="42" t="s">
        <v>3855</v>
      </c>
      <c r="BL20" s="31">
        <v>400.0</v>
      </c>
      <c r="BM20" s="43">
        <v>100.0</v>
      </c>
      <c r="BN20" s="43">
        <v>0.0</v>
      </c>
      <c r="BO20" s="43">
        <v>0.0</v>
      </c>
      <c r="BP20" s="33">
        <f>COUNTIFS('Data For Calculation - Insuranc'!A:A,A20,'Data For Calculation - Insuranc'!D:D,"Individual",'Data For Calculation - Insuranc'!E:E,"Rollover - 1 Year TP Only")</f>
        <v>0</v>
      </c>
      <c r="BQ20" s="34" t="s">
        <v>3932</v>
      </c>
      <c r="BR20" s="42" t="s">
        <v>3854</v>
      </c>
      <c r="BS20" s="43">
        <v>100.0</v>
      </c>
      <c r="BT20" s="42" t="s">
        <v>3855</v>
      </c>
      <c r="BU20" s="31">
        <v>400.0</v>
      </c>
      <c r="BV20" s="43">
        <v>100.0</v>
      </c>
      <c r="BW20" s="43">
        <v>0.0</v>
      </c>
      <c r="BX20" s="43">
        <v>0.0</v>
      </c>
      <c r="BY20" s="33">
        <f>COUNTIFS('Data For Calculation - Insuranc'!A:A,A20,'Data For Calculation - Insuranc'!D:D,"Company",'Data For Calculation - Insuranc'!E:E,"Rollover - 1 Year TP Only")</f>
        <v>0</v>
      </c>
      <c r="BZ20" s="31">
        <f t="shared" si="1"/>
        <v>0</v>
      </c>
      <c r="CA20" s="33">
        <f>SUMIFS('Data For Calculation - Insuranc'!I:I,'Data For Calculation - Insuranc'!$A:$A,$A20)</f>
        <v>0</v>
      </c>
      <c r="CB20" s="33">
        <f>SUMIFS('Data For Calculation - Insuranc'!J:J,'Data For Calculation - Insuranc'!$A:$A,$A20)</f>
        <v>0</v>
      </c>
      <c r="CC20" s="33">
        <f>SUMIFS('Data For Calculation - Insuranc'!K:K,'Data For Calculation - Insuranc'!$A:$A,$A20)</f>
        <v>0</v>
      </c>
      <c r="CD20" s="33">
        <f>IF($CK20 = "Dealer", SUMIFS('Data For Calculation - Insuranc'!I:I,'Data For Calculation - Insuranc'!$B:$B,$A20,'Data For Calculation - Insuranc'!$H:$H,"Master Dealer")) + SUMIFS('Data For Calculation - Insuranc'!I:I,'Data For Calculation - Insuranc'!$A:$A,$A20,'Data For Calculation - Insuranc'!$H:$H,"Self")</f>
        <v>0</v>
      </c>
      <c r="CE20" s="33">
        <f>IF($CK20 = "Dealer", SUMIFS('Data For Calculation - Insuranc'!J:J,'Data For Calculation - Insuranc'!$B:$B,$A20,'Data For Calculation - Insuranc'!$H:$H,"Master Dealer")) + SUMIFS('Data For Calculation - Insuranc'!J:J,'Data For Calculation - Insuranc'!$A:$A,$A20,'Data For Calculation - Insuranc'!$H:$H,"Self")</f>
        <v>0</v>
      </c>
      <c r="CF20" s="33">
        <f>IF($CK20 = "Dealer", SUMIFS('Data For Calculation - Insuranc'!K:K,'Data For Calculation - Insuranc'!$B:$B,$A20,'Data For Calculation - Insuranc'!$H:$H,"Master Dealer")) + SUMIFS('Data For Calculation - Insuranc'!K:K,'Data For Calculation - Insuranc'!$A:$A,$A20,'Data For Calculation - Insuranc'!$H:$H,"Self")</f>
        <v>0</v>
      </c>
      <c r="CG20" s="25" t="str">
        <f>(Sheet1!N20)</f>
        <v>Singla Auto Agencies (Noida)</v>
      </c>
      <c r="CH20" s="25" t="str">
        <f>(Sheet1!O20)</f>
        <v>1aig_7rzTvnQej6pxtLbGhfZNPUH2VLzHk2NHcxmPOhg</v>
      </c>
      <c r="CI20" s="25" t="str">
        <f>(Sheet1!AV20)</f>
        <v/>
      </c>
      <c r="CJ20" s="25" t="str">
        <f>(Sheet1!AW20)</f>
        <v/>
      </c>
      <c r="CK20" s="26" t="str">
        <f>(Sheet1!P20)</f>
        <v>Dealer</v>
      </c>
    </row>
    <row r="21">
      <c r="A21" s="25" t="str">
        <f>(Sheet1!A21)</f>
        <v>1Q3uII698FTgwSsGljmJBRy3Pnf7HltUwjiLdE7gTk3E</v>
      </c>
      <c r="B21" s="25" t="str">
        <f>(Sheet1!B21)</f>
        <v>Singla Auto Agencies (Chapraulla)</v>
      </c>
      <c r="C21" s="30" t="str">
        <f>Sheet1!BB21</f>
        <v>No</v>
      </c>
      <c r="D21" s="30" t="s">
        <v>13</v>
      </c>
      <c r="E21" s="34" t="s">
        <v>13</v>
      </c>
      <c r="F21" s="34" t="s">
        <v>3929</v>
      </c>
      <c r="G21" s="42" t="s">
        <v>3820</v>
      </c>
      <c r="H21" s="43">
        <v>460.0</v>
      </c>
      <c r="I21" s="42" t="s">
        <v>3853</v>
      </c>
      <c r="J21" s="43">
        <v>0.0</v>
      </c>
      <c r="K21" s="43">
        <v>100.0</v>
      </c>
      <c r="L21" s="43">
        <v>0.0</v>
      </c>
      <c r="M21" s="43">
        <v>0.0</v>
      </c>
      <c r="N21" s="33">
        <f>COUNTIFS('Data For Calculation - Insuranc'!A:A,A21,'Data For Calculation - Insuranc'!D:D,"Individual",'Data For Calculation - Insuranc'!E:E,"Bundled - 1 Year OD + 5 Year TP")</f>
        <v>0</v>
      </c>
      <c r="O21" s="34" t="s">
        <v>3930</v>
      </c>
      <c r="P21" s="42" t="s">
        <v>3820</v>
      </c>
      <c r="Q21" s="43">
        <v>460.0</v>
      </c>
      <c r="R21" s="42" t="s">
        <v>3853</v>
      </c>
      <c r="S21" s="43">
        <v>0.0</v>
      </c>
      <c r="T21" s="43">
        <v>100.0</v>
      </c>
      <c r="U21" s="43">
        <v>0.0</v>
      </c>
      <c r="V21" s="43">
        <v>0.0</v>
      </c>
      <c r="W21" s="33">
        <f>COUNTIFS('Data For Calculation - Insuranc'!A:A,A21,'Data For Calculation - Insuranc'!D:D,"Company",'Data For Calculation - Insuranc'!E:E,"Bundled - 1 Year OD + 5 Year TP")</f>
        <v>0</v>
      </c>
      <c r="X21" s="34" t="s">
        <v>3929</v>
      </c>
      <c r="Y21" s="42" t="s">
        <v>3820</v>
      </c>
      <c r="Z21" s="31">
        <v>290.0</v>
      </c>
      <c r="AA21" s="34" t="s">
        <v>3853</v>
      </c>
      <c r="AB21" s="34">
        <v>0.0</v>
      </c>
      <c r="AC21" s="34">
        <v>100.0</v>
      </c>
      <c r="AD21" s="34">
        <v>0.0</v>
      </c>
      <c r="AE21" s="34">
        <v>0.0</v>
      </c>
      <c r="AF21" s="33">
        <f>COUNTIFS('Data For Calculation - Insuranc'!A:A,A21,'Data For Calculation - Insuranc'!D:D,"Individual",'Data For Calculation - Insuranc'!E:E,"Rollover Comprehensive - 1 Year OD + 1 Year TP")</f>
        <v>0</v>
      </c>
      <c r="AG21" s="34" t="s">
        <v>3930</v>
      </c>
      <c r="AH21" s="42" t="s">
        <v>3820</v>
      </c>
      <c r="AI21" s="31">
        <v>290.0</v>
      </c>
      <c r="AJ21" s="34" t="s">
        <v>3853</v>
      </c>
      <c r="AK21" s="34">
        <v>0.0</v>
      </c>
      <c r="AL21" s="34">
        <v>100.0</v>
      </c>
      <c r="AM21" s="34">
        <v>0.0</v>
      </c>
      <c r="AN21" s="34">
        <v>0.0</v>
      </c>
      <c r="AO21" s="33">
        <f>COUNTIFS('Data For Calculation - Insuranc'!A:A,A21,'Data For Calculation - Insuranc'!D:D,"Company",'Data For Calculation - Insuranc'!E:E,"Rollover Comprehensive - 1 Year OD + 1 Year TP")</f>
        <v>0</v>
      </c>
      <c r="AP21" s="34" t="s">
        <v>3931</v>
      </c>
      <c r="AQ21" s="42" t="s">
        <v>3820</v>
      </c>
      <c r="AR21" s="31">
        <v>290.0</v>
      </c>
      <c r="AS21" s="34" t="s">
        <v>3853</v>
      </c>
      <c r="AT21" s="34">
        <v>0.0</v>
      </c>
      <c r="AU21" s="34">
        <v>100.0</v>
      </c>
      <c r="AV21" s="34">
        <v>0.0</v>
      </c>
      <c r="AW21" s="34">
        <v>0.0</v>
      </c>
      <c r="AX21" s="33">
        <f>COUNTIFS('Data For Calculation - Insuranc'!A:A,A21,'Data For Calculation - Insuranc'!D:D,"Individual",'Data For Calculation - Insuranc'!E:E,"Rollover - 1 Year OD Only")</f>
        <v>0</v>
      </c>
      <c r="AY21" s="34" t="s">
        <v>3932</v>
      </c>
      <c r="AZ21" s="42" t="s">
        <v>3820</v>
      </c>
      <c r="BA21" s="31">
        <v>290.0</v>
      </c>
      <c r="BB21" s="34" t="s">
        <v>3853</v>
      </c>
      <c r="BC21" s="34">
        <v>0.0</v>
      </c>
      <c r="BD21" s="34">
        <v>100.0</v>
      </c>
      <c r="BE21" s="34">
        <v>0.0</v>
      </c>
      <c r="BF21" s="34">
        <v>0.0</v>
      </c>
      <c r="BG21" s="33">
        <f>COUNTIFS('Data For Calculation - Insuranc'!A:A,A21,'Data For Calculation - Insuranc'!D:D,"Company",'Data For Calculation - Insuranc'!E:E,"Rollover - 1 Year OD Only")</f>
        <v>0</v>
      </c>
      <c r="BH21" s="34" t="s">
        <v>3931</v>
      </c>
      <c r="BI21" s="42" t="s">
        <v>3820</v>
      </c>
      <c r="BJ21" s="31">
        <v>290.0</v>
      </c>
      <c r="BK21" s="34" t="s">
        <v>3853</v>
      </c>
      <c r="BL21" s="34">
        <v>0.0</v>
      </c>
      <c r="BM21" s="34">
        <v>100.0</v>
      </c>
      <c r="BN21" s="34">
        <v>0.0</v>
      </c>
      <c r="BO21" s="34">
        <v>0.0</v>
      </c>
      <c r="BP21" s="33">
        <f>COUNTIFS('Data For Calculation - Insuranc'!A:A,A21,'Data For Calculation - Insuranc'!D:D,"Individual",'Data For Calculation - Insuranc'!E:E,"Rollover - 1 Year TP Only")</f>
        <v>0</v>
      </c>
      <c r="BQ21" s="34" t="s">
        <v>3932</v>
      </c>
      <c r="BR21" s="42" t="s">
        <v>3820</v>
      </c>
      <c r="BS21" s="31">
        <v>290.0</v>
      </c>
      <c r="BT21" s="34" t="s">
        <v>3853</v>
      </c>
      <c r="BU21" s="34">
        <v>0.0</v>
      </c>
      <c r="BV21" s="34">
        <v>100.0</v>
      </c>
      <c r="BW21" s="34">
        <v>0.0</v>
      </c>
      <c r="BX21" s="34">
        <v>0.0</v>
      </c>
      <c r="BY21" s="33">
        <f>COUNTIFS('Data For Calculation - Insuranc'!A:A,A21,'Data For Calculation - Insuranc'!D:D,"Company",'Data For Calculation - Insuranc'!E:E,"Rollover - 1 Year TP Only")</f>
        <v>0</v>
      </c>
      <c r="BZ21" s="31">
        <f t="shared" si="1"/>
        <v>0</v>
      </c>
      <c r="CA21" s="33">
        <f>SUMIFS('Data For Calculation - Insuranc'!I:I,'Data For Calculation - Insuranc'!$A:$A,$A21)</f>
        <v>0</v>
      </c>
      <c r="CB21" s="33">
        <f>SUMIFS('Data For Calculation - Insuranc'!J:J,'Data For Calculation - Insuranc'!$A:$A,$A21)</f>
        <v>0</v>
      </c>
      <c r="CC21" s="33">
        <f>SUMIFS('Data For Calculation - Insuranc'!K:K,'Data For Calculation - Insuranc'!$A:$A,$A21)</f>
        <v>0</v>
      </c>
      <c r="CD21" s="33">
        <f>IF($CK21 = "Dealer", SUMIFS('Data For Calculation - Insuranc'!I:I,'Data For Calculation - Insuranc'!$B:$B,$A21,'Data For Calculation - Insuranc'!$H:$H,"Master Dealer")) + SUMIFS('Data For Calculation - Insuranc'!I:I,'Data For Calculation - Insuranc'!$A:$A,$A21,'Data For Calculation - Insuranc'!$H:$H,"Self")</f>
        <v>0</v>
      </c>
      <c r="CE21" s="33">
        <f>IF($CK21 = "Dealer", SUMIFS('Data For Calculation - Insuranc'!J:J,'Data For Calculation - Insuranc'!$B:$B,$A21,'Data For Calculation - Insuranc'!$H:$H,"Master Dealer")) + SUMIFS('Data For Calculation - Insuranc'!J:J,'Data For Calculation - Insuranc'!$A:$A,$A21,'Data For Calculation - Insuranc'!$H:$H,"Self")</f>
        <v>0</v>
      </c>
      <c r="CF21" s="33">
        <f>IF($CK21 = "Dealer", SUMIFS('Data For Calculation - Insuranc'!K:K,'Data For Calculation - Insuranc'!$B:$B,$A21,'Data For Calculation - Insuranc'!$H:$H,"Master Dealer")) + SUMIFS('Data For Calculation - Insuranc'!K:K,'Data For Calculation - Insuranc'!$A:$A,$A21,'Data For Calculation - Insuranc'!$H:$H,"Self")</f>
        <v>0</v>
      </c>
      <c r="CG21" s="25" t="str">
        <f>(Sheet1!N21)</f>
        <v>Singla Auto Agencies (Noida)</v>
      </c>
      <c r="CH21" s="25" t="str">
        <f>(Sheet1!O21)</f>
        <v>1aig_7rzTvnQej6pxtLbGhfZNPUH2VLzHk2NHcxmPOhg</v>
      </c>
      <c r="CI21" s="25" t="str">
        <f>(Sheet1!AV21)</f>
        <v/>
      </c>
      <c r="CJ21" s="25" t="str">
        <f>(Sheet1!AW21)</f>
        <v/>
      </c>
      <c r="CK21" s="26" t="str">
        <f>(Sheet1!P21)</f>
        <v>Sub Dealer</v>
      </c>
    </row>
    <row r="22">
      <c r="A22" s="25" t="str">
        <f>(Sheet1!A22)</f>
        <v>1vUFSLp9ap8UTFwG791bhTrhPizHEeVuDln11hfH1j4w</v>
      </c>
      <c r="B22" s="25" t="str">
        <f>(Sheet1!B22)</f>
        <v>Singla Auto Agencies (Dadri)</v>
      </c>
      <c r="C22" s="30" t="str">
        <f>Sheet1!BB22</f>
        <v>No</v>
      </c>
      <c r="D22" s="30" t="s">
        <v>13</v>
      </c>
      <c r="E22" s="34" t="s">
        <v>13</v>
      </c>
      <c r="F22" s="34" t="s">
        <v>3929</v>
      </c>
      <c r="G22" s="42" t="s">
        <v>3820</v>
      </c>
      <c r="H22" s="43">
        <v>460.0</v>
      </c>
      <c r="I22" s="42" t="s">
        <v>3853</v>
      </c>
      <c r="J22" s="43">
        <v>0.0</v>
      </c>
      <c r="K22" s="43">
        <v>100.0</v>
      </c>
      <c r="L22" s="43">
        <v>0.0</v>
      </c>
      <c r="M22" s="43">
        <v>0.0</v>
      </c>
      <c r="N22" s="33">
        <f>COUNTIFS('Data For Calculation - Insuranc'!A:A,A22,'Data For Calculation - Insuranc'!D:D,"Individual",'Data For Calculation - Insuranc'!E:E,"Bundled - 1 Year OD + 5 Year TP")</f>
        <v>0</v>
      </c>
      <c r="O22" s="34" t="s">
        <v>3930</v>
      </c>
      <c r="P22" s="42" t="s">
        <v>3820</v>
      </c>
      <c r="Q22" s="43">
        <v>460.0</v>
      </c>
      <c r="R22" s="42" t="s">
        <v>3853</v>
      </c>
      <c r="S22" s="43">
        <v>0.0</v>
      </c>
      <c r="T22" s="43">
        <v>100.0</v>
      </c>
      <c r="U22" s="43">
        <v>0.0</v>
      </c>
      <c r="V22" s="43">
        <v>0.0</v>
      </c>
      <c r="W22" s="33">
        <f>COUNTIFS('Data For Calculation - Insuranc'!A:A,A22,'Data For Calculation - Insuranc'!D:D,"Company",'Data For Calculation - Insuranc'!E:E,"Bundled - 1 Year OD + 5 Year TP")</f>
        <v>0</v>
      </c>
      <c r="X22" s="34" t="s">
        <v>3929</v>
      </c>
      <c r="Y22" s="42" t="s">
        <v>3820</v>
      </c>
      <c r="Z22" s="31">
        <v>290.0</v>
      </c>
      <c r="AA22" s="34" t="s">
        <v>3853</v>
      </c>
      <c r="AB22" s="34">
        <v>0.0</v>
      </c>
      <c r="AC22" s="34">
        <v>100.0</v>
      </c>
      <c r="AD22" s="34">
        <v>0.0</v>
      </c>
      <c r="AE22" s="34">
        <v>0.0</v>
      </c>
      <c r="AF22" s="33">
        <f>COUNTIFS('Data For Calculation - Insuranc'!A:A,A22,'Data For Calculation - Insuranc'!D:D,"Individual",'Data For Calculation - Insuranc'!E:E,"Rollover Comprehensive - 1 Year OD + 1 Year TP")</f>
        <v>0</v>
      </c>
      <c r="AG22" s="34" t="s">
        <v>3930</v>
      </c>
      <c r="AH22" s="42" t="s">
        <v>3820</v>
      </c>
      <c r="AI22" s="31">
        <v>290.0</v>
      </c>
      <c r="AJ22" s="34" t="s">
        <v>3853</v>
      </c>
      <c r="AK22" s="34">
        <v>0.0</v>
      </c>
      <c r="AL22" s="34">
        <v>100.0</v>
      </c>
      <c r="AM22" s="34">
        <v>0.0</v>
      </c>
      <c r="AN22" s="34">
        <v>0.0</v>
      </c>
      <c r="AO22" s="33">
        <f>COUNTIFS('Data For Calculation - Insuranc'!A:A,A22,'Data For Calculation - Insuranc'!D:D,"Company",'Data For Calculation - Insuranc'!E:E,"Rollover Comprehensive - 1 Year OD + 1 Year TP")</f>
        <v>0</v>
      </c>
      <c r="AP22" s="34" t="s">
        <v>3931</v>
      </c>
      <c r="AQ22" s="42" t="s">
        <v>3820</v>
      </c>
      <c r="AR22" s="31">
        <v>290.0</v>
      </c>
      <c r="AS22" s="34" t="s">
        <v>3853</v>
      </c>
      <c r="AT22" s="34">
        <v>0.0</v>
      </c>
      <c r="AU22" s="34">
        <v>100.0</v>
      </c>
      <c r="AV22" s="34">
        <v>0.0</v>
      </c>
      <c r="AW22" s="34">
        <v>0.0</v>
      </c>
      <c r="AX22" s="33">
        <f>COUNTIFS('Data For Calculation - Insuranc'!A:A,A22,'Data For Calculation - Insuranc'!D:D,"Individual",'Data For Calculation - Insuranc'!E:E,"Rollover - 1 Year OD Only")</f>
        <v>0</v>
      </c>
      <c r="AY22" s="34" t="s">
        <v>3932</v>
      </c>
      <c r="AZ22" s="42" t="s">
        <v>3820</v>
      </c>
      <c r="BA22" s="31">
        <v>290.0</v>
      </c>
      <c r="BB22" s="34" t="s">
        <v>3853</v>
      </c>
      <c r="BC22" s="34">
        <v>0.0</v>
      </c>
      <c r="BD22" s="34">
        <v>100.0</v>
      </c>
      <c r="BE22" s="34">
        <v>0.0</v>
      </c>
      <c r="BF22" s="34">
        <v>0.0</v>
      </c>
      <c r="BG22" s="33">
        <f>COUNTIFS('Data For Calculation - Insuranc'!A:A,A22,'Data For Calculation - Insuranc'!D:D,"Company",'Data For Calculation - Insuranc'!E:E,"Rollover - 1 Year OD Only")</f>
        <v>0</v>
      </c>
      <c r="BH22" s="34" t="s">
        <v>3931</v>
      </c>
      <c r="BI22" s="42" t="s">
        <v>3820</v>
      </c>
      <c r="BJ22" s="31">
        <v>290.0</v>
      </c>
      <c r="BK22" s="34" t="s">
        <v>3853</v>
      </c>
      <c r="BL22" s="34">
        <v>0.0</v>
      </c>
      <c r="BM22" s="34">
        <v>100.0</v>
      </c>
      <c r="BN22" s="34">
        <v>0.0</v>
      </c>
      <c r="BO22" s="34">
        <v>0.0</v>
      </c>
      <c r="BP22" s="33">
        <f>COUNTIFS('Data For Calculation - Insuranc'!A:A,A22,'Data For Calculation - Insuranc'!D:D,"Individual",'Data For Calculation - Insuranc'!E:E,"Rollover - 1 Year TP Only")</f>
        <v>0</v>
      </c>
      <c r="BQ22" s="34" t="s">
        <v>3932</v>
      </c>
      <c r="BR22" s="42" t="s">
        <v>3820</v>
      </c>
      <c r="BS22" s="31">
        <v>290.0</v>
      </c>
      <c r="BT22" s="34" t="s">
        <v>3853</v>
      </c>
      <c r="BU22" s="34">
        <v>0.0</v>
      </c>
      <c r="BV22" s="34">
        <v>100.0</v>
      </c>
      <c r="BW22" s="34">
        <v>0.0</v>
      </c>
      <c r="BX22" s="34">
        <v>0.0</v>
      </c>
      <c r="BY22" s="33">
        <f>COUNTIFS('Data For Calculation - Insuranc'!A:A,A22,'Data For Calculation - Insuranc'!D:D,"Company",'Data For Calculation - Insuranc'!E:E,"Rollover - 1 Year TP Only")</f>
        <v>0</v>
      </c>
      <c r="BZ22" s="31">
        <f t="shared" si="1"/>
        <v>0</v>
      </c>
      <c r="CA22" s="33">
        <f>SUMIFS('Data For Calculation - Insuranc'!I:I,'Data For Calculation - Insuranc'!$A:$A,$A22)</f>
        <v>0</v>
      </c>
      <c r="CB22" s="33">
        <f>SUMIFS('Data For Calculation - Insuranc'!J:J,'Data For Calculation - Insuranc'!$A:$A,$A22)</f>
        <v>0</v>
      </c>
      <c r="CC22" s="33">
        <f>SUMIFS('Data For Calculation - Insuranc'!K:K,'Data For Calculation - Insuranc'!$A:$A,$A22)</f>
        <v>0</v>
      </c>
      <c r="CD22" s="33">
        <f>IF($CK22 = "Dealer", SUMIFS('Data For Calculation - Insuranc'!I:I,'Data For Calculation - Insuranc'!$B:$B,$A22,'Data For Calculation - Insuranc'!$H:$H,"Master Dealer")) + SUMIFS('Data For Calculation - Insuranc'!I:I,'Data For Calculation - Insuranc'!$A:$A,$A22,'Data For Calculation - Insuranc'!$H:$H,"Self")</f>
        <v>0</v>
      </c>
      <c r="CE22" s="33">
        <f>IF($CK22 = "Dealer", SUMIFS('Data For Calculation - Insuranc'!J:J,'Data For Calculation - Insuranc'!$B:$B,$A22,'Data For Calculation - Insuranc'!$H:$H,"Master Dealer")) + SUMIFS('Data For Calculation - Insuranc'!J:J,'Data For Calculation - Insuranc'!$A:$A,$A22,'Data For Calculation - Insuranc'!$H:$H,"Self")</f>
        <v>0</v>
      </c>
      <c r="CF22" s="33">
        <f>IF($CK22 = "Dealer", SUMIFS('Data For Calculation - Insuranc'!K:K,'Data For Calculation - Insuranc'!$B:$B,$A22,'Data For Calculation - Insuranc'!$H:$H,"Master Dealer")) + SUMIFS('Data For Calculation - Insuranc'!K:K,'Data For Calculation - Insuranc'!$A:$A,$A22,'Data For Calculation - Insuranc'!$H:$H,"Self")</f>
        <v>0</v>
      </c>
      <c r="CG22" s="25" t="str">
        <f>(Sheet1!N22)</f>
        <v>Singla Auto Agencies (Noida)</v>
      </c>
      <c r="CH22" s="25" t="str">
        <f>(Sheet1!O22)</f>
        <v>1aig_7rzTvnQej6pxtLbGhfZNPUH2VLzHk2NHcxmPOhg</v>
      </c>
      <c r="CI22" s="25" t="str">
        <f>(Sheet1!AV22)</f>
        <v/>
      </c>
      <c r="CJ22" s="25" t="str">
        <f>(Sheet1!AW22)</f>
        <v/>
      </c>
      <c r="CK22" s="26" t="str">
        <f>(Sheet1!P22)</f>
        <v>Sub Dealer</v>
      </c>
    </row>
    <row r="23">
      <c r="A23" s="25" t="str">
        <f>(Sheet1!A23)</f>
        <v>1RySEyS05cXvVcjfIhWh9Hhv1aLw7DmuiSqcsr3PfWVo</v>
      </c>
      <c r="B23" s="25" t="str">
        <f>(Sheet1!B23)</f>
        <v>Atmaram HERO</v>
      </c>
      <c r="C23" s="30" t="str">
        <f>Sheet1!BB23</f>
        <v>No</v>
      </c>
      <c r="D23" s="30" t="s">
        <v>13</v>
      </c>
      <c r="E23" s="34" t="s">
        <v>13</v>
      </c>
      <c r="F23" s="34" t="s">
        <v>3929</v>
      </c>
      <c r="G23" s="42" t="s">
        <v>3820</v>
      </c>
      <c r="H23" s="43">
        <v>460.0</v>
      </c>
      <c r="I23" s="42" t="s">
        <v>3853</v>
      </c>
      <c r="J23" s="43">
        <v>0.0</v>
      </c>
      <c r="K23" s="43">
        <v>100.0</v>
      </c>
      <c r="L23" s="43">
        <v>0.0</v>
      </c>
      <c r="M23" s="43">
        <v>0.0</v>
      </c>
      <c r="N23" s="33">
        <f>COUNTIFS('Data For Calculation - Insuranc'!A:A,A23,'Data For Calculation - Insuranc'!D:D,"Individual",'Data For Calculation - Insuranc'!E:E,"Bundled - 1 Year OD + 5 Year TP")</f>
        <v>0</v>
      </c>
      <c r="O23" s="34" t="s">
        <v>3930</v>
      </c>
      <c r="P23" s="42" t="s">
        <v>3820</v>
      </c>
      <c r="Q23" s="43">
        <v>460.0</v>
      </c>
      <c r="R23" s="42" t="s">
        <v>3853</v>
      </c>
      <c r="S23" s="43">
        <v>0.0</v>
      </c>
      <c r="T23" s="43">
        <v>100.0</v>
      </c>
      <c r="U23" s="43">
        <v>0.0</v>
      </c>
      <c r="V23" s="43">
        <v>0.0</v>
      </c>
      <c r="W23" s="33">
        <f>COUNTIFS('Data For Calculation - Insuranc'!A:A,A23,'Data For Calculation - Insuranc'!D:D,"Company",'Data For Calculation - Insuranc'!E:E,"Bundled - 1 Year OD + 5 Year TP")</f>
        <v>0</v>
      </c>
      <c r="X23" s="34" t="s">
        <v>3929</v>
      </c>
      <c r="Y23" s="42" t="s">
        <v>3820</v>
      </c>
      <c r="Z23" s="31">
        <v>290.0</v>
      </c>
      <c r="AA23" s="34" t="s">
        <v>3853</v>
      </c>
      <c r="AB23" s="34">
        <v>0.0</v>
      </c>
      <c r="AC23" s="34">
        <v>100.0</v>
      </c>
      <c r="AD23" s="34">
        <v>0.0</v>
      </c>
      <c r="AE23" s="34">
        <v>0.0</v>
      </c>
      <c r="AF23" s="33">
        <f>COUNTIFS('Data For Calculation - Insuranc'!A:A,A23,'Data For Calculation - Insuranc'!D:D,"Individual",'Data For Calculation - Insuranc'!E:E,"Rollover Comprehensive - 1 Year OD + 1 Year TP")</f>
        <v>0</v>
      </c>
      <c r="AG23" s="34" t="s">
        <v>3930</v>
      </c>
      <c r="AH23" s="42" t="s">
        <v>3820</v>
      </c>
      <c r="AI23" s="31">
        <v>290.0</v>
      </c>
      <c r="AJ23" s="34" t="s">
        <v>3853</v>
      </c>
      <c r="AK23" s="34">
        <v>0.0</v>
      </c>
      <c r="AL23" s="34">
        <v>100.0</v>
      </c>
      <c r="AM23" s="34">
        <v>0.0</v>
      </c>
      <c r="AN23" s="34">
        <v>0.0</v>
      </c>
      <c r="AO23" s="33">
        <f>COUNTIFS('Data For Calculation - Insuranc'!A:A,A23,'Data For Calculation - Insuranc'!D:D,"Company",'Data For Calculation - Insuranc'!E:E,"Rollover Comprehensive - 1 Year OD + 1 Year TP")</f>
        <v>0</v>
      </c>
      <c r="AP23" s="34" t="s">
        <v>3931</v>
      </c>
      <c r="AQ23" s="42" t="s">
        <v>3820</v>
      </c>
      <c r="AR23" s="31">
        <v>290.0</v>
      </c>
      <c r="AS23" s="34" t="s">
        <v>3853</v>
      </c>
      <c r="AT23" s="34">
        <v>0.0</v>
      </c>
      <c r="AU23" s="34">
        <v>100.0</v>
      </c>
      <c r="AV23" s="34">
        <v>0.0</v>
      </c>
      <c r="AW23" s="34">
        <v>0.0</v>
      </c>
      <c r="AX23" s="33">
        <f>COUNTIFS('Data For Calculation - Insuranc'!A:A,A23,'Data For Calculation - Insuranc'!D:D,"Individual",'Data For Calculation - Insuranc'!E:E,"Rollover - 1 Year OD Only")</f>
        <v>0</v>
      </c>
      <c r="AY23" s="34" t="s">
        <v>3932</v>
      </c>
      <c r="AZ23" s="42" t="s">
        <v>3820</v>
      </c>
      <c r="BA23" s="31">
        <v>290.0</v>
      </c>
      <c r="BB23" s="34" t="s">
        <v>3853</v>
      </c>
      <c r="BC23" s="34">
        <v>0.0</v>
      </c>
      <c r="BD23" s="34">
        <v>100.0</v>
      </c>
      <c r="BE23" s="34">
        <v>0.0</v>
      </c>
      <c r="BF23" s="34">
        <v>0.0</v>
      </c>
      <c r="BG23" s="33">
        <f>COUNTIFS('Data For Calculation - Insuranc'!A:A,A23,'Data For Calculation - Insuranc'!D:D,"Company",'Data For Calculation - Insuranc'!E:E,"Rollover - 1 Year OD Only")</f>
        <v>0</v>
      </c>
      <c r="BH23" s="34" t="s">
        <v>3931</v>
      </c>
      <c r="BI23" s="42" t="s">
        <v>3820</v>
      </c>
      <c r="BJ23" s="31">
        <v>290.0</v>
      </c>
      <c r="BK23" s="34" t="s">
        <v>3853</v>
      </c>
      <c r="BL23" s="34">
        <v>0.0</v>
      </c>
      <c r="BM23" s="34">
        <v>100.0</v>
      </c>
      <c r="BN23" s="34">
        <v>0.0</v>
      </c>
      <c r="BO23" s="34">
        <v>0.0</v>
      </c>
      <c r="BP23" s="33">
        <f>COUNTIFS('Data For Calculation - Insuranc'!A:A,A23,'Data For Calculation - Insuranc'!D:D,"Individual",'Data For Calculation - Insuranc'!E:E,"Rollover - 1 Year TP Only")</f>
        <v>0</v>
      </c>
      <c r="BQ23" s="34" t="s">
        <v>3932</v>
      </c>
      <c r="BR23" s="42" t="s">
        <v>3820</v>
      </c>
      <c r="BS23" s="31">
        <v>290.0</v>
      </c>
      <c r="BT23" s="34" t="s">
        <v>3853</v>
      </c>
      <c r="BU23" s="34">
        <v>0.0</v>
      </c>
      <c r="BV23" s="34">
        <v>100.0</v>
      </c>
      <c r="BW23" s="34">
        <v>0.0</v>
      </c>
      <c r="BX23" s="34">
        <v>0.0</v>
      </c>
      <c r="BY23" s="33">
        <f>COUNTIFS('Data For Calculation - Insuranc'!A:A,A23,'Data For Calculation - Insuranc'!D:D,"Company",'Data For Calculation - Insuranc'!E:E,"Rollover - 1 Year TP Only")</f>
        <v>0</v>
      </c>
      <c r="BZ23" s="31">
        <f t="shared" si="1"/>
        <v>0</v>
      </c>
      <c r="CA23" s="33">
        <f>SUMIFS('Data For Calculation - Insuranc'!I:I,'Data For Calculation - Insuranc'!$A:$A,$A23)</f>
        <v>0</v>
      </c>
      <c r="CB23" s="33">
        <f>SUMIFS('Data For Calculation - Insuranc'!J:J,'Data For Calculation - Insuranc'!$A:$A,$A23)</f>
        <v>0</v>
      </c>
      <c r="CC23" s="33">
        <f>SUMIFS('Data For Calculation - Insuranc'!K:K,'Data For Calculation - Insuranc'!$A:$A,$A23)</f>
        <v>0</v>
      </c>
      <c r="CD23" s="33">
        <f>IF($CK23 = "Dealer", SUMIFS('Data For Calculation - Insuranc'!I:I,'Data For Calculation - Insuranc'!$B:$B,$A23,'Data For Calculation - Insuranc'!$H:$H,"Master Dealer")) + SUMIFS('Data For Calculation - Insuranc'!I:I,'Data For Calculation - Insuranc'!$A:$A,$A23,'Data For Calculation - Insuranc'!$H:$H,"Self")</f>
        <v>0</v>
      </c>
      <c r="CE23" s="33">
        <f>IF($CK23 = "Dealer", SUMIFS('Data For Calculation - Insuranc'!J:J,'Data For Calculation - Insuranc'!$B:$B,$A23,'Data For Calculation - Insuranc'!$H:$H,"Master Dealer")) + SUMIFS('Data For Calculation - Insuranc'!J:J,'Data For Calculation - Insuranc'!$A:$A,$A23,'Data For Calculation - Insuranc'!$H:$H,"Self")</f>
        <v>0</v>
      </c>
      <c r="CF23" s="33">
        <f>IF($CK23 = "Dealer", SUMIFS('Data For Calculation - Insuranc'!K:K,'Data For Calculation - Insuranc'!$B:$B,$A23,'Data For Calculation - Insuranc'!$H:$H,"Master Dealer")) + SUMIFS('Data For Calculation - Insuranc'!K:K,'Data For Calculation - Insuranc'!$A:$A,$A23,'Data For Calculation - Insuranc'!$H:$H,"Self")</f>
        <v>0</v>
      </c>
      <c r="CG23" s="25" t="str">
        <f>(Sheet1!N23)</f>
        <v>Atmaram HERO</v>
      </c>
      <c r="CH23" s="25" t="str">
        <f>(Sheet1!O23)</f>
        <v>1RySEyS05cXvVcjfIhWh9Hhv1aLw7DmuiSqcsr3PfWVo</v>
      </c>
      <c r="CI23" s="25" t="str">
        <f>(Sheet1!AV23)</f>
        <v/>
      </c>
      <c r="CJ23" s="25" t="str">
        <f>(Sheet1!AW23)</f>
        <v/>
      </c>
      <c r="CK23" s="26" t="str">
        <f>(Sheet1!P23)</f>
        <v>Dealer</v>
      </c>
    </row>
    <row r="24">
      <c r="A24" s="25" t="str">
        <f>(Sheet1!A24)</f>
        <v>1mkGLSaVL5-IAXKq9KqXFgJH64Li9oMA9V0u_seCn1jg</v>
      </c>
      <c r="B24" s="25" t="str">
        <f>(Sheet1!B24)</f>
        <v>Maharaja Autoworld</v>
      </c>
      <c r="C24" s="30" t="str">
        <f>Sheet1!BB24</f>
        <v>No</v>
      </c>
      <c r="D24" s="30" t="s">
        <v>13</v>
      </c>
      <c r="E24" s="34" t="s">
        <v>13</v>
      </c>
      <c r="F24" s="34" t="s">
        <v>3929</v>
      </c>
      <c r="G24" s="42" t="s">
        <v>3820</v>
      </c>
      <c r="H24" s="43">
        <v>170.0</v>
      </c>
      <c r="I24" s="42" t="s">
        <v>3853</v>
      </c>
      <c r="J24" s="43">
        <v>0.0</v>
      </c>
      <c r="K24" s="43">
        <v>100.0</v>
      </c>
      <c r="L24" s="43">
        <v>0.0</v>
      </c>
      <c r="M24" s="43">
        <v>0.0</v>
      </c>
      <c r="N24" s="33">
        <f>COUNTIFS('Data For Calculation - Insuranc'!A:A,A24,'Data For Calculation - Insuranc'!D:D,"Individual",'Data For Calculation - Insuranc'!E:E,"Bundled - 1 Year OD + 5 Year TP")</f>
        <v>0</v>
      </c>
      <c r="O24" s="34" t="s">
        <v>3930</v>
      </c>
      <c r="P24" s="42" t="s">
        <v>3820</v>
      </c>
      <c r="Q24" s="43">
        <v>170.0</v>
      </c>
      <c r="R24" s="42" t="s">
        <v>3853</v>
      </c>
      <c r="S24" s="43">
        <v>0.0</v>
      </c>
      <c r="T24" s="43">
        <v>100.0</v>
      </c>
      <c r="U24" s="43">
        <v>0.0</v>
      </c>
      <c r="V24" s="43">
        <v>0.0</v>
      </c>
      <c r="W24" s="33">
        <f>COUNTIFS('Data For Calculation - Insuranc'!A:A,A24,'Data For Calculation - Insuranc'!D:D,"Company",'Data For Calculation - Insuranc'!E:E,"Bundled - 1 Year OD + 5 Year TP")</f>
        <v>0</v>
      </c>
      <c r="X24" s="34" t="s">
        <v>3929</v>
      </c>
      <c r="Y24" s="42" t="s">
        <v>3820</v>
      </c>
      <c r="Z24" s="31">
        <v>170.0</v>
      </c>
      <c r="AA24" s="34" t="s">
        <v>3853</v>
      </c>
      <c r="AB24" s="34">
        <v>0.0</v>
      </c>
      <c r="AC24" s="34">
        <v>100.0</v>
      </c>
      <c r="AD24" s="34">
        <v>0.0</v>
      </c>
      <c r="AE24" s="34">
        <v>0.0</v>
      </c>
      <c r="AF24" s="33">
        <f>COUNTIFS('Data For Calculation - Insuranc'!A:A,A24,'Data For Calculation - Insuranc'!D:D,"Individual",'Data For Calculation - Insuranc'!E:E,"Rollover Comprehensive - 1 Year OD + 1 Year TP")</f>
        <v>0</v>
      </c>
      <c r="AG24" s="34" t="s">
        <v>3930</v>
      </c>
      <c r="AH24" s="42" t="s">
        <v>3820</v>
      </c>
      <c r="AI24" s="31">
        <v>170.0</v>
      </c>
      <c r="AJ24" s="34" t="s">
        <v>3853</v>
      </c>
      <c r="AK24" s="34">
        <v>0.0</v>
      </c>
      <c r="AL24" s="34">
        <v>100.0</v>
      </c>
      <c r="AM24" s="34">
        <v>0.0</v>
      </c>
      <c r="AN24" s="34">
        <v>0.0</v>
      </c>
      <c r="AO24" s="33">
        <f>COUNTIFS('Data For Calculation - Insuranc'!A:A,A24,'Data For Calculation - Insuranc'!D:D,"Company",'Data For Calculation - Insuranc'!E:E,"Rollover Comprehensive - 1 Year OD + 1 Year TP")</f>
        <v>0</v>
      </c>
      <c r="AP24" s="34" t="s">
        <v>3931</v>
      </c>
      <c r="AQ24" s="42" t="s">
        <v>3820</v>
      </c>
      <c r="AR24" s="31">
        <v>170.0</v>
      </c>
      <c r="AS24" s="34" t="s">
        <v>3853</v>
      </c>
      <c r="AT24" s="34">
        <v>0.0</v>
      </c>
      <c r="AU24" s="34">
        <v>100.0</v>
      </c>
      <c r="AV24" s="34">
        <v>0.0</v>
      </c>
      <c r="AW24" s="34">
        <v>0.0</v>
      </c>
      <c r="AX24" s="33">
        <f>COUNTIFS('Data For Calculation - Insuranc'!A:A,A24,'Data For Calculation - Insuranc'!D:D,"Individual",'Data For Calculation - Insuranc'!E:E,"Rollover - 1 Year OD Only")</f>
        <v>0</v>
      </c>
      <c r="AY24" s="34" t="s">
        <v>3932</v>
      </c>
      <c r="AZ24" s="42" t="s">
        <v>3820</v>
      </c>
      <c r="BA24" s="31">
        <v>170.0</v>
      </c>
      <c r="BB24" s="34" t="s">
        <v>3853</v>
      </c>
      <c r="BC24" s="34">
        <v>0.0</v>
      </c>
      <c r="BD24" s="34">
        <v>100.0</v>
      </c>
      <c r="BE24" s="34">
        <v>0.0</v>
      </c>
      <c r="BF24" s="34">
        <v>0.0</v>
      </c>
      <c r="BG24" s="33">
        <f>COUNTIFS('Data For Calculation - Insuranc'!A:A,A24,'Data For Calculation - Insuranc'!D:D,"Company",'Data For Calculation - Insuranc'!E:E,"Rollover - 1 Year OD Only")</f>
        <v>0</v>
      </c>
      <c r="BH24" s="34" t="s">
        <v>3931</v>
      </c>
      <c r="BI24" s="42" t="s">
        <v>3820</v>
      </c>
      <c r="BJ24" s="31">
        <v>170.0</v>
      </c>
      <c r="BK24" s="34" t="s">
        <v>3853</v>
      </c>
      <c r="BL24" s="34">
        <v>0.0</v>
      </c>
      <c r="BM24" s="34">
        <v>100.0</v>
      </c>
      <c r="BN24" s="34">
        <v>0.0</v>
      </c>
      <c r="BO24" s="34">
        <v>0.0</v>
      </c>
      <c r="BP24" s="33">
        <f>COUNTIFS('Data For Calculation - Insuranc'!A:A,A24,'Data For Calculation - Insuranc'!D:D,"Individual",'Data For Calculation - Insuranc'!E:E,"Rollover - 1 Year TP Only")</f>
        <v>0</v>
      </c>
      <c r="BQ24" s="34" t="s">
        <v>3932</v>
      </c>
      <c r="BR24" s="42" t="s">
        <v>3820</v>
      </c>
      <c r="BS24" s="31">
        <v>170.0</v>
      </c>
      <c r="BT24" s="34" t="s">
        <v>3853</v>
      </c>
      <c r="BU24" s="34">
        <v>0.0</v>
      </c>
      <c r="BV24" s="34">
        <v>100.0</v>
      </c>
      <c r="BW24" s="34">
        <v>0.0</v>
      </c>
      <c r="BX24" s="34">
        <v>0.0</v>
      </c>
      <c r="BY24" s="33">
        <f>COUNTIFS('Data For Calculation - Insuranc'!A:A,A24,'Data For Calculation - Insuranc'!D:D,"Company",'Data For Calculation - Insuranc'!E:E,"Rollover - 1 Year TP Only")</f>
        <v>0</v>
      </c>
      <c r="BZ24" s="31">
        <f t="shared" si="1"/>
        <v>0</v>
      </c>
      <c r="CA24" s="33">
        <f>SUMIFS('Data For Calculation - Insuranc'!I:I,'Data For Calculation - Insuranc'!$A:$A,$A24)</f>
        <v>0</v>
      </c>
      <c r="CB24" s="33">
        <f>SUMIFS('Data For Calculation - Insuranc'!J:J,'Data For Calculation - Insuranc'!$A:$A,$A24)</f>
        <v>0</v>
      </c>
      <c r="CC24" s="33">
        <f>SUMIFS('Data For Calculation - Insuranc'!K:K,'Data For Calculation - Insuranc'!$A:$A,$A24)</f>
        <v>0</v>
      </c>
      <c r="CD24" s="33">
        <f>IF($CK24 = "Dealer", SUMIFS('Data For Calculation - Insuranc'!I:I,'Data For Calculation - Insuranc'!$B:$B,$A24,'Data For Calculation - Insuranc'!$H:$H,"Master Dealer")) + SUMIFS('Data For Calculation - Insuranc'!I:I,'Data For Calculation - Insuranc'!$A:$A,$A24,'Data For Calculation - Insuranc'!$H:$H,"Self")</f>
        <v>0</v>
      </c>
      <c r="CE24" s="33">
        <f>IF($CK24 = "Dealer", SUMIFS('Data For Calculation - Insuranc'!J:J,'Data For Calculation - Insuranc'!$B:$B,$A24,'Data For Calculation - Insuranc'!$H:$H,"Master Dealer")) + SUMIFS('Data For Calculation - Insuranc'!J:J,'Data For Calculation - Insuranc'!$A:$A,$A24,'Data For Calculation - Insuranc'!$H:$H,"Self")</f>
        <v>0</v>
      </c>
      <c r="CF24" s="33">
        <f>IF($CK24 = "Dealer", SUMIFS('Data For Calculation - Insuranc'!K:K,'Data For Calculation - Insuranc'!$B:$B,$A24,'Data For Calculation - Insuranc'!$H:$H,"Master Dealer")) + SUMIFS('Data For Calculation - Insuranc'!K:K,'Data For Calculation - Insuranc'!$A:$A,$A24,'Data For Calculation - Insuranc'!$H:$H,"Self")</f>
        <v>0</v>
      </c>
      <c r="CG24" s="25" t="str">
        <f>(Sheet1!N24)</f>
        <v>Maharaja Autoworld</v>
      </c>
      <c r="CH24" s="25" t="str">
        <f>(Sheet1!O24)</f>
        <v>1mkGLSaVL5-IAXKq9KqXFgJH64Li9oMA9V0u_seCn1jg</v>
      </c>
      <c r="CI24" s="25" t="str">
        <f>(Sheet1!AV24)</f>
        <v/>
      </c>
      <c r="CJ24" s="25" t="str">
        <f>(Sheet1!AW24)</f>
        <v/>
      </c>
      <c r="CK24" s="26" t="str">
        <f>(Sheet1!P24)</f>
        <v>Dealer</v>
      </c>
    </row>
    <row r="25">
      <c r="A25" s="25" t="str">
        <f>(Sheet1!A25)</f>
        <v>1zcLyE9iYZSiWbBeptOlHKDUHdbuB0nnxanzAjCJdWSI</v>
      </c>
      <c r="B25" s="25" t="str">
        <f>(Sheet1!B25)</f>
        <v>G.S.TVS</v>
      </c>
      <c r="C25" s="30" t="str">
        <f>Sheet1!BB25</f>
        <v>No</v>
      </c>
      <c r="D25" s="30" t="s">
        <v>13</v>
      </c>
      <c r="E25" s="34" t="s">
        <v>13</v>
      </c>
      <c r="F25" s="34" t="s">
        <v>3929</v>
      </c>
      <c r="G25" s="42" t="s">
        <v>3817</v>
      </c>
      <c r="H25" s="43">
        <v>460.0</v>
      </c>
      <c r="I25" s="42" t="s">
        <v>3853</v>
      </c>
      <c r="J25" s="43">
        <v>0.0</v>
      </c>
      <c r="K25" s="43">
        <v>100.0</v>
      </c>
      <c r="L25" s="43">
        <v>0.0</v>
      </c>
      <c r="M25" s="43">
        <v>0.0</v>
      </c>
      <c r="N25" s="33">
        <f>COUNTIFS('Data For Calculation - Insuranc'!A:A,A25,'Data For Calculation - Insuranc'!D:D,"Individual",'Data For Calculation - Insuranc'!E:E,"Bundled - 1 Year OD + 5 Year TP")</f>
        <v>0</v>
      </c>
      <c r="O25" s="34" t="s">
        <v>3930</v>
      </c>
      <c r="P25" s="42" t="s">
        <v>3817</v>
      </c>
      <c r="Q25" s="43">
        <v>460.0</v>
      </c>
      <c r="R25" s="42" t="s">
        <v>3853</v>
      </c>
      <c r="S25" s="43">
        <v>0.0</v>
      </c>
      <c r="T25" s="43">
        <v>100.0</v>
      </c>
      <c r="U25" s="43">
        <v>0.0</v>
      </c>
      <c r="V25" s="43">
        <v>0.0</v>
      </c>
      <c r="W25" s="33">
        <f>COUNTIFS('Data For Calculation - Insuranc'!A:A,A25,'Data For Calculation - Insuranc'!D:D,"Company",'Data For Calculation - Insuranc'!E:E,"Bundled - 1 Year OD + 5 Year TP")</f>
        <v>0</v>
      </c>
      <c r="X25" s="34" t="s">
        <v>3929</v>
      </c>
      <c r="Y25" s="42" t="s">
        <v>3817</v>
      </c>
      <c r="Z25" s="31">
        <v>290.0</v>
      </c>
      <c r="AA25" s="34" t="s">
        <v>3853</v>
      </c>
      <c r="AB25" s="34">
        <v>0.0</v>
      </c>
      <c r="AC25" s="34">
        <v>100.0</v>
      </c>
      <c r="AD25" s="34">
        <v>0.0</v>
      </c>
      <c r="AE25" s="34">
        <v>0.0</v>
      </c>
      <c r="AF25" s="33">
        <f>COUNTIFS('Data For Calculation - Insuranc'!A:A,A25,'Data For Calculation - Insuranc'!D:D,"Individual",'Data For Calculation - Insuranc'!E:E,"Rollover Comprehensive - 1 Year OD + 1 Year TP")</f>
        <v>0</v>
      </c>
      <c r="AG25" s="34" t="s">
        <v>3930</v>
      </c>
      <c r="AH25" s="42" t="s">
        <v>3817</v>
      </c>
      <c r="AI25" s="31">
        <v>290.0</v>
      </c>
      <c r="AJ25" s="34" t="s">
        <v>3853</v>
      </c>
      <c r="AK25" s="34">
        <v>0.0</v>
      </c>
      <c r="AL25" s="34">
        <v>100.0</v>
      </c>
      <c r="AM25" s="34">
        <v>0.0</v>
      </c>
      <c r="AN25" s="34">
        <v>0.0</v>
      </c>
      <c r="AO25" s="33">
        <f>COUNTIFS('Data For Calculation - Insuranc'!A:A,A25,'Data For Calculation - Insuranc'!D:D,"Company",'Data For Calculation - Insuranc'!E:E,"Rollover Comprehensive - 1 Year OD + 1 Year TP")</f>
        <v>0</v>
      </c>
      <c r="AP25" s="34" t="s">
        <v>3931</v>
      </c>
      <c r="AQ25" s="42" t="s">
        <v>3817</v>
      </c>
      <c r="AR25" s="31">
        <v>290.0</v>
      </c>
      <c r="AS25" s="34" t="s">
        <v>3853</v>
      </c>
      <c r="AT25" s="34">
        <v>0.0</v>
      </c>
      <c r="AU25" s="34">
        <v>100.0</v>
      </c>
      <c r="AV25" s="34">
        <v>0.0</v>
      </c>
      <c r="AW25" s="34">
        <v>0.0</v>
      </c>
      <c r="AX25" s="33">
        <f>COUNTIFS('Data For Calculation - Insuranc'!A:A,A25,'Data For Calculation - Insuranc'!D:D,"Individual",'Data For Calculation - Insuranc'!E:E,"Rollover - 1 Year OD Only")</f>
        <v>0</v>
      </c>
      <c r="AY25" s="34" t="s">
        <v>3932</v>
      </c>
      <c r="AZ25" s="42" t="s">
        <v>3817</v>
      </c>
      <c r="BA25" s="31">
        <v>290.0</v>
      </c>
      <c r="BB25" s="34" t="s">
        <v>3853</v>
      </c>
      <c r="BC25" s="34">
        <v>0.0</v>
      </c>
      <c r="BD25" s="34">
        <v>100.0</v>
      </c>
      <c r="BE25" s="34">
        <v>0.0</v>
      </c>
      <c r="BF25" s="34">
        <v>0.0</v>
      </c>
      <c r="BG25" s="33">
        <f>COUNTIFS('Data For Calculation - Insuranc'!A:A,A25,'Data For Calculation - Insuranc'!D:D,"Company",'Data For Calculation - Insuranc'!E:E,"Rollover - 1 Year OD Only")</f>
        <v>0</v>
      </c>
      <c r="BH25" s="34" t="s">
        <v>3931</v>
      </c>
      <c r="BI25" s="42" t="s">
        <v>3817</v>
      </c>
      <c r="BJ25" s="31">
        <v>290.0</v>
      </c>
      <c r="BK25" s="34" t="s">
        <v>3853</v>
      </c>
      <c r="BL25" s="34">
        <v>0.0</v>
      </c>
      <c r="BM25" s="34">
        <v>100.0</v>
      </c>
      <c r="BN25" s="34">
        <v>0.0</v>
      </c>
      <c r="BO25" s="34">
        <v>0.0</v>
      </c>
      <c r="BP25" s="33">
        <f>COUNTIFS('Data For Calculation - Insuranc'!A:A,A25,'Data For Calculation - Insuranc'!D:D,"Individual",'Data For Calculation - Insuranc'!E:E,"Rollover - 1 Year TP Only")</f>
        <v>0</v>
      </c>
      <c r="BQ25" s="34" t="s">
        <v>3932</v>
      </c>
      <c r="BR25" s="42" t="s">
        <v>3817</v>
      </c>
      <c r="BS25" s="31">
        <v>290.0</v>
      </c>
      <c r="BT25" s="34" t="s">
        <v>3853</v>
      </c>
      <c r="BU25" s="34">
        <v>0.0</v>
      </c>
      <c r="BV25" s="34">
        <v>100.0</v>
      </c>
      <c r="BW25" s="34">
        <v>0.0</v>
      </c>
      <c r="BX25" s="34">
        <v>0.0</v>
      </c>
      <c r="BY25" s="33">
        <f>COUNTIFS('Data For Calculation - Insuranc'!A:A,A25,'Data For Calculation - Insuranc'!D:D,"Company",'Data For Calculation - Insuranc'!E:E,"Rollover - 1 Year TP Only")</f>
        <v>0</v>
      </c>
      <c r="BZ25" s="31">
        <f t="shared" si="1"/>
        <v>0</v>
      </c>
      <c r="CA25" s="33">
        <f>SUMIFS('Data For Calculation - Insuranc'!I:I,'Data For Calculation - Insuranc'!$A:$A,$A25)</f>
        <v>0</v>
      </c>
      <c r="CB25" s="33">
        <f>SUMIFS('Data For Calculation - Insuranc'!J:J,'Data For Calculation - Insuranc'!$A:$A,$A25)</f>
        <v>0</v>
      </c>
      <c r="CC25" s="33">
        <f>SUMIFS('Data For Calculation - Insuranc'!K:K,'Data For Calculation - Insuranc'!$A:$A,$A25)</f>
        <v>0</v>
      </c>
      <c r="CD25" s="33">
        <f>IF($CK25 = "Dealer", SUMIFS('Data For Calculation - Insuranc'!I:I,'Data For Calculation - Insuranc'!$B:$B,$A25,'Data For Calculation - Insuranc'!$H:$H,"Master Dealer")) + SUMIFS('Data For Calculation - Insuranc'!I:I,'Data For Calculation - Insuranc'!$A:$A,$A25,'Data For Calculation - Insuranc'!$H:$H,"Self")</f>
        <v>0</v>
      </c>
      <c r="CE25" s="33">
        <f>IF($CK25 = "Dealer", SUMIFS('Data For Calculation - Insuranc'!J:J,'Data For Calculation - Insuranc'!$B:$B,$A25,'Data For Calculation - Insuranc'!$H:$H,"Master Dealer")) + SUMIFS('Data For Calculation - Insuranc'!J:J,'Data For Calculation - Insuranc'!$A:$A,$A25,'Data For Calculation - Insuranc'!$H:$H,"Self")</f>
        <v>0</v>
      </c>
      <c r="CF25" s="33">
        <f>IF($CK25 = "Dealer", SUMIFS('Data For Calculation - Insuranc'!K:K,'Data For Calculation - Insuranc'!$B:$B,$A25,'Data For Calculation - Insuranc'!$H:$H,"Master Dealer")) + SUMIFS('Data For Calculation - Insuranc'!K:K,'Data For Calculation - Insuranc'!$A:$A,$A25,'Data For Calculation - Insuranc'!$H:$H,"Self")</f>
        <v>0</v>
      </c>
      <c r="CG25" s="25" t="str">
        <f>(Sheet1!N25)</f>
        <v>G.S.TVS</v>
      </c>
      <c r="CH25" s="25" t="str">
        <f>(Sheet1!O25)</f>
        <v>1zcLyE9iYZSiWbBeptOlHKDUHdbuB0nnxanzAjCJdWSI</v>
      </c>
      <c r="CI25" s="25" t="str">
        <f>(Sheet1!AV25)</f>
        <v/>
      </c>
      <c r="CJ25" s="25" t="str">
        <f>(Sheet1!AW25)</f>
        <v/>
      </c>
      <c r="CK25" s="26" t="str">
        <f>(Sheet1!P25)</f>
        <v>Dealer</v>
      </c>
    </row>
    <row r="26">
      <c r="A26" s="25" t="str">
        <f>(Sheet1!A26)</f>
        <v>1LnxzSZR-Hn1GFJEM91CqSDi8yQ1-11OqyVT04QUkFAM</v>
      </c>
      <c r="B26" s="25" t="str">
        <f>(Sheet1!B26)</f>
        <v>Shri Durga Motors</v>
      </c>
      <c r="C26" s="30" t="str">
        <f>Sheet1!BB26</f>
        <v>No</v>
      </c>
      <c r="D26" s="30" t="s">
        <v>13</v>
      </c>
      <c r="E26" s="34" t="s">
        <v>13</v>
      </c>
      <c r="F26" s="34" t="s">
        <v>3929</v>
      </c>
      <c r="G26" s="42" t="s">
        <v>3820</v>
      </c>
      <c r="H26" s="43">
        <v>460.0</v>
      </c>
      <c r="I26" s="42" t="s">
        <v>3853</v>
      </c>
      <c r="J26" s="43">
        <v>0.0</v>
      </c>
      <c r="K26" s="43">
        <v>100.0</v>
      </c>
      <c r="L26" s="43">
        <v>0.0</v>
      </c>
      <c r="M26" s="43">
        <v>0.0</v>
      </c>
      <c r="N26" s="33">
        <f>COUNTIFS('Data For Calculation - Insuranc'!A:A,A26,'Data For Calculation - Insuranc'!D:D,"Individual",'Data For Calculation - Insuranc'!E:E,"Bundled - 1 Year OD + 5 Year TP")</f>
        <v>0</v>
      </c>
      <c r="O26" s="34" t="s">
        <v>3930</v>
      </c>
      <c r="P26" s="42" t="s">
        <v>3820</v>
      </c>
      <c r="Q26" s="43">
        <v>460.0</v>
      </c>
      <c r="R26" s="42" t="s">
        <v>3853</v>
      </c>
      <c r="S26" s="43">
        <v>0.0</v>
      </c>
      <c r="T26" s="43">
        <v>100.0</v>
      </c>
      <c r="U26" s="43">
        <v>0.0</v>
      </c>
      <c r="V26" s="43">
        <v>0.0</v>
      </c>
      <c r="W26" s="33">
        <f>COUNTIFS('Data For Calculation - Insuranc'!A:A,A26,'Data For Calculation - Insuranc'!D:D,"Company",'Data For Calculation - Insuranc'!E:E,"Bundled - 1 Year OD + 5 Year TP")</f>
        <v>0</v>
      </c>
      <c r="X26" s="34" t="s">
        <v>3929</v>
      </c>
      <c r="Y26" s="42" t="s">
        <v>3820</v>
      </c>
      <c r="Z26" s="31">
        <v>290.0</v>
      </c>
      <c r="AA26" s="34" t="s">
        <v>3853</v>
      </c>
      <c r="AB26" s="34">
        <v>0.0</v>
      </c>
      <c r="AC26" s="34">
        <v>100.0</v>
      </c>
      <c r="AD26" s="34">
        <v>0.0</v>
      </c>
      <c r="AE26" s="34">
        <v>0.0</v>
      </c>
      <c r="AF26" s="33">
        <f>COUNTIFS('Data For Calculation - Insuranc'!A:A,A26,'Data For Calculation - Insuranc'!D:D,"Individual",'Data For Calculation - Insuranc'!E:E,"Rollover Comprehensive - 1 Year OD + 1 Year TP")</f>
        <v>0</v>
      </c>
      <c r="AG26" s="34" t="s">
        <v>3930</v>
      </c>
      <c r="AH26" s="42" t="s">
        <v>3820</v>
      </c>
      <c r="AI26" s="31">
        <v>290.0</v>
      </c>
      <c r="AJ26" s="34" t="s">
        <v>3853</v>
      </c>
      <c r="AK26" s="34">
        <v>0.0</v>
      </c>
      <c r="AL26" s="34">
        <v>100.0</v>
      </c>
      <c r="AM26" s="34">
        <v>0.0</v>
      </c>
      <c r="AN26" s="34">
        <v>0.0</v>
      </c>
      <c r="AO26" s="33">
        <f>COUNTIFS('Data For Calculation - Insuranc'!A:A,A26,'Data For Calculation - Insuranc'!D:D,"Company",'Data For Calculation - Insuranc'!E:E,"Rollover Comprehensive - 1 Year OD + 1 Year TP")</f>
        <v>0</v>
      </c>
      <c r="AP26" s="34" t="s">
        <v>3931</v>
      </c>
      <c r="AQ26" s="42" t="s">
        <v>3820</v>
      </c>
      <c r="AR26" s="31">
        <v>290.0</v>
      </c>
      <c r="AS26" s="34" t="s">
        <v>3853</v>
      </c>
      <c r="AT26" s="34">
        <v>0.0</v>
      </c>
      <c r="AU26" s="34">
        <v>100.0</v>
      </c>
      <c r="AV26" s="34">
        <v>0.0</v>
      </c>
      <c r="AW26" s="34">
        <v>0.0</v>
      </c>
      <c r="AX26" s="33">
        <f>COUNTIFS('Data For Calculation - Insuranc'!A:A,A26,'Data For Calculation - Insuranc'!D:D,"Individual",'Data For Calculation - Insuranc'!E:E,"Rollover - 1 Year OD Only")</f>
        <v>0</v>
      </c>
      <c r="AY26" s="34" t="s">
        <v>3932</v>
      </c>
      <c r="AZ26" s="42" t="s">
        <v>3820</v>
      </c>
      <c r="BA26" s="31">
        <v>290.0</v>
      </c>
      <c r="BB26" s="34" t="s">
        <v>3853</v>
      </c>
      <c r="BC26" s="34">
        <v>0.0</v>
      </c>
      <c r="BD26" s="34">
        <v>100.0</v>
      </c>
      <c r="BE26" s="34">
        <v>0.0</v>
      </c>
      <c r="BF26" s="34">
        <v>0.0</v>
      </c>
      <c r="BG26" s="33">
        <f>COUNTIFS('Data For Calculation - Insuranc'!A:A,A26,'Data For Calculation - Insuranc'!D:D,"Company",'Data For Calculation - Insuranc'!E:E,"Rollover - 1 Year OD Only")</f>
        <v>0</v>
      </c>
      <c r="BH26" s="34" t="s">
        <v>3931</v>
      </c>
      <c r="BI26" s="42" t="s">
        <v>3820</v>
      </c>
      <c r="BJ26" s="31">
        <v>290.0</v>
      </c>
      <c r="BK26" s="34" t="s">
        <v>3853</v>
      </c>
      <c r="BL26" s="34">
        <v>0.0</v>
      </c>
      <c r="BM26" s="34">
        <v>100.0</v>
      </c>
      <c r="BN26" s="34">
        <v>0.0</v>
      </c>
      <c r="BO26" s="34">
        <v>0.0</v>
      </c>
      <c r="BP26" s="33">
        <f>COUNTIFS('Data For Calculation - Insuranc'!A:A,A26,'Data For Calculation - Insuranc'!D:D,"Individual",'Data For Calculation - Insuranc'!E:E,"Rollover - 1 Year TP Only")</f>
        <v>0</v>
      </c>
      <c r="BQ26" s="34" t="s">
        <v>3932</v>
      </c>
      <c r="BR26" s="42" t="s">
        <v>3820</v>
      </c>
      <c r="BS26" s="31">
        <v>290.0</v>
      </c>
      <c r="BT26" s="34" t="s">
        <v>3853</v>
      </c>
      <c r="BU26" s="34">
        <v>0.0</v>
      </c>
      <c r="BV26" s="34">
        <v>100.0</v>
      </c>
      <c r="BW26" s="34">
        <v>0.0</v>
      </c>
      <c r="BX26" s="34">
        <v>0.0</v>
      </c>
      <c r="BY26" s="33">
        <f>COUNTIFS('Data For Calculation - Insuranc'!A:A,A26,'Data For Calculation - Insuranc'!D:D,"Company",'Data For Calculation - Insuranc'!E:E,"Rollover - 1 Year TP Only")</f>
        <v>0</v>
      </c>
      <c r="BZ26" s="31">
        <f t="shared" si="1"/>
        <v>0</v>
      </c>
      <c r="CA26" s="33">
        <f>SUMIFS('Data For Calculation - Insuranc'!I:I,'Data For Calculation - Insuranc'!$A:$A,$A26)</f>
        <v>0</v>
      </c>
      <c r="CB26" s="33">
        <f>SUMIFS('Data For Calculation - Insuranc'!J:J,'Data For Calculation - Insuranc'!$A:$A,$A26)</f>
        <v>0</v>
      </c>
      <c r="CC26" s="33">
        <f>SUMIFS('Data For Calculation - Insuranc'!K:K,'Data For Calculation - Insuranc'!$A:$A,$A26)</f>
        <v>0</v>
      </c>
      <c r="CD26" s="33">
        <f>IF($CK26 = "Dealer", SUMIFS('Data For Calculation - Insuranc'!I:I,'Data For Calculation - Insuranc'!$B:$B,$A26,'Data For Calculation - Insuranc'!$H:$H,"Master Dealer")) + SUMIFS('Data For Calculation - Insuranc'!I:I,'Data For Calculation - Insuranc'!$A:$A,$A26,'Data For Calculation - Insuranc'!$H:$H,"Self")</f>
        <v>0</v>
      </c>
      <c r="CE26" s="33">
        <f>IF($CK26 = "Dealer", SUMIFS('Data For Calculation - Insuranc'!J:J,'Data For Calculation - Insuranc'!$B:$B,$A26,'Data For Calculation - Insuranc'!$H:$H,"Master Dealer")) + SUMIFS('Data For Calculation - Insuranc'!J:J,'Data For Calculation - Insuranc'!$A:$A,$A26,'Data For Calculation - Insuranc'!$H:$H,"Self")</f>
        <v>0</v>
      </c>
      <c r="CF26" s="33">
        <f>IF($CK26 = "Dealer", SUMIFS('Data For Calculation - Insuranc'!K:K,'Data For Calculation - Insuranc'!$B:$B,$A26,'Data For Calculation - Insuranc'!$H:$H,"Master Dealer")) + SUMIFS('Data For Calculation - Insuranc'!K:K,'Data For Calculation - Insuranc'!$A:$A,$A26,'Data For Calculation - Insuranc'!$H:$H,"Self")</f>
        <v>0</v>
      </c>
      <c r="CG26" s="25" t="str">
        <f>(Sheet1!N26)</f>
        <v>Shri Durga Motors</v>
      </c>
      <c r="CH26" s="25" t="str">
        <f>(Sheet1!O26)</f>
        <v>1LnxzSZR-Hn1GFJEM91CqSDi8yQ1-11OqyVT04QUkFAM</v>
      </c>
      <c r="CI26" s="25" t="str">
        <f>(Sheet1!AV26)</f>
        <v/>
      </c>
      <c r="CJ26" s="25" t="str">
        <f>(Sheet1!AW26)</f>
        <v/>
      </c>
      <c r="CK26" s="26" t="str">
        <f>(Sheet1!P26)</f>
        <v>Dealer</v>
      </c>
    </row>
    <row r="27">
      <c r="A27" s="25" t="str">
        <f>(Sheet1!A27)</f>
        <v>1ytBGcO8tIze81xKkAa9lWDcflthsPL6SuADAXbhmuwA</v>
      </c>
      <c r="B27" s="25" t="str">
        <f>(Sheet1!B27)</f>
        <v>Brij Biwheelers</v>
      </c>
      <c r="C27" s="30" t="str">
        <f>Sheet1!BB27</f>
        <v>No</v>
      </c>
      <c r="D27" s="30" t="s">
        <v>13</v>
      </c>
      <c r="E27" s="34" t="s">
        <v>13</v>
      </c>
      <c r="F27" s="34" t="s">
        <v>3929</v>
      </c>
      <c r="G27" s="42" t="s">
        <v>3820</v>
      </c>
      <c r="H27" s="43">
        <v>460.0</v>
      </c>
      <c r="I27" s="42" t="s">
        <v>3853</v>
      </c>
      <c r="J27" s="43">
        <v>0.0</v>
      </c>
      <c r="K27" s="43">
        <v>100.0</v>
      </c>
      <c r="L27" s="43">
        <v>0.0</v>
      </c>
      <c r="M27" s="43">
        <v>0.0</v>
      </c>
      <c r="N27" s="33">
        <f>COUNTIFS('Data For Calculation - Insuranc'!A:A,A27,'Data For Calculation - Insuranc'!D:D,"Individual",'Data For Calculation - Insuranc'!E:E,"Bundled - 1 Year OD + 5 Year TP")</f>
        <v>0</v>
      </c>
      <c r="O27" s="34" t="s">
        <v>3930</v>
      </c>
      <c r="P27" s="42" t="s">
        <v>3820</v>
      </c>
      <c r="Q27" s="43">
        <v>460.0</v>
      </c>
      <c r="R27" s="42" t="s">
        <v>3853</v>
      </c>
      <c r="S27" s="43">
        <v>0.0</v>
      </c>
      <c r="T27" s="43">
        <v>100.0</v>
      </c>
      <c r="U27" s="43">
        <v>0.0</v>
      </c>
      <c r="V27" s="43">
        <v>0.0</v>
      </c>
      <c r="W27" s="33">
        <f>COUNTIFS('Data For Calculation - Insuranc'!A:A,A27,'Data For Calculation - Insuranc'!D:D,"Company",'Data For Calculation - Insuranc'!E:E,"Bundled - 1 Year OD + 5 Year TP")</f>
        <v>0</v>
      </c>
      <c r="X27" s="34" t="s">
        <v>3929</v>
      </c>
      <c r="Y27" s="42" t="s">
        <v>3820</v>
      </c>
      <c r="Z27" s="31">
        <v>290.0</v>
      </c>
      <c r="AA27" s="34" t="s">
        <v>3853</v>
      </c>
      <c r="AB27" s="34">
        <v>0.0</v>
      </c>
      <c r="AC27" s="34">
        <v>100.0</v>
      </c>
      <c r="AD27" s="34">
        <v>0.0</v>
      </c>
      <c r="AE27" s="34">
        <v>0.0</v>
      </c>
      <c r="AF27" s="33">
        <f>COUNTIFS('Data For Calculation - Insuranc'!A:A,A27,'Data For Calculation - Insuranc'!D:D,"Individual",'Data For Calculation - Insuranc'!E:E,"Rollover Comprehensive - 1 Year OD + 1 Year TP")</f>
        <v>0</v>
      </c>
      <c r="AG27" s="34" t="s">
        <v>3930</v>
      </c>
      <c r="AH27" s="42" t="s">
        <v>3820</v>
      </c>
      <c r="AI27" s="31">
        <v>290.0</v>
      </c>
      <c r="AJ27" s="34" t="s">
        <v>3853</v>
      </c>
      <c r="AK27" s="34">
        <v>0.0</v>
      </c>
      <c r="AL27" s="34">
        <v>100.0</v>
      </c>
      <c r="AM27" s="34">
        <v>0.0</v>
      </c>
      <c r="AN27" s="34">
        <v>0.0</v>
      </c>
      <c r="AO27" s="33">
        <f>COUNTIFS('Data For Calculation - Insuranc'!A:A,A27,'Data For Calculation - Insuranc'!D:D,"Company",'Data For Calculation - Insuranc'!E:E,"Rollover Comprehensive - 1 Year OD + 1 Year TP")</f>
        <v>0</v>
      </c>
      <c r="AP27" s="34" t="s">
        <v>3931</v>
      </c>
      <c r="AQ27" s="42" t="s">
        <v>3820</v>
      </c>
      <c r="AR27" s="31">
        <v>290.0</v>
      </c>
      <c r="AS27" s="34" t="s">
        <v>3853</v>
      </c>
      <c r="AT27" s="34">
        <v>0.0</v>
      </c>
      <c r="AU27" s="34">
        <v>100.0</v>
      </c>
      <c r="AV27" s="34">
        <v>0.0</v>
      </c>
      <c r="AW27" s="34">
        <v>0.0</v>
      </c>
      <c r="AX27" s="33">
        <f>COUNTIFS('Data For Calculation - Insuranc'!A:A,A27,'Data For Calculation - Insuranc'!D:D,"Individual",'Data For Calculation - Insuranc'!E:E,"Rollover - 1 Year OD Only")</f>
        <v>0</v>
      </c>
      <c r="AY27" s="34" t="s">
        <v>3932</v>
      </c>
      <c r="AZ27" s="42" t="s">
        <v>3820</v>
      </c>
      <c r="BA27" s="31">
        <v>290.0</v>
      </c>
      <c r="BB27" s="34" t="s">
        <v>3853</v>
      </c>
      <c r="BC27" s="34">
        <v>0.0</v>
      </c>
      <c r="BD27" s="34">
        <v>100.0</v>
      </c>
      <c r="BE27" s="34">
        <v>0.0</v>
      </c>
      <c r="BF27" s="34">
        <v>0.0</v>
      </c>
      <c r="BG27" s="33">
        <f>COUNTIFS('Data For Calculation - Insuranc'!A:A,A27,'Data For Calculation - Insuranc'!D:D,"Company",'Data For Calculation - Insuranc'!E:E,"Rollover - 1 Year OD Only")</f>
        <v>0</v>
      </c>
      <c r="BH27" s="34" t="s">
        <v>3931</v>
      </c>
      <c r="BI27" s="42" t="s">
        <v>3820</v>
      </c>
      <c r="BJ27" s="31">
        <v>290.0</v>
      </c>
      <c r="BK27" s="34" t="s">
        <v>3853</v>
      </c>
      <c r="BL27" s="34">
        <v>0.0</v>
      </c>
      <c r="BM27" s="34">
        <v>100.0</v>
      </c>
      <c r="BN27" s="34">
        <v>0.0</v>
      </c>
      <c r="BO27" s="34">
        <v>0.0</v>
      </c>
      <c r="BP27" s="33">
        <f>COUNTIFS('Data For Calculation - Insuranc'!A:A,A27,'Data For Calculation - Insuranc'!D:D,"Individual",'Data For Calculation - Insuranc'!E:E,"Rollover - 1 Year TP Only")</f>
        <v>0</v>
      </c>
      <c r="BQ27" s="34" t="s">
        <v>3932</v>
      </c>
      <c r="BR27" s="42" t="s">
        <v>3820</v>
      </c>
      <c r="BS27" s="31">
        <v>290.0</v>
      </c>
      <c r="BT27" s="34" t="s">
        <v>3853</v>
      </c>
      <c r="BU27" s="34">
        <v>0.0</v>
      </c>
      <c r="BV27" s="34">
        <v>100.0</v>
      </c>
      <c r="BW27" s="34">
        <v>0.0</v>
      </c>
      <c r="BX27" s="34">
        <v>0.0</v>
      </c>
      <c r="BY27" s="33">
        <f>COUNTIFS('Data For Calculation - Insuranc'!A:A,A27,'Data For Calculation - Insuranc'!D:D,"Company",'Data For Calculation - Insuranc'!E:E,"Rollover - 1 Year TP Only")</f>
        <v>0</v>
      </c>
      <c r="BZ27" s="31">
        <f t="shared" si="1"/>
        <v>0</v>
      </c>
      <c r="CA27" s="33">
        <f>SUMIFS('Data For Calculation - Insuranc'!I:I,'Data For Calculation - Insuranc'!$A:$A,$A27)</f>
        <v>0</v>
      </c>
      <c r="CB27" s="33">
        <f>SUMIFS('Data For Calculation - Insuranc'!J:J,'Data For Calculation - Insuranc'!$A:$A,$A27)</f>
        <v>0</v>
      </c>
      <c r="CC27" s="33">
        <f>SUMIFS('Data For Calculation - Insuranc'!K:K,'Data For Calculation - Insuranc'!$A:$A,$A27)</f>
        <v>0</v>
      </c>
      <c r="CD27" s="33">
        <f>IF($CK27 = "Dealer", SUMIFS('Data For Calculation - Insuranc'!I:I,'Data For Calculation - Insuranc'!$B:$B,$A27,'Data For Calculation - Insuranc'!$H:$H,"Master Dealer")) + SUMIFS('Data For Calculation - Insuranc'!I:I,'Data For Calculation - Insuranc'!$A:$A,$A27,'Data For Calculation - Insuranc'!$H:$H,"Self")</f>
        <v>0</v>
      </c>
      <c r="CE27" s="33">
        <f>IF($CK27 = "Dealer", SUMIFS('Data For Calculation - Insuranc'!J:J,'Data For Calculation - Insuranc'!$B:$B,$A27,'Data For Calculation - Insuranc'!$H:$H,"Master Dealer")) + SUMIFS('Data For Calculation - Insuranc'!J:J,'Data For Calculation - Insuranc'!$A:$A,$A27,'Data For Calculation - Insuranc'!$H:$H,"Self")</f>
        <v>0</v>
      </c>
      <c r="CF27" s="33">
        <f>IF($CK27 = "Dealer", SUMIFS('Data For Calculation - Insuranc'!K:K,'Data For Calculation - Insuranc'!$B:$B,$A27,'Data For Calculation - Insuranc'!$H:$H,"Master Dealer")) + SUMIFS('Data For Calculation - Insuranc'!K:K,'Data For Calculation - Insuranc'!$A:$A,$A27,'Data For Calculation - Insuranc'!$H:$H,"Self")</f>
        <v>0</v>
      </c>
      <c r="CG27" s="25" t="str">
        <f>(Sheet1!N27)</f>
        <v>Brij Biwheelers</v>
      </c>
      <c r="CH27" s="25" t="str">
        <f>(Sheet1!O27)</f>
        <v>1ytBGcO8tIze81xKkAa9lWDcflthsPL6SuADAXbhmuwA</v>
      </c>
      <c r="CI27" s="25" t="str">
        <f>(Sheet1!AV27)</f>
        <v/>
      </c>
      <c r="CJ27" s="25" t="str">
        <f>(Sheet1!AW27)</f>
        <v/>
      </c>
      <c r="CK27" s="26" t="str">
        <f>(Sheet1!P27)</f>
        <v>Dealer</v>
      </c>
    </row>
    <row r="28">
      <c r="A28" s="25" t="str">
        <f>(Sheet1!A28)</f>
        <v>1Yfv0ZT_aQDLFHljdKtMo2aojtvVSEhmBaoVtpPdjPPo</v>
      </c>
      <c r="B28" s="25" t="str">
        <f>(Sheet1!B28)</f>
        <v>Globe Agencies - Hapur</v>
      </c>
      <c r="C28" s="30" t="str">
        <f>Sheet1!BB28</f>
        <v>No</v>
      </c>
      <c r="D28" s="30" t="s">
        <v>13</v>
      </c>
      <c r="E28" s="34" t="s">
        <v>13</v>
      </c>
      <c r="F28" s="34" t="s">
        <v>3929</v>
      </c>
      <c r="G28" s="42" t="s">
        <v>3820</v>
      </c>
      <c r="H28" s="43">
        <v>460.0</v>
      </c>
      <c r="I28" s="42" t="s">
        <v>3853</v>
      </c>
      <c r="J28" s="43">
        <v>0.0</v>
      </c>
      <c r="K28" s="43">
        <v>100.0</v>
      </c>
      <c r="L28" s="43">
        <v>0.0</v>
      </c>
      <c r="M28" s="43">
        <v>0.0</v>
      </c>
      <c r="N28" s="33">
        <f>COUNTIFS('Data For Calculation - Insuranc'!A:A,A28,'Data For Calculation - Insuranc'!D:D,"Individual",'Data For Calculation - Insuranc'!E:E,"Bundled - 1 Year OD + 5 Year TP")</f>
        <v>0</v>
      </c>
      <c r="O28" s="34" t="s">
        <v>3930</v>
      </c>
      <c r="P28" s="42" t="s">
        <v>3820</v>
      </c>
      <c r="Q28" s="43">
        <v>460.0</v>
      </c>
      <c r="R28" s="42" t="s">
        <v>3853</v>
      </c>
      <c r="S28" s="43">
        <v>0.0</v>
      </c>
      <c r="T28" s="43">
        <v>100.0</v>
      </c>
      <c r="U28" s="43">
        <v>0.0</v>
      </c>
      <c r="V28" s="43">
        <v>0.0</v>
      </c>
      <c r="W28" s="33">
        <f>COUNTIFS('Data For Calculation - Insuranc'!A:A,A28,'Data For Calculation - Insuranc'!D:D,"Company",'Data For Calculation - Insuranc'!E:E,"Bundled - 1 Year OD + 5 Year TP")</f>
        <v>0</v>
      </c>
      <c r="X28" s="34" t="s">
        <v>3929</v>
      </c>
      <c r="Y28" s="42" t="s">
        <v>3820</v>
      </c>
      <c r="Z28" s="31">
        <v>290.0</v>
      </c>
      <c r="AA28" s="34" t="s">
        <v>3853</v>
      </c>
      <c r="AB28" s="34">
        <v>0.0</v>
      </c>
      <c r="AC28" s="34">
        <v>100.0</v>
      </c>
      <c r="AD28" s="34">
        <v>0.0</v>
      </c>
      <c r="AE28" s="34">
        <v>0.0</v>
      </c>
      <c r="AF28" s="33">
        <f>COUNTIFS('Data For Calculation - Insuranc'!A:A,A28,'Data For Calculation - Insuranc'!D:D,"Individual",'Data For Calculation - Insuranc'!E:E,"Rollover Comprehensive - 1 Year OD + 1 Year TP")</f>
        <v>0</v>
      </c>
      <c r="AG28" s="34" t="s">
        <v>3930</v>
      </c>
      <c r="AH28" s="42" t="s">
        <v>3820</v>
      </c>
      <c r="AI28" s="31">
        <v>290.0</v>
      </c>
      <c r="AJ28" s="34" t="s">
        <v>3853</v>
      </c>
      <c r="AK28" s="34">
        <v>0.0</v>
      </c>
      <c r="AL28" s="34">
        <v>100.0</v>
      </c>
      <c r="AM28" s="34">
        <v>0.0</v>
      </c>
      <c r="AN28" s="34">
        <v>0.0</v>
      </c>
      <c r="AO28" s="33">
        <f>COUNTIFS('Data For Calculation - Insuranc'!A:A,A28,'Data For Calculation - Insuranc'!D:D,"Company",'Data For Calculation - Insuranc'!E:E,"Rollover Comprehensive - 1 Year OD + 1 Year TP")</f>
        <v>0</v>
      </c>
      <c r="AP28" s="34" t="s">
        <v>3931</v>
      </c>
      <c r="AQ28" s="42" t="s">
        <v>3820</v>
      </c>
      <c r="AR28" s="31">
        <v>290.0</v>
      </c>
      <c r="AS28" s="34" t="s">
        <v>3853</v>
      </c>
      <c r="AT28" s="34">
        <v>0.0</v>
      </c>
      <c r="AU28" s="34">
        <v>100.0</v>
      </c>
      <c r="AV28" s="34">
        <v>0.0</v>
      </c>
      <c r="AW28" s="34">
        <v>0.0</v>
      </c>
      <c r="AX28" s="33">
        <f>COUNTIFS('Data For Calculation - Insuranc'!A:A,A28,'Data For Calculation - Insuranc'!D:D,"Individual",'Data For Calculation - Insuranc'!E:E,"Rollover - 1 Year OD Only")</f>
        <v>0</v>
      </c>
      <c r="AY28" s="34" t="s">
        <v>3932</v>
      </c>
      <c r="AZ28" s="42" t="s">
        <v>3820</v>
      </c>
      <c r="BA28" s="31">
        <v>290.0</v>
      </c>
      <c r="BB28" s="34" t="s">
        <v>3853</v>
      </c>
      <c r="BC28" s="34">
        <v>0.0</v>
      </c>
      <c r="BD28" s="34">
        <v>100.0</v>
      </c>
      <c r="BE28" s="34">
        <v>0.0</v>
      </c>
      <c r="BF28" s="34">
        <v>0.0</v>
      </c>
      <c r="BG28" s="33">
        <f>COUNTIFS('Data For Calculation - Insuranc'!A:A,A28,'Data For Calculation - Insuranc'!D:D,"Company",'Data For Calculation - Insuranc'!E:E,"Rollover - 1 Year OD Only")</f>
        <v>0</v>
      </c>
      <c r="BH28" s="34" t="s">
        <v>3931</v>
      </c>
      <c r="BI28" s="42" t="s">
        <v>3820</v>
      </c>
      <c r="BJ28" s="31">
        <v>290.0</v>
      </c>
      <c r="BK28" s="34" t="s">
        <v>3853</v>
      </c>
      <c r="BL28" s="34">
        <v>0.0</v>
      </c>
      <c r="BM28" s="34">
        <v>100.0</v>
      </c>
      <c r="BN28" s="34">
        <v>0.0</v>
      </c>
      <c r="BO28" s="34">
        <v>0.0</v>
      </c>
      <c r="BP28" s="33">
        <f>COUNTIFS('Data For Calculation - Insuranc'!A:A,A28,'Data For Calculation - Insuranc'!D:D,"Individual",'Data For Calculation - Insuranc'!E:E,"Rollover - 1 Year TP Only")</f>
        <v>0</v>
      </c>
      <c r="BQ28" s="34" t="s">
        <v>3932</v>
      </c>
      <c r="BR28" s="42" t="s">
        <v>3820</v>
      </c>
      <c r="BS28" s="31">
        <v>290.0</v>
      </c>
      <c r="BT28" s="34" t="s">
        <v>3853</v>
      </c>
      <c r="BU28" s="34">
        <v>0.0</v>
      </c>
      <c r="BV28" s="34">
        <v>100.0</v>
      </c>
      <c r="BW28" s="34">
        <v>0.0</v>
      </c>
      <c r="BX28" s="34">
        <v>0.0</v>
      </c>
      <c r="BY28" s="33">
        <f>COUNTIFS('Data For Calculation - Insuranc'!A:A,A28,'Data For Calculation - Insuranc'!D:D,"Company",'Data For Calculation - Insuranc'!E:E,"Rollover - 1 Year TP Only")</f>
        <v>0</v>
      </c>
      <c r="BZ28" s="31">
        <f t="shared" si="1"/>
        <v>0</v>
      </c>
      <c r="CA28" s="33">
        <f>SUMIFS('Data For Calculation - Insuranc'!I:I,'Data For Calculation - Insuranc'!$A:$A,$A28)</f>
        <v>0</v>
      </c>
      <c r="CB28" s="33">
        <f>SUMIFS('Data For Calculation - Insuranc'!J:J,'Data For Calculation - Insuranc'!$A:$A,$A28)</f>
        <v>0</v>
      </c>
      <c r="CC28" s="33">
        <f>SUMIFS('Data For Calculation - Insuranc'!K:K,'Data For Calculation - Insuranc'!$A:$A,$A28)</f>
        <v>0</v>
      </c>
      <c r="CD28" s="33">
        <f>IF($CK28 = "Dealer", SUMIFS('Data For Calculation - Insuranc'!I:I,'Data For Calculation - Insuranc'!$B:$B,$A28,'Data For Calculation - Insuranc'!$H:$H,"Master Dealer")) + SUMIFS('Data For Calculation - Insuranc'!I:I,'Data For Calculation - Insuranc'!$A:$A,$A28,'Data For Calculation - Insuranc'!$H:$H,"Self")</f>
        <v>0</v>
      </c>
      <c r="CE28" s="33">
        <f>IF($CK28 = "Dealer", SUMIFS('Data For Calculation - Insuranc'!J:J,'Data For Calculation - Insuranc'!$B:$B,$A28,'Data For Calculation - Insuranc'!$H:$H,"Master Dealer")) + SUMIFS('Data For Calculation - Insuranc'!J:J,'Data For Calculation - Insuranc'!$A:$A,$A28,'Data For Calculation - Insuranc'!$H:$H,"Self")</f>
        <v>0</v>
      </c>
      <c r="CF28" s="33">
        <f>IF($CK28 = "Dealer", SUMIFS('Data For Calculation - Insuranc'!K:K,'Data For Calculation - Insuranc'!$B:$B,$A28,'Data For Calculation - Insuranc'!$H:$H,"Master Dealer")) + SUMIFS('Data For Calculation - Insuranc'!K:K,'Data For Calculation - Insuranc'!$A:$A,$A28,'Data For Calculation - Insuranc'!$H:$H,"Self")</f>
        <v>0</v>
      </c>
      <c r="CG28" s="30" t="s">
        <v>74</v>
      </c>
      <c r="CH28" s="25" t="str">
        <f>(Sheet1!O28)</f>
        <v>1ksPRehLH7gfgZpnXgiBGZpTtFA-KHaKr32rTQGuz3WY</v>
      </c>
      <c r="CI28" s="25" t="str">
        <f>(Sheet1!AV28)</f>
        <v/>
      </c>
      <c r="CJ28" s="25" t="str">
        <f>(Sheet1!AW28)</f>
        <v/>
      </c>
      <c r="CK28" s="26" t="str">
        <f>(Sheet1!P28)</f>
        <v>Sub Dealer</v>
      </c>
    </row>
    <row r="29">
      <c r="A29" s="25" t="str">
        <f>(Sheet1!A29)</f>
        <v>1sJ2STkoqQ3nTzfRPt0AHHPB6KjkvtyOHIVnE3dDR6mk</v>
      </c>
      <c r="B29" s="25" t="str">
        <f>(Sheet1!B29)</f>
        <v>Shiv Motors (JMC)</v>
      </c>
      <c r="C29" s="30" t="str">
        <f>Sheet1!BB29</f>
        <v>No</v>
      </c>
      <c r="D29" s="30" t="s">
        <v>13</v>
      </c>
      <c r="E29" s="34" t="s">
        <v>13</v>
      </c>
      <c r="F29" s="34" t="s">
        <v>3929</v>
      </c>
      <c r="G29" s="42" t="s">
        <v>3820</v>
      </c>
      <c r="H29" s="43">
        <v>170.0</v>
      </c>
      <c r="I29" s="42" t="s">
        <v>3853</v>
      </c>
      <c r="J29" s="43">
        <v>0.0</v>
      </c>
      <c r="K29" s="43">
        <v>100.0</v>
      </c>
      <c r="L29" s="43">
        <v>0.0</v>
      </c>
      <c r="M29" s="43">
        <v>0.0</v>
      </c>
      <c r="N29" s="33">
        <f>COUNTIFS('Data For Calculation - Insuranc'!A:A,A29,'Data For Calculation - Insuranc'!D:D,"Individual",'Data For Calculation - Insuranc'!E:E,"Bundled - 1 Year OD + 5 Year TP")</f>
        <v>0</v>
      </c>
      <c r="O29" s="34" t="s">
        <v>3930</v>
      </c>
      <c r="P29" s="42" t="s">
        <v>3820</v>
      </c>
      <c r="Q29" s="43">
        <v>170.0</v>
      </c>
      <c r="R29" s="42" t="s">
        <v>3853</v>
      </c>
      <c r="S29" s="43">
        <v>0.0</v>
      </c>
      <c r="T29" s="43">
        <v>100.0</v>
      </c>
      <c r="U29" s="43">
        <v>0.0</v>
      </c>
      <c r="V29" s="43">
        <v>0.0</v>
      </c>
      <c r="W29" s="33">
        <f>COUNTIFS('Data For Calculation - Insuranc'!A:A,A29,'Data For Calculation - Insuranc'!D:D,"Company",'Data For Calculation - Insuranc'!E:E,"Bundled - 1 Year OD + 5 Year TP")</f>
        <v>0</v>
      </c>
      <c r="X29" s="34" t="s">
        <v>3929</v>
      </c>
      <c r="Y29" s="42" t="s">
        <v>3820</v>
      </c>
      <c r="Z29" s="31">
        <v>170.0</v>
      </c>
      <c r="AA29" s="34" t="s">
        <v>3853</v>
      </c>
      <c r="AB29" s="34">
        <v>0.0</v>
      </c>
      <c r="AC29" s="34">
        <v>100.0</v>
      </c>
      <c r="AD29" s="34">
        <v>0.0</v>
      </c>
      <c r="AE29" s="34">
        <v>0.0</v>
      </c>
      <c r="AF29" s="33">
        <f>COUNTIFS('Data For Calculation - Insuranc'!A:A,A29,'Data For Calculation - Insuranc'!D:D,"Individual",'Data For Calculation - Insuranc'!E:E,"Rollover Comprehensive - 1 Year OD + 1 Year TP")</f>
        <v>0</v>
      </c>
      <c r="AG29" s="34" t="s">
        <v>3930</v>
      </c>
      <c r="AH29" s="42" t="s">
        <v>3820</v>
      </c>
      <c r="AI29" s="31">
        <v>170.0</v>
      </c>
      <c r="AJ29" s="34" t="s">
        <v>3853</v>
      </c>
      <c r="AK29" s="34">
        <v>0.0</v>
      </c>
      <c r="AL29" s="34">
        <v>100.0</v>
      </c>
      <c r="AM29" s="34">
        <v>0.0</v>
      </c>
      <c r="AN29" s="34">
        <v>0.0</v>
      </c>
      <c r="AO29" s="33">
        <f>COUNTIFS('Data For Calculation - Insuranc'!A:A,A29,'Data For Calculation - Insuranc'!D:D,"Company",'Data For Calculation - Insuranc'!E:E,"Rollover Comprehensive - 1 Year OD + 1 Year TP")</f>
        <v>0</v>
      </c>
      <c r="AP29" s="34" t="s">
        <v>3931</v>
      </c>
      <c r="AQ29" s="42" t="s">
        <v>3820</v>
      </c>
      <c r="AR29" s="31">
        <v>170.0</v>
      </c>
      <c r="AS29" s="34" t="s">
        <v>3853</v>
      </c>
      <c r="AT29" s="34">
        <v>0.0</v>
      </c>
      <c r="AU29" s="34">
        <v>100.0</v>
      </c>
      <c r="AV29" s="34">
        <v>0.0</v>
      </c>
      <c r="AW29" s="34">
        <v>0.0</v>
      </c>
      <c r="AX29" s="33">
        <f>COUNTIFS('Data For Calculation - Insuranc'!A:A,A29,'Data For Calculation - Insuranc'!D:D,"Individual",'Data For Calculation - Insuranc'!E:E,"Rollover - 1 Year OD Only")</f>
        <v>0</v>
      </c>
      <c r="AY29" s="34" t="s">
        <v>3932</v>
      </c>
      <c r="AZ29" s="42" t="s">
        <v>3820</v>
      </c>
      <c r="BA29" s="31">
        <v>170.0</v>
      </c>
      <c r="BB29" s="34" t="s">
        <v>3853</v>
      </c>
      <c r="BC29" s="34">
        <v>0.0</v>
      </c>
      <c r="BD29" s="34">
        <v>100.0</v>
      </c>
      <c r="BE29" s="34">
        <v>0.0</v>
      </c>
      <c r="BF29" s="34">
        <v>0.0</v>
      </c>
      <c r="BG29" s="33">
        <f>COUNTIFS('Data For Calculation - Insuranc'!A:A,A29,'Data For Calculation - Insuranc'!D:D,"Company",'Data For Calculation - Insuranc'!E:E,"Rollover - 1 Year OD Only")</f>
        <v>0</v>
      </c>
      <c r="BH29" s="34" t="s">
        <v>3931</v>
      </c>
      <c r="BI29" s="42" t="s">
        <v>3820</v>
      </c>
      <c r="BJ29" s="31">
        <v>170.0</v>
      </c>
      <c r="BK29" s="34" t="s">
        <v>3853</v>
      </c>
      <c r="BL29" s="34">
        <v>0.0</v>
      </c>
      <c r="BM29" s="34">
        <v>100.0</v>
      </c>
      <c r="BN29" s="34">
        <v>0.0</v>
      </c>
      <c r="BO29" s="34">
        <v>0.0</v>
      </c>
      <c r="BP29" s="33">
        <f>COUNTIFS('Data For Calculation - Insuranc'!A:A,A29,'Data For Calculation - Insuranc'!D:D,"Individual",'Data For Calculation - Insuranc'!E:E,"Rollover - 1 Year TP Only")</f>
        <v>0</v>
      </c>
      <c r="BQ29" s="34" t="s">
        <v>3932</v>
      </c>
      <c r="BR29" s="42" t="s">
        <v>3820</v>
      </c>
      <c r="BS29" s="31">
        <v>170.0</v>
      </c>
      <c r="BT29" s="34" t="s">
        <v>3853</v>
      </c>
      <c r="BU29" s="34">
        <v>0.0</v>
      </c>
      <c r="BV29" s="34">
        <v>100.0</v>
      </c>
      <c r="BW29" s="34">
        <v>0.0</v>
      </c>
      <c r="BX29" s="34">
        <v>0.0</v>
      </c>
      <c r="BY29" s="33">
        <f>COUNTIFS('Data For Calculation - Insuranc'!A:A,A29,'Data For Calculation - Insuranc'!D:D,"Company",'Data For Calculation - Insuranc'!E:E,"Rollover - 1 Year TP Only")</f>
        <v>0</v>
      </c>
      <c r="BZ29" s="31">
        <f t="shared" si="1"/>
        <v>0</v>
      </c>
      <c r="CA29" s="33">
        <f>SUMIFS('Data For Calculation - Insuranc'!I:I,'Data For Calculation - Insuranc'!$A:$A,$A29)</f>
        <v>0</v>
      </c>
      <c r="CB29" s="33">
        <f>SUMIFS('Data For Calculation - Insuranc'!J:J,'Data For Calculation - Insuranc'!$A:$A,$A29)</f>
        <v>0</v>
      </c>
      <c r="CC29" s="33">
        <f>SUMIFS('Data For Calculation - Insuranc'!K:K,'Data For Calculation - Insuranc'!$A:$A,$A29)</f>
        <v>0</v>
      </c>
      <c r="CD29" s="33">
        <f>IF($CK29 = "Dealer", SUMIFS('Data For Calculation - Insuranc'!I:I,'Data For Calculation - Insuranc'!$B:$B,$A29,'Data For Calculation - Insuranc'!$H:$H,"Master Dealer")) + SUMIFS('Data For Calculation - Insuranc'!I:I,'Data For Calculation - Insuranc'!$A:$A,$A29,'Data For Calculation - Insuranc'!$H:$H,"Self")</f>
        <v>0</v>
      </c>
      <c r="CE29" s="33">
        <f>IF($CK29 = "Dealer", SUMIFS('Data For Calculation - Insuranc'!J:J,'Data For Calculation - Insuranc'!$B:$B,$A29,'Data For Calculation - Insuranc'!$H:$H,"Master Dealer")) + SUMIFS('Data For Calculation - Insuranc'!J:J,'Data For Calculation - Insuranc'!$A:$A,$A29,'Data For Calculation - Insuranc'!$H:$H,"Self")</f>
        <v>0</v>
      </c>
      <c r="CF29" s="33">
        <f>IF($CK29 = "Dealer", SUMIFS('Data For Calculation - Insuranc'!K:K,'Data For Calculation - Insuranc'!$B:$B,$A29,'Data For Calculation - Insuranc'!$H:$H,"Master Dealer")) + SUMIFS('Data For Calculation - Insuranc'!K:K,'Data For Calculation - Insuranc'!$A:$A,$A29,'Data For Calculation - Insuranc'!$H:$H,"Self")</f>
        <v>0</v>
      </c>
      <c r="CG29" s="25" t="str">
        <f>(Sheet1!N29)</f>
        <v>Jain Motorcycle Company</v>
      </c>
      <c r="CH29" s="25" t="str">
        <f>(Sheet1!O29)</f>
        <v>184Y3L-ZLT7vcLiFDItIcLa-18phpzEbgBCBDgt_LGCQ</v>
      </c>
      <c r="CI29" s="25" t="str">
        <f>(Sheet1!AV29)</f>
        <v/>
      </c>
      <c r="CJ29" s="25" t="str">
        <f>(Sheet1!AW29)</f>
        <v/>
      </c>
      <c r="CK29" s="26" t="str">
        <f>(Sheet1!P29)</f>
        <v>Sub Dealer</v>
      </c>
    </row>
    <row r="30">
      <c r="A30" s="25" t="str">
        <f>(Sheet1!A30)</f>
        <v>1WH65I6cboV1MjKQhx3zM2QiEmuHtQjnKUssDiU-VP7k</v>
      </c>
      <c r="B30" s="25" t="str">
        <f>(Sheet1!B30)</f>
        <v>Upadhayay Motors (JMC)</v>
      </c>
      <c r="C30" s="30" t="str">
        <f>Sheet1!BB30</f>
        <v>No</v>
      </c>
      <c r="D30" s="30" t="s">
        <v>13</v>
      </c>
      <c r="E30" s="34" t="s">
        <v>13</v>
      </c>
      <c r="F30" s="34" t="s">
        <v>3929</v>
      </c>
      <c r="G30" s="42" t="s">
        <v>3820</v>
      </c>
      <c r="H30" s="43">
        <v>170.0</v>
      </c>
      <c r="I30" s="42" t="s">
        <v>3853</v>
      </c>
      <c r="J30" s="43">
        <v>0.0</v>
      </c>
      <c r="K30" s="43">
        <v>100.0</v>
      </c>
      <c r="L30" s="43">
        <v>0.0</v>
      </c>
      <c r="M30" s="43">
        <v>0.0</v>
      </c>
      <c r="N30" s="33">
        <f>COUNTIFS('Data For Calculation - Insuranc'!A:A,A30,'Data For Calculation - Insuranc'!D:D,"Individual",'Data For Calculation - Insuranc'!E:E,"Bundled - 1 Year OD + 5 Year TP")</f>
        <v>0</v>
      </c>
      <c r="O30" s="34" t="s">
        <v>3930</v>
      </c>
      <c r="P30" s="42" t="s">
        <v>3820</v>
      </c>
      <c r="Q30" s="43">
        <v>170.0</v>
      </c>
      <c r="R30" s="42" t="s">
        <v>3853</v>
      </c>
      <c r="S30" s="43">
        <v>0.0</v>
      </c>
      <c r="T30" s="43">
        <v>100.0</v>
      </c>
      <c r="U30" s="43">
        <v>0.0</v>
      </c>
      <c r="V30" s="43">
        <v>0.0</v>
      </c>
      <c r="W30" s="33">
        <f>COUNTIFS('Data For Calculation - Insuranc'!A:A,A30,'Data For Calculation - Insuranc'!D:D,"Company",'Data For Calculation - Insuranc'!E:E,"Bundled - 1 Year OD + 5 Year TP")</f>
        <v>0</v>
      </c>
      <c r="X30" s="34" t="s">
        <v>3929</v>
      </c>
      <c r="Y30" s="42" t="s">
        <v>3820</v>
      </c>
      <c r="Z30" s="31">
        <v>170.0</v>
      </c>
      <c r="AA30" s="34" t="s">
        <v>3853</v>
      </c>
      <c r="AB30" s="34">
        <v>0.0</v>
      </c>
      <c r="AC30" s="34">
        <v>100.0</v>
      </c>
      <c r="AD30" s="34">
        <v>0.0</v>
      </c>
      <c r="AE30" s="34">
        <v>0.0</v>
      </c>
      <c r="AF30" s="33">
        <f>COUNTIFS('Data For Calculation - Insuranc'!A:A,A30,'Data For Calculation - Insuranc'!D:D,"Individual",'Data For Calculation - Insuranc'!E:E,"Rollover Comprehensive - 1 Year OD + 1 Year TP")</f>
        <v>0</v>
      </c>
      <c r="AG30" s="34" t="s">
        <v>3930</v>
      </c>
      <c r="AH30" s="42" t="s">
        <v>3820</v>
      </c>
      <c r="AI30" s="31">
        <v>170.0</v>
      </c>
      <c r="AJ30" s="34" t="s">
        <v>3853</v>
      </c>
      <c r="AK30" s="34">
        <v>0.0</v>
      </c>
      <c r="AL30" s="34">
        <v>100.0</v>
      </c>
      <c r="AM30" s="34">
        <v>0.0</v>
      </c>
      <c r="AN30" s="34">
        <v>0.0</v>
      </c>
      <c r="AO30" s="33">
        <f>COUNTIFS('Data For Calculation - Insuranc'!A:A,A30,'Data For Calculation - Insuranc'!D:D,"Company",'Data For Calculation - Insuranc'!E:E,"Rollover Comprehensive - 1 Year OD + 1 Year TP")</f>
        <v>0</v>
      </c>
      <c r="AP30" s="34" t="s">
        <v>3931</v>
      </c>
      <c r="AQ30" s="42" t="s">
        <v>3820</v>
      </c>
      <c r="AR30" s="31">
        <v>170.0</v>
      </c>
      <c r="AS30" s="34" t="s">
        <v>3853</v>
      </c>
      <c r="AT30" s="34">
        <v>0.0</v>
      </c>
      <c r="AU30" s="34">
        <v>100.0</v>
      </c>
      <c r="AV30" s="34">
        <v>0.0</v>
      </c>
      <c r="AW30" s="34">
        <v>0.0</v>
      </c>
      <c r="AX30" s="33">
        <f>COUNTIFS('Data For Calculation - Insuranc'!A:A,A30,'Data For Calculation - Insuranc'!D:D,"Individual",'Data For Calculation - Insuranc'!E:E,"Rollover - 1 Year OD Only")</f>
        <v>0</v>
      </c>
      <c r="AY30" s="34" t="s">
        <v>3932</v>
      </c>
      <c r="AZ30" s="42" t="s">
        <v>3820</v>
      </c>
      <c r="BA30" s="31">
        <v>170.0</v>
      </c>
      <c r="BB30" s="34" t="s">
        <v>3853</v>
      </c>
      <c r="BC30" s="34">
        <v>0.0</v>
      </c>
      <c r="BD30" s="34">
        <v>100.0</v>
      </c>
      <c r="BE30" s="34">
        <v>0.0</v>
      </c>
      <c r="BF30" s="34">
        <v>0.0</v>
      </c>
      <c r="BG30" s="33">
        <f>COUNTIFS('Data For Calculation - Insuranc'!A:A,A30,'Data For Calculation - Insuranc'!D:D,"Company",'Data For Calculation - Insuranc'!E:E,"Rollover - 1 Year OD Only")</f>
        <v>0</v>
      </c>
      <c r="BH30" s="34" t="s">
        <v>3931</v>
      </c>
      <c r="BI30" s="42" t="s">
        <v>3820</v>
      </c>
      <c r="BJ30" s="31">
        <v>170.0</v>
      </c>
      <c r="BK30" s="34" t="s">
        <v>3853</v>
      </c>
      <c r="BL30" s="34">
        <v>0.0</v>
      </c>
      <c r="BM30" s="34">
        <v>100.0</v>
      </c>
      <c r="BN30" s="34">
        <v>0.0</v>
      </c>
      <c r="BO30" s="34">
        <v>0.0</v>
      </c>
      <c r="BP30" s="33">
        <f>COUNTIFS('Data For Calculation - Insuranc'!A:A,A30,'Data For Calculation - Insuranc'!D:D,"Individual",'Data For Calculation - Insuranc'!E:E,"Rollover - 1 Year TP Only")</f>
        <v>0</v>
      </c>
      <c r="BQ30" s="34" t="s">
        <v>3932</v>
      </c>
      <c r="BR30" s="42" t="s">
        <v>3820</v>
      </c>
      <c r="BS30" s="31">
        <v>170.0</v>
      </c>
      <c r="BT30" s="34" t="s">
        <v>3853</v>
      </c>
      <c r="BU30" s="34">
        <v>0.0</v>
      </c>
      <c r="BV30" s="34">
        <v>100.0</v>
      </c>
      <c r="BW30" s="34">
        <v>0.0</v>
      </c>
      <c r="BX30" s="34">
        <v>0.0</v>
      </c>
      <c r="BY30" s="33">
        <f>COUNTIFS('Data For Calculation - Insuranc'!A:A,A30,'Data For Calculation - Insuranc'!D:D,"Company",'Data For Calculation - Insuranc'!E:E,"Rollover - 1 Year TP Only")</f>
        <v>0</v>
      </c>
      <c r="BZ30" s="31">
        <f t="shared" si="1"/>
        <v>0</v>
      </c>
      <c r="CA30" s="33">
        <f>SUMIFS('Data For Calculation - Insuranc'!I:I,'Data For Calculation - Insuranc'!$A:$A,$A30)</f>
        <v>0</v>
      </c>
      <c r="CB30" s="33">
        <f>SUMIFS('Data For Calculation - Insuranc'!J:J,'Data For Calculation - Insuranc'!$A:$A,$A30)</f>
        <v>0</v>
      </c>
      <c r="CC30" s="33">
        <f>SUMIFS('Data For Calculation - Insuranc'!K:K,'Data For Calculation - Insuranc'!$A:$A,$A30)</f>
        <v>0</v>
      </c>
      <c r="CD30" s="33">
        <f>IF($CK30 = "Dealer", SUMIFS('Data For Calculation - Insuranc'!I:I,'Data For Calculation - Insuranc'!$B:$B,$A30,'Data For Calculation - Insuranc'!$H:$H,"Master Dealer")) + SUMIFS('Data For Calculation - Insuranc'!I:I,'Data For Calculation - Insuranc'!$A:$A,$A30,'Data For Calculation - Insuranc'!$H:$H,"Self")</f>
        <v>0</v>
      </c>
      <c r="CE30" s="33">
        <f>IF($CK30 = "Dealer", SUMIFS('Data For Calculation - Insuranc'!J:J,'Data For Calculation - Insuranc'!$B:$B,$A30,'Data For Calculation - Insuranc'!$H:$H,"Master Dealer")) + SUMIFS('Data For Calculation - Insuranc'!J:J,'Data For Calculation - Insuranc'!$A:$A,$A30,'Data For Calculation - Insuranc'!$H:$H,"Self")</f>
        <v>0</v>
      </c>
      <c r="CF30" s="33">
        <f>IF($CK30 = "Dealer", SUMIFS('Data For Calculation - Insuranc'!K:K,'Data For Calculation - Insuranc'!$B:$B,$A30,'Data For Calculation - Insuranc'!$H:$H,"Master Dealer")) + SUMIFS('Data For Calculation - Insuranc'!K:K,'Data For Calculation - Insuranc'!$A:$A,$A30,'Data For Calculation - Insuranc'!$H:$H,"Self")</f>
        <v>0</v>
      </c>
      <c r="CG30" s="25" t="str">
        <f>(Sheet1!N30)</f>
        <v>Jain Motorcycle Company</v>
      </c>
      <c r="CH30" s="25" t="str">
        <f>(Sheet1!O30)</f>
        <v>184Y3L-ZLT7vcLiFDItIcLa-18phpzEbgBCBDgt_LGCQ</v>
      </c>
      <c r="CI30" s="25" t="str">
        <f>(Sheet1!AV30)</f>
        <v/>
      </c>
      <c r="CJ30" s="25" t="str">
        <f>(Sheet1!AW30)</f>
        <v/>
      </c>
      <c r="CK30" s="26" t="str">
        <f>(Sheet1!P30)</f>
        <v>Sub Dealer</v>
      </c>
    </row>
    <row r="31">
      <c r="A31" s="25" t="str">
        <f>(Sheet1!A31)</f>
        <v>1ipiizJhZiRSwa-HGPYAXoFXM18mwPYV5FEGfOTvybvk</v>
      </c>
      <c r="B31" s="25" t="str">
        <f>(Sheet1!B31)</f>
        <v>Mahendra Motors (JMC)</v>
      </c>
      <c r="C31" s="30" t="str">
        <f>Sheet1!BB31</f>
        <v>No</v>
      </c>
      <c r="D31" s="30" t="s">
        <v>13</v>
      </c>
      <c r="E31" s="34" t="s">
        <v>13</v>
      </c>
      <c r="F31" s="34" t="s">
        <v>3929</v>
      </c>
      <c r="G31" s="42" t="s">
        <v>3820</v>
      </c>
      <c r="H31" s="43">
        <v>170.0</v>
      </c>
      <c r="I31" s="42" t="s">
        <v>3853</v>
      </c>
      <c r="J31" s="43">
        <v>0.0</v>
      </c>
      <c r="K31" s="43">
        <v>100.0</v>
      </c>
      <c r="L31" s="43">
        <v>0.0</v>
      </c>
      <c r="M31" s="43">
        <v>0.0</v>
      </c>
      <c r="N31" s="33">
        <f>COUNTIFS('Data For Calculation - Insuranc'!A:A,A31,'Data For Calculation - Insuranc'!D:D,"Individual",'Data For Calculation - Insuranc'!E:E,"Bundled - 1 Year OD + 5 Year TP")</f>
        <v>0</v>
      </c>
      <c r="O31" s="34" t="s">
        <v>3930</v>
      </c>
      <c r="P31" s="42" t="s">
        <v>3820</v>
      </c>
      <c r="Q31" s="43">
        <v>170.0</v>
      </c>
      <c r="R31" s="42" t="s">
        <v>3853</v>
      </c>
      <c r="S31" s="43">
        <v>0.0</v>
      </c>
      <c r="T31" s="43">
        <v>100.0</v>
      </c>
      <c r="U31" s="43">
        <v>0.0</v>
      </c>
      <c r="V31" s="43">
        <v>0.0</v>
      </c>
      <c r="W31" s="33">
        <f>COUNTIFS('Data For Calculation - Insuranc'!A:A,A31,'Data For Calculation - Insuranc'!D:D,"Company",'Data For Calculation - Insuranc'!E:E,"Bundled - 1 Year OD + 5 Year TP")</f>
        <v>0</v>
      </c>
      <c r="X31" s="34" t="s">
        <v>3929</v>
      </c>
      <c r="Y31" s="42" t="s">
        <v>3820</v>
      </c>
      <c r="Z31" s="31">
        <v>170.0</v>
      </c>
      <c r="AA31" s="34" t="s">
        <v>3853</v>
      </c>
      <c r="AB31" s="34">
        <v>0.0</v>
      </c>
      <c r="AC31" s="34">
        <v>100.0</v>
      </c>
      <c r="AD31" s="34">
        <v>0.0</v>
      </c>
      <c r="AE31" s="34">
        <v>0.0</v>
      </c>
      <c r="AF31" s="33">
        <f>COUNTIFS('Data For Calculation - Insuranc'!A:A,A31,'Data For Calculation - Insuranc'!D:D,"Individual",'Data For Calculation - Insuranc'!E:E,"Rollover Comprehensive - 1 Year OD + 1 Year TP")</f>
        <v>0</v>
      </c>
      <c r="AG31" s="34" t="s">
        <v>3930</v>
      </c>
      <c r="AH31" s="42" t="s">
        <v>3820</v>
      </c>
      <c r="AI31" s="31">
        <v>170.0</v>
      </c>
      <c r="AJ31" s="34" t="s">
        <v>3853</v>
      </c>
      <c r="AK31" s="34">
        <v>0.0</v>
      </c>
      <c r="AL31" s="34">
        <v>100.0</v>
      </c>
      <c r="AM31" s="34">
        <v>0.0</v>
      </c>
      <c r="AN31" s="34">
        <v>0.0</v>
      </c>
      <c r="AO31" s="33">
        <f>COUNTIFS('Data For Calculation - Insuranc'!A:A,A31,'Data For Calculation - Insuranc'!D:D,"Company",'Data For Calculation - Insuranc'!E:E,"Rollover Comprehensive - 1 Year OD + 1 Year TP")</f>
        <v>0</v>
      </c>
      <c r="AP31" s="34" t="s">
        <v>3931</v>
      </c>
      <c r="AQ31" s="42" t="s">
        <v>3820</v>
      </c>
      <c r="AR31" s="31">
        <v>170.0</v>
      </c>
      <c r="AS31" s="34" t="s">
        <v>3853</v>
      </c>
      <c r="AT31" s="34">
        <v>0.0</v>
      </c>
      <c r="AU31" s="34">
        <v>100.0</v>
      </c>
      <c r="AV31" s="34">
        <v>0.0</v>
      </c>
      <c r="AW31" s="34">
        <v>0.0</v>
      </c>
      <c r="AX31" s="33">
        <f>COUNTIFS('Data For Calculation - Insuranc'!A:A,A31,'Data For Calculation - Insuranc'!D:D,"Individual",'Data For Calculation - Insuranc'!E:E,"Rollover - 1 Year OD Only")</f>
        <v>0</v>
      </c>
      <c r="AY31" s="34" t="s">
        <v>3932</v>
      </c>
      <c r="AZ31" s="42" t="s">
        <v>3820</v>
      </c>
      <c r="BA31" s="31">
        <v>170.0</v>
      </c>
      <c r="BB31" s="34" t="s">
        <v>3853</v>
      </c>
      <c r="BC31" s="34">
        <v>0.0</v>
      </c>
      <c r="BD31" s="34">
        <v>100.0</v>
      </c>
      <c r="BE31" s="34">
        <v>0.0</v>
      </c>
      <c r="BF31" s="34">
        <v>0.0</v>
      </c>
      <c r="BG31" s="33">
        <f>COUNTIFS('Data For Calculation - Insuranc'!A:A,A31,'Data For Calculation - Insuranc'!D:D,"Company",'Data For Calculation - Insuranc'!E:E,"Rollover - 1 Year OD Only")</f>
        <v>0</v>
      </c>
      <c r="BH31" s="34" t="s">
        <v>3931</v>
      </c>
      <c r="BI31" s="42" t="s">
        <v>3820</v>
      </c>
      <c r="BJ31" s="31">
        <v>170.0</v>
      </c>
      <c r="BK31" s="34" t="s">
        <v>3853</v>
      </c>
      <c r="BL31" s="34">
        <v>0.0</v>
      </c>
      <c r="BM31" s="34">
        <v>100.0</v>
      </c>
      <c r="BN31" s="34">
        <v>0.0</v>
      </c>
      <c r="BO31" s="34">
        <v>0.0</v>
      </c>
      <c r="BP31" s="33">
        <f>COUNTIFS('Data For Calculation - Insuranc'!A:A,A31,'Data For Calculation - Insuranc'!D:D,"Individual",'Data For Calculation - Insuranc'!E:E,"Rollover - 1 Year TP Only")</f>
        <v>0</v>
      </c>
      <c r="BQ31" s="34" t="s">
        <v>3932</v>
      </c>
      <c r="BR31" s="42" t="s">
        <v>3820</v>
      </c>
      <c r="BS31" s="31">
        <v>170.0</v>
      </c>
      <c r="BT31" s="34" t="s">
        <v>3853</v>
      </c>
      <c r="BU31" s="34">
        <v>0.0</v>
      </c>
      <c r="BV31" s="34">
        <v>100.0</v>
      </c>
      <c r="BW31" s="34">
        <v>0.0</v>
      </c>
      <c r="BX31" s="34">
        <v>0.0</v>
      </c>
      <c r="BY31" s="33">
        <f>COUNTIFS('Data For Calculation - Insuranc'!A:A,A31,'Data For Calculation - Insuranc'!D:D,"Company",'Data For Calculation - Insuranc'!E:E,"Rollover - 1 Year TP Only")</f>
        <v>0</v>
      </c>
      <c r="BZ31" s="31">
        <f t="shared" si="1"/>
        <v>0</v>
      </c>
      <c r="CA31" s="33">
        <f>SUMIFS('Data For Calculation - Insuranc'!I:I,'Data For Calculation - Insuranc'!$A:$A,$A31)</f>
        <v>0</v>
      </c>
      <c r="CB31" s="33">
        <f>SUMIFS('Data For Calculation - Insuranc'!J:J,'Data For Calculation - Insuranc'!$A:$A,$A31)</f>
        <v>0</v>
      </c>
      <c r="CC31" s="33">
        <f>SUMIFS('Data For Calculation - Insuranc'!K:K,'Data For Calculation - Insuranc'!$A:$A,$A31)</f>
        <v>0</v>
      </c>
      <c r="CD31" s="33">
        <f>IF($CK31 = "Dealer", SUMIFS('Data For Calculation - Insuranc'!I:I,'Data For Calculation - Insuranc'!$B:$B,$A31,'Data For Calculation - Insuranc'!$H:$H,"Master Dealer")) + SUMIFS('Data For Calculation - Insuranc'!I:I,'Data For Calculation - Insuranc'!$A:$A,$A31,'Data For Calculation - Insuranc'!$H:$H,"Self")</f>
        <v>0</v>
      </c>
      <c r="CE31" s="33">
        <f>IF($CK31 = "Dealer", SUMIFS('Data For Calculation - Insuranc'!J:J,'Data For Calculation - Insuranc'!$B:$B,$A31,'Data For Calculation - Insuranc'!$H:$H,"Master Dealer")) + SUMIFS('Data For Calculation - Insuranc'!J:J,'Data For Calculation - Insuranc'!$A:$A,$A31,'Data For Calculation - Insuranc'!$H:$H,"Self")</f>
        <v>0</v>
      </c>
      <c r="CF31" s="33">
        <f>IF($CK31 = "Dealer", SUMIFS('Data For Calculation - Insuranc'!K:K,'Data For Calculation - Insuranc'!$B:$B,$A31,'Data For Calculation - Insuranc'!$H:$H,"Master Dealer")) + SUMIFS('Data For Calculation - Insuranc'!K:K,'Data For Calculation - Insuranc'!$A:$A,$A31,'Data For Calculation - Insuranc'!$H:$H,"Self")</f>
        <v>0</v>
      </c>
      <c r="CG31" s="25" t="str">
        <f>(Sheet1!N31)</f>
        <v>Jain Motorcycle Company</v>
      </c>
      <c r="CH31" s="25" t="str">
        <f>(Sheet1!O31)</f>
        <v>184Y3L-ZLT7vcLiFDItIcLa-18phpzEbgBCBDgt_LGCQ</v>
      </c>
      <c r="CI31" s="25" t="str">
        <f>(Sheet1!AV31)</f>
        <v/>
      </c>
      <c r="CJ31" s="25" t="str">
        <f>(Sheet1!AW31)</f>
        <v/>
      </c>
      <c r="CK31" s="26" t="str">
        <f>(Sheet1!P31)</f>
        <v>Sub Dealer</v>
      </c>
    </row>
    <row r="32">
      <c r="A32" s="25" t="str">
        <f>(Sheet1!A32)</f>
        <v>19bXssdH9Vj9S4-hnqEvDKXxBYkCZb2YideGN1EcSGyk</v>
      </c>
      <c r="B32" s="25" t="str">
        <f>(Sheet1!B32)</f>
        <v>Radha Motors (JMC)</v>
      </c>
      <c r="C32" s="30" t="str">
        <f>Sheet1!BB32</f>
        <v>No</v>
      </c>
      <c r="D32" s="30" t="s">
        <v>13</v>
      </c>
      <c r="E32" s="34" t="s">
        <v>13</v>
      </c>
      <c r="F32" s="34" t="s">
        <v>3929</v>
      </c>
      <c r="G32" s="42" t="s">
        <v>3820</v>
      </c>
      <c r="H32" s="43">
        <v>170.0</v>
      </c>
      <c r="I32" s="42" t="s">
        <v>3853</v>
      </c>
      <c r="J32" s="43">
        <v>0.0</v>
      </c>
      <c r="K32" s="43">
        <v>100.0</v>
      </c>
      <c r="L32" s="43">
        <v>0.0</v>
      </c>
      <c r="M32" s="43">
        <v>0.0</v>
      </c>
      <c r="N32" s="33">
        <f>COUNTIFS('Data For Calculation - Insuranc'!A:A,A32,'Data For Calculation - Insuranc'!D:D,"Individual",'Data For Calculation - Insuranc'!E:E,"Bundled - 1 Year OD + 5 Year TP")</f>
        <v>0</v>
      </c>
      <c r="O32" s="34" t="s">
        <v>3930</v>
      </c>
      <c r="P32" s="42" t="s">
        <v>3820</v>
      </c>
      <c r="Q32" s="43">
        <v>170.0</v>
      </c>
      <c r="R32" s="42" t="s">
        <v>3853</v>
      </c>
      <c r="S32" s="43">
        <v>0.0</v>
      </c>
      <c r="T32" s="43">
        <v>100.0</v>
      </c>
      <c r="U32" s="43">
        <v>0.0</v>
      </c>
      <c r="V32" s="43">
        <v>0.0</v>
      </c>
      <c r="W32" s="33">
        <f>COUNTIFS('Data For Calculation - Insuranc'!A:A,A32,'Data For Calculation - Insuranc'!D:D,"Company",'Data For Calculation - Insuranc'!E:E,"Bundled - 1 Year OD + 5 Year TP")</f>
        <v>0</v>
      </c>
      <c r="X32" s="34" t="s">
        <v>3929</v>
      </c>
      <c r="Y32" s="42" t="s">
        <v>3820</v>
      </c>
      <c r="Z32" s="31">
        <v>170.0</v>
      </c>
      <c r="AA32" s="34" t="s">
        <v>3853</v>
      </c>
      <c r="AB32" s="34">
        <v>0.0</v>
      </c>
      <c r="AC32" s="34">
        <v>100.0</v>
      </c>
      <c r="AD32" s="34">
        <v>0.0</v>
      </c>
      <c r="AE32" s="34">
        <v>0.0</v>
      </c>
      <c r="AF32" s="33">
        <f>COUNTIFS('Data For Calculation - Insuranc'!A:A,A32,'Data For Calculation - Insuranc'!D:D,"Individual",'Data For Calculation - Insuranc'!E:E,"Rollover Comprehensive - 1 Year OD + 1 Year TP")</f>
        <v>0</v>
      </c>
      <c r="AG32" s="34" t="s">
        <v>3930</v>
      </c>
      <c r="AH32" s="42" t="s">
        <v>3820</v>
      </c>
      <c r="AI32" s="31">
        <v>170.0</v>
      </c>
      <c r="AJ32" s="34" t="s">
        <v>3853</v>
      </c>
      <c r="AK32" s="34">
        <v>0.0</v>
      </c>
      <c r="AL32" s="34">
        <v>100.0</v>
      </c>
      <c r="AM32" s="34">
        <v>0.0</v>
      </c>
      <c r="AN32" s="34">
        <v>0.0</v>
      </c>
      <c r="AO32" s="33">
        <f>COUNTIFS('Data For Calculation - Insuranc'!A:A,A32,'Data For Calculation - Insuranc'!D:D,"Company",'Data For Calculation - Insuranc'!E:E,"Rollover Comprehensive - 1 Year OD + 1 Year TP")</f>
        <v>0</v>
      </c>
      <c r="AP32" s="34" t="s">
        <v>3931</v>
      </c>
      <c r="AQ32" s="42" t="s">
        <v>3820</v>
      </c>
      <c r="AR32" s="31">
        <v>170.0</v>
      </c>
      <c r="AS32" s="34" t="s">
        <v>3853</v>
      </c>
      <c r="AT32" s="34">
        <v>0.0</v>
      </c>
      <c r="AU32" s="34">
        <v>100.0</v>
      </c>
      <c r="AV32" s="34">
        <v>0.0</v>
      </c>
      <c r="AW32" s="34">
        <v>0.0</v>
      </c>
      <c r="AX32" s="33">
        <f>COUNTIFS('Data For Calculation - Insuranc'!A:A,A32,'Data For Calculation - Insuranc'!D:D,"Individual",'Data For Calculation - Insuranc'!E:E,"Rollover - 1 Year OD Only")</f>
        <v>0</v>
      </c>
      <c r="AY32" s="34" t="s">
        <v>3932</v>
      </c>
      <c r="AZ32" s="42" t="s">
        <v>3820</v>
      </c>
      <c r="BA32" s="31">
        <v>170.0</v>
      </c>
      <c r="BB32" s="34" t="s">
        <v>3853</v>
      </c>
      <c r="BC32" s="34">
        <v>0.0</v>
      </c>
      <c r="BD32" s="34">
        <v>100.0</v>
      </c>
      <c r="BE32" s="34">
        <v>0.0</v>
      </c>
      <c r="BF32" s="34">
        <v>0.0</v>
      </c>
      <c r="BG32" s="33">
        <f>COUNTIFS('Data For Calculation - Insuranc'!A:A,A32,'Data For Calculation - Insuranc'!D:D,"Company",'Data For Calculation - Insuranc'!E:E,"Rollover - 1 Year OD Only")</f>
        <v>0</v>
      </c>
      <c r="BH32" s="34" t="s">
        <v>3931</v>
      </c>
      <c r="BI32" s="42" t="s">
        <v>3820</v>
      </c>
      <c r="BJ32" s="31">
        <v>170.0</v>
      </c>
      <c r="BK32" s="34" t="s">
        <v>3853</v>
      </c>
      <c r="BL32" s="34">
        <v>0.0</v>
      </c>
      <c r="BM32" s="34">
        <v>100.0</v>
      </c>
      <c r="BN32" s="34">
        <v>0.0</v>
      </c>
      <c r="BO32" s="34">
        <v>0.0</v>
      </c>
      <c r="BP32" s="33">
        <f>COUNTIFS('Data For Calculation - Insuranc'!A:A,A32,'Data For Calculation - Insuranc'!D:D,"Individual",'Data For Calculation - Insuranc'!E:E,"Rollover - 1 Year TP Only")</f>
        <v>0</v>
      </c>
      <c r="BQ32" s="34" t="s">
        <v>3932</v>
      </c>
      <c r="BR32" s="42" t="s">
        <v>3820</v>
      </c>
      <c r="BS32" s="31">
        <v>170.0</v>
      </c>
      <c r="BT32" s="34" t="s">
        <v>3853</v>
      </c>
      <c r="BU32" s="34">
        <v>0.0</v>
      </c>
      <c r="BV32" s="34">
        <v>100.0</v>
      </c>
      <c r="BW32" s="34">
        <v>0.0</v>
      </c>
      <c r="BX32" s="34">
        <v>0.0</v>
      </c>
      <c r="BY32" s="33">
        <f>COUNTIFS('Data For Calculation - Insuranc'!A:A,A32,'Data For Calculation - Insuranc'!D:D,"Company",'Data For Calculation - Insuranc'!E:E,"Rollover - 1 Year TP Only")</f>
        <v>0</v>
      </c>
      <c r="BZ32" s="31">
        <f t="shared" si="1"/>
        <v>0</v>
      </c>
      <c r="CA32" s="33">
        <f>SUMIFS('Data For Calculation - Insuranc'!I:I,'Data For Calculation - Insuranc'!$A:$A,$A32)</f>
        <v>0</v>
      </c>
      <c r="CB32" s="33">
        <f>SUMIFS('Data For Calculation - Insuranc'!J:J,'Data For Calculation - Insuranc'!$A:$A,$A32)</f>
        <v>0</v>
      </c>
      <c r="CC32" s="33">
        <f>SUMIFS('Data For Calculation - Insuranc'!K:K,'Data For Calculation - Insuranc'!$A:$A,$A32)</f>
        <v>0</v>
      </c>
      <c r="CD32" s="33">
        <f>IF($CK32 = "Dealer", SUMIFS('Data For Calculation - Insuranc'!I:I,'Data For Calculation - Insuranc'!$B:$B,$A32,'Data For Calculation - Insuranc'!$H:$H,"Master Dealer")) + SUMIFS('Data For Calculation - Insuranc'!I:I,'Data For Calculation - Insuranc'!$A:$A,$A32,'Data For Calculation - Insuranc'!$H:$H,"Self")</f>
        <v>0</v>
      </c>
      <c r="CE32" s="33">
        <f>IF($CK32 = "Dealer", SUMIFS('Data For Calculation - Insuranc'!J:J,'Data For Calculation - Insuranc'!$B:$B,$A32,'Data For Calculation - Insuranc'!$H:$H,"Master Dealer")) + SUMIFS('Data For Calculation - Insuranc'!J:J,'Data For Calculation - Insuranc'!$A:$A,$A32,'Data For Calculation - Insuranc'!$H:$H,"Self")</f>
        <v>0</v>
      </c>
      <c r="CF32" s="33">
        <f>IF($CK32 = "Dealer", SUMIFS('Data For Calculation - Insuranc'!K:K,'Data For Calculation - Insuranc'!$B:$B,$A32,'Data For Calculation - Insuranc'!$H:$H,"Master Dealer")) + SUMIFS('Data For Calculation - Insuranc'!K:K,'Data For Calculation - Insuranc'!$A:$A,$A32,'Data For Calculation - Insuranc'!$H:$H,"Self")</f>
        <v>0</v>
      </c>
      <c r="CG32" s="25" t="str">
        <f>(Sheet1!N32)</f>
        <v>Jain Motorcycle Company</v>
      </c>
      <c r="CH32" s="25" t="str">
        <f>(Sheet1!O32)</f>
        <v>184Y3L-ZLT7vcLiFDItIcLa-18phpzEbgBCBDgt_LGCQ</v>
      </c>
      <c r="CI32" s="25" t="str">
        <f>(Sheet1!AV32)</f>
        <v/>
      </c>
      <c r="CJ32" s="25" t="str">
        <f>(Sheet1!AW32)</f>
        <v/>
      </c>
      <c r="CK32" s="26" t="str">
        <f>(Sheet1!P32)</f>
        <v>Sub Dealer</v>
      </c>
    </row>
    <row r="33">
      <c r="A33" s="25" t="str">
        <f>(Sheet1!A33)</f>
        <v>1EKUX2g7taP0J1K7X0BVbZcttQIgEqnHtNldFX8ZYPLQ</v>
      </c>
      <c r="B33" s="25" t="str">
        <f>(Sheet1!B33)</f>
        <v>Agrawal Auto Sales (JMC)</v>
      </c>
      <c r="C33" s="30" t="str">
        <f>Sheet1!BB33</f>
        <v>No</v>
      </c>
      <c r="D33" s="30" t="s">
        <v>13</v>
      </c>
      <c r="E33" s="34" t="s">
        <v>13</v>
      </c>
      <c r="F33" s="34" t="s">
        <v>3929</v>
      </c>
      <c r="G33" s="42" t="s">
        <v>3820</v>
      </c>
      <c r="H33" s="43">
        <v>170.0</v>
      </c>
      <c r="I33" s="42" t="s">
        <v>3853</v>
      </c>
      <c r="J33" s="43">
        <v>0.0</v>
      </c>
      <c r="K33" s="43">
        <v>100.0</v>
      </c>
      <c r="L33" s="43">
        <v>0.0</v>
      </c>
      <c r="M33" s="43">
        <v>0.0</v>
      </c>
      <c r="N33" s="33">
        <f>COUNTIFS('Data For Calculation - Insuranc'!A:A,A33,'Data For Calculation - Insuranc'!D:D,"Individual",'Data For Calculation - Insuranc'!E:E,"Bundled - 1 Year OD + 5 Year TP")</f>
        <v>0</v>
      </c>
      <c r="O33" s="34" t="s">
        <v>3930</v>
      </c>
      <c r="P33" s="42" t="s">
        <v>3820</v>
      </c>
      <c r="Q33" s="43">
        <v>170.0</v>
      </c>
      <c r="R33" s="42" t="s">
        <v>3853</v>
      </c>
      <c r="S33" s="43">
        <v>0.0</v>
      </c>
      <c r="T33" s="43">
        <v>100.0</v>
      </c>
      <c r="U33" s="43">
        <v>0.0</v>
      </c>
      <c r="V33" s="43">
        <v>0.0</v>
      </c>
      <c r="W33" s="33">
        <f>COUNTIFS('Data For Calculation - Insuranc'!A:A,A33,'Data For Calculation - Insuranc'!D:D,"Company",'Data For Calculation - Insuranc'!E:E,"Bundled - 1 Year OD + 5 Year TP")</f>
        <v>0</v>
      </c>
      <c r="X33" s="34" t="s">
        <v>3929</v>
      </c>
      <c r="Y33" s="42" t="s">
        <v>3820</v>
      </c>
      <c r="Z33" s="31">
        <v>170.0</v>
      </c>
      <c r="AA33" s="34" t="s">
        <v>3853</v>
      </c>
      <c r="AB33" s="34">
        <v>0.0</v>
      </c>
      <c r="AC33" s="34">
        <v>100.0</v>
      </c>
      <c r="AD33" s="34">
        <v>0.0</v>
      </c>
      <c r="AE33" s="34">
        <v>0.0</v>
      </c>
      <c r="AF33" s="33">
        <f>COUNTIFS('Data For Calculation - Insuranc'!A:A,A33,'Data For Calculation - Insuranc'!D:D,"Individual",'Data For Calculation - Insuranc'!E:E,"Rollover Comprehensive - 1 Year OD + 1 Year TP")</f>
        <v>0</v>
      </c>
      <c r="AG33" s="34" t="s">
        <v>3930</v>
      </c>
      <c r="AH33" s="42" t="s">
        <v>3820</v>
      </c>
      <c r="AI33" s="31">
        <v>170.0</v>
      </c>
      <c r="AJ33" s="34" t="s">
        <v>3853</v>
      </c>
      <c r="AK33" s="34">
        <v>0.0</v>
      </c>
      <c r="AL33" s="34">
        <v>100.0</v>
      </c>
      <c r="AM33" s="34">
        <v>0.0</v>
      </c>
      <c r="AN33" s="34">
        <v>0.0</v>
      </c>
      <c r="AO33" s="33">
        <f>COUNTIFS('Data For Calculation - Insuranc'!A:A,A33,'Data For Calculation - Insuranc'!D:D,"Company",'Data For Calculation - Insuranc'!E:E,"Rollover Comprehensive - 1 Year OD + 1 Year TP")</f>
        <v>0</v>
      </c>
      <c r="AP33" s="34" t="s">
        <v>3931</v>
      </c>
      <c r="AQ33" s="42" t="s">
        <v>3820</v>
      </c>
      <c r="AR33" s="31">
        <v>170.0</v>
      </c>
      <c r="AS33" s="34" t="s">
        <v>3853</v>
      </c>
      <c r="AT33" s="34">
        <v>0.0</v>
      </c>
      <c r="AU33" s="34">
        <v>100.0</v>
      </c>
      <c r="AV33" s="34">
        <v>0.0</v>
      </c>
      <c r="AW33" s="34">
        <v>0.0</v>
      </c>
      <c r="AX33" s="33">
        <f>COUNTIFS('Data For Calculation - Insuranc'!A:A,A33,'Data For Calculation - Insuranc'!D:D,"Individual",'Data For Calculation - Insuranc'!E:E,"Rollover - 1 Year OD Only")</f>
        <v>0</v>
      </c>
      <c r="AY33" s="34" t="s">
        <v>3932</v>
      </c>
      <c r="AZ33" s="42" t="s">
        <v>3820</v>
      </c>
      <c r="BA33" s="31">
        <v>170.0</v>
      </c>
      <c r="BB33" s="34" t="s">
        <v>3853</v>
      </c>
      <c r="BC33" s="34">
        <v>0.0</v>
      </c>
      <c r="BD33" s="34">
        <v>100.0</v>
      </c>
      <c r="BE33" s="34">
        <v>0.0</v>
      </c>
      <c r="BF33" s="34">
        <v>0.0</v>
      </c>
      <c r="BG33" s="33">
        <f>COUNTIFS('Data For Calculation - Insuranc'!A:A,A33,'Data For Calculation - Insuranc'!D:D,"Company",'Data For Calculation - Insuranc'!E:E,"Rollover - 1 Year OD Only")</f>
        <v>0</v>
      </c>
      <c r="BH33" s="34" t="s">
        <v>3931</v>
      </c>
      <c r="BI33" s="42" t="s">
        <v>3820</v>
      </c>
      <c r="BJ33" s="31">
        <v>170.0</v>
      </c>
      <c r="BK33" s="34" t="s">
        <v>3853</v>
      </c>
      <c r="BL33" s="34">
        <v>0.0</v>
      </c>
      <c r="BM33" s="34">
        <v>100.0</v>
      </c>
      <c r="BN33" s="34">
        <v>0.0</v>
      </c>
      <c r="BO33" s="34">
        <v>0.0</v>
      </c>
      <c r="BP33" s="33">
        <f>COUNTIFS('Data For Calculation - Insuranc'!A:A,A33,'Data For Calculation - Insuranc'!D:D,"Individual",'Data For Calculation - Insuranc'!E:E,"Rollover - 1 Year TP Only")</f>
        <v>0</v>
      </c>
      <c r="BQ33" s="34" t="s">
        <v>3932</v>
      </c>
      <c r="BR33" s="42" t="s">
        <v>3820</v>
      </c>
      <c r="BS33" s="31">
        <v>170.0</v>
      </c>
      <c r="BT33" s="34" t="s">
        <v>3853</v>
      </c>
      <c r="BU33" s="34">
        <v>0.0</v>
      </c>
      <c r="BV33" s="34">
        <v>100.0</v>
      </c>
      <c r="BW33" s="34">
        <v>0.0</v>
      </c>
      <c r="BX33" s="34">
        <v>0.0</v>
      </c>
      <c r="BY33" s="33">
        <f>COUNTIFS('Data For Calculation - Insuranc'!A:A,A33,'Data For Calculation - Insuranc'!D:D,"Company",'Data For Calculation - Insuranc'!E:E,"Rollover - 1 Year TP Only")</f>
        <v>0</v>
      </c>
      <c r="BZ33" s="31">
        <f t="shared" si="1"/>
        <v>0</v>
      </c>
      <c r="CA33" s="33">
        <f>SUMIFS('Data For Calculation - Insuranc'!I:I,'Data For Calculation - Insuranc'!$A:$A,$A33)</f>
        <v>0</v>
      </c>
      <c r="CB33" s="33">
        <f>SUMIFS('Data For Calculation - Insuranc'!J:J,'Data For Calculation - Insuranc'!$A:$A,$A33)</f>
        <v>0</v>
      </c>
      <c r="CC33" s="33">
        <f>SUMIFS('Data For Calculation - Insuranc'!K:K,'Data For Calculation - Insuranc'!$A:$A,$A33)</f>
        <v>0</v>
      </c>
      <c r="CD33" s="33">
        <f>IF($CK33 = "Dealer", SUMIFS('Data For Calculation - Insuranc'!I:I,'Data For Calculation - Insuranc'!$B:$B,$A33,'Data For Calculation - Insuranc'!$H:$H,"Master Dealer")) + SUMIFS('Data For Calculation - Insuranc'!I:I,'Data For Calculation - Insuranc'!$A:$A,$A33,'Data For Calculation - Insuranc'!$H:$H,"Self")</f>
        <v>0</v>
      </c>
      <c r="CE33" s="33">
        <f>IF($CK33 = "Dealer", SUMIFS('Data For Calculation - Insuranc'!J:J,'Data For Calculation - Insuranc'!$B:$B,$A33,'Data For Calculation - Insuranc'!$H:$H,"Master Dealer")) + SUMIFS('Data For Calculation - Insuranc'!J:J,'Data For Calculation - Insuranc'!$A:$A,$A33,'Data For Calculation - Insuranc'!$H:$H,"Self")</f>
        <v>0</v>
      </c>
      <c r="CF33" s="33">
        <f>IF($CK33 = "Dealer", SUMIFS('Data For Calculation - Insuranc'!K:K,'Data For Calculation - Insuranc'!$B:$B,$A33,'Data For Calculation - Insuranc'!$H:$H,"Master Dealer")) + SUMIFS('Data For Calculation - Insuranc'!K:K,'Data For Calculation - Insuranc'!$A:$A,$A33,'Data For Calculation - Insuranc'!$H:$H,"Self")</f>
        <v>0</v>
      </c>
      <c r="CG33" s="25" t="str">
        <f>(Sheet1!N33)</f>
        <v>Jain Motorcycle Company</v>
      </c>
      <c r="CH33" s="25" t="str">
        <f>(Sheet1!O33)</f>
        <v>184Y3L-ZLT7vcLiFDItIcLa-18phpzEbgBCBDgt_LGCQ</v>
      </c>
      <c r="CI33" s="25" t="str">
        <f>(Sheet1!AV33)</f>
        <v/>
      </c>
      <c r="CJ33" s="25" t="str">
        <f>(Sheet1!AW33)</f>
        <v/>
      </c>
      <c r="CK33" s="26" t="str">
        <f>(Sheet1!P33)</f>
        <v>Sub Dealer</v>
      </c>
    </row>
    <row r="34">
      <c r="A34" s="25" t="str">
        <f>(Sheet1!A34)</f>
        <v>1HtysfhpGiYy4pDXvahWxBmR24wGrNyOL6Yy9V9oDnB4</v>
      </c>
      <c r="B34" s="25" t="str">
        <f>(Sheet1!B34)</f>
        <v>SB Khandelwal Motors (JMC)</v>
      </c>
      <c r="C34" s="30" t="str">
        <f>Sheet1!BB34</f>
        <v>No</v>
      </c>
      <c r="D34" s="30" t="s">
        <v>13</v>
      </c>
      <c r="E34" s="34" t="s">
        <v>13</v>
      </c>
      <c r="F34" s="34" t="s">
        <v>3929</v>
      </c>
      <c r="G34" s="42" t="s">
        <v>3820</v>
      </c>
      <c r="H34" s="43">
        <v>170.0</v>
      </c>
      <c r="I34" s="42" t="s">
        <v>3853</v>
      </c>
      <c r="J34" s="43">
        <v>0.0</v>
      </c>
      <c r="K34" s="43">
        <v>100.0</v>
      </c>
      <c r="L34" s="43">
        <v>0.0</v>
      </c>
      <c r="M34" s="43">
        <v>0.0</v>
      </c>
      <c r="N34" s="33">
        <f>COUNTIFS('Data For Calculation - Insuranc'!A:A,A34,'Data For Calculation - Insuranc'!D:D,"Individual",'Data For Calculation - Insuranc'!E:E,"Bundled - 1 Year OD + 5 Year TP")</f>
        <v>0</v>
      </c>
      <c r="O34" s="34" t="s">
        <v>3930</v>
      </c>
      <c r="P34" s="42" t="s">
        <v>3820</v>
      </c>
      <c r="Q34" s="43">
        <v>170.0</v>
      </c>
      <c r="R34" s="42" t="s">
        <v>3853</v>
      </c>
      <c r="S34" s="43">
        <v>0.0</v>
      </c>
      <c r="T34" s="43">
        <v>100.0</v>
      </c>
      <c r="U34" s="43">
        <v>0.0</v>
      </c>
      <c r="V34" s="43">
        <v>0.0</v>
      </c>
      <c r="W34" s="33">
        <f>COUNTIFS('Data For Calculation - Insuranc'!A:A,A34,'Data For Calculation - Insuranc'!D:D,"Company",'Data For Calculation - Insuranc'!E:E,"Bundled - 1 Year OD + 5 Year TP")</f>
        <v>0</v>
      </c>
      <c r="X34" s="34" t="s">
        <v>3929</v>
      </c>
      <c r="Y34" s="42" t="s">
        <v>3820</v>
      </c>
      <c r="Z34" s="31">
        <v>170.0</v>
      </c>
      <c r="AA34" s="34" t="s">
        <v>3853</v>
      </c>
      <c r="AB34" s="34">
        <v>0.0</v>
      </c>
      <c r="AC34" s="34">
        <v>100.0</v>
      </c>
      <c r="AD34" s="34">
        <v>0.0</v>
      </c>
      <c r="AE34" s="34">
        <v>0.0</v>
      </c>
      <c r="AF34" s="33">
        <f>COUNTIFS('Data For Calculation - Insuranc'!A:A,A34,'Data For Calculation - Insuranc'!D:D,"Individual",'Data For Calculation - Insuranc'!E:E,"Rollover Comprehensive - 1 Year OD + 1 Year TP")</f>
        <v>0</v>
      </c>
      <c r="AG34" s="34" t="s">
        <v>3930</v>
      </c>
      <c r="AH34" s="42" t="s">
        <v>3820</v>
      </c>
      <c r="AI34" s="31">
        <v>170.0</v>
      </c>
      <c r="AJ34" s="34" t="s">
        <v>3853</v>
      </c>
      <c r="AK34" s="34">
        <v>0.0</v>
      </c>
      <c r="AL34" s="34">
        <v>100.0</v>
      </c>
      <c r="AM34" s="34">
        <v>0.0</v>
      </c>
      <c r="AN34" s="34">
        <v>0.0</v>
      </c>
      <c r="AO34" s="33">
        <f>COUNTIFS('Data For Calculation - Insuranc'!A:A,A34,'Data For Calculation - Insuranc'!D:D,"Company",'Data For Calculation - Insuranc'!E:E,"Rollover Comprehensive - 1 Year OD + 1 Year TP")</f>
        <v>0</v>
      </c>
      <c r="AP34" s="34" t="s">
        <v>3931</v>
      </c>
      <c r="AQ34" s="42" t="s">
        <v>3820</v>
      </c>
      <c r="AR34" s="31">
        <v>170.0</v>
      </c>
      <c r="AS34" s="34" t="s">
        <v>3853</v>
      </c>
      <c r="AT34" s="34">
        <v>0.0</v>
      </c>
      <c r="AU34" s="34">
        <v>100.0</v>
      </c>
      <c r="AV34" s="34">
        <v>0.0</v>
      </c>
      <c r="AW34" s="34">
        <v>0.0</v>
      </c>
      <c r="AX34" s="33">
        <f>COUNTIFS('Data For Calculation - Insuranc'!A:A,A34,'Data For Calculation - Insuranc'!D:D,"Individual",'Data For Calculation - Insuranc'!E:E,"Rollover - 1 Year OD Only")</f>
        <v>0</v>
      </c>
      <c r="AY34" s="34" t="s">
        <v>3932</v>
      </c>
      <c r="AZ34" s="42" t="s">
        <v>3820</v>
      </c>
      <c r="BA34" s="31">
        <v>170.0</v>
      </c>
      <c r="BB34" s="34" t="s">
        <v>3853</v>
      </c>
      <c r="BC34" s="34">
        <v>0.0</v>
      </c>
      <c r="BD34" s="34">
        <v>100.0</v>
      </c>
      <c r="BE34" s="34">
        <v>0.0</v>
      </c>
      <c r="BF34" s="34">
        <v>0.0</v>
      </c>
      <c r="BG34" s="33">
        <f>COUNTIFS('Data For Calculation - Insuranc'!A:A,A34,'Data For Calculation - Insuranc'!D:D,"Company",'Data For Calculation - Insuranc'!E:E,"Rollover - 1 Year OD Only")</f>
        <v>0</v>
      </c>
      <c r="BH34" s="34" t="s">
        <v>3931</v>
      </c>
      <c r="BI34" s="42" t="s">
        <v>3820</v>
      </c>
      <c r="BJ34" s="31">
        <v>170.0</v>
      </c>
      <c r="BK34" s="34" t="s">
        <v>3853</v>
      </c>
      <c r="BL34" s="34">
        <v>0.0</v>
      </c>
      <c r="BM34" s="34">
        <v>100.0</v>
      </c>
      <c r="BN34" s="34">
        <v>0.0</v>
      </c>
      <c r="BO34" s="34">
        <v>0.0</v>
      </c>
      <c r="BP34" s="33">
        <f>COUNTIFS('Data For Calculation - Insuranc'!A:A,A34,'Data For Calculation - Insuranc'!D:D,"Individual",'Data For Calculation - Insuranc'!E:E,"Rollover - 1 Year TP Only")</f>
        <v>0</v>
      </c>
      <c r="BQ34" s="34" t="s">
        <v>3932</v>
      </c>
      <c r="BR34" s="42" t="s">
        <v>3820</v>
      </c>
      <c r="BS34" s="31">
        <v>170.0</v>
      </c>
      <c r="BT34" s="34" t="s">
        <v>3853</v>
      </c>
      <c r="BU34" s="34">
        <v>0.0</v>
      </c>
      <c r="BV34" s="34">
        <v>100.0</v>
      </c>
      <c r="BW34" s="34">
        <v>0.0</v>
      </c>
      <c r="BX34" s="34">
        <v>0.0</v>
      </c>
      <c r="BY34" s="33">
        <f>COUNTIFS('Data For Calculation - Insuranc'!A:A,A34,'Data For Calculation - Insuranc'!D:D,"Company",'Data For Calculation - Insuranc'!E:E,"Rollover - 1 Year TP Only")</f>
        <v>0</v>
      </c>
      <c r="BZ34" s="31">
        <f t="shared" si="1"/>
        <v>0</v>
      </c>
      <c r="CA34" s="33">
        <f>SUMIFS('Data For Calculation - Insuranc'!I:I,'Data For Calculation - Insuranc'!$A:$A,$A34)</f>
        <v>0</v>
      </c>
      <c r="CB34" s="33">
        <f>SUMIFS('Data For Calculation - Insuranc'!J:J,'Data For Calculation - Insuranc'!$A:$A,$A34)</f>
        <v>0</v>
      </c>
      <c r="CC34" s="33">
        <f>SUMIFS('Data For Calculation - Insuranc'!K:K,'Data For Calculation - Insuranc'!$A:$A,$A34)</f>
        <v>0</v>
      </c>
      <c r="CD34" s="33">
        <f>IF($CK34 = "Dealer", SUMIFS('Data For Calculation - Insuranc'!I:I,'Data For Calculation - Insuranc'!$B:$B,$A34,'Data For Calculation - Insuranc'!$H:$H,"Master Dealer")) + SUMIFS('Data For Calculation - Insuranc'!I:I,'Data For Calculation - Insuranc'!$A:$A,$A34,'Data For Calculation - Insuranc'!$H:$H,"Self")</f>
        <v>0</v>
      </c>
      <c r="CE34" s="33">
        <f>IF($CK34 = "Dealer", SUMIFS('Data For Calculation - Insuranc'!J:J,'Data For Calculation - Insuranc'!$B:$B,$A34,'Data For Calculation - Insuranc'!$H:$H,"Master Dealer")) + SUMIFS('Data For Calculation - Insuranc'!J:J,'Data For Calculation - Insuranc'!$A:$A,$A34,'Data For Calculation - Insuranc'!$H:$H,"Self")</f>
        <v>0</v>
      </c>
      <c r="CF34" s="33">
        <f>IF($CK34 = "Dealer", SUMIFS('Data For Calculation - Insuranc'!K:K,'Data For Calculation - Insuranc'!$B:$B,$A34,'Data For Calculation - Insuranc'!$H:$H,"Master Dealer")) + SUMIFS('Data For Calculation - Insuranc'!K:K,'Data For Calculation - Insuranc'!$A:$A,$A34,'Data For Calculation - Insuranc'!$H:$H,"Self")</f>
        <v>0</v>
      </c>
      <c r="CG34" s="25" t="str">
        <f>(Sheet1!N34)</f>
        <v>Jain Motorcycle Company</v>
      </c>
      <c r="CH34" s="25" t="str">
        <f>(Sheet1!O34)</f>
        <v>184Y3L-ZLT7vcLiFDItIcLa-18phpzEbgBCBDgt_LGCQ</v>
      </c>
      <c r="CI34" s="25" t="str">
        <f>(Sheet1!AV34)</f>
        <v/>
      </c>
      <c r="CJ34" s="25" t="str">
        <f>(Sheet1!AW34)</f>
        <v/>
      </c>
      <c r="CK34" s="26" t="str">
        <f>(Sheet1!P34)</f>
        <v>Sub Dealer</v>
      </c>
    </row>
    <row r="35">
      <c r="A35" s="25" t="str">
        <f>(Sheet1!A35)</f>
        <v>1eZlt3K2rssS_3hpp5DKow70BJWa_wksndc0ag7yiUs4</v>
      </c>
      <c r="B35" s="25" t="str">
        <f>(Sheet1!B35)</f>
        <v>SK financial services (MPS)</v>
      </c>
      <c r="C35" s="30" t="str">
        <f>Sheet1!BB35</f>
        <v>No</v>
      </c>
      <c r="D35" s="30" t="s">
        <v>13</v>
      </c>
      <c r="E35" s="34" t="s">
        <v>13</v>
      </c>
      <c r="F35" s="34" t="s">
        <v>3929</v>
      </c>
      <c r="G35" s="42" t="s">
        <v>3817</v>
      </c>
      <c r="H35" s="43">
        <v>460.0</v>
      </c>
      <c r="I35" s="42" t="s">
        <v>3853</v>
      </c>
      <c r="J35" s="43">
        <v>0.0</v>
      </c>
      <c r="K35" s="43">
        <v>100.0</v>
      </c>
      <c r="L35" s="43">
        <v>0.0</v>
      </c>
      <c r="M35" s="43">
        <v>0.0</v>
      </c>
      <c r="N35" s="33">
        <f>COUNTIFS('Data For Calculation - Insuranc'!A:A,A35,'Data For Calculation - Insuranc'!D:D,"Individual",'Data For Calculation - Insuranc'!E:E,"Bundled - 1 Year OD + 5 Year TP")</f>
        <v>0</v>
      </c>
      <c r="O35" s="34" t="s">
        <v>3930</v>
      </c>
      <c r="P35" s="42" t="s">
        <v>3817</v>
      </c>
      <c r="Q35" s="43">
        <v>460.0</v>
      </c>
      <c r="R35" s="42" t="s">
        <v>3853</v>
      </c>
      <c r="S35" s="43">
        <v>0.0</v>
      </c>
      <c r="T35" s="43">
        <v>100.0</v>
      </c>
      <c r="U35" s="43">
        <v>0.0</v>
      </c>
      <c r="V35" s="43">
        <v>0.0</v>
      </c>
      <c r="W35" s="33">
        <f>COUNTIFS('Data For Calculation - Insuranc'!A:A,A35,'Data For Calculation - Insuranc'!D:D,"Company",'Data For Calculation - Insuranc'!E:E,"Bundled - 1 Year OD + 5 Year TP")</f>
        <v>0</v>
      </c>
      <c r="X35" s="34" t="s">
        <v>3929</v>
      </c>
      <c r="Y35" s="42" t="s">
        <v>3817</v>
      </c>
      <c r="Z35" s="31">
        <v>290.0</v>
      </c>
      <c r="AA35" s="34" t="s">
        <v>3853</v>
      </c>
      <c r="AB35" s="34">
        <v>0.0</v>
      </c>
      <c r="AC35" s="34">
        <v>100.0</v>
      </c>
      <c r="AD35" s="34">
        <v>0.0</v>
      </c>
      <c r="AE35" s="34">
        <v>0.0</v>
      </c>
      <c r="AF35" s="33">
        <f>COUNTIFS('Data For Calculation - Insuranc'!A:A,A35,'Data For Calculation - Insuranc'!D:D,"Individual",'Data For Calculation - Insuranc'!E:E,"Rollover Comprehensive - 1 Year OD + 1 Year TP")</f>
        <v>0</v>
      </c>
      <c r="AG35" s="34" t="s">
        <v>3930</v>
      </c>
      <c r="AH35" s="42" t="s">
        <v>3817</v>
      </c>
      <c r="AI35" s="31">
        <v>290.0</v>
      </c>
      <c r="AJ35" s="34" t="s">
        <v>3853</v>
      </c>
      <c r="AK35" s="34">
        <v>0.0</v>
      </c>
      <c r="AL35" s="34">
        <v>100.0</v>
      </c>
      <c r="AM35" s="34">
        <v>0.0</v>
      </c>
      <c r="AN35" s="34">
        <v>0.0</v>
      </c>
      <c r="AO35" s="33">
        <f>COUNTIFS('Data For Calculation - Insuranc'!A:A,A35,'Data For Calculation - Insuranc'!D:D,"Company",'Data For Calculation - Insuranc'!E:E,"Rollover Comprehensive - 1 Year OD + 1 Year TP")</f>
        <v>0</v>
      </c>
      <c r="AP35" s="34" t="s">
        <v>3931</v>
      </c>
      <c r="AQ35" s="42" t="s">
        <v>3817</v>
      </c>
      <c r="AR35" s="31">
        <v>290.0</v>
      </c>
      <c r="AS35" s="34" t="s">
        <v>3853</v>
      </c>
      <c r="AT35" s="34">
        <v>0.0</v>
      </c>
      <c r="AU35" s="34">
        <v>100.0</v>
      </c>
      <c r="AV35" s="34">
        <v>0.0</v>
      </c>
      <c r="AW35" s="34">
        <v>0.0</v>
      </c>
      <c r="AX35" s="33">
        <f>COUNTIFS('Data For Calculation - Insuranc'!A:A,A35,'Data For Calculation - Insuranc'!D:D,"Individual",'Data For Calculation - Insuranc'!E:E,"Rollover - 1 Year OD Only")</f>
        <v>0</v>
      </c>
      <c r="AY35" s="34" t="s">
        <v>3932</v>
      </c>
      <c r="AZ35" s="42" t="s">
        <v>3817</v>
      </c>
      <c r="BA35" s="31">
        <v>290.0</v>
      </c>
      <c r="BB35" s="34" t="s">
        <v>3853</v>
      </c>
      <c r="BC35" s="34">
        <v>0.0</v>
      </c>
      <c r="BD35" s="34">
        <v>100.0</v>
      </c>
      <c r="BE35" s="34">
        <v>0.0</v>
      </c>
      <c r="BF35" s="34">
        <v>0.0</v>
      </c>
      <c r="BG35" s="33">
        <f>COUNTIFS('Data For Calculation - Insuranc'!A:A,A35,'Data For Calculation - Insuranc'!D:D,"Company",'Data For Calculation - Insuranc'!E:E,"Rollover - 1 Year OD Only")</f>
        <v>0</v>
      </c>
      <c r="BH35" s="34" t="s">
        <v>3931</v>
      </c>
      <c r="BI35" s="42" t="s">
        <v>3817</v>
      </c>
      <c r="BJ35" s="31">
        <v>290.0</v>
      </c>
      <c r="BK35" s="34" t="s">
        <v>3853</v>
      </c>
      <c r="BL35" s="34">
        <v>0.0</v>
      </c>
      <c r="BM35" s="34">
        <v>100.0</v>
      </c>
      <c r="BN35" s="34">
        <v>0.0</v>
      </c>
      <c r="BO35" s="34">
        <v>0.0</v>
      </c>
      <c r="BP35" s="33">
        <f>COUNTIFS('Data For Calculation - Insuranc'!A:A,A35,'Data For Calculation - Insuranc'!D:D,"Individual",'Data For Calculation - Insuranc'!E:E,"Rollover - 1 Year TP Only")</f>
        <v>0</v>
      </c>
      <c r="BQ35" s="34" t="s">
        <v>3932</v>
      </c>
      <c r="BR35" s="42" t="s">
        <v>3817</v>
      </c>
      <c r="BS35" s="31">
        <v>290.0</v>
      </c>
      <c r="BT35" s="34" t="s">
        <v>3853</v>
      </c>
      <c r="BU35" s="34">
        <v>0.0</v>
      </c>
      <c r="BV35" s="34">
        <v>100.0</v>
      </c>
      <c r="BW35" s="34">
        <v>0.0</v>
      </c>
      <c r="BX35" s="34">
        <v>0.0</v>
      </c>
      <c r="BY35" s="33">
        <f>COUNTIFS('Data For Calculation - Insuranc'!A:A,A35,'Data For Calculation - Insuranc'!D:D,"Company",'Data For Calculation - Insuranc'!E:E,"Rollover - 1 Year TP Only")</f>
        <v>0</v>
      </c>
      <c r="BZ35" s="31">
        <f t="shared" si="1"/>
        <v>0</v>
      </c>
      <c r="CA35" s="33">
        <f>SUMIFS('Data For Calculation - Insuranc'!I:I,'Data For Calculation - Insuranc'!$A:$A,$A35)</f>
        <v>0</v>
      </c>
      <c r="CB35" s="33">
        <f>SUMIFS('Data For Calculation - Insuranc'!J:J,'Data For Calculation - Insuranc'!$A:$A,$A35)</f>
        <v>0</v>
      </c>
      <c r="CC35" s="33">
        <f>SUMIFS('Data For Calculation - Insuranc'!K:K,'Data For Calculation - Insuranc'!$A:$A,$A35)</f>
        <v>0</v>
      </c>
      <c r="CD35" s="33">
        <f>IF($CK35 = "Dealer", SUMIFS('Data For Calculation - Insuranc'!I:I,'Data For Calculation - Insuranc'!$B:$B,$A35,'Data For Calculation - Insuranc'!$H:$H,"Master Dealer")) + SUMIFS('Data For Calculation - Insuranc'!I:I,'Data For Calculation - Insuranc'!$A:$A,$A35,'Data For Calculation - Insuranc'!$H:$H,"Self")</f>
        <v>0</v>
      </c>
      <c r="CE35" s="33">
        <f>IF($CK35 = "Dealer", SUMIFS('Data For Calculation - Insuranc'!J:J,'Data For Calculation - Insuranc'!$B:$B,$A35,'Data For Calculation - Insuranc'!$H:$H,"Master Dealer")) + SUMIFS('Data For Calculation - Insuranc'!J:J,'Data For Calculation - Insuranc'!$A:$A,$A35,'Data For Calculation - Insuranc'!$H:$H,"Self")</f>
        <v>0</v>
      </c>
      <c r="CF35" s="33">
        <f>IF($CK35 = "Dealer", SUMIFS('Data For Calculation - Insuranc'!K:K,'Data For Calculation - Insuranc'!$B:$B,$A35,'Data For Calculation - Insuranc'!$H:$H,"Master Dealer")) + SUMIFS('Data For Calculation - Insuranc'!K:K,'Data For Calculation - Insuranc'!$A:$A,$A35,'Data For Calculation - Insuranc'!$H:$H,"Self")</f>
        <v>0</v>
      </c>
      <c r="CG35" s="25" t="str">
        <f>(Sheet1!N35)</f>
        <v>SK financial services (MPS)</v>
      </c>
      <c r="CH35" s="25" t="str">
        <f>(Sheet1!O35)</f>
        <v>1eZlt3K2rssS_3hpp5DKow70BJWa_wksndc0ag7yiUs4</v>
      </c>
      <c r="CI35" s="25" t="str">
        <f>(Sheet1!AV35)</f>
        <v/>
      </c>
      <c r="CJ35" s="25" t="str">
        <f>(Sheet1!AW35)</f>
        <v/>
      </c>
      <c r="CK35" s="26" t="str">
        <f>(Sheet1!P35)</f>
        <v>Dealer</v>
      </c>
    </row>
    <row r="36">
      <c r="A36" s="25" t="str">
        <f>(Sheet1!A36)</f>
        <v>1AjVyIHPgPw3jscNmkTH1qzR2RokK5FZaJLjeNfOiYAA</v>
      </c>
      <c r="B36" s="25" t="str">
        <f>(Sheet1!B36)</f>
        <v>AAA</v>
      </c>
      <c r="C36" s="30" t="str">
        <f>Sheet1!BB36</f>
        <v>No</v>
      </c>
      <c r="D36" s="30" t="s">
        <v>13</v>
      </c>
      <c r="E36" s="34" t="s">
        <v>13</v>
      </c>
      <c r="F36" s="34" t="s">
        <v>3929</v>
      </c>
      <c r="G36" s="42" t="s">
        <v>3856</v>
      </c>
      <c r="H36" s="47">
        <v>155.0</v>
      </c>
      <c r="I36" s="42" t="s">
        <v>3853</v>
      </c>
      <c r="J36" s="43">
        <v>0.0</v>
      </c>
      <c r="K36" s="43">
        <v>100.0</v>
      </c>
      <c r="L36" s="43">
        <v>0.0</v>
      </c>
      <c r="M36" s="43">
        <v>0.0</v>
      </c>
      <c r="N36" s="33">
        <f>COUNTIFS('Data For Calculation - Insuranc'!A:A,A36,'Data For Calculation - Insuranc'!D:D,"Individual",'Data For Calculation - Insuranc'!E:E,"Bundled - 1 Year OD + 5 Year TP")</f>
        <v>0</v>
      </c>
      <c r="O36" s="34" t="s">
        <v>3930</v>
      </c>
      <c r="P36" s="42" t="s">
        <v>3856</v>
      </c>
      <c r="Q36" s="47">
        <v>155.0</v>
      </c>
      <c r="R36" s="42" t="s">
        <v>3853</v>
      </c>
      <c r="S36" s="43">
        <v>0.0</v>
      </c>
      <c r="T36" s="43">
        <v>100.0</v>
      </c>
      <c r="U36" s="43">
        <v>0.0</v>
      </c>
      <c r="V36" s="43">
        <v>0.0</v>
      </c>
      <c r="W36" s="33">
        <f>COUNTIFS('Data For Calculation - Insuranc'!A:A,A36,'Data For Calculation - Insuranc'!D:D,"Company",'Data For Calculation - Insuranc'!E:E,"Bundled - 1 Year OD + 5 Year TP")</f>
        <v>0</v>
      </c>
      <c r="X36" s="34" t="s">
        <v>3929</v>
      </c>
      <c r="Y36" s="42" t="s">
        <v>3856</v>
      </c>
      <c r="Z36" s="31">
        <v>155.0</v>
      </c>
      <c r="AA36" s="34" t="s">
        <v>3853</v>
      </c>
      <c r="AB36" s="34">
        <v>0.0</v>
      </c>
      <c r="AC36" s="34">
        <v>100.0</v>
      </c>
      <c r="AD36" s="34">
        <v>0.0</v>
      </c>
      <c r="AE36" s="34">
        <v>0.0</v>
      </c>
      <c r="AF36" s="33">
        <f>COUNTIFS('Data For Calculation - Insuranc'!A:A,A36,'Data For Calculation - Insuranc'!D:D,"Individual",'Data For Calculation - Insuranc'!E:E,"Rollover Comprehensive - 1 Year OD + 1 Year TP")</f>
        <v>0</v>
      </c>
      <c r="AG36" s="34" t="s">
        <v>3930</v>
      </c>
      <c r="AH36" s="42" t="s">
        <v>3856</v>
      </c>
      <c r="AI36" s="31">
        <v>155.0</v>
      </c>
      <c r="AJ36" s="34" t="s">
        <v>3853</v>
      </c>
      <c r="AK36" s="34">
        <v>0.0</v>
      </c>
      <c r="AL36" s="34">
        <v>100.0</v>
      </c>
      <c r="AM36" s="34">
        <v>0.0</v>
      </c>
      <c r="AN36" s="34">
        <v>0.0</v>
      </c>
      <c r="AO36" s="33">
        <f>COUNTIFS('Data For Calculation - Insuranc'!A:A,A36,'Data For Calculation - Insuranc'!D:D,"Company",'Data For Calculation - Insuranc'!E:E,"Rollover Comprehensive - 1 Year OD + 1 Year TP")</f>
        <v>0</v>
      </c>
      <c r="AP36" s="34" t="s">
        <v>3931</v>
      </c>
      <c r="AQ36" s="42" t="s">
        <v>3856</v>
      </c>
      <c r="AR36" s="31">
        <v>155.0</v>
      </c>
      <c r="AS36" s="34" t="s">
        <v>3853</v>
      </c>
      <c r="AT36" s="34">
        <v>0.0</v>
      </c>
      <c r="AU36" s="34">
        <v>100.0</v>
      </c>
      <c r="AV36" s="34">
        <v>0.0</v>
      </c>
      <c r="AW36" s="34">
        <v>0.0</v>
      </c>
      <c r="AX36" s="33">
        <f>COUNTIFS('Data For Calculation - Insuranc'!A:A,A36,'Data For Calculation - Insuranc'!D:D,"Individual",'Data For Calculation - Insuranc'!E:E,"Rollover - 1 Year OD Only")</f>
        <v>0</v>
      </c>
      <c r="AY36" s="34" t="s">
        <v>3932</v>
      </c>
      <c r="AZ36" s="42" t="s">
        <v>3856</v>
      </c>
      <c r="BA36" s="31">
        <v>155.0</v>
      </c>
      <c r="BB36" s="34" t="s">
        <v>3853</v>
      </c>
      <c r="BC36" s="34">
        <v>0.0</v>
      </c>
      <c r="BD36" s="34">
        <v>100.0</v>
      </c>
      <c r="BE36" s="34">
        <v>0.0</v>
      </c>
      <c r="BF36" s="34">
        <v>0.0</v>
      </c>
      <c r="BG36" s="33">
        <f>COUNTIFS('Data For Calculation - Insuranc'!A:A,A36,'Data For Calculation - Insuranc'!D:D,"Company",'Data For Calculation - Insuranc'!E:E,"Rollover - 1 Year OD Only")</f>
        <v>0</v>
      </c>
      <c r="BH36" s="34" t="s">
        <v>3931</v>
      </c>
      <c r="BI36" s="42" t="s">
        <v>3856</v>
      </c>
      <c r="BJ36" s="31">
        <v>155.0</v>
      </c>
      <c r="BK36" s="34" t="s">
        <v>3853</v>
      </c>
      <c r="BL36" s="34">
        <v>0.0</v>
      </c>
      <c r="BM36" s="34">
        <v>100.0</v>
      </c>
      <c r="BN36" s="34">
        <v>0.0</v>
      </c>
      <c r="BO36" s="34">
        <v>0.0</v>
      </c>
      <c r="BP36" s="33">
        <f>COUNTIFS('Data For Calculation - Insuranc'!A:A,A36,'Data For Calculation - Insuranc'!D:D,"Individual",'Data For Calculation - Insuranc'!E:E,"Rollover - 1 Year TP Only")</f>
        <v>0</v>
      </c>
      <c r="BQ36" s="34" t="s">
        <v>3932</v>
      </c>
      <c r="BR36" s="42" t="s">
        <v>3856</v>
      </c>
      <c r="BS36" s="31">
        <v>155.0</v>
      </c>
      <c r="BT36" s="34" t="s">
        <v>3853</v>
      </c>
      <c r="BU36" s="34">
        <v>0.0</v>
      </c>
      <c r="BV36" s="34">
        <v>100.0</v>
      </c>
      <c r="BW36" s="34">
        <v>0.0</v>
      </c>
      <c r="BX36" s="34">
        <v>0.0</v>
      </c>
      <c r="BY36" s="33">
        <f>COUNTIFS('Data For Calculation - Insuranc'!A:A,A36,'Data For Calculation - Insuranc'!D:D,"Company",'Data For Calculation - Insuranc'!E:E,"Rollover - 1 Year TP Only")</f>
        <v>0</v>
      </c>
      <c r="BZ36" s="31">
        <f t="shared" si="1"/>
        <v>0</v>
      </c>
      <c r="CA36" s="33">
        <f>SUMIFS('Data For Calculation - Insuranc'!I:I,'Data For Calculation - Insuranc'!$A:$A,$A36)</f>
        <v>0</v>
      </c>
      <c r="CB36" s="33">
        <f>SUMIFS('Data For Calculation - Insuranc'!J:J,'Data For Calculation - Insuranc'!$A:$A,$A36)</f>
        <v>0</v>
      </c>
      <c r="CC36" s="33">
        <f>SUMIFS('Data For Calculation - Insuranc'!K:K,'Data For Calculation - Insuranc'!$A:$A,$A36)</f>
        <v>0</v>
      </c>
      <c r="CD36" s="33">
        <f>IF($CK36 = "Dealer", SUMIFS('Data For Calculation - Insuranc'!I:I,'Data For Calculation - Insuranc'!$B:$B,$A36,'Data For Calculation - Insuranc'!$H:$H,"Master Dealer")) + SUMIFS('Data For Calculation - Insuranc'!I:I,'Data For Calculation - Insuranc'!$A:$A,$A36,'Data For Calculation - Insuranc'!$H:$H,"Self")</f>
        <v>0</v>
      </c>
      <c r="CE36" s="33">
        <f>IF($CK36 = "Dealer", SUMIFS('Data For Calculation - Insuranc'!J:J,'Data For Calculation - Insuranc'!$B:$B,$A36,'Data For Calculation - Insuranc'!$H:$H,"Master Dealer")) + SUMIFS('Data For Calculation - Insuranc'!J:J,'Data For Calculation - Insuranc'!$A:$A,$A36,'Data For Calculation - Insuranc'!$H:$H,"Self")</f>
        <v>0</v>
      </c>
      <c r="CF36" s="33">
        <f>IF($CK36 = "Dealer", SUMIFS('Data For Calculation - Insuranc'!K:K,'Data For Calculation - Insuranc'!$B:$B,$A36,'Data For Calculation - Insuranc'!$H:$H,"Master Dealer")) + SUMIFS('Data For Calculation - Insuranc'!K:K,'Data For Calculation - Insuranc'!$A:$A,$A36,'Data For Calculation - Insuranc'!$H:$H,"Self")</f>
        <v>0</v>
      </c>
      <c r="CG36" s="25" t="str">
        <f>(Sheet1!N36)</f>
        <v>AAA</v>
      </c>
      <c r="CH36" s="25" t="str">
        <f>(Sheet1!O36)</f>
        <v>1AjVyIHPgPw3jscNmkTH1qzR2RokK5FZaJLjeNfOiYAA</v>
      </c>
      <c r="CI36" s="25" t="str">
        <f>(Sheet1!AV36)</f>
        <v/>
      </c>
      <c r="CJ36" s="25" t="str">
        <f>(Sheet1!AW36)</f>
        <v/>
      </c>
      <c r="CK36" s="26" t="str">
        <f>(Sheet1!P36)</f>
        <v>Dealer</v>
      </c>
    </row>
    <row r="37">
      <c r="A37" s="25" t="str">
        <f>(Sheet1!A37)</f>
        <v>1txqT-r-3rrz_JL6hfpj1nayS9LkA6F-X3hyZ3XTUiO8</v>
      </c>
      <c r="B37" s="25" t="str">
        <f>(Sheet1!B37)</f>
        <v>FRIENDS AUTOMOBILES (BBW)</v>
      </c>
      <c r="C37" s="30" t="str">
        <f>Sheet1!BB37</f>
        <v>No</v>
      </c>
      <c r="D37" s="30" t="s">
        <v>13</v>
      </c>
      <c r="E37" s="34" t="s">
        <v>13</v>
      </c>
      <c r="F37" s="34" t="s">
        <v>3929</v>
      </c>
      <c r="G37" s="42" t="s">
        <v>3820</v>
      </c>
      <c r="H37" s="43">
        <v>460.0</v>
      </c>
      <c r="I37" s="42" t="s">
        <v>3853</v>
      </c>
      <c r="J37" s="43">
        <v>0.0</v>
      </c>
      <c r="K37" s="43">
        <v>100.0</v>
      </c>
      <c r="L37" s="43">
        <v>0.0</v>
      </c>
      <c r="M37" s="43">
        <v>0.0</v>
      </c>
      <c r="N37" s="33">
        <f>COUNTIFS('Data For Calculation - Insuranc'!A:A,A37,'Data For Calculation - Insuranc'!D:D,"Individual",'Data For Calculation - Insuranc'!E:E,"Bundled - 1 Year OD + 5 Year TP")</f>
        <v>0</v>
      </c>
      <c r="O37" s="34" t="s">
        <v>3930</v>
      </c>
      <c r="P37" s="42" t="s">
        <v>3820</v>
      </c>
      <c r="Q37" s="43">
        <v>460.0</v>
      </c>
      <c r="R37" s="42" t="s">
        <v>3853</v>
      </c>
      <c r="S37" s="43">
        <v>0.0</v>
      </c>
      <c r="T37" s="43">
        <v>100.0</v>
      </c>
      <c r="U37" s="43">
        <v>0.0</v>
      </c>
      <c r="V37" s="43">
        <v>0.0</v>
      </c>
      <c r="W37" s="33">
        <f>COUNTIFS('Data For Calculation - Insuranc'!A:A,A37,'Data For Calculation - Insuranc'!D:D,"Company",'Data For Calculation - Insuranc'!E:E,"Bundled - 1 Year OD + 5 Year TP")</f>
        <v>0</v>
      </c>
      <c r="X37" s="34" t="s">
        <v>3929</v>
      </c>
      <c r="Y37" s="42" t="s">
        <v>3820</v>
      </c>
      <c r="Z37" s="31">
        <v>290.0</v>
      </c>
      <c r="AA37" s="34" t="s">
        <v>3853</v>
      </c>
      <c r="AB37" s="34">
        <v>0.0</v>
      </c>
      <c r="AC37" s="34">
        <v>100.0</v>
      </c>
      <c r="AD37" s="34">
        <v>0.0</v>
      </c>
      <c r="AE37" s="34">
        <v>0.0</v>
      </c>
      <c r="AF37" s="33">
        <f>COUNTIFS('Data For Calculation - Insuranc'!A:A,A37,'Data For Calculation - Insuranc'!D:D,"Individual",'Data For Calculation - Insuranc'!E:E,"Rollover Comprehensive - 1 Year OD + 1 Year TP")</f>
        <v>0</v>
      </c>
      <c r="AG37" s="34" t="s">
        <v>3930</v>
      </c>
      <c r="AH37" s="42" t="s">
        <v>3820</v>
      </c>
      <c r="AI37" s="31">
        <v>290.0</v>
      </c>
      <c r="AJ37" s="34" t="s">
        <v>3853</v>
      </c>
      <c r="AK37" s="34">
        <v>0.0</v>
      </c>
      <c r="AL37" s="34">
        <v>100.0</v>
      </c>
      <c r="AM37" s="34">
        <v>0.0</v>
      </c>
      <c r="AN37" s="34">
        <v>0.0</v>
      </c>
      <c r="AO37" s="33">
        <f>COUNTIFS('Data For Calculation - Insuranc'!A:A,A37,'Data For Calculation - Insuranc'!D:D,"Company",'Data For Calculation - Insuranc'!E:E,"Rollover Comprehensive - 1 Year OD + 1 Year TP")</f>
        <v>0</v>
      </c>
      <c r="AP37" s="34" t="s">
        <v>3931</v>
      </c>
      <c r="AQ37" s="42" t="s">
        <v>3820</v>
      </c>
      <c r="AR37" s="31">
        <v>290.0</v>
      </c>
      <c r="AS37" s="34" t="s">
        <v>3853</v>
      </c>
      <c r="AT37" s="34">
        <v>0.0</v>
      </c>
      <c r="AU37" s="34">
        <v>100.0</v>
      </c>
      <c r="AV37" s="34">
        <v>0.0</v>
      </c>
      <c r="AW37" s="34">
        <v>0.0</v>
      </c>
      <c r="AX37" s="33">
        <f>COUNTIFS('Data For Calculation - Insuranc'!A:A,A37,'Data For Calculation - Insuranc'!D:D,"Individual",'Data For Calculation - Insuranc'!E:E,"Rollover - 1 Year OD Only")</f>
        <v>0</v>
      </c>
      <c r="AY37" s="34" t="s">
        <v>3932</v>
      </c>
      <c r="AZ37" s="42" t="s">
        <v>3820</v>
      </c>
      <c r="BA37" s="31">
        <v>290.0</v>
      </c>
      <c r="BB37" s="34" t="s">
        <v>3853</v>
      </c>
      <c r="BC37" s="34">
        <v>0.0</v>
      </c>
      <c r="BD37" s="34">
        <v>100.0</v>
      </c>
      <c r="BE37" s="34">
        <v>0.0</v>
      </c>
      <c r="BF37" s="34">
        <v>0.0</v>
      </c>
      <c r="BG37" s="33">
        <f>COUNTIFS('Data For Calculation - Insuranc'!A:A,A37,'Data For Calculation - Insuranc'!D:D,"Company",'Data For Calculation - Insuranc'!E:E,"Rollover - 1 Year OD Only")</f>
        <v>0</v>
      </c>
      <c r="BH37" s="34" t="s">
        <v>3931</v>
      </c>
      <c r="BI37" s="42" t="s">
        <v>3820</v>
      </c>
      <c r="BJ37" s="31">
        <v>290.0</v>
      </c>
      <c r="BK37" s="34" t="s">
        <v>3853</v>
      </c>
      <c r="BL37" s="34">
        <v>0.0</v>
      </c>
      <c r="BM37" s="34">
        <v>100.0</v>
      </c>
      <c r="BN37" s="34">
        <v>0.0</v>
      </c>
      <c r="BO37" s="34">
        <v>0.0</v>
      </c>
      <c r="BP37" s="33">
        <f>COUNTIFS('Data For Calculation - Insuranc'!A:A,A37,'Data For Calculation - Insuranc'!D:D,"Individual",'Data For Calculation - Insuranc'!E:E,"Rollover - 1 Year TP Only")</f>
        <v>0</v>
      </c>
      <c r="BQ37" s="34" t="s">
        <v>3932</v>
      </c>
      <c r="BR37" s="42" t="s">
        <v>3820</v>
      </c>
      <c r="BS37" s="31">
        <v>290.0</v>
      </c>
      <c r="BT37" s="34" t="s">
        <v>3853</v>
      </c>
      <c r="BU37" s="34">
        <v>0.0</v>
      </c>
      <c r="BV37" s="34">
        <v>100.0</v>
      </c>
      <c r="BW37" s="34">
        <v>0.0</v>
      </c>
      <c r="BX37" s="34">
        <v>0.0</v>
      </c>
      <c r="BY37" s="33">
        <f>COUNTIFS('Data For Calculation - Insuranc'!A:A,A37,'Data For Calculation - Insuranc'!D:D,"Company",'Data For Calculation - Insuranc'!E:E,"Rollover - 1 Year TP Only")</f>
        <v>0</v>
      </c>
      <c r="BZ37" s="31">
        <f t="shared" si="1"/>
        <v>0</v>
      </c>
      <c r="CA37" s="33">
        <f>SUMIFS('Data For Calculation - Insuranc'!I:I,'Data For Calculation - Insuranc'!$A:$A,$A37)</f>
        <v>0</v>
      </c>
      <c r="CB37" s="33">
        <f>SUMIFS('Data For Calculation - Insuranc'!J:J,'Data For Calculation - Insuranc'!$A:$A,$A37)</f>
        <v>0</v>
      </c>
      <c r="CC37" s="33">
        <f>SUMIFS('Data For Calculation - Insuranc'!K:K,'Data For Calculation - Insuranc'!$A:$A,$A37)</f>
        <v>0</v>
      </c>
      <c r="CD37" s="33">
        <f>IF($CK37 = "Dealer", SUMIFS('Data For Calculation - Insuranc'!I:I,'Data For Calculation - Insuranc'!$B:$B,$A37,'Data For Calculation - Insuranc'!$H:$H,"Master Dealer")) + SUMIFS('Data For Calculation - Insuranc'!I:I,'Data For Calculation - Insuranc'!$A:$A,$A37,'Data For Calculation - Insuranc'!$H:$H,"Self")</f>
        <v>0</v>
      </c>
      <c r="CE37" s="33">
        <f>IF($CK37 = "Dealer", SUMIFS('Data For Calculation - Insuranc'!J:J,'Data For Calculation - Insuranc'!$B:$B,$A37,'Data For Calculation - Insuranc'!$H:$H,"Master Dealer")) + SUMIFS('Data For Calculation - Insuranc'!J:J,'Data For Calculation - Insuranc'!$A:$A,$A37,'Data For Calculation - Insuranc'!$H:$H,"Self")</f>
        <v>0</v>
      </c>
      <c r="CF37" s="33">
        <f>IF($CK37 = "Dealer", SUMIFS('Data For Calculation - Insuranc'!K:K,'Data For Calculation - Insuranc'!$B:$B,$A37,'Data For Calculation - Insuranc'!$H:$H,"Master Dealer")) + SUMIFS('Data For Calculation - Insuranc'!K:K,'Data For Calculation - Insuranc'!$A:$A,$A37,'Data For Calculation - Insuranc'!$H:$H,"Self")</f>
        <v>0</v>
      </c>
      <c r="CG37" s="25" t="str">
        <f>(Sheet1!N37)</f>
        <v>Brij Biwheelers</v>
      </c>
      <c r="CH37" s="25" t="str">
        <f>(Sheet1!O37)</f>
        <v>1ytBGcO8tIze81xKkAa9lWDcflthsPL6SuADAXbhmuwA</v>
      </c>
      <c r="CI37" s="25" t="str">
        <f>(Sheet1!AV37)</f>
        <v/>
      </c>
      <c r="CJ37" s="25" t="str">
        <f>(Sheet1!AW37)</f>
        <v/>
      </c>
      <c r="CK37" s="26" t="str">
        <f>(Sheet1!P37)</f>
        <v>Sub Dealer</v>
      </c>
    </row>
    <row r="38">
      <c r="A38" s="25" t="str">
        <f>(Sheet1!A38)</f>
        <v>16TwAyLbRSQfXo00SFqwkhgj4ImKvtFd_ORftHCn3L9g</v>
      </c>
      <c r="B38" s="25" t="str">
        <f>(Sheet1!B38)</f>
        <v>GHANSHYAM MOTORS (BBW)</v>
      </c>
      <c r="C38" s="30" t="str">
        <f>Sheet1!BB38</f>
        <v>No</v>
      </c>
      <c r="D38" s="30" t="s">
        <v>13</v>
      </c>
      <c r="E38" s="34" t="s">
        <v>13</v>
      </c>
      <c r="F38" s="34" t="s">
        <v>3929</v>
      </c>
      <c r="G38" s="42" t="s">
        <v>3820</v>
      </c>
      <c r="H38" s="43">
        <v>460.0</v>
      </c>
      <c r="I38" s="42" t="s">
        <v>3853</v>
      </c>
      <c r="J38" s="43">
        <v>0.0</v>
      </c>
      <c r="K38" s="43">
        <v>100.0</v>
      </c>
      <c r="L38" s="43">
        <v>0.0</v>
      </c>
      <c r="M38" s="43">
        <v>0.0</v>
      </c>
      <c r="N38" s="33">
        <f>COUNTIFS('Data For Calculation - Insuranc'!A:A,A38,'Data For Calculation - Insuranc'!D:D,"Individual",'Data For Calculation - Insuranc'!E:E,"Bundled - 1 Year OD + 5 Year TP")</f>
        <v>0</v>
      </c>
      <c r="O38" s="34" t="s">
        <v>3930</v>
      </c>
      <c r="P38" s="42" t="s">
        <v>3820</v>
      </c>
      <c r="Q38" s="43">
        <v>460.0</v>
      </c>
      <c r="R38" s="42" t="s">
        <v>3853</v>
      </c>
      <c r="S38" s="43">
        <v>0.0</v>
      </c>
      <c r="T38" s="43">
        <v>100.0</v>
      </c>
      <c r="U38" s="43">
        <v>0.0</v>
      </c>
      <c r="V38" s="43">
        <v>0.0</v>
      </c>
      <c r="W38" s="33">
        <f>COUNTIFS('Data For Calculation - Insuranc'!A:A,A38,'Data For Calculation - Insuranc'!D:D,"Company",'Data For Calculation - Insuranc'!E:E,"Bundled - 1 Year OD + 5 Year TP")</f>
        <v>0</v>
      </c>
      <c r="X38" s="34" t="s">
        <v>3929</v>
      </c>
      <c r="Y38" s="42" t="s">
        <v>3820</v>
      </c>
      <c r="Z38" s="31">
        <v>290.0</v>
      </c>
      <c r="AA38" s="34" t="s">
        <v>3853</v>
      </c>
      <c r="AB38" s="34">
        <v>0.0</v>
      </c>
      <c r="AC38" s="34">
        <v>100.0</v>
      </c>
      <c r="AD38" s="34">
        <v>0.0</v>
      </c>
      <c r="AE38" s="34">
        <v>0.0</v>
      </c>
      <c r="AF38" s="33">
        <f>COUNTIFS('Data For Calculation - Insuranc'!A:A,A38,'Data For Calculation - Insuranc'!D:D,"Individual",'Data For Calculation - Insuranc'!E:E,"Rollover Comprehensive - 1 Year OD + 1 Year TP")</f>
        <v>0</v>
      </c>
      <c r="AG38" s="34" t="s">
        <v>3930</v>
      </c>
      <c r="AH38" s="42" t="s">
        <v>3820</v>
      </c>
      <c r="AI38" s="31">
        <v>290.0</v>
      </c>
      <c r="AJ38" s="34" t="s">
        <v>3853</v>
      </c>
      <c r="AK38" s="34">
        <v>0.0</v>
      </c>
      <c r="AL38" s="34">
        <v>100.0</v>
      </c>
      <c r="AM38" s="34">
        <v>0.0</v>
      </c>
      <c r="AN38" s="34">
        <v>0.0</v>
      </c>
      <c r="AO38" s="33">
        <f>COUNTIFS('Data For Calculation - Insuranc'!A:A,A38,'Data For Calculation - Insuranc'!D:D,"Company",'Data For Calculation - Insuranc'!E:E,"Rollover Comprehensive - 1 Year OD + 1 Year TP")</f>
        <v>0</v>
      </c>
      <c r="AP38" s="34" t="s">
        <v>3931</v>
      </c>
      <c r="AQ38" s="42" t="s">
        <v>3820</v>
      </c>
      <c r="AR38" s="31">
        <v>290.0</v>
      </c>
      <c r="AS38" s="34" t="s">
        <v>3853</v>
      </c>
      <c r="AT38" s="34">
        <v>0.0</v>
      </c>
      <c r="AU38" s="34">
        <v>100.0</v>
      </c>
      <c r="AV38" s="34">
        <v>0.0</v>
      </c>
      <c r="AW38" s="34">
        <v>0.0</v>
      </c>
      <c r="AX38" s="33">
        <f>COUNTIFS('Data For Calculation - Insuranc'!A:A,A38,'Data For Calculation - Insuranc'!D:D,"Individual",'Data For Calculation - Insuranc'!E:E,"Rollover - 1 Year OD Only")</f>
        <v>0</v>
      </c>
      <c r="AY38" s="34" t="s">
        <v>3932</v>
      </c>
      <c r="AZ38" s="42" t="s">
        <v>3820</v>
      </c>
      <c r="BA38" s="31">
        <v>290.0</v>
      </c>
      <c r="BB38" s="34" t="s">
        <v>3853</v>
      </c>
      <c r="BC38" s="34">
        <v>0.0</v>
      </c>
      <c r="BD38" s="34">
        <v>100.0</v>
      </c>
      <c r="BE38" s="34">
        <v>0.0</v>
      </c>
      <c r="BF38" s="34">
        <v>0.0</v>
      </c>
      <c r="BG38" s="33">
        <f>COUNTIFS('Data For Calculation - Insuranc'!A:A,A38,'Data For Calculation - Insuranc'!D:D,"Company",'Data For Calculation - Insuranc'!E:E,"Rollover - 1 Year OD Only")</f>
        <v>0</v>
      </c>
      <c r="BH38" s="34" t="s">
        <v>3931</v>
      </c>
      <c r="BI38" s="42" t="s">
        <v>3820</v>
      </c>
      <c r="BJ38" s="31">
        <v>290.0</v>
      </c>
      <c r="BK38" s="34" t="s">
        <v>3853</v>
      </c>
      <c r="BL38" s="34">
        <v>0.0</v>
      </c>
      <c r="BM38" s="34">
        <v>100.0</v>
      </c>
      <c r="BN38" s="34">
        <v>0.0</v>
      </c>
      <c r="BO38" s="34">
        <v>0.0</v>
      </c>
      <c r="BP38" s="33">
        <f>COUNTIFS('Data For Calculation - Insuranc'!A:A,A38,'Data For Calculation - Insuranc'!D:D,"Individual",'Data For Calculation - Insuranc'!E:E,"Rollover - 1 Year TP Only")</f>
        <v>0</v>
      </c>
      <c r="BQ38" s="34" t="s">
        <v>3932</v>
      </c>
      <c r="BR38" s="42" t="s">
        <v>3820</v>
      </c>
      <c r="BS38" s="31">
        <v>290.0</v>
      </c>
      <c r="BT38" s="34" t="s">
        <v>3853</v>
      </c>
      <c r="BU38" s="34">
        <v>0.0</v>
      </c>
      <c r="BV38" s="34">
        <v>100.0</v>
      </c>
      <c r="BW38" s="34">
        <v>0.0</v>
      </c>
      <c r="BX38" s="34">
        <v>0.0</v>
      </c>
      <c r="BY38" s="33">
        <f>COUNTIFS('Data For Calculation - Insuranc'!A:A,A38,'Data For Calculation - Insuranc'!D:D,"Company",'Data For Calculation - Insuranc'!E:E,"Rollover - 1 Year TP Only")</f>
        <v>0</v>
      </c>
      <c r="BZ38" s="31">
        <f t="shared" si="1"/>
        <v>0</v>
      </c>
      <c r="CA38" s="33">
        <f>SUMIFS('Data For Calculation - Insuranc'!I:I,'Data For Calculation - Insuranc'!$A:$A,$A38)</f>
        <v>0</v>
      </c>
      <c r="CB38" s="33">
        <f>SUMIFS('Data For Calculation - Insuranc'!J:J,'Data For Calculation - Insuranc'!$A:$A,$A38)</f>
        <v>0</v>
      </c>
      <c r="CC38" s="33">
        <f>SUMIFS('Data For Calculation - Insuranc'!K:K,'Data For Calculation - Insuranc'!$A:$A,$A38)</f>
        <v>0</v>
      </c>
      <c r="CD38" s="33">
        <f>IF($CK38 = "Dealer", SUMIFS('Data For Calculation - Insuranc'!I:I,'Data For Calculation - Insuranc'!$B:$B,$A38,'Data For Calculation - Insuranc'!$H:$H,"Master Dealer")) + SUMIFS('Data For Calculation - Insuranc'!I:I,'Data For Calculation - Insuranc'!$A:$A,$A38,'Data For Calculation - Insuranc'!$H:$H,"Self")</f>
        <v>0</v>
      </c>
      <c r="CE38" s="33">
        <f>IF($CK38 = "Dealer", SUMIFS('Data For Calculation - Insuranc'!J:J,'Data For Calculation - Insuranc'!$B:$B,$A38,'Data For Calculation - Insuranc'!$H:$H,"Master Dealer")) + SUMIFS('Data For Calculation - Insuranc'!J:J,'Data For Calculation - Insuranc'!$A:$A,$A38,'Data For Calculation - Insuranc'!$H:$H,"Self")</f>
        <v>0</v>
      </c>
      <c r="CF38" s="33">
        <f>IF($CK38 = "Dealer", SUMIFS('Data For Calculation - Insuranc'!K:K,'Data For Calculation - Insuranc'!$B:$B,$A38,'Data For Calculation - Insuranc'!$H:$H,"Master Dealer")) + SUMIFS('Data For Calculation - Insuranc'!K:K,'Data For Calculation - Insuranc'!$A:$A,$A38,'Data For Calculation - Insuranc'!$H:$H,"Self")</f>
        <v>0</v>
      </c>
      <c r="CG38" s="25" t="str">
        <f>(Sheet1!N38)</f>
        <v>Brij Biwheelers</v>
      </c>
      <c r="CH38" s="25" t="str">
        <f>(Sheet1!O38)</f>
        <v>1ytBGcO8tIze81xKkAa9lWDcflthsPL6SuADAXbhmuwA</v>
      </c>
      <c r="CI38" s="25" t="str">
        <f>(Sheet1!AV38)</f>
        <v/>
      </c>
      <c r="CJ38" s="25" t="str">
        <f>(Sheet1!AW38)</f>
        <v/>
      </c>
      <c r="CK38" s="26" t="str">
        <f>(Sheet1!P38)</f>
        <v>Sub Dealer</v>
      </c>
    </row>
    <row r="39">
      <c r="A39" s="25" t="str">
        <f>(Sheet1!A39)</f>
        <v>1Qutstkt7wbcw29p7VfI97VmiQ6zXlElNsNewjyPJF-E</v>
      </c>
      <c r="B39" s="25" t="str">
        <f>(Sheet1!B39)</f>
        <v>SHRI BADAM AUTO AGENCY (BBW)</v>
      </c>
      <c r="C39" s="30" t="str">
        <f>Sheet1!BB39</f>
        <v>No</v>
      </c>
      <c r="D39" s="30" t="s">
        <v>13</v>
      </c>
      <c r="E39" s="34" t="s">
        <v>13</v>
      </c>
      <c r="F39" s="34" t="s">
        <v>3929</v>
      </c>
      <c r="G39" s="42" t="s">
        <v>3820</v>
      </c>
      <c r="H39" s="43">
        <v>460.0</v>
      </c>
      <c r="I39" s="42" t="s">
        <v>3853</v>
      </c>
      <c r="J39" s="43">
        <v>0.0</v>
      </c>
      <c r="K39" s="43">
        <v>100.0</v>
      </c>
      <c r="L39" s="43">
        <v>0.0</v>
      </c>
      <c r="M39" s="43">
        <v>0.0</v>
      </c>
      <c r="N39" s="33">
        <f>COUNTIFS('Data For Calculation - Insuranc'!A:A,A39,'Data For Calculation - Insuranc'!D:D,"Individual",'Data For Calculation - Insuranc'!E:E,"Bundled - 1 Year OD + 5 Year TP")</f>
        <v>0</v>
      </c>
      <c r="O39" s="34" t="s">
        <v>3930</v>
      </c>
      <c r="P39" s="42" t="s">
        <v>3820</v>
      </c>
      <c r="Q39" s="43">
        <v>460.0</v>
      </c>
      <c r="R39" s="42" t="s">
        <v>3853</v>
      </c>
      <c r="S39" s="43">
        <v>0.0</v>
      </c>
      <c r="T39" s="43">
        <v>100.0</v>
      </c>
      <c r="U39" s="43">
        <v>0.0</v>
      </c>
      <c r="V39" s="43">
        <v>0.0</v>
      </c>
      <c r="W39" s="33">
        <f>COUNTIFS('Data For Calculation - Insuranc'!A:A,A39,'Data For Calculation - Insuranc'!D:D,"Company",'Data For Calculation - Insuranc'!E:E,"Bundled - 1 Year OD + 5 Year TP")</f>
        <v>0</v>
      </c>
      <c r="X39" s="34" t="s">
        <v>3929</v>
      </c>
      <c r="Y39" s="42" t="s">
        <v>3820</v>
      </c>
      <c r="Z39" s="31">
        <v>290.0</v>
      </c>
      <c r="AA39" s="34" t="s">
        <v>3853</v>
      </c>
      <c r="AB39" s="34">
        <v>0.0</v>
      </c>
      <c r="AC39" s="34">
        <v>100.0</v>
      </c>
      <c r="AD39" s="34">
        <v>0.0</v>
      </c>
      <c r="AE39" s="34">
        <v>0.0</v>
      </c>
      <c r="AF39" s="33">
        <f>COUNTIFS('Data For Calculation - Insuranc'!A:A,A39,'Data For Calculation - Insuranc'!D:D,"Individual",'Data For Calculation - Insuranc'!E:E,"Rollover Comprehensive - 1 Year OD + 1 Year TP")</f>
        <v>0</v>
      </c>
      <c r="AG39" s="34" t="s">
        <v>3930</v>
      </c>
      <c r="AH39" s="42" t="s">
        <v>3820</v>
      </c>
      <c r="AI39" s="31">
        <v>290.0</v>
      </c>
      <c r="AJ39" s="34" t="s">
        <v>3853</v>
      </c>
      <c r="AK39" s="34">
        <v>0.0</v>
      </c>
      <c r="AL39" s="34">
        <v>100.0</v>
      </c>
      <c r="AM39" s="34">
        <v>0.0</v>
      </c>
      <c r="AN39" s="34">
        <v>0.0</v>
      </c>
      <c r="AO39" s="33">
        <f>COUNTIFS('Data For Calculation - Insuranc'!A:A,A39,'Data For Calculation - Insuranc'!D:D,"Company",'Data For Calculation - Insuranc'!E:E,"Rollover Comprehensive - 1 Year OD + 1 Year TP")</f>
        <v>0</v>
      </c>
      <c r="AP39" s="34" t="s">
        <v>3931</v>
      </c>
      <c r="AQ39" s="42" t="s">
        <v>3820</v>
      </c>
      <c r="AR39" s="31">
        <v>290.0</v>
      </c>
      <c r="AS39" s="34" t="s">
        <v>3853</v>
      </c>
      <c r="AT39" s="34">
        <v>0.0</v>
      </c>
      <c r="AU39" s="34">
        <v>100.0</v>
      </c>
      <c r="AV39" s="34">
        <v>0.0</v>
      </c>
      <c r="AW39" s="34">
        <v>0.0</v>
      </c>
      <c r="AX39" s="33">
        <f>COUNTIFS('Data For Calculation - Insuranc'!A:A,A39,'Data For Calculation - Insuranc'!D:D,"Individual",'Data For Calculation - Insuranc'!E:E,"Rollover - 1 Year OD Only")</f>
        <v>0</v>
      </c>
      <c r="AY39" s="34" t="s">
        <v>3932</v>
      </c>
      <c r="AZ39" s="42" t="s">
        <v>3820</v>
      </c>
      <c r="BA39" s="31">
        <v>290.0</v>
      </c>
      <c r="BB39" s="34" t="s">
        <v>3853</v>
      </c>
      <c r="BC39" s="34">
        <v>0.0</v>
      </c>
      <c r="BD39" s="34">
        <v>100.0</v>
      </c>
      <c r="BE39" s="34">
        <v>0.0</v>
      </c>
      <c r="BF39" s="34">
        <v>0.0</v>
      </c>
      <c r="BG39" s="33">
        <f>COUNTIFS('Data For Calculation - Insuranc'!A:A,A39,'Data For Calculation - Insuranc'!D:D,"Company",'Data For Calculation - Insuranc'!E:E,"Rollover - 1 Year OD Only")</f>
        <v>0</v>
      </c>
      <c r="BH39" s="34" t="s">
        <v>3931</v>
      </c>
      <c r="BI39" s="42" t="s">
        <v>3820</v>
      </c>
      <c r="BJ39" s="31">
        <v>290.0</v>
      </c>
      <c r="BK39" s="34" t="s">
        <v>3853</v>
      </c>
      <c r="BL39" s="34">
        <v>0.0</v>
      </c>
      <c r="BM39" s="34">
        <v>100.0</v>
      </c>
      <c r="BN39" s="34">
        <v>0.0</v>
      </c>
      <c r="BO39" s="34">
        <v>0.0</v>
      </c>
      <c r="BP39" s="33">
        <f>COUNTIFS('Data For Calculation - Insuranc'!A:A,A39,'Data For Calculation - Insuranc'!D:D,"Individual",'Data For Calculation - Insuranc'!E:E,"Rollover - 1 Year TP Only")</f>
        <v>0</v>
      </c>
      <c r="BQ39" s="34" t="s">
        <v>3932</v>
      </c>
      <c r="BR39" s="42" t="s">
        <v>3820</v>
      </c>
      <c r="BS39" s="31">
        <v>290.0</v>
      </c>
      <c r="BT39" s="34" t="s">
        <v>3853</v>
      </c>
      <c r="BU39" s="34">
        <v>0.0</v>
      </c>
      <c r="BV39" s="34">
        <v>100.0</v>
      </c>
      <c r="BW39" s="34">
        <v>0.0</v>
      </c>
      <c r="BX39" s="34">
        <v>0.0</v>
      </c>
      <c r="BY39" s="33">
        <f>COUNTIFS('Data For Calculation - Insuranc'!A:A,A39,'Data For Calculation - Insuranc'!D:D,"Company",'Data For Calculation - Insuranc'!E:E,"Rollover - 1 Year TP Only")</f>
        <v>0</v>
      </c>
      <c r="BZ39" s="31">
        <f t="shared" si="1"/>
        <v>0</v>
      </c>
      <c r="CA39" s="33">
        <f>SUMIFS('Data For Calculation - Insuranc'!I:I,'Data For Calculation - Insuranc'!$A:$A,$A39)</f>
        <v>0</v>
      </c>
      <c r="CB39" s="33">
        <f>SUMIFS('Data For Calculation - Insuranc'!J:J,'Data For Calculation - Insuranc'!$A:$A,$A39)</f>
        <v>0</v>
      </c>
      <c r="CC39" s="33">
        <f>SUMIFS('Data For Calculation - Insuranc'!K:K,'Data For Calculation - Insuranc'!$A:$A,$A39)</f>
        <v>0</v>
      </c>
      <c r="CD39" s="33">
        <f>IF($CK39 = "Dealer", SUMIFS('Data For Calculation - Insuranc'!I:I,'Data For Calculation - Insuranc'!$B:$B,$A39,'Data For Calculation - Insuranc'!$H:$H,"Master Dealer")) + SUMIFS('Data For Calculation - Insuranc'!I:I,'Data For Calculation - Insuranc'!$A:$A,$A39,'Data For Calculation - Insuranc'!$H:$H,"Self")</f>
        <v>0</v>
      </c>
      <c r="CE39" s="33">
        <f>IF($CK39 = "Dealer", SUMIFS('Data For Calculation - Insuranc'!J:J,'Data For Calculation - Insuranc'!$B:$B,$A39,'Data For Calculation - Insuranc'!$H:$H,"Master Dealer")) + SUMIFS('Data For Calculation - Insuranc'!J:J,'Data For Calculation - Insuranc'!$A:$A,$A39,'Data For Calculation - Insuranc'!$H:$H,"Self")</f>
        <v>0</v>
      </c>
      <c r="CF39" s="33">
        <f>IF($CK39 = "Dealer", SUMIFS('Data For Calculation - Insuranc'!K:K,'Data For Calculation - Insuranc'!$B:$B,$A39,'Data For Calculation - Insuranc'!$H:$H,"Master Dealer")) + SUMIFS('Data For Calculation - Insuranc'!K:K,'Data For Calculation - Insuranc'!$A:$A,$A39,'Data For Calculation - Insuranc'!$H:$H,"Self")</f>
        <v>0</v>
      </c>
      <c r="CG39" s="25" t="str">
        <f>(Sheet1!N39)</f>
        <v>Brij Biwheelers</v>
      </c>
      <c r="CH39" s="25" t="str">
        <f>(Sheet1!O39)</f>
        <v>1ytBGcO8tIze81xKkAa9lWDcflthsPL6SuADAXbhmuwA</v>
      </c>
      <c r="CI39" s="25" t="str">
        <f>(Sheet1!AV39)</f>
        <v/>
      </c>
      <c r="CJ39" s="25" t="str">
        <f>(Sheet1!AW39)</f>
        <v/>
      </c>
      <c r="CK39" s="26" t="str">
        <f>(Sheet1!P39)</f>
        <v>Sub Dealer</v>
      </c>
    </row>
    <row r="40">
      <c r="A40" s="25" t="str">
        <f>(Sheet1!A40)</f>
        <v>1g3nFfjwGQ3RXkt5LgZuD7QgSRAiUn3W90lh8RCiEGqg</v>
      </c>
      <c r="B40" s="25" t="str">
        <f>(Sheet1!B40)</f>
        <v>LV MOTORS (BBW)</v>
      </c>
      <c r="C40" s="30" t="str">
        <f>Sheet1!BB40</f>
        <v>No</v>
      </c>
      <c r="D40" s="30" t="s">
        <v>13</v>
      </c>
      <c r="E40" s="34" t="s">
        <v>13</v>
      </c>
      <c r="F40" s="34" t="s">
        <v>3929</v>
      </c>
      <c r="G40" s="42" t="s">
        <v>3820</v>
      </c>
      <c r="H40" s="43">
        <v>460.0</v>
      </c>
      <c r="I40" s="42" t="s">
        <v>3853</v>
      </c>
      <c r="J40" s="43">
        <v>0.0</v>
      </c>
      <c r="K40" s="43">
        <v>100.0</v>
      </c>
      <c r="L40" s="43">
        <v>0.0</v>
      </c>
      <c r="M40" s="43">
        <v>0.0</v>
      </c>
      <c r="N40" s="33">
        <f>COUNTIFS('Data For Calculation - Insuranc'!A:A,A40,'Data For Calculation - Insuranc'!D:D,"Individual",'Data For Calculation - Insuranc'!E:E,"Bundled - 1 Year OD + 5 Year TP")</f>
        <v>0</v>
      </c>
      <c r="O40" s="34" t="s">
        <v>3930</v>
      </c>
      <c r="P40" s="42" t="s">
        <v>3820</v>
      </c>
      <c r="Q40" s="43">
        <v>460.0</v>
      </c>
      <c r="R40" s="42" t="s">
        <v>3853</v>
      </c>
      <c r="S40" s="43">
        <v>0.0</v>
      </c>
      <c r="T40" s="43">
        <v>100.0</v>
      </c>
      <c r="U40" s="43">
        <v>0.0</v>
      </c>
      <c r="V40" s="43">
        <v>0.0</v>
      </c>
      <c r="W40" s="33">
        <f>COUNTIFS('Data For Calculation - Insuranc'!A:A,A40,'Data For Calculation - Insuranc'!D:D,"Company",'Data For Calculation - Insuranc'!E:E,"Bundled - 1 Year OD + 5 Year TP")</f>
        <v>0</v>
      </c>
      <c r="X40" s="34" t="s">
        <v>3929</v>
      </c>
      <c r="Y40" s="42" t="s">
        <v>3820</v>
      </c>
      <c r="Z40" s="31">
        <v>290.0</v>
      </c>
      <c r="AA40" s="34" t="s">
        <v>3853</v>
      </c>
      <c r="AB40" s="34">
        <v>0.0</v>
      </c>
      <c r="AC40" s="34">
        <v>100.0</v>
      </c>
      <c r="AD40" s="34">
        <v>0.0</v>
      </c>
      <c r="AE40" s="34">
        <v>0.0</v>
      </c>
      <c r="AF40" s="33">
        <f>COUNTIFS('Data For Calculation - Insuranc'!A:A,A40,'Data For Calculation - Insuranc'!D:D,"Individual",'Data For Calculation - Insuranc'!E:E,"Rollover Comprehensive - 1 Year OD + 1 Year TP")</f>
        <v>0</v>
      </c>
      <c r="AG40" s="34" t="s">
        <v>3930</v>
      </c>
      <c r="AH40" s="42" t="s">
        <v>3820</v>
      </c>
      <c r="AI40" s="31">
        <v>290.0</v>
      </c>
      <c r="AJ40" s="34" t="s">
        <v>3853</v>
      </c>
      <c r="AK40" s="34">
        <v>0.0</v>
      </c>
      <c r="AL40" s="34">
        <v>100.0</v>
      </c>
      <c r="AM40" s="34">
        <v>0.0</v>
      </c>
      <c r="AN40" s="34">
        <v>0.0</v>
      </c>
      <c r="AO40" s="33">
        <f>COUNTIFS('Data For Calculation - Insuranc'!A:A,A40,'Data For Calculation - Insuranc'!D:D,"Company",'Data For Calculation - Insuranc'!E:E,"Rollover Comprehensive - 1 Year OD + 1 Year TP")</f>
        <v>0</v>
      </c>
      <c r="AP40" s="34" t="s">
        <v>3931</v>
      </c>
      <c r="AQ40" s="42" t="s">
        <v>3820</v>
      </c>
      <c r="AR40" s="31">
        <v>290.0</v>
      </c>
      <c r="AS40" s="34" t="s">
        <v>3853</v>
      </c>
      <c r="AT40" s="34">
        <v>0.0</v>
      </c>
      <c r="AU40" s="34">
        <v>100.0</v>
      </c>
      <c r="AV40" s="34">
        <v>0.0</v>
      </c>
      <c r="AW40" s="34">
        <v>0.0</v>
      </c>
      <c r="AX40" s="33">
        <f>COUNTIFS('Data For Calculation - Insuranc'!A:A,A40,'Data For Calculation - Insuranc'!D:D,"Individual",'Data For Calculation - Insuranc'!E:E,"Rollover - 1 Year OD Only")</f>
        <v>0</v>
      </c>
      <c r="AY40" s="34" t="s">
        <v>3932</v>
      </c>
      <c r="AZ40" s="42" t="s">
        <v>3820</v>
      </c>
      <c r="BA40" s="31">
        <v>290.0</v>
      </c>
      <c r="BB40" s="34" t="s">
        <v>3853</v>
      </c>
      <c r="BC40" s="34">
        <v>0.0</v>
      </c>
      <c r="BD40" s="34">
        <v>100.0</v>
      </c>
      <c r="BE40" s="34">
        <v>0.0</v>
      </c>
      <c r="BF40" s="34">
        <v>0.0</v>
      </c>
      <c r="BG40" s="33">
        <f>COUNTIFS('Data For Calculation - Insuranc'!A:A,A40,'Data For Calculation - Insuranc'!D:D,"Company",'Data For Calculation - Insuranc'!E:E,"Rollover - 1 Year OD Only")</f>
        <v>0</v>
      </c>
      <c r="BH40" s="34" t="s">
        <v>3931</v>
      </c>
      <c r="BI40" s="42" t="s">
        <v>3820</v>
      </c>
      <c r="BJ40" s="31">
        <v>290.0</v>
      </c>
      <c r="BK40" s="34" t="s">
        <v>3853</v>
      </c>
      <c r="BL40" s="34">
        <v>0.0</v>
      </c>
      <c r="BM40" s="34">
        <v>100.0</v>
      </c>
      <c r="BN40" s="34">
        <v>0.0</v>
      </c>
      <c r="BO40" s="34">
        <v>0.0</v>
      </c>
      <c r="BP40" s="33">
        <f>COUNTIFS('Data For Calculation - Insuranc'!A:A,A40,'Data For Calculation - Insuranc'!D:D,"Individual",'Data For Calculation - Insuranc'!E:E,"Rollover - 1 Year TP Only")</f>
        <v>0</v>
      </c>
      <c r="BQ40" s="34" t="s">
        <v>3932</v>
      </c>
      <c r="BR40" s="42" t="s">
        <v>3820</v>
      </c>
      <c r="BS40" s="31">
        <v>290.0</v>
      </c>
      <c r="BT40" s="34" t="s">
        <v>3853</v>
      </c>
      <c r="BU40" s="34">
        <v>0.0</v>
      </c>
      <c r="BV40" s="34">
        <v>100.0</v>
      </c>
      <c r="BW40" s="34">
        <v>0.0</v>
      </c>
      <c r="BX40" s="34">
        <v>0.0</v>
      </c>
      <c r="BY40" s="33">
        <f>COUNTIFS('Data For Calculation - Insuranc'!A:A,A40,'Data For Calculation - Insuranc'!D:D,"Company",'Data For Calculation - Insuranc'!E:E,"Rollover - 1 Year TP Only")</f>
        <v>0</v>
      </c>
      <c r="BZ40" s="31">
        <f t="shared" si="1"/>
        <v>0</v>
      </c>
      <c r="CA40" s="33">
        <f>SUMIFS('Data For Calculation - Insuranc'!I:I,'Data For Calculation - Insuranc'!$A:$A,$A40)</f>
        <v>0</v>
      </c>
      <c r="CB40" s="33">
        <f>SUMIFS('Data For Calculation - Insuranc'!J:J,'Data For Calculation - Insuranc'!$A:$A,$A40)</f>
        <v>0</v>
      </c>
      <c r="CC40" s="33">
        <f>SUMIFS('Data For Calculation - Insuranc'!K:K,'Data For Calculation - Insuranc'!$A:$A,$A40)</f>
        <v>0</v>
      </c>
      <c r="CD40" s="33">
        <f>IF($CK40 = "Dealer", SUMIFS('Data For Calculation - Insuranc'!I:I,'Data For Calculation - Insuranc'!$B:$B,$A40,'Data For Calculation - Insuranc'!$H:$H,"Master Dealer")) + SUMIFS('Data For Calculation - Insuranc'!I:I,'Data For Calculation - Insuranc'!$A:$A,$A40,'Data For Calculation - Insuranc'!$H:$H,"Self")</f>
        <v>0</v>
      </c>
      <c r="CE40" s="33">
        <f>IF($CK40 = "Dealer", SUMIFS('Data For Calculation - Insuranc'!J:J,'Data For Calculation - Insuranc'!$B:$B,$A40,'Data For Calculation - Insuranc'!$H:$H,"Master Dealer")) + SUMIFS('Data For Calculation - Insuranc'!J:J,'Data For Calculation - Insuranc'!$A:$A,$A40,'Data For Calculation - Insuranc'!$H:$H,"Self")</f>
        <v>0</v>
      </c>
      <c r="CF40" s="33">
        <f>IF($CK40 = "Dealer", SUMIFS('Data For Calculation - Insuranc'!K:K,'Data For Calculation - Insuranc'!$B:$B,$A40,'Data For Calculation - Insuranc'!$H:$H,"Master Dealer")) + SUMIFS('Data For Calculation - Insuranc'!K:K,'Data For Calculation - Insuranc'!$A:$A,$A40,'Data For Calculation - Insuranc'!$H:$H,"Self")</f>
        <v>0</v>
      </c>
      <c r="CG40" s="25" t="str">
        <f>(Sheet1!N40)</f>
        <v>Brij Biwheelers</v>
      </c>
      <c r="CH40" s="25" t="str">
        <f>(Sheet1!O40)</f>
        <v>1ytBGcO8tIze81xKkAa9lWDcflthsPL6SuADAXbhmuwA</v>
      </c>
      <c r="CI40" s="25" t="str">
        <f>(Sheet1!AV40)</f>
        <v/>
      </c>
      <c r="CJ40" s="25" t="str">
        <f>(Sheet1!AW40)</f>
        <v/>
      </c>
      <c r="CK40" s="26" t="str">
        <f>(Sheet1!P40)</f>
        <v>Sub Dealer</v>
      </c>
    </row>
    <row r="41">
      <c r="A41" s="25" t="str">
        <f>(Sheet1!A41)</f>
        <v>1mh6Ew8Xo6CDWTwSaZz97uDQi3oGwOh-iBN44riWn7aM</v>
      </c>
      <c r="B41" s="25" t="str">
        <f>(Sheet1!B41)</f>
        <v>JAMUNA MOTORS (BBW)</v>
      </c>
      <c r="C41" s="30" t="str">
        <f>Sheet1!BB41</f>
        <v>No</v>
      </c>
      <c r="D41" s="30" t="s">
        <v>13</v>
      </c>
      <c r="E41" s="34" t="s">
        <v>13</v>
      </c>
      <c r="F41" s="34" t="s">
        <v>3929</v>
      </c>
      <c r="G41" s="42" t="s">
        <v>3820</v>
      </c>
      <c r="H41" s="43">
        <v>460.0</v>
      </c>
      <c r="I41" s="42" t="s">
        <v>3853</v>
      </c>
      <c r="J41" s="43">
        <v>0.0</v>
      </c>
      <c r="K41" s="43">
        <v>100.0</v>
      </c>
      <c r="L41" s="43">
        <v>0.0</v>
      </c>
      <c r="M41" s="43">
        <v>0.0</v>
      </c>
      <c r="N41" s="33">
        <f>COUNTIFS('Data For Calculation - Insuranc'!A:A,A41,'Data For Calculation - Insuranc'!D:D,"Individual",'Data For Calculation - Insuranc'!E:E,"Bundled - 1 Year OD + 5 Year TP")</f>
        <v>0</v>
      </c>
      <c r="O41" s="34" t="s">
        <v>3930</v>
      </c>
      <c r="P41" s="42" t="s">
        <v>3820</v>
      </c>
      <c r="Q41" s="43">
        <v>460.0</v>
      </c>
      <c r="R41" s="42" t="s">
        <v>3853</v>
      </c>
      <c r="S41" s="43">
        <v>0.0</v>
      </c>
      <c r="T41" s="43">
        <v>100.0</v>
      </c>
      <c r="U41" s="43">
        <v>0.0</v>
      </c>
      <c r="V41" s="43">
        <v>0.0</v>
      </c>
      <c r="W41" s="33">
        <f>COUNTIFS('Data For Calculation - Insuranc'!A:A,A41,'Data For Calculation - Insuranc'!D:D,"Company",'Data For Calculation - Insuranc'!E:E,"Bundled - 1 Year OD + 5 Year TP")</f>
        <v>0</v>
      </c>
      <c r="X41" s="34" t="s">
        <v>3929</v>
      </c>
      <c r="Y41" s="42" t="s">
        <v>3820</v>
      </c>
      <c r="Z41" s="31">
        <v>290.0</v>
      </c>
      <c r="AA41" s="34" t="s">
        <v>3853</v>
      </c>
      <c r="AB41" s="34">
        <v>0.0</v>
      </c>
      <c r="AC41" s="34">
        <v>100.0</v>
      </c>
      <c r="AD41" s="34">
        <v>0.0</v>
      </c>
      <c r="AE41" s="34">
        <v>0.0</v>
      </c>
      <c r="AF41" s="33">
        <f>COUNTIFS('Data For Calculation - Insuranc'!A:A,A41,'Data For Calculation - Insuranc'!D:D,"Individual",'Data For Calculation - Insuranc'!E:E,"Rollover Comprehensive - 1 Year OD + 1 Year TP")</f>
        <v>0</v>
      </c>
      <c r="AG41" s="34" t="s">
        <v>3930</v>
      </c>
      <c r="AH41" s="42" t="s">
        <v>3820</v>
      </c>
      <c r="AI41" s="31">
        <v>290.0</v>
      </c>
      <c r="AJ41" s="34" t="s">
        <v>3853</v>
      </c>
      <c r="AK41" s="34">
        <v>0.0</v>
      </c>
      <c r="AL41" s="34">
        <v>100.0</v>
      </c>
      <c r="AM41" s="34">
        <v>0.0</v>
      </c>
      <c r="AN41" s="34">
        <v>0.0</v>
      </c>
      <c r="AO41" s="33">
        <f>COUNTIFS('Data For Calculation - Insuranc'!A:A,A41,'Data For Calculation - Insuranc'!D:D,"Company",'Data For Calculation - Insuranc'!E:E,"Rollover Comprehensive - 1 Year OD + 1 Year TP")</f>
        <v>0</v>
      </c>
      <c r="AP41" s="34" t="s">
        <v>3931</v>
      </c>
      <c r="AQ41" s="42" t="s">
        <v>3820</v>
      </c>
      <c r="AR41" s="31">
        <v>290.0</v>
      </c>
      <c r="AS41" s="34" t="s">
        <v>3853</v>
      </c>
      <c r="AT41" s="34">
        <v>0.0</v>
      </c>
      <c r="AU41" s="34">
        <v>100.0</v>
      </c>
      <c r="AV41" s="34">
        <v>0.0</v>
      </c>
      <c r="AW41" s="34">
        <v>0.0</v>
      </c>
      <c r="AX41" s="33">
        <f>COUNTIFS('Data For Calculation - Insuranc'!A:A,A41,'Data For Calculation - Insuranc'!D:D,"Individual",'Data For Calculation - Insuranc'!E:E,"Rollover - 1 Year OD Only")</f>
        <v>0</v>
      </c>
      <c r="AY41" s="34" t="s">
        <v>3932</v>
      </c>
      <c r="AZ41" s="42" t="s">
        <v>3820</v>
      </c>
      <c r="BA41" s="31">
        <v>290.0</v>
      </c>
      <c r="BB41" s="34" t="s">
        <v>3853</v>
      </c>
      <c r="BC41" s="34">
        <v>0.0</v>
      </c>
      <c r="BD41" s="34">
        <v>100.0</v>
      </c>
      <c r="BE41" s="34">
        <v>0.0</v>
      </c>
      <c r="BF41" s="34">
        <v>0.0</v>
      </c>
      <c r="BG41" s="33">
        <f>COUNTIFS('Data For Calculation - Insuranc'!A:A,A41,'Data For Calculation - Insuranc'!D:D,"Company",'Data For Calculation - Insuranc'!E:E,"Rollover - 1 Year OD Only")</f>
        <v>0</v>
      </c>
      <c r="BH41" s="34" t="s">
        <v>3931</v>
      </c>
      <c r="BI41" s="42" t="s">
        <v>3820</v>
      </c>
      <c r="BJ41" s="31">
        <v>290.0</v>
      </c>
      <c r="BK41" s="34" t="s">
        <v>3853</v>
      </c>
      <c r="BL41" s="34">
        <v>0.0</v>
      </c>
      <c r="BM41" s="34">
        <v>100.0</v>
      </c>
      <c r="BN41" s="34">
        <v>0.0</v>
      </c>
      <c r="BO41" s="34">
        <v>0.0</v>
      </c>
      <c r="BP41" s="33">
        <f>COUNTIFS('Data For Calculation - Insuranc'!A:A,A41,'Data For Calculation - Insuranc'!D:D,"Individual",'Data For Calculation - Insuranc'!E:E,"Rollover - 1 Year TP Only")</f>
        <v>0</v>
      </c>
      <c r="BQ41" s="34" t="s">
        <v>3932</v>
      </c>
      <c r="BR41" s="42" t="s">
        <v>3820</v>
      </c>
      <c r="BS41" s="31">
        <v>290.0</v>
      </c>
      <c r="BT41" s="34" t="s">
        <v>3853</v>
      </c>
      <c r="BU41" s="34">
        <v>0.0</v>
      </c>
      <c r="BV41" s="34">
        <v>100.0</v>
      </c>
      <c r="BW41" s="34">
        <v>0.0</v>
      </c>
      <c r="BX41" s="34">
        <v>0.0</v>
      </c>
      <c r="BY41" s="33">
        <f>COUNTIFS('Data For Calculation - Insuranc'!A:A,A41,'Data For Calculation - Insuranc'!D:D,"Company",'Data For Calculation - Insuranc'!E:E,"Rollover - 1 Year TP Only")</f>
        <v>0</v>
      </c>
      <c r="BZ41" s="31">
        <f t="shared" si="1"/>
        <v>0</v>
      </c>
      <c r="CA41" s="33">
        <f>SUMIFS('Data For Calculation - Insuranc'!I:I,'Data For Calculation - Insuranc'!$A:$A,$A41)</f>
        <v>0</v>
      </c>
      <c r="CB41" s="33">
        <f>SUMIFS('Data For Calculation - Insuranc'!J:J,'Data For Calculation - Insuranc'!$A:$A,$A41)</f>
        <v>0</v>
      </c>
      <c r="CC41" s="33">
        <f>SUMIFS('Data For Calculation - Insuranc'!K:K,'Data For Calculation - Insuranc'!$A:$A,$A41)</f>
        <v>0</v>
      </c>
      <c r="CD41" s="33">
        <f>IF($CK41 = "Dealer", SUMIFS('Data For Calculation - Insuranc'!I:I,'Data For Calculation - Insuranc'!$B:$B,$A41,'Data For Calculation - Insuranc'!$H:$H,"Master Dealer")) + SUMIFS('Data For Calculation - Insuranc'!I:I,'Data For Calculation - Insuranc'!$A:$A,$A41,'Data For Calculation - Insuranc'!$H:$H,"Self")</f>
        <v>0</v>
      </c>
      <c r="CE41" s="33">
        <f>IF($CK41 = "Dealer", SUMIFS('Data For Calculation - Insuranc'!J:J,'Data For Calculation - Insuranc'!$B:$B,$A41,'Data For Calculation - Insuranc'!$H:$H,"Master Dealer")) + SUMIFS('Data For Calculation - Insuranc'!J:J,'Data For Calculation - Insuranc'!$A:$A,$A41,'Data For Calculation - Insuranc'!$H:$H,"Self")</f>
        <v>0</v>
      </c>
      <c r="CF41" s="33">
        <f>IF($CK41 = "Dealer", SUMIFS('Data For Calculation - Insuranc'!K:K,'Data For Calculation - Insuranc'!$B:$B,$A41,'Data For Calculation - Insuranc'!$H:$H,"Master Dealer")) + SUMIFS('Data For Calculation - Insuranc'!K:K,'Data For Calculation - Insuranc'!$A:$A,$A41,'Data For Calculation - Insuranc'!$H:$H,"Self")</f>
        <v>0</v>
      </c>
      <c r="CG41" s="25" t="str">
        <f>(Sheet1!N41)</f>
        <v>Brij Biwheelers</v>
      </c>
      <c r="CH41" s="25" t="str">
        <f>(Sheet1!O41)</f>
        <v>1ytBGcO8tIze81xKkAa9lWDcflthsPL6SuADAXbhmuwA</v>
      </c>
      <c r="CI41" s="25" t="str">
        <f>(Sheet1!AV41)</f>
        <v/>
      </c>
      <c r="CJ41" s="25" t="str">
        <f>(Sheet1!AW41)</f>
        <v/>
      </c>
      <c r="CK41" s="26" t="str">
        <f>(Sheet1!P41)</f>
        <v>Sub Dealer</v>
      </c>
    </row>
    <row r="42">
      <c r="A42" s="25" t="str">
        <f>(Sheet1!A42)</f>
        <v>1HvellLIIt0McYf2irXwhP04Oc9HTCBdhkpvifuxyx8g</v>
      </c>
      <c r="B42" s="25" t="str">
        <f>(Sheet1!B42)</f>
        <v>KULDEEP AUTO ENTERPRISES (BBW)</v>
      </c>
      <c r="C42" s="30" t="str">
        <f>Sheet1!BB42</f>
        <v>No</v>
      </c>
      <c r="D42" s="30" t="s">
        <v>13</v>
      </c>
      <c r="E42" s="34" t="s">
        <v>13</v>
      </c>
      <c r="F42" s="34" t="s">
        <v>3929</v>
      </c>
      <c r="G42" s="42" t="s">
        <v>3820</v>
      </c>
      <c r="H42" s="43">
        <v>460.0</v>
      </c>
      <c r="I42" s="42" t="s">
        <v>3853</v>
      </c>
      <c r="J42" s="43">
        <v>0.0</v>
      </c>
      <c r="K42" s="43">
        <v>100.0</v>
      </c>
      <c r="L42" s="43">
        <v>0.0</v>
      </c>
      <c r="M42" s="43">
        <v>0.0</v>
      </c>
      <c r="N42" s="33">
        <f>COUNTIFS('Data For Calculation - Insuranc'!A:A,A42,'Data For Calculation - Insuranc'!D:D,"Individual",'Data For Calculation - Insuranc'!E:E,"Bundled - 1 Year OD + 5 Year TP")</f>
        <v>0</v>
      </c>
      <c r="O42" s="34" t="s">
        <v>3930</v>
      </c>
      <c r="P42" s="42" t="s">
        <v>3820</v>
      </c>
      <c r="Q42" s="43">
        <v>460.0</v>
      </c>
      <c r="R42" s="42" t="s">
        <v>3853</v>
      </c>
      <c r="S42" s="43">
        <v>0.0</v>
      </c>
      <c r="T42" s="43">
        <v>100.0</v>
      </c>
      <c r="U42" s="43">
        <v>0.0</v>
      </c>
      <c r="V42" s="43">
        <v>0.0</v>
      </c>
      <c r="W42" s="33">
        <f>COUNTIFS('Data For Calculation - Insuranc'!A:A,A42,'Data For Calculation - Insuranc'!D:D,"Company",'Data For Calculation - Insuranc'!E:E,"Bundled - 1 Year OD + 5 Year TP")</f>
        <v>0</v>
      </c>
      <c r="X42" s="34" t="s">
        <v>3929</v>
      </c>
      <c r="Y42" s="42" t="s">
        <v>3820</v>
      </c>
      <c r="Z42" s="31">
        <v>290.0</v>
      </c>
      <c r="AA42" s="34" t="s">
        <v>3853</v>
      </c>
      <c r="AB42" s="34">
        <v>0.0</v>
      </c>
      <c r="AC42" s="34">
        <v>100.0</v>
      </c>
      <c r="AD42" s="34">
        <v>0.0</v>
      </c>
      <c r="AE42" s="34">
        <v>0.0</v>
      </c>
      <c r="AF42" s="33">
        <f>COUNTIFS('Data For Calculation - Insuranc'!A:A,A42,'Data For Calculation - Insuranc'!D:D,"Individual",'Data For Calculation - Insuranc'!E:E,"Rollover Comprehensive - 1 Year OD + 1 Year TP")</f>
        <v>0</v>
      </c>
      <c r="AG42" s="34" t="s">
        <v>3930</v>
      </c>
      <c r="AH42" s="42" t="s">
        <v>3820</v>
      </c>
      <c r="AI42" s="31">
        <v>290.0</v>
      </c>
      <c r="AJ42" s="34" t="s">
        <v>3853</v>
      </c>
      <c r="AK42" s="34">
        <v>0.0</v>
      </c>
      <c r="AL42" s="34">
        <v>100.0</v>
      </c>
      <c r="AM42" s="34">
        <v>0.0</v>
      </c>
      <c r="AN42" s="34">
        <v>0.0</v>
      </c>
      <c r="AO42" s="33">
        <f>COUNTIFS('Data For Calculation - Insuranc'!A:A,A42,'Data For Calculation - Insuranc'!D:D,"Company",'Data For Calculation - Insuranc'!E:E,"Rollover Comprehensive - 1 Year OD + 1 Year TP")</f>
        <v>0</v>
      </c>
      <c r="AP42" s="34" t="s">
        <v>3931</v>
      </c>
      <c r="AQ42" s="42" t="s">
        <v>3820</v>
      </c>
      <c r="AR42" s="31">
        <v>290.0</v>
      </c>
      <c r="AS42" s="34" t="s">
        <v>3853</v>
      </c>
      <c r="AT42" s="34">
        <v>0.0</v>
      </c>
      <c r="AU42" s="34">
        <v>100.0</v>
      </c>
      <c r="AV42" s="34">
        <v>0.0</v>
      </c>
      <c r="AW42" s="34">
        <v>0.0</v>
      </c>
      <c r="AX42" s="33">
        <f>COUNTIFS('Data For Calculation - Insuranc'!A:A,A42,'Data For Calculation - Insuranc'!D:D,"Individual",'Data For Calculation - Insuranc'!E:E,"Rollover - 1 Year OD Only")</f>
        <v>0</v>
      </c>
      <c r="AY42" s="34" t="s">
        <v>3932</v>
      </c>
      <c r="AZ42" s="42" t="s">
        <v>3820</v>
      </c>
      <c r="BA42" s="31">
        <v>290.0</v>
      </c>
      <c r="BB42" s="34" t="s">
        <v>3853</v>
      </c>
      <c r="BC42" s="34">
        <v>0.0</v>
      </c>
      <c r="BD42" s="34">
        <v>100.0</v>
      </c>
      <c r="BE42" s="34">
        <v>0.0</v>
      </c>
      <c r="BF42" s="34">
        <v>0.0</v>
      </c>
      <c r="BG42" s="33">
        <f>COUNTIFS('Data For Calculation - Insuranc'!A:A,A42,'Data For Calculation - Insuranc'!D:D,"Company",'Data For Calculation - Insuranc'!E:E,"Rollover - 1 Year OD Only")</f>
        <v>0</v>
      </c>
      <c r="BH42" s="34" t="s">
        <v>3931</v>
      </c>
      <c r="BI42" s="42" t="s">
        <v>3820</v>
      </c>
      <c r="BJ42" s="31">
        <v>290.0</v>
      </c>
      <c r="BK42" s="34" t="s">
        <v>3853</v>
      </c>
      <c r="BL42" s="34">
        <v>0.0</v>
      </c>
      <c r="BM42" s="34">
        <v>100.0</v>
      </c>
      <c r="BN42" s="34">
        <v>0.0</v>
      </c>
      <c r="BO42" s="34">
        <v>0.0</v>
      </c>
      <c r="BP42" s="33">
        <f>COUNTIFS('Data For Calculation - Insuranc'!A:A,A42,'Data For Calculation - Insuranc'!D:D,"Individual",'Data For Calculation - Insuranc'!E:E,"Rollover - 1 Year TP Only")</f>
        <v>0</v>
      </c>
      <c r="BQ42" s="34" t="s">
        <v>3932</v>
      </c>
      <c r="BR42" s="42" t="s">
        <v>3820</v>
      </c>
      <c r="BS42" s="31">
        <v>290.0</v>
      </c>
      <c r="BT42" s="34" t="s">
        <v>3853</v>
      </c>
      <c r="BU42" s="34">
        <v>0.0</v>
      </c>
      <c r="BV42" s="34">
        <v>100.0</v>
      </c>
      <c r="BW42" s="34">
        <v>0.0</v>
      </c>
      <c r="BX42" s="34">
        <v>0.0</v>
      </c>
      <c r="BY42" s="33">
        <f>COUNTIFS('Data For Calculation - Insuranc'!A:A,A42,'Data For Calculation - Insuranc'!D:D,"Company",'Data For Calculation - Insuranc'!E:E,"Rollover - 1 Year TP Only")</f>
        <v>0</v>
      </c>
      <c r="BZ42" s="31">
        <f t="shared" si="1"/>
        <v>0</v>
      </c>
      <c r="CA42" s="33">
        <f>SUMIFS('Data For Calculation - Insuranc'!I:I,'Data For Calculation - Insuranc'!$A:$A,$A42)</f>
        <v>0</v>
      </c>
      <c r="CB42" s="33">
        <f>SUMIFS('Data For Calculation - Insuranc'!J:J,'Data For Calculation - Insuranc'!$A:$A,$A42)</f>
        <v>0</v>
      </c>
      <c r="CC42" s="33">
        <f>SUMIFS('Data For Calculation - Insuranc'!K:K,'Data For Calculation - Insuranc'!$A:$A,$A42)</f>
        <v>0</v>
      </c>
      <c r="CD42" s="33">
        <f>IF($CK42 = "Dealer", SUMIFS('Data For Calculation - Insuranc'!I:I,'Data For Calculation - Insuranc'!$B:$B,$A42,'Data For Calculation - Insuranc'!$H:$H,"Master Dealer")) + SUMIFS('Data For Calculation - Insuranc'!I:I,'Data For Calculation - Insuranc'!$A:$A,$A42,'Data For Calculation - Insuranc'!$H:$H,"Self")</f>
        <v>0</v>
      </c>
      <c r="CE42" s="33">
        <f>IF($CK42 = "Dealer", SUMIFS('Data For Calculation - Insuranc'!J:J,'Data For Calculation - Insuranc'!$B:$B,$A42,'Data For Calculation - Insuranc'!$H:$H,"Master Dealer")) + SUMIFS('Data For Calculation - Insuranc'!J:J,'Data For Calculation - Insuranc'!$A:$A,$A42,'Data For Calculation - Insuranc'!$H:$H,"Self")</f>
        <v>0</v>
      </c>
      <c r="CF42" s="33">
        <f>IF($CK42 = "Dealer", SUMIFS('Data For Calculation - Insuranc'!K:K,'Data For Calculation - Insuranc'!$B:$B,$A42,'Data For Calculation - Insuranc'!$H:$H,"Master Dealer")) + SUMIFS('Data For Calculation - Insuranc'!K:K,'Data For Calculation - Insuranc'!$A:$A,$A42,'Data For Calculation - Insuranc'!$H:$H,"Self")</f>
        <v>0</v>
      </c>
      <c r="CG42" s="25" t="str">
        <f>(Sheet1!N42)</f>
        <v>Brij Biwheelers</v>
      </c>
      <c r="CH42" s="25" t="str">
        <f>(Sheet1!O42)</f>
        <v>1ytBGcO8tIze81xKkAa9lWDcflthsPL6SuADAXbhmuwA</v>
      </c>
      <c r="CI42" s="25" t="str">
        <f>(Sheet1!AV42)</f>
        <v/>
      </c>
      <c r="CJ42" s="25" t="str">
        <f>(Sheet1!AW42)</f>
        <v/>
      </c>
      <c r="CK42" s="26" t="str">
        <f>(Sheet1!P42)</f>
        <v>Sub Dealer</v>
      </c>
    </row>
    <row r="43">
      <c r="A43" s="25" t="str">
        <f>(Sheet1!A43)</f>
        <v>10y5zpV0ufroZh5B-Qo1GwJlSJsEyRLymOo-gShU03gk</v>
      </c>
      <c r="B43" s="25" t="str">
        <f>(Sheet1!B43)</f>
        <v>JAJAMPATTI (BBW)</v>
      </c>
      <c r="C43" s="30" t="str">
        <f>Sheet1!BB43</f>
        <v>No</v>
      </c>
      <c r="D43" s="30" t="s">
        <v>13</v>
      </c>
      <c r="E43" s="34" t="s">
        <v>13</v>
      </c>
      <c r="F43" s="34" t="s">
        <v>3929</v>
      </c>
      <c r="G43" s="42" t="s">
        <v>3820</v>
      </c>
      <c r="H43" s="43">
        <v>460.0</v>
      </c>
      <c r="I43" s="42" t="s">
        <v>3853</v>
      </c>
      <c r="J43" s="43">
        <v>0.0</v>
      </c>
      <c r="K43" s="43">
        <v>100.0</v>
      </c>
      <c r="L43" s="43">
        <v>0.0</v>
      </c>
      <c r="M43" s="43">
        <v>0.0</v>
      </c>
      <c r="N43" s="33">
        <f>COUNTIFS('Data For Calculation - Insuranc'!A:A,A43,'Data For Calculation - Insuranc'!D:D,"Individual",'Data For Calculation - Insuranc'!E:E,"Bundled - 1 Year OD + 5 Year TP")</f>
        <v>0</v>
      </c>
      <c r="O43" s="34" t="s">
        <v>3930</v>
      </c>
      <c r="P43" s="42" t="s">
        <v>3820</v>
      </c>
      <c r="Q43" s="43">
        <v>460.0</v>
      </c>
      <c r="R43" s="42" t="s">
        <v>3853</v>
      </c>
      <c r="S43" s="43">
        <v>0.0</v>
      </c>
      <c r="T43" s="43">
        <v>100.0</v>
      </c>
      <c r="U43" s="43">
        <v>0.0</v>
      </c>
      <c r="V43" s="43">
        <v>0.0</v>
      </c>
      <c r="W43" s="33">
        <f>COUNTIFS('Data For Calculation - Insuranc'!A:A,A43,'Data For Calculation - Insuranc'!D:D,"Company",'Data For Calculation - Insuranc'!E:E,"Bundled - 1 Year OD + 5 Year TP")</f>
        <v>0</v>
      </c>
      <c r="X43" s="34" t="s">
        <v>3929</v>
      </c>
      <c r="Y43" s="42" t="s">
        <v>3820</v>
      </c>
      <c r="Z43" s="31">
        <v>290.0</v>
      </c>
      <c r="AA43" s="34" t="s">
        <v>3853</v>
      </c>
      <c r="AB43" s="34">
        <v>0.0</v>
      </c>
      <c r="AC43" s="34">
        <v>100.0</v>
      </c>
      <c r="AD43" s="34">
        <v>0.0</v>
      </c>
      <c r="AE43" s="34">
        <v>0.0</v>
      </c>
      <c r="AF43" s="33">
        <f>COUNTIFS('Data For Calculation - Insuranc'!A:A,A43,'Data For Calculation - Insuranc'!D:D,"Individual",'Data For Calculation - Insuranc'!E:E,"Rollover Comprehensive - 1 Year OD + 1 Year TP")</f>
        <v>0</v>
      </c>
      <c r="AG43" s="34" t="s">
        <v>3930</v>
      </c>
      <c r="AH43" s="42" t="s">
        <v>3820</v>
      </c>
      <c r="AI43" s="31">
        <v>290.0</v>
      </c>
      <c r="AJ43" s="34" t="s">
        <v>3853</v>
      </c>
      <c r="AK43" s="34">
        <v>0.0</v>
      </c>
      <c r="AL43" s="34">
        <v>100.0</v>
      </c>
      <c r="AM43" s="34">
        <v>0.0</v>
      </c>
      <c r="AN43" s="34">
        <v>0.0</v>
      </c>
      <c r="AO43" s="33">
        <f>COUNTIFS('Data For Calculation - Insuranc'!A:A,A43,'Data For Calculation - Insuranc'!D:D,"Company",'Data For Calculation - Insuranc'!E:E,"Rollover Comprehensive - 1 Year OD + 1 Year TP")</f>
        <v>0</v>
      </c>
      <c r="AP43" s="34" t="s">
        <v>3931</v>
      </c>
      <c r="AQ43" s="42" t="s">
        <v>3820</v>
      </c>
      <c r="AR43" s="31">
        <v>290.0</v>
      </c>
      <c r="AS43" s="34" t="s">
        <v>3853</v>
      </c>
      <c r="AT43" s="34">
        <v>0.0</v>
      </c>
      <c r="AU43" s="34">
        <v>100.0</v>
      </c>
      <c r="AV43" s="34">
        <v>0.0</v>
      </c>
      <c r="AW43" s="34">
        <v>0.0</v>
      </c>
      <c r="AX43" s="33">
        <f>COUNTIFS('Data For Calculation - Insuranc'!A:A,A43,'Data For Calculation - Insuranc'!D:D,"Individual",'Data For Calculation - Insuranc'!E:E,"Rollover - 1 Year OD Only")</f>
        <v>0</v>
      </c>
      <c r="AY43" s="34" t="s">
        <v>3932</v>
      </c>
      <c r="AZ43" s="42" t="s">
        <v>3820</v>
      </c>
      <c r="BA43" s="31">
        <v>290.0</v>
      </c>
      <c r="BB43" s="34" t="s">
        <v>3853</v>
      </c>
      <c r="BC43" s="34">
        <v>0.0</v>
      </c>
      <c r="BD43" s="34">
        <v>100.0</v>
      </c>
      <c r="BE43" s="34">
        <v>0.0</v>
      </c>
      <c r="BF43" s="34">
        <v>0.0</v>
      </c>
      <c r="BG43" s="33">
        <f>COUNTIFS('Data For Calculation - Insuranc'!A:A,A43,'Data For Calculation - Insuranc'!D:D,"Company",'Data For Calculation - Insuranc'!E:E,"Rollover - 1 Year OD Only")</f>
        <v>0</v>
      </c>
      <c r="BH43" s="34" t="s">
        <v>3931</v>
      </c>
      <c r="BI43" s="42" t="s">
        <v>3820</v>
      </c>
      <c r="BJ43" s="31">
        <v>290.0</v>
      </c>
      <c r="BK43" s="34" t="s">
        <v>3853</v>
      </c>
      <c r="BL43" s="34">
        <v>0.0</v>
      </c>
      <c r="BM43" s="34">
        <v>100.0</v>
      </c>
      <c r="BN43" s="34">
        <v>0.0</v>
      </c>
      <c r="BO43" s="34">
        <v>0.0</v>
      </c>
      <c r="BP43" s="33">
        <f>COUNTIFS('Data For Calculation - Insuranc'!A:A,A43,'Data For Calculation - Insuranc'!D:D,"Individual",'Data For Calculation - Insuranc'!E:E,"Rollover - 1 Year TP Only")</f>
        <v>0</v>
      </c>
      <c r="BQ43" s="34" t="s">
        <v>3932</v>
      </c>
      <c r="BR43" s="42" t="s">
        <v>3820</v>
      </c>
      <c r="BS43" s="31">
        <v>290.0</v>
      </c>
      <c r="BT43" s="34" t="s">
        <v>3853</v>
      </c>
      <c r="BU43" s="34">
        <v>0.0</v>
      </c>
      <c r="BV43" s="34">
        <v>100.0</v>
      </c>
      <c r="BW43" s="34">
        <v>0.0</v>
      </c>
      <c r="BX43" s="34">
        <v>0.0</v>
      </c>
      <c r="BY43" s="33">
        <f>COUNTIFS('Data For Calculation - Insuranc'!A:A,A43,'Data For Calculation - Insuranc'!D:D,"Company",'Data For Calculation - Insuranc'!E:E,"Rollover - 1 Year TP Only")</f>
        <v>0</v>
      </c>
      <c r="BZ43" s="31">
        <f t="shared" si="1"/>
        <v>0</v>
      </c>
      <c r="CA43" s="33">
        <f>SUMIFS('Data For Calculation - Insuranc'!I:I,'Data For Calculation - Insuranc'!$A:$A,$A43)</f>
        <v>0</v>
      </c>
      <c r="CB43" s="33">
        <f>SUMIFS('Data For Calculation - Insuranc'!J:J,'Data For Calculation - Insuranc'!$A:$A,$A43)</f>
        <v>0</v>
      </c>
      <c r="CC43" s="33">
        <f>SUMIFS('Data For Calculation - Insuranc'!K:K,'Data For Calculation - Insuranc'!$A:$A,$A43)</f>
        <v>0</v>
      </c>
      <c r="CD43" s="33">
        <f>IF($CK43 = "Dealer", SUMIFS('Data For Calculation - Insuranc'!I:I,'Data For Calculation - Insuranc'!$B:$B,$A43,'Data For Calculation - Insuranc'!$H:$H,"Master Dealer")) + SUMIFS('Data For Calculation - Insuranc'!I:I,'Data For Calculation - Insuranc'!$A:$A,$A43,'Data For Calculation - Insuranc'!$H:$H,"Self")</f>
        <v>0</v>
      </c>
      <c r="CE43" s="33">
        <f>IF($CK43 = "Dealer", SUMIFS('Data For Calculation - Insuranc'!J:J,'Data For Calculation - Insuranc'!$B:$B,$A43,'Data For Calculation - Insuranc'!$H:$H,"Master Dealer")) + SUMIFS('Data For Calculation - Insuranc'!J:J,'Data For Calculation - Insuranc'!$A:$A,$A43,'Data For Calculation - Insuranc'!$H:$H,"Self")</f>
        <v>0</v>
      </c>
      <c r="CF43" s="33">
        <f>IF($CK43 = "Dealer", SUMIFS('Data For Calculation - Insuranc'!K:K,'Data For Calculation - Insuranc'!$B:$B,$A43,'Data For Calculation - Insuranc'!$H:$H,"Master Dealer")) + SUMIFS('Data For Calculation - Insuranc'!K:K,'Data For Calculation - Insuranc'!$A:$A,$A43,'Data For Calculation - Insuranc'!$H:$H,"Self")</f>
        <v>0</v>
      </c>
      <c r="CG43" s="25" t="str">
        <f>(Sheet1!N43)</f>
        <v>Brij Biwheelers</v>
      </c>
      <c r="CH43" s="25" t="str">
        <f>(Sheet1!O43)</f>
        <v>1ytBGcO8tIze81xKkAa9lWDcflthsPL6SuADAXbhmuwA</v>
      </c>
      <c r="CI43" s="25" t="str">
        <f>(Sheet1!AV43)</f>
        <v/>
      </c>
      <c r="CJ43" s="25" t="str">
        <f>(Sheet1!AW43)</f>
        <v/>
      </c>
      <c r="CK43" s="26" t="str">
        <f>(Sheet1!P43)</f>
        <v>Sub Dealer</v>
      </c>
    </row>
    <row r="44">
      <c r="A44" s="25" t="str">
        <f>(Sheet1!A44)</f>
        <v>10OrFTKO4yhmJjB2PdJsPBFWFJQhFkWOzdv4SLQemIhs</v>
      </c>
      <c r="B44" s="25" t="str">
        <f>(Sheet1!B44)</f>
        <v>BRIJ HERO RENEWAL (BBW)</v>
      </c>
      <c r="C44" s="30" t="str">
        <f>Sheet1!BB44</f>
        <v>No</v>
      </c>
      <c r="D44" s="30" t="s">
        <v>13</v>
      </c>
      <c r="E44" s="34" t="s">
        <v>13</v>
      </c>
      <c r="F44" s="34" t="s">
        <v>3929</v>
      </c>
      <c r="G44" s="42" t="s">
        <v>3820</v>
      </c>
      <c r="H44" s="43">
        <v>460.0</v>
      </c>
      <c r="I44" s="42" t="s">
        <v>3853</v>
      </c>
      <c r="J44" s="43">
        <v>0.0</v>
      </c>
      <c r="K44" s="43">
        <v>100.0</v>
      </c>
      <c r="L44" s="43">
        <v>0.0</v>
      </c>
      <c r="M44" s="43">
        <v>0.0</v>
      </c>
      <c r="N44" s="33">
        <f>COUNTIFS('Data For Calculation - Insuranc'!A:A,A44,'Data For Calculation - Insuranc'!D:D,"Individual",'Data For Calculation - Insuranc'!E:E,"Bundled - 1 Year OD + 5 Year TP")</f>
        <v>0</v>
      </c>
      <c r="O44" s="34" t="s">
        <v>3930</v>
      </c>
      <c r="P44" s="42" t="s">
        <v>3820</v>
      </c>
      <c r="Q44" s="43">
        <v>460.0</v>
      </c>
      <c r="R44" s="42" t="s">
        <v>3853</v>
      </c>
      <c r="S44" s="43">
        <v>0.0</v>
      </c>
      <c r="T44" s="43">
        <v>100.0</v>
      </c>
      <c r="U44" s="43">
        <v>0.0</v>
      </c>
      <c r="V44" s="43">
        <v>0.0</v>
      </c>
      <c r="W44" s="33">
        <f>COUNTIFS('Data For Calculation - Insuranc'!A:A,A44,'Data For Calculation - Insuranc'!D:D,"Company",'Data For Calculation - Insuranc'!E:E,"Bundled - 1 Year OD + 5 Year TP")</f>
        <v>0</v>
      </c>
      <c r="X44" s="34" t="s">
        <v>3929</v>
      </c>
      <c r="Y44" s="42" t="s">
        <v>3820</v>
      </c>
      <c r="Z44" s="31">
        <v>290.0</v>
      </c>
      <c r="AA44" s="34" t="s">
        <v>3853</v>
      </c>
      <c r="AB44" s="34">
        <v>0.0</v>
      </c>
      <c r="AC44" s="34">
        <v>100.0</v>
      </c>
      <c r="AD44" s="34">
        <v>0.0</v>
      </c>
      <c r="AE44" s="34">
        <v>0.0</v>
      </c>
      <c r="AF44" s="33">
        <f>COUNTIFS('Data For Calculation - Insuranc'!A:A,A44,'Data For Calculation - Insuranc'!D:D,"Individual",'Data For Calculation - Insuranc'!E:E,"Rollover Comprehensive - 1 Year OD + 1 Year TP")</f>
        <v>0</v>
      </c>
      <c r="AG44" s="34" t="s">
        <v>3930</v>
      </c>
      <c r="AH44" s="42" t="s">
        <v>3820</v>
      </c>
      <c r="AI44" s="31">
        <v>290.0</v>
      </c>
      <c r="AJ44" s="34" t="s">
        <v>3853</v>
      </c>
      <c r="AK44" s="34">
        <v>0.0</v>
      </c>
      <c r="AL44" s="34">
        <v>100.0</v>
      </c>
      <c r="AM44" s="34">
        <v>0.0</v>
      </c>
      <c r="AN44" s="34">
        <v>0.0</v>
      </c>
      <c r="AO44" s="33">
        <f>COUNTIFS('Data For Calculation - Insuranc'!A:A,A44,'Data For Calculation - Insuranc'!D:D,"Company",'Data For Calculation - Insuranc'!E:E,"Rollover Comprehensive - 1 Year OD + 1 Year TP")</f>
        <v>0</v>
      </c>
      <c r="AP44" s="34" t="s">
        <v>3931</v>
      </c>
      <c r="AQ44" s="42" t="s">
        <v>3820</v>
      </c>
      <c r="AR44" s="31">
        <v>290.0</v>
      </c>
      <c r="AS44" s="34" t="s">
        <v>3853</v>
      </c>
      <c r="AT44" s="34">
        <v>0.0</v>
      </c>
      <c r="AU44" s="34">
        <v>100.0</v>
      </c>
      <c r="AV44" s="34">
        <v>0.0</v>
      </c>
      <c r="AW44" s="34">
        <v>0.0</v>
      </c>
      <c r="AX44" s="33">
        <f>COUNTIFS('Data For Calculation - Insuranc'!A:A,A44,'Data For Calculation - Insuranc'!D:D,"Individual",'Data For Calculation - Insuranc'!E:E,"Rollover - 1 Year OD Only")</f>
        <v>0</v>
      </c>
      <c r="AY44" s="34" t="s">
        <v>3932</v>
      </c>
      <c r="AZ44" s="42" t="s">
        <v>3820</v>
      </c>
      <c r="BA44" s="31">
        <v>290.0</v>
      </c>
      <c r="BB44" s="34" t="s">
        <v>3853</v>
      </c>
      <c r="BC44" s="34">
        <v>0.0</v>
      </c>
      <c r="BD44" s="34">
        <v>100.0</v>
      </c>
      <c r="BE44" s="34">
        <v>0.0</v>
      </c>
      <c r="BF44" s="34">
        <v>0.0</v>
      </c>
      <c r="BG44" s="33">
        <f>COUNTIFS('Data For Calculation - Insuranc'!A:A,A44,'Data For Calculation - Insuranc'!D:D,"Company",'Data For Calculation - Insuranc'!E:E,"Rollover - 1 Year OD Only")</f>
        <v>0</v>
      </c>
      <c r="BH44" s="34" t="s">
        <v>3931</v>
      </c>
      <c r="BI44" s="42" t="s">
        <v>3820</v>
      </c>
      <c r="BJ44" s="31">
        <v>290.0</v>
      </c>
      <c r="BK44" s="34" t="s">
        <v>3853</v>
      </c>
      <c r="BL44" s="34">
        <v>0.0</v>
      </c>
      <c r="BM44" s="34">
        <v>100.0</v>
      </c>
      <c r="BN44" s="34">
        <v>0.0</v>
      </c>
      <c r="BO44" s="34">
        <v>0.0</v>
      </c>
      <c r="BP44" s="33">
        <f>COUNTIFS('Data For Calculation - Insuranc'!A:A,A44,'Data For Calculation - Insuranc'!D:D,"Individual",'Data For Calculation - Insuranc'!E:E,"Rollover - 1 Year TP Only")</f>
        <v>0</v>
      </c>
      <c r="BQ44" s="34" t="s">
        <v>3932</v>
      </c>
      <c r="BR44" s="42" t="s">
        <v>3820</v>
      </c>
      <c r="BS44" s="31">
        <v>290.0</v>
      </c>
      <c r="BT44" s="34" t="s">
        <v>3853</v>
      </c>
      <c r="BU44" s="34">
        <v>0.0</v>
      </c>
      <c r="BV44" s="34">
        <v>100.0</v>
      </c>
      <c r="BW44" s="34">
        <v>0.0</v>
      </c>
      <c r="BX44" s="34">
        <v>0.0</v>
      </c>
      <c r="BY44" s="33">
        <f>COUNTIFS('Data For Calculation - Insuranc'!A:A,A44,'Data For Calculation - Insuranc'!D:D,"Company",'Data For Calculation - Insuranc'!E:E,"Rollover - 1 Year TP Only")</f>
        <v>0</v>
      </c>
      <c r="BZ44" s="31">
        <f t="shared" si="1"/>
        <v>0</v>
      </c>
      <c r="CA44" s="33">
        <f>SUMIFS('Data For Calculation - Insuranc'!I:I,'Data For Calculation - Insuranc'!$A:$A,$A44)</f>
        <v>0</v>
      </c>
      <c r="CB44" s="33">
        <f>SUMIFS('Data For Calculation - Insuranc'!J:J,'Data For Calculation - Insuranc'!$A:$A,$A44)</f>
        <v>0</v>
      </c>
      <c r="CC44" s="33">
        <f>SUMIFS('Data For Calculation - Insuranc'!K:K,'Data For Calculation - Insuranc'!$A:$A,$A44)</f>
        <v>0</v>
      </c>
      <c r="CD44" s="33">
        <f>IF($CK44 = "Dealer", SUMIFS('Data For Calculation - Insuranc'!I:I,'Data For Calculation - Insuranc'!$B:$B,$A44,'Data For Calculation - Insuranc'!$H:$H,"Master Dealer")) + SUMIFS('Data For Calculation - Insuranc'!I:I,'Data For Calculation - Insuranc'!$A:$A,$A44,'Data For Calculation - Insuranc'!$H:$H,"Self")</f>
        <v>0</v>
      </c>
      <c r="CE44" s="33">
        <f>IF($CK44 = "Dealer", SUMIFS('Data For Calculation - Insuranc'!J:J,'Data For Calculation - Insuranc'!$B:$B,$A44,'Data For Calculation - Insuranc'!$H:$H,"Master Dealer")) + SUMIFS('Data For Calculation - Insuranc'!J:J,'Data For Calculation - Insuranc'!$A:$A,$A44,'Data For Calculation - Insuranc'!$H:$H,"Self")</f>
        <v>0</v>
      </c>
      <c r="CF44" s="33">
        <f>IF($CK44 = "Dealer", SUMIFS('Data For Calculation - Insuranc'!K:K,'Data For Calculation - Insuranc'!$B:$B,$A44,'Data For Calculation - Insuranc'!$H:$H,"Master Dealer")) + SUMIFS('Data For Calculation - Insuranc'!K:K,'Data For Calculation - Insuranc'!$A:$A,$A44,'Data For Calculation - Insuranc'!$H:$H,"Self")</f>
        <v>0</v>
      </c>
      <c r="CG44" s="25" t="str">
        <f>(Sheet1!N44)</f>
        <v>Brij Biwheelers</v>
      </c>
      <c r="CH44" s="25" t="str">
        <f>(Sheet1!O44)</f>
        <v>1ytBGcO8tIze81xKkAa9lWDcflthsPL6SuADAXbhmuwA</v>
      </c>
      <c r="CI44" s="25" t="str">
        <f>(Sheet1!AV44)</f>
        <v/>
      </c>
      <c r="CJ44" s="25" t="str">
        <f>(Sheet1!AW44)</f>
        <v/>
      </c>
      <c r="CK44" s="26" t="str">
        <f>(Sheet1!P44)</f>
        <v>Sub Dealer</v>
      </c>
    </row>
    <row r="45">
      <c r="A45" s="25" t="str">
        <f>(Sheet1!A45)</f>
        <v>1XmVYrBOLuyIm0rpXhFaYpcRQ1t4YH3PN3pmiTosn08E</v>
      </c>
      <c r="B45" s="25" t="str">
        <f>(Sheet1!B45)</f>
        <v>Shraman Hero - GT Karnal Road</v>
      </c>
      <c r="C45" s="30" t="str">
        <f>Sheet1!BB45</f>
        <v>Yes</v>
      </c>
      <c r="D45" s="30" t="s">
        <v>13</v>
      </c>
      <c r="E45" s="34" t="s">
        <v>13</v>
      </c>
      <c r="F45" s="34" t="s">
        <v>3929</v>
      </c>
      <c r="G45" s="42" t="s">
        <v>3854</v>
      </c>
      <c r="H45" s="43">
        <v>100.0</v>
      </c>
      <c r="I45" s="42" t="s">
        <v>3855</v>
      </c>
      <c r="J45" s="43">
        <v>2000.0</v>
      </c>
      <c r="K45" s="43">
        <v>100.0</v>
      </c>
      <c r="L45" s="43">
        <v>0.0</v>
      </c>
      <c r="M45" s="43">
        <v>0.0</v>
      </c>
      <c r="N45" s="33">
        <f>COUNTIFS('Data For Calculation - Insuranc'!A:A,A45,'Data For Calculation - Insuranc'!D:D,"Individual",'Data For Calculation - Insuranc'!E:E,"Bundled - 1 Year OD + 5 Year TP")</f>
        <v>0</v>
      </c>
      <c r="O45" s="34" t="s">
        <v>3930</v>
      </c>
      <c r="P45" s="42" t="s">
        <v>3854</v>
      </c>
      <c r="Q45" s="43">
        <v>100.0</v>
      </c>
      <c r="R45" s="42" t="s">
        <v>3855</v>
      </c>
      <c r="S45" s="43">
        <v>2000.0</v>
      </c>
      <c r="T45" s="43">
        <v>100.0</v>
      </c>
      <c r="U45" s="43">
        <v>0.0</v>
      </c>
      <c r="V45" s="43">
        <v>0.0</v>
      </c>
      <c r="W45" s="33">
        <f>COUNTIFS('Data For Calculation - Insuranc'!A:A,A45,'Data For Calculation - Insuranc'!D:D,"Company",'Data For Calculation - Insuranc'!E:E,"Bundled - 1 Year OD + 5 Year TP")</f>
        <v>0</v>
      </c>
      <c r="X45" s="34" t="s">
        <v>3929</v>
      </c>
      <c r="Y45" s="42" t="s">
        <v>3854</v>
      </c>
      <c r="Z45" s="43">
        <v>100.0</v>
      </c>
      <c r="AA45" s="42" t="s">
        <v>3855</v>
      </c>
      <c r="AB45" s="31">
        <v>500.0</v>
      </c>
      <c r="AC45" s="43">
        <v>100.0</v>
      </c>
      <c r="AD45" s="43">
        <v>0.0</v>
      </c>
      <c r="AE45" s="43">
        <v>0.0</v>
      </c>
      <c r="AF45" s="33">
        <f>COUNTIFS('Data For Calculation - Insuranc'!A:A,A45,'Data For Calculation - Insuranc'!D:D,"Individual",'Data For Calculation - Insuranc'!E:E,"Rollover Comprehensive - 1 Year OD + 1 Year TP")</f>
        <v>0</v>
      </c>
      <c r="AG45" s="34" t="s">
        <v>3930</v>
      </c>
      <c r="AH45" s="42" t="s">
        <v>3854</v>
      </c>
      <c r="AI45" s="43">
        <v>100.0</v>
      </c>
      <c r="AJ45" s="42" t="s">
        <v>3855</v>
      </c>
      <c r="AK45" s="31">
        <v>500.0</v>
      </c>
      <c r="AL45" s="43">
        <v>100.0</v>
      </c>
      <c r="AM45" s="43">
        <v>0.0</v>
      </c>
      <c r="AN45" s="43">
        <v>0.0</v>
      </c>
      <c r="AO45" s="33">
        <f>COUNTIFS('Data For Calculation - Insuranc'!A:A,A45,'Data For Calculation - Insuranc'!D:D,"Company",'Data For Calculation - Insuranc'!E:E,"Rollover Comprehensive - 1 Year OD + 1 Year TP")</f>
        <v>0</v>
      </c>
      <c r="AP45" s="34" t="s">
        <v>3929</v>
      </c>
      <c r="AQ45" s="42" t="s">
        <v>3854</v>
      </c>
      <c r="AR45" s="43">
        <v>100.0</v>
      </c>
      <c r="AS45" s="42" t="s">
        <v>3855</v>
      </c>
      <c r="AT45" s="31">
        <v>500.0</v>
      </c>
      <c r="AU45" s="43">
        <v>100.0</v>
      </c>
      <c r="AV45" s="43">
        <v>0.0</v>
      </c>
      <c r="AW45" s="43">
        <v>0.0</v>
      </c>
      <c r="AX45" s="33">
        <f>COUNTIFS('Data For Calculation - Insuranc'!A:A,A45,'Data For Calculation - Insuranc'!D:D,"Individual",'Data For Calculation - Insuranc'!E:E,"Rollover - 1 Year OD Only")</f>
        <v>0</v>
      </c>
      <c r="AY45" s="34" t="s">
        <v>3930</v>
      </c>
      <c r="AZ45" s="42" t="s">
        <v>3854</v>
      </c>
      <c r="BA45" s="43">
        <v>100.0</v>
      </c>
      <c r="BB45" s="42" t="s">
        <v>3855</v>
      </c>
      <c r="BC45" s="31">
        <v>500.0</v>
      </c>
      <c r="BD45" s="43">
        <v>100.0</v>
      </c>
      <c r="BE45" s="43">
        <v>0.0</v>
      </c>
      <c r="BF45" s="43">
        <v>0.0</v>
      </c>
      <c r="BG45" s="33">
        <f>COUNTIFS('Data For Calculation - Insuranc'!A:A,A45,'Data For Calculation - Insuranc'!D:D,"Company",'Data For Calculation - Insuranc'!E:E,"Rollover - 1 Year OD Only")</f>
        <v>0</v>
      </c>
      <c r="BH45" s="34" t="s">
        <v>3931</v>
      </c>
      <c r="BI45" s="42" t="s">
        <v>3854</v>
      </c>
      <c r="BJ45" s="43">
        <v>100.0</v>
      </c>
      <c r="BK45" s="42" t="s">
        <v>3855</v>
      </c>
      <c r="BL45" s="31">
        <v>400.0</v>
      </c>
      <c r="BM45" s="43">
        <v>100.0</v>
      </c>
      <c r="BN45" s="43">
        <v>0.0</v>
      </c>
      <c r="BO45" s="43">
        <v>0.0</v>
      </c>
      <c r="BP45" s="33">
        <f>COUNTIFS('Data For Calculation - Insuranc'!A:A,A45,'Data For Calculation - Insuranc'!D:D,"Individual",'Data For Calculation - Insuranc'!E:E,"Rollover - 1 Year TP Only")</f>
        <v>0</v>
      </c>
      <c r="BQ45" s="34" t="s">
        <v>3932</v>
      </c>
      <c r="BR45" s="42" t="s">
        <v>3854</v>
      </c>
      <c r="BS45" s="43">
        <v>100.0</v>
      </c>
      <c r="BT45" s="42" t="s">
        <v>3855</v>
      </c>
      <c r="BU45" s="31">
        <v>400.0</v>
      </c>
      <c r="BV45" s="43">
        <v>100.0</v>
      </c>
      <c r="BW45" s="43">
        <v>0.0</v>
      </c>
      <c r="BX45" s="43">
        <v>0.0</v>
      </c>
      <c r="BY45" s="33">
        <f>COUNTIFS('Data For Calculation - Insuranc'!A:A,A45,'Data For Calculation - Insuranc'!D:D,"Company",'Data For Calculation - Insuranc'!E:E,"Rollover - 1 Year TP Only")</f>
        <v>0</v>
      </c>
      <c r="BZ45" s="31">
        <f t="shared" si="1"/>
        <v>0</v>
      </c>
      <c r="CA45" s="33">
        <f>SUMIFS('Data For Calculation - Insuranc'!I:I,'Data For Calculation - Insuranc'!$A:$A,$A45)</f>
        <v>0</v>
      </c>
      <c r="CB45" s="33">
        <f>SUMIFS('Data For Calculation - Insuranc'!J:J,'Data For Calculation - Insuranc'!$A:$A,$A45)</f>
        <v>0</v>
      </c>
      <c r="CC45" s="33">
        <f>SUMIFS('Data For Calculation - Insuranc'!K:K,'Data For Calculation - Insuranc'!$A:$A,$A45)</f>
        <v>0</v>
      </c>
      <c r="CD45" s="33">
        <f>IF($CK45 = "Dealer", SUMIFS('Data For Calculation - Insuranc'!I:I,'Data For Calculation - Insuranc'!$B:$B,$A45,'Data For Calculation - Insuranc'!$H:$H,"Master Dealer")) + SUMIFS('Data For Calculation - Insuranc'!I:I,'Data For Calculation - Insuranc'!$A:$A,$A45,'Data For Calculation - Insuranc'!$H:$H,"Self")</f>
        <v>0</v>
      </c>
      <c r="CE45" s="33">
        <f>IF($CK45 = "Dealer", SUMIFS('Data For Calculation - Insuranc'!J:J,'Data For Calculation - Insuranc'!$B:$B,$A45,'Data For Calculation - Insuranc'!$H:$H,"Master Dealer")) + SUMIFS('Data For Calculation - Insuranc'!J:J,'Data For Calculation - Insuranc'!$A:$A,$A45,'Data For Calculation - Insuranc'!$H:$H,"Self")</f>
        <v>0</v>
      </c>
      <c r="CF45" s="33">
        <f>IF($CK45 = "Dealer", SUMIFS('Data For Calculation - Insuranc'!K:K,'Data For Calculation - Insuranc'!$B:$B,$A45,'Data For Calculation - Insuranc'!$H:$H,"Master Dealer")) + SUMIFS('Data For Calculation - Insuranc'!K:K,'Data For Calculation - Insuranc'!$A:$A,$A45,'Data For Calculation - Insuranc'!$H:$H,"Self")</f>
        <v>0</v>
      </c>
      <c r="CG45" s="25" t="str">
        <f>(Sheet1!N45)</f>
        <v>Shraman Hero - GT Karnal Road</v>
      </c>
      <c r="CH45" s="25" t="str">
        <f>(Sheet1!O45)</f>
        <v>1XmVYrBOLuyIm0rpXhFaYpcRQ1t4YH3PN3pmiTosn08E</v>
      </c>
      <c r="CI45" s="25" t="str">
        <f>(Sheet1!AV45)</f>
        <v/>
      </c>
      <c r="CJ45" s="25" t="str">
        <f>(Sheet1!AW45)</f>
        <v/>
      </c>
      <c r="CK45" s="26" t="str">
        <f>(Sheet1!P45)</f>
        <v>Dealer</v>
      </c>
    </row>
    <row r="46">
      <c r="A46" s="25" t="str">
        <f>(Sheet1!A46)</f>
        <v>1qJGCYN0EdS2nWGXVYAHwXqSjiLE2C95anQkkbLONbKQ</v>
      </c>
      <c r="B46" s="25" t="str">
        <f>(Sheet1!B46)</f>
        <v>Shri Balaji Hero - Muzaffarnagar</v>
      </c>
      <c r="C46" s="30" t="str">
        <f>Sheet1!BB46</f>
        <v>No</v>
      </c>
      <c r="D46" s="30" t="s">
        <v>13</v>
      </c>
      <c r="E46" s="34" t="s">
        <v>13</v>
      </c>
      <c r="F46" s="34" t="s">
        <v>3929</v>
      </c>
      <c r="G46" s="42" t="s">
        <v>3856</v>
      </c>
      <c r="H46" s="43">
        <v>339.0</v>
      </c>
      <c r="I46" s="42" t="s">
        <v>3853</v>
      </c>
      <c r="J46" s="43">
        <v>0.0</v>
      </c>
      <c r="K46" s="43">
        <v>100.0</v>
      </c>
      <c r="L46" s="43">
        <v>0.0</v>
      </c>
      <c r="M46" s="43">
        <v>0.0</v>
      </c>
      <c r="N46" s="33">
        <f>COUNTIFS('Data For Calculation - Insuranc'!A:A,A46,'Data For Calculation - Insuranc'!D:D,"Individual",'Data For Calculation - Insuranc'!E:E,"Bundled - 1 Year OD + 5 Year TP")</f>
        <v>0</v>
      </c>
      <c r="O46" s="34" t="s">
        <v>3930</v>
      </c>
      <c r="P46" s="42" t="s">
        <v>3856</v>
      </c>
      <c r="Q46" s="43">
        <v>339.0</v>
      </c>
      <c r="R46" s="42" t="s">
        <v>3853</v>
      </c>
      <c r="S46" s="43">
        <v>0.0</v>
      </c>
      <c r="T46" s="43">
        <v>100.0</v>
      </c>
      <c r="U46" s="43">
        <v>0.0</v>
      </c>
      <c r="V46" s="43">
        <v>0.0</v>
      </c>
      <c r="W46" s="33">
        <f>COUNTIFS('Data For Calculation - Insuranc'!A:A,A46,'Data For Calculation - Insuranc'!D:D,"Company",'Data For Calculation - Insuranc'!E:E,"Bundled - 1 Year OD + 5 Year TP")</f>
        <v>0</v>
      </c>
      <c r="X46" s="34" t="s">
        <v>3929</v>
      </c>
      <c r="Y46" s="42" t="s">
        <v>3856</v>
      </c>
      <c r="Z46" s="31">
        <v>290.0</v>
      </c>
      <c r="AA46" s="34" t="s">
        <v>3853</v>
      </c>
      <c r="AB46" s="34">
        <v>0.0</v>
      </c>
      <c r="AC46" s="34">
        <v>100.0</v>
      </c>
      <c r="AD46" s="34">
        <v>0.0</v>
      </c>
      <c r="AE46" s="34">
        <v>0.0</v>
      </c>
      <c r="AF46" s="33">
        <f>COUNTIFS('Data For Calculation - Insuranc'!A:A,A46,'Data For Calculation - Insuranc'!D:D,"Individual",'Data For Calculation - Insuranc'!E:E,"Rollover Comprehensive - 1 Year OD + 1 Year TP")</f>
        <v>0</v>
      </c>
      <c r="AG46" s="34" t="s">
        <v>3930</v>
      </c>
      <c r="AH46" s="42" t="s">
        <v>3856</v>
      </c>
      <c r="AI46" s="31">
        <v>290.0</v>
      </c>
      <c r="AJ46" s="34" t="s">
        <v>3853</v>
      </c>
      <c r="AK46" s="34">
        <v>0.0</v>
      </c>
      <c r="AL46" s="34">
        <v>100.0</v>
      </c>
      <c r="AM46" s="34">
        <v>0.0</v>
      </c>
      <c r="AN46" s="34">
        <v>0.0</v>
      </c>
      <c r="AO46" s="33">
        <f>COUNTIFS('Data For Calculation - Insuranc'!A:A,A46,'Data For Calculation - Insuranc'!D:D,"Company",'Data For Calculation - Insuranc'!E:E,"Rollover Comprehensive - 1 Year OD + 1 Year TP")</f>
        <v>0</v>
      </c>
      <c r="AP46" s="34" t="s">
        <v>3931</v>
      </c>
      <c r="AQ46" s="42" t="s">
        <v>3856</v>
      </c>
      <c r="AR46" s="31">
        <v>290.0</v>
      </c>
      <c r="AS46" s="34" t="s">
        <v>3853</v>
      </c>
      <c r="AT46" s="34">
        <v>0.0</v>
      </c>
      <c r="AU46" s="34">
        <v>100.0</v>
      </c>
      <c r="AV46" s="34">
        <v>0.0</v>
      </c>
      <c r="AW46" s="34">
        <v>0.0</v>
      </c>
      <c r="AX46" s="33">
        <f>COUNTIFS('Data For Calculation - Insuranc'!A:A,A46,'Data For Calculation - Insuranc'!D:D,"Individual",'Data For Calculation - Insuranc'!E:E,"Rollover - 1 Year OD Only")</f>
        <v>0</v>
      </c>
      <c r="AY46" s="34" t="s">
        <v>3932</v>
      </c>
      <c r="AZ46" s="42" t="s">
        <v>3856</v>
      </c>
      <c r="BA46" s="31">
        <v>290.0</v>
      </c>
      <c r="BB46" s="34" t="s">
        <v>3853</v>
      </c>
      <c r="BC46" s="34">
        <v>0.0</v>
      </c>
      <c r="BD46" s="34">
        <v>100.0</v>
      </c>
      <c r="BE46" s="34">
        <v>0.0</v>
      </c>
      <c r="BF46" s="34">
        <v>0.0</v>
      </c>
      <c r="BG46" s="33">
        <f>COUNTIFS('Data For Calculation - Insuranc'!A:A,A46,'Data For Calculation - Insuranc'!D:D,"Company",'Data For Calculation - Insuranc'!E:E,"Rollover - 1 Year OD Only")</f>
        <v>0</v>
      </c>
      <c r="BH46" s="34" t="s">
        <v>3931</v>
      </c>
      <c r="BI46" s="42" t="s">
        <v>3856</v>
      </c>
      <c r="BJ46" s="31">
        <v>290.0</v>
      </c>
      <c r="BK46" s="34" t="s">
        <v>3853</v>
      </c>
      <c r="BL46" s="34">
        <v>0.0</v>
      </c>
      <c r="BM46" s="34">
        <v>100.0</v>
      </c>
      <c r="BN46" s="34">
        <v>0.0</v>
      </c>
      <c r="BO46" s="34">
        <v>0.0</v>
      </c>
      <c r="BP46" s="33">
        <f>COUNTIFS('Data For Calculation - Insuranc'!A:A,A46,'Data For Calculation - Insuranc'!D:D,"Individual",'Data For Calculation - Insuranc'!E:E,"Rollover - 1 Year TP Only")</f>
        <v>0</v>
      </c>
      <c r="BQ46" s="34" t="s">
        <v>3932</v>
      </c>
      <c r="BR46" s="42" t="s">
        <v>3856</v>
      </c>
      <c r="BS46" s="31">
        <v>290.0</v>
      </c>
      <c r="BT46" s="34" t="s">
        <v>3853</v>
      </c>
      <c r="BU46" s="34">
        <v>0.0</v>
      </c>
      <c r="BV46" s="34">
        <v>100.0</v>
      </c>
      <c r="BW46" s="34">
        <v>0.0</v>
      </c>
      <c r="BX46" s="34">
        <v>0.0</v>
      </c>
      <c r="BY46" s="33">
        <f>COUNTIFS('Data For Calculation - Insuranc'!A:A,A46,'Data For Calculation - Insuranc'!D:D,"Company",'Data For Calculation - Insuranc'!E:E,"Rollover - 1 Year TP Only")</f>
        <v>0</v>
      </c>
      <c r="BZ46" s="31">
        <f t="shared" si="1"/>
        <v>0</v>
      </c>
      <c r="CA46" s="33">
        <f>SUMIFS('Data For Calculation - Insuranc'!I:I,'Data For Calculation - Insuranc'!$A:$A,$A46)</f>
        <v>0</v>
      </c>
      <c r="CB46" s="33">
        <f>SUMIFS('Data For Calculation - Insuranc'!J:J,'Data For Calculation - Insuranc'!$A:$A,$A46)</f>
        <v>0</v>
      </c>
      <c r="CC46" s="33">
        <f>SUMIFS('Data For Calculation - Insuranc'!K:K,'Data For Calculation - Insuranc'!$A:$A,$A46)</f>
        <v>0</v>
      </c>
      <c r="CD46" s="33">
        <f>IF($CK46 = "Dealer", SUMIFS('Data For Calculation - Insuranc'!I:I,'Data For Calculation - Insuranc'!$B:$B,$A46,'Data For Calculation - Insuranc'!$H:$H,"Master Dealer")) + SUMIFS('Data For Calculation - Insuranc'!I:I,'Data For Calculation - Insuranc'!$A:$A,$A46,'Data For Calculation - Insuranc'!$H:$H,"Self")</f>
        <v>0</v>
      </c>
      <c r="CE46" s="33">
        <f>IF($CK46 = "Dealer", SUMIFS('Data For Calculation - Insuranc'!J:J,'Data For Calculation - Insuranc'!$B:$B,$A46,'Data For Calculation - Insuranc'!$H:$H,"Master Dealer")) + SUMIFS('Data For Calculation - Insuranc'!J:J,'Data For Calculation - Insuranc'!$A:$A,$A46,'Data For Calculation - Insuranc'!$H:$H,"Self")</f>
        <v>0</v>
      </c>
      <c r="CF46" s="33">
        <f>IF($CK46 = "Dealer", SUMIFS('Data For Calculation - Insuranc'!K:K,'Data For Calculation - Insuranc'!$B:$B,$A46,'Data For Calculation - Insuranc'!$H:$H,"Master Dealer")) + SUMIFS('Data For Calculation - Insuranc'!K:K,'Data For Calculation - Insuranc'!$A:$A,$A46,'Data For Calculation - Insuranc'!$H:$H,"Self")</f>
        <v>0</v>
      </c>
      <c r="CG46" s="25" t="str">
        <f>(Sheet1!N46)</f>
        <v>Shri Balaji Hero - Muzaffarnagar</v>
      </c>
      <c r="CH46" s="25" t="str">
        <f>(Sheet1!O46)</f>
        <v>1qJGCYN0EdS2nWGXVYAHwXqSjiLE2C95anQkkbLONbKQ</v>
      </c>
      <c r="CI46" s="25" t="str">
        <f>(Sheet1!AV46)</f>
        <v/>
      </c>
      <c r="CJ46" s="25" t="str">
        <f>(Sheet1!AW46)</f>
        <v/>
      </c>
      <c r="CK46" s="26" t="str">
        <f>(Sheet1!P46)</f>
        <v>Dealer</v>
      </c>
    </row>
    <row r="47">
      <c r="A47" s="25" t="str">
        <f>(Sheet1!A47)</f>
        <v>1p3Bu4mvhlVeVMP3Ogpf0F-2KWPlAp07JNr-X652uW0U</v>
      </c>
      <c r="B47" s="25" t="str">
        <f>(Sheet1!B47)</f>
        <v>Kavita Motors - Bijnor</v>
      </c>
      <c r="C47" s="30" t="str">
        <f>Sheet1!BB47</f>
        <v>No</v>
      </c>
      <c r="D47" s="30" t="s">
        <v>13</v>
      </c>
      <c r="E47" s="34" t="s">
        <v>13</v>
      </c>
      <c r="F47" s="34" t="s">
        <v>3929</v>
      </c>
      <c r="G47" s="42" t="s">
        <v>3820</v>
      </c>
      <c r="H47" s="43">
        <v>460.0</v>
      </c>
      <c r="I47" s="42" t="s">
        <v>3853</v>
      </c>
      <c r="J47" s="43">
        <v>0.0</v>
      </c>
      <c r="K47" s="43">
        <v>100.0</v>
      </c>
      <c r="L47" s="43">
        <v>0.0</v>
      </c>
      <c r="M47" s="43">
        <v>0.0</v>
      </c>
      <c r="N47" s="33">
        <f>COUNTIFS('Data For Calculation - Insuranc'!A:A,A47,'Data For Calculation - Insuranc'!D:D,"Individual",'Data For Calculation - Insuranc'!E:E,"Bundled - 1 Year OD + 5 Year TP")</f>
        <v>0</v>
      </c>
      <c r="O47" s="34" t="s">
        <v>3930</v>
      </c>
      <c r="P47" s="42" t="s">
        <v>3820</v>
      </c>
      <c r="Q47" s="43">
        <v>460.0</v>
      </c>
      <c r="R47" s="42" t="s">
        <v>3853</v>
      </c>
      <c r="S47" s="43">
        <v>0.0</v>
      </c>
      <c r="T47" s="43">
        <v>100.0</v>
      </c>
      <c r="U47" s="43">
        <v>0.0</v>
      </c>
      <c r="V47" s="43">
        <v>0.0</v>
      </c>
      <c r="W47" s="33">
        <f>COUNTIFS('Data For Calculation - Insuranc'!A:A,A47,'Data For Calculation - Insuranc'!D:D,"Company",'Data For Calculation - Insuranc'!E:E,"Bundled - 1 Year OD + 5 Year TP")</f>
        <v>0</v>
      </c>
      <c r="X47" s="34" t="s">
        <v>3929</v>
      </c>
      <c r="Y47" s="42" t="s">
        <v>3820</v>
      </c>
      <c r="Z47" s="31">
        <v>290.0</v>
      </c>
      <c r="AA47" s="34" t="s">
        <v>3853</v>
      </c>
      <c r="AB47" s="34">
        <v>0.0</v>
      </c>
      <c r="AC47" s="34">
        <v>100.0</v>
      </c>
      <c r="AD47" s="34">
        <v>0.0</v>
      </c>
      <c r="AE47" s="34">
        <v>0.0</v>
      </c>
      <c r="AF47" s="33">
        <f>COUNTIFS('Data For Calculation - Insuranc'!A:A,A47,'Data For Calculation - Insuranc'!D:D,"Individual",'Data For Calculation - Insuranc'!E:E,"Rollover Comprehensive - 1 Year OD + 1 Year TP")</f>
        <v>0</v>
      </c>
      <c r="AG47" s="34" t="s">
        <v>3930</v>
      </c>
      <c r="AH47" s="42" t="s">
        <v>3820</v>
      </c>
      <c r="AI47" s="31">
        <v>290.0</v>
      </c>
      <c r="AJ47" s="34" t="s">
        <v>3853</v>
      </c>
      <c r="AK47" s="34">
        <v>0.0</v>
      </c>
      <c r="AL47" s="34">
        <v>100.0</v>
      </c>
      <c r="AM47" s="34">
        <v>0.0</v>
      </c>
      <c r="AN47" s="34">
        <v>0.0</v>
      </c>
      <c r="AO47" s="33">
        <f>COUNTIFS('Data For Calculation - Insuranc'!A:A,A47,'Data For Calculation - Insuranc'!D:D,"Company",'Data For Calculation - Insuranc'!E:E,"Rollover Comprehensive - 1 Year OD + 1 Year TP")</f>
        <v>0</v>
      </c>
      <c r="AP47" s="34" t="s">
        <v>3931</v>
      </c>
      <c r="AQ47" s="42" t="s">
        <v>3820</v>
      </c>
      <c r="AR47" s="31">
        <v>290.0</v>
      </c>
      <c r="AS47" s="34" t="s">
        <v>3853</v>
      </c>
      <c r="AT47" s="34">
        <v>0.0</v>
      </c>
      <c r="AU47" s="34">
        <v>100.0</v>
      </c>
      <c r="AV47" s="34">
        <v>0.0</v>
      </c>
      <c r="AW47" s="34">
        <v>0.0</v>
      </c>
      <c r="AX47" s="33">
        <f>COUNTIFS('Data For Calculation - Insuranc'!A:A,A47,'Data For Calculation - Insuranc'!D:D,"Individual",'Data For Calculation - Insuranc'!E:E,"Rollover - 1 Year OD Only")</f>
        <v>0</v>
      </c>
      <c r="AY47" s="34" t="s">
        <v>3932</v>
      </c>
      <c r="AZ47" s="42" t="s">
        <v>3820</v>
      </c>
      <c r="BA47" s="31">
        <v>290.0</v>
      </c>
      <c r="BB47" s="34" t="s">
        <v>3853</v>
      </c>
      <c r="BC47" s="34">
        <v>0.0</v>
      </c>
      <c r="BD47" s="34">
        <v>100.0</v>
      </c>
      <c r="BE47" s="34">
        <v>0.0</v>
      </c>
      <c r="BF47" s="34">
        <v>0.0</v>
      </c>
      <c r="BG47" s="33">
        <f>COUNTIFS('Data For Calculation - Insuranc'!A:A,A47,'Data For Calculation - Insuranc'!D:D,"Company",'Data For Calculation - Insuranc'!E:E,"Rollover - 1 Year OD Only")</f>
        <v>0</v>
      </c>
      <c r="BH47" s="34" t="s">
        <v>3931</v>
      </c>
      <c r="BI47" s="42" t="s">
        <v>3820</v>
      </c>
      <c r="BJ47" s="31">
        <v>290.0</v>
      </c>
      <c r="BK47" s="34" t="s">
        <v>3853</v>
      </c>
      <c r="BL47" s="34">
        <v>0.0</v>
      </c>
      <c r="BM47" s="34">
        <v>100.0</v>
      </c>
      <c r="BN47" s="34">
        <v>0.0</v>
      </c>
      <c r="BO47" s="34">
        <v>0.0</v>
      </c>
      <c r="BP47" s="33">
        <f>COUNTIFS('Data For Calculation - Insuranc'!A:A,A47,'Data For Calculation - Insuranc'!D:D,"Individual",'Data For Calculation - Insuranc'!E:E,"Rollover - 1 Year TP Only")</f>
        <v>0</v>
      </c>
      <c r="BQ47" s="34" t="s">
        <v>3932</v>
      </c>
      <c r="BR47" s="42" t="s">
        <v>3820</v>
      </c>
      <c r="BS47" s="31">
        <v>290.0</v>
      </c>
      <c r="BT47" s="34" t="s">
        <v>3853</v>
      </c>
      <c r="BU47" s="34">
        <v>0.0</v>
      </c>
      <c r="BV47" s="34">
        <v>100.0</v>
      </c>
      <c r="BW47" s="34">
        <v>0.0</v>
      </c>
      <c r="BX47" s="34">
        <v>0.0</v>
      </c>
      <c r="BY47" s="33">
        <f>COUNTIFS('Data For Calculation - Insuranc'!A:A,A47,'Data For Calculation - Insuranc'!D:D,"Company",'Data For Calculation - Insuranc'!E:E,"Rollover - 1 Year TP Only")</f>
        <v>0</v>
      </c>
      <c r="BZ47" s="31">
        <f t="shared" si="1"/>
        <v>0</v>
      </c>
      <c r="CA47" s="33">
        <f>SUMIFS('Data For Calculation - Insuranc'!I:I,'Data For Calculation - Insuranc'!$A:$A,$A47)</f>
        <v>0</v>
      </c>
      <c r="CB47" s="33">
        <f>SUMIFS('Data For Calculation - Insuranc'!J:J,'Data For Calculation - Insuranc'!$A:$A,$A47)</f>
        <v>0</v>
      </c>
      <c r="CC47" s="33">
        <f>SUMIFS('Data For Calculation - Insuranc'!K:K,'Data For Calculation - Insuranc'!$A:$A,$A47)</f>
        <v>0</v>
      </c>
      <c r="CD47" s="33">
        <f>IF($CK47 = "Dealer", SUMIFS('Data For Calculation - Insuranc'!I:I,'Data For Calculation - Insuranc'!$B:$B,$A47,'Data For Calculation - Insuranc'!$H:$H,"Master Dealer")) + SUMIFS('Data For Calculation - Insuranc'!I:I,'Data For Calculation - Insuranc'!$A:$A,$A47,'Data For Calculation - Insuranc'!$H:$H,"Self")</f>
        <v>0</v>
      </c>
      <c r="CE47" s="33">
        <f>IF($CK47 = "Dealer", SUMIFS('Data For Calculation - Insuranc'!J:J,'Data For Calculation - Insuranc'!$B:$B,$A47,'Data For Calculation - Insuranc'!$H:$H,"Master Dealer")) + SUMIFS('Data For Calculation - Insuranc'!J:J,'Data For Calculation - Insuranc'!$A:$A,$A47,'Data For Calculation - Insuranc'!$H:$H,"Self")</f>
        <v>0</v>
      </c>
      <c r="CF47" s="33">
        <f>IF($CK47 = "Dealer", SUMIFS('Data For Calculation - Insuranc'!K:K,'Data For Calculation - Insuranc'!$B:$B,$A47,'Data For Calculation - Insuranc'!$H:$H,"Master Dealer")) + SUMIFS('Data For Calculation - Insuranc'!K:K,'Data For Calculation - Insuranc'!$A:$A,$A47,'Data For Calculation - Insuranc'!$H:$H,"Self")</f>
        <v>0</v>
      </c>
      <c r="CG47" s="25" t="str">
        <f>(Sheet1!N47)</f>
        <v>Kavita Motors - Bijnor</v>
      </c>
      <c r="CH47" s="25" t="str">
        <f>(Sheet1!O47)</f>
        <v>1p3Bu4mvhlVeVMP3Ogpf0F-2KWPlAp07JNr-X652uW0U</v>
      </c>
      <c r="CI47" s="25" t="str">
        <f>(Sheet1!AV47)</f>
        <v/>
      </c>
      <c r="CJ47" s="25" t="str">
        <f>(Sheet1!AW47)</f>
        <v/>
      </c>
      <c r="CK47" s="26" t="str">
        <f>(Sheet1!P47)</f>
        <v>Dealer</v>
      </c>
    </row>
    <row r="48">
      <c r="A48" s="25" t="str">
        <f>(Sheet1!A48)</f>
        <v>14s_HeeebHqLRTUCX5FSlJ3K7aiTvnkajbPMefm6jg1M</v>
      </c>
      <c r="B48" s="25" t="str">
        <f>(Sheet1!B48)</f>
        <v>Bharat Auto - Kasganj</v>
      </c>
      <c r="C48" s="30" t="str">
        <f>Sheet1!BB48</f>
        <v>No</v>
      </c>
      <c r="D48" s="30" t="s">
        <v>13</v>
      </c>
      <c r="E48" s="34" t="s">
        <v>13</v>
      </c>
      <c r="F48" s="34" t="s">
        <v>3929</v>
      </c>
      <c r="G48" s="42" t="s">
        <v>3820</v>
      </c>
      <c r="H48" s="43">
        <v>460.0</v>
      </c>
      <c r="I48" s="42" t="s">
        <v>3853</v>
      </c>
      <c r="J48" s="43">
        <v>0.0</v>
      </c>
      <c r="K48" s="43">
        <v>100.0</v>
      </c>
      <c r="L48" s="43">
        <v>0.0</v>
      </c>
      <c r="M48" s="43">
        <v>0.0</v>
      </c>
      <c r="N48" s="33">
        <f>COUNTIFS('Data For Calculation - Insuranc'!A:A,A48,'Data For Calculation - Insuranc'!D:D,"Individual",'Data For Calculation - Insuranc'!E:E,"Bundled - 1 Year OD + 5 Year TP")</f>
        <v>0</v>
      </c>
      <c r="O48" s="34" t="s">
        <v>3930</v>
      </c>
      <c r="P48" s="42" t="s">
        <v>3820</v>
      </c>
      <c r="Q48" s="43">
        <v>460.0</v>
      </c>
      <c r="R48" s="42" t="s">
        <v>3853</v>
      </c>
      <c r="S48" s="43">
        <v>0.0</v>
      </c>
      <c r="T48" s="43">
        <v>100.0</v>
      </c>
      <c r="U48" s="43">
        <v>0.0</v>
      </c>
      <c r="V48" s="43">
        <v>0.0</v>
      </c>
      <c r="W48" s="33">
        <f>COUNTIFS('Data For Calculation - Insuranc'!A:A,A48,'Data For Calculation - Insuranc'!D:D,"Company",'Data For Calculation - Insuranc'!E:E,"Bundled - 1 Year OD + 5 Year TP")</f>
        <v>0</v>
      </c>
      <c r="X48" s="34" t="s">
        <v>3929</v>
      </c>
      <c r="Y48" s="42" t="s">
        <v>3820</v>
      </c>
      <c r="Z48" s="31">
        <v>290.0</v>
      </c>
      <c r="AA48" s="34" t="s">
        <v>3853</v>
      </c>
      <c r="AB48" s="34">
        <v>0.0</v>
      </c>
      <c r="AC48" s="34">
        <v>100.0</v>
      </c>
      <c r="AD48" s="34">
        <v>0.0</v>
      </c>
      <c r="AE48" s="34">
        <v>0.0</v>
      </c>
      <c r="AF48" s="33">
        <f>COUNTIFS('Data For Calculation - Insuranc'!A:A,A48,'Data For Calculation - Insuranc'!D:D,"Individual",'Data For Calculation - Insuranc'!E:E,"Rollover Comprehensive - 1 Year OD + 1 Year TP")</f>
        <v>0</v>
      </c>
      <c r="AG48" s="34" t="s">
        <v>3930</v>
      </c>
      <c r="AH48" s="42" t="s">
        <v>3820</v>
      </c>
      <c r="AI48" s="31">
        <v>290.0</v>
      </c>
      <c r="AJ48" s="34" t="s">
        <v>3853</v>
      </c>
      <c r="AK48" s="34">
        <v>0.0</v>
      </c>
      <c r="AL48" s="34">
        <v>100.0</v>
      </c>
      <c r="AM48" s="34">
        <v>0.0</v>
      </c>
      <c r="AN48" s="34">
        <v>0.0</v>
      </c>
      <c r="AO48" s="33">
        <f>COUNTIFS('Data For Calculation - Insuranc'!A:A,A48,'Data For Calculation - Insuranc'!D:D,"Company",'Data For Calculation - Insuranc'!E:E,"Rollover Comprehensive - 1 Year OD + 1 Year TP")</f>
        <v>0</v>
      </c>
      <c r="AP48" s="34" t="s">
        <v>3931</v>
      </c>
      <c r="AQ48" s="42" t="s">
        <v>3820</v>
      </c>
      <c r="AR48" s="31">
        <v>290.0</v>
      </c>
      <c r="AS48" s="34" t="s">
        <v>3853</v>
      </c>
      <c r="AT48" s="34">
        <v>0.0</v>
      </c>
      <c r="AU48" s="34">
        <v>100.0</v>
      </c>
      <c r="AV48" s="34">
        <v>0.0</v>
      </c>
      <c r="AW48" s="34">
        <v>0.0</v>
      </c>
      <c r="AX48" s="33">
        <f>COUNTIFS('Data For Calculation - Insuranc'!A:A,A48,'Data For Calculation - Insuranc'!D:D,"Individual",'Data For Calculation - Insuranc'!E:E,"Rollover - 1 Year OD Only")</f>
        <v>0</v>
      </c>
      <c r="AY48" s="34" t="s">
        <v>3932</v>
      </c>
      <c r="AZ48" s="42" t="s">
        <v>3820</v>
      </c>
      <c r="BA48" s="31">
        <v>290.0</v>
      </c>
      <c r="BB48" s="34" t="s">
        <v>3853</v>
      </c>
      <c r="BC48" s="34">
        <v>0.0</v>
      </c>
      <c r="BD48" s="34">
        <v>100.0</v>
      </c>
      <c r="BE48" s="34">
        <v>0.0</v>
      </c>
      <c r="BF48" s="34">
        <v>0.0</v>
      </c>
      <c r="BG48" s="33">
        <f>COUNTIFS('Data For Calculation - Insuranc'!A:A,A48,'Data For Calculation - Insuranc'!D:D,"Company",'Data For Calculation - Insuranc'!E:E,"Rollover - 1 Year OD Only")</f>
        <v>0</v>
      </c>
      <c r="BH48" s="34" t="s">
        <v>3931</v>
      </c>
      <c r="BI48" s="42" t="s">
        <v>3820</v>
      </c>
      <c r="BJ48" s="31">
        <v>290.0</v>
      </c>
      <c r="BK48" s="34" t="s">
        <v>3853</v>
      </c>
      <c r="BL48" s="34">
        <v>0.0</v>
      </c>
      <c r="BM48" s="34">
        <v>100.0</v>
      </c>
      <c r="BN48" s="34">
        <v>0.0</v>
      </c>
      <c r="BO48" s="34">
        <v>0.0</v>
      </c>
      <c r="BP48" s="33">
        <f>COUNTIFS('Data For Calculation - Insuranc'!A:A,A48,'Data For Calculation - Insuranc'!D:D,"Individual",'Data For Calculation - Insuranc'!E:E,"Rollover - 1 Year TP Only")</f>
        <v>0</v>
      </c>
      <c r="BQ48" s="34" t="s">
        <v>3932</v>
      </c>
      <c r="BR48" s="42" t="s">
        <v>3820</v>
      </c>
      <c r="BS48" s="31">
        <v>290.0</v>
      </c>
      <c r="BT48" s="34" t="s">
        <v>3853</v>
      </c>
      <c r="BU48" s="34">
        <v>0.0</v>
      </c>
      <c r="BV48" s="34">
        <v>100.0</v>
      </c>
      <c r="BW48" s="34">
        <v>0.0</v>
      </c>
      <c r="BX48" s="34">
        <v>0.0</v>
      </c>
      <c r="BY48" s="33">
        <f>COUNTIFS('Data For Calculation - Insuranc'!A:A,A48,'Data For Calculation - Insuranc'!D:D,"Company",'Data For Calculation - Insuranc'!E:E,"Rollover - 1 Year TP Only")</f>
        <v>0</v>
      </c>
      <c r="BZ48" s="31">
        <f t="shared" si="1"/>
        <v>0</v>
      </c>
      <c r="CA48" s="33">
        <f>SUMIFS('Data For Calculation - Insuranc'!I:I,'Data For Calculation - Insuranc'!$A:$A,$A48)</f>
        <v>0</v>
      </c>
      <c r="CB48" s="33">
        <f>SUMIFS('Data For Calculation - Insuranc'!J:J,'Data For Calculation - Insuranc'!$A:$A,$A48)</f>
        <v>0</v>
      </c>
      <c r="CC48" s="33">
        <f>SUMIFS('Data For Calculation - Insuranc'!K:K,'Data For Calculation - Insuranc'!$A:$A,$A48)</f>
        <v>0</v>
      </c>
      <c r="CD48" s="33">
        <f>IF($CK48 = "Dealer", SUMIFS('Data For Calculation - Insuranc'!I:I,'Data For Calculation - Insuranc'!$B:$B,$A48,'Data For Calculation - Insuranc'!$H:$H,"Master Dealer")) + SUMIFS('Data For Calculation - Insuranc'!I:I,'Data For Calculation - Insuranc'!$A:$A,$A48,'Data For Calculation - Insuranc'!$H:$H,"Self")</f>
        <v>0</v>
      </c>
      <c r="CE48" s="33">
        <f>IF($CK48 = "Dealer", SUMIFS('Data For Calculation - Insuranc'!J:J,'Data For Calculation - Insuranc'!$B:$B,$A48,'Data For Calculation - Insuranc'!$H:$H,"Master Dealer")) + SUMIFS('Data For Calculation - Insuranc'!J:J,'Data For Calculation - Insuranc'!$A:$A,$A48,'Data For Calculation - Insuranc'!$H:$H,"Self")</f>
        <v>0</v>
      </c>
      <c r="CF48" s="33">
        <f>IF($CK48 = "Dealer", SUMIFS('Data For Calculation - Insuranc'!K:K,'Data For Calculation - Insuranc'!$B:$B,$A48,'Data For Calculation - Insuranc'!$H:$H,"Master Dealer")) + SUMIFS('Data For Calculation - Insuranc'!K:K,'Data For Calculation - Insuranc'!$A:$A,$A48,'Data For Calculation - Insuranc'!$H:$H,"Self")</f>
        <v>0</v>
      </c>
      <c r="CG48" s="25" t="str">
        <f>(Sheet1!N48)</f>
        <v>Bharat Auto - Kasganj</v>
      </c>
      <c r="CH48" s="25" t="str">
        <f>(Sheet1!O48)</f>
        <v>14s_HeeebHqLRTUCX5FSlJ3K7aiTvnkajbPMefm6jg1M</v>
      </c>
      <c r="CI48" s="25" t="str">
        <f>(Sheet1!AV48)</f>
        <v/>
      </c>
      <c r="CJ48" s="25" t="str">
        <f>(Sheet1!AW48)</f>
        <v/>
      </c>
      <c r="CK48" s="26" t="str">
        <f>(Sheet1!P48)</f>
        <v>Dealer</v>
      </c>
    </row>
    <row r="49">
      <c r="A49" s="25" t="str">
        <f>(Sheet1!A49)</f>
        <v>1IGdLk1wrvnQTH7dsivMQu4VKWg4A7FvDBYsKsxwLpsE</v>
      </c>
      <c r="B49" s="25" t="str">
        <f>(Sheet1!B49)</f>
        <v>Gupta HERO</v>
      </c>
      <c r="C49" s="30" t="str">
        <f>Sheet1!BB49</f>
        <v>No</v>
      </c>
      <c r="D49" s="30" t="s">
        <v>13</v>
      </c>
      <c r="E49" s="34" t="s">
        <v>13</v>
      </c>
      <c r="F49" s="34" t="s">
        <v>3929</v>
      </c>
      <c r="G49" s="42" t="s">
        <v>3820</v>
      </c>
      <c r="H49" s="43">
        <v>460.0</v>
      </c>
      <c r="I49" s="42" t="s">
        <v>3853</v>
      </c>
      <c r="J49" s="43">
        <v>0.0</v>
      </c>
      <c r="K49" s="43">
        <v>100.0</v>
      </c>
      <c r="L49" s="43">
        <v>0.0</v>
      </c>
      <c r="M49" s="43">
        <v>0.0</v>
      </c>
      <c r="N49" s="33">
        <f>COUNTIFS('Data For Calculation - Insuranc'!A:A,A49,'Data For Calculation - Insuranc'!D:D,"Individual",'Data For Calculation - Insuranc'!E:E,"Bundled - 1 Year OD + 5 Year TP")</f>
        <v>0</v>
      </c>
      <c r="O49" s="34" t="s">
        <v>3930</v>
      </c>
      <c r="P49" s="42" t="s">
        <v>3820</v>
      </c>
      <c r="Q49" s="43">
        <v>460.0</v>
      </c>
      <c r="R49" s="42" t="s">
        <v>3853</v>
      </c>
      <c r="S49" s="43">
        <v>0.0</v>
      </c>
      <c r="T49" s="43">
        <v>100.0</v>
      </c>
      <c r="U49" s="43">
        <v>0.0</v>
      </c>
      <c r="V49" s="43">
        <v>0.0</v>
      </c>
      <c r="W49" s="33">
        <f>COUNTIFS('Data For Calculation - Insuranc'!A:A,A49,'Data For Calculation - Insuranc'!D:D,"Company",'Data For Calculation - Insuranc'!E:E,"Bundled - 1 Year OD + 5 Year TP")</f>
        <v>0</v>
      </c>
      <c r="X49" s="34" t="s">
        <v>3929</v>
      </c>
      <c r="Y49" s="42" t="s">
        <v>3820</v>
      </c>
      <c r="Z49" s="31">
        <v>290.0</v>
      </c>
      <c r="AA49" s="34" t="s">
        <v>3853</v>
      </c>
      <c r="AB49" s="34">
        <v>0.0</v>
      </c>
      <c r="AC49" s="34">
        <v>100.0</v>
      </c>
      <c r="AD49" s="34">
        <v>0.0</v>
      </c>
      <c r="AE49" s="34">
        <v>0.0</v>
      </c>
      <c r="AF49" s="33">
        <f>COUNTIFS('Data For Calculation - Insuranc'!A:A,A49,'Data For Calculation - Insuranc'!D:D,"Individual",'Data For Calculation - Insuranc'!E:E,"Rollover Comprehensive - 1 Year OD + 1 Year TP")</f>
        <v>0</v>
      </c>
      <c r="AG49" s="34" t="s">
        <v>3930</v>
      </c>
      <c r="AH49" s="42" t="s">
        <v>3820</v>
      </c>
      <c r="AI49" s="31">
        <v>290.0</v>
      </c>
      <c r="AJ49" s="34" t="s">
        <v>3853</v>
      </c>
      <c r="AK49" s="34">
        <v>0.0</v>
      </c>
      <c r="AL49" s="34">
        <v>100.0</v>
      </c>
      <c r="AM49" s="34">
        <v>0.0</v>
      </c>
      <c r="AN49" s="34">
        <v>0.0</v>
      </c>
      <c r="AO49" s="33">
        <f>COUNTIFS('Data For Calculation - Insuranc'!A:A,A49,'Data For Calculation - Insuranc'!D:D,"Company",'Data For Calculation - Insuranc'!E:E,"Rollover Comprehensive - 1 Year OD + 1 Year TP")</f>
        <v>0</v>
      </c>
      <c r="AP49" s="34" t="s">
        <v>3931</v>
      </c>
      <c r="AQ49" s="42" t="s">
        <v>3820</v>
      </c>
      <c r="AR49" s="31">
        <v>290.0</v>
      </c>
      <c r="AS49" s="34" t="s">
        <v>3853</v>
      </c>
      <c r="AT49" s="34">
        <v>0.0</v>
      </c>
      <c r="AU49" s="34">
        <v>100.0</v>
      </c>
      <c r="AV49" s="34">
        <v>0.0</v>
      </c>
      <c r="AW49" s="34">
        <v>0.0</v>
      </c>
      <c r="AX49" s="33">
        <f>COUNTIFS('Data For Calculation - Insuranc'!A:A,A49,'Data For Calculation - Insuranc'!D:D,"Individual",'Data For Calculation - Insuranc'!E:E,"Rollover - 1 Year OD Only")</f>
        <v>0</v>
      </c>
      <c r="AY49" s="34" t="s">
        <v>3932</v>
      </c>
      <c r="AZ49" s="42" t="s">
        <v>3820</v>
      </c>
      <c r="BA49" s="31">
        <v>290.0</v>
      </c>
      <c r="BB49" s="34" t="s">
        <v>3853</v>
      </c>
      <c r="BC49" s="34">
        <v>0.0</v>
      </c>
      <c r="BD49" s="34">
        <v>100.0</v>
      </c>
      <c r="BE49" s="34">
        <v>0.0</v>
      </c>
      <c r="BF49" s="34">
        <v>0.0</v>
      </c>
      <c r="BG49" s="33">
        <f>COUNTIFS('Data For Calculation - Insuranc'!A:A,A49,'Data For Calculation - Insuranc'!D:D,"Company",'Data For Calculation - Insuranc'!E:E,"Rollover - 1 Year OD Only")</f>
        <v>0</v>
      </c>
      <c r="BH49" s="34" t="s">
        <v>3931</v>
      </c>
      <c r="BI49" s="42" t="s">
        <v>3820</v>
      </c>
      <c r="BJ49" s="31">
        <v>290.0</v>
      </c>
      <c r="BK49" s="34" t="s">
        <v>3853</v>
      </c>
      <c r="BL49" s="34">
        <v>0.0</v>
      </c>
      <c r="BM49" s="34">
        <v>100.0</v>
      </c>
      <c r="BN49" s="34">
        <v>0.0</v>
      </c>
      <c r="BO49" s="34">
        <v>0.0</v>
      </c>
      <c r="BP49" s="33">
        <f>COUNTIFS('Data For Calculation - Insuranc'!A:A,A49,'Data For Calculation - Insuranc'!D:D,"Individual",'Data For Calculation - Insuranc'!E:E,"Rollover - 1 Year TP Only")</f>
        <v>0</v>
      </c>
      <c r="BQ49" s="34" t="s">
        <v>3932</v>
      </c>
      <c r="BR49" s="42" t="s">
        <v>3820</v>
      </c>
      <c r="BS49" s="31">
        <v>290.0</v>
      </c>
      <c r="BT49" s="34" t="s">
        <v>3853</v>
      </c>
      <c r="BU49" s="34">
        <v>0.0</v>
      </c>
      <c r="BV49" s="34">
        <v>100.0</v>
      </c>
      <c r="BW49" s="34">
        <v>0.0</v>
      </c>
      <c r="BX49" s="34">
        <v>0.0</v>
      </c>
      <c r="BY49" s="33">
        <f>COUNTIFS('Data For Calculation - Insuranc'!A:A,A49,'Data For Calculation - Insuranc'!D:D,"Company",'Data For Calculation - Insuranc'!E:E,"Rollover - 1 Year TP Only")</f>
        <v>0</v>
      </c>
      <c r="BZ49" s="31">
        <f t="shared" si="1"/>
        <v>0</v>
      </c>
      <c r="CA49" s="33">
        <f>SUMIFS('Data For Calculation - Insuranc'!I:I,'Data For Calculation - Insuranc'!$A:$A,$A49)</f>
        <v>0</v>
      </c>
      <c r="CB49" s="33">
        <f>SUMIFS('Data For Calculation - Insuranc'!J:J,'Data For Calculation - Insuranc'!$A:$A,$A49)</f>
        <v>0</v>
      </c>
      <c r="CC49" s="33">
        <f>SUMIFS('Data For Calculation - Insuranc'!K:K,'Data For Calculation - Insuranc'!$A:$A,$A49)</f>
        <v>0</v>
      </c>
      <c r="CD49" s="33">
        <f>IF($CK49 = "Dealer", SUMIFS('Data For Calculation - Insuranc'!I:I,'Data For Calculation - Insuranc'!$B:$B,$A49,'Data For Calculation - Insuranc'!$H:$H,"Master Dealer")) + SUMIFS('Data For Calculation - Insuranc'!I:I,'Data For Calculation - Insuranc'!$A:$A,$A49,'Data For Calculation - Insuranc'!$H:$H,"Self")</f>
        <v>0</v>
      </c>
      <c r="CE49" s="33">
        <f>IF($CK49 = "Dealer", SUMIFS('Data For Calculation - Insuranc'!J:J,'Data For Calculation - Insuranc'!$B:$B,$A49,'Data For Calculation - Insuranc'!$H:$H,"Master Dealer")) + SUMIFS('Data For Calculation - Insuranc'!J:J,'Data For Calculation - Insuranc'!$A:$A,$A49,'Data For Calculation - Insuranc'!$H:$H,"Self")</f>
        <v>0</v>
      </c>
      <c r="CF49" s="33">
        <f>IF($CK49 = "Dealer", SUMIFS('Data For Calculation - Insuranc'!K:K,'Data For Calculation - Insuranc'!$B:$B,$A49,'Data For Calculation - Insuranc'!$H:$H,"Master Dealer")) + SUMIFS('Data For Calculation - Insuranc'!K:K,'Data For Calculation - Insuranc'!$A:$A,$A49,'Data For Calculation - Insuranc'!$H:$H,"Self")</f>
        <v>0</v>
      </c>
      <c r="CG49" s="25" t="str">
        <f>(Sheet1!N49)</f>
        <v>Gupta HERO</v>
      </c>
      <c r="CH49" s="25" t="str">
        <f>(Sheet1!O49)</f>
        <v>1IGdLk1wrvnQTH7dsivMQu4VKWg4A7FvDBYsKsxwLpsE</v>
      </c>
      <c r="CI49" s="25" t="str">
        <f>(Sheet1!AV49)</f>
        <v/>
      </c>
      <c r="CJ49" s="25" t="str">
        <f>(Sheet1!AW49)</f>
        <v/>
      </c>
      <c r="CK49" s="26" t="str">
        <f>(Sheet1!P49)</f>
        <v>Dealer</v>
      </c>
    </row>
    <row r="50">
      <c r="A50" s="25" t="str">
        <f>(Sheet1!A50)</f>
        <v>1MBxpc-2szFmqG3B_-ha57uL3XLkYoaeI5koRIOiedfw</v>
      </c>
      <c r="B50" s="25" t="str">
        <f>(Sheet1!B50)</f>
        <v>OLE MATHURA (BBW)</v>
      </c>
      <c r="C50" s="30" t="str">
        <f>Sheet1!BB50</f>
        <v>No</v>
      </c>
      <c r="D50" s="30" t="s">
        <v>13</v>
      </c>
      <c r="E50" s="34" t="s">
        <v>13</v>
      </c>
      <c r="F50" s="34" t="s">
        <v>3929</v>
      </c>
      <c r="G50" s="42" t="s">
        <v>3820</v>
      </c>
      <c r="H50" s="43">
        <v>460.0</v>
      </c>
      <c r="I50" s="42" t="s">
        <v>3853</v>
      </c>
      <c r="J50" s="43">
        <v>0.0</v>
      </c>
      <c r="K50" s="43">
        <v>100.0</v>
      </c>
      <c r="L50" s="43">
        <v>0.0</v>
      </c>
      <c r="M50" s="43">
        <v>0.0</v>
      </c>
      <c r="N50" s="33">
        <f>COUNTIFS('Data For Calculation - Insuranc'!A:A,A50,'Data For Calculation - Insuranc'!D:D,"Individual",'Data For Calculation - Insuranc'!E:E,"Bundled - 1 Year OD + 5 Year TP")</f>
        <v>0</v>
      </c>
      <c r="O50" s="34" t="s">
        <v>3930</v>
      </c>
      <c r="P50" s="42" t="s">
        <v>3820</v>
      </c>
      <c r="Q50" s="43">
        <v>460.0</v>
      </c>
      <c r="R50" s="42" t="s">
        <v>3853</v>
      </c>
      <c r="S50" s="43">
        <v>0.0</v>
      </c>
      <c r="T50" s="43">
        <v>100.0</v>
      </c>
      <c r="U50" s="43">
        <v>0.0</v>
      </c>
      <c r="V50" s="43">
        <v>0.0</v>
      </c>
      <c r="W50" s="33">
        <f>COUNTIFS('Data For Calculation - Insuranc'!A:A,A50,'Data For Calculation - Insuranc'!D:D,"Company",'Data For Calculation - Insuranc'!E:E,"Bundled - 1 Year OD + 5 Year TP")</f>
        <v>0</v>
      </c>
      <c r="X50" s="34" t="s">
        <v>3929</v>
      </c>
      <c r="Y50" s="42" t="s">
        <v>3820</v>
      </c>
      <c r="Z50" s="31">
        <v>290.0</v>
      </c>
      <c r="AA50" s="34" t="s">
        <v>3853</v>
      </c>
      <c r="AB50" s="34">
        <v>0.0</v>
      </c>
      <c r="AC50" s="34">
        <v>100.0</v>
      </c>
      <c r="AD50" s="34">
        <v>0.0</v>
      </c>
      <c r="AE50" s="34">
        <v>0.0</v>
      </c>
      <c r="AF50" s="33">
        <f>COUNTIFS('Data For Calculation - Insuranc'!A:A,A50,'Data For Calculation - Insuranc'!D:D,"Individual",'Data For Calculation - Insuranc'!E:E,"Rollover Comprehensive - 1 Year OD + 1 Year TP")</f>
        <v>0</v>
      </c>
      <c r="AG50" s="34" t="s">
        <v>3930</v>
      </c>
      <c r="AH50" s="42" t="s">
        <v>3820</v>
      </c>
      <c r="AI50" s="31">
        <v>290.0</v>
      </c>
      <c r="AJ50" s="34" t="s">
        <v>3853</v>
      </c>
      <c r="AK50" s="34">
        <v>0.0</v>
      </c>
      <c r="AL50" s="34">
        <v>100.0</v>
      </c>
      <c r="AM50" s="34">
        <v>0.0</v>
      </c>
      <c r="AN50" s="34">
        <v>0.0</v>
      </c>
      <c r="AO50" s="33">
        <f>COUNTIFS('Data For Calculation - Insuranc'!A:A,A50,'Data For Calculation - Insuranc'!D:D,"Company",'Data For Calculation - Insuranc'!E:E,"Rollover Comprehensive - 1 Year OD + 1 Year TP")</f>
        <v>0</v>
      </c>
      <c r="AP50" s="34" t="s">
        <v>3931</v>
      </c>
      <c r="AQ50" s="42" t="s">
        <v>3820</v>
      </c>
      <c r="AR50" s="31">
        <v>290.0</v>
      </c>
      <c r="AS50" s="34" t="s">
        <v>3853</v>
      </c>
      <c r="AT50" s="34">
        <v>0.0</v>
      </c>
      <c r="AU50" s="34">
        <v>100.0</v>
      </c>
      <c r="AV50" s="34">
        <v>0.0</v>
      </c>
      <c r="AW50" s="34">
        <v>0.0</v>
      </c>
      <c r="AX50" s="33">
        <f>COUNTIFS('Data For Calculation - Insuranc'!A:A,A50,'Data For Calculation - Insuranc'!D:D,"Individual",'Data For Calculation - Insuranc'!E:E,"Rollover - 1 Year OD Only")</f>
        <v>0</v>
      </c>
      <c r="AY50" s="34" t="s">
        <v>3932</v>
      </c>
      <c r="AZ50" s="42" t="s">
        <v>3820</v>
      </c>
      <c r="BA50" s="31">
        <v>290.0</v>
      </c>
      <c r="BB50" s="34" t="s">
        <v>3853</v>
      </c>
      <c r="BC50" s="34">
        <v>0.0</v>
      </c>
      <c r="BD50" s="34">
        <v>100.0</v>
      </c>
      <c r="BE50" s="34">
        <v>0.0</v>
      </c>
      <c r="BF50" s="34">
        <v>0.0</v>
      </c>
      <c r="BG50" s="33">
        <f>COUNTIFS('Data For Calculation - Insuranc'!A:A,A50,'Data For Calculation - Insuranc'!D:D,"Company",'Data For Calculation - Insuranc'!E:E,"Rollover - 1 Year OD Only")</f>
        <v>0</v>
      </c>
      <c r="BH50" s="34" t="s">
        <v>3931</v>
      </c>
      <c r="BI50" s="42" t="s">
        <v>3820</v>
      </c>
      <c r="BJ50" s="31">
        <v>290.0</v>
      </c>
      <c r="BK50" s="34" t="s">
        <v>3853</v>
      </c>
      <c r="BL50" s="34">
        <v>0.0</v>
      </c>
      <c r="BM50" s="34">
        <v>100.0</v>
      </c>
      <c r="BN50" s="34">
        <v>0.0</v>
      </c>
      <c r="BO50" s="34">
        <v>0.0</v>
      </c>
      <c r="BP50" s="33">
        <f>COUNTIFS('Data For Calculation - Insuranc'!A:A,A50,'Data For Calculation - Insuranc'!D:D,"Individual",'Data For Calculation - Insuranc'!E:E,"Rollover - 1 Year TP Only")</f>
        <v>0</v>
      </c>
      <c r="BQ50" s="34" t="s">
        <v>3932</v>
      </c>
      <c r="BR50" s="42" t="s">
        <v>3820</v>
      </c>
      <c r="BS50" s="31">
        <v>290.0</v>
      </c>
      <c r="BT50" s="34" t="s">
        <v>3853</v>
      </c>
      <c r="BU50" s="34">
        <v>0.0</v>
      </c>
      <c r="BV50" s="34">
        <v>100.0</v>
      </c>
      <c r="BW50" s="34">
        <v>0.0</v>
      </c>
      <c r="BX50" s="34">
        <v>0.0</v>
      </c>
      <c r="BY50" s="33">
        <f>COUNTIFS('Data For Calculation - Insuranc'!A:A,A50,'Data For Calculation - Insuranc'!D:D,"Company",'Data For Calculation - Insuranc'!E:E,"Rollover - 1 Year TP Only")</f>
        <v>0</v>
      </c>
      <c r="BZ50" s="31">
        <f t="shared" si="1"/>
        <v>0</v>
      </c>
      <c r="CA50" s="33">
        <f>SUMIFS('Data For Calculation - Insuranc'!I:I,'Data For Calculation - Insuranc'!$A:$A,$A50)</f>
        <v>0</v>
      </c>
      <c r="CB50" s="33">
        <f>SUMIFS('Data For Calculation - Insuranc'!J:J,'Data For Calculation - Insuranc'!$A:$A,$A50)</f>
        <v>0</v>
      </c>
      <c r="CC50" s="33">
        <f>SUMIFS('Data For Calculation - Insuranc'!K:K,'Data For Calculation - Insuranc'!$A:$A,$A50)</f>
        <v>0</v>
      </c>
      <c r="CD50" s="33">
        <f>IF($CK50 = "Dealer", SUMIFS('Data For Calculation - Insuranc'!I:I,'Data For Calculation - Insuranc'!$B:$B,$A50,'Data For Calculation - Insuranc'!$H:$H,"Master Dealer")) + SUMIFS('Data For Calculation - Insuranc'!I:I,'Data For Calculation - Insuranc'!$A:$A,$A50,'Data For Calculation - Insuranc'!$H:$H,"Self")</f>
        <v>0</v>
      </c>
      <c r="CE50" s="33">
        <f>IF($CK50 = "Dealer", SUMIFS('Data For Calculation - Insuranc'!J:J,'Data For Calculation - Insuranc'!$B:$B,$A50,'Data For Calculation - Insuranc'!$H:$H,"Master Dealer")) + SUMIFS('Data For Calculation - Insuranc'!J:J,'Data For Calculation - Insuranc'!$A:$A,$A50,'Data For Calculation - Insuranc'!$H:$H,"Self")</f>
        <v>0</v>
      </c>
      <c r="CF50" s="33">
        <f>IF($CK50 = "Dealer", SUMIFS('Data For Calculation - Insuranc'!K:K,'Data For Calculation - Insuranc'!$B:$B,$A50,'Data For Calculation - Insuranc'!$H:$H,"Master Dealer")) + SUMIFS('Data For Calculation - Insuranc'!K:K,'Data For Calculation - Insuranc'!$A:$A,$A50,'Data For Calculation - Insuranc'!$H:$H,"Self")</f>
        <v>0</v>
      </c>
      <c r="CG50" s="25" t="str">
        <f>(Sheet1!N50)</f>
        <v>Brij Biwheelers</v>
      </c>
      <c r="CH50" s="25" t="str">
        <f>(Sheet1!O50)</f>
        <v>1ytBGcO8tIze81xKkAa9lWDcflthsPL6SuADAXbhmuwA</v>
      </c>
      <c r="CI50" s="25" t="str">
        <f>(Sheet1!AV50)</f>
        <v/>
      </c>
      <c r="CJ50" s="25" t="str">
        <f>(Sheet1!AW50)</f>
        <v/>
      </c>
      <c r="CK50" s="26" t="str">
        <f>(Sheet1!P50)</f>
        <v>Sub Dealer</v>
      </c>
    </row>
    <row r="51">
      <c r="A51" s="25" t="str">
        <f>(Sheet1!A51)</f>
        <v>1QJxVLeWFwDHR5Ssq189MMPEhhDqC6Su0kxd8dVVMql0</v>
      </c>
      <c r="B51" s="25" t="str">
        <f>(Sheet1!B51)</f>
        <v>Sarman Lal Agrawal (JMC)</v>
      </c>
      <c r="C51" s="30" t="str">
        <f>Sheet1!BB51</f>
        <v>No</v>
      </c>
      <c r="D51" s="30" t="s">
        <v>13</v>
      </c>
      <c r="E51" s="34" t="s">
        <v>13</v>
      </c>
      <c r="F51" s="34" t="s">
        <v>3929</v>
      </c>
      <c r="G51" s="42" t="s">
        <v>3820</v>
      </c>
      <c r="H51" s="43">
        <v>170.0</v>
      </c>
      <c r="I51" s="42" t="s">
        <v>3853</v>
      </c>
      <c r="J51" s="43">
        <v>0.0</v>
      </c>
      <c r="K51" s="43">
        <v>100.0</v>
      </c>
      <c r="L51" s="43">
        <v>0.0</v>
      </c>
      <c r="M51" s="43">
        <v>0.0</v>
      </c>
      <c r="N51" s="33">
        <f>COUNTIFS('Data For Calculation - Insuranc'!A:A,A51,'Data For Calculation - Insuranc'!D:D,"Individual",'Data For Calculation - Insuranc'!E:E,"Bundled - 1 Year OD + 5 Year TP")</f>
        <v>0</v>
      </c>
      <c r="O51" s="34" t="s">
        <v>3930</v>
      </c>
      <c r="P51" s="42" t="s">
        <v>3820</v>
      </c>
      <c r="Q51" s="43">
        <v>170.0</v>
      </c>
      <c r="R51" s="42" t="s">
        <v>3853</v>
      </c>
      <c r="S51" s="43">
        <v>0.0</v>
      </c>
      <c r="T51" s="43">
        <v>100.0</v>
      </c>
      <c r="U51" s="43">
        <v>0.0</v>
      </c>
      <c r="V51" s="43">
        <v>0.0</v>
      </c>
      <c r="W51" s="33">
        <f>COUNTIFS('Data For Calculation - Insuranc'!A:A,A51,'Data For Calculation - Insuranc'!D:D,"Company",'Data For Calculation - Insuranc'!E:E,"Bundled - 1 Year OD + 5 Year TP")</f>
        <v>0</v>
      </c>
      <c r="X51" s="34" t="s">
        <v>3929</v>
      </c>
      <c r="Y51" s="42" t="s">
        <v>3820</v>
      </c>
      <c r="Z51" s="31">
        <v>170.0</v>
      </c>
      <c r="AA51" s="34" t="s">
        <v>3853</v>
      </c>
      <c r="AB51" s="34">
        <v>0.0</v>
      </c>
      <c r="AC51" s="34">
        <v>100.0</v>
      </c>
      <c r="AD51" s="34">
        <v>0.0</v>
      </c>
      <c r="AE51" s="34">
        <v>0.0</v>
      </c>
      <c r="AF51" s="33">
        <f>COUNTIFS('Data For Calculation - Insuranc'!A:A,A51,'Data For Calculation - Insuranc'!D:D,"Individual",'Data For Calculation - Insuranc'!E:E,"Rollover Comprehensive - 1 Year OD + 1 Year TP")</f>
        <v>0</v>
      </c>
      <c r="AG51" s="34" t="s">
        <v>3930</v>
      </c>
      <c r="AH51" s="42" t="s">
        <v>3820</v>
      </c>
      <c r="AI51" s="31">
        <v>170.0</v>
      </c>
      <c r="AJ51" s="34" t="s">
        <v>3853</v>
      </c>
      <c r="AK51" s="34">
        <v>0.0</v>
      </c>
      <c r="AL51" s="34">
        <v>100.0</v>
      </c>
      <c r="AM51" s="34">
        <v>0.0</v>
      </c>
      <c r="AN51" s="34">
        <v>0.0</v>
      </c>
      <c r="AO51" s="33">
        <f>COUNTIFS('Data For Calculation - Insuranc'!A:A,A51,'Data For Calculation - Insuranc'!D:D,"Company",'Data For Calculation - Insuranc'!E:E,"Rollover Comprehensive - 1 Year OD + 1 Year TP")</f>
        <v>0</v>
      </c>
      <c r="AP51" s="34" t="s">
        <v>3931</v>
      </c>
      <c r="AQ51" s="42" t="s">
        <v>3820</v>
      </c>
      <c r="AR51" s="31">
        <v>170.0</v>
      </c>
      <c r="AS51" s="34" t="s">
        <v>3853</v>
      </c>
      <c r="AT51" s="34">
        <v>0.0</v>
      </c>
      <c r="AU51" s="34">
        <v>100.0</v>
      </c>
      <c r="AV51" s="34">
        <v>0.0</v>
      </c>
      <c r="AW51" s="34">
        <v>0.0</v>
      </c>
      <c r="AX51" s="33">
        <f>COUNTIFS('Data For Calculation - Insuranc'!A:A,A51,'Data For Calculation - Insuranc'!D:D,"Individual",'Data For Calculation - Insuranc'!E:E,"Rollover - 1 Year OD Only")</f>
        <v>0</v>
      </c>
      <c r="AY51" s="34" t="s">
        <v>3932</v>
      </c>
      <c r="AZ51" s="42" t="s">
        <v>3820</v>
      </c>
      <c r="BA51" s="31">
        <v>170.0</v>
      </c>
      <c r="BB51" s="34" t="s">
        <v>3853</v>
      </c>
      <c r="BC51" s="34">
        <v>0.0</v>
      </c>
      <c r="BD51" s="34">
        <v>100.0</v>
      </c>
      <c r="BE51" s="34">
        <v>0.0</v>
      </c>
      <c r="BF51" s="34">
        <v>0.0</v>
      </c>
      <c r="BG51" s="33">
        <f>COUNTIFS('Data For Calculation - Insuranc'!A:A,A51,'Data For Calculation - Insuranc'!D:D,"Company",'Data For Calculation - Insuranc'!E:E,"Rollover - 1 Year OD Only")</f>
        <v>0</v>
      </c>
      <c r="BH51" s="34" t="s">
        <v>3931</v>
      </c>
      <c r="BI51" s="42" t="s">
        <v>3820</v>
      </c>
      <c r="BJ51" s="31">
        <v>170.0</v>
      </c>
      <c r="BK51" s="34" t="s">
        <v>3853</v>
      </c>
      <c r="BL51" s="34">
        <v>0.0</v>
      </c>
      <c r="BM51" s="34">
        <v>100.0</v>
      </c>
      <c r="BN51" s="34">
        <v>0.0</v>
      </c>
      <c r="BO51" s="34">
        <v>0.0</v>
      </c>
      <c r="BP51" s="33">
        <f>COUNTIFS('Data For Calculation - Insuranc'!A:A,A51,'Data For Calculation - Insuranc'!D:D,"Individual",'Data For Calculation - Insuranc'!E:E,"Rollover - 1 Year TP Only")</f>
        <v>0</v>
      </c>
      <c r="BQ51" s="34" t="s">
        <v>3932</v>
      </c>
      <c r="BR51" s="42" t="s">
        <v>3820</v>
      </c>
      <c r="BS51" s="31">
        <v>170.0</v>
      </c>
      <c r="BT51" s="34" t="s">
        <v>3853</v>
      </c>
      <c r="BU51" s="34">
        <v>0.0</v>
      </c>
      <c r="BV51" s="34">
        <v>100.0</v>
      </c>
      <c r="BW51" s="34">
        <v>0.0</v>
      </c>
      <c r="BX51" s="34">
        <v>0.0</v>
      </c>
      <c r="BY51" s="33">
        <f>COUNTIFS('Data For Calculation - Insuranc'!A:A,A51,'Data For Calculation - Insuranc'!D:D,"Company",'Data For Calculation - Insuranc'!E:E,"Rollover - 1 Year TP Only")</f>
        <v>0</v>
      </c>
      <c r="BZ51" s="31">
        <f t="shared" si="1"/>
        <v>0</v>
      </c>
      <c r="CA51" s="33">
        <f>SUMIFS('Data For Calculation - Insuranc'!I:I,'Data For Calculation - Insuranc'!$A:$A,$A51)</f>
        <v>0</v>
      </c>
      <c r="CB51" s="33">
        <f>SUMIFS('Data For Calculation - Insuranc'!J:J,'Data For Calculation - Insuranc'!$A:$A,$A51)</f>
        <v>0</v>
      </c>
      <c r="CC51" s="33">
        <f>SUMIFS('Data For Calculation - Insuranc'!K:K,'Data For Calculation - Insuranc'!$A:$A,$A51)</f>
        <v>0</v>
      </c>
      <c r="CD51" s="33">
        <f>IF($CK51 = "Dealer", SUMIFS('Data For Calculation - Insuranc'!I:I,'Data For Calculation - Insuranc'!$B:$B,$A51,'Data For Calculation - Insuranc'!$H:$H,"Master Dealer")) + SUMIFS('Data For Calculation - Insuranc'!I:I,'Data For Calculation - Insuranc'!$A:$A,$A51,'Data For Calculation - Insuranc'!$H:$H,"Self")</f>
        <v>0</v>
      </c>
      <c r="CE51" s="33">
        <f>IF($CK51 = "Dealer", SUMIFS('Data For Calculation - Insuranc'!J:J,'Data For Calculation - Insuranc'!$B:$B,$A51,'Data For Calculation - Insuranc'!$H:$H,"Master Dealer")) + SUMIFS('Data For Calculation - Insuranc'!J:J,'Data For Calculation - Insuranc'!$A:$A,$A51,'Data For Calculation - Insuranc'!$H:$H,"Self")</f>
        <v>0</v>
      </c>
      <c r="CF51" s="33">
        <f>IF($CK51 = "Dealer", SUMIFS('Data For Calculation - Insuranc'!K:K,'Data For Calculation - Insuranc'!$B:$B,$A51,'Data For Calculation - Insuranc'!$H:$H,"Master Dealer")) + SUMIFS('Data For Calculation - Insuranc'!K:K,'Data For Calculation - Insuranc'!$A:$A,$A51,'Data For Calculation - Insuranc'!$H:$H,"Self")</f>
        <v>0</v>
      </c>
      <c r="CG51" s="25" t="str">
        <f>(Sheet1!N51)</f>
        <v>Jain Motorcycle Company</v>
      </c>
      <c r="CH51" s="25" t="str">
        <f>(Sheet1!O51)</f>
        <v>184Y3L-ZLT7vcLiFDItIcLa-18phpzEbgBCBDgt_LGCQ</v>
      </c>
      <c r="CI51" s="25" t="str">
        <f>(Sheet1!AV51)</f>
        <v/>
      </c>
      <c r="CJ51" s="25" t="str">
        <f>(Sheet1!AW51)</f>
        <v/>
      </c>
      <c r="CK51" s="26" t="str">
        <f>(Sheet1!P51)</f>
        <v>Sub Dealer</v>
      </c>
    </row>
    <row r="52">
      <c r="A52" s="25" t="str">
        <f>(Sheet1!A52)</f>
        <v>1csqV0P6rAjfUqgWrDmILPq5QMP6GfGOsFVhZ25vdQsw</v>
      </c>
      <c r="B52" s="25" t="str">
        <f>(Sheet1!B52)</f>
        <v>Kiran TVS - Meerut</v>
      </c>
      <c r="C52" s="30" t="str">
        <f>Sheet1!BB52</f>
        <v>No</v>
      </c>
      <c r="D52" s="30" t="s">
        <v>13</v>
      </c>
      <c r="E52" s="34" t="s">
        <v>13</v>
      </c>
      <c r="F52" s="34" t="s">
        <v>3929</v>
      </c>
      <c r="G52" s="42" t="s">
        <v>3817</v>
      </c>
      <c r="H52" s="43">
        <v>460.0</v>
      </c>
      <c r="I52" s="42" t="s">
        <v>3853</v>
      </c>
      <c r="J52" s="43">
        <v>0.0</v>
      </c>
      <c r="K52" s="43">
        <v>100.0</v>
      </c>
      <c r="L52" s="43">
        <v>0.0</v>
      </c>
      <c r="M52" s="43">
        <v>0.0</v>
      </c>
      <c r="N52" s="33">
        <f>COUNTIFS('Data For Calculation - Insuranc'!A:A,A52,'Data For Calculation - Insuranc'!D:D,"Individual",'Data For Calculation - Insuranc'!E:E,"Bundled - 1 Year OD + 5 Year TP")</f>
        <v>0</v>
      </c>
      <c r="O52" s="34" t="s">
        <v>3930</v>
      </c>
      <c r="P52" s="42" t="s">
        <v>3817</v>
      </c>
      <c r="Q52" s="43">
        <v>460.0</v>
      </c>
      <c r="R52" s="42" t="s">
        <v>3853</v>
      </c>
      <c r="S52" s="43">
        <v>0.0</v>
      </c>
      <c r="T52" s="43">
        <v>100.0</v>
      </c>
      <c r="U52" s="43">
        <v>0.0</v>
      </c>
      <c r="V52" s="43">
        <v>0.0</v>
      </c>
      <c r="W52" s="33">
        <f>COUNTIFS('Data For Calculation - Insuranc'!A:A,A52,'Data For Calculation - Insuranc'!D:D,"Company",'Data For Calculation - Insuranc'!E:E,"Bundled - 1 Year OD + 5 Year TP")</f>
        <v>0</v>
      </c>
      <c r="X52" s="34" t="s">
        <v>3929</v>
      </c>
      <c r="Y52" s="42" t="s">
        <v>3817</v>
      </c>
      <c r="Z52" s="31">
        <v>290.0</v>
      </c>
      <c r="AA52" s="34" t="s">
        <v>3853</v>
      </c>
      <c r="AB52" s="34">
        <v>0.0</v>
      </c>
      <c r="AC52" s="34">
        <v>100.0</v>
      </c>
      <c r="AD52" s="34">
        <v>0.0</v>
      </c>
      <c r="AE52" s="34">
        <v>0.0</v>
      </c>
      <c r="AF52" s="33">
        <f>COUNTIFS('Data For Calculation - Insuranc'!A:A,A52,'Data For Calculation - Insuranc'!D:D,"Individual",'Data For Calculation - Insuranc'!E:E,"Rollover Comprehensive - 1 Year OD + 1 Year TP")</f>
        <v>0</v>
      </c>
      <c r="AG52" s="34" t="s">
        <v>3930</v>
      </c>
      <c r="AH52" s="42" t="s">
        <v>3817</v>
      </c>
      <c r="AI52" s="31">
        <v>290.0</v>
      </c>
      <c r="AJ52" s="34" t="s">
        <v>3853</v>
      </c>
      <c r="AK52" s="34">
        <v>0.0</v>
      </c>
      <c r="AL52" s="34">
        <v>100.0</v>
      </c>
      <c r="AM52" s="34">
        <v>0.0</v>
      </c>
      <c r="AN52" s="34">
        <v>0.0</v>
      </c>
      <c r="AO52" s="33">
        <f>COUNTIFS('Data For Calculation - Insuranc'!A:A,A52,'Data For Calculation - Insuranc'!D:D,"Company",'Data For Calculation - Insuranc'!E:E,"Rollover Comprehensive - 1 Year OD + 1 Year TP")</f>
        <v>0</v>
      </c>
      <c r="AP52" s="34" t="s">
        <v>3931</v>
      </c>
      <c r="AQ52" s="42" t="s">
        <v>3817</v>
      </c>
      <c r="AR52" s="31">
        <v>290.0</v>
      </c>
      <c r="AS52" s="34" t="s">
        <v>3853</v>
      </c>
      <c r="AT52" s="34">
        <v>0.0</v>
      </c>
      <c r="AU52" s="34">
        <v>100.0</v>
      </c>
      <c r="AV52" s="34">
        <v>0.0</v>
      </c>
      <c r="AW52" s="34">
        <v>0.0</v>
      </c>
      <c r="AX52" s="33">
        <f>COUNTIFS('Data For Calculation - Insuranc'!A:A,A52,'Data For Calculation - Insuranc'!D:D,"Individual",'Data For Calculation - Insuranc'!E:E,"Rollover - 1 Year OD Only")</f>
        <v>0</v>
      </c>
      <c r="AY52" s="34" t="s">
        <v>3932</v>
      </c>
      <c r="AZ52" s="42" t="s">
        <v>3817</v>
      </c>
      <c r="BA52" s="31">
        <v>290.0</v>
      </c>
      <c r="BB52" s="34" t="s">
        <v>3853</v>
      </c>
      <c r="BC52" s="34">
        <v>0.0</v>
      </c>
      <c r="BD52" s="34">
        <v>100.0</v>
      </c>
      <c r="BE52" s="34">
        <v>0.0</v>
      </c>
      <c r="BF52" s="34">
        <v>0.0</v>
      </c>
      <c r="BG52" s="33">
        <f>COUNTIFS('Data For Calculation - Insuranc'!A:A,A52,'Data For Calculation - Insuranc'!D:D,"Company",'Data For Calculation - Insuranc'!E:E,"Rollover - 1 Year OD Only")</f>
        <v>0</v>
      </c>
      <c r="BH52" s="34" t="s">
        <v>3931</v>
      </c>
      <c r="BI52" s="42" t="s">
        <v>3817</v>
      </c>
      <c r="BJ52" s="31">
        <v>290.0</v>
      </c>
      <c r="BK52" s="34" t="s">
        <v>3853</v>
      </c>
      <c r="BL52" s="34">
        <v>0.0</v>
      </c>
      <c r="BM52" s="34">
        <v>100.0</v>
      </c>
      <c r="BN52" s="34">
        <v>0.0</v>
      </c>
      <c r="BO52" s="34">
        <v>0.0</v>
      </c>
      <c r="BP52" s="33">
        <f>COUNTIFS('Data For Calculation - Insuranc'!A:A,A52,'Data For Calculation - Insuranc'!D:D,"Individual",'Data For Calculation - Insuranc'!E:E,"Rollover - 1 Year TP Only")</f>
        <v>0</v>
      </c>
      <c r="BQ52" s="34" t="s">
        <v>3932</v>
      </c>
      <c r="BR52" s="42" t="s">
        <v>3817</v>
      </c>
      <c r="BS52" s="31">
        <v>290.0</v>
      </c>
      <c r="BT52" s="34" t="s">
        <v>3853</v>
      </c>
      <c r="BU52" s="34">
        <v>0.0</v>
      </c>
      <c r="BV52" s="34">
        <v>100.0</v>
      </c>
      <c r="BW52" s="34">
        <v>0.0</v>
      </c>
      <c r="BX52" s="34">
        <v>0.0</v>
      </c>
      <c r="BY52" s="33">
        <f>COUNTIFS('Data For Calculation - Insuranc'!A:A,A52,'Data For Calculation - Insuranc'!D:D,"Company",'Data For Calculation - Insuranc'!E:E,"Rollover - 1 Year TP Only")</f>
        <v>0</v>
      </c>
      <c r="BZ52" s="31">
        <f t="shared" si="1"/>
        <v>0</v>
      </c>
      <c r="CA52" s="33">
        <f>SUMIFS('Data For Calculation - Insuranc'!I:I,'Data For Calculation - Insuranc'!$A:$A,$A52)</f>
        <v>0</v>
      </c>
      <c r="CB52" s="33">
        <f>SUMIFS('Data For Calculation - Insuranc'!J:J,'Data For Calculation - Insuranc'!$A:$A,$A52)</f>
        <v>0</v>
      </c>
      <c r="CC52" s="33">
        <f>SUMIFS('Data For Calculation - Insuranc'!K:K,'Data For Calculation - Insuranc'!$A:$A,$A52)</f>
        <v>0</v>
      </c>
      <c r="CD52" s="33">
        <f>IF($CK52 = "Dealer", SUMIFS('Data For Calculation - Insuranc'!I:I,'Data For Calculation - Insuranc'!$B:$B,$A52,'Data For Calculation - Insuranc'!$H:$H,"Master Dealer")) + SUMIFS('Data For Calculation - Insuranc'!I:I,'Data For Calculation - Insuranc'!$A:$A,$A52,'Data For Calculation - Insuranc'!$H:$H,"Self")</f>
        <v>0</v>
      </c>
      <c r="CE52" s="33">
        <f>IF($CK52 = "Dealer", SUMIFS('Data For Calculation - Insuranc'!J:J,'Data For Calculation - Insuranc'!$B:$B,$A52,'Data For Calculation - Insuranc'!$H:$H,"Master Dealer")) + SUMIFS('Data For Calculation - Insuranc'!J:J,'Data For Calculation - Insuranc'!$A:$A,$A52,'Data For Calculation - Insuranc'!$H:$H,"Self")</f>
        <v>0</v>
      </c>
      <c r="CF52" s="33">
        <f>IF($CK52 = "Dealer", SUMIFS('Data For Calculation - Insuranc'!K:K,'Data For Calculation - Insuranc'!$B:$B,$A52,'Data For Calculation - Insuranc'!$H:$H,"Master Dealer")) + SUMIFS('Data For Calculation - Insuranc'!K:K,'Data For Calculation - Insuranc'!$A:$A,$A52,'Data For Calculation - Insuranc'!$H:$H,"Self")</f>
        <v>0</v>
      </c>
      <c r="CG52" s="25" t="str">
        <f>(Sheet1!N52)</f>
        <v>Kiran TVS - Meerut</v>
      </c>
      <c r="CH52" s="25" t="str">
        <f>(Sheet1!O52)</f>
        <v>1csqV0P6rAjfUqgWrDmILPq5QMP6GfGOsFVhZ25vdQsw</v>
      </c>
      <c r="CI52" s="25" t="str">
        <f>(Sheet1!AV52)</f>
        <v/>
      </c>
      <c r="CJ52" s="25" t="str">
        <f>(Sheet1!AW52)</f>
        <v/>
      </c>
      <c r="CK52" s="26" t="str">
        <f>(Sheet1!P52)</f>
        <v>Dealer</v>
      </c>
    </row>
    <row r="53">
      <c r="A53" s="25" t="str">
        <f>(Sheet1!A53)</f>
        <v>1LiAiRR9BTHdMZEU0Z7g2BJlBE_7_a2qafAw9zkJ1c8U</v>
      </c>
      <c r="B53" s="25" t="str">
        <f>(Sheet1!B53)</f>
        <v>Namokar Honda - Meerut</v>
      </c>
      <c r="C53" s="30" t="str">
        <f>Sheet1!BB53</f>
        <v>No</v>
      </c>
      <c r="D53" s="30" t="s">
        <v>13</v>
      </c>
      <c r="E53" s="34" t="s">
        <v>13</v>
      </c>
      <c r="F53" s="34" t="s">
        <v>3929</v>
      </c>
      <c r="G53" s="42" t="s">
        <v>3817</v>
      </c>
      <c r="H53" s="43">
        <v>460.0</v>
      </c>
      <c r="I53" s="42" t="s">
        <v>3853</v>
      </c>
      <c r="J53" s="43">
        <v>0.0</v>
      </c>
      <c r="K53" s="43">
        <v>100.0</v>
      </c>
      <c r="L53" s="43">
        <v>0.0</v>
      </c>
      <c r="M53" s="43">
        <v>0.0</v>
      </c>
      <c r="N53" s="33">
        <f>COUNTIFS('Data For Calculation - Insuranc'!A:A,A53,'Data For Calculation - Insuranc'!D:D,"Individual",'Data For Calculation - Insuranc'!E:E,"Bundled - 1 Year OD + 5 Year TP")</f>
        <v>0</v>
      </c>
      <c r="O53" s="34" t="s">
        <v>3930</v>
      </c>
      <c r="P53" s="42" t="s">
        <v>3817</v>
      </c>
      <c r="Q53" s="43">
        <v>460.0</v>
      </c>
      <c r="R53" s="42" t="s">
        <v>3853</v>
      </c>
      <c r="S53" s="43">
        <v>0.0</v>
      </c>
      <c r="T53" s="43">
        <v>100.0</v>
      </c>
      <c r="U53" s="43">
        <v>0.0</v>
      </c>
      <c r="V53" s="43">
        <v>0.0</v>
      </c>
      <c r="W53" s="33">
        <f>COUNTIFS('Data For Calculation - Insuranc'!A:A,A53,'Data For Calculation - Insuranc'!D:D,"Company",'Data For Calculation - Insuranc'!E:E,"Bundled - 1 Year OD + 5 Year TP")</f>
        <v>0</v>
      </c>
      <c r="X53" s="34" t="s">
        <v>3929</v>
      </c>
      <c r="Y53" s="42" t="s">
        <v>3817</v>
      </c>
      <c r="Z53" s="31">
        <v>290.0</v>
      </c>
      <c r="AA53" s="34" t="s">
        <v>3853</v>
      </c>
      <c r="AB53" s="34">
        <v>0.0</v>
      </c>
      <c r="AC53" s="34">
        <v>100.0</v>
      </c>
      <c r="AD53" s="34">
        <v>0.0</v>
      </c>
      <c r="AE53" s="34">
        <v>0.0</v>
      </c>
      <c r="AF53" s="33">
        <f>COUNTIFS('Data For Calculation - Insuranc'!A:A,A53,'Data For Calculation - Insuranc'!D:D,"Individual",'Data For Calculation - Insuranc'!E:E,"Rollover Comprehensive - 1 Year OD + 1 Year TP")</f>
        <v>0</v>
      </c>
      <c r="AG53" s="34" t="s">
        <v>3930</v>
      </c>
      <c r="AH53" s="42" t="s">
        <v>3817</v>
      </c>
      <c r="AI53" s="31">
        <v>290.0</v>
      </c>
      <c r="AJ53" s="34" t="s">
        <v>3853</v>
      </c>
      <c r="AK53" s="34">
        <v>0.0</v>
      </c>
      <c r="AL53" s="34">
        <v>100.0</v>
      </c>
      <c r="AM53" s="34">
        <v>0.0</v>
      </c>
      <c r="AN53" s="34">
        <v>0.0</v>
      </c>
      <c r="AO53" s="33">
        <f>COUNTIFS('Data For Calculation - Insuranc'!A:A,A53,'Data For Calculation - Insuranc'!D:D,"Company",'Data For Calculation - Insuranc'!E:E,"Rollover Comprehensive - 1 Year OD + 1 Year TP")</f>
        <v>0</v>
      </c>
      <c r="AP53" s="34" t="s">
        <v>3931</v>
      </c>
      <c r="AQ53" s="42" t="s">
        <v>3817</v>
      </c>
      <c r="AR53" s="31">
        <v>290.0</v>
      </c>
      <c r="AS53" s="34" t="s">
        <v>3853</v>
      </c>
      <c r="AT53" s="34">
        <v>0.0</v>
      </c>
      <c r="AU53" s="34">
        <v>100.0</v>
      </c>
      <c r="AV53" s="34">
        <v>0.0</v>
      </c>
      <c r="AW53" s="34">
        <v>0.0</v>
      </c>
      <c r="AX53" s="33">
        <f>COUNTIFS('Data For Calculation - Insuranc'!A:A,A53,'Data For Calculation - Insuranc'!D:D,"Individual",'Data For Calculation - Insuranc'!E:E,"Rollover - 1 Year OD Only")</f>
        <v>0</v>
      </c>
      <c r="AY53" s="34" t="s">
        <v>3932</v>
      </c>
      <c r="AZ53" s="42" t="s">
        <v>3817</v>
      </c>
      <c r="BA53" s="31">
        <v>290.0</v>
      </c>
      <c r="BB53" s="34" t="s">
        <v>3853</v>
      </c>
      <c r="BC53" s="34">
        <v>0.0</v>
      </c>
      <c r="BD53" s="34">
        <v>100.0</v>
      </c>
      <c r="BE53" s="34">
        <v>0.0</v>
      </c>
      <c r="BF53" s="34">
        <v>0.0</v>
      </c>
      <c r="BG53" s="33">
        <f>COUNTIFS('Data For Calculation - Insuranc'!A:A,A53,'Data For Calculation - Insuranc'!D:D,"Company",'Data For Calculation - Insuranc'!E:E,"Rollover - 1 Year OD Only")</f>
        <v>0</v>
      </c>
      <c r="BH53" s="34" t="s">
        <v>3931</v>
      </c>
      <c r="BI53" s="42" t="s">
        <v>3817</v>
      </c>
      <c r="BJ53" s="31">
        <v>290.0</v>
      </c>
      <c r="BK53" s="34" t="s">
        <v>3853</v>
      </c>
      <c r="BL53" s="34">
        <v>0.0</v>
      </c>
      <c r="BM53" s="34">
        <v>100.0</v>
      </c>
      <c r="BN53" s="34">
        <v>0.0</v>
      </c>
      <c r="BO53" s="34">
        <v>0.0</v>
      </c>
      <c r="BP53" s="33">
        <f>COUNTIFS('Data For Calculation - Insuranc'!A:A,A53,'Data For Calculation - Insuranc'!D:D,"Individual",'Data For Calculation - Insuranc'!E:E,"Rollover - 1 Year TP Only")</f>
        <v>0</v>
      </c>
      <c r="BQ53" s="34" t="s">
        <v>3932</v>
      </c>
      <c r="BR53" s="42" t="s">
        <v>3817</v>
      </c>
      <c r="BS53" s="31">
        <v>290.0</v>
      </c>
      <c r="BT53" s="34" t="s">
        <v>3853</v>
      </c>
      <c r="BU53" s="34">
        <v>0.0</v>
      </c>
      <c r="BV53" s="34">
        <v>100.0</v>
      </c>
      <c r="BW53" s="34">
        <v>0.0</v>
      </c>
      <c r="BX53" s="34">
        <v>0.0</v>
      </c>
      <c r="BY53" s="33">
        <f>COUNTIFS('Data For Calculation - Insuranc'!A:A,A53,'Data For Calculation - Insuranc'!D:D,"Company",'Data For Calculation - Insuranc'!E:E,"Rollover - 1 Year TP Only")</f>
        <v>0</v>
      </c>
      <c r="BZ53" s="31">
        <f t="shared" si="1"/>
        <v>0</v>
      </c>
      <c r="CA53" s="33">
        <f>SUMIFS('Data For Calculation - Insuranc'!I:I,'Data For Calculation - Insuranc'!$A:$A,$A53)</f>
        <v>0</v>
      </c>
      <c r="CB53" s="33">
        <f>SUMIFS('Data For Calculation - Insuranc'!J:J,'Data For Calculation - Insuranc'!$A:$A,$A53)</f>
        <v>0</v>
      </c>
      <c r="CC53" s="33">
        <f>SUMIFS('Data For Calculation - Insuranc'!K:K,'Data For Calculation - Insuranc'!$A:$A,$A53)</f>
        <v>0</v>
      </c>
      <c r="CD53" s="33">
        <f>IF($CK53 = "Dealer", SUMIFS('Data For Calculation - Insuranc'!I:I,'Data For Calculation - Insuranc'!$B:$B,$A53,'Data For Calculation - Insuranc'!$H:$H,"Master Dealer")) + SUMIFS('Data For Calculation - Insuranc'!I:I,'Data For Calculation - Insuranc'!$A:$A,$A53,'Data For Calculation - Insuranc'!$H:$H,"Self")</f>
        <v>0</v>
      </c>
      <c r="CE53" s="33">
        <f>IF($CK53 = "Dealer", SUMIFS('Data For Calculation - Insuranc'!J:J,'Data For Calculation - Insuranc'!$B:$B,$A53,'Data For Calculation - Insuranc'!$H:$H,"Master Dealer")) + SUMIFS('Data For Calculation - Insuranc'!J:J,'Data For Calculation - Insuranc'!$A:$A,$A53,'Data For Calculation - Insuranc'!$H:$H,"Self")</f>
        <v>0</v>
      </c>
      <c r="CF53" s="33">
        <f>IF($CK53 = "Dealer", SUMIFS('Data For Calculation - Insuranc'!K:K,'Data For Calculation - Insuranc'!$B:$B,$A53,'Data For Calculation - Insuranc'!$H:$H,"Master Dealer")) + SUMIFS('Data For Calculation - Insuranc'!K:K,'Data For Calculation - Insuranc'!$A:$A,$A53,'Data For Calculation - Insuranc'!$H:$H,"Self")</f>
        <v>0</v>
      </c>
      <c r="CG53" s="25" t="str">
        <f>(Sheet1!N53)</f>
        <v>Namokar Honda - Meerut</v>
      </c>
      <c r="CH53" s="25" t="str">
        <f>(Sheet1!O53)</f>
        <v>1LiAiRR9BTHdMZEU0Z7g2BJlBE_7_a2qafAw9zkJ1c8U</v>
      </c>
      <c r="CI53" s="25" t="str">
        <f>(Sheet1!AV53)</f>
        <v/>
      </c>
      <c r="CJ53" s="25" t="str">
        <f>(Sheet1!AW53)</f>
        <v/>
      </c>
      <c r="CK53" s="26" t="str">
        <f>(Sheet1!P53)</f>
        <v>Dealer</v>
      </c>
    </row>
    <row r="54">
      <c r="A54" s="25" t="str">
        <f>(Sheet1!A54)</f>
        <v>11i_cNFE5Ehj2PGllhMsAFP46O_rn6I78xO4mvWr7hEo</v>
      </c>
      <c r="B54" s="25" t="str">
        <f>(Sheet1!B54)</f>
        <v>Shree Shiv Shakti Hero - Meerut</v>
      </c>
      <c r="C54" s="30" t="str">
        <f>Sheet1!BB54</f>
        <v>No</v>
      </c>
      <c r="D54" s="30" t="s">
        <v>13</v>
      </c>
      <c r="E54" s="34" t="s">
        <v>13</v>
      </c>
      <c r="F54" s="34" t="s">
        <v>3929</v>
      </c>
      <c r="G54" s="42" t="s">
        <v>3856</v>
      </c>
      <c r="H54" s="43">
        <v>340.0</v>
      </c>
      <c r="I54" s="42" t="s">
        <v>3853</v>
      </c>
      <c r="J54" s="43">
        <v>0.0</v>
      </c>
      <c r="K54" s="43">
        <v>100.0</v>
      </c>
      <c r="L54" s="43">
        <v>0.0</v>
      </c>
      <c r="M54" s="43">
        <v>0.0</v>
      </c>
      <c r="N54" s="33">
        <f>COUNTIFS('Data For Calculation - Insuranc'!A:A,A54,'Data For Calculation - Insuranc'!D:D,"Individual",'Data For Calculation - Insuranc'!E:E,"Bundled - 1 Year OD + 5 Year TP")</f>
        <v>0</v>
      </c>
      <c r="O54" s="34" t="s">
        <v>3930</v>
      </c>
      <c r="P54" s="42" t="s">
        <v>3856</v>
      </c>
      <c r="Q54" s="43">
        <v>340.0</v>
      </c>
      <c r="R54" s="42" t="s">
        <v>3853</v>
      </c>
      <c r="S54" s="43">
        <v>0.0</v>
      </c>
      <c r="T54" s="43">
        <v>100.0</v>
      </c>
      <c r="U54" s="43">
        <v>0.0</v>
      </c>
      <c r="V54" s="43">
        <v>0.0</v>
      </c>
      <c r="W54" s="33">
        <f>COUNTIFS('Data For Calculation - Insuranc'!A:A,A54,'Data For Calculation - Insuranc'!D:D,"Company",'Data For Calculation - Insuranc'!E:E,"Bundled - 1 Year OD + 5 Year TP")</f>
        <v>0</v>
      </c>
      <c r="X54" s="34" t="s">
        <v>3929</v>
      </c>
      <c r="Y54" s="42" t="s">
        <v>3856</v>
      </c>
      <c r="Z54" s="31">
        <v>290.0</v>
      </c>
      <c r="AA54" s="34" t="s">
        <v>3853</v>
      </c>
      <c r="AB54" s="34">
        <v>0.0</v>
      </c>
      <c r="AC54" s="34">
        <v>100.0</v>
      </c>
      <c r="AD54" s="34">
        <v>0.0</v>
      </c>
      <c r="AE54" s="34">
        <v>0.0</v>
      </c>
      <c r="AF54" s="33">
        <f>COUNTIFS('Data For Calculation - Insuranc'!A:A,A54,'Data For Calculation - Insuranc'!D:D,"Individual",'Data For Calculation - Insuranc'!E:E,"Rollover Comprehensive - 1 Year OD + 1 Year TP")</f>
        <v>0</v>
      </c>
      <c r="AG54" s="34" t="s">
        <v>3930</v>
      </c>
      <c r="AH54" s="42" t="s">
        <v>3856</v>
      </c>
      <c r="AI54" s="31">
        <v>290.0</v>
      </c>
      <c r="AJ54" s="34" t="s">
        <v>3853</v>
      </c>
      <c r="AK54" s="34">
        <v>0.0</v>
      </c>
      <c r="AL54" s="34">
        <v>100.0</v>
      </c>
      <c r="AM54" s="34">
        <v>0.0</v>
      </c>
      <c r="AN54" s="34">
        <v>0.0</v>
      </c>
      <c r="AO54" s="33">
        <f>COUNTIFS('Data For Calculation - Insuranc'!A:A,A54,'Data For Calculation - Insuranc'!D:D,"Company",'Data For Calculation - Insuranc'!E:E,"Rollover Comprehensive - 1 Year OD + 1 Year TP")</f>
        <v>0</v>
      </c>
      <c r="AP54" s="34" t="s">
        <v>3931</v>
      </c>
      <c r="AQ54" s="42" t="s">
        <v>3856</v>
      </c>
      <c r="AR54" s="31">
        <v>290.0</v>
      </c>
      <c r="AS54" s="34" t="s">
        <v>3853</v>
      </c>
      <c r="AT54" s="34">
        <v>0.0</v>
      </c>
      <c r="AU54" s="34">
        <v>100.0</v>
      </c>
      <c r="AV54" s="34">
        <v>0.0</v>
      </c>
      <c r="AW54" s="34">
        <v>0.0</v>
      </c>
      <c r="AX54" s="33">
        <f>COUNTIFS('Data For Calculation - Insuranc'!A:A,A54,'Data For Calculation - Insuranc'!D:D,"Individual",'Data For Calculation - Insuranc'!E:E,"Rollover - 1 Year OD Only")</f>
        <v>0</v>
      </c>
      <c r="AY54" s="34" t="s">
        <v>3932</v>
      </c>
      <c r="AZ54" s="42" t="s">
        <v>3856</v>
      </c>
      <c r="BA54" s="31">
        <v>290.0</v>
      </c>
      <c r="BB54" s="34" t="s">
        <v>3853</v>
      </c>
      <c r="BC54" s="34">
        <v>0.0</v>
      </c>
      <c r="BD54" s="34">
        <v>100.0</v>
      </c>
      <c r="BE54" s="34">
        <v>0.0</v>
      </c>
      <c r="BF54" s="34">
        <v>0.0</v>
      </c>
      <c r="BG54" s="33">
        <f>COUNTIFS('Data For Calculation - Insuranc'!A:A,A54,'Data For Calculation - Insuranc'!D:D,"Company",'Data For Calculation - Insuranc'!E:E,"Rollover - 1 Year OD Only")</f>
        <v>0</v>
      </c>
      <c r="BH54" s="34" t="s">
        <v>3931</v>
      </c>
      <c r="BI54" s="42" t="s">
        <v>3856</v>
      </c>
      <c r="BJ54" s="31">
        <v>290.0</v>
      </c>
      <c r="BK54" s="34" t="s">
        <v>3853</v>
      </c>
      <c r="BL54" s="34">
        <v>0.0</v>
      </c>
      <c r="BM54" s="34">
        <v>100.0</v>
      </c>
      <c r="BN54" s="34">
        <v>0.0</v>
      </c>
      <c r="BO54" s="34">
        <v>0.0</v>
      </c>
      <c r="BP54" s="33">
        <f>COUNTIFS('Data For Calculation - Insuranc'!A:A,A54,'Data For Calculation - Insuranc'!D:D,"Individual",'Data For Calculation - Insuranc'!E:E,"Rollover - 1 Year TP Only")</f>
        <v>0</v>
      </c>
      <c r="BQ54" s="34" t="s">
        <v>3932</v>
      </c>
      <c r="BR54" s="42" t="s">
        <v>3856</v>
      </c>
      <c r="BS54" s="31">
        <v>290.0</v>
      </c>
      <c r="BT54" s="34" t="s">
        <v>3853</v>
      </c>
      <c r="BU54" s="34">
        <v>0.0</v>
      </c>
      <c r="BV54" s="34">
        <v>100.0</v>
      </c>
      <c r="BW54" s="34">
        <v>0.0</v>
      </c>
      <c r="BX54" s="34">
        <v>0.0</v>
      </c>
      <c r="BY54" s="33">
        <f>COUNTIFS('Data For Calculation - Insuranc'!A:A,A54,'Data For Calculation - Insuranc'!D:D,"Company",'Data For Calculation - Insuranc'!E:E,"Rollover - 1 Year TP Only")</f>
        <v>0</v>
      </c>
      <c r="BZ54" s="31">
        <f t="shared" si="1"/>
        <v>0</v>
      </c>
      <c r="CA54" s="33">
        <f>SUMIFS('Data For Calculation - Insuranc'!I:I,'Data For Calculation - Insuranc'!$A:$A,$A54)</f>
        <v>0</v>
      </c>
      <c r="CB54" s="33">
        <f>SUMIFS('Data For Calculation - Insuranc'!J:J,'Data For Calculation - Insuranc'!$A:$A,$A54)</f>
        <v>0</v>
      </c>
      <c r="CC54" s="33">
        <f>SUMIFS('Data For Calculation - Insuranc'!K:K,'Data For Calculation - Insuranc'!$A:$A,$A54)</f>
        <v>0</v>
      </c>
      <c r="CD54" s="33">
        <f>IF($CK54 = "Dealer", SUMIFS('Data For Calculation - Insuranc'!I:I,'Data For Calculation - Insuranc'!$B:$B,$A54,'Data For Calculation - Insuranc'!$H:$H,"Master Dealer")) + SUMIFS('Data For Calculation - Insuranc'!I:I,'Data For Calculation - Insuranc'!$A:$A,$A54,'Data For Calculation - Insuranc'!$H:$H,"Self")</f>
        <v>0</v>
      </c>
      <c r="CE54" s="33">
        <f>IF($CK54 = "Dealer", SUMIFS('Data For Calculation - Insuranc'!J:J,'Data For Calculation - Insuranc'!$B:$B,$A54,'Data For Calculation - Insuranc'!$H:$H,"Master Dealer")) + SUMIFS('Data For Calculation - Insuranc'!J:J,'Data For Calculation - Insuranc'!$A:$A,$A54,'Data For Calculation - Insuranc'!$H:$H,"Self")</f>
        <v>0</v>
      </c>
      <c r="CF54" s="33">
        <f>IF($CK54 = "Dealer", SUMIFS('Data For Calculation - Insuranc'!K:K,'Data For Calculation - Insuranc'!$B:$B,$A54,'Data For Calculation - Insuranc'!$H:$H,"Master Dealer")) + SUMIFS('Data For Calculation - Insuranc'!K:K,'Data For Calculation - Insuranc'!$A:$A,$A54,'Data For Calculation - Insuranc'!$H:$H,"Self")</f>
        <v>0</v>
      </c>
      <c r="CG54" s="25" t="str">
        <f>(Sheet1!N54)</f>
        <v>Shree Shiv Shakti Hero - Meerut</v>
      </c>
      <c r="CH54" s="25" t="str">
        <f>(Sheet1!O54)</f>
        <v>11i_cNFE5Ehj2PGllhMsAFP46O_rn6I78xO4mvWr7hEo</v>
      </c>
      <c r="CI54" s="25" t="str">
        <f>(Sheet1!AV54)</f>
        <v/>
      </c>
      <c r="CJ54" s="25" t="str">
        <f>(Sheet1!AW54)</f>
        <v/>
      </c>
      <c r="CK54" s="26" t="str">
        <f>(Sheet1!P54)</f>
        <v>Dealer</v>
      </c>
    </row>
    <row r="55">
      <c r="A55" s="25" t="str">
        <f>(Sheet1!A55)</f>
        <v>1mX_ZCiMgVCd3AONQ2zBbbc9wQ6Mlj2RvmkSWdpWht-8</v>
      </c>
      <c r="B55" s="25" t="str">
        <f>(Sheet1!B55)</f>
        <v>Krishna Hero - Bulandshahr</v>
      </c>
      <c r="C55" s="30" t="str">
        <f>Sheet1!BB55</f>
        <v>No</v>
      </c>
      <c r="D55" s="30" t="s">
        <v>13</v>
      </c>
      <c r="E55" s="34" t="s">
        <v>13</v>
      </c>
      <c r="F55" s="34" t="s">
        <v>3929</v>
      </c>
      <c r="G55" s="42" t="s">
        <v>3856</v>
      </c>
      <c r="H55" s="47">
        <v>155.0</v>
      </c>
      <c r="I55" s="42" t="s">
        <v>3853</v>
      </c>
      <c r="J55" s="43">
        <v>0.0</v>
      </c>
      <c r="K55" s="43">
        <v>100.0</v>
      </c>
      <c r="L55" s="43">
        <v>0.0</v>
      </c>
      <c r="M55" s="43">
        <v>0.0</v>
      </c>
      <c r="N55" s="33">
        <f>COUNTIFS('Data For Calculation - Insuranc'!A:A,A55,'Data For Calculation - Insuranc'!D:D,"Individual",'Data For Calculation - Insuranc'!E:E,"Bundled - 1 Year OD + 5 Year TP")</f>
        <v>0</v>
      </c>
      <c r="O55" s="34" t="s">
        <v>3930</v>
      </c>
      <c r="P55" s="42" t="s">
        <v>3856</v>
      </c>
      <c r="Q55" s="47">
        <v>155.0</v>
      </c>
      <c r="R55" s="42" t="s">
        <v>3853</v>
      </c>
      <c r="S55" s="43">
        <v>0.0</v>
      </c>
      <c r="T55" s="43">
        <v>100.0</v>
      </c>
      <c r="U55" s="43">
        <v>0.0</v>
      </c>
      <c r="V55" s="43">
        <v>0.0</v>
      </c>
      <c r="W55" s="33">
        <f>COUNTIFS('Data For Calculation - Insuranc'!A:A,A55,'Data For Calculation - Insuranc'!D:D,"Company",'Data For Calculation - Insuranc'!E:E,"Bundled - 1 Year OD + 5 Year TP")</f>
        <v>0</v>
      </c>
      <c r="X55" s="34" t="s">
        <v>3929</v>
      </c>
      <c r="Y55" s="42" t="s">
        <v>3856</v>
      </c>
      <c r="Z55" s="31">
        <v>155.0</v>
      </c>
      <c r="AA55" s="34" t="s">
        <v>3853</v>
      </c>
      <c r="AB55" s="34">
        <v>0.0</v>
      </c>
      <c r="AC55" s="34">
        <v>100.0</v>
      </c>
      <c r="AD55" s="34">
        <v>0.0</v>
      </c>
      <c r="AE55" s="34">
        <v>0.0</v>
      </c>
      <c r="AF55" s="33">
        <f>COUNTIFS('Data For Calculation - Insuranc'!A:A,A55,'Data For Calculation - Insuranc'!D:D,"Individual",'Data For Calculation - Insuranc'!E:E,"Rollover Comprehensive - 1 Year OD + 1 Year TP")</f>
        <v>0</v>
      </c>
      <c r="AG55" s="34" t="s">
        <v>3930</v>
      </c>
      <c r="AH55" s="42" t="s">
        <v>3856</v>
      </c>
      <c r="AI55" s="31">
        <v>155.0</v>
      </c>
      <c r="AJ55" s="34" t="s">
        <v>3853</v>
      </c>
      <c r="AK55" s="34">
        <v>0.0</v>
      </c>
      <c r="AL55" s="34">
        <v>100.0</v>
      </c>
      <c r="AM55" s="34">
        <v>0.0</v>
      </c>
      <c r="AN55" s="34">
        <v>0.0</v>
      </c>
      <c r="AO55" s="33">
        <f>COUNTIFS('Data For Calculation - Insuranc'!A:A,A55,'Data For Calculation - Insuranc'!D:D,"Company",'Data For Calculation - Insuranc'!E:E,"Rollover Comprehensive - 1 Year OD + 1 Year TP")</f>
        <v>0</v>
      </c>
      <c r="AP55" s="34" t="s">
        <v>3931</v>
      </c>
      <c r="AQ55" s="42" t="s">
        <v>3856</v>
      </c>
      <c r="AR55" s="31">
        <v>155.0</v>
      </c>
      <c r="AS55" s="34" t="s">
        <v>3853</v>
      </c>
      <c r="AT55" s="34">
        <v>0.0</v>
      </c>
      <c r="AU55" s="34">
        <v>100.0</v>
      </c>
      <c r="AV55" s="34">
        <v>0.0</v>
      </c>
      <c r="AW55" s="34">
        <v>0.0</v>
      </c>
      <c r="AX55" s="33">
        <f>COUNTIFS('Data For Calculation - Insuranc'!A:A,A55,'Data For Calculation - Insuranc'!D:D,"Individual",'Data For Calculation - Insuranc'!E:E,"Rollover - 1 Year OD Only")</f>
        <v>0</v>
      </c>
      <c r="AY55" s="34" t="s">
        <v>3932</v>
      </c>
      <c r="AZ55" s="42" t="s">
        <v>3856</v>
      </c>
      <c r="BA55" s="31">
        <v>155.0</v>
      </c>
      <c r="BB55" s="34" t="s">
        <v>3853</v>
      </c>
      <c r="BC55" s="34">
        <v>0.0</v>
      </c>
      <c r="BD55" s="34">
        <v>100.0</v>
      </c>
      <c r="BE55" s="34">
        <v>0.0</v>
      </c>
      <c r="BF55" s="34">
        <v>0.0</v>
      </c>
      <c r="BG55" s="33">
        <f>COUNTIFS('Data For Calculation - Insuranc'!A:A,A55,'Data For Calculation - Insuranc'!D:D,"Company",'Data For Calculation - Insuranc'!E:E,"Rollover - 1 Year OD Only")</f>
        <v>0</v>
      </c>
      <c r="BH55" s="34" t="s">
        <v>3931</v>
      </c>
      <c r="BI55" s="42" t="s">
        <v>3856</v>
      </c>
      <c r="BJ55" s="31">
        <v>155.0</v>
      </c>
      <c r="BK55" s="34" t="s">
        <v>3853</v>
      </c>
      <c r="BL55" s="34">
        <v>0.0</v>
      </c>
      <c r="BM55" s="34">
        <v>100.0</v>
      </c>
      <c r="BN55" s="34">
        <v>0.0</v>
      </c>
      <c r="BO55" s="34">
        <v>0.0</v>
      </c>
      <c r="BP55" s="33">
        <f>COUNTIFS('Data For Calculation - Insuranc'!A:A,A55,'Data For Calculation - Insuranc'!D:D,"Individual",'Data For Calculation - Insuranc'!E:E,"Rollover - 1 Year TP Only")</f>
        <v>0</v>
      </c>
      <c r="BQ55" s="34" t="s">
        <v>3932</v>
      </c>
      <c r="BR55" s="42" t="s">
        <v>3856</v>
      </c>
      <c r="BS55" s="31">
        <v>155.0</v>
      </c>
      <c r="BT55" s="34" t="s">
        <v>3853</v>
      </c>
      <c r="BU55" s="34">
        <v>0.0</v>
      </c>
      <c r="BV55" s="34">
        <v>100.0</v>
      </c>
      <c r="BW55" s="34">
        <v>0.0</v>
      </c>
      <c r="BX55" s="34">
        <v>0.0</v>
      </c>
      <c r="BY55" s="33">
        <f>COUNTIFS('Data For Calculation - Insuranc'!A:A,A55,'Data For Calculation - Insuranc'!D:D,"Company",'Data For Calculation - Insuranc'!E:E,"Rollover - 1 Year TP Only")</f>
        <v>0</v>
      </c>
      <c r="BZ55" s="31">
        <f t="shared" si="1"/>
        <v>0</v>
      </c>
      <c r="CA55" s="33">
        <f>SUMIFS('Data For Calculation - Insuranc'!I:I,'Data For Calculation - Insuranc'!$A:$A,$A55)</f>
        <v>0</v>
      </c>
      <c r="CB55" s="33">
        <f>SUMIFS('Data For Calculation - Insuranc'!J:J,'Data For Calculation - Insuranc'!$A:$A,$A55)</f>
        <v>0</v>
      </c>
      <c r="CC55" s="33">
        <f>SUMIFS('Data For Calculation - Insuranc'!K:K,'Data For Calculation - Insuranc'!$A:$A,$A55)</f>
        <v>0</v>
      </c>
      <c r="CD55" s="33">
        <f>IF($CK55 = "Dealer", SUMIFS('Data For Calculation - Insuranc'!I:I,'Data For Calculation - Insuranc'!$B:$B,$A55,'Data For Calculation - Insuranc'!$H:$H,"Master Dealer")) + SUMIFS('Data For Calculation - Insuranc'!I:I,'Data For Calculation - Insuranc'!$A:$A,$A55,'Data For Calculation - Insuranc'!$H:$H,"Self")</f>
        <v>0</v>
      </c>
      <c r="CE55" s="33">
        <f>IF($CK55 = "Dealer", SUMIFS('Data For Calculation - Insuranc'!J:J,'Data For Calculation - Insuranc'!$B:$B,$A55,'Data For Calculation - Insuranc'!$H:$H,"Master Dealer")) + SUMIFS('Data For Calculation - Insuranc'!J:J,'Data For Calculation - Insuranc'!$A:$A,$A55,'Data For Calculation - Insuranc'!$H:$H,"Self")</f>
        <v>0</v>
      </c>
      <c r="CF55" s="33">
        <f>IF($CK55 = "Dealer", SUMIFS('Data For Calculation - Insuranc'!K:K,'Data For Calculation - Insuranc'!$B:$B,$A55,'Data For Calculation - Insuranc'!$H:$H,"Master Dealer")) + SUMIFS('Data For Calculation - Insuranc'!K:K,'Data For Calculation - Insuranc'!$A:$A,$A55,'Data For Calculation - Insuranc'!$H:$H,"Self")</f>
        <v>0</v>
      </c>
      <c r="CG55" s="25" t="str">
        <f>(Sheet1!N55)</f>
        <v>Krishna Hero - Bulandshahr</v>
      </c>
      <c r="CH55" s="25" t="str">
        <f>(Sheet1!O55)</f>
        <v>1mX_ZCiMgVCd3AONQ2zBbbc9wQ6Mlj2RvmkSWdpWht-8</v>
      </c>
      <c r="CI55" s="25" t="str">
        <f>(Sheet1!AV55)</f>
        <v/>
      </c>
      <c r="CJ55" s="25" t="str">
        <f>(Sheet1!AW55)</f>
        <v/>
      </c>
      <c r="CK55" s="26" t="str">
        <f>(Sheet1!P55)</f>
        <v>Dealer</v>
      </c>
    </row>
    <row r="56">
      <c r="A56" s="25" t="str">
        <f>(Sheet1!A56)</f>
        <v>1ecmgrivVWy8bdxOJUWTrTjFZtV6_I7l8EtXiRkAOpIg</v>
      </c>
      <c r="B56" s="25" t="str">
        <f>(Sheet1!B56)</f>
        <v>Pradip Auto (JMC)</v>
      </c>
      <c r="C56" s="30" t="str">
        <f>Sheet1!BB56</f>
        <v>No</v>
      </c>
      <c r="D56" s="30" t="s">
        <v>13</v>
      </c>
      <c r="E56" s="34" t="s">
        <v>13</v>
      </c>
      <c r="F56" s="34" t="s">
        <v>3929</v>
      </c>
      <c r="G56" s="42" t="s">
        <v>3820</v>
      </c>
      <c r="H56" s="43">
        <v>170.0</v>
      </c>
      <c r="I56" s="42" t="s">
        <v>3853</v>
      </c>
      <c r="J56" s="43">
        <v>0.0</v>
      </c>
      <c r="K56" s="43">
        <v>100.0</v>
      </c>
      <c r="L56" s="43">
        <v>0.0</v>
      </c>
      <c r="M56" s="43">
        <v>0.0</v>
      </c>
      <c r="N56" s="33">
        <f>COUNTIFS('Data For Calculation - Insuranc'!A:A,A56,'Data For Calculation - Insuranc'!D:D,"Individual",'Data For Calculation - Insuranc'!E:E,"Bundled - 1 Year OD + 5 Year TP")</f>
        <v>0</v>
      </c>
      <c r="O56" s="34" t="s">
        <v>3930</v>
      </c>
      <c r="P56" s="42" t="s">
        <v>3820</v>
      </c>
      <c r="Q56" s="43">
        <v>170.0</v>
      </c>
      <c r="R56" s="42" t="s">
        <v>3853</v>
      </c>
      <c r="S56" s="43">
        <v>0.0</v>
      </c>
      <c r="T56" s="43">
        <v>100.0</v>
      </c>
      <c r="U56" s="43">
        <v>0.0</v>
      </c>
      <c r="V56" s="43">
        <v>0.0</v>
      </c>
      <c r="W56" s="33">
        <f>COUNTIFS('Data For Calculation - Insuranc'!A:A,A56,'Data For Calculation - Insuranc'!D:D,"Company",'Data For Calculation - Insuranc'!E:E,"Bundled - 1 Year OD + 5 Year TP")</f>
        <v>0</v>
      </c>
      <c r="X56" s="34" t="s">
        <v>3929</v>
      </c>
      <c r="Y56" s="42" t="s">
        <v>3820</v>
      </c>
      <c r="Z56" s="31">
        <v>170.0</v>
      </c>
      <c r="AA56" s="34" t="s">
        <v>3853</v>
      </c>
      <c r="AB56" s="34">
        <v>0.0</v>
      </c>
      <c r="AC56" s="34">
        <v>100.0</v>
      </c>
      <c r="AD56" s="34">
        <v>0.0</v>
      </c>
      <c r="AE56" s="34">
        <v>0.0</v>
      </c>
      <c r="AF56" s="33">
        <f>COUNTIFS('Data For Calculation - Insuranc'!A:A,A56,'Data For Calculation - Insuranc'!D:D,"Individual",'Data For Calculation - Insuranc'!E:E,"Rollover Comprehensive - 1 Year OD + 1 Year TP")</f>
        <v>0</v>
      </c>
      <c r="AG56" s="34" t="s">
        <v>3930</v>
      </c>
      <c r="AH56" s="42" t="s">
        <v>3820</v>
      </c>
      <c r="AI56" s="31">
        <v>170.0</v>
      </c>
      <c r="AJ56" s="34" t="s">
        <v>3853</v>
      </c>
      <c r="AK56" s="34">
        <v>0.0</v>
      </c>
      <c r="AL56" s="34">
        <v>100.0</v>
      </c>
      <c r="AM56" s="34">
        <v>0.0</v>
      </c>
      <c r="AN56" s="34">
        <v>0.0</v>
      </c>
      <c r="AO56" s="33">
        <f>COUNTIFS('Data For Calculation - Insuranc'!A:A,A56,'Data For Calculation - Insuranc'!D:D,"Company",'Data For Calculation - Insuranc'!E:E,"Rollover Comprehensive - 1 Year OD + 1 Year TP")</f>
        <v>0</v>
      </c>
      <c r="AP56" s="34" t="s">
        <v>3931</v>
      </c>
      <c r="AQ56" s="42" t="s">
        <v>3820</v>
      </c>
      <c r="AR56" s="31">
        <v>170.0</v>
      </c>
      <c r="AS56" s="34" t="s">
        <v>3853</v>
      </c>
      <c r="AT56" s="34">
        <v>0.0</v>
      </c>
      <c r="AU56" s="34">
        <v>100.0</v>
      </c>
      <c r="AV56" s="34">
        <v>0.0</v>
      </c>
      <c r="AW56" s="34">
        <v>0.0</v>
      </c>
      <c r="AX56" s="33">
        <f>COUNTIFS('Data For Calculation - Insuranc'!A:A,A56,'Data For Calculation - Insuranc'!D:D,"Individual",'Data For Calculation - Insuranc'!E:E,"Rollover - 1 Year OD Only")</f>
        <v>0</v>
      </c>
      <c r="AY56" s="34" t="s">
        <v>3932</v>
      </c>
      <c r="AZ56" s="42" t="s">
        <v>3820</v>
      </c>
      <c r="BA56" s="31">
        <v>170.0</v>
      </c>
      <c r="BB56" s="34" t="s">
        <v>3853</v>
      </c>
      <c r="BC56" s="34">
        <v>0.0</v>
      </c>
      <c r="BD56" s="34">
        <v>100.0</v>
      </c>
      <c r="BE56" s="34">
        <v>0.0</v>
      </c>
      <c r="BF56" s="34">
        <v>0.0</v>
      </c>
      <c r="BG56" s="33">
        <f>COUNTIFS('Data For Calculation - Insuranc'!A:A,A56,'Data For Calculation - Insuranc'!D:D,"Company",'Data For Calculation - Insuranc'!E:E,"Rollover - 1 Year OD Only")</f>
        <v>0</v>
      </c>
      <c r="BH56" s="34" t="s">
        <v>3931</v>
      </c>
      <c r="BI56" s="42" t="s">
        <v>3820</v>
      </c>
      <c r="BJ56" s="31">
        <v>170.0</v>
      </c>
      <c r="BK56" s="34" t="s">
        <v>3853</v>
      </c>
      <c r="BL56" s="34">
        <v>0.0</v>
      </c>
      <c r="BM56" s="34">
        <v>100.0</v>
      </c>
      <c r="BN56" s="34">
        <v>0.0</v>
      </c>
      <c r="BO56" s="34">
        <v>0.0</v>
      </c>
      <c r="BP56" s="33">
        <f>COUNTIFS('Data For Calculation - Insuranc'!A:A,A56,'Data For Calculation - Insuranc'!D:D,"Individual",'Data For Calculation - Insuranc'!E:E,"Rollover - 1 Year TP Only")</f>
        <v>0</v>
      </c>
      <c r="BQ56" s="34" t="s">
        <v>3932</v>
      </c>
      <c r="BR56" s="42" t="s">
        <v>3820</v>
      </c>
      <c r="BS56" s="31">
        <v>170.0</v>
      </c>
      <c r="BT56" s="34" t="s">
        <v>3853</v>
      </c>
      <c r="BU56" s="34">
        <v>0.0</v>
      </c>
      <c r="BV56" s="34">
        <v>100.0</v>
      </c>
      <c r="BW56" s="34">
        <v>0.0</v>
      </c>
      <c r="BX56" s="34">
        <v>0.0</v>
      </c>
      <c r="BY56" s="33">
        <f>COUNTIFS('Data For Calculation - Insuranc'!A:A,A56,'Data For Calculation - Insuranc'!D:D,"Company",'Data For Calculation - Insuranc'!E:E,"Rollover - 1 Year TP Only")</f>
        <v>0</v>
      </c>
      <c r="BZ56" s="31">
        <f t="shared" si="1"/>
        <v>0</v>
      </c>
      <c r="CA56" s="33">
        <f>SUMIFS('Data For Calculation - Insuranc'!I:I,'Data For Calculation - Insuranc'!$A:$A,$A56)</f>
        <v>0</v>
      </c>
      <c r="CB56" s="33">
        <f>SUMIFS('Data For Calculation - Insuranc'!J:J,'Data For Calculation - Insuranc'!$A:$A,$A56)</f>
        <v>0</v>
      </c>
      <c r="CC56" s="33">
        <f>SUMIFS('Data For Calculation - Insuranc'!K:K,'Data For Calculation - Insuranc'!$A:$A,$A56)</f>
        <v>0</v>
      </c>
      <c r="CD56" s="33">
        <f>IF($CK56 = "Dealer", SUMIFS('Data For Calculation - Insuranc'!I:I,'Data For Calculation - Insuranc'!$B:$B,$A56,'Data For Calculation - Insuranc'!$H:$H,"Master Dealer")) + SUMIFS('Data For Calculation - Insuranc'!I:I,'Data For Calculation - Insuranc'!$A:$A,$A56,'Data For Calculation - Insuranc'!$H:$H,"Self")</f>
        <v>0</v>
      </c>
      <c r="CE56" s="33">
        <f>IF($CK56 = "Dealer", SUMIFS('Data For Calculation - Insuranc'!J:J,'Data For Calculation - Insuranc'!$B:$B,$A56,'Data For Calculation - Insuranc'!$H:$H,"Master Dealer")) + SUMIFS('Data For Calculation - Insuranc'!J:J,'Data For Calculation - Insuranc'!$A:$A,$A56,'Data For Calculation - Insuranc'!$H:$H,"Self")</f>
        <v>0</v>
      </c>
      <c r="CF56" s="33">
        <f>IF($CK56 = "Dealer", SUMIFS('Data For Calculation - Insuranc'!K:K,'Data For Calculation - Insuranc'!$B:$B,$A56,'Data For Calculation - Insuranc'!$H:$H,"Master Dealer")) + SUMIFS('Data For Calculation - Insuranc'!K:K,'Data For Calculation - Insuranc'!$A:$A,$A56,'Data For Calculation - Insuranc'!$H:$H,"Self")</f>
        <v>0</v>
      </c>
      <c r="CG56" s="25" t="str">
        <f>(Sheet1!N56)</f>
        <v>Jain Motorcycle Company</v>
      </c>
      <c r="CH56" s="25" t="str">
        <f>(Sheet1!O56)</f>
        <v>184Y3L-ZLT7vcLiFDItIcLa-18phpzEbgBCBDgt_LGCQ</v>
      </c>
      <c r="CI56" s="25" t="str">
        <f>(Sheet1!AV56)</f>
        <v/>
      </c>
      <c r="CJ56" s="25" t="str">
        <f>(Sheet1!AW56)</f>
        <v/>
      </c>
      <c r="CK56" s="26" t="str">
        <f>(Sheet1!P56)</f>
        <v>Sub Dealer</v>
      </c>
    </row>
    <row r="57">
      <c r="A57" s="25" t="str">
        <f>(Sheet1!A57)</f>
        <v>16aXNdb7stgyV46CI_ogqmp_5tjDYpkbvhkdKtyDUa8U</v>
      </c>
      <c r="B57" s="25" t="str">
        <f>(Sheet1!B57)</f>
        <v>VAW Atrauli (VAW)</v>
      </c>
      <c r="C57" s="30" t="str">
        <f>Sheet1!BB57</f>
        <v>No</v>
      </c>
      <c r="D57" s="30" t="s">
        <v>13</v>
      </c>
      <c r="E57" s="34" t="s">
        <v>13</v>
      </c>
      <c r="F57" s="34" t="s">
        <v>3929</v>
      </c>
      <c r="G57" s="42" t="s">
        <v>3820</v>
      </c>
      <c r="H57" s="43">
        <v>170.0</v>
      </c>
      <c r="I57" s="42" t="s">
        <v>3853</v>
      </c>
      <c r="J57" s="43">
        <v>0.0</v>
      </c>
      <c r="K57" s="43">
        <v>100.0</v>
      </c>
      <c r="L57" s="43">
        <v>0.0</v>
      </c>
      <c r="M57" s="43">
        <v>0.0</v>
      </c>
      <c r="N57" s="33">
        <f>COUNTIFS('Data For Calculation - Insuranc'!A:A,A57,'Data For Calculation - Insuranc'!D:D,"Individual",'Data For Calculation - Insuranc'!E:E,"Bundled - 1 Year OD + 5 Year TP")</f>
        <v>0</v>
      </c>
      <c r="O57" s="34" t="s">
        <v>3930</v>
      </c>
      <c r="P57" s="42" t="s">
        <v>3820</v>
      </c>
      <c r="Q57" s="43">
        <v>170.0</v>
      </c>
      <c r="R57" s="42" t="s">
        <v>3853</v>
      </c>
      <c r="S57" s="43">
        <v>0.0</v>
      </c>
      <c r="T57" s="43">
        <v>100.0</v>
      </c>
      <c r="U57" s="43">
        <v>0.0</v>
      </c>
      <c r="V57" s="43">
        <v>0.0</v>
      </c>
      <c r="W57" s="33">
        <f>COUNTIFS('Data For Calculation - Insuranc'!A:A,A57,'Data For Calculation - Insuranc'!D:D,"Company",'Data For Calculation - Insuranc'!E:E,"Bundled - 1 Year OD + 5 Year TP")</f>
        <v>0</v>
      </c>
      <c r="X57" s="34" t="s">
        <v>3929</v>
      </c>
      <c r="Y57" s="42" t="s">
        <v>3820</v>
      </c>
      <c r="Z57" s="31">
        <v>170.0</v>
      </c>
      <c r="AA57" s="34" t="s">
        <v>3853</v>
      </c>
      <c r="AB57" s="34">
        <v>0.0</v>
      </c>
      <c r="AC57" s="34">
        <v>100.0</v>
      </c>
      <c r="AD57" s="34">
        <v>0.0</v>
      </c>
      <c r="AE57" s="34">
        <v>0.0</v>
      </c>
      <c r="AF57" s="33">
        <f>COUNTIFS('Data For Calculation - Insuranc'!A:A,A57,'Data For Calculation - Insuranc'!D:D,"Individual",'Data For Calculation - Insuranc'!E:E,"Rollover Comprehensive - 1 Year OD + 1 Year TP")</f>
        <v>0</v>
      </c>
      <c r="AG57" s="34" t="s">
        <v>3930</v>
      </c>
      <c r="AH57" s="42" t="s">
        <v>3820</v>
      </c>
      <c r="AI57" s="31">
        <v>170.0</v>
      </c>
      <c r="AJ57" s="34" t="s">
        <v>3853</v>
      </c>
      <c r="AK57" s="34">
        <v>0.0</v>
      </c>
      <c r="AL57" s="34">
        <v>100.0</v>
      </c>
      <c r="AM57" s="34">
        <v>0.0</v>
      </c>
      <c r="AN57" s="34">
        <v>0.0</v>
      </c>
      <c r="AO57" s="33">
        <f>COUNTIFS('Data For Calculation - Insuranc'!A:A,A57,'Data For Calculation - Insuranc'!D:D,"Company",'Data For Calculation - Insuranc'!E:E,"Rollover Comprehensive - 1 Year OD + 1 Year TP")</f>
        <v>0</v>
      </c>
      <c r="AP57" s="34" t="s">
        <v>3931</v>
      </c>
      <c r="AQ57" s="42" t="s">
        <v>3820</v>
      </c>
      <c r="AR57" s="31">
        <v>170.0</v>
      </c>
      <c r="AS57" s="34" t="s">
        <v>3853</v>
      </c>
      <c r="AT57" s="34">
        <v>0.0</v>
      </c>
      <c r="AU57" s="34">
        <v>100.0</v>
      </c>
      <c r="AV57" s="34">
        <v>0.0</v>
      </c>
      <c r="AW57" s="34">
        <v>0.0</v>
      </c>
      <c r="AX57" s="33">
        <f>COUNTIFS('Data For Calculation - Insuranc'!A:A,A57,'Data For Calculation - Insuranc'!D:D,"Individual",'Data For Calculation - Insuranc'!E:E,"Rollover - 1 Year OD Only")</f>
        <v>0</v>
      </c>
      <c r="AY57" s="34" t="s">
        <v>3932</v>
      </c>
      <c r="AZ57" s="42" t="s">
        <v>3820</v>
      </c>
      <c r="BA57" s="31">
        <v>170.0</v>
      </c>
      <c r="BB57" s="34" t="s">
        <v>3853</v>
      </c>
      <c r="BC57" s="34">
        <v>0.0</v>
      </c>
      <c r="BD57" s="34">
        <v>100.0</v>
      </c>
      <c r="BE57" s="34">
        <v>0.0</v>
      </c>
      <c r="BF57" s="34">
        <v>0.0</v>
      </c>
      <c r="BG57" s="33">
        <f>COUNTIFS('Data For Calculation - Insuranc'!A:A,A57,'Data For Calculation - Insuranc'!D:D,"Company",'Data For Calculation - Insuranc'!E:E,"Rollover - 1 Year OD Only")</f>
        <v>0</v>
      </c>
      <c r="BH57" s="34" t="s">
        <v>3931</v>
      </c>
      <c r="BI57" s="42" t="s">
        <v>3820</v>
      </c>
      <c r="BJ57" s="31">
        <v>170.0</v>
      </c>
      <c r="BK57" s="34" t="s">
        <v>3853</v>
      </c>
      <c r="BL57" s="34">
        <v>0.0</v>
      </c>
      <c r="BM57" s="34">
        <v>100.0</v>
      </c>
      <c r="BN57" s="34">
        <v>0.0</v>
      </c>
      <c r="BO57" s="34">
        <v>0.0</v>
      </c>
      <c r="BP57" s="33">
        <f>COUNTIFS('Data For Calculation - Insuranc'!A:A,A57,'Data For Calculation - Insuranc'!D:D,"Individual",'Data For Calculation - Insuranc'!E:E,"Rollover - 1 Year TP Only")</f>
        <v>0</v>
      </c>
      <c r="BQ57" s="34" t="s">
        <v>3932</v>
      </c>
      <c r="BR57" s="42" t="s">
        <v>3820</v>
      </c>
      <c r="BS57" s="31">
        <v>170.0</v>
      </c>
      <c r="BT57" s="34" t="s">
        <v>3853</v>
      </c>
      <c r="BU57" s="34">
        <v>0.0</v>
      </c>
      <c r="BV57" s="34">
        <v>100.0</v>
      </c>
      <c r="BW57" s="34">
        <v>0.0</v>
      </c>
      <c r="BX57" s="34">
        <v>0.0</v>
      </c>
      <c r="BY57" s="33">
        <f>COUNTIFS('Data For Calculation - Insuranc'!A:A,A57,'Data For Calculation - Insuranc'!D:D,"Company",'Data For Calculation - Insuranc'!E:E,"Rollover - 1 Year TP Only")</f>
        <v>0</v>
      </c>
      <c r="BZ57" s="31">
        <f t="shared" si="1"/>
        <v>0</v>
      </c>
      <c r="CA57" s="33">
        <f>SUMIFS('Data For Calculation - Insuranc'!I:I,'Data For Calculation - Insuranc'!$A:$A,$A57)</f>
        <v>0</v>
      </c>
      <c r="CB57" s="33">
        <f>SUMIFS('Data For Calculation - Insuranc'!J:J,'Data For Calculation - Insuranc'!$A:$A,$A57)</f>
        <v>0</v>
      </c>
      <c r="CC57" s="33">
        <f>SUMIFS('Data For Calculation - Insuranc'!K:K,'Data For Calculation - Insuranc'!$A:$A,$A57)</f>
        <v>0</v>
      </c>
      <c r="CD57" s="33">
        <f>IF($CK57 = "Dealer", SUMIFS('Data For Calculation - Insuranc'!I:I,'Data For Calculation - Insuranc'!$B:$B,$A57,'Data For Calculation - Insuranc'!$H:$H,"Master Dealer")) + SUMIFS('Data For Calculation - Insuranc'!I:I,'Data For Calculation - Insuranc'!$A:$A,$A57,'Data For Calculation - Insuranc'!$H:$H,"Self")</f>
        <v>0</v>
      </c>
      <c r="CE57" s="33">
        <f>IF($CK57 = "Dealer", SUMIFS('Data For Calculation - Insuranc'!J:J,'Data For Calculation - Insuranc'!$B:$B,$A57,'Data For Calculation - Insuranc'!$H:$H,"Master Dealer")) + SUMIFS('Data For Calculation - Insuranc'!J:J,'Data For Calculation - Insuranc'!$A:$A,$A57,'Data For Calculation - Insuranc'!$H:$H,"Self")</f>
        <v>0</v>
      </c>
      <c r="CF57" s="33">
        <f>IF($CK57 = "Dealer", SUMIFS('Data For Calculation - Insuranc'!K:K,'Data For Calculation - Insuranc'!$B:$B,$A57,'Data For Calculation - Insuranc'!$H:$H,"Master Dealer")) + SUMIFS('Data For Calculation - Insuranc'!K:K,'Data For Calculation - Insuranc'!$A:$A,$A57,'Data For Calculation - Insuranc'!$H:$H,"Self")</f>
        <v>0</v>
      </c>
      <c r="CG57" s="25" t="str">
        <f>(Sheet1!N57)</f>
        <v>Vikas Autowheels</v>
      </c>
      <c r="CH57" s="25" t="str">
        <f>(Sheet1!O57)</f>
        <v>1944RLX7T1M23YXRXYoMnJ6nD_bKLldQXRpFRA0rDLvg</v>
      </c>
      <c r="CI57" s="25" t="str">
        <f>(Sheet1!AV57)</f>
        <v/>
      </c>
      <c r="CJ57" s="25" t="str">
        <f>(Sheet1!AW57)</f>
        <v/>
      </c>
      <c r="CK57" s="26" t="str">
        <f>(Sheet1!P57)</f>
        <v>Sub Dealer</v>
      </c>
    </row>
    <row r="58">
      <c r="A58" s="25" t="str">
        <f>(Sheet1!A58)</f>
        <v>1geel52z8WCTlGIS5yuTVHXXiwt6tFtcJPqsUJk3zExI</v>
      </c>
      <c r="B58" s="25" t="str">
        <f>(Sheet1!B58)</f>
        <v>Saanvi Hero - Dehradun</v>
      </c>
      <c r="C58" s="30" t="str">
        <f>Sheet1!BB58</f>
        <v>No</v>
      </c>
      <c r="D58" s="30" t="s">
        <v>13</v>
      </c>
      <c r="E58" s="34" t="s">
        <v>13</v>
      </c>
      <c r="F58" s="34" t="s">
        <v>3929</v>
      </c>
      <c r="G58" s="42" t="s">
        <v>3817</v>
      </c>
      <c r="H58" s="43">
        <v>425.0</v>
      </c>
      <c r="I58" s="42" t="s">
        <v>3853</v>
      </c>
      <c r="J58" s="43">
        <v>0.0</v>
      </c>
      <c r="K58" s="43">
        <v>100.0</v>
      </c>
      <c r="L58" s="43">
        <v>0.0</v>
      </c>
      <c r="M58" s="43">
        <v>0.0</v>
      </c>
      <c r="N58" s="33">
        <f>COUNTIFS('Data For Calculation - Insuranc'!A:A,A58,'Data For Calculation - Insuranc'!D:D,"Individual",'Data For Calculation - Insuranc'!E:E,"Bundled - 1 Year OD + 5 Year TP")</f>
        <v>0</v>
      </c>
      <c r="O58" s="34" t="s">
        <v>3930</v>
      </c>
      <c r="P58" s="42" t="s">
        <v>3817</v>
      </c>
      <c r="Q58" s="43">
        <v>425.0</v>
      </c>
      <c r="R58" s="42" t="s">
        <v>3853</v>
      </c>
      <c r="S58" s="43">
        <v>0.0</v>
      </c>
      <c r="T58" s="43">
        <v>100.0</v>
      </c>
      <c r="U58" s="43">
        <v>0.0</v>
      </c>
      <c r="V58" s="43">
        <v>0.0</v>
      </c>
      <c r="W58" s="33">
        <f>COUNTIFS('Data For Calculation - Insuranc'!A:A,A58,'Data For Calculation - Insuranc'!D:D,"Company",'Data For Calculation - Insuranc'!E:E,"Bundled - 1 Year OD + 5 Year TP")</f>
        <v>0</v>
      </c>
      <c r="X58" s="34" t="s">
        <v>3929</v>
      </c>
      <c r="Y58" s="42" t="s">
        <v>3817</v>
      </c>
      <c r="Z58" s="31">
        <v>290.0</v>
      </c>
      <c r="AA58" s="34" t="s">
        <v>3853</v>
      </c>
      <c r="AB58" s="34">
        <v>0.0</v>
      </c>
      <c r="AC58" s="34">
        <v>100.0</v>
      </c>
      <c r="AD58" s="34">
        <v>0.0</v>
      </c>
      <c r="AE58" s="34">
        <v>0.0</v>
      </c>
      <c r="AF58" s="33">
        <f>COUNTIFS('Data For Calculation - Insuranc'!A:A,A58,'Data For Calculation - Insuranc'!D:D,"Individual",'Data For Calculation - Insuranc'!E:E,"Rollover Comprehensive - 1 Year OD + 1 Year TP")</f>
        <v>0</v>
      </c>
      <c r="AG58" s="34" t="s">
        <v>3930</v>
      </c>
      <c r="AH58" s="42" t="s">
        <v>3817</v>
      </c>
      <c r="AI58" s="31">
        <v>290.0</v>
      </c>
      <c r="AJ58" s="34" t="s">
        <v>3853</v>
      </c>
      <c r="AK58" s="34">
        <v>0.0</v>
      </c>
      <c r="AL58" s="34">
        <v>100.0</v>
      </c>
      <c r="AM58" s="34">
        <v>0.0</v>
      </c>
      <c r="AN58" s="34">
        <v>0.0</v>
      </c>
      <c r="AO58" s="33">
        <f>COUNTIFS('Data For Calculation - Insuranc'!A:A,A58,'Data For Calculation - Insuranc'!D:D,"Company",'Data For Calculation - Insuranc'!E:E,"Rollover Comprehensive - 1 Year OD + 1 Year TP")</f>
        <v>0</v>
      </c>
      <c r="AP58" s="34" t="s">
        <v>3931</v>
      </c>
      <c r="AQ58" s="42" t="s">
        <v>3817</v>
      </c>
      <c r="AR58" s="31">
        <v>290.0</v>
      </c>
      <c r="AS58" s="34" t="s">
        <v>3853</v>
      </c>
      <c r="AT58" s="34">
        <v>0.0</v>
      </c>
      <c r="AU58" s="34">
        <v>100.0</v>
      </c>
      <c r="AV58" s="34">
        <v>0.0</v>
      </c>
      <c r="AW58" s="34">
        <v>0.0</v>
      </c>
      <c r="AX58" s="33">
        <f>COUNTIFS('Data For Calculation - Insuranc'!A:A,A58,'Data For Calculation - Insuranc'!D:D,"Individual",'Data For Calculation - Insuranc'!E:E,"Rollover - 1 Year OD Only")</f>
        <v>0</v>
      </c>
      <c r="AY58" s="34" t="s">
        <v>3932</v>
      </c>
      <c r="AZ58" s="42" t="s">
        <v>3817</v>
      </c>
      <c r="BA58" s="31">
        <v>290.0</v>
      </c>
      <c r="BB58" s="34" t="s">
        <v>3853</v>
      </c>
      <c r="BC58" s="34">
        <v>0.0</v>
      </c>
      <c r="BD58" s="34">
        <v>100.0</v>
      </c>
      <c r="BE58" s="34">
        <v>0.0</v>
      </c>
      <c r="BF58" s="34">
        <v>0.0</v>
      </c>
      <c r="BG58" s="33">
        <f>COUNTIFS('Data For Calculation - Insuranc'!A:A,A58,'Data For Calculation - Insuranc'!D:D,"Company",'Data For Calculation - Insuranc'!E:E,"Rollover - 1 Year OD Only")</f>
        <v>0</v>
      </c>
      <c r="BH58" s="34" t="s">
        <v>3931</v>
      </c>
      <c r="BI58" s="42" t="s">
        <v>3817</v>
      </c>
      <c r="BJ58" s="31">
        <v>290.0</v>
      </c>
      <c r="BK58" s="34" t="s">
        <v>3853</v>
      </c>
      <c r="BL58" s="34">
        <v>0.0</v>
      </c>
      <c r="BM58" s="34">
        <v>100.0</v>
      </c>
      <c r="BN58" s="34">
        <v>0.0</v>
      </c>
      <c r="BO58" s="34">
        <v>0.0</v>
      </c>
      <c r="BP58" s="33">
        <f>COUNTIFS('Data For Calculation - Insuranc'!A:A,A58,'Data For Calculation - Insuranc'!D:D,"Individual",'Data For Calculation - Insuranc'!E:E,"Rollover - 1 Year TP Only")</f>
        <v>0</v>
      </c>
      <c r="BQ58" s="34" t="s">
        <v>3932</v>
      </c>
      <c r="BR58" s="42" t="s">
        <v>3817</v>
      </c>
      <c r="BS58" s="31">
        <v>290.0</v>
      </c>
      <c r="BT58" s="34" t="s">
        <v>3853</v>
      </c>
      <c r="BU58" s="34">
        <v>0.0</v>
      </c>
      <c r="BV58" s="34">
        <v>100.0</v>
      </c>
      <c r="BW58" s="34">
        <v>0.0</v>
      </c>
      <c r="BX58" s="34">
        <v>0.0</v>
      </c>
      <c r="BY58" s="33">
        <f>COUNTIFS('Data For Calculation - Insuranc'!A:A,A58,'Data For Calculation - Insuranc'!D:D,"Company",'Data For Calculation - Insuranc'!E:E,"Rollover - 1 Year TP Only")</f>
        <v>0</v>
      </c>
      <c r="BZ58" s="31">
        <f t="shared" si="1"/>
        <v>0</v>
      </c>
      <c r="CA58" s="33">
        <f>SUMIFS('Data For Calculation - Insuranc'!I:I,'Data For Calculation - Insuranc'!$A:$A,$A58)</f>
        <v>0</v>
      </c>
      <c r="CB58" s="33">
        <f>SUMIFS('Data For Calculation - Insuranc'!J:J,'Data For Calculation - Insuranc'!$A:$A,$A58)</f>
        <v>0</v>
      </c>
      <c r="CC58" s="33">
        <f>SUMIFS('Data For Calculation - Insuranc'!K:K,'Data For Calculation - Insuranc'!$A:$A,$A58)</f>
        <v>0</v>
      </c>
      <c r="CD58" s="33">
        <f>IF($CK58 = "Dealer", SUMIFS('Data For Calculation - Insuranc'!I:I,'Data For Calculation - Insuranc'!$B:$B,$A58,'Data For Calculation - Insuranc'!$H:$H,"Master Dealer")) + SUMIFS('Data For Calculation - Insuranc'!I:I,'Data For Calculation - Insuranc'!$A:$A,$A58,'Data For Calculation - Insuranc'!$H:$H,"Self")</f>
        <v>0</v>
      </c>
      <c r="CE58" s="33">
        <f>IF($CK58 = "Dealer", SUMIFS('Data For Calculation - Insuranc'!J:J,'Data For Calculation - Insuranc'!$B:$B,$A58,'Data For Calculation - Insuranc'!$H:$H,"Master Dealer")) + SUMIFS('Data For Calculation - Insuranc'!J:J,'Data For Calculation - Insuranc'!$A:$A,$A58,'Data For Calculation - Insuranc'!$H:$H,"Self")</f>
        <v>0</v>
      </c>
      <c r="CF58" s="33">
        <f>IF($CK58 = "Dealer", SUMIFS('Data For Calculation - Insuranc'!K:K,'Data For Calculation - Insuranc'!$B:$B,$A58,'Data For Calculation - Insuranc'!$H:$H,"Master Dealer")) + SUMIFS('Data For Calculation - Insuranc'!K:K,'Data For Calculation - Insuranc'!$A:$A,$A58,'Data For Calculation - Insuranc'!$H:$H,"Self")</f>
        <v>0</v>
      </c>
      <c r="CG58" s="25" t="str">
        <f>(Sheet1!N58)</f>
        <v>Saanvi Hero - Dehradun</v>
      </c>
      <c r="CH58" s="25" t="str">
        <f>(Sheet1!O58)</f>
        <v>1geel52z8WCTlGIS5yuTVHXXiwt6tFtcJPqsUJk3zExI</v>
      </c>
      <c r="CI58" s="25" t="str">
        <f>(Sheet1!AV58)</f>
        <v/>
      </c>
      <c r="CJ58" s="25" t="str">
        <f>(Sheet1!AW58)</f>
        <v/>
      </c>
      <c r="CK58" s="26" t="str">
        <f>(Sheet1!P58)</f>
        <v>Dealer</v>
      </c>
    </row>
    <row r="59">
      <c r="A59" s="25" t="str">
        <f>(Sheet1!A59)</f>
        <v>1ZHGDvOVAJIc2OBgE48Z8YcdJsudhxavgOBsoHLuIwlA</v>
      </c>
      <c r="B59" s="25" t="str">
        <f>(Sheet1!B59)</f>
        <v>AAA2</v>
      </c>
      <c r="C59" s="30" t="str">
        <f>Sheet1!BB59</f>
        <v>No</v>
      </c>
      <c r="D59" s="30" t="s">
        <v>13</v>
      </c>
      <c r="E59" s="34" t="s">
        <v>13</v>
      </c>
      <c r="F59" s="34" t="s">
        <v>3929</v>
      </c>
      <c r="G59" s="42" t="s">
        <v>3817</v>
      </c>
      <c r="H59" s="47">
        <v>155.0</v>
      </c>
      <c r="I59" s="42" t="s">
        <v>3853</v>
      </c>
      <c r="J59" s="43">
        <v>0.0</v>
      </c>
      <c r="K59" s="43">
        <v>100.0</v>
      </c>
      <c r="L59" s="43">
        <v>0.0</v>
      </c>
      <c r="M59" s="43">
        <v>0.0</v>
      </c>
      <c r="N59" s="33">
        <f>COUNTIFS('Data For Calculation - Insuranc'!A:A,A59,'Data For Calculation - Insuranc'!D:D,"Individual",'Data For Calculation - Insuranc'!E:E,"Bundled - 1 Year OD + 5 Year TP")</f>
        <v>0</v>
      </c>
      <c r="O59" s="34" t="s">
        <v>3930</v>
      </c>
      <c r="P59" s="42" t="s">
        <v>3817</v>
      </c>
      <c r="Q59" s="47">
        <v>155.0</v>
      </c>
      <c r="R59" s="42" t="s">
        <v>3853</v>
      </c>
      <c r="S59" s="43">
        <v>0.0</v>
      </c>
      <c r="T59" s="43">
        <v>100.0</v>
      </c>
      <c r="U59" s="43">
        <v>0.0</v>
      </c>
      <c r="V59" s="43">
        <v>0.0</v>
      </c>
      <c r="W59" s="33">
        <f>COUNTIFS('Data For Calculation - Insuranc'!A:A,A59,'Data For Calculation - Insuranc'!D:D,"Company",'Data For Calculation - Insuranc'!E:E,"Bundled - 1 Year OD + 5 Year TP")</f>
        <v>0</v>
      </c>
      <c r="X59" s="34" t="s">
        <v>3929</v>
      </c>
      <c r="Y59" s="42" t="s">
        <v>3817</v>
      </c>
      <c r="Z59" s="31">
        <v>155.0</v>
      </c>
      <c r="AA59" s="34" t="s">
        <v>3853</v>
      </c>
      <c r="AB59" s="34">
        <v>0.0</v>
      </c>
      <c r="AC59" s="34">
        <v>100.0</v>
      </c>
      <c r="AD59" s="34">
        <v>0.0</v>
      </c>
      <c r="AE59" s="34">
        <v>0.0</v>
      </c>
      <c r="AF59" s="33">
        <f>COUNTIFS('Data For Calculation - Insuranc'!A:A,A59,'Data For Calculation - Insuranc'!D:D,"Individual",'Data For Calculation - Insuranc'!E:E,"Rollover Comprehensive - 1 Year OD + 1 Year TP")</f>
        <v>0</v>
      </c>
      <c r="AG59" s="34" t="s">
        <v>3930</v>
      </c>
      <c r="AH59" s="42" t="s">
        <v>3817</v>
      </c>
      <c r="AI59" s="31">
        <v>155.0</v>
      </c>
      <c r="AJ59" s="34" t="s">
        <v>3853</v>
      </c>
      <c r="AK59" s="34">
        <v>0.0</v>
      </c>
      <c r="AL59" s="34">
        <v>100.0</v>
      </c>
      <c r="AM59" s="34">
        <v>0.0</v>
      </c>
      <c r="AN59" s="34">
        <v>0.0</v>
      </c>
      <c r="AO59" s="33">
        <f>COUNTIFS('Data For Calculation - Insuranc'!A:A,A59,'Data For Calculation - Insuranc'!D:D,"Company",'Data For Calculation - Insuranc'!E:E,"Rollover Comprehensive - 1 Year OD + 1 Year TP")</f>
        <v>0</v>
      </c>
      <c r="AP59" s="34" t="s">
        <v>3931</v>
      </c>
      <c r="AQ59" s="42" t="s">
        <v>3817</v>
      </c>
      <c r="AR59" s="31">
        <v>155.0</v>
      </c>
      <c r="AS59" s="34" t="s">
        <v>3853</v>
      </c>
      <c r="AT59" s="34">
        <v>0.0</v>
      </c>
      <c r="AU59" s="34">
        <v>100.0</v>
      </c>
      <c r="AV59" s="34">
        <v>0.0</v>
      </c>
      <c r="AW59" s="34">
        <v>0.0</v>
      </c>
      <c r="AX59" s="33">
        <f>COUNTIFS('Data For Calculation - Insuranc'!A:A,A59,'Data For Calculation - Insuranc'!D:D,"Individual",'Data For Calculation - Insuranc'!E:E,"Rollover - 1 Year OD Only")</f>
        <v>0</v>
      </c>
      <c r="AY59" s="34" t="s">
        <v>3932</v>
      </c>
      <c r="AZ59" s="42" t="s">
        <v>3817</v>
      </c>
      <c r="BA59" s="31">
        <v>155.0</v>
      </c>
      <c r="BB59" s="34" t="s">
        <v>3853</v>
      </c>
      <c r="BC59" s="34">
        <v>0.0</v>
      </c>
      <c r="BD59" s="34">
        <v>100.0</v>
      </c>
      <c r="BE59" s="34">
        <v>0.0</v>
      </c>
      <c r="BF59" s="34">
        <v>0.0</v>
      </c>
      <c r="BG59" s="33">
        <f>COUNTIFS('Data For Calculation - Insuranc'!A:A,A59,'Data For Calculation - Insuranc'!D:D,"Company",'Data For Calculation - Insuranc'!E:E,"Rollover - 1 Year OD Only")</f>
        <v>0</v>
      </c>
      <c r="BH59" s="34" t="s">
        <v>3931</v>
      </c>
      <c r="BI59" s="42" t="s">
        <v>3817</v>
      </c>
      <c r="BJ59" s="31">
        <v>155.0</v>
      </c>
      <c r="BK59" s="34" t="s">
        <v>3853</v>
      </c>
      <c r="BL59" s="34">
        <v>0.0</v>
      </c>
      <c r="BM59" s="34">
        <v>100.0</v>
      </c>
      <c r="BN59" s="34">
        <v>0.0</v>
      </c>
      <c r="BO59" s="34">
        <v>0.0</v>
      </c>
      <c r="BP59" s="33">
        <f>COUNTIFS('Data For Calculation - Insuranc'!A:A,A59,'Data For Calculation - Insuranc'!D:D,"Individual",'Data For Calculation - Insuranc'!E:E,"Rollover - 1 Year TP Only")</f>
        <v>0</v>
      </c>
      <c r="BQ59" s="34" t="s">
        <v>3932</v>
      </c>
      <c r="BR59" s="42" t="s">
        <v>3817</v>
      </c>
      <c r="BS59" s="31">
        <v>155.0</v>
      </c>
      <c r="BT59" s="34" t="s">
        <v>3853</v>
      </c>
      <c r="BU59" s="34">
        <v>0.0</v>
      </c>
      <c r="BV59" s="34">
        <v>100.0</v>
      </c>
      <c r="BW59" s="34">
        <v>0.0</v>
      </c>
      <c r="BX59" s="34">
        <v>0.0</v>
      </c>
      <c r="BY59" s="33">
        <f>COUNTIFS('Data For Calculation - Insuranc'!A:A,A59,'Data For Calculation - Insuranc'!D:D,"Company",'Data For Calculation - Insuranc'!E:E,"Rollover - 1 Year TP Only")</f>
        <v>0</v>
      </c>
      <c r="BZ59" s="31">
        <f t="shared" si="1"/>
        <v>0</v>
      </c>
      <c r="CA59" s="33">
        <f>SUMIFS('Data For Calculation - Insuranc'!I:I,'Data For Calculation - Insuranc'!$A:$A,$A59)</f>
        <v>0</v>
      </c>
      <c r="CB59" s="33">
        <f>SUMIFS('Data For Calculation - Insuranc'!J:J,'Data For Calculation - Insuranc'!$A:$A,$A59)</f>
        <v>0</v>
      </c>
      <c r="CC59" s="33">
        <f>SUMIFS('Data For Calculation - Insuranc'!K:K,'Data For Calculation - Insuranc'!$A:$A,$A59)</f>
        <v>0</v>
      </c>
      <c r="CD59" s="33">
        <f>IF($CK59 = "Dealer", SUMIFS('Data For Calculation - Insuranc'!I:I,'Data For Calculation - Insuranc'!$B:$B,$A59,'Data For Calculation - Insuranc'!$H:$H,"Master Dealer")) + SUMIFS('Data For Calculation - Insuranc'!I:I,'Data For Calculation - Insuranc'!$A:$A,$A59,'Data For Calculation - Insuranc'!$H:$H,"Self")</f>
        <v>0</v>
      </c>
      <c r="CE59" s="33">
        <f>IF($CK59 = "Dealer", SUMIFS('Data For Calculation - Insuranc'!J:J,'Data For Calculation - Insuranc'!$B:$B,$A59,'Data For Calculation - Insuranc'!$H:$H,"Master Dealer")) + SUMIFS('Data For Calculation - Insuranc'!J:J,'Data For Calculation - Insuranc'!$A:$A,$A59,'Data For Calculation - Insuranc'!$H:$H,"Self")</f>
        <v>0</v>
      </c>
      <c r="CF59" s="33">
        <f>IF($CK59 = "Dealer", SUMIFS('Data For Calculation - Insuranc'!K:K,'Data For Calculation - Insuranc'!$B:$B,$A59,'Data For Calculation - Insuranc'!$H:$H,"Master Dealer")) + SUMIFS('Data For Calculation - Insuranc'!K:K,'Data For Calculation - Insuranc'!$A:$A,$A59,'Data For Calculation - Insuranc'!$H:$H,"Self")</f>
        <v>0</v>
      </c>
      <c r="CG59" s="25" t="str">
        <f>(Sheet1!N59)</f>
        <v>AAA</v>
      </c>
      <c r="CH59" s="25" t="str">
        <f>(Sheet1!O59)</f>
        <v>1AjVyIHPgPw3jscNmkTH1qzR2RokK5FZaJLjeNfOiYAA</v>
      </c>
      <c r="CI59" s="25" t="str">
        <f>(Sheet1!AV59)</f>
        <v/>
      </c>
      <c r="CJ59" s="25" t="str">
        <f>(Sheet1!AW59)</f>
        <v/>
      </c>
      <c r="CK59" s="26" t="str">
        <f>(Sheet1!P59)</f>
        <v>Sub Dealer</v>
      </c>
    </row>
    <row r="60">
      <c r="A60" s="25" t="str">
        <f>(Sheet1!A60)</f>
        <v>1U9bRcPYtMNqh59ZIlDmozxitTaIZXHOWv4l1PG1zN_U</v>
      </c>
      <c r="B60" s="25" t="str">
        <f>(Sheet1!B60)</f>
        <v>Shakun Motors (MAW)</v>
      </c>
      <c r="C60" s="30" t="str">
        <f>Sheet1!BB60</f>
        <v>No</v>
      </c>
      <c r="D60" s="30" t="s">
        <v>13</v>
      </c>
      <c r="E60" s="34" t="s">
        <v>13</v>
      </c>
      <c r="F60" s="34" t="s">
        <v>3929</v>
      </c>
      <c r="G60" s="42" t="s">
        <v>3820</v>
      </c>
      <c r="H60" s="43">
        <v>170.0</v>
      </c>
      <c r="I60" s="42" t="s">
        <v>3853</v>
      </c>
      <c r="J60" s="43">
        <v>0.0</v>
      </c>
      <c r="K60" s="43">
        <v>100.0</v>
      </c>
      <c r="L60" s="43">
        <v>0.0</v>
      </c>
      <c r="M60" s="43">
        <v>0.0</v>
      </c>
      <c r="N60" s="33">
        <f>COUNTIFS('Data For Calculation - Insuranc'!A:A,A60,'Data For Calculation - Insuranc'!D:D,"Individual",'Data For Calculation - Insuranc'!E:E,"Bundled - 1 Year OD + 5 Year TP")</f>
        <v>0</v>
      </c>
      <c r="O60" s="34" t="s">
        <v>3930</v>
      </c>
      <c r="P60" s="42" t="s">
        <v>3820</v>
      </c>
      <c r="Q60" s="43">
        <v>170.0</v>
      </c>
      <c r="R60" s="42" t="s">
        <v>3853</v>
      </c>
      <c r="S60" s="43">
        <v>0.0</v>
      </c>
      <c r="T60" s="43">
        <v>100.0</v>
      </c>
      <c r="U60" s="43">
        <v>0.0</v>
      </c>
      <c r="V60" s="43">
        <v>0.0</v>
      </c>
      <c r="W60" s="33">
        <f>COUNTIFS('Data For Calculation - Insuranc'!A:A,A60,'Data For Calculation - Insuranc'!D:D,"Company",'Data For Calculation - Insuranc'!E:E,"Bundled - 1 Year OD + 5 Year TP")</f>
        <v>0</v>
      </c>
      <c r="X60" s="34" t="s">
        <v>3929</v>
      </c>
      <c r="Y60" s="42" t="s">
        <v>3820</v>
      </c>
      <c r="Z60" s="31">
        <v>170.0</v>
      </c>
      <c r="AA60" s="34" t="s">
        <v>3853</v>
      </c>
      <c r="AB60" s="34">
        <v>0.0</v>
      </c>
      <c r="AC60" s="34">
        <v>100.0</v>
      </c>
      <c r="AD60" s="34">
        <v>0.0</v>
      </c>
      <c r="AE60" s="34">
        <v>0.0</v>
      </c>
      <c r="AF60" s="33">
        <f>COUNTIFS('Data For Calculation - Insuranc'!A:A,A60,'Data For Calculation - Insuranc'!D:D,"Individual",'Data For Calculation - Insuranc'!E:E,"Rollover Comprehensive - 1 Year OD + 1 Year TP")</f>
        <v>0</v>
      </c>
      <c r="AG60" s="34" t="s">
        <v>3930</v>
      </c>
      <c r="AH60" s="42" t="s">
        <v>3820</v>
      </c>
      <c r="AI60" s="31">
        <v>170.0</v>
      </c>
      <c r="AJ60" s="34" t="s">
        <v>3853</v>
      </c>
      <c r="AK60" s="34">
        <v>0.0</v>
      </c>
      <c r="AL60" s="34">
        <v>100.0</v>
      </c>
      <c r="AM60" s="34">
        <v>0.0</v>
      </c>
      <c r="AN60" s="34">
        <v>0.0</v>
      </c>
      <c r="AO60" s="33">
        <f>COUNTIFS('Data For Calculation - Insuranc'!A:A,A60,'Data For Calculation - Insuranc'!D:D,"Company",'Data For Calculation - Insuranc'!E:E,"Rollover Comprehensive - 1 Year OD + 1 Year TP")</f>
        <v>0</v>
      </c>
      <c r="AP60" s="34" t="s">
        <v>3931</v>
      </c>
      <c r="AQ60" s="42" t="s">
        <v>3820</v>
      </c>
      <c r="AR60" s="31">
        <v>170.0</v>
      </c>
      <c r="AS60" s="34" t="s">
        <v>3853</v>
      </c>
      <c r="AT60" s="34">
        <v>0.0</v>
      </c>
      <c r="AU60" s="34">
        <v>100.0</v>
      </c>
      <c r="AV60" s="34">
        <v>0.0</v>
      </c>
      <c r="AW60" s="34">
        <v>0.0</v>
      </c>
      <c r="AX60" s="33">
        <f>COUNTIFS('Data For Calculation - Insuranc'!A:A,A60,'Data For Calculation - Insuranc'!D:D,"Individual",'Data For Calculation - Insuranc'!E:E,"Rollover - 1 Year OD Only")</f>
        <v>0</v>
      </c>
      <c r="AY60" s="34" t="s">
        <v>3932</v>
      </c>
      <c r="AZ60" s="42" t="s">
        <v>3820</v>
      </c>
      <c r="BA60" s="31">
        <v>170.0</v>
      </c>
      <c r="BB60" s="34" t="s">
        <v>3853</v>
      </c>
      <c r="BC60" s="34">
        <v>0.0</v>
      </c>
      <c r="BD60" s="34">
        <v>100.0</v>
      </c>
      <c r="BE60" s="34">
        <v>0.0</v>
      </c>
      <c r="BF60" s="34">
        <v>0.0</v>
      </c>
      <c r="BG60" s="33">
        <f>COUNTIFS('Data For Calculation - Insuranc'!A:A,A60,'Data For Calculation - Insuranc'!D:D,"Company",'Data For Calculation - Insuranc'!E:E,"Rollover - 1 Year OD Only")</f>
        <v>0</v>
      </c>
      <c r="BH60" s="34" t="s">
        <v>3931</v>
      </c>
      <c r="BI60" s="42" t="s">
        <v>3820</v>
      </c>
      <c r="BJ60" s="31">
        <v>170.0</v>
      </c>
      <c r="BK60" s="34" t="s">
        <v>3853</v>
      </c>
      <c r="BL60" s="34">
        <v>0.0</v>
      </c>
      <c r="BM60" s="34">
        <v>100.0</v>
      </c>
      <c r="BN60" s="34">
        <v>0.0</v>
      </c>
      <c r="BO60" s="34">
        <v>0.0</v>
      </c>
      <c r="BP60" s="33">
        <f>COUNTIFS('Data For Calculation - Insuranc'!A:A,A60,'Data For Calculation - Insuranc'!D:D,"Individual",'Data For Calculation - Insuranc'!E:E,"Rollover - 1 Year TP Only")</f>
        <v>0</v>
      </c>
      <c r="BQ60" s="34" t="s">
        <v>3932</v>
      </c>
      <c r="BR60" s="42" t="s">
        <v>3820</v>
      </c>
      <c r="BS60" s="31">
        <v>170.0</v>
      </c>
      <c r="BT60" s="34" t="s">
        <v>3853</v>
      </c>
      <c r="BU60" s="34">
        <v>0.0</v>
      </c>
      <c r="BV60" s="34">
        <v>100.0</v>
      </c>
      <c r="BW60" s="34">
        <v>0.0</v>
      </c>
      <c r="BX60" s="34">
        <v>0.0</v>
      </c>
      <c r="BY60" s="33">
        <f>COUNTIFS('Data For Calculation - Insuranc'!A:A,A60,'Data For Calculation - Insuranc'!D:D,"Company",'Data For Calculation - Insuranc'!E:E,"Rollover - 1 Year TP Only")</f>
        <v>0</v>
      </c>
      <c r="BZ60" s="31">
        <f t="shared" si="1"/>
        <v>0</v>
      </c>
      <c r="CA60" s="33">
        <f>SUMIFS('Data For Calculation - Insuranc'!I:I,'Data For Calculation - Insuranc'!$A:$A,$A60)</f>
        <v>0</v>
      </c>
      <c r="CB60" s="33">
        <f>SUMIFS('Data For Calculation - Insuranc'!J:J,'Data For Calculation - Insuranc'!$A:$A,$A60)</f>
        <v>0</v>
      </c>
      <c r="CC60" s="33">
        <f>SUMIFS('Data For Calculation - Insuranc'!K:K,'Data For Calculation - Insuranc'!$A:$A,$A60)</f>
        <v>0</v>
      </c>
      <c r="CD60" s="33">
        <f>IF($CK60 = "Dealer", SUMIFS('Data For Calculation - Insuranc'!I:I,'Data For Calculation - Insuranc'!$B:$B,$A60,'Data For Calculation - Insuranc'!$H:$H,"Master Dealer")) + SUMIFS('Data For Calculation - Insuranc'!I:I,'Data For Calculation - Insuranc'!$A:$A,$A60,'Data For Calculation - Insuranc'!$H:$H,"Self")</f>
        <v>0</v>
      </c>
      <c r="CE60" s="33">
        <f>IF($CK60 = "Dealer", SUMIFS('Data For Calculation - Insuranc'!J:J,'Data For Calculation - Insuranc'!$B:$B,$A60,'Data For Calculation - Insuranc'!$H:$H,"Master Dealer")) + SUMIFS('Data For Calculation - Insuranc'!J:J,'Data For Calculation - Insuranc'!$A:$A,$A60,'Data For Calculation - Insuranc'!$H:$H,"Self")</f>
        <v>0</v>
      </c>
      <c r="CF60" s="33">
        <f>IF($CK60 = "Dealer", SUMIFS('Data For Calculation - Insuranc'!K:K,'Data For Calculation - Insuranc'!$B:$B,$A60,'Data For Calculation - Insuranc'!$H:$H,"Master Dealer")) + SUMIFS('Data For Calculation - Insuranc'!K:K,'Data For Calculation - Insuranc'!$A:$A,$A60,'Data For Calculation - Insuranc'!$H:$H,"Self")</f>
        <v>0</v>
      </c>
      <c r="CG60" s="25" t="str">
        <f>(Sheet1!N60)</f>
        <v>Maharaja Autoworld</v>
      </c>
      <c r="CH60" s="25" t="str">
        <f>(Sheet1!O60)</f>
        <v>1mkGLSaVL5-IAXKq9KqXFgJH64Li9oMA9V0u_seCn1jg</v>
      </c>
      <c r="CI60" s="25" t="str">
        <f>(Sheet1!AV60)</f>
        <v/>
      </c>
      <c r="CJ60" s="25" t="str">
        <f>(Sheet1!AW60)</f>
        <v/>
      </c>
      <c r="CK60" s="26" t="str">
        <f>(Sheet1!P60)</f>
        <v>Sub Dealer</v>
      </c>
    </row>
    <row r="61">
      <c r="A61" s="25" t="str">
        <f>(Sheet1!A61)</f>
        <v>1A6lNt4Snbf2zCmcVnV2gegTZ60jgsKSMfqe-lbk0irU</v>
      </c>
      <c r="B61" s="25" t="str">
        <f>(Sheet1!B61)</f>
        <v>Mahadev Automobiles (SBH)</v>
      </c>
      <c r="C61" s="30" t="str">
        <f>Sheet1!BB61</f>
        <v>No</v>
      </c>
      <c r="D61" s="30" t="s">
        <v>13</v>
      </c>
      <c r="E61" s="34" t="s">
        <v>13</v>
      </c>
      <c r="F61" s="34" t="s">
        <v>3929</v>
      </c>
      <c r="G61" s="42" t="s">
        <v>3856</v>
      </c>
      <c r="H61" s="43">
        <v>339.0</v>
      </c>
      <c r="I61" s="42" t="s">
        <v>3853</v>
      </c>
      <c r="J61" s="43">
        <v>0.0</v>
      </c>
      <c r="K61" s="43">
        <v>100.0</v>
      </c>
      <c r="L61" s="43">
        <v>0.0</v>
      </c>
      <c r="M61" s="43">
        <v>0.0</v>
      </c>
      <c r="N61" s="33">
        <f>COUNTIFS('Data For Calculation - Insuranc'!A:A,A61,'Data For Calculation - Insuranc'!D:D,"Individual",'Data For Calculation - Insuranc'!E:E,"Bundled - 1 Year OD + 5 Year TP")</f>
        <v>0</v>
      </c>
      <c r="O61" s="34" t="s">
        <v>3930</v>
      </c>
      <c r="P61" s="42" t="s">
        <v>3856</v>
      </c>
      <c r="Q61" s="43">
        <v>339.0</v>
      </c>
      <c r="R61" s="42" t="s">
        <v>3853</v>
      </c>
      <c r="S61" s="43">
        <v>0.0</v>
      </c>
      <c r="T61" s="43">
        <v>100.0</v>
      </c>
      <c r="U61" s="43">
        <v>0.0</v>
      </c>
      <c r="V61" s="43">
        <v>0.0</v>
      </c>
      <c r="W61" s="33">
        <f>COUNTIFS('Data For Calculation - Insuranc'!A:A,A61,'Data For Calculation - Insuranc'!D:D,"Company",'Data For Calculation - Insuranc'!E:E,"Bundled - 1 Year OD + 5 Year TP")</f>
        <v>0</v>
      </c>
      <c r="X61" s="34" t="s">
        <v>3929</v>
      </c>
      <c r="Y61" s="42" t="s">
        <v>3856</v>
      </c>
      <c r="Z61" s="31">
        <v>290.0</v>
      </c>
      <c r="AA61" s="34" t="s">
        <v>3853</v>
      </c>
      <c r="AB61" s="34">
        <v>0.0</v>
      </c>
      <c r="AC61" s="34">
        <v>100.0</v>
      </c>
      <c r="AD61" s="34">
        <v>0.0</v>
      </c>
      <c r="AE61" s="34">
        <v>0.0</v>
      </c>
      <c r="AF61" s="33">
        <f>COUNTIFS('Data For Calculation - Insuranc'!A:A,A61,'Data For Calculation - Insuranc'!D:D,"Individual",'Data For Calculation - Insuranc'!E:E,"Rollover Comprehensive - 1 Year OD + 1 Year TP")</f>
        <v>0</v>
      </c>
      <c r="AG61" s="34" t="s">
        <v>3930</v>
      </c>
      <c r="AH61" s="42" t="s">
        <v>3856</v>
      </c>
      <c r="AI61" s="31">
        <v>290.0</v>
      </c>
      <c r="AJ61" s="34" t="s">
        <v>3853</v>
      </c>
      <c r="AK61" s="34">
        <v>0.0</v>
      </c>
      <c r="AL61" s="34">
        <v>100.0</v>
      </c>
      <c r="AM61" s="34">
        <v>0.0</v>
      </c>
      <c r="AN61" s="34">
        <v>0.0</v>
      </c>
      <c r="AO61" s="33">
        <f>COUNTIFS('Data For Calculation - Insuranc'!A:A,A61,'Data For Calculation - Insuranc'!D:D,"Company",'Data For Calculation - Insuranc'!E:E,"Rollover Comprehensive - 1 Year OD + 1 Year TP")</f>
        <v>0</v>
      </c>
      <c r="AP61" s="34" t="s">
        <v>3931</v>
      </c>
      <c r="AQ61" s="42" t="s">
        <v>3856</v>
      </c>
      <c r="AR61" s="31">
        <v>290.0</v>
      </c>
      <c r="AS61" s="34" t="s">
        <v>3853</v>
      </c>
      <c r="AT61" s="34">
        <v>0.0</v>
      </c>
      <c r="AU61" s="34">
        <v>100.0</v>
      </c>
      <c r="AV61" s="34">
        <v>0.0</v>
      </c>
      <c r="AW61" s="34">
        <v>0.0</v>
      </c>
      <c r="AX61" s="33">
        <f>COUNTIFS('Data For Calculation - Insuranc'!A:A,A61,'Data For Calculation - Insuranc'!D:D,"Individual",'Data For Calculation - Insuranc'!E:E,"Rollover - 1 Year OD Only")</f>
        <v>0</v>
      </c>
      <c r="AY61" s="34" t="s">
        <v>3932</v>
      </c>
      <c r="AZ61" s="42" t="s">
        <v>3856</v>
      </c>
      <c r="BA61" s="31">
        <v>290.0</v>
      </c>
      <c r="BB61" s="34" t="s">
        <v>3853</v>
      </c>
      <c r="BC61" s="34">
        <v>0.0</v>
      </c>
      <c r="BD61" s="34">
        <v>100.0</v>
      </c>
      <c r="BE61" s="34">
        <v>0.0</v>
      </c>
      <c r="BF61" s="34">
        <v>0.0</v>
      </c>
      <c r="BG61" s="33">
        <f>COUNTIFS('Data For Calculation - Insuranc'!A:A,A61,'Data For Calculation - Insuranc'!D:D,"Company",'Data For Calculation - Insuranc'!E:E,"Rollover - 1 Year OD Only")</f>
        <v>0</v>
      </c>
      <c r="BH61" s="34" t="s">
        <v>3931</v>
      </c>
      <c r="BI61" s="42" t="s">
        <v>3856</v>
      </c>
      <c r="BJ61" s="31">
        <v>290.0</v>
      </c>
      <c r="BK61" s="34" t="s">
        <v>3853</v>
      </c>
      <c r="BL61" s="34">
        <v>0.0</v>
      </c>
      <c r="BM61" s="34">
        <v>100.0</v>
      </c>
      <c r="BN61" s="34">
        <v>0.0</v>
      </c>
      <c r="BO61" s="34">
        <v>0.0</v>
      </c>
      <c r="BP61" s="33">
        <f>COUNTIFS('Data For Calculation - Insuranc'!A:A,A61,'Data For Calculation - Insuranc'!D:D,"Individual",'Data For Calculation - Insuranc'!E:E,"Rollover - 1 Year TP Only")</f>
        <v>0</v>
      </c>
      <c r="BQ61" s="34" t="s">
        <v>3932</v>
      </c>
      <c r="BR61" s="42" t="s">
        <v>3856</v>
      </c>
      <c r="BS61" s="31">
        <v>290.0</v>
      </c>
      <c r="BT61" s="34" t="s">
        <v>3853</v>
      </c>
      <c r="BU61" s="34">
        <v>0.0</v>
      </c>
      <c r="BV61" s="34">
        <v>100.0</v>
      </c>
      <c r="BW61" s="34">
        <v>0.0</v>
      </c>
      <c r="BX61" s="34">
        <v>0.0</v>
      </c>
      <c r="BY61" s="33">
        <f>COUNTIFS('Data For Calculation - Insuranc'!A:A,A61,'Data For Calculation - Insuranc'!D:D,"Company",'Data For Calculation - Insuranc'!E:E,"Rollover - 1 Year TP Only")</f>
        <v>0</v>
      </c>
      <c r="BZ61" s="31">
        <f t="shared" si="1"/>
        <v>0</v>
      </c>
      <c r="CA61" s="33">
        <f>SUMIFS('Data For Calculation - Insuranc'!I:I,'Data For Calculation - Insuranc'!$A:$A,$A61)</f>
        <v>0</v>
      </c>
      <c r="CB61" s="33">
        <f>SUMIFS('Data For Calculation - Insuranc'!J:J,'Data For Calculation - Insuranc'!$A:$A,$A61)</f>
        <v>0</v>
      </c>
      <c r="CC61" s="33">
        <f>SUMIFS('Data For Calculation - Insuranc'!K:K,'Data For Calculation - Insuranc'!$A:$A,$A61)</f>
        <v>0</v>
      </c>
      <c r="CD61" s="33">
        <f>IF($CK61 = "Dealer", SUMIFS('Data For Calculation - Insuranc'!I:I,'Data For Calculation - Insuranc'!$B:$B,$A61,'Data For Calculation - Insuranc'!$H:$H,"Master Dealer")) + SUMIFS('Data For Calculation - Insuranc'!I:I,'Data For Calculation - Insuranc'!$A:$A,$A61,'Data For Calculation - Insuranc'!$H:$H,"Self")</f>
        <v>0</v>
      </c>
      <c r="CE61" s="33">
        <f>IF($CK61 = "Dealer", SUMIFS('Data For Calculation - Insuranc'!J:J,'Data For Calculation - Insuranc'!$B:$B,$A61,'Data For Calculation - Insuranc'!$H:$H,"Master Dealer")) + SUMIFS('Data For Calculation - Insuranc'!J:J,'Data For Calculation - Insuranc'!$A:$A,$A61,'Data For Calculation - Insuranc'!$H:$H,"Self")</f>
        <v>0</v>
      </c>
      <c r="CF61" s="33">
        <f>IF($CK61 = "Dealer", SUMIFS('Data For Calculation - Insuranc'!K:K,'Data For Calculation - Insuranc'!$B:$B,$A61,'Data For Calculation - Insuranc'!$H:$H,"Master Dealer")) + SUMIFS('Data For Calculation - Insuranc'!K:K,'Data For Calculation - Insuranc'!$A:$A,$A61,'Data For Calculation - Insuranc'!$H:$H,"Self")</f>
        <v>0</v>
      </c>
      <c r="CG61" s="25" t="str">
        <f>(Sheet1!N61)</f>
        <v>Shri Balaji Hero - Muzaffarnagar</v>
      </c>
      <c r="CH61" s="25" t="str">
        <f>(Sheet1!O61)</f>
        <v>1qJGCYN0EdS2nWGXVYAHwXqSjiLE2C95anQkkbLONbKQ</v>
      </c>
      <c r="CI61" s="25" t="str">
        <f>(Sheet1!AV61)</f>
        <v/>
      </c>
      <c r="CJ61" s="25" t="str">
        <f>(Sheet1!AW61)</f>
        <v/>
      </c>
      <c r="CK61" s="26" t="str">
        <f>(Sheet1!P61)</f>
        <v>Sub Dealer</v>
      </c>
    </row>
    <row r="62">
      <c r="A62" s="25" t="str">
        <f>(Sheet1!A62)</f>
        <v>1eRW_MDmJeHGFDVrDu4lhY4sLKH3AbCEJuXm_MUC1mBk</v>
      </c>
      <c r="B62" s="25" t="str">
        <f>(Sheet1!B62)</f>
        <v>V K Auto Center (MAW)</v>
      </c>
      <c r="C62" s="30" t="str">
        <f>Sheet1!BB62</f>
        <v>No</v>
      </c>
      <c r="D62" s="30" t="s">
        <v>13</v>
      </c>
      <c r="E62" s="34" t="s">
        <v>13</v>
      </c>
      <c r="F62" s="34" t="s">
        <v>3929</v>
      </c>
      <c r="G62" s="42" t="s">
        <v>3820</v>
      </c>
      <c r="H62" s="43">
        <v>170.0</v>
      </c>
      <c r="I62" s="42" t="s">
        <v>3853</v>
      </c>
      <c r="J62" s="43">
        <v>0.0</v>
      </c>
      <c r="K62" s="43">
        <v>100.0</v>
      </c>
      <c r="L62" s="43">
        <v>0.0</v>
      </c>
      <c r="M62" s="43">
        <v>0.0</v>
      </c>
      <c r="N62" s="33">
        <f>COUNTIFS('Data For Calculation - Insuranc'!A:A,A62,'Data For Calculation - Insuranc'!D:D,"Individual",'Data For Calculation - Insuranc'!E:E,"Bundled - 1 Year OD + 5 Year TP")</f>
        <v>0</v>
      </c>
      <c r="O62" s="34" t="s">
        <v>3930</v>
      </c>
      <c r="P62" s="42" t="s">
        <v>3820</v>
      </c>
      <c r="Q62" s="43">
        <v>170.0</v>
      </c>
      <c r="R62" s="42" t="s">
        <v>3853</v>
      </c>
      <c r="S62" s="43">
        <v>0.0</v>
      </c>
      <c r="T62" s="43">
        <v>100.0</v>
      </c>
      <c r="U62" s="43">
        <v>0.0</v>
      </c>
      <c r="V62" s="43">
        <v>0.0</v>
      </c>
      <c r="W62" s="33">
        <f>COUNTIFS('Data For Calculation - Insuranc'!A:A,A62,'Data For Calculation - Insuranc'!D:D,"Company",'Data For Calculation - Insuranc'!E:E,"Bundled - 1 Year OD + 5 Year TP")</f>
        <v>0</v>
      </c>
      <c r="X62" s="34" t="s">
        <v>3929</v>
      </c>
      <c r="Y62" s="42" t="s">
        <v>3820</v>
      </c>
      <c r="Z62" s="31">
        <v>170.0</v>
      </c>
      <c r="AA62" s="34" t="s">
        <v>3853</v>
      </c>
      <c r="AB62" s="34">
        <v>0.0</v>
      </c>
      <c r="AC62" s="34">
        <v>100.0</v>
      </c>
      <c r="AD62" s="34">
        <v>0.0</v>
      </c>
      <c r="AE62" s="34">
        <v>0.0</v>
      </c>
      <c r="AF62" s="33">
        <f>COUNTIFS('Data For Calculation - Insuranc'!A:A,A62,'Data For Calculation - Insuranc'!D:D,"Individual",'Data For Calculation - Insuranc'!E:E,"Rollover Comprehensive - 1 Year OD + 1 Year TP")</f>
        <v>0</v>
      </c>
      <c r="AG62" s="34" t="s">
        <v>3930</v>
      </c>
      <c r="AH62" s="42" t="s">
        <v>3820</v>
      </c>
      <c r="AI62" s="31">
        <v>170.0</v>
      </c>
      <c r="AJ62" s="34" t="s">
        <v>3853</v>
      </c>
      <c r="AK62" s="34">
        <v>0.0</v>
      </c>
      <c r="AL62" s="34">
        <v>100.0</v>
      </c>
      <c r="AM62" s="34">
        <v>0.0</v>
      </c>
      <c r="AN62" s="34">
        <v>0.0</v>
      </c>
      <c r="AO62" s="33">
        <f>COUNTIFS('Data For Calculation - Insuranc'!A:A,A62,'Data For Calculation - Insuranc'!D:D,"Company",'Data For Calculation - Insuranc'!E:E,"Rollover Comprehensive - 1 Year OD + 1 Year TP")</f>
        <v>0</v>
      </c>
      <c r="AP62" s="34" t="s">
        <v>3931</v>
      </c>
      <c r="AQ62" s="42" t="s">
        <v>3820</v>
      </c>
      <c r="AR62" s="31">
        <v>170.0</v>
      </c>
      <c r="AS62" s="34" t="s">
        <v>3853</v>
      </c>
      <c r="AT62" s="34">
        <v>0.0</v>
      </c>
      <c r="AU62" s="34">
        <v>100.0</v>
      </c>
      <c r="AV62" s="34">
        <v>0.0</v>
      </c>
      <c r="AW62" s="34">
        <v>0.0</v>
      </c>
      <c r="AX62" s="33">
        <f>COUNTIFS('Data For Calculation - Insuranc'!A:A,A62,'Data For Calculation - Insuranc'!D:D,"Individual",'Data For Calculation - Insuranc'!E:E,"Rollover - 1 Year OD Only")</f>
        <v>0</v>
      </c>
      <c r="AY62" s="34" t="s">
        <v>3932</v>
      </c>
      <c r="AZ62" s="42" t="s">
        <v>3820</v>
      </c>
      <c r="BA62" s="31">
        <v>170.0</v>
      </c>
      <c r="BB62" s="34" t="s">
        <v>3853</v>
      </c>
      <c r="BC62" s="34">
        <v>0.0</v>
      </c>
      <c r="BD62" s="34">
        <v>100.0</v>
      </c>
      <c r="BE62" s="34">
        <v>0.0</v>
      </c>
      <c r="BF62" s="34">
        <v>0.0</v>
      </c>
      <c r="BG62" s="33">
        <f>COUNTIFS('Data For Calculation - Insuranc'!A:A,A62,'Data For Calculation - Insuranc'!D:D,"Company",'Data For Calculation - Insuranc'!E:E,"Rollover - 1 Year OD Only")</f>
        <v>0</v>
      </c>
      <c r="BH62" s="34" t="s">
        <v>3931</v>
      </c>
      <c r="BI62" s="42" t="s">
        <v>3820</v>
      </c>
      <c r="BJ62" s="31">
        <v>170.0</v>
      </c>
      <c r="BK62" s="34" t="s">
        <v>3853</v>
      </c>
      <c r="BL62" s="34">
        <v>0.0</v>
      </c>
      <c r="BM62" s="34">
        <v>100.0</v>
      </c>
      <c r="BN62" s="34">
        <v>0.0</v>
      </c>
      <c r="BO62" s="34">
        <v>0.0</v>
      </c>
      <c r="BP62" s="33">
        <f>COUNTIFS('Data For Calculation - Insuranc'!A:A,A62,'Data For Calculation - Insuranc'!D:D,"Individual",'Data For Calculation - Insuranc'!E:E,"Rollover - 1 Year TP Only")</f>
        <v>0</v>
      </c>
      <c r="BQ62" s="34" t="s">
        <v>3932</v>
      </c>
      <c r="BR62" s="42" t="s">
        <v>3820</v>
      </c>
      <c r="BS62" s="31">
        <v>170.0</v>
      </c>
      <c r="BT62" s="34" t="s">
        <v>3853</v>
      </c>
      <c r="BU62" s="34">
        <v>0.0</v>
      </c>
      <c r="BV62" s="34">
        <v>100.0</v>
      </c>
      <c r="BW62" s="34">
        <v>0.0</v>
      </c>
      <c r="BX62" s="34">
        <v>0.0</v>
      </c>
      <c r="BY62" s="33">
        <f>COUNTIFS('Data For Calculation - Insuranc'!A:A,A62,'Data For Calculation - Insuranc'!D:D,"Company",'Data For Calculation - Insuranc'!E:E,"Rollover - 1 Year TP Only")</f>
        <v>0</v>
      </c>
      <c r="BZ62" s="31">
        <f t="shared" si="1"/>
        <v>0</v>
      </c>
      <c r="CA62" s="33">
        <f>SUMIFS('Data For Calculation - Insuranc'!I:I,'Data For Calculation - Insuranc'!$A:$A,$A62)</f>
        <v>0</v>
      </c>
      <c r="CB62" s="33">
        <f>SUMIFS('Data For Calculation - Insuranc'!J:J,'Data For Calculation - Insuranc'!$A:$A,$A62)</f>
        <v>0</v>
      </c>
      <c r="CC62" s="33">
        <f>SUMIFS('Data For Calculation - Insuranc'!K:K,'Data For Calculation - Insuranc'!$A:$A,$A62)</f>
        <v>0</v>
      </c>
      <c r="CD62" s="33">
        <f>IF($CK62 = "Dealer", SUMIFS('Data For Calculation - Insuranc'!I:I,'Data For Calculation - Insuranc'!$B:$B,$A62,'Data For Calculation - Insuranc'!$H:$H,"Master Dealer")) + SUMIFS('Data For Calculation - Insuranc'!I:I,'Data For Calculation - Insuranc'!$A:$A,$A62,'Data For Calculation - Insuranc'!$H:$H,"Self")</f>
        <v>0</v>
      </c>
      <c r="CE62" s="33">
        <f>IF($CK62 = "Dealer", SUMIFS('Data For Calculation - Insuranc'!J:J,'Data For Calculation - Insuranc'!$B:$B,$A62,'Data For Calculation - Insuranc'!$H:$H,"Master Dealer")) + SUMIFS('Data For Calculation - Insuranc'!J:J,'Data For Calculation - Insuranc'!$A:$A,$A62,'Data For Calculation - Insuranc'!$H:$H,"Self")</f>
        <v>0</v>
      </c>
      <c r="CF62" s="33">
        <f>IF($CK62 = "Dealer", SUMIFS('Data For Calculation - Insuranc'!K:K,'Data For Calculation - Insuranc'!$B:$B,$A62,'Data For Calculation - Insuranc'!$H:$H,"Master Dealer")) + SUMIFS('Data For Calculation - Insuranc'!K:K,'Data For Calculation - Insuranc'!$A:$A,$A62,'Data For Calculation - Insuranc'!$H:$H,"Self")</f>
        <v>0</v>
      </c>
      <c r="CG62" s="25" t="str">
        <f>(Sheet1!N62)</f>
        <v>Maharaja Autoworld</v>
      </c>
      <c r="CH62" s="25" t="str">
        <f>(Sheet1!O62)</f>
        <v>1mkGLSaVL5-IAXKq9KqXFgJH64Li9oMA9V0u_seCn1jg</v>
      </c>
      <c r="CI62" s="25" t="str">
        <f>(Sheet1!AV62)</f>
        <v/>
      </c>
      <c r="CJ62" s="25" t="str">
        <f>(Sheet1!AW62)</f>
        <v/>
      </c>
      <c r="CK62" s="26" t="str">
        <f>(Sheet1!P62)</f>
        <v>Sub Dealer</v>
      </c>
    </row>
    <row r="63">
      <c r="A63" s="25" t="str">
        <f>(Sheet1!A63)</f>
        <v>10Boa663-jOP90LwqXAfooqmBUweTsg0kbbPLy7E8GaM</v>
      </c>
      <c r="B63" s="25" t="str">
        <f>(Sheet1!B63)</f>
        <v>Manvik Motor - TVS Faridabad</v>
      </c>
      <c r="C63" s="30" t="str">
        <f>Sheet1!BB63</f>
        <v>No</v>
      </c>
      <c r="D63" s="30" t="s">
        <v>13</v>
      </c>
      <c r="E63" s="34" t="s">
        <v>13</v>
      </c>
      <c r="F63" s="34" t="s">
        <v>3929</v>
      </c>
      <c r="G63" s="42" t="s">
        <v>3817</v>
      </c>
      <c r="H63" s="43">
        <v>460.0</v>
      </c>
      <c r="I63" s="42" t="s">
        <v>3853</v>
      </c>
      <c r="J63" s="43">
        <v>0.0</v>
      </c>
      <c r="K63" s="43">
        <v>100.0</v>
      </c>
      <c r="L63" s="43">
        <v>0.0</v>
      </c>
      <c r="M63" s="43">
        <v>0.0</v>
      </c>
      <c r="N63" s="33">
        <f>COUNTIFS('Data For Calculation - Insuranc'!A:A,A63,'Data For Calculation - Insuranc'!D:D,"Individual",'Data For Calculation - Insuranc'!E:E,"Bundled - 1 Year OD + 5 Year TP")</f>
        <v>0</v>
      </c>
      <c r="O63" s="34" t="s">
        <v>3930</v>
      </c>
      <c r="P63" s="42" t="s">
        <v>3817</v>
      </c>
      <c r="Q63" s="43">
        <v>460.0</v>
      </c>
      <c r="R63" s="42" t="s">
        <v>3853</v>
      </c>
      <c r="S63" s="43">
        <v>0.0</v>
      </c>
      <c r="T63" s="43">
        <v>100.0</v>
      </c>
      <c r="U63" s="43">
        <v>0.0</v>
      </c>
      <c r="V63" s="43">
        <v>0.0</v>
      </c>
      <c r="W63" s="33">
        <f>COUNTIFS('Data For Calculation - Insuranc'!A:A,A63,'Data For Calculation - Insuranc'!D:D,"Company",'Data For Calculation - Insuranc'!E:E,"Bundled - 1 Year OD + 5 Year TP")</f>
        <v>0</v>
      </c>
      <c r="X63" s="34" t="s">
        <v>3929</v>
      </c>
      <c r="Y63" s="42" t="s">
        <v>3817</v>
      </c>
      <c r="Z63" s="31">
        <v>290.0</v>
      </c>
      <c r="AA63" s="34" t="s">
        <v>3853</v>
      </c>
      <c r="AB63" s="34">
        <v>0.0</v>
      </c>
      <c r="AC63" s="34">
        <v>100.0</v>
      </c>
      <c r="AD63" s="34">
        <v>0.0</v>
      </c>
      <c r="AE63" s="34">
        <v>0.0</v>
      </c>
      <c r="AF63" s="33">
        <f>COUNTIFS('Data For Calculation - Insuranc'!A:A,A63,'Data For Calculation - Insuranc'!D:D,"Individual",'Data For Calculation - Insuranc'!E:E,"Rollover Comprehensive - 1 Year OD + 1 Year TP")</f>
        <v>0</v>
      </c>
      <c r="AG63" s="34" t="s">
        <v>3930</v>
      </c>
      <c r="AH63" s="42" t="s">
        <v>3817</v>
      </c>
      <c r="AI63" s="31">
        <v>290.0</v>
      </c>
      <c r="AJ63" s="34" t="s">
        <v>3853</v>
      </c>
      <c r="AK63" s="34">
        <v>0.0</v>
      </c>
      <c r="AL63" s="34">
        <v>100.0</v>
      </c>
      <c r="AM63" s="34">
        <v>0.0</v>
      </c>
      <c r="AN63" s="34">
        <v>0.0</v>
      </c>
      <c r="AO63" s="33">
        <f>COUNTIFS('Data For Calculation - Insuranc'!A:A,A63,'Data For Calculation - Insuranc'!D:D,"Company",'Data For Calculation - Insuranc'!E:E,"Rollover Comprehensive - 1 Year OD + 1 Year TP")</f>
        <v>0</v>
      </c>
      <c r="AP63" s="34" t="s">
        <v>3931</v>
      </c>
      <c r="AQ63" s="42" t="s">
        <v>3817</v>
      </c>
      <c r="AR63" s="31">
        <v>290.0</v>
      </c>
      <c r="AS63" s="34" t="s">
        <v>3853</v>
      </c>
      <c r="AT63" s="34">
        <v>0.0</v>
      </c>
      <c r="AU63" s="34">
        <v>100.0</v>
      </c>
      <c r="AV63" s="34">
        <v>0.0</v>
      </c>
      <c r="AW63" s="34">
        <v>0.0</v>
      </c>
      <c r="AX63" s="33">
        <f>COUNTIFS('Data For Calculation - Insuranc'!A:A,A63,'Data For Calculation - Insuranc'!D:D,"Individual",'Data For Calculation - Insuranc'!E:E,"Rollover - 1 Year OD Only")</f>
        <v>0</v>
      </c>
      <c r="AY63" s="34" t="s">
        <v>3932</v>
      </c>
      <c r="AZ63" s="42" t="s">
        <v>3817</v>
      </c>
      <c r="BA63" s="31">
        <v>290.0</v>
      </c>
      <c r="BB63" s="34" t="s">
        <v>3853</v>
      </c>
      <c r="BC63" s="34">
        <v>0.0</v>
      </c>
      <c r="BD63" s="34">
        <v>100.0</v>
      </c>
      <c r="BE63" s="34">
        <v>0.0</v>
      </c>
      <c r="BF63" s="34">
        <v>0.0</v>
      </c>
      <c r="BG63" s="33">
        <f>COUNTIFS('Data For Calculation - Insuranc'!A:A,A63,'Data For Calculation - Insuranc'!D:D,"Company",'Data For Calculation - Insuranc'!E:E,"Rollover - 1 Year OD Only")</f>
        <v>0</v>
      </c>
      <c r="BH63" s="34" t="s">
        <v>3931</v>
      </c>
      <c r="BI63" s="42" t="s">
        <v>3817</v>
      </c>
      <c r="BJ63" s="31">
        <v>290.0</v>
      </c>
      <c r="BK63" s="34" t="s">
        <v>3853</v>
      </c>
      <c r="BL63" s="34">
        <v>0.0</v>
      </c>
      <c r="BM63" s="34">
        <v>100.0</v>
      </c>
      <c r="BN63" s="34">
        <v>0.0</v>
      </c>
      <c r="BO63" s="34">
        <v>0.0</v>
      </c>
      <c r="BP63" s="33">
        <f>COUNTIFS('Data For Calculation - Insuranc'!A:A,A63,'Data For Calculation - Insuranc'!D:D,"Individual",'Data For Calculation - Insuranc'!E:E,"Rollover - 1 Year TP Only")</f>
        <v>0</v>
      </c>
      <c r="BQ63" s="34" t="s">
        <v>3932</v>
      </c>
      <c r="BR63" s="42" t="s">
        <v>3817</v>
      </c>
      <c r="BS63" s="31">
        <v>290.0</v>
      </c>
      <c r="BT63" s="34" t="s">
        <v>3853</v>
      </c>
      <c r="BU63" s="34">
        <v>0.0</v>
      </c>
      <c r="BV63" s="34">
        <v>100.0</v>
      </c>
      <c r="BW63" s="34">
        <v>0.0</v>
      </c>
      <c r="BX63" s="34">
        <v>0.0</v>
      </c>
      <c r="BY63" s="33">
        <f>COUNTIFS('Data For Calculation - Insuranc'!A:A,A63,'Data For Calculation - Insuranc'!D:D,"Company",'Data For Calculation - Insuranc'!E:E,"Rollover - 1 Year TP Only")</f>
        <v>0</v>
      </c>
      <c r="BZ63" s="31">
        <f t="shared" si="1"/>
        <v>0</v>
      </c>
      <c r="CA63" s="33">
        <f>SUMIFS('Data For Calculation - Insuranc'!I:I,'Data For Calculation - Insuranc'!$A:$A,$A63)</f>
        <v>0</v>
      </c>
      <c r="CB63" s="33">
        <f>SUMIFS('Data For Calculation - Insuranc'!J:J,'Data For Calculation - Insuranc'!$A:$A,$A63)</f>
        <v>0</v>
      </c>
      <c r="CC63" s="33">
        <f>SUMIFS('Data For Calculation - Insuranc'!K:K,'Data For Calculation - Insuranc'!$A:$A,$A63)</f>
        <v>0</v>
      </c>
      <c r="CD63" s="33">
        <f>IF($CK63 = "Dealer", SUMIFS('Data For Calculation - Insuranc'!I:I,'Data For Calculation - Insuranc'!$B:$B,$A63,'Data For Calculation - Insuranc'!$H:$H,"Master Dealer")) + SUMIFS('Data For Calculation - Insuranc'!I:I,'Data For Calculation - Insuranc'!$A:$A,$A63,'Data For Calculation - Insuranc'!$H:$H,"Self")</f>
        <v>0</v>
      </c>
      <c r="CE63" s="33">
        <f>IF($CK63 = "Dealer", SUMIFS('Data For Calculation - Insuranc'!J:J,'Data For Calculation - Insuranc'!$B:$B,$A63,'Data For Calculation - Insuranc'!$H:$H,"Master Dealer")) + SUMIFS('Data For Calculation - Insuranc'!J:J,'Data For Calculation - Insuranc'!$A:$A,$A63,'Data For Calculation - Insuranc'!$H:$H,"Self")</f>
        <v>0</v>
      </c>
      <c r="CF63" s="33">
        <f>IF($CK63 = "Dealer", SUMIFS('Data For Calculation - Insuranc'!K:K,'Data For Calculation - Insuranc'!$B:$B,$A63,'Data For Calculation - Insuranc'!$H:$H,"Master Dealer")) + SUMIFS('Data For Calculation - Insuranc'!K:K,'Data For Calculation - Insuranc'!$A:$A,$A63,'Data For Calculation - Insuranc'!$H:$H,"Self")</f>
        <v>0</v>
      </c>
      <c r="CG63" s="25" t="str">
        <f>(Sheet1!N63)</f>
        <v>Manvik Motor - TVS Faridabad</v>
      </c>
      <c r="CH63" s="25" t="str">
        <f>(Sheet1!O63)</f>
        <v>10Boa663-jOP90LwqXAfooqmBUweTsg0kbbPLy7E8GaM</v>
      </c>
      <c r="CI63" s="25" t="str">
        <f>(Sheet1!AV63)</f>
        <v/>
      </c>
      <c r="CJ63" s="25" t="str">
        <f>(Sheet1!AW63)</f>
        <v/>
      </c>
      <c r="CK63" s="26" t="str">
        <f>(Sheet1!P63)</f>
        <v>Dealer</v>
      </c>
    </row>
    <row r="64">
      <c r="A64" s="25" t="str">
        <f>(Sheet1!A64)</f>
        <v>1RXGf0MnZWZO90gEU-wJzAFw-CxPPIv2RLUwr1sE1N44</v>
      </c>
      <c r="B64" s="25" t="str">
        <f>(Sheet1!B64)</f>
        <v>Gopi Auto World - Ahemdabad</v>
      </c>
      <c r="C64" s="30" t="str">
        <f>Sheet1!BB64</f>
        <v>No</v>
      </c>
      <c r="D64" s="30" t="s">
        <v>13</v>
      </c>
      <c r="E64" s="34" t="s">
        <v>13</v>
      </c>
      <c r="F64" s="34" t="s">
        <v>3929</v>
      </c>
      <c r="G64" s="42" t="s">
        <v>3817</v>
      </c>
      <c r="H64" s="43">
        <v>460.0</v>
      </c>
      <c r="I64" s="42" t="s">
        <v>3853</v>
      </c>
      <c r="J64" s="43">
        <v>0.0</v>
      </c>
      <c r="K64" s="43">
        <v>100.0</v>
      </c>
      <c r="L64" s="43">
        <v>0.0</v>
      </c>
      <c r="M64" s="43">
        <v>0.0</v>
      </c>
      <c r="N64" s="33">
        <f>COUNTIFS('Data For Calculation - Insuranc'!A:A,A64,'Data For Calculation - Insuranc'!D:D,"Individual",'Data For Calculation - Insuranc'!E:E,"Bundled - 1 Year OD + 5 Year TP")</f>
        <v>0</v>
      </c>
      <c r="O64" s="34" t="s">
        <v>3930</v>
      </c>
      <c r="P64" s="42" t="s">
        <v>3817</v>
      </c>
      <c r="Q64" s="43">
        <v>460.0</v>
      </c>
      <c r="R64" s="42" t="s">
        <v>3853</v>
      </c>
      <c r="S64" s="43">
        <v>0.0</v>
      </c>
      <c r="T64" s="43">
        <v>100.0</v>
      </c>
      <c r="U64" s="43">
        <v>0.0</v>
      </c>
      <c r="V64" s="43">
        <v>0.0</v>
      </c>
      <c r="W64" s="33">
        <f>COUNTIFS('Data For Calculation - Insuranc'!A:A,A64,'Data For Calculation - Insuranc'!D:D,"Company",'Data For Calculation - Insuranc'!E:E,"Bundled - 1 Year OD + 5 Year TP")</f>
        <v>0</v>
      </c>
      <c r="X64" s="34" t="s">
        <v>3929</v>
      </c>
      <c r="Y64" s="42" t="s">
        <v>3817</v>
      </c>
      <c r="Z64" s="31">
        <v>290.0</v>
      </c>
      <c r="AA64" s="34" t="s">
        <v>3853</v>
      </c>
      <c r="AB64" s="34">
        <v>0.0</v>
      </c>
      <c r="AC64" s="34">
        <v>100.0</v>
      </c>
      <c r="AD64" s="34">
        <v>0.0</v>
      </c>
      <c r="AE64" s="34">
        <v>0.0</v>
      </c>
      <c r="AF64" s="33">
        <f>COUNTIFS('Data For Calculation - Insuranc'!A:A,A64,'Data For Calculation - Insuranc'!D:D,"Individual",'Data For Calculation - Insuranc'!E:E,"Rollover Comprehensive - 1 Year OD + 1 Year TP")</f>
        <v>0</v>
      </c>
      <c r="AG64" s="34" t="s">
        <v>3930</v>
      </c>
      <c r="AH64" s="42" t="s">
        <v>3817</v>
      </c>
      <c r="AI64" s="31">
        <v>290.0</v>
      </c>
      <c r="AJ64" s="34" t="s">
        <v>3853</v>
      </c>
      <c r="AK64" s="34">
        <v>0.0</v>
      </c>
      <c r="AL64" s="34">
        <v>100.0</v>
      </c>
      <c r="AM64" s="34">
        <v>0.0</v>
      </c>
      <c r="AN64" s="34">
        <v>0.0</v>
      </c>
      <c r="AO64" s="33">
        <f>COUNTIFS('Data For Calculation - Insuranc'!A:A,A64,'Data For Calculation - Insuranc'!D:D,"Company",'Data For Calculation - Insuranc'!E:E,"Rollover Comprehensive - 1 Year OD + 1 Year TP")</f>
        <v>0</v>
      </c>
      <c r="AP64" s="34" t="s">
        <v>3931</v>
      </c>
      <c r="AQ64" s="42" t="s">
        <v>3817</v>
      </c>
      <c r="AR64" s="31">
        <v>290.0</v>
      </c>
      <c r="AS64" s="34" t="s">
        <v>3853</v>
      </c>
      <c r="AT64" s="34">
        <v>0.0</v>
      </c>
      <c r="AU64" s="34">
        <v>100.0</v>
      </c>
      <c r="AV64" s="34">
        <v>0.0</v>
      </c>
      <c r="AW64" s="34">
        <v>0.0</v>
      </c>
      <c r="AX64" s="33">
        <f>COUNTIFS('Data For Calculation - Insuranc'!A:A,A64,'Data For Calculation - Insuranc'!D:D,"Individual",'Data For Calculation - Insuranc'!E:E,"Rollover - 1 Year OD Only")</f>
        <v>0</v>
      </c>
      <c r="AY64" s="34" t="s">
        <v>3932</v>
      </c>
      <c r="AZ64" s="42" t="s">
        <v>3817</v>
      </c>
      <c r="BA64" s="31">
        <v>290.0</v>
      </c>
      <c r="BB64" s="34" t="s">
        <v>3853</v>
      </c>
      <c r="BC64" s="34">
        <v>0.0</v>
      </c>
      <c r="BD64" s="34">
        <v>100.0</v>
      </c>
      <c r="BE64" s="34">
        <v>0.0</v>
      </c>
      <c r="BF64" s="34">
        <v>0.0</v>
      </c>
      <c r="BG64" s="33">
        <f>COUNTIFS('Data For Calculation - Insuranc'!A:A,A64,'Data For Calculation - Insuranc'!D:D,"Company",'Data For Calculation - Insuranc'!E:E,"Rollover - 1 Year OD Only")</f>
        <v>0</v>
      </c>
      <c r="BH64" s="34" t="s">
        <v>3931</v>
      </c>
      <c r="BI64" s="42" t="s">
        <v>3817</v>
      </c>
      <c r="BJ64" s="31">
        <v>290.0</v>
      </c>
      <c r="BK64" s="34" t="s">
        <v>3853</v>
      </c>
      <c r="BL64" s="34">
        <v>0.0</v>
      </c>
      <c r="BM64" s="34">
        <v>100.0</v>
      </c>
      <c r="BN64" s="34">
        <v>0.0</v>
      </c>
      <c r="BO64" s="34">
        <v>0.0</v>
      </c>
      <c r="BP64" s="33">
        <f>COUNTIFS('Data For Calculation - Insuranc'!A:A,A64,'Data For Calculation - Insuranc'!D:D,"Individual",'Data For Calculation - Insuranc'!E:E,"Rollover - 1 Year TP Only")</f>
        <v>0</v>
      </c>
      <c r="BQ64" s="34" t="s">
        <v>3932</v>
      </c>
      <c r="BR64" s="42" t="s">
        <v>3817</v>
      </c>
      <c r="BS64" s="31">
        <v>290.0</v>
      </c>
      <c r="BT64" s="34" t="s">
        <v>3853</v>
      </c>
      <c r="BU64" s="34">
        <v>0.0</v>
      </c>
      <c r="BV64" s="34">
        <v>100.0</v>
      </c>
      <c r="BW64" s="34">
        <v>0.0</v>
      </c>
      <c r="BX64" s="34">
        <v>0.0</v>
      </c>
      <c r="BY64" s="33">
        <f>COUNTIFS('Data For Calculation - Insuranc'!A:A,A64,'Data For Calculation - Insuranc'!D:D,"Company",'Data For Calculation - Insuranc'!E:E,"Rollover - 1 Year TP Only")</f>
        <v>0</v>
      </c>
      <c r="BZ64" s="31">
        <f t="shared" si="1"/>
        <v>0</v>
      </c>
      <c r="CA64" s="33">
        <f>SUMIFS('Data For Calculation - Insuranc'!I:I,'Data For Calculation - Insuranc'!$A:$A,$A64)</f>
        <v>0</v>
      </c>
      <c r="CB64" s="33">
        <f>SUMIFS('Data For Calculation - Insuranc'!J:J,'Data For Calculation - Insuranc'!$A:$A,$A64)</f>
        <v>0</v>
      </c>
      <c r="CC64" s="33">
        <f>SUMIFS('Data For Calculation - Insuranc'!K:K,'Data For Calculation - Insuranc'!$A:$A,$A64)</f>
        <v>0</v>
      </c>
      <c r="CD64" s="33">
        <f>IF($CK64 = "Dealer", SUMIFS('Data For Calculation - Insuranc'!I:I,'Data For Calculation - Insuranc'!$B:$B,$A64,'Data For Calculation - Insuranc'!$H:$H,"Master Dealer")) + SUMIFS('Data For Calculation - Insuranc'!I:I,'Data For Calculation - Insuranc'!$A:$A,$A64,'Data For Calculation - Insuranc'!$H:$H,"Self")</f>
        <v>0</v>
      </c>
      <c r="CE64" s="33">
        <f>IF($CK64 = "Dealer", SUMIFS('Data For Calculation - Insuranc'!J:J,'Data For Calculation - Insuranc'!$B:$B,$A64,'Data For Calculation - Insuranc'!$H:$H,"Master Dealer")) + SUMIFS('Data For Calculation - Insuranc'!J:J,'Data For Calculation - Insuranc'!$A:$A,$A64,'Data For Calculation - Insuranc'!$H:$H,"Self")</f>
        <v>0</v>
      </c>
      <c r="CF64" s="33">
        <f>IF($CK64 = "Dealer", SUMIFS('Data For Calculation - Insuranc'!K:K,'Data For Calculation - Insuranc'!$B:$B,$A64,'Data For Calculation - Insuranc'!$H:$H,"Master Dealer")) + SUMIFS('Data For Calculation - Insuranc'!K:K,'Data For Calculation - Insuranc'!$A:$A,$A64,'Data For Calculation - Insuranc'!$H:$H,"Self")</f>
        <v>0</v>
      </c>
      <c r="CG64" s="25" t="str">
        <f>(Sheet1!N64)</f>
        <v>Gopi Auto World - Ahemdabad</v>
      </c>
      <c r="CH64" s="25" t="str">
        <f>(Sheet1!O64)</f>
        <v>1RXGf0MnZWZO90gEU-wJzAFw-CxPPIv2RLUwr1sE1N44</v>
      </c>
      <c r="CI64" s="25" t="str">
        <f>(Sheet1!AV64)</f>
        <v/>
      </c>
      <c r="CJ64" s="25" t="str">
        <f>(Sheet1!AW64)</f>
        <v/>
      </c>
      <c r="CK64" s="26" t="str">
        <f>(Sheet1!P64)</f>
        <v>Dealer</v>
      </c>
    </row>
    <row r="65">
      <c r="A65" s="25" t="str">
        <f>(Sheet1!A65)</f>
        <v>1o-kgAGYwJQGPJwLj0hYgwKABboMbPKDLAWI9iRmz2LU</v>
      </c>
      <c r="B65" s="25" t="str">
        <f>(Sheet1!B65)</f>
        <v>Dhruv Hero - Ambala</v>
      </c>
      <c r="C65" s="30" t="str">
        <f>Sheet1!BB65</f>
        <v>No</v>
      </c>
      <c r="D65" s="30" t="s">
        <v>13</v>
      </c>
      <c r="E65" s="34" t="s">
        <v>13</v>
      </c>
      <c r="F65" s="34" t="s">
        <v>3929</v>
      </c>
      <c r="G65" s="42" t="s">
        <v>3817</v>
      </c>
      <c r="H65" s="43">
        <v>460.0</v>
      </c>
      <c r="I65" s="42" t="s">
        <v>3853</v>
      </c>
      <c r="J65" s="43">
        <v>0.0</v>
      </c>
      <c r="K65" s="43">
        <v>100.0</v>
      </c>
      <c r="L65" s="43">
        <v>0.0</v>
      </c>
      <c r="M65" s="43">
        <v>0.0</v>
      </c>
      <c r="N65" s="33">
        <f>COUNTIFS('Data For Calculation - Insuranc'!A:A,A65,'Data For Calculation - Insuranc'!D:D,"Individual",'Data For Calculation - Insuranc'!E:E,"Bundled - 1 Year OD + 5 Year TP")</f>
        <v>0</v>
      </c>
      <c r="O65" s="34" t="s">
        <v>3930</v>
      </c>
      <c r="P65" s="42" t="s">
        <v>3817</v>
      </c>
      <c r="Q65" s="43">
        <v>460.0</v>
      </c>
      <c r="R65" s="42" t="s">
        <v>3853</v>
      </c>
      <c r="S65" s="43">
        <v>0.0</v>
      </c>
      <c r="T65" s="43">
        <v>100.0</v>
      </c>
      <c r="U65" s="43">
        <v>0.0</v>
      </c>
      <c r="V65" s="43">
        <v>0.0</v>
      </c>
      <c r="W65" s="33">
        <f>COUNTIFS('Data For Calculation - Insuranc'!A:A,A65,'Data For Calculation - Insuranc'!D:D,"Company",'Data For Calculation - Insuranc'!E:E,"Bundled - 1 Year OD + 5 Year TP")</f>
        <v>0</v>
      </c>
      <c r="X65" s="34" t="s">
        <v>3929</v>
      </c>
      <c r="Y65" s="42" t="s">
        <v>3817</v>
      </c>
      <c r="Z65" s="31">
        <v>290.0</v>
      </c>
      <c r="AA65" s="34" t="s">
        <v>3853</v>
      </c>
      <c r="AB65" s="34">
        <v>0.0</v>
      </c>
      <c r="AC65" s="34">
        <v>100.0</v>
      </c>
      <c r="AD65" s="34">
        <v>0.0</v>
      </c>
      <c r="AE65" s="34">
        <v>0.0</v>
      </c>
      <c r="AF65" s="33">
        <f>COUNTIFS('Data For Calculation - Insuranc'!A:A,A65,'Data For Calculation - Insuranc'!D:D,"Individual",'Data For Calculation - Insuranc'!E:E,"Rollover Comprehensive - 1 Year OD + 1 Year TP")</f>
        <v>0</v>
      </c>
      <c r="AG65" s="34" t="s">
        <v>3930</v>
      </c>
      <c r="AH65" s="42" t="s">
        <v>3817</v>
      </c>
      <c r="AI65" s="31">
        <v>290.0</v>
      </c>
      <c r="AJ65" s="34" t="s">
        <v>3853</v>
      </c>
      <c r="AK65" s="34">
        <v>0.0</v>
      </c>
      <c r="AL65" s="34">
        <v>100.0</v>
      </c>
      <c r="AM65" s="34">
        <v>0.0</v>
      </c>
      <c r="AN65" s="34">
        <v>0.0</v>
      </c>
      <c r="AO65" s="33">
        <f>COUNTIFS('Data For Calculation - Insuranc'!A:A,A65,'Data For Calculation - Insuranc'!D:D,"Company",'Data For Calculation - Insuranc'!E:E,"Rollover Comprehensive - 1 Year OD + 1 Year TP")</f>
        <v>0</v>
      </c>
      <c r="AP65" s="34" t="s">
        <v>3931</v>
      </c>
      <c r="AQ65" s="42" t="s">
        <v>3817</v>
      </c>
      <c r="AR65" s="31">
        <v>290.0</v>
      </c>
      <c r="AS65" s="34" t="s">
        <v>3853</v>
      </c>
      <c r="AT65" s="34">
        <v>0.0</v>
      </c>
      <c r="AU65" s="34">
        <v>100.0</v>
      </c>
      <c r="AV65" s="34">
        <v>0.0</v>
      </c>
      <c r="AW65" s="34">
        <v>0.0</v>
      </c>
      <c r="AX65" s="33">
        <f>COUNTIFS('Data For Calculation - Insuranc'!A:A,A65,'Data For Calculation - Insuranc'!D:D,"Individual",'Data For Calculation - Insuranc'!E:E,"Rollover - 1 Year OD Only")</f>
        <v>0</v>
      </c>
      <c r="AY65" s="34" t="s">
        <v>3932</v>
      </c>
      <c r="AZ65" s="42" t="s">
        <v>3817</v>
      </c>
      <c r="BA65" s="31">
        <v>290.0</v>
      </c>
      <c r="BB65" s="34" t="s">
        <v>3853</v>
      </c>
      <c r="BC65" s="34">
        <v>0.0</v>
      </c>
      <c r="BD65" s="34">
        <v>100.0</v>
      </c>
      <c r="BE65" s="34">
        <v>0.0</v>
      </c>
      <c r="BF65" s="34">
        <v>0.0</v>
      </c>
      <c r="BG65" s="33">
        <f>COUNTIFS('Data For Calculation - Insuranc'!A:A,A65,'Data For Calculation - Insuranc'!D:D,"Company",'Data For Calculation - Insuranc'!E:E,"Rollover - 1 Year OD Only")</f>
        <v>0</v>
      </c>
      <c r="BH65" s="34" t="s">
        <v>3931</v>
      </c>
      <c r="BI65" s="42" t="s">
        <v>3817</v>
      </c>
      <c r="BJ65" s="31">
        <v>290.0</v>
      </c>
      <c r="BK65" s="34" t="s">
        <v>3853</v>
      </c>
      <c r="BL65" s="34">
        <v>0.0</v>
      </c>
      <c r="BM65" s="34">
        <v>100.0</v>
      </c>
      <c r="BN65" s="34">
        <v>0.0</v>
      </c>
      <c r="BO65" s="34">
        <v>0.0</v>
      </c>
      <c r="BP65" s="33">
        <f>COUNTIFS('Data For Calculation - Insuranc'!A:A,A65,'Data For Calculation - Insuranc'!D:D,"Individual",'Data For Calculation - Insuranc'!E:E,"Rollover - 1 Year TP Only")</f>
        <v>0</v>
      </c>
      <c r="BQ65" s="34" t="s">
        <v>3932</v>
      </c>
      <c r="BR65" s="42" t="s">
        <v>3817</v>
      </c>
      <c r="BS65" s="31">
        <v>290.0</v>
      </c>
      <c r="BT65" s="34" t="s">
        <v>3853</v>
      </c>
      <c r="BU65" s="34">
        <v>0.0</v>
      </c>
      <c r="BV65" s="34">
        <v>100.0</v>
      </c>
      <c r="BW65" s="34">
        <v>0.0</v>
      </c>
      <c r="BX65" s="34">
        <v>0.0</v>
      </c>
      <c r="BY65" s="33">
        <f>COUNTIFS('Data For Calculation - Insuranc'!A:A,A65,'Data For Calculation - Insuranc'!D:D,"Company",'Data For Calculation - Insuranc'!E:E,"Rollover - 1 Year TP Only")</f>
        <v>0</v>
      </c>
      <c r="BZ65" s="31">
        <f t="shared" si="1"/>
        <v>0</v>
      </c>
      <c r="CA65" s="33">
        <f>SUMIFS('Data For Calculation - Insuranc'!I:I,'Data For Calculation - Insuranc'!$A:$A,$A65)</f>
        <v>0</v>
      </c>
      <c r="CB65" s="33">
        <f>SUMIFS('Data For Calculation - Insuranc'!J:J,'Data For Calculation - Insuranc'!$A:$A,$A65)</f>
        <v>0</v>
      </c>
      <c r="CC65" s="33">
        <f>SUMIFS('Data For Calculation - Insuranc'!K:K,'Data For Calculation - Insuranc'!$A:$A,$A65)</f>
        <v>0</v>
      </c>
      <c r="CD65" s="33">
        <f>IF($CK65 = "Dealer", SUMIFS('Data For Calculation - Insuranc'!I:I,'Data For Calculation - Insuranc'!$B:$B,$A65,'Data For Calculation - Insuranc'!$H:$H,"Master Dealer")) + SUMIFS('Data For Calculation - Insuranc'!I:I,'Data For Calculation - Insuranc'!$A:$A,$A65,'Data For Calculation - Insuranc'!$H:$H,"Self")</f>
        <v>0</v>
      </c>
      <c r="CE65" s="33">
        <f>IF($CK65 = "Dealer", SUMIFS('Data For Calculation - Insuranc'!J:J,'Data For Calculation - Insuranc'!$B:$B,$A65,'Data For Calculation - Insuranc'!$H:$H,"Master Dealer")) + SUMIFS('Data For Calculation - Insuranc'!J:J,'Data For Calculation - Insuranc'!$A:$A,$A65,'Data For Calculation - Insuranc'!$H:$H,"Self")</f>
        <v>0</v>
      </c>
      <c r="CF65" s="33">
        <f>IF($CK65 = "Dealer", SUMIFS('Data For Calculation - Insuranc'!K:K,'Data For Calculation - Insuranc'!$B:$B,$A65,'Data For Calculation - Insuranc'!$H:$H,"Master Dealer")) + SUMIFS('Data For Calculation - Insuranc'!K:K,'Data For Calculation - Insuranc'!$A:$A,$A65,'Data For Calculation - Insuranc'!$H:$H,"Self")</f>
        <v>0</v>
      </c>
      <c r="CG65" s="25" t="str">
        <f>(Sheet1!N65)</f>
        <v>Dhruv Hero - Ambala</v>
      </c>
      <c r="CH65" s="25" t="str">
        <f>(Sheet1!O65)</f>
        <v>1o-kgAGYwJQGPJwLj0hYgwKABboMbPKDLAWI9iRmz2LU</v>
      </c>
      <c r="CI65" s="25" t="str">
        <f>(Sheet1!AV65)</f>
        <v/>
      </c>
      <c r="CJ65" s="25" t="str">
        <f>(Sheet1!AW65)</f>
        <v/>
      </c>
      <c r="CK65" s="26" t="str">
        <f>(Sheet1!P65)</f>
        <v>Dealer</v>
      </c>
    </row>
    <row r="66">
      <c r="A66" s="25" t="str">
        <f>(Sheet1!A66)</f>
        <v>1brEaJJIr9CUuMyBbZl1_6v1V659tqpHO6omaGzj0JnM</v>
      </c>
      <c r="B66" s="25" t="str">
        <f>(Sheet1!B66)</f>
        <v>Mahi Motors (KMB)</v>
      </c>
      <c r="C66" s="30" t="str">
        <f>Sheet1!BB66</f>
        <v>No</v>
      </c>
      <c r="D66" s="30" t="s">
        <v>13</v>
      </c>
      <c r="E66" s="34" t="s">
        <v>13</v>
      </c>
      <c r="F66" s="34" t="s">
        <v>3929</v>
      </c>
      <c r="G66" s="42" t="s">
        <v>3820</v>
      </c>
      <c r="H66" s="43">
        <v>460.0</v>
      </c>
      <c r="I66" s="42" t="s">
        <v>3853</v>
      </c>
      <c r="J66" s="43">
        <v>0.0</v>
      </c>
      <c r="K66" s="43">
        <v>100.0</v>
      </c>
      <c r="L66" s="43">
        <v>0.0</v>
      </c>
      <c r="M66" s="43">
        <v>0.0</v>
      </c>
      <c r="N66" s="33">
        <f>COUNTIFS('Data For Calculation - Insuranc'!A:A,A66,'Data For Calculation - Insuranc'!D:D,"Individual",'Data For Calculation - Insuranc'!E:E,"Bundled - 1 Year OD + 5 Year TP")</f>
        <v>0</v>
      </c>
      <c r="O66" s="34" t="s">
        <v>3930</v>
      </c>
      <c r="P66" s="42" t="s">
        <v>3820</v>
      </c>
      <c r="Q66" s="43">
        <v>460.0</v>
      </c>
      <c r="R66" s="42" t="s">
        <v>3853</v>
      </c>
      <c r="S66" s="43">
        <v>0.0</v>
      </c>
      <c r="T66" s="43">
        <v>100.0</v>
      </c>
      <c r="U66" s="43">
        <v>0.0</v>
      </c>
      <c r="V66" s="43">
        <v>0.0</v>
      </c>
      <c r="W66" s="33">
        <f>COUNTIFS('Data For Calculation - Insuranc'!A:A,A66,'Data For Calculation - Insuranc'!D:D,"Company",'Data For Calculation - Insuranc'!E:E,"Bundled - 1 Year OD + 5 Year TP")</f>
        <v>0</v>
      </c>
      <c r="X66" s="34" t="s">
        <v>3929</v>
      </c>
      <c r="Y66" s="42" t="s">
        <v>3820</v>
      </c>
      <c r="Z66" s="31">
        <v>290.0</v>
      </c>
      <c r="AA66" s="34" t="s">
        <v>3853</v>
      </c>
      <c r="AB66" s="34">
        <v>0.0</v>
      </c>
      <c r="AC66" s="34">
        <v>100.0</v>
      </c>
      <c r="AD66" s="34">
        <v>0.0</v>
      </c>
      <c r="AE66" s="34">
        <v>0.0</v>
      </c>
      <c r="AF66" s="33">
        <f>COUNTIFS('Data For Calculation - Insuranc'!A:A,A66,'Data For Calculation - Insuranc'!D:D,"Individual",'Data For Calculation - Insuranc'!E:E,"Rollover Comprehensive - 1 Year OD + 1 Year TP")</f>
        <v>0</v>
      </c>
      <c r="AG66" s="34" t="s">
        <v>3930</v>
      </c>
      <c r="AH66" s="42" t="s">
        <v>3820</v>
      </c>
      <c r="AI66" s="31">
        <v>290.0</v>
      </c>
      <c r="AJ66" s="34" t="s">
        <v>3853</v>
      </c>
      <c r="AK66" s="34">
        <v>0.0</v>
      </c>
      <c r="AL66" s="34">
        <v>100.0</v>
      </c>
      <c r="AM66" s="34">
        <v>0.0</v>
      </c>
      <c r="AN66" s="34">
        <v>0.0</v>
      </c>
      <c r="AO66" s="33">
        <f>COUNTIFS('Data For Calculation - Insuranc'!A:A,A66,'Data For Calculation - Insuranc'!D:D,"Company",'Data For Calculation - Insuranc'!E:E,"Rollover Comprehensive - 1 Year OD + 1 Year TP")</f>
        <v>0</v>
      </c>
      <c r="AP66" s="34" t="s">
        <v>3931</v>
      </c>
      <c r="AQ66" s="42" t="s">
        <v>3820</v>
      </c>
      <c r="AR66" s="31">
        <v>290.0</v>
      </c>
      <c r="AS66" s="34" t="s">
        <v>3853</v>
      </c>
      <c r="AT66" s="34">
        <v>0.0</v>
      </c>
      <c r="AU66" s="34">
        <v>100.0</v>
      </c>
      <c r="AV66" s="34">
        <v>0.0</v>
      </c>
      <c r="AW66" s="34">
        <v>0.0</v>
      </c>
      <c r="AX66" s="33">
        <f>COUNTIFS('Data For Calculation - Insuranc'!A:A,A66,'Data For Calculation - Insuranc'!D:D,"Individual",'Data For Calculation - Insuranc'!E:E,"Rollover - 1 Year OD Only")</f>
        <v>0</v>
      </c>
      <c r="AY66" s="34" t="s">
        <v>3932</v>
      </c>
      <c r="AZ66" s="42" t="s">
        <v>3820</v>
      </c>
      <c r="BA66" s="31">
        <v>290.0</v>
      </c>
      <c r="BB66" s="34" t="s">
        <v>3853</v>
      </c>
      <c r="BC66" s="34">
        <v>0.0</v>
      </c>
      <c r="BD66" s="34">
        <v>100.0</v>
      </c>
      <c r="BE66" s="34">
        <v>0.0</v>
      </c>
      <c r="BF66" s="34">
        <v>0.0</v>
      </c>
      <c r="BG66" s="33">
        <f>COUNTIFS('Data For Calculation - Insuranc'!A:A,A66,'Data For Calculation - Insuranc'!D:D,"Company",'Data For Calculation - Insuranc'!E:E,"Rollover - 1 Year OD Only")</f>
        <v>0</v>
      </c>
      <c r="BH66" s="34" t="s">
        <v>3931</v>
      </c>
      <c r="BI66" s="42" t="s">
        <v>3820</v>
      </c>
      <c r="BJ66" s="31">
        <v>290.0</v>
      </c>
      <c r="BK66" s="34" t="s">
        <v>3853</v>
      </c>
      <c r="BL66" s="34">
        <v>0.0</v>
      </c>
      <c r="BM66" s="34">
        <v>100.0</v>
      </c>
      <c r="BN66" s="34">
        <v>0.0</v>
      </c>
      <c r="BO66" s="34">
        <v>0.0</v>
      </c>
      <c r="BP66" s="33">
        <f>COUNTIFS('Data For Calculation - Insuranc'!A:A,A66,'Data For Calculation - Insuranc'!D:D,"Individual",'Data For Calculation - Insuranc'!E:E,"Rollover - 1 Year TP Only")</f>
        <v>0</v>
      </c>
      <c r="BQ66" s="34" t="s">
        <v>3932</v>
      </c>
      <c r="BR66" s="42" t="s">
        <v>3820</v>
      </c>
      <c r="BS66" s="31">
        <v>290.0</v>
      </c>
      <c r="BT66" s="34" t="s">
        <v>3853</v>
      </c>
      <c r="BU66" s="34">
        <v>0.0</v>
      </c>
      <c r="BV66" s="34">
        <v>100.0</v>
      </c>
      <c r="BW66" s="34">
        <v>0.0</v>
      </c>
      <c r="BX66" s="34">
        <v>0.0</v>
      </c>
      <c r="BY66" s="33">
        <f>COUNTIFS('Data For Calculation - Insuranc'!A:A,A66,'Data For Calculation - Insuranc'!D:D,"Company",'Data For Calculation - Insuranc'!E:E,"Rollover - 1 Year TP Only")</f>
        <v>0</v>
      </c>
      <c r="BZ66" s="31">
        <f t="shared" si="1"/>
        <v>0</v>
      </c>
      <c r="CA66" s="33">
        <f>SUMIFS('Data For Calculation - Insuranc'!I:I,'Data For Calculation - Insuranc'!$A:$A,$A66)</f>
        <v>0</v>
      </c>
      <c r="CB66" s="33">
        <f>SUMIFS('Data For Calculation - Insuranc'!J:J,'Data For Calculation - Insuranc'!$A:$A,$A66)</f>
        <v>0</v>
      </c>
      <c r="CC66" s="33">
        <f>SUMIFS('Data For Calculation - Insuranc'!K:K,'Data For Calculation - Insuranc'!$A:$A,$A66)</f>
        <v>0</v>
      </c>
      <c r="CD66" s="33">
        <f>IF($CK66 = "Dealer", SUMIFS('Data For Calculation - Insuranc'!I:I,'Data For Calculation - Insuranc'!$B:$B,$A66,'Data For Calculation - Insuranc'!$H:$H,"Master Dealer")) + SUMIFS('Data For Calculation - Insuranc'!I:I,'Data For Calculation - Insuranc'!$A:$A,$A66,'Data For Calculation - Insuranc'!$H:$H,"Self")</f>
        <v>0</v>
      </c>
      <c r="CE66" s="33">
        <f>IF($CK66 = "Dealer", SUMIFS('Data For Calculation - Insuranc'!J:J,'Data For Calculation - Insuranc'!$B:$B,$A66,'Data For Calculation - Insuranc'!$H:$H,"Master Dealer")) + SUMIFS('Data For Calculation - Insuranc'!J:J,'Data For Calculation - Insuranc'!$A:$A,$A66,'Data For Calculation - Insuranc'!$H:$H,"Self")</f>
        <v>0</v>
      </c>
      <c r="CF66" s="33">
        <f>IF($CK66 = "Dealer", SUMIFS('Data For Calculation - Insuranc'!K:K,'Data For Calculation - Insuranc'!$B:$B,$A66,'Data For Calculation - Insuranc'!$H:$H,"Master Dealer")) + SUMIFS('Data For Calculation - Insuranc'!K:K,'Data For Calculation - Insuranc'!$A:$A,$A66,'Data For Calculation - Insuranc'!$H:$H,"Self")</f>
        <v>0</v>
      </c>
      <c r="CG66" s="25" t="str">
        <f>(Sheet1!N66)</f>
        <v>Kavita Motors - Bijnor</v>
      </c>
      <c r="CH66" s="25" t="str">
        <f>(Sheet1!O66)</f>
        <v>1p3Bu4mvhlVeVMP3Ogpf0F-2KWPlAp07JNr-X652uW0U</v>
      </c>
      <c r="CI66" s="25" t="str">
        <f>(Sheet1!AV66)</f>
        <v/>
      </c>
      <c r="CJ66" s="25" t="str">
        <f>(Sheet1!AW66)</f>
        <v/>
      </c>
      <c r="CK66" s="26" t="str">
        <f>(Sheet1!P66)</f>
        <v>Sub Dealer</v>
      </c>
    </row>
    <row r="67">
      <c r="A67" s="25" t="str">
        <f>(Sheet1!A67)</f>
        <v>1DS5NtcGph94jJUNKazFINpAqRSIEGCBtibwVxAM7-qM</v>
      </c>
      <c r="B67" s="25" t="str">
        <f>(Sheet1!B67)</f>
        <v>NV Automobiles - TVS Mathura</v>
      </c>
      <c r="C67" s="30" t="str">
        <f>Sheet1!BB67</f>
        <v>No</v>
      </c>
      <c r="D67" s="30" t="s">
        <v>13</v>
      </c>
      <c r="E67" s="34" t="s">
        <v>13</v>
      </c>
      <c r="F67" s="34" t="s">
        <v>3929</v>
      </c>
      <c r="G67" s="42" t="s">
        <v>3817</v>
      </c>
      <c r="H67" s="43">
        <v>460.0</v>
      </c>
      <c r="I67" s="42" t="s">
        <v>3853</v>
      </c>
      <c r="J67" s="43">
        <v>0.0</v>
      </c>
      <c r="K67" s="43">
        <v>100.0</v>
      </c>
      <c r="L67" s="43">
        <v>0.0</v>
      </c>
      <c r="M67" s="43">
        <v>0.0</v>
      </c>
      <c r="N67" s="33">
        <f>COUNTIFS('Data For Calculation - Insuranc'!A:A,A67,'Data For Calculation - Insuranc'!D:D,"Individual",'Data For Calculation - Insuranc'!E:E,"Bundled - 1 Year OD + 5 Year TP")</f>
        <v>0</v>
      </c>
      <c r="O67" s="34" t="s">
        <v>3930</v>
      </c>
      <c r="P67" s="42" t="s">
        <v>3817</v>
      </c>
      <c r="Q67" s="43">
        <v>460.0</v>
      </c>
      <c r="R67" s="42" t="s">
        <v>3853</v>
      </c>
      <c r="S67" s="43">
        <v>0.0</v>
      </c>
      <c r="T67" s="43">
        <v>100.0</v>
      </c>
      <c r="U67" s="43">
        <v>0.0</v>
      </c>
      <c r="V67" s="43">
        <v>0.0</v>
      </c>
      <c r="W67" s="33">
        <f>COUNTIFS('Data For Calculation - Insuranc'!A:A,A67,'Data For Calculation - Insuranc'!D:D,"Company",'Data For Calculation - Insuranc'!E:E,"Bundled - 1 Year OD + 5 Year TP")</f>
        <v>0</v>
      </c>
      <c r="X67" s="34" t="s">
        <v>3929</v>
      </c>
      <c r="Y67" s="42" t="s">
        <v>3817</v>
      </c>
      <c r="Z67" s="31">
        <v>290.0</v>
      </c>
      <c r="AA67" s="34" t="s">
        <v>3853</v>
      </c>
      <c r="AB67" s="34">
        <v>0.0</v>
      </c>
      <c r="AC67" s="34">
        <v>100.0</v>
      </c>
      <c r="AD67" s="34">
        <v>0.0</v>
      </c>
      <c r="AE67" s="34">
        <v>0.0</v>
      </c>
      <c r="AF67" s="33">
        <f>COUNTIFS('Data For Calculation - Insuranc'!A:A,A67,'Data For Calculation - Insuranc'!D:D,"Individual",'Data For Calculation - Insuranc'!E:E,"Rollover Comprehensive - 1 Year OD + 1 Year TP")</f>
        <v>0</v>
      </c>
      <c r="AG67" s="34" t="s">
        <v>3930</v>
      </c>
      <c r="AH67" s="42" t="s">
        <v>3817</v>
      </c>
      <c r="AI67" s="31">
        <v>290.0</v>
      </c>
      <c r="AJ67" s="34" t="s">
        <v>3853</v>
      </c>
      <c r="AK67" s="34">
        <v>0.0</v>
      </c>
      <c r="AL67" s="34">
        <v>100.0</v>
      </c>
      <c r="AM67" s="34">
        <v>0.0</v>
      </c>
      <c r="AN67" s="34">
        <v>0.0</v>
      </c>
      <c r="AO67" s="33">
        <f>COUNTIFS('Data For Calculation - Insuranc'!A:A,A67,'Data For Calculation - Insuranc'!D:D,"Company",'Data For Calculation - Insuranc'!E:E,"Rollover Comprehensive - 1 Year OD + 1 Year TP")</f>
        <v>0</v>
      </c>
      <c r="AP67" s="34" t="s">
        <v>3931</v>
      </c>
      <c r="AQ67" s="42" t="s">
        <v>3817</v>
      </c>
      <c r="AR67" s="31">
        <v>290.0</v>
      </c>
      <c r="AS67" s="34" t="s">
        <v>3853</v>
      </c>
      <c r="AT67" s="34">
        <v>0.0</v>
      </c>
      <c r="AU67" s="34">
        <v>100.0</v>
      </c>
      <c r="AV67" s="34">
        <v>0.0</v>
      </c>
      <c r="AW67" s="34">
        <v>0.0</v>
      </c>
      <c r="AX67" s="33">
        <f>COUNTIFS('Data For Calculation - Insuranc'!A:A,A67,'Data For Calculation - Insuranc'!D:D,"Individual",'Data For Calculation - Insuranc'!E:E,"Rollover - 1 Year OD Only")</f>
        <v>0</v>
      </c>
      <c r="AY67" s="34" t="s">
        <v>3932</v>
      </c>
      <c r="AZ67" s="42" t="s">
        <v>3817</v>
      </c>
      <c r="BA67" s="31">
        <v>290.0</v>
      </c>
      <c r="BB67" s="34" t="s">
        <v>3853</v>
      </c>
      <c r="BC67" s="34">
        <v>0.0</v>
      </c>
      <c r="BD67" s="34">
        <v>100.0</v>
      </c>
      <c r="BE67" s="34">
        <v>0.0</v>
      </c>
      <c r="BF67" s="34">
        <v>0.0</v>
      </c>
      <c r="BG67" s="33">
        <f>COUNTIFS('Data For Calculation - Insuranc'!A:A,A67,'Data For Calculation - Insuranc'!D:D,"Company",'Data For Calculation - Insuranc'!E:E,"Rollover - 1 Year OD Only")</f>
        <v>0</v>
      </c>
      <c r="BH67" s="34" t="s">
        <v>3931</v>
      </c>
      <c r="BI67" s="42" t="s">
        <v>3817</v>
      </c>
      <c r="BJ67" s="31">
        <v>290.0</v>
      </c>
      <c r="BK67" s="34" t="s">
        <v>3853</v>
      </c>
      <c r="BL67" s="34">
        <v>0.0</v>
      </c>
      <c r="BM67" s="34">
        <v>100.0</v>
      </c>
      <c r="BN67" s="34">
        <v>0.0</v>
      </c>
      <c r="BO67" s="34">
        <v>0.0</v>
      </c>
      <c r="BP67" s="33">
        <f>COUNTIFS('Data For Calculation - Insuranc'!A:A,A67,'Data For Calculation - Insuranc'!D:D,"Individual",'Data For Calculation - Insuranc'!E:E,"Rollover - 1 Year TP Only")</f>
        <v>0</v>
      </c>
      <c r="BQ67" s="34" t="s">
        <v>3932</v>
      </c>
      <c r="BR67" s="42" t="s">
        <v>3817</v>
      </c>
      <c r="BS67" s="31">
        <v>290.0</v>
      </c>
      <c r="BT67" s="34" t="s">
        <v>3853</v>
      </c>
      <c r="BU67" s="34">
        <v>0.0</v>
      </c>
      <c r="BV67" s="34">
        <v>100.0</v>
      </c>
      <c r="BW67" s="34">
        <v>0.0</v>
      </c>
      <c r="BX67" s="34">
        <v>0.0</v>
      </c>
      <c r="BY67" s="33">
        <f>COUNTIFS('Data For Calculation - Insuranc'!A:A,A67,'Data For Calculation - Insuranc'!D:D,"Company",'Data For Calculation - Insuranc'!E:E,"Rollover - 1 Year TP Only")</f>
        <v>0</v>
      </c>
      <c r="BZ67" s="31">
        <f t="shared" si="1"/>
        <v>0</v>
      </c>
      <c r="CA67" s="33">
        <f>SUMIFS('Data For Calculation - Insuranc'!I:I,'Data For Calculation - Insuranc'!$A:$A,$A67)</f>
        <v>0</v>
      </c>
      <c r="CB67" s="33">
        <f>SUMIFS('Data For Calculation - Insuranc'!J:J,'Data For Calculation - Insuranc'!$A:$A,$A67)</f>
        <v>0</v>
      </c>
      <c r="CC67" s="33">
        <f>SUMIFS('Data For Calculation - Insuranc'!K:K,'Data For Calculation - Insuranc'!$A:$A,$A67)</f>
        <v>0</v>
      </c>
      <c r="CD67" s="33">
        <f>IF($CK67 = "Dealer", SUMIFS('Data For Calculation - Insuranc'!I:I,'Data For Calculation - Insuranc'!$B:$B,$A67,'Data For Calculation - Insuranc'!$H:$H,"Master Dealer")) + SUMIFS('Data For Calculation - Insuranc'!I:I,'Data For Calculation - Insuranc'!$A:$A,$A67,'Data For Calculation - Insuranc'!$H:$H,"Self")</f>
        <v>0</v>
      </c>
      <c r="CE67" s="33">
        <f>IF($CK67 = "Dealer", SUMIFS('Data For Calculation - Insuranc'!J:J,'Data For Calculation - Insuranc'!$B:$B,$A67,'Data For Calculation - Insuranc'!$H:$H,"Master Dealer")) + SUMIFS('Data For Calculation - Insuranc'!J:J,'Data For Calculation - Insuranc'!$A:$A,$A67,'Data For Calculation - Insuranc'!$H:$H,"Self")</f>
        <v>0</v>
      </c>
      <c r="CF67" s="33">
        <f>IF($CK67 = "Dealer", SUMIFS('Data For Calculation - Insuranc'!K:K,'Data For Calculation - Insuranc'!$B:$B,$A67,'Data For Calculation - Insuranc'!$H:$H,"Master Dealer")) + SUMIFS('Data For Calculation - Insuranc'!K:K,'Data For Calculation - Insuranc'!$A:$A,$A67,'Data For Calculation - Insuranc'!$H:$H,"Self")</f>
        <v>0</v>
      </c>
      <c r="CG67" s="25" t="str">
        <f>(Sheet1!N67)</f>
        <v>NV Automobiles - TVS Mathura</v>
      </c>
      <c r="CH67" s="25" t="str">
        <f>(Sheet1!O67)</f>
        <v>1DS5NtcGph94jJUNKazFINpAqRSIEGCBtibwVxAM7-qM</v>
      </c>
      <c r="CI67" s="25" t="str">
        <f>(Sheet1!AV67)</f>
        <v/>
      </c>
      <c r="CJ67" s="25" t="str">
        <f>(Sheet1!AW67)</f>
        <v/>
      </c>
      <c r="CK67" s="26" t="str">
        <f>(Sheet1!P67)</f>
        <v>Dealer</v>
      </c>
    </row>
    <row r="68">
      <c r="A68" s="25" t="str">
        <f>(Sheet1!A68)</f>
        <v>1_xzpyB0amoYhYfY1WdkZ6GVcQiaJKzjQJfus2Cafu-I</v>
      </c>
      <c r="B68" s="25" t="str">
        <f>(Sheet1!B68)</f>
        <v>Saheb Hero - Sahibabad</v>
      </c>
      <c r="C68" s="30" t="str">
        <f>Sheet1!BB68</f>
        <v>No</v>
      </c>
      <c r="D68" s="30" t="s">
        <v>13</v>
      </c>
      <c r="E68" s="34" t="s">
        <v>13</v>
      </c>
      <c r="F68" s="34" t="s">
        <v>3929</v>
      </c>
      <c r="G68" s="42" t="s">
        <v>3817</v>
      </c>
      <c r="H68" s="43">
        <v>460.0</v>
      </c>
      <c r="I68" s="42" t="s">
        <v>3853</v>
      </c>
      <c r="J68" s="43">
        <v>0.0</v>
      </c>
      <c r="K68" s="43">
        <v>100.0</v>
      </c>
      <c r="L68" s="43">
        <v>0.0</v>
      </c>
      <c r="M68" s="43">
        <v>0.0</v>
      </c>
      <c r="N68" s="33">
        <f>COUNTIFS('Data For Calculation - Insuranc'!A:A,A68,'Data For Calculation - Insuranc'!D:D,"Individual",'Data For Calculation - Insuranc'!E:E,"Bundled - 1 Year OD + 5 Year TP")</f>
        <v>0</v>
      </c>
      <c r="O68" s="34" t="s">
        <v>3930</v>
      </c>
      <c r="P68" s="42" t="s">
        <v>3817</v>
      </c>
      <c r="Q68" s="43">
        <v>460.0</v>
      </c>
      <c r="R68" s="42" t="s">
        <v>3853</v>
      </c>
      <c r="S68" s="43">
        <v>0.0</v>
      </c>
      <c r="T68" s="43">
        <v>100.0</v>
      </c>
      <c r="U68" s="43">
        <v>0.0</v>
      </c>
      <c r="V68" s="43">
        <v>0.0</v>
      </c>
      <c r="W68" s="33">
        <f>COUNTIFS('Data For Calculation - Insuranc'!A:A,A68,'Data For Calculation - Insuranc'!D:D,"Company",'Data For Calculation - Insuranc'!E:E,"Bundled - 1 Year OD + 5 Year TP")</f>
        <v>0</v>
      </c>
      <c r="X68" s="34" t="s">
        <v>3929</v>
      </c>
      <c r="Y68" s="42" t="s">
        <v>3817</v>
      </c>
      <c r="Z68" s="31">
        <v>290.0</v>
      </c>
      <c r="AA68" s="34" t="s">
        <v>3853</v>
      </c>
      <c r="AB68" s="34">
        <v>0.0</v>
      </c>
      <c r="AC68" s="34">
        <v>100.0</v>
      </c>
      <c r="AD68" s="34">
        <v>0.0</v>
      </c>
      <c r="AE68" s="34">
        <v>0.0</v>
      </c>
      <c r="AF68" s="33">
        <f>COUNTIFS('Data For Calculation - Insuranc'!A:A,A68,'Data For Calculation - Insuranc'!D:D,"Individual",'Data For Calculation - Insuranc'!E:E,"Rollover Comprehensive - 1 Year OD + 1 Year TP")</f>
        <v>0</v>
      </c>
      <c r="AG68" s="34" t="s">
        <v>3930</v>
      </c>
      <c r="AH68" s="42" t="s">
        <v>3817</v>
      </c>
      <c r="AI68" s="31">
        <v>290.0</v>
      </c>
      <c r="AJ68" s="34" t="s">
        <v>3853</v>
      </c>
      <c r="AK68" s="34">
        <v>0.0</v>
      </c>
      <c r="AL68" s="34">
        <v>100.0</v>
      </c>
      <c r="AM68" s="34">
        <v>0.0</v>
      </c>
      <c r="AN68" s="34">
        <v>0.0</v>
      </c>
      <c r="AO68" s="33">
        <f>COUNTIFS('Data For Calculation - Insuranc'!A:A,A68,'Data For Calculation - Insuranc'!D:D,"Company",'Data For Calculation - Insuranc'!E:E,"Rollover Comprehensive - 1 Year OD + 1 Year TP")</f>
        <v>0</v>
      </c>
      <c r="AP68" s="34" t="s">
        <v>3931</v>
      </c>
      <c r="AQ68" s="42" t="s">
        <v>3817</v>
      </c>
      <c r="AR68" s="31">
        <v>290.0</v>
      </c>
      <c r="AS68" s="34" t="s">
        <v>3853</v>
      </c>
      <c r="AT68" s="34">
        <v>0.0</v>
      </c>
      <c r="AU68" s="34">
        <v>100.0</v>
      </c>
      <c r="AV68" s="34">
        <v>0.0</v>
      </c>
      <c r="AW68" s="34">
        <v>0.0</v>
      </c>
      <c r="AX68" s="33">
        <f>COUNTIFS('Data For Calculation - Insuranc'!A:A,A68,'Data For Calculation - Insuranc'!D:D,"Individual",'Data For Calculation - Insuranc'!E:E,"Rollover - 1 Year OD Only")</f>
        <v>0</v>
      </c>
      <c r="AY68" s="34" t="s">
        <v>3932</v>
      </c>
      <c r="AZ68" s="42" t="s">
        <v>3817</v>
      </c>
      <c r="BA68" s="31">
        <v>290.0</v>
      </c>
      <c r="BB68" s="34" t="s">
        <v>3853</v>
      </c>
      <c r="BC68" s="34">
        <v>0.0</v>
      </c>
      <c r="BD68" s="34">
        <v>100.0</v>
      </c>
      <c r="BE68" s="34">
        <v>0.0</v>
      </c>
      <c r="BF68" s="34">
        <v>0.0</v>
      </c>
      <c r="BG68" s="33">
        <f>COUNTIFS('Data For Calculation - Insuranc'!A:A,A68,'Data For Calculation - Insuranc'!D:D,"Company",'Data For Calculation - Insuranc'!E:E,"Rollover - 1 Year OD Only")</f>
        <v>0</v>
      </c>
      <c r="BH68" s="34" t="s">
        <v>3931</v>
      </c>
      <c r="BI68" s="42" t="s">
        <v>3817</v>
      </c>
      <c r="BJ68" s="31">
        <v>290.0</v>
      </c>
      <c r="BK68" s="34" t="s">
        <v>3853</v>
      </c>
      <c r="BL68" s="34">
        <v>0.0</v>
      </c>
      <c r="BM68" s="34">
        <v>100.0</v>
      </c>
      <c r="BN68" s="34">
        <v>0.0</v>
      </c>
      <c r="BO68" s="34">
        <v>0.0</v>
      </c>
      <c r="BP68" s="33">
        <f>COUNTIFS('Data For Calculation - Insuranc'!A:A,A68,'Data For Calculation - Insuranc'!D:D,"Individual",'Data For Calculation - Insuranc'!E:E,"Rollover - 1 Year TP Only")</f>
        <v>0</v>
      </c>
      <c r="BQ68" s="34" t="s">
        <v>3932</v>
      </c>
      <c r="BR68" s="42" t="s">
        <v>3817</v>
      </c>
      <c r="BS68" s="31">
        <v>290.0</v>
      </c>
      <c r="BT68" s="34" t="s">
        <v>3853</v>
      </c>
      <c r="BU68" s="34">
        <v>0.0</v>
      </c>
      <c r="BV68" s="34">
        <v>100.0</v>
      </c>
      <c r="BW68" s="34">
        <v>0.0</v>
      </c>
      <c r="BX68" s="34">
        <v>0.0</v>
      </c>
      <c r="BY68" s="33">
        <f>COUNTIFS('Data For Calculation - Insuranc'!A:A,A68,'Data For Calculation - Insuranc'!D:D,"Company",'Data For Calculation - Insuranc'!E:E,"Rollover - 1 Year TP Only")</f>
        <v>0</v>
      </c>
      <c r="BZ68" s="31">
        <f t="shared" si="1"/>
        <v>0</v>
      </c>
      <c r="CA68" s="33">
        <f>SUMIFS('Data For Calculation - Insuranc'!I:I,'Data For Calculation - Insuranc'!$A:$A,$A68)</f>
        <v>0</v>
      </c>
      <c r="CB68" s="33">
        <f>SUMIFS('Data For Calculation - Insuranc'!J:J,'Data For Calculation - Insuranc'!$A:$A,$A68)</f>
        <v>0</v>
      </c>
      <c r="CC68" s="33">
        <f>SUMIFS('Data For Calculation - Insuranc'!K:K,'Data For Calculation - Insuranc'!$A:$A,$A68)</f>
        <v>0</v>
      </c>
      <c r="CD68" s="33">
        <f>IF($CK68 = "Dealer", SUMIFS('Data For Calculation - Insuranc'!I:I,'Data For Calculation - Insuranc'!$B:$B,$A68,'Data For Calculation - Insuranc'!$H:$H,"Master Dealer")) + SUMIFS('Data For Calculation - Insuranc'!I:I,'Data For Calculation - Insuranc'!$A:$A,$A68,'Data For Calculation - Insuranc'!$H:$H,"Self")</f>
        <v>0</v>
      </c>
      <c r="CE68" s="33">
        <f>IF($CK68 = "Dealer", SUMIFS('Data For Calculation - Insuranc'!J:J,'Data For Calculation - Insuranc'!$B:$B,$A68,'Data For Calculation - Insuranc'!$H:$H,"Master Dealer")) + SUMIFS('Data For Calculation - Insuranc'!J:J,'Data For Calculation - Insuranc'!$A:$A,$A68,'Data For Calculation - Insuranc'!$H:$H,"Self")</f>
        <v>0</v>
      </c>
      <c r="CF68" s="33">
        <f>IF($CK68 = "Dealer", SUMIFS('Data For Calculation - Insuranc'!K:K,'Data For Calculation - Insuranc'!$B:$B,$A68,'Data For Calculation - Insuranc'!$H:$H,"Master Dealer")) + SUMIFS('Data For Calculation - Insuranc'!K:K,'Data For Calculation - Insuranc'!$A:$A,$A68,'Data For Calculation - Insuranc'!$H:$H,"Self")</f>
        <v>0</v>
      </c>
      <c r="CG68" s="25" t="str">
        <f>(Sheet1!N68)</f>
        <v>Saheb Hero - Sahibabad</v>
      </c>
      <c r="CH68" s="25" t="str">
        <f>(Sheet1!O68)</f>
        <v>1_xzpyB0amoYhYfY1WdkZ6GVcQiaJKzjQJfus2Cafu-I</v>
      </c>
      <c r="CI68" s="25" t="str">
        <f>(Sheet1!AV68)</f>
        <v/>
      </c>
      <c r="CJ68" s="25" t="str">
        <f>(Sheet1!AW68)</f>
        <v/>
      </c>
      <c r="CK68" s="26" t="str">
        <f>(Sheet1!P68)</f>
        <v>Dealer</v>
      </c>
    </row>
    <row r="69">
      <c r="A69" s="25" t="str">
        <f>(Sheet1!A69)</f>
        <v>1ek5ZSLYEG8WzBo8pYbS1V3846hx1xCXCDzzgtbytVUQ</v>
      </c>
      <c r="B69" s="25" t="str">
        <f>(Sheet1!B69)</f>
        <v>MAA JAGDAMBA AUTOS VAW- GANGIRI</v>
      </c>
      <c r="C69" s="30" t="str">
        <f>Sheet1!BB69</f>
        <v>No</v>
      </c>
      <c r="D69" s="30" t="s">
        <v>13</v>
      </c>
      <c r="E69" s="34" t="s">
        <v>13</v>
      </c>
      <c r="F69" s="34" t="s">
        <v>3929</v>
      </c>
      <c r="G69" s="42" t="s">
        <v>3820</v>
      </c>
      <c r="H69" s="43">
        <v>170.0</v>
      </c>
      <c r="I69" s="42" t="s">
        <v>3853</v>
      </c>
      <c r="J69" s="43">
        <v>0.0</v>
      </c>
      <c r="K69" s="43">
        <v>100.0</v>
      </c>
      <c r="L69" s="43">
        <v>0.0</v>
      </c>
      <c r="M69" s="43">
        <v>0.0</v>
      </c>
      <c r="N69" s="33">
        <f>COUNTIFS('Data For Calculation - Insuranc'!A:A,A69,'Data For Calculation - Insuranc'!D:D,"Individual",'Data For Calculation - Insuranc'!E:E,"Bundled - 1 Year OD + 5 Year TP")</f>
        <v>0</v>
      </c>
      <c r="O69" s="34" t="s">
        <v>3930</v>
      </c>
      <c r="P69" s="42" t="s">
        <v>3820</v>
      </c>
      <c r="Q69" s="43">
        <v>170.0</v>
      </c>
      <c r="R69" s="42" t="s">
        <v>3853</v>
      </c>
      <c r="S69" s="43">
        <v>0.0</v>
      </c>
      <c r="T69" s="43">
        <v>100.0</v>
      </c>
      <c r="U69" s="43">
        <v>0.0</v>
      </c>
      <c r="V69" s="43">
        <v>0.0</v>
      </c>
      <c r="W69" s="33">
        <f>COUNTIFS('Data For Calculation - Insuranc'!A:A,A69,'Data For Calculation - Insuranc'!D:D,"Company",'Data For Calculation - Insuranc'!E:E,"Bundled - 1 Year OD + 5 Year TP")</f>
        <v>0</v>
      </c>
      <c r="X69" s="34" t="s">
        <v>3929</v>
      </c>
      <c r="Y69" s="42" t="s">
        <v>3820</v>
      </c>
      <c r="Z69" s="31">
        <v>170.0</v>
      </c>
      <c r="AA69" s="34" t="s">
        <v>3853</v>
      </c>
      <c r="AB69" s="34">
        <v>0.0</v>
      </c>
      <c r="AC69" s="34">
        <v>100.0</v>
      </c>
      <c r="AD69" s="34">
        <v>0.0</v>
      </c>
      <c r="AE69" s="34">
        <v>0.0</v>
      </c>
      <c r="AF69" s="33">
        <f>COUNTIFS('Data For Calculation - Insuranc'!A:A,A69,'Data For Calculation - Insuranc'!D:D,"Individual",'Data For Calculation - Insuranc'!E:E,"Rollover Comprehensive - 1 Year OD + 1 Year TP")</f>
        <v>0</v>
      </c>
      <c r="AG69" s="34" t="s">
        <v>3930</v>
      </c>
      <c r="AH69" s="42" t="s">
        <v>3820</v>
      </c>
      <c r="AI69" s="31">
        <v>170.0</v>
      </c>
      <c r="AJ69" s="34" t="s">
        <v>3853</v>
      </c>
      <c r="AK69" s="34">
        <v>0.0</v>
      </c>
      <c r="AL69" s="34">
        <v>100.0</v>
      </c>
      <c r="AM69" s="34">
        <v>0.0</v>
      </c>
      <c r="AN69" s="34">
        <v>0.0</v>
      </c>
      <c r="AO69" s="33">
        <f>COUNTIFS('Data For Calculation - Insuranc'!A:A,A69,'Data For Calculation - Insuranc'!D:D,"Company",'Data For Calculation - Insuranc'!E:E,"Rollover Comprehensive - 1 Year OD + 1 Year TP")</f>
        <v>0</v>
      </c>
      <c r="AP69" s="34" t="s">
        <v>3931</v>
      </c>
      <c r="AQ69" s="42" t="s">
        <v>3820</v>
      </c>
      <c r="AR69" s="31">
        <v>170.0</v>
      </c>
      <c r="AS69" s="34" t="s">
        <v>3853</v>
      </c>
      <c r="AT69" s="34">
        <v>0.0</v>
      </c>
      <c r="AU69" s="34">
        <v>100.0</v>
      </c>
      <c r="AV69" s="34">
        <v>0.0</v>
      </c>
      <c r="AW69" s="34">
        <v>0.0</v>
      </c>
      <c r="AX69" s="33">
        <f>COUNTIFS('Data For Calculation - Insuranc'!A:A,A69,'Data For Calculation - Insuranc'!D:D,"Individual",'Data For Calculation - Insuranc'!E:E,"Rollover - 1 Year OD Only")</f>
        <v>0</v>
      </c>
      <c r="AY69" s="34" t="s">
        <v>3932</v>
      </c>
      <c r="AZ69" s="42" t="s">
        <v>3820</v>
      </c>
      <c r="BA69" s="31">
        <v>170.0</v>
      </c>
      <c r="BB69" s="34" t="s">
        <v>3853</v>
      </c>
      <c r="BC69" s="34">
        <v>0.0</v>
      </c>
      <c r="BD69" s="34">
        <v>100.0</v>
      </c>
      <c r="BE69" s="34">
        <v>0.0</v>
      </c>
      <c r="BF69" s="34">
        <v>0.0</v>
      </c>
      <c r="BG69" s="33">
        <f>COUNTIFS('Data For Calculation - Insuranc'!A:A,A69,'Data For Calculation - Insuranc'!D:D,"Company",'Data For Calculation - Insuranc'!E:E,"Rollover - 1 Year OD Only")</f>
        <v>0</v>
      </c>
      <c r="BH69" s="34" t="s">
        <v>3931</v>
      </c>
      <c r="BI69" s="42" t="s">
        <v>3820</v>
      </c>
      <c r="BJ69" s="31">
        <v>170.0</v>
      </c>
      <c r="BK69" s="34" t="s">
        <v>3853</v>
      </c>
      <c r="BL69" s="34">
        <v>0.0</v>
      </c>
      <c r="BM69" s="34">
        <v>100.0</v>
      </c>
      <c r="BN69" s="34">
        <v>0.0</v>
      </c>
      <c r="BO69" s="34">
        <v>0.0</v>
      </c>
      <c r="BP69" s="33">
        <f>COUNTIFS('Data For Calculation - Insuranc'!A:A,A69,'Data For Calculation - Insuranc'!D:D,"Individual",'Data For Calculation - Insuranc'!E:E,"Rollover - 1 Year TP Only")</f>
        <v>0</v>
      </c>
      <c r="BQ69" s="34" t="s">
        <v>3932</v>
      </c>
      <c r="BR69" s="42" t="s">
        <v>3820</v>
      </c>
      <c r="BS69" s="31">
        <v>170.0</v>
      </c>
      <c r="BT69" s="34" t="s">
        <v>3853</v>
      </c>
      <c r="BU69" s="34">
        <v>0.0</v>
      </c>
      <c r="BV69" s="34">
        <v>100.0</v>
      </c>
      <c r="BW69" s="34">
        <v>0.0</v>
      </c>
      <c r="BX69" s="34">
        <v>0.0</v>
      </c>
      <c r="BY69" s="33">
        <f>COUNTIFS('Data For Calculation - Insuranc'!A:A,A69,'Data For Calculation - Insuranc'!D:D,"Company",'Data For Calculation - Insuranc'!E:E,"Rollover - 1 Year TP Only")</f>
        <v>0</v>
      </c>
      <c r="BZ69" s="31">
        <f t="shared" si="1"/>
        <v>0</v>
      </c>
      <c r="CA69" s="33">
        <f>SUMIFS('Data For Calculation - Insuranc'!I:I,'Data For Calculation - Insuranc'!$A:$A,$A69)</f>
        <v>0</v>
      </c>
      <c r="CB69" s="33">
        <f>SUMIFS('Data For Calculation - Insuranc'!J:J,'Data For Calculation - Insuranc'!$A:$A,$A69)</f>
        <v>0</v>
      </c>
      <c r="CC69" s="33">
        <f>SUMIFS('Data For Calculation - Insuranc'!K:K,'Data For Calculation - Insuranc'!$A:$A,$A69)</f>
        <v>0</v>
      </c>
      <c r="CD69" s="33">
        <f>IF($CK69 = "Dealer", SUMIFS('Data For Calculation - Insuranc'!I:I,'Data For Calculation - Insuranc'!$B:$B,$A69,'Data For Calculation - Insuranc'!$H:$H,"Master Dealer")) + SUMIFS('Data For Calculation - Insuranc'!I:I,'Data For Calculation - Insuranc'!$A:$A,$A69,'Data For Calculation - Insuranc'!$H:$H,"Self")</f>
        <v>0</v>
      </c>
      <c r="CE69" s="33">
        <f>IF($CK69 = "Dealer", SUMIFS('Data For Calculation - Insuranc'!J:J,'Data For Calculation - Insuranc'!$B:$B,$A69,'Data For Calculation - Insuranc'!$H:$H,"Master Dealer")) + SUMIFS('Data For Calculation - Insuranc'!J:J,'Data For Calculation - Insuranc'!$A:$A,$A69,'Data For Calculation - Insuranc'!$H:$H,"Self")</f>
        <v>0</v>
      </c>
      <c r="CF69" s="33">
        <f>IF($CK69 = "Dealer", SUMIFS('Data For Calculation - Insuranc'!K:K,'Data For Calculation - Insuranc'!$B:$B,$A69,'Data For Calculation - Insuranc'!$H:$H,"Master Dealer")) + SUMIFS('Data For Calculation - Insuranc'!K:K,'Data For Calculation - Insuranc'!$A:$A,$A69,'Data For Calculation - Insuranc'!$H:$H,"Self")</f>
        <v>0</v>
      </c>
      <c r="CG69" s="25" t="str">
        <f>(Sheet1!N69)</f>
        <v>Vikas Autowheels</v>
      </c>
      <c r="CH69" s="25" t="str">
        <f>(Sheet1!O69)</f>
        <v>1944RLX7T1M23YXRXYoMnJ6nD_bKLldQXRpFRA0rDLvg</v>
      </c>
      <c r="CI69" s="25" t="str">
        <f>(Sheet1!AV69)</f>
        <v/>
      </c>
      <c r="CJ69" s="25" t="str">
        <f>(Sheet1!AW69)</f>
        <v/>
      </c>
      <c r="CK69" s="26" t="str">
        <f>(Sheet1!P69)</f>
        <v>Sub Dealer</v>
      </c>
    </row>
    <row r="70">
      <c r="A70" s="25" t="str">
        <f>(Sheet1!A70)</f>
        <v>1IXY2NfdDO9vHV01RX_OjMzkaXNv8-PJpgaemIeYfL2M</v>
      </c>
      <c r="B70" s="25" t="str">
        <f>(Sheet1!B70)</f>
        <v>VAW - Beswan</v>
      </c>
      <c r="C70" s="30" t="str">
        <f>Sheet1!BB70</f>
        <v>No</v>
      </c>
      <c r="D70" s="30" t="s">
        <v>13</v>
      </c>
      <c r="E70" s="34" t="s">
        <v>13</v>
      </c>
      <c r="F70" s="34" t="s">
        <v>3929</v>
      </c>
      <c r="G70" s="42" t="s">
        <v>3820</v>
      </c>
      <c r="H70" s="43">
        <v>170.0</v>
      </c>
      <c r="I70" s="42" t="s">
        <v>3853</v>
      </c>
      <c r="J70" s="43">
        <v>0.0</v>
      </c>
      <c r="K70" s="43">
        <v>100.0</v>
      </c>
      <c r="L70" s="43">
        <v>0.0</v>
      </c>
      <c r="M70" s="43">
        <v>0.0</v>
      </c>
      <c r="N70" s="33">
        <f>COUNTIFS('Data For Calculation - Insuranc'!A:A,A70,'Data For Calculation - Insuranc'!D:D,"Individual",'Data For Calculation - Insuranc'!E:E,"Bundled - 1 Year OD + 5 Year TP")</f>
        <v>0</v>
      </c>
      <c r="O70" s="34" t="s">
        <v>3930</v>
      </c>
      <c r="P70" s="42" t="s">
        <v>3820</v>
      </c>
      <c r="Q70" s="43">
        <v>170.0</v>
      </c>
      <c r="R70" s="42" t="s">
        <v>3853</v>
      </c>
      <c r="S70" s="43">
        <v>0.0</v>
      </c>
      <c r="T70" s="43">
        <v>100.0</v>
      </c>
      <c r="U70" s="43">
        <v>0.0</v>
      </c>
      <c r="V70" s="43">
        <v>0.0</v>
      </c>
      <c r="W70" s="33">
        <f>COUNTIFS('Data For Calculation - Insuranc'!A:A,A70,'Data For Calculation - Insuranc'!D:D,"Company",'Data For Calculation - Insuranc'!E:E,"Bundled - 1 Year OD + 5 Year TP")</f>
        <v>0</v>
      </c>
      <c r="X70" s="34" t="s">
        <v>3929</v>
      </c>
      <c r="Y70" s="42" t="s">
        <v>3820</v>
      </c>
      <c r="Z70" s="31">
        <v>170.0</v>
      </c>
      <c r="AA70" s="34" t="s">
        <v>3853</v>
      </c>
      <c r="AB70" s="34">
        <v>0.0</v>
      </c>
      <c r="AC70" s="34">
        <v>100.0</v>
      </c>
      <c r="AD70" s="34">
        <v>0.0</v>
      </c>
      <c r="AE70" s="34">
        <v>0.0</v>
      </c>
      <c r="AF70" s="33">
        <f>COUNTIFS('Data For Calculation - Insuranc'!A:A,A70,'Data For Calculation - Insuranc'!D:D,"Individual",'Data For Calculation - Insuranc'!E:E,"Rollover Comprehensive - 1 Year OD + 1 Year TP")</f>
        <v>0</v>
      </c>
      <c r="AG70" s="34" t="s">
        <v>3930</v>
      </c>
      <c r="AH70" s="42" t="s">
        <v>3820</v>
      </c>
      <c r="AI70" s="31">
        <v>170.0</v>
      </c>
      <c r="AJ70" s="34" t="s">
        <v>3853</v>
      </c>
      <c r="AK70" s="34">
        <v>0.0</v>
      </c>
      <c r="AL70" s="34">
        <v>100.0</v>
      </c>
      <c r="AM70" s="34">
        <v>0.0</v>
      </c>
      <c r="AN70" s="34">
        <v>0.0</v>
      </c>
      <c r="AO70" s="33">
        <f>COUNTIFS('Data For Calculation - Insuranc'!A:A,A70,'Data For Calculation - Insuranc'!D:D,"Company",'Data For Calculation - Insuranc'!E:E,"Rollover Comprehensive - 1 Year OD + 1 Year TP")</f>
        <v>0</v>
      </c>
      <c r="AP70" s="34" t="s">
        <v>3931</v>
      </c>
      <c r="AQ70" s="42" t="s">
        <v>3820</v>
      </c>
      <c r="AR70" s="31">
        <v>170.0</v>
      </c>
      <c r="AS70" s="34" t="s">
        <v>3853</v>
      </c>
      <c r="AT70" s="34">
        <v>0.0</v>
      </c>
      <c r="AU70" s="34">
        <v>100.0</v>
      </c>
      <c r="AV70" s="34">
        <v>0.0</v>
      </c>
      <c r="AW70" s="34">
        <v>0.0</v>
      </c>
      <c r="AX70" s="33">
        <f>COUNTIFS('Data For Calculation - Insuranc'!A:A,A70,'Data For Calculation - Insuranc'!D:D,"Individual",'Data For Calculation - Insuranc'!E:E,"Rollover - 1 Year OD Only")</f>
        <v>0</v>
      </c>
      <c r="AY70" s="34" t="s">
        <v>3932</v>
      </c>
      <c r="AZ70" s="42" t="s">
        <v>3820</v>
      </c>
      <c r="BA70" s="31">
        <v>170.0</v>
      </c>
      <c r="BB70" s="34" t="s">
        <v>3853</v>
      </c>
      <c r="BC70" s="34">
        <v>0.0</v>
      </c>
      <c r="BD70" s="34">
        <v>100.0</v>
      </c>
      <c r="BE70" s="34">
        <v>0.0</v>
      </c>
      <c r="BF70" s="34">
        <v>0.0</v>
      </c>
      <c r="BG70" s="33">
        <f>COUNTIFS('Data For Calculation - Insuranc'!A:A,A70,'Data For Calculation - Insuranc'!D:D,"Company",'Data For Calculation - Insuranc'!E:E,"Rollover - 1 Year OD Only")</f>
        <v>0</v>
      </c>
      <c r="BH70" s="34" t="s">
        <v>3931</v>
      </c>
      <c r="BI70" s="42" t="s">
        <v>3820</v>
      </c>
      <c r="BJ70" s="31">
        <v>170.0</v>
      </c>
      <c r="BK70" s="34" t="s">
        <v>3853</v>
      </c>
      <c r="BL70" s="34">
        <v>0.0</v>
      </c>
      <c r="BM70" s="34">
        <v>100.0</v>
      </c>
      <c r="BN70" s="34">
        <v>0.0</v>
      </c>
      <c r="BO70" s="34">
        <v>0.0</v>
      </c>
      <c r="BP70" s="33">
        <f>COUNTIFS('Data For Calculation - Insuranc'!A:A,A70,'Data For Calculation - Insuranc'!D:D,"Individual",'Data For Calculation - Insuranc'!E:E,"Rollover - 1 Year TP Only")</f>
        <v>0</v>
      </c>
      <c r="BQ70" s="34" t="s">
        <v>3932</v>
      </c>
      <c r="BR70" s="42" t="s">
        <v>3820</v>
      </c>
      <c r="BS70" s="31">
        <v>170.0</v>
      </c>
      <c r="BT70" s="34" t="s">
        <v>3853</v>
      </c>
      <c r="BU70" s="34">
        <v>0.0</v>
      </c>
      <c r="BV70" s="34">
        <v>100.0</v>
      </c>
      <c r="BW70" s="34">
        <v>0.0</v>
      </c>
      <c r="BX70" s="34">
        <v>0.0</v>
      </c>
      <c r="BY70" s="33">
        <f>COUNTIFS('Data For Calculation - Insuranc'!A:A,A70,'Data For Calculation - Insuranc'!D:D,"Company",'Data For Calculation - Insuranc'!E:E,"Rollover - 1 Year TP Only")</f>
        <v>0</v>
      </c>
      <c r="BZ70" s="31">
        <f t="shared" si="1"/>
        <v>0</v>
      </c>
      <c r="CA70" s="33">
        <f>SUMIFS('Data For Calculation - Insuranc'!I:I,'Data For Calculation - Insuranc'!$A:$A,$A70)</f>
        <v>0</v>
      </c>
      <c r="CB70" s="33">
        <f>SUMIFS('Data For Calculation - Insuranc'!J:J,'Data For Calculation - Insuranc'!$A:$A,$A70)</f>
        <v>0</v>
      </c>
      <c r="CC70" s="33">
        <f>SUMIFS('Data For Calculation - Insuranc'!K:K,'Data For Calculation - Insuranc'!$A:$A,$A70)</f>
        <v>0</v>
      </c>
      <c r="CD70" s="33">
        <f>IF($CK70 = "Dealer", SUMIFS('Data For Calculation - Insuranc'!I:I,'Data For Calculation - Insuranc'!$B:$B,$A70,'Data For Calculation - Insuranc'!$H:$H,"Master Dealer")) + SUMIFS('Data For Calculation - Insuranc'!I:I,'Data For Calculation - Insuranc'!$A:$A,$A70,'Data For Calculation - Insuranc'!$H:$H,"Self")</f>
        <v>0</v>
      </c>
      <c r="CE70" s="33">
        <f>IF($CK70 = "Dealer", SUMIFS('Data For Calculation - Insuranc'!J:J,'Data For Calculation - Insuranc'!$B:$B,$A70,'Data For Calculation - Insuranc'!$H:$H,"Master Dealer")) + SUMIFS('Data For Calculation - Insuranc'!J:J,'Data For Calculation - Insuranc'!$A:$A,$A70,'Data For Calculation - Insuranc'!$H:$H,"Self")</f>
        <v>0</v>
      </c>
      <c r="CF70" s="33">
        <f>IF($CK70 = "Dealer", SUMIFS('Data For Calculation - Insuranc'!K:K,'Data For Calculation - Insuranc'!$B:$B,$A70,'Data For Calculation - Insuranc'!$H:$H,"Master Dealer")) + SUMIFS('Data For Calculation - Insuranc'!K:K,'Data For Calculation - Insuranc'!$A:$A,$A70,'Data For Calculation - Insuranc'!$H:$H,"Self")</f>
        <v>0</v>
      </c>
      <c r="CG70" s="25" t="str">
        <f>(Sheet1!N70)</f>
        <v>Vikas Autowheels</v>
      </c>
      <c r="CH70" s="25" t="str">
        <f>(Sheet1!O70)</f>
        <v>1944RLX7T1M23YXRXYoMnJ6nD_bKLldQXRpFRA0rDLvg</v>
      </c>
      <c r="CI70" s="25" t="str">
        <f>(Sheet1!AV70)</f>
        <v/>
      </c>
      <c r="CJ70" s="25" t="str">
        <f>(Sheet1!AW70)</f>
        <v/>
      </c>
      <c r="CK70" s="26" t="str">
        <f>(Sheet1!P70)</f>
        <v>Sub Dealer</v>
      </c>
    </row>
    <row r="71">
      <c r="A71" s="25" t="str">
        <f>(Sheet1!A71)</f>
        <v>1fuov6VFDdW_GQYt6JqaxRJIc_DBrPxXJBPo_jAzr9aE</v>
      </c>
      <c r="B71" s="25" t="str">
        <f>(Sheet1!B71)</f>
        <v>AutoDeals Hero - Narnaul</v>
      </c>
      <c r="C71" s="30" t="str">
        <f>Sheet1!BB71</f>
        <v>No</v>
      </c>
      <c r="D71" s="30" t="s">
        <v>13</v>
      </c>
      <c r="E71" s="34" t="s">
        <v>13</v>
      </c>
      <c r="F71" s="34" t="s">
        <v>3929</v>
      </c>
      <c r="G71" s="42" t="s">
        <v>3820</v>
      </c>
      <c r="H71" s="43">
        <v>460.0</v>
      </c>
      <c r="I71" s="42" t="s">
        <v>3853</v>
      </c>
      <c r="J71" s="43">
        <v>0.0</v>
      </c>
      <c r="K71" s="43">
        <v>100.0</v>
      </c>
      <c r="L71" s="43">
        <v>0.0</v>
      </c>
      <c r="M71" s="43">
        <v>0.0</v>
      </c>
      <c r="N71" s="33">
        <f>COUNTIFS('Data For Calculation - Insuranc'!A:A,A71,'Data For Calculation - Insuranc'!D:D,"Individual",'Data For Calculation - Insuranc'!E:E,"Bundled - 1 Year OD + 5 Year TP")</f>
        <v>0</v>
      </c>
      <c r="O71" s="34" t="s">
        <v>3930</v>
      </c>
      <c r="P71" s="42" t="s">
        <v>3820</v>
      </c>
      <c r="Q71" s="43">
        <v>460.0</v>
      </c>
      <c r="R71" s="42" t="s">
        <v>3853</v>
      </c>
      <c r="S71" s="43">
        <v>0.0</v>
      </c>
      <c r="T71" s="43">
        <v>100.0</v>
      </c>
      <c r="U71" s="43">
        <v>0.0</v>
      </c>
      <c r="V71" s="43">
        <v>0.0</v>
      </c>
      <c r="W71" s="33">
        <f>COUNTIFS('Data For Calculation - Insuranc'!A:A,A71,'Data For Calculation - Insuranc'!D:D,"Company",'Data For Calculation - Insuranc'!E:E,"Bundled - 1 Year OD + 5 Year TP")</f>
        <v>0</v>
      </c>
      <c r="X71" s="34" t="s">
        <v>3929</v>
      </c>
      <c r="Y71" s="42" t="s">
        <v>3820</v>
      </c>
      <c r="Z71" s="31">
        <v>290.0</v>
      </c>
      <c r="AA71" s="34" t="s">
        <v>3853</v>
      </c>
      <c r="AB71" s="34">
        <v>0.0</v>
      </c>
      <c r="AC71" s="34">
        <v>100.0</v>
      </c>
      <c r="AD71" s="34">
        <v>0.0</v>
      </c>
      <c r="AE71" s="34">
        <v>0.0</v>
      </c>
      <c r="AF71" s="33">
        <f>COUNTIFS('Data For Calculation - Insuranc'!A:A,A71,'Data For Calculation - Insuranc'!D:D,"Individual",'Data For Calculation - Insuranc'!E:E,"Rollover Comprehensive - 1 Year OD + 1 Year TP")</f>
        <v>0</v>
      </c>
      <c r="AG71" s="34" t="s">
        <v>3930</v>
      </c>
      <c r="AH71" s="42" t="s">
        <v>3820</v>
      </c>
      <c r="AI71" s="31">
        <v>290.0</v>
      </c>
      <c r="AJ71" s="34" t="s">
        <v>3853</v>
      </c>
      <c r="AK71" s="34">
        <v>0.0</v>
      </c>
      <c r="AL71" s="34">
        <v>100.0</v>
      </c>
      <c r="AM71" s="34">
        <v>0.0</v>
      </c>
      <c r="AN71" s="34">
        <v>0.0</v>
      </c>
      <c r="AO71" s="33">
        <f>COUNTIFS('Data For Calculation - Insuranc'!A:A,A71,'Data For Calculation - Insuranc'!D:D,"Company",'Data For Calculation - Insuranc'!E:E,"Rollover Comprehensive - 1 Year OD + 1 Year TP")</f>
        <v>0</v>
      </c>
      <c r="AP71" s="34" t="s">
        <v>3931</v>
      </c>
      <c r="AQ71" s="42" t="s">
        <v>3820</v>
      </c>
      <c r="AR71" s="31">
        <v>290.0</v>
      </c>
      <c r="AS71" s="34" t="s">
        <v>3853</v>
      </c>
      <c r="AT71" s="34">
        <v>0.0</v>
      </c>
      <c r="AU71" s="34">
        <v>100.0</v>
      </c>
      <c r="AV71" s="34">
        <v>0.0</v>
      </c>
      <c r="AW71" s="34">
        <v>0.0</v>
      </c>
      <c r="AX71" s="33">
        <f>COUNTIFS('Data For Calculation - Insuranc'!A:A,A71,'Data For Calculation - Insuranc'!D:D,"Individual",'Data For Calculation - Insuranc'!E:E,"Rollover - 1 Year OD Only")</f>
        <v>0</v>
      </c>
      <c r="AY71" s="34" t="s">
        <v>3932</v>
      </c>
      <c r="AZ71" s="42" t="s">
        <v>3820</v>
      </c>
      <c r="BA71" s="31">
        <v>290.0</v>
      </c>
      <c r="BB71" s="34" t="s">
        <v>3853</v>
      </c>
      <c r="BC71" s="34">
        <v>0.0</v>
      </c>
      <c r="BD71" s="34">
        <v>100.0</v>
      </c>
      <c r="BE71" s="34">
        <v>0.0</v>
      </c>
      <c r="BF71" s="34">
        <v>0.0</v>
      </c>
      <c r="BG71" s="33">
        <f>COUNTIFS('Data For Calculation - Insuranc'!A:A,A71,'Data For Calculation - Insuranc'!D:D,"Company",'Data For Calculation - Insuranc'!E:E,"Rollover - 1 Year OD Only")</f>
        <v>0</v>
      </c>
      <c r="BH71" s="34" t="s">
        <v>3931</v>
      </c>
      <c r="BI71" s="42" t="s">
        <v>3820</v>
      </c>
      <c r="BJ71" s="31">
        <v>290.0</v>
      </c>
      <c r="BK71" s="34" t="s">
        <v>3853</v>
      </c>
      <c r="BL71" s="34">
        <v>0.0</v>
      </c>
      <c r="BM71" s="34">
        <v>100.0</v>
      </c>
      <c r="BN71" s="34">
        <v>0.0</v>
      </c>
      <c r="BO71" s="34">
        <v>0.0</v>
      </c>
      <c r="BP71" s="33">
        <f>COUNTIFS('Data For Calculation - Insuranc'!A:A,A71,'Data For Calculation - Insuranc'!D:D,"Individual",'Data For Calculation - Insuranc'!E:E,"Rollover - 1 Year TP Only")</f>
        <v>0</v>
      </c>
      <c r="BQ71" s="34" t="s">
        <v>3932</v>
      </c>
      <c r="BR71" s="42" t="s">
        <v>3820</v>
      </c>
      <c r="BS71" s="31">
        <v>290.0</v>
      </c>
      <c r="BT71" s="34" t="s">
        <v>3853</v>
      </c>
      <c r="BU71" s="34">
        <v>0.0</v>
      </c>
      <c r="BV71" s="34">
        <v>100.0</v>
      </c>
      <c r="BW71" s="34">
        <v>0.0</v>
      </c>
      <c r="BX71" s="34">
        <v>0.0</v>
      </c>
      <c r="BY71" s="33">
        <f>COUNTIFS('Data For Calculation - Insuranc'!A:A,A71,'Data For Calculation - Insuranc'!D:D,"Company",'Data For Calculation - Insuranc'!E:E,"Rollover - 1 Year TP Only")</f>
        <v>0</v>
      </c>
      <c r="BZ71" s="31">
        <f t="shared" si="1"/>
        <v>0</v>
      </c>
      <c r="CA71" s="33">
        <f>SUMIFS('Data For Calculation - Insuranc'!I:I,'Data For Calculation - Insuranc'!$A:$A,$A71)</f>
        <v>0</v>
      </c>
      <c r="CB71" s="33">
        <f>SUMIFS('Data For Calculation - Insuranc'!J:J,'Data For Calculation - Insuranc'!$A:$A,$A71)</f>
        <v>0</v>
      </c>
      <c r="CC71" s="33">
        <f>SUMIFS('Data For Calculation - Insuranc'!K:K,'Data For Calculation - Insuranc'!$A:$A,$A71)</f>
        <v>0</v>
      </c>
      <c r="CD71" s="33">
        <f>IF($CK71 = "Dealer", SUMIFS('Data For Calculation - Insuranc'!I:I,'Data For Calculation - Insuranc'!$B:$B,$A71,'Data For Calculation - Insuranc'!$H:$H,"Master Dealer")) + SUMIFS('Data For Calculation - Insuranc'!I:I,'Data For Calculation - Insuranc'!$A:$A,$A71,'Data For Calculation - Insuranc'!$H:$H,"Self")</f>
        <v>0</v>
      </c>
      <c r="CE71" s="33">
        <f>IF($CK71 = "Dealer", SUMIFS('Data For Calculation - Insuranc'!J:J,'Data For Calculation - Insuranc'!$B:$B,$A71,'Data For Calculation - Insuranc'!$H:$H,"Master Dealer")) + SUMIFS('Data For Calculation - Insuranc'!J:J,'Data For Calculation - Insuranc'!$A:$A,$A71,'Data For Calculation - Insuranc'!$H:$H,"Self")</f>
        <v>0</v>
      </c>
      <c r="CF71" s="33">
        <f>IF($CK71 = "Dealer", SUMIFS('Data For Calculation - Insuranc'!K:K,'Data For Calculation - Insuranc'!$B:$B,$A71,'Data For Calculation - Insuranc'!$H:$H,"Master Dealer")) + SUMIFS('Data For Calculation - Insuranc'!K:K,'Data For Calculation - Insuranc'!$A:$A,$A71,'Data For Calculation - Insuranc'!$H:$H,"Self")</f>
        <v>0</v>
      </c>
      <c r="CG71" s="25" t="str">
        <f>(Sheet1!N71)</f>
        <v>AutoDeals Hero - Narnaul</v>
      </c>
      <c r="CH71" s="25" t="str">
        <f>(Sheet1!O71)</f>
        <v>1fuov6VFDdW_GQYt6JqaxRJIc_DBrPxXJBPo_jAzr9aE</v>
      </c>
      <c r="CI71" s="25" t="str">
        <f>(Sheet1!AV71)</f>
        <v/>
      </c>
      <c r="CJ71" s="25" t="str">
        <f>(Sheet1!AW71)</f>
        <v/>
      </c>
      <c r="CK71" s="26" t="str">
        <f>(Sheet1!P71)</f>
        <v>Dealer</v>
      </c>
    </row>
    <row r="72">
      <c r="A72" s="25" t="str">
        <f>(Sheet1!A72)</f>
        <v>1nVez-s51qjTfP2ibHDiiELEFanG-2ZCG66Y-ueax5G4</v>
      </c>
      <c r="B72" s="25" t="str">
        <f>(Sheet1!B72)</f>
        <v>Virendra Automobile - Rewari</v>
      </c>
      <c r="C72" s="30" t="str">
        <f>Sheet1!BB72</f>
        <v>No</v>
      </c>
      <c r="D72" s="30" t="s">
        <v>13</v>
      </c>
      <c r="E72" s="34" t="s">
        <v>13</v>
      </c>
      <c r="F72" s="34" t="s">
        <v>3929</v>
      </c>
      <c r="G72" s="42" t="s">
        <v>3817</v>
      </c>
      <c r="H72" s="43">
        <v>460.0</v>
      </c>
      <c r="I72" s="42" t="s">
        <v>3853</v>
      </c>
      <c r="J72" s="43">
        <v>0.0</v>
      </c>
      <c r="K72" s="43">
        <v>100.0</v>
      </c>
      <c r="L72" s="43">
        <v>0.0</v>
      </c>
      <c r="M72" s="43">
        <v>0.0</v>
      </c>
      <c r="N72" s="33">
        <f>COUNTIFS('Data For Calculation - Insuranc'!A:A,A72,'Data For Calculation - Insuranc'!D:D,"Individual",'Data For Calculation - Insuranc'!E:E,"Bundled - 1 Year OD + 5 Year TP")</f>
        <v>0</v>
      </c>
      <c r="O72" s="34" t="s">
        <v>3930</v>
      </c>
      <c r="P72" s="42" t="s">
        <v>3817</v>
      </c>
      <c r="Q72" s="43">
        <v>460.0</v>
      </c>
      <c r="R72" s="42" t="s">
        <v>3853</v>
      </c>
      <c r="S72" s="43">
        <v>0.0</v>
      </c>
      <c r="T72" s="43">
        <v>100.0</v>
      </c>
      <c r="U72" s="43">
        <v>0.0</v>
      </c>
      <c r="V72" s="43">
        <v>0.0</v>
      </c>
      <c r="W72" s="33">
        <f>COUNTIFS('Data For Calculation - Insuranc'!A:A,A72,'Data For Calculation - Insuranc'!D:D,"Company",'Data For Calculation - Insuranc'!E:E,"Bundled - 1 Year OD + 5 Year TP")</f>
        <v>0</v>
      </c>
      <c r="X72" s="34" t="s">
        <v>3929</v>
      </c>
      <c r="Y72" s="42" t="s">
        <v>3817</v>
      </c>
      <c r="Z72" s="31">
        <v>290.0</v>
      </c>
      <c r="AA72" s="34" t="s">
        <v>3853</v>
      </c>
      <c r="AB72" s="34">
        <v>0.0</v>
      </c>
      <c r="AC72" s="34">
        <v>100.0</v>
      </c>
      <c r="AD72" s="34">
        <v>0.0</v>
      </c>
      <c r="AE72" s="34">
        <v>0.0</v>
      </c>
      <c r="AF72" s="33">
        <f>COUNTIFS('Data For Calculation - Insuranc'!A:A,A72,'Data For Calculation - Insuranc'!D:D,"Individual",'Data For Calculation - Insuranc'!E:E,"Rollover Comprehensive - 1 Year OD + 1 Year TP")</f>
        <v>0</v>
      </c>
      <c r="AG72" s="34" t="s">
        <v>3930</v>
      </c>
      <c r="AH72" s="42" t="s">
        <v>3817</v>
      </c>
      <c r="AI72" s="31">
        <v>290.0</v>
      </c>
      <c r="AJ72" s="34" t="s">
        <v>3853</v>
      </c>
      <c r="AK72" s="34">
        <v>0.0</v>
      </c>
      <c r="AL72" s="34">
        <v>100.0</v>
      </c>
      <c r="AM72" s="34">
        <v>0.0</v>
      </c>
      <c r="AN72" s="34">
        <v>0.0</v>
      </c>
      <c r="AO72" s="33">
        <f>COUNTIFS('Data For Calculation - Insuranc'!A:A,A72,'Data For Calculation - Insuranc'!D:D,"Company",'Data For Calculation - Insuranc'!E:E,"Rollover Comprehensive - 1 Year OD + 1 Year TP")</f>
        <v>0</v>
      </c>
      <c r="AP72" s="34" t="s">
        <v>3931</v>
      </c>
      <c r="AQ72" s="42" t="s">
        <v>3817</v>
      </c>
      <c r="AR72" s="31">
        <v>290.0</v>
      </c>
      <c r="AS72" s="34" t="s">
        <v>3853</v>
      </c>
      <c r="AT72" s="34">
        <v>0.0</v>
      </c>
      <c r="AU72" s="34">
        <v>100.0</v>
      </c>
      <c r="AV72" s="34">
        <v>0.0</v>
      </c>
      <c r="AW72" s="34">
        <v>0.0</v>
      </c>
      <c r="AX72" s="33">
        <f>COUNTIFS('Data For Calculation - Insuranc'!A:A,A72,'Data For Calculation - Insuranc'!D:D,"Individual",'Data For Calculation - Insuranc'!E:E,"Rollover - 1 Year OD Only")</f>
        <v>0</v>
      </c>
      <c r="AY72" s="34" t="s">
        <v>3932</v>
      </c>
      <c r="AZ72" s="42" t="s">
        <v>3817</v>
      </c>
      <c r="BA72" s="31">
        <v>290.0</v>
      </c>
      <c r="BB72" s="34" t="s">
        <v>3853</v>
      </c>
      <c r="BC72" s="34">
        <v>0.0</v>
      </c>
      <c r="BD72" s="34">
        <v>100.0</v>
      </c>
      <c r="BE72" s="34">
        <v>0.0</v>
      </c>
      <c r="BF72" s="34">
        <v>0.0</v>
      </c>
      <c r="BG72" s="33">
        <f>COUNTIFS('Data For Calculation - Insuranc'!A:A,A72,'Data For Calculation - Insuranc'!D:D,"Company",'Data For Calculation - Insuranc'!E:E,"Rollover - 1 Year OD Only")</f>
        <v>0</v>
      </c>
      <c r="BH72" s="34" t="s">
        <v>3931</v>
      </c>
      <c r="BI72" s="42" t="s">
        <v>3817</v>
      </c>
      <c r="BJ72" s="31">
        <v>290.0</v>
      </c>
      <c r="BK72" s="34" t="s">
        <v>3853</v>
      </c>
      <c r="BL72" s="34">
        <v>0.0</v>
      </c>
      <c r="BM72" s="34">
        <v>100.0</v>
      </c>
      <c r="BN72" s="34">
        <v>0.0</v>
      </c>
      <c r="BO72" s="34">
        <v>0.0</v>
      </c>
      <c r="BP72" s="33">
        <f>COUNTIFS('Data For Calculation - Insuranc'!A:A,A72,'Data For Calculation - Insuranc'!D:D,"Individual",'Data For Calculation - Insuranc'!E:E,"Rollover - 1 Year TP Only")</f>
        <v>0</v>
      </c>
      <c r="BQ72" s="34" t="s">
        <v>3932</v>
      </c>
      <c r="BR72" s="42" t="s">
        <v>3817</v>
      </c>
      <c r="BS72" s="31">
        <v>290.0</v>
      </c>
      <c r="BT72" s="34" t="s">
        <v>3853</v>
      </c>
      <c r="BU72" s="34">
        <v>0.0</v>
      </c>
      <c r="BV72" s="34">
        <v>100.0</v>
      </c>
      <c r="BW72" s="34">
        <v>0.0</v>
      </c>
      <c r="BX72" s="34">
        <v>0.0</v>
      </c>
      <c r="BY72" s="33">
        <f>COUNTIFS('Data For Calculation - Insuranc'!A:A,A72,'Data For Calculation - Insuranc'!D:D,"Company",'Data For Calculation - Insuranc'!E:E,"Rollover - 1 Year TP Only")</f>
        <v>0</v>
      </c>
      <c r="BZ72" s="31">
        <f t="shared" si="1"/>
        <v>0</v>
      </c>
      <c r="CA72" s="33">
        <f>SUMIFS('Data For Calculation - Insuranc'!I:I,'Data For Calculation - Insuranc'!$A:$A,$A72)</f>
        <v>0</v>
      </c>
      <c r="CB72" s="33">
        <f>SUMIFS('Data For Calculation - Insuranc'!J:J,'Data For Calculation - Insuranc'!$A:$A,$A72)</f>
        <v>0</v>
      </c>
      <c r="CC72" s="33">
        <f>SUMIFS('Data For Calculation - Insuranc'!K:K,'Data For Calculation - Insuranc'!$A:$A,$A72)</f>
        <v>0</v>
      </c>
      <c r="CD72" s="33">
        <f>IF($CK72 = "Dealer", SUMIFS('Data For Calculation - Insuranc'!I:I,'Data For Calculation - Insuranc'!$B:$B,$A72,'Data For Calculation - Insuranc'!$H:$H,"Master Dealer")) + SUMIFS('Data For Calculation - Insuranc'!I:I,'Data For Calculation - Insuranc'!$A:$A,$A72,'Data For Calculation - Insuranc'!$H:$H,"Self")</f>
        <v>0</v>
      </c>
      <c r="CE72" s="33">
        <f>IF($CK72 = "Dealer", SUMIFS('Data For Calculation - Insuranc'!J:J,'Data For Calculation - Insuranc'!$B:$B,$A72,'Data For Calculation - Insuranc'!$H:$H,"Master Dealer")) + SUMIFS('Data For Calculation - Insuranc'!J:J,'Data For Calculation - Insuranc'!$A:$A,$A72,'Data For Calculation - Insuranc'!$H:$H,"Self")</f>
        <v>0</v>
      </c>
      <c r="CF72" s="33">
        <f>IF($CK72 = "Dealer", SUMIFS('Data For Calculation - Insuranc'!K:K,'Data For Calculation - Insuranc'!$B:$B,$A72,'Data For Calculation - Insuranc'!$H:$H,"Master Dealer")) + SUMIFS('Data For Calculation - Insuranc'!K:K,'Data For Calculation - Insuranc'!$A:$A,$A72,'Data For Calculation - Insuranc'!$H:$H,"Self")</f>
        <v>0</v>
      </c>
      <c r="CG72" s="25" t="str">
        <f>(Sheet1!N72)</f>
        <v>Virendra Automobile - Rewari</v>
      </c>
      <c r="CH72" s="25" t="str">
        <f>(Sheet1!O72)</f>
        <v>1nVez-s51qjTfP2ibHDiiELEFanG-2ZCG66Y-ueax5G4</v>
      </c>
      <c r="CI72" s="25" t="str">
        <f>(Sheet1!AV72)</f>
        <v/>
      </c>
      <c r="CJ72" s="25" t="str">
        <f>(Sheet1!AW72)</f>
        <v/>
      </c>
      <c r="CK72" s="26" t="str">
        <f>(Sheet1!P72)</f>
        <v>Dealer</v>
      </c>
    </row>
    <row r="73">
      <c r="A73" s="25" t="str">
        <f>(Sheet1!A73)</f>
        <v>1Hj8E2ES-ce_eurfq39LWslS96OwPRrBIoxBx48204Vk</v>
      </c>
      <c r="B73" s="25" t="str">
        <f>(Sheet1!B73)</f>
        <v>Jasodha Hero - Gurgaon</v>
      </c>
      <c r="C73" s="30" t="str">
        <f>Sheet1!BB73</f>
        <v>No</v>
      </c>
      <c r="D73" s="30" t="s">
        <v>13</v>
      </c>
      <c r="E73" s="34" t="s">
        <v>13</v>
      </c>
      <c r="F73" s="34" t="s">
        <v>3929</v>
      </c>
      <c r="G73" s="42" t="s">
        <v>3817</v>
      </c>
      <c r="H73" s="43">
        <v>460.0</v>
      </c>
      <c r="I73" s="42" t="s">
        <v>3853</v>
      </c>
      <c r="J73" s="43">
        <v>0.0</v>
      </c>
      <c r="K73" s="43">
        <v>100.0</v>
      </c>
      <c r="L73" s="43">
        <v>0.0</v>
      </c>
      <c r="M73" s="43">
        <v>0.0</v>
      </c>
      <c r="N73" s="33">
        <f>COUNTIFS('Data For Calculation - Insuranc'!A:A,A73,'Data For Calculation - Insuranc'!D:D,"Individual",'Data For Calculation - Insuranc'!E:E,"Bundled - 1 Year OD + 5 Year TP")</f>
        <v>0</v>
      </c>
      <c r="O73" s="34" t="s">
        <v>3930</v>
      </c>
      <c r="P73" s="42" t="s">
        <v>3817</v>
      </c>
      <c r="Q73" s="43">
        <v>460.0</v>
      </c>
      <c r="R73" s="42" t="s">
        <v>3853</v>
      </c>
      <c r="S73" s="43">
        <v>0.0</v>
      </c>
      <c r="T73" s="43">
        <v>100.0</v>
      </c>
      <c r="U73" s="43">
        <v>0.0</v>
      </c>
      <c r="V73" s="43">
        <v>0.0</v>
      </c>
      <c r="W73" s="33">
        <f>COUNTIFS('Data For Calculation - Insuranc'!A:A,A73,'Data For Calculation - Insuranc'!D:D,"Company",'Data For Calculation - Insuranc'!E:E,"Bundled - 1 Year OD + 5 Year TP")</f>
        <v>0</v>
      </c>
      <c r="X73" s="34" t="s">
        <v>3929</v>
      </c>
      <c r="Y73" s="42" t="s">
        <v>3817</v>
      </c>
      <c r="Z73" s="31">
        <v>290.0</v>
      </c>
      <c r="AA73" s="34" t="s">
        <v>3853</v>
      </c>
      <c r="AB73" s="34">
        <v>0.0</v>
      </c>
      <c r="AC73" s="34">
        <v>100.0</v>
      </c>
      <c r="AD73" s="34">
        <v>0.0</v>
      </c>
      <c r="AE73" s="34">
        <v>0.0</v>
      </c>
      <c r="AF73" s="33">
        <f>COUNTIFS('Data For Calculation - Insuranc'!A:A,A73,'Data For Calculation - Insuranc'!D:D,"Individual",'Data For Calculation - Insuranc'!E:E,"Rollover Comprehensive - 1 Year OD + 1 Year TP")</f>
        <v>0</v>
      </c>
      <c r="AG73" s="34" t="s">
        <v>3930</v>
      </c>
      <c r="AH73" s="42" t="s">
        <v>3817</v>
      </c>
      <c r="AI73" s="31">
        <v>290.0</v>
      </c>
      <c r="AJ73" s="34" t="s">
        <v>3853</v>
      </c>
      <c r="AK73" s="34">
        <v>0.0</v>
      </c>
      <c r="AL73" s="34">
        <v>100.0</v>
      </c>
      <c r="AM73" s="34">
        <v>0.0</v>
      </c>
      <c r="AN73" s="34">
        <v>0.0</v>
      </c>
      <c r="AO73" s="33">
        <f>COUNTIFS('Data For Calculation - Insuranc'!A:A,A73,'Data For Calculation - Insuranc'!D:D,"Company",'Data For Calculation - Insuranc'!E:E,"Rollover Comprehensive - 1 Year OD + 1 Year TP")</f>
        <v>0</v>
      </c>
      <c r="AP73" s="34" t="s">
        <v>3931</v>
      </c>
      <c r="AQ73" s="42" t="s">
        <v>3817</v>
      </c>
      <c r="AR73" s="31">
        <v>290.0</v>
      </c>
      <c r="AS73" s="34" t="s">
        <v>3853</v>
      </c>
      <c r="AT73" s="34">
        <v>0.0</v>
      </c>
      <c r="AU73" s="34">
        <v>100.0</v>
      </c>
      <c r="AV73" s="34">
        <v>0.0</v>
      </c>
      <c r="AW73" s="34">
        <v>0.0</v>
      </c>
      <c r="AX73" s="33">
        <f>COUNTIFS('Data For Calculation - Insuranc'!A:A,A73,'Data For Calculation - Insuranc'!D:D,"Individual",'Data For Calculation - Insuranc'!E:E,"Rollover - 1 Year OD Only")</f>
        <v>0</v>
      </c>
      <c r="AY73" s="34" t="s">
        <v>3932</v>
      </c>
      <c r="AZ73" s="42" t="s">
        <v>3817</v>
      </c>
      <c r="BA73" s="31">
        <v>290.0</v>
      </c>
      <c r="BB73" s="34" t="s">
        <v>3853</v>
      </c>
      <c r="BC73" s="34">
        <v>0.0</v>
      </c>
      <c r="BD73" s="34">
        <v>100.0</v>
      </c>
      <c r="BE73" s="34">
        <v>0.0</v>
      </c>
      <c r="BF73" s="34">
        <v>0.0</v>
      </c>
      <c r="BG73" s="33">
        <f>COUNTIFS('Data For Calculation - Insuranc'!A:A,A73,'Data For Calculation - Insuranc'!D:D,"Company",'Data For Calculation - Insuranc'!E:E,"Rollover - 1 Year OD Only")</f>
        <v>0</v>
      </c>
      <c r="BH73" s="34" t="s">
        <v>3931</v>
      </c>
      <c r="BI73" s="42" t="s">
        <v>3817</v>
      </c>
      <c r="BJ73" s="31">
        <v>290.0</v>
      </c>
      <c r="BK73" s="34" t="s">
        <v>3853</v>
      </c>
      <c r="BL73" s="34">
        <v>0.0</v>
      </c>
      <c r="BM73" s="34">
        <v>100.0</v>
      </c>
      <c r="BN73" s="34">
        <v>0.0</v>
      </c>
      <c r="BO73" s="34">
        <v>0.0</v>
      </c>
      <c r="BP73" s="33">
        <f>COUNTIFS('Data For Calculation - Insuranc'!A:A,A73,'Data For Calculation - Insuranc'!D:D,"Individual",'Data For Calculation - Insuranc'!E:E,"Rollover - 1 Year TP Only")</f>
        <v>0</v>
      </c>
      <c r="BQ73" s="34" t="s">
        <v>3932</v>
      </c>
      <c r="BR73" s="42" t="s">
        <v>3817</v>
      </c>
      <c r="BS73" s="31">
        <v>290.0</v>
      </c>
      <c r="BT73" s="34" t="s">
        <v>3853</v>
      </c>
      <c r="BU73" s="34">
        <v>0.0</v>
      </c>
      <c r="BV73" s="34">
        <v>100.0</v>
      </c>
      <c r="BW73" s="34">
        <v>0.0</v>
      </c>
      <c r="BX73" s="34">
        <v>0.0</v>
      </c>
      <c r="BY73" s="33">
        <f>COUNTIFS('Data For Calculation - Insuranc'!A:A,A73,'Data For Calculation - Insuranc'!D:D,"Company",'Data For Calculation - Insuranc'!E:E,"Rollover - 1 Year TP Only")</f>
        <v>0</v>
      </c>
      <c r="BZ73" s="31">
        <f t="shared" si="1"/>
        <v>0</v>
      </c>
      <c r="CA73" s="33">
        <f>SUMIFS('Data For Calculation - Insuranc'!I:I,'Data For Calculation - Insuranc'!$A:$A,$A73)</f>
        <v>0</v>
      </c>
      <c r="CB73" s="33">
        <f>SUMIFS('Data For Calculation - Insuranc'!J:J,'Data For Calculation - Insuranc'!$A:$A,$A73)</f>
        <v>0</v>
      </c>
      <c r="CC73" s="33">
        <f>SUMIFS('Data For Calculation - Insuranc'!K:K,'Data For Calculation - Insuranc'!$A:$A,$A73)</f>
        <v>0</v>
      </c>
      <c r="CD73" s="33">
        <f>IF($CK73 = "Dealer", SUMIFS('Data For Calculation - Insuranc'!I:I,'Data For Calculation - Insuranc'!$B:$B,$A73,'Data For Calculation - Insuranc'!$H:$H,"Master Dealer")) + SUMIFS('Data For Calculation - Insuranc'!I:I,'Data For Calculation - Insuranc'!$A:$A,$A73,'Data For Calculation - Insuranc'!$H:$H,"Self")</f>
        <v>0</v>
      </c>
      <c r="CE73" s="33">
        <f>IF($CK73 = "Dealer", SUMIFS('Data For Calculation - Insuranc'!J:J,'Data For Calculation - Insuranc'!$B:$B,$A73,'Data For Calculation - Insuranc'!$H:$H,"Master Dealer")) + SUMIFS('Data For Calculation - Insuranc'!J:J,'Data For Calculation - Insuranc'!$A:$A,$A73,'Data For Calculation - Insuranc'!$H:$H,"Self")</f>
        <v>0</v>
      </c>
      <c r="CF73" s="33">
        <f>IF($CK73 = "Dealer", SUMIFS('Data For Calculation - Insuranc'!K:K,'Data For Calculation - Insuranc'!$B:$B,$A73,'Data For Calculation - Insuranc'!$H:$H,"Master Dealer")) + SUMIFS('Data For Calculation - Insuranc'!K:K,'Data For Calculation - Insuranc'!$A:$A,$A73,'Data For Calculation - Insuranc'!$H:$H,"Self")</f>
        <v>0</v>
      </c>
      <c r="CG73" s="25" t="str">
        <f>(Sheet1!N73)</f>
        <v>Jasodha Hero - Gurgaon</v>
      </c>
      <c r="CH73" s="25" t="str">
        <f>(Sheet1!O73)</f>
        <v>1Hj8E2ES-ce_eurfq39LWslS96OwPRrBIoxBx48204Vk</v>
      </c>
      <c r="CI73" s="25" t="str">
        <f>(Sheet1!AV73)</f>
        <v/>
      </c>
      <c r="CJ73" s="25" t="str">
        <f>(Sheet1!AW73)</f>
        <v/>
      </c>
      <c r="CK73" s="26" t="str">
        <f>(Sheet1!P73)</f>
        <v>Dealer</v>
      </c>
    </row>
    <row r="74">
      <c r="A74" s="25" t="str">
        <f>(Sheet1!A74)</f>
        <v>1BJ0lIBkIWL2G8UcRM-WzcxFubQ2MW_l4KTFXv6wfKiU</v>
      </c>
      <c r="B74" s="25" t="str">
        <f>(Sheet1!B74)</f>
        <v>Jattari VAW - Hero</v>
      </c>
      <c r="C74" s="30" t="str">
        <f>Sheet1!BB74</f>
        <v>No</v>
      </c>
      <c r="D74" s="30" t="s">
        <v>13</v>
      </c>
      <c r="E74" s="34" t="s">
        <v>13</v>
      </c>
      <c r="F74" s="34" t="s">
        <v>3929</v>
      </c>
      <c r="G74" s="42" t="s">
        <v>3820</v>
      </c>
      <c r="H74" s="43">
        <v>170.0</v>
      </c>
      <c r="I74" s="42" t="s">
        <v>3853</v>
      </c>
      <c r="J74" s="43">
        <v>0.0</v>
      </c>
      <c r="K74" s="43">
        <v>100.0</v>
      </c>
      <c r="L74" s="43">
        <v>0.0</v>
      </c>
      <c r="M74" s="43">
        <v>0.0</v>
      </c>
      <c r="N74" s="33">
        <f>COUNTIFS('Data For Calculation - Insuranc'!A:A,A74,'Data For Calculation - Insuranc'!D:D,"Individual",'Data For Calculation - Insuranc'!E:E,"Bundled - 1 Year OD + 5 Year TP")</f>
        <v>0</v>
      </c>
      <c r="O74" s="34" t="s">
        <v>3930</v>
      </c>
      <c r="P74" s="42" t="s">
        <v>3820</v>
      </c>
      <c r="Q74" s="43">
        <v>170.0</v>
      </c>
      <c r="R74" s="42" t="s">
        <v>3853</v>
      </c>
      <c r="S74" s="43">
        <v>0.0</v>
      </c>
      <c r="T74" s="43">
        <v>100.0</v>
      </c>
      <c r="U74" s="43">
        <v>0.0</v>
      </c>
      <c r="V74" s="43">
        <v>0.0</v>
      </c>
      <c r="W74" s="33">
        <f>COUNTIFS('Data For Calculation - Insuranc'!A:A,A74,'Data For Calculation - Insuranc'!D:D,"Company",'Data For Calculation - Insuranc'!E:E,"Bundled - 1 Year OD + 5 Year TP")</f>
        <v>0</v>
      </c>
      <c r="X74" s="34" t="s">
        <v>3929</v>
      </c>
      <c r="Y74" s="42" t="s">
        <v>3820</v>
      </c>
      <c r="Z74" s="31">
        <v>170.0</v>
      </c>
      <c r="AA74" s="34" t="s">
        <v>3853</v>
      </c>
      <c r="AB74" s="34">
        <v>0.0</v>
      </c>
      <c r="AC74" s="34">
        <v>100.0</v>
      </c>
      <c r="AD74" s="34">
        <v>0.0</v>
      </c>
      <c r="AE74" s="34">
        <v>0.0</v>
      </c>
      <c r="AF74" s="33">
        <f>COUNTIFS('Data For Calculation - Insuranc'!A:A,A74,'Data For Calculation - Insuranc'!D:D,"Individual",'Data For Calculation - Insuranc'!E:E,"Rollover Comprehensive - 1 Year OD + 1 Year TP")</f>
        <v>0</v>
      </c>
      <c r="AG74" s="34" t="s">
        <v>3930</v>
      </c>
      <c r="AH74" s="42" t="s">
        <v>3820</v>
      </c>
      <c r="AI74" s="31">
        <v>170.0</v>
      </c>
      <c r="AJ74" s="34" t="s">
        <v>3853</v>
      </c>
      <c r="AK74" s="34">
        <v>0.0</v>
      </c>
      <c r="AL74" s="34">
        <v>100.0</v>
      </c>
      <c r="AM74" s="34">
        <v>0.0</v>
      </c>
      <c r="AN74" s="34">
        <v>0.0</v>
      </c>
      <c r="AO74" s="33">
        <f>COUNTIFS('Data For Calculation - Insuranc'!A:A,A74,'Data For Calculation - Insuranc'!D:D,"Company",'Data For Calculation - Insuranc'!E:E,"Rollover Comprehensive - 1 Year OD + 1 Year TP")</f>
        <v>0</v>
      </c>
      <c r="AP74" s="34" t="s">
        <v>3931</v>
      </c>
      <c r="AQ74" s="42" t="s">
        <v>3820</v>
      </c>
      <c r="AR74" s="31">
        <v>170.0</v>
      </c>
      <c r="AS74" s="34" t="s">
        <v>3853</v>
      </c>
      <c r="AT74" s="34">
        <v>0.0</v>
      </c>
      <c r="AU74" s="34">
        <v>100.0</v>
      </c>
      <c r="AV74" s="34">
        <v>0.0</v>
      </c>
      <c r="AW74" s="34">
        <v>0.0</v>
      </c>
      <c r="AX74" s="33">
        <f>COUNTIFS('Data For Calculation - Insuranc'!A:A,A74,'Data For Calculation - Insuranc'!D:D,"Individual",'Data For Calculation - Insuranc'!E:E,"Rollover - 1 Year OD Only")</f>
        <v>0</v>
      </c>
      <c r="AY74" s="34" t="s">
        <v>3932</v>
      </c>
      <c r="AZ74" s="42" t="s">
        <v>3820</v>
      </c>
      <c r="BA74" s="31">
        <v>170.0</v>
      </c>
      <c r="BB74" s="34" t="s">
        <v>3853</v>
      </c>
      <c r="BC74" s="34">
        <v>0.0</v>
      </c>
      <c r="BD74" s="34">
        <v>100.0</v>
      </c>
      <c r="BE74" s="34">
        <v>0.0</v>
      </c>
      <c r="BF74" s="34">
        <v>0.0</v>
      </c>
      <c r="BG74" s="33">
        <f>COUNTIFS('Data For Calculation - Insuranc'!A:A,A74,'Data For Calculation - Insuranc'!D:D,"Company",'Data For Calculation - Insuranc'!E:E,"Rollover - 1 Year OD Only")</f>
        <v>0</v>
      </c>
      <c r="BH74" s="34" t="s">
        <v>3931</v>
      </c>
      <c r="BI74" s="42" t="s">
        <v>3820</v>
      </c>
      <c r="BJ74" s="31">
        <v>170.0</v>
      </c>
      <c r="BK74" s="34" t="s">
        <v>3853</v>
      </c>
      <c r="BL74" s="34">
        <v>0.0</v>
      </c>
      <c r="BM74" s="34">
        <v>100.0</v>
      </c>
      <c r="BN74" s="34">
        <v>0.0</v>
      </c>
      <c r="BO74" s="34">
        <v>0.0</v>
      </c>
      <c r="BP74" s="33">
        <f>COUNTIFS('Data For Calculation - Insuranc'!A:A,A74,'Data For Calculation - Insuranc'!D:D,"Individual",'Data For Calculation - Insuranc'!E:E,"Rollover - 1 Year TP Only")</f>
        <v>0</v>
      </c>
      <c r="BQ74" s="34" t="s">
        <v>3932</v>
      </c>
      <c r="BR74" s="42" t="s">
        <v>3820</v>
      </c>
      <c r="BS74" s="31">
        <v>170.0</v>
      </c>
      <c r="BT74" s="34" t="s">
        <v>3853</v>
      </c>
      <c r="BU74" s="34">
        <v>0.0</v>
      </c>
      <c r="BV74" s="34">
        <v>100.0</v>
      </c>
      <c r="BW74" s="34">
        <v>0.0</v>
      </c>
      <c r="BX74" s="34">
        <v>0.0</v>
      </c>
      <c r="BY74" s="33">
        <f>COUNTIFS('Data For Calculation - Insuranc'!A:A,A74,'Data For Calculation - Insuranc'!D:D,"Company",'Data For Calculation - Insuranc'!E:E,"Rollover - 1 Year TP Only")</f>
        <v>0</v>
      </c>
      <c r="BZ74" s="31">
        <f t="shared" si="1"/>
        <v>0</v>
      </c>
      <c r="CA74" s="33">
        <f>SUMIFS('Data For Calculation - Insuranc'!I:I,'Data For Calculation - Insuranc'!$A:$A,$A74)</f>
        <v>0</v>
      </c>
      <c r="CB74" s="33">
        <f>SUMIFS('Data For Calculation - Insuranc'!J:J,'Data For Calculation - Insuranc'!$A:$A,$A74)</f>
        <v>0</v>
      </c>
      <c r="CC74" s="33">
        <f>SUMIFS('Data For Calculation - Insuranc'!K:K,'Data For Calculation - Insuranc'!$A:$A,$A74)</f>
        <v>0</v>
      </c>
      <c r="CD74" s="33">
        <f>IF($CK74 = "Dealer", SUMIFS('Data For Calculation - Insuranc'!I:I,'Data For Calculation - Insuranc'!$B:$B,$A74,'Data For Calculation - Insuranc'!$H:$H,"Master Dealer")) + SUMIFS('Data For Calculation - Insuranc'!I:I,'Data For Calculation - Insuranc'!$A:$A,$A74,'Data For Calculation - Insuranc'!$H:$H,"Self")</f>
        <v>0</v>
      </c>
      <c r="CE74" s="33">
        <f>IF($CK74 = "Dealer", SUMIFS('Data For Calculation - Insuranc'!J:J,'Data For Calculation - Insuranc'!$B:$B,$A74,'Data For Calculation - Insuranc'!$H:$H,"Master Dealer")) + SUMIFS('Data For Calculation - Insuranc'!J:J,'Data For Calculation - Insuranc'!$A:$A,$A74,'Data For Calculation - Insuranc'!$H:$H,"Self")</f>
        <v>0</v>
      </c>
      <c r="CF74" s="33">
        <f>IF($CK74 = "Dealer", SUMIFS('Data For Calculation - Insuranc'!K:K,'Data For Calculation - Insuranc'!$B:$B,$A74,'Data For Calculation - Insuranc'!$H:$H,"Master Dealer")) + SUMIFS('Data For Calculation - Insuranc'!K:K,'Data For Calculation - Insuranc'!$A:$A,$A74,'Data For Calculation - Insuranc'!$H:$H,"Self")</f>
        <v>0</v>
      </c>
      <c r="CG74" s="25" t="str">
        <f>(Sheet1!N74)</f>
        <v>Vikas Autowheels</v>
      </c>
      <c r="CH74" s="25" t="str">
        <f>(Sheet1!O74)</f>
        <v>1944RLX7T1M23YXRXYoMnJ6nD_bKLldQXRpFRA0rDLvg</v>
      </c>
      <c r="CI74" s="25" t="str">
        <f>(Sheet1!AV74)</f>
        <v/>
      </c>
      <c r="CJ74" s="25" t="str">
        <f>(Sheet1!AW74)</f>
        <v/>
      </c>
      <c r="CK74" s="26" t="str">
        <f>(Sheet1!P74)</f>
        <v>Sub Dealer</v>
      </c>
    </row>
    <row r="75">
      <c r="A75" s="25" t="str">
        <f>(Sheet1!A75)</f>
        <v>1D1RDdqE2mkZVvfOLgpQ-u1EshCLZ1JGUYX0wKpQg268</v>
      </c>
      <c r="B75" s="25" t="str">
        <f>(Sheet1!B75)</f>
        <v>HLB Motors TVS - Meerut</v>
      </c>
      <c r="C75" s="30" t="str">
        <f>Sheet1!BB75</f>
        <v>No</v>
      </c>
      <c r="D75" s="30" t="s">
        <v>13</v>
      </c>
      <c r="E75" s="34" t="s">
        <v>13</v>
      </c>
      <c r="F75" s="34" t="s">
        <v>3929</v>
      </c>
      <c r="G75" s="42" t="s">
        <v>3820</v>
      </c>
      <c r="H75" s="43">
        <v>460.0</v>
      </c>
      <c r="I75" s="42" t="s">
        <v>3853</v>
      </c>
      <c r="J75" s="43">
        <v>0.0</v>
      </c>
      <c r="K75" s="43">
        <v>100.0</v>
      </c>
      <c r="L75" s="43">
        <v>0.0</v>
      </c>
      <c r="M75" s="43">
        <v>0.0</v>
      </c>
      <c r="N75" s="33">
        <f>COUNTIFS('Data For Calculation - Insuranc'!A:A,A75,'Data For Calculation - Insuranc'!D:D,"Individual",'Data For Calculation - Insuranc'!E:E,"Bundled - 1 Year OD + 5 Year TP")</f>
        <v>0</v>
      </c>
      <c r="O75" s="34" t="s">
        <v>3930</v>
      </c>
      <c r="P75" s="42" t="s">
        <v>3820</v>
      </c>
      <c r="Q75" s="43">
        <v>460.0</v>
      </c>
      <c r="R75" s="42" t="s">
        <v>3853</v>
      </c>
      <c r="S75" s="43">
        <v>0.0</v>
      </c>
      <c r="T75" s="43">
        <v>100.0</v>
      </c>
      <c r="U75" s="43">
        <v>0.0</v>
      </c>
      <c r="V75" s="43">
        <v>0.0</v>
      </c>
      <c r="W75" s="33">
        <f>COUNTIFS('Data For Calculation - Insuranc'!A:A,A75,'Data For Calculation - Insuranc'!D:D,"Company",'Data For Calculation - Insuranc'!E:E,"Bundled - 1 Year OD + 5 Year TP")</f>
        <v>0</v>
      </c>
      <c r="X75" s="34" t="s">
        <v>3929</v>
      </c>
      <c r="Y75" s="42" t="s">
        <v>3820</v>
      </c>
      <c r="Z75" s="31">
        <v>290.0</v>
      </c>
      <c r="AA75" s="34" t="s">
        <v>3853</v>
      </c>
      <c r="AB75" s="34">
        <v>0.0</v>
      </c>
      <c r="AC75" s="34">
        <v>100.0</v>
      </c>
      <c r="AD75" s="34">
        <v>0.0</v>
      </c>
      <c r="AE75" s="34">
        <v>0.0</v>
      </c>
      <c r="AF75" s="33">
        <f>COUNTIFS('Data For Calculation - Insuranc'!A:A,A75,'Data For Calculation - Insuranc'!D:D,"Individual",'Data For Calculation - Insuranc'!E:E,"Rollover Comprehensive - 1 Year OD + 1 Year TP")</f>
        <v>0</v>
      </c>
      <c r="AG75" s="34" t="s">
        <v>3930</v>
      </c>
      <c r="AH75" s="42" t="s">
        <v>3820</v>
      </c>
      <c r="AI75" s="31">
        <v>290.0</v>
      </c>
      <c r="AJ75" s="34" t="s">
        <v>3853</v>
      </c>
      <c r="AK75" s="34">
        <v>0.0</v>
      </c>
      <c r="AL75" s="34">
        <v>100.0</v>
      </c>
      <c r="AM75" s="34">
        <v>0.0</v>
      </c>
      <c r="AN75" s="34">
        <v>0.0</v>
      </c>
      <c r="AO75" s="33">
        <f>COUNTIFS('Data For Calculation - Insuranc'!A:A,A75,'Data For Calculation - Insuranc'!D:D,"Company",'Data For Calculation - Insuranc'!E:E,"Rollover Comprehensive - 1 Year OD + 1 Year TP")</f>
        <v>0</v>
      </c>
      <c r="AP75" s="34" t="s">
        <v>3931</v>
      </c>
      <c r="AQ75" s="42" t="s">
        <v>3820</v>
      </c>
      <c r="AR75" s="31">
        <v>290.0</v>
      </c>
      <c r="AS75" s="34" t="s">
        <v>3853</v>
      </c>
      <c r="AT75" s="34">
        <v>0.0</v>
      </c>
      <c r="AU75" s="34">
        <v>100.0</v>
      </c>
      <c r="AV75" s="34">
        <v>0.0</v>
      </c>
      <c r="AW75" s="34">
        <v>0.0</v>
      </c>
      <c r="AX75" s="33">
        <f>COUNTIFS('Data For Calculation - Insuranc'!A:A,A75,'Data For Calculation - Insuranc'!D:D,"Individual",'Data For Calculation - Insuranc'!E:E,"Rollover - 1 Year OD Only")</f>
        <v>0</v>
      </c>
      <c r="AY75" s="34" t="s">
        <v>3932</v>
      </c>
      <c r="AZ75" s="42" t="s">
        <v>3820</v>
      </c>
      <c r="BA75" s="31">
        <v>290.0</v>
      </c>
      <c r="BB75" s="34" t="s">
        <v>3853</v>
      </c>
      <c r="BC75" s="34">
        <v>0.0</v>
      </c>
      <c r="BD75" s="34">
        <v>100.0</v>
      </c>
      <c r="BE75" s="34">
        <v>0.0</v>
      </c>
      <c r="BF75" s="34">
        <v>0.0</v>
      </c>
      <c r="BG75" s="33">
        <f>COUNTIFS('Data For Calculation - Insuranc'!A:A,A75,'Data For Calculation - Insuranc'!D:D,"Company",'Data For Calculation - Insuranc'!E:E,"Rollover - 1 Year OD Only")</f>
        <v>0</v>
      </c>
      <c r="BH75" s="34" t="s">
        <v>3931</v>
      </c>
      <c r="BI75" s="42" t="s">
        <v>3820</v>
      </c>
      <c r="BJ75" s="31">
        <v>290.0</v>
      </c>
      <c r="BK75" s="34" t="s">
        <v>3853</v>
      </c>
      <c r="BL75" s="34">
        <v>0.0</v>
      </c>
      <c r="BM75" s="34">
        <v>100.0</v>
      </c>
      <c r="BN75" s="34">
        <v>0.0</v>
      </c>
      <c r="BO75" s="34">
        <v>0.0</v>
      </c>
      <c r="BP75" s="33">
        <f>COUNTIFS('Data For Calculation - Insuranc'!A:A,A75,'Data For Calculation - Insuranc'!D:D,"Individual",'Data For Calculation - Insuranc'!E:E,"Rollover - 1 Year TP Only")</f>
        <v>0</v>
      </c>
      <c r="BQ75" s="34" t="s">
        <v>3932</v>
      </c>
      <c r="BR75" s="42" t="s">
        <v>3820</v>
      </c>
      <c r="BS75" s="31">
        <v>290.0</v>
      </c>
      <c r="BT75" s="34" t="s">
        <v>3853</v>
      </c>
      <c r="BU75" s="34">
        <v>0.0</v>
      </c>
      <c r="BV75" s="34">
        <v>100.0</v>
      </c>
      <c r="BW75" s="34">
        <v>0.0</v>
      </c>
      <c r="BX75" s="34">
        <v>0.0</v>
      </c>
      <c r="BY75" s="33">
        <f>COUNTIFS('Data For Calculation - Insuranc'!A:A,A75,'Data For Calculation - Insuranc'!D:D,"Company",'Data For Calculation - Insuranc'!E:E,"Rollover - 1 Year TP Only")</f>
        <v>0</v>
      </c>
      <c r="BZ75" s="31">
        <f t="shared" si="1"/>
        <v>0</v>
      </c>
      <c r="CA75" s="33">
        <f>SUMIFS('Data For Calculation - Insuranc'!I:I,'Data For Calculation - Insuranc'!$A:$A,$A75)</f>
        <v>0</v>
      </c>
      <c r="CB75" s="33">
        <f>SUMIFS('Data For Calculation - Insuranc'!J:J,'Data For Calculation - Insuranc'!$A:$A,$A75)</f>
        <v>0</v>
      </c>
      <c r="CC75" s="33">
        <f>SUMIFS('Data For Calculation - Insuranc'!K:K,'Data For Calculation - Insuranc'!$A:$A,$A75)</f>
        <v>0</v>
      </c>
      <c r="CD75" s="33">
        <f>IF($CK75 = "Dealer", SUMIFS('Data For Calculation - Insuranc'!I:I,'Data For Calculation - Insuranc'!$B:$B,$A75,'Data For Calculation - Insuranc'!$H:$H,"Master Dealer")) + SUMIFS('Data For Calculation - Insuranc'!I:I,'Data For Calculation - Insuranc'!$A:$A,$A75,'Data For Calculation - Insuranc'!$H:$H,"Self")</f>
        <v>0</v>
      </c>
      <c r="CE75" s="33">
        <f>IF($CK75 = "Dealer", SUMIFS('Data For Calculation - Insuranc'!J:J,'Data For Calculation - Insuranc'!$B:$B,$A75,'Data For Calculation - Insuranc'!$H:$H,"Master Dealer")) + SUMIFS('Data For Calculation - Insuranc'!J:J,'Data For Calculation - Insuranc'!$A:$A,$A75,'Data For Calculation - Insuranc'!$H:$H,"Self")</f>
        <v>0</v>
      </c>
      <c r="CF75" s="33">
        <f>IF($CK75 = "Dealer", SUMIFS('Data For Calculation - Insuranc'!K:K,'Data For Calculation - Insuranc'!$B:$B,$A75,'Data For Calculation - Insuranc'!$H:$H,"Master Dealer")) + SUMIFS('Data For Calculation - Insuranc'!K:K,'Data For Calculation - Insuranc'!$A:$A,$A75,'Data For Calculation - Insuranc'!$H:$H,"Self")</f>
        <v>0</v>
      </c>
      <c r="CG75" s="25" t="str">
        <f>(Sheet1!N75)</f>
        <v>HLB Motors TVS - Meerut</v>
      </c>
      <c r="CH75" s="25" t="str">
        <f>(Sheet1!O75)</f>
        <v>1D1RDdqE2mkZVvfOLgpQ-u1EshCLZ1JGUYX0wKpQg268</v>
      </c>
      <c r="CI75" s="25" t="str">
        <f>(Sheet1!AV75)</f>
        <v/>
      </c>
      <c r="CJ75" s="25" t="str">
        <f>(Sheet1!AW75)</f>
        <v/>
      </c>
      <c r="CK75" s="26" t="str">
        <f>(Sheet1!P75)</f>
        <v>Dealer</v>
      </c>
    </row>
    <row r="76">
      <c r="A76" s="25" t="str">
        <f>(Sheet1!A76)</f>
        <v>1ILnccgV7ri-O_RSwKJB1lo_gnaD6qL7mq_rwEC50RFA</v>
      </c>
      <c r="B76" s="25" t="str">
        <f>(Sheet1!B76)</f>
        <v>SUNIL MOTORS</v>
      </c>
      <c r="C76" s="30" t="str">
        <f>Sheet1!BB76</f>
        <v>No</v>
      </c>
      <c r="D76" s="30" t="s">
        <v>13</v>
      </c>
      <c r="E76" s="34" t="s">
        <v>13</v>
      </c>
      <c r="F76" s="34" t="s">
        <v>3929</v>
      </c>
      <c r="G76" s="42" t="s">
        <v>3817</v>
      </c>
      <c r="H76" s="43">
        <v>460.0</v>
      </c>
      <c r="I76" s="42" t="s">
        <v>3853</v>
      </c>
      <c r="J76" s="43">
        <v>0.0</v>
      </c>
      <c r="K76" s="43">
        <v>100.0</v>
      </c>
      <c r="L76" s="43">
        <v>0.0</v>
      </c>
      <c r="M76" s="43">
        <v>0.0</v>
      </c>
      <c r="N76" s="33">
        <f>COUNTIFS('Data For Calculation - Insuranc'!A:A,A76,'Data For Calculation - Insuranc'!D:D,"Individual",'Data For Calculation - Insuranc'!E:E,"Bundled - 1 Year OD + 5 Year TP")</f>
        <v>0</v>
      </c>
      <c r="O76" s="34" t="s">
        <v>3930</v>
      </c>
      <c r="P76" s="42" t="s">
        <v>3817</v>
      </c>
      <c r="Q76" s="43">
        <v>460.0</v>
      </c>
      <c r="R76" s="42" t="s">
        <v>3853</v>
      </c>
      <c r="S76" s="43">
        <v>0.0</v>
      </c>
      <c r="T76" s="43">
        <v>100.0</v>
      </c>
      <c r="U76" s="43">
        <v>0.0</v>
      </c>
      <c r="V76" s="43">
        <v>0.0</v>
      </c>
      <c r="W76" s="33">
        <f>COUNTIFS('Data For Calculation - Insuranc'!A:A,A76,'Data For Calculation - Insuranc'!D:D,"Company",'Data For Calculation - Insuranc'!E:E,"Bundled - 1 Year OD + 5 Year TP")</f>
        <v>0</v>
      </c>
      <c r="X76" s="34" t="s">
        <v>3929</v>
      </c>
      <c r="Y76" s="42" t="s">
        <v>3817</v>
      </c>
      <c r="Z76" s="31">
        <v>290.0</v>
      </c>
      <c r="AA76" s="34" t="s">
        <v>3853</v>
      </c>
      <c r="AB76" s="34">
        <v>0.0</v>
      </c>
      <c r="AC76" s="34">
        <v>100.0</v>
      </c>
      <c r="AD76" s="34">
        <v>0.0</v>
      </c>
      <c r="AE76" s="34">
        <v>0.0</v>
      </c>
      <c r="AF76" s="33">
        <f>COUNTIFS('Data For Calculation - Insuranc'!A:A,A76,'Data For Calculation - Insuranc'!D:D,"Individual",'Data For Calculation - Insuranc'!E:E,"Rollover Comprehensive - 1 Year OD + 1 Year TP")</f>
        <v>0</v>
      </c>
      <c r="AG76" s="34" t="s">
        <v>3930</v>
      </c>
      <c r="AH76" s="42" t="s">
        <v>3817</v>
      </c>
      <c r="AI76" s="31">
        <v>290.0</v>
      </c>
      <c r="AJ76" s="34" t="s">
        <v>3853</v>
      </c>
      <c r="AK76" s="34">
        <v>0.0</v>
      </c>
      <c r="AL76" s="34">
        <v>100.0</v>
      </c>
      <c r="AM76" s="34">
        <v>0.0</v>
      </c>
      <c r="AN76" s="34">
        <v>0.0</v>
      </c>
      <c r="AO76" s="33">
        <f>COUNTIFS('Data For Calculation - Insuranc'!A:A,A76,'Data For Calculation - Insuranc'!D:D,"Company",'Data For Calculation - Insuranc'!E:E,"Rollover Comprehensive - 1 Year OD + 1 Year TP")</f>
        <v>0</v>
      </c>
      <c r="AP76" s="34" t="s">
        <v>3931</v>
      </c>
      <c r="AQ76" s="42" t="s">
        <v>3817</v>
      </c>
      <c r="AR76" s="31">
        <v>290.0</v>
      </c>
      <c r="AS76" s="34" t="s">
        <v>3853</v>
      </c>
      <c r="AT76" s="34">
        <v>0.0</v>
      </c>
      <c r="AU76" s="34">
        <v>100.0</v>
      </c>
      <c r="AV76" s="34">
        <v>0.0</v>
      </c>
      <c r="AW76" s="34">
        <v>0.0</v>
      </c>
      <c r="AX76" s="33">
        <f>COUNTIFS('Data For Calculation - Insuranc'!A:A,A76,'Data For Calculation - Insuranc'!D:D,"Individual",'Data For Calculation - Insuranc'!E:E,"Rollover - 1 Year OD Only")</f>
        <v>0</v>
      </c>
      <c r="AY76" s="34" t="s">
        <v>3932</v>
      </c>
      <c r="AZ76" s="42" t="s">
        <v>3817</v>
      </c>
      <c r="BA76" s="31">
        <v>290.0</v>
      </c>
      <c r="BB76" s="34" t="s">
        <v>3853</v>
      </c>
      <c r="BC76" s="34">
        <v>0.0</v>
      </c>
      <c r="BD76" s="34">
        <v>100.0</v>
      </c>
      <c r="BE76" s="34">
        <v>0.0</v>
      </c>
      <c r="BF76" s="34">
        <v>0.0</v>
      </c>
      <c r="BG76" s="33">
        <f>COUNTIFS('Data For Calculation - Insuranc'!A:A,A76,'Data For Calculation - Insuranc'!D:D,"Company",'Data For Calculation - Insuranc'!E:E,"Rollover - 1 Year OD Only")</f>
        <v>0</v>
      </c>
      <c r="BH76" s="34" t="s">
        <v>3931</v>
      </c>
      <c r="BI76" s="42" t="s">
        <v>3817</v>
      </c>
      <c r="BJ76" s="31">
        <v>290.0</v>
      </c>
      <c r="BK76" s="34" t="s">
        <v>3853</v>
      </c>
      <c r="BL76" s="34">
        <v>0.0</v>
      </c>
      <c r="BM76" s="34">
        <v>100.0</v>
      </c>
      <c r="BN76" s="34">
        <v>0.0</v>
      </c>
      <c r="BO76" s="34">
        <v>0.0</v>
      </c>
      <c r="BP76" s="33">
        <f>COUNTIFS('Data For Calculation - Insuranc'!A:A,A76,'Data For Calculation - Insuranc'!D:D,"Individual",'Data For Calculation - Insuranc'!E:E,"Rollover - 1 Year TP Only")</f>
        <v>0</v>
      </c>
      <c r="BQ76" s="34" t="s">
        <v>3932</v>
      </c>
      <c r="BR76" s="42" t="s">
        <v>3817</v>
      </c>
      <c r="BS76" s="31">
        <v>290.0</v>
      </c>
      <c r="BT76" s="34" t="s">
        <v>3853</v>
      </c>
      <c r="BU76" s="34">
        <v>0.0</v>
      </c>
      <c r="BV76" s="34">
        <v>100.0</v>
      </c>
      <c r="BW76" s="34">
        <v>0.0</v>
      </c>
      <c r="BX76" s="34">
        <v>0.0</v>
      </c>
      <c r="BY76" s="33">
        <f>COUNTIFS('Data For Calculation - Insuranc'!A:A,A76,'Data For Calculation - Insuranc'!D:D,"Company",'Data For Calculation - Insuranc'!E:E,"Rollover - 1 Year TP Only")</f>
        <v>0</v>
      </c>
      <c r="BZ76" s="31">
        <f t="shared" si="1"/>
        <v>0</v>
      </c>
      <c r="CA76" s="33">
        <f>SUMIFS('Data For Calculation - Insuranc'!I:I,'Data For Calculation - Insuranc'!$A:$A,$A76)</f>
        <v>0</v>
      </c>
      <c r="CB76" s="33">
        <f>SUMIFS('Data For Calculation - Insuranc'!J:J,'Data For Calculation - Insuranc'!$A:$A,$A76)</f>
        <v>0</v>
      </c>
      <c r="CC76" s="33">
        <f>SUMIFS('Data For Calculation - Insuranc'!K:K,'Data For Calculation - Insuranc'!$A:$A,$A76)</f>
        <v>0</v>
      </c>
      <c r="CD76" s="33">
        <f>IF($CK76 = "Dealer", SUMIFS('Data For Calculation - Insuranc'!I:I,'Data For Calculation - Insuranc'!$B:$B,$A76,'Data For Calculation - Insuranc'!$H:$H,"Master Dealer")) + SUMIFS('Data For Calculation - Insuranc'!I:I,'Data For Calculation - Insuranc'!$A:$A,$A76,'Data For Calculation - Insuranc'!$H:$H,"Self")</f>
        <v>0</v>
      </c>
      <c r="CE76" s="33">
        <f>IF($CK76 = "Dealer", SUMIFS('Data For Calculation - Insuranc'!J:J,'Data For Calculation - Insuranc'!$B:$B,$A76,'Data For Calculation - Insuranc'!$H:$H,"Master Dealer")) + SUMIFS('Data For Calculation - Insuranc'!J:J,'Data For Calculation - Insuranc'!$A:$A,$A76,'Data For Calculation - Insuranc'!$H:$H,"Self")</f>
        <v>0</v>
      </c>
      <c r="CF76" s="33">
        <f>IF($CK76 = "Dealer", SUMIFS('Data For Calculation - Insuranc'!K:K,'Data For Calculation - Insuranc'!$B:$B,$A76,'Data For Calculation - Insuranc'!$H:$H,"Master Dealer")) + SUMIFS('Data For Calculation - Insuranc'!K:K,'Data For Calculation - Insuranc'!$A:$A,$A76,'Data For Calculation - Insuranc'!$H:$H,"Self")</f>
        <v>0</v>
      </c>
      <c r="CG76" s="25" t="str">
        <f>(Sheet1!N76)</f>
        <v>SUNIL MOTORS</v>
      </c>
      <c r="CH76" s="25" t="str">
        <f>(Sheet1!O76)</f>
        <v>1ILnccgV7ri-O_RSwKJB1lo_gnaD6qL7mq_rwEC50RFA</v>
      </c>
      <c r="CI76" s="25" t="str">
        <f>(Sheet1!AV76)</f>
        <v/>
      </c>
      <c r="CJ76" s="25" t="str">
        <f>(Sheet1!AW76)</f>
        <v/>
      </c>
      <c r="CK76" s="26" t="str">
        <f>(Sheet1!P76)</f>
        <v>Dealer</v>
      </c>
    </row>
    <row r="77">
      <c r="A77" s="25" t="str">
        <f>(Sheet1!A77)</f>
        <v>1fjdj_DWneQ6p5FeCIXPzszsySoRSx2_LgStCjca5XsY</v>
      </c>
      <c r="B77" s="25" t="str">
        <f>(Sheet1!B77)</f>
        <v>Jaya Automobiles - Bhiwani</v>
      </c>
      <c r="C77" s="30" t="str">
        <f>Sheet1!BB77</f>
        <v>No</v>
      </c>
      <c r="D77" s="30" t="s">
        <v>13</v>
      </c>
      <c r="E77" s="34" t="s">
        <v>13</v>
      </c>
      <c r="F77" s="34" t="s">
        <v>3929</v>
      </c>
      <c r="G77" s="42" t="s">
        <v>3817</v>
      </c>
      <c r="H77" s="43">
        <v>460.0</v>
      </c>
      <c r="I77" s="42" t="s">
        <v>3853</v>
      </c>
      <c r="J77" s="43">
        <v>0.0</v>
      </c>
      <c r="K77" s="43">
        <v>100.0</v>
      </c>
      <c r="L77" s="43">
        <v>0.0</v>
      </c>
      <c r="M77" s="43">
        <v>0.0</v>
      </c>
      <c r="N77" s="33">
        <f>COUNTIFS('Data For Calculation - Insuranc'!A:A,A77,'Data For Calculation - Insuranc'!D:D,"Individual",'Data For Calculation - Insuranc'!E:E,"Bundled - 1 Year OD + 5 Year TP")</f>
        <v>0</v>
      </c>
      <c r="O77" s="34" t="s">
        <v>3930</v>
      </c>
      <c r="P77" s="42" t="s">
        <v>3817</v>
      </c>
      <c r="Q77" s="43">
        <v>460.0</v>
      </c>
      <c r="R77" s="42" t="s">
        <v>3853</v>
      </c>
      <c r="S77" s="43">
        <v>0.0</v>
      </c>
      <c r="T77" s="43">
        <v>100.0</v>
      </c>
      <c r="U77" s="43">
        <v>0.0</v>
      </c>
      <c r="V77" s="43">
        <v>0.0</v>
      </c>
      <c r="W77" s="33">
        <f>COUNTIFS('Data For Calculation - Insuranc'!A:A,A77,'Data For Calculation - Insuranc'!D:D,"Company",'Data For Calculation - Insuranc'!E:E,"Bundled - 1 Year OD + 5 Year TP")</f>
        <v>0</v>
      </c>
      <c r="X77" s="34" t="s">
        <v>3929</v>
      </c>
      <c r="Y77" s="42" t="s">
        <v>3817</v>
      </c>
      <c r="Z77" s="31">
        <v>290.0</v>
      </c>
      <c r="AA77" s="34" t="s">
        <v>3853</v>
      </c>
      <c r="AB77" s="34">
        <v>0.0</v>
      </c>
      <c r="AC77" s="34">
        <v>100.0</v>
      </c>
      <c r="AD77" s="34">
        <v>0.0</v>
      </c>
      <c r="AE77" s="34">
        <v>0.0</v>
      </c>
      <c r="AF77" s="33">
        <f>COUNTIFS('Data For Calculation - Insuranc'!A:A,A77,'Data For Calculation - Insuranc'!D:D,"Individual",'Data For Calculation - Insuranc'!E:E,"Rollover Comprehensive - 1 Year OD + 1 Year TP")</f>
        <v>0</v>
      </c>
      <c r="AG77" s="34" t="s">
        <v>3930</v>
      </c>
      <c r="AH77" s="42" t="s">
        <v>3817</v>
      </c>
      <c r="AI77" s="31">
        <v>290.0</v>
      </c>
      <c r="AJ77" s="34" t="s">
        <v>3853</v>
      </c>
      <c r="AK77" s="34">
        <v>0.0</v>
      </c>
      <c r="AL77" s="34">
        <v>100.0</v>
      </c>
      <c r="AM77" s="34">
        <v>0.0</v>
      </c>
      <c r="AN77" s="34">
        <v>0.0</v>
      </c>
      <c r="AO77" s="33">
        <f>COUNTIFS('Data For Calculation - Insuranc'!A:A,A77,'Data For Calculation - Insuranc'!D:D,"Company",'Data For Calculation - Insuranc'!E:E,"Rollover Comprehensive - 1 Year OD + 1 Year TP")</f>
        <v>0</v>
      </c>
      <c r="AP77" s="34" t="s">
        <v>3931</v>
      </c>
      <c r="AQ77" s="42" t="s">
        <v>3817</v>
      </c>
      <c r="AR77" s="31">
        <v>290.0</v>
      </c>
      <c r="AS77" s="34" t="s">
        <v>3853</v>
      </c>
      <c r="AT77" s="34">
        <v>0.0</v>
      </c>
      <c r="AU77" s="34">
        <v>100.0</v>
      </c>
      <c r="AV77" s="34">
        <v>0.0</v>
      </c>
      <c r="AW77" s="34">
        <v>0.0</v>
      </c>
      <c r="AX77" s="33">
        <f>COUNTIFS('Data For Calculation - Insuranc'!A:A,A77,'Data For Calculation - Insuranc'!D:D,"Individual",'Data For Calculation - Insuranc'!E:E,"Rollover - 1 Year OD Only")</f>
        <v>0</v>
      </c>
      <c r="AY77" s="34" t="s">
        <v>3932</v>
      </c>
      <c r="AZ77" s="42" t="s">
        <v>3817</v>
      </c>
      <c r="BA77" s="31">
        <v>290.0</v>
      </c>
      <c r="BB77" s="34" t="s">
        <v>3853</v>
      </c>
      <c r="BC77" s="34">
        <v>0.0</v>
      </c>
      <c r="BD77" s="34">
        <v>100.0</v>
      </c>
      <c r="BE77" s="34">
        <v>0.0</v>
      </c>
      <c r="BF77" s="34">
        <v>0.0</v>
      </c>
      <c r="BG77" s="33">
        <f>COUNTIFS('Data For Calculation - Insuranc'!A:A,A77,'Data For Calculation - Insuranc'!D:D,"Company",'Data For Calculation - Insuranc'!E:E,"Rollover - 1 Year OD Only")</f>
        <v>0</v>
      </c>
      <c r="BH77" s="34" t="s">
        <v>3931</v>
      </c>
      <c r="BI77" s="42" t="s">
        <v>3817</v>
      </c>
      <c r="BJ77" s="31">
        <v>290.0</v>
      </c>
      <c r="BK77" s="34" t="s">
        <v>3853</v>
      </c>
      <c r="BL77" s="34">
        <v>0.0</v>
      </c>
      <c r="BM77" s="34">
        <v>100.0</v>
      </c>
      <c r="BN77" s="34">
        <v>0.0</v>
      </c>
      <c r="BO77" s="34">
        <v>0.0</v>
      </c>
      <c r="BP77" s="33">
        <f>COUNTIFS('Data For Calculation - Insuranc'!A:A,A77,'Data For Calculation - Insuranc'!D:D,"Individual",'Data For Calculation - Insuranc'!E:E,"Rollover - 1 Year TP Only")</f>
        <v>0</v>
      </c>
      <c r="BQ77" s="34" t="s">
        <v>3932</v>
      </c>
      <c r="BR77" s="42" t="s">
        <v>3817</v>
      </c>
      <c r="BS77" s="31">
        <v>290.0</v>
      </c>
      <c r="BT77" s="34" t="s">
        <v>3853</v>
      </c>
      <c r="BU77" s="34">
        <v>0.0</v>
      </c>
      <c r="BV77" s="34">
        <v>100.0</v>
      </c>
      <c r="BW77" s="34">
        <v>0.0</v>
      </c>
      <c r="BX77" s="34">
        <v>0.0</v>
      </c>
      <c r="BY77" s="33">
        <f>COUNTIFS('Data For Calculation - Insuranc'!A:A,A77,'Data For Calculation - Insuranc'!D:D,"Company",'Data For Calculation - Insuranc'!E:E,"Rollover - 1 Year TP Only")</f>
        <v>0</v>
      </c>
      <c r="BZ77" s="31">
        <f t="shared" si="1"/>
        <v>0</v>
      </c>
      <c r="CA77" s="33">
        <f>SUMIFS('Data For Calculation - Insuranc'!I:I,'Data For Calculation - Insuranc'!$A:$A,$A77)</f>
        <v>0</v>
      </c>
      <c r="CB77" s="33">
        <f>SUMIFS('Data For Calculation - Insuranc'!J:J,'Data For Calculation - Insuranc'!$A:$A,$A77)</f>
        <v>0</v>
      </c>
      <c r="CC77" s="33">
        <f>SUMIFS('Data For Calculation - Insuranc'!K:K,'Data For Calculation - Insuranc'!$A:$A,$A77)</f>
        <v>0</v>
      </c>
      <c r="CD77" s="33">
        <f>IF($CK77 = "Dealer", SUMIFS('Data For Calculation - Insuranc'!I:I,'Data For Calculation - Insuranc'!$B:$B,$A77,'Data For Calculation - Insuranc'!$H:$H,"Master Dealer")) + SUMIFS('Data For Calculation - Insuranc'!I:I,'Data For Calculation - Insuranc'!$A:$A,$A77,'Data For Calculation - Insuranc'!$H:$H,"Self")</f>
        <v>0</v>
      </c>
      <c r="CE77" s="33">
        <f>IF($CK77 = "Dealer", SUMIFS('Data For Calculation - Insuranc'!J:J,'Data For Calculation - Insuranc'!$B:$B,$A77,'Data For Calculation - Insuranc'!$H:$H,"Master Dealer")) + SUMIFS('Data For Calculation - Insuranc'!J:J,'Data For Calculation - Insuranc'!$A:$A,$A77,'Data For Calculation - Insuranc'!$H:$H,"Self")</f>
        <v>0</v>
      </c>
      <c r="CF77" s="33">
        <f>IF($CK77 = "Dealer", SUMIFS('Data For Calculation - Insuranc'!K:K,'Data For Calculation - Insuranc'!$B:$B,$A77,'Data For Calculation - Insuranc'!$H:$H,"Master Dealer")) + SUMIFS('Data For Calculation - Insuranc'!K:K,'Data For Calculation - Insuranc'!$A:$A,$A77,'Data For Calculation - Insuranc'!$H:$H,"Self")</f>
        <v>0</v>
      </c>
      <c r="CG77" s="25" t="str">
        <f>(Sheet1!N77)</f>
        <v>Jaya Automobiles - Bhiwani</v>
      </c>
      <c r="CH77" s="25" t="str">
        <f>(Sheet1!O77)</f>
        <v>1fjdj_DWneQ6p5FeCIXPzszsySoRSx2_LgStCjca5XsY</v>
      </c>
      <c r="CI77" s="25" t="str">
        <f>(Sheet1!AV77)</f>
        <v/>
      </c>
      <c r="CJ77" s="25" t="str">
        <f>(Sheet1!AW77)</f>
        <v/>
      </c>
      <c r="CK77" s="26" t="str">
        <f>(Sheet1!P77)</f>
        <v>Dealer</v>
      </c>
    </row>
    <row r="78">
      <c r="A78" s="25" t="str">
        <f>(Sheet1!A78)</f>
        <v>17IQU0-K8aHZCBdscVJssP97WqFoWmGSZpvE9qk-0w_g</v>
      </c>
      <c r="B78" s="25" t="str">
        <f>(Sheet1!B78)</f>
        <v>Shree Shyam Bajaj - Bhiwani</v>
      </c>
      <c r="C78" s="30" t="str">
        <f>Sheet1!BB78</f>
        <v>No</v>
      </c>
      <c r="D78" s="30" t="s">
        <v>13</v>
      </c>
      <c r="E78" s="34" t="s">
        <v>13</v>
      </c>
      <c r="F78" s="34" t="s">
        <v>3929</v>
      </c>
      <c r="G78" s="42" t="s">
        <v>3820</v>
      </c>
      <c r="H78" s="43">
        <v>460.0</v>
      </c>
      <c r="I78" s="42" t="s">
        <v>3853</v>
      </c>
      <c r="J78" s="43">
        <v>0.0</v>
      </c>
      <c r="K78" s="43">
        <v>100.0</v>
      </c>
      <c r="L78" s="43">
        <v>0.0</v>
      </c>
      <c r="M78" s="43">
        <v>0.0</v>
      </c>
      <c r="N78" s="33">
        <f>COUNTIFS('Data For Calculation - Insuranc'!A:A,A78,'Data For Calculation - Insuranc'!D:D,"Individual",'Data For Calculation - Insuranc'!E:E,"Bundled - 1 Year OD + 5 Year TP")</f>
        <v>0</v>
      </c>
      <c r="O78" s="34" t="s">
        <v>3930</v>
      </c>
      <c r="P78" s="42" t="s">
        <v>3820</v>
      </c>
      <c r="Q78" s="43">
        <v>460.0</v>
      </c>
      <c r="R78" s="42" t="s">
        <v>3853</v>
      </c>
      <c r="S78" s="43">
        <v>0.0</v>
      </c>
      <c r="T78" s="43">
        <v>100.0</v>
      </c>
      <c r="U78" s="43">
        <v>0.0</v>
      </c>
      <c r="V78" s="43">
        <v>0.0</v>
      </c>
      <c r="W78" s="33">
        <f>COUNTIFS('Data For Calculation - Insuranc'!A:A,A78,'Data For Calculation - Insuranc'!D:D,"Company",'Data For Calculation - Insuranc'!E:E,"Bundled - 1 Year OD + 5 Year TP")</f>
        <v>0</v>
      </c>
      <c r="X78" s="34" t="s">
        <v>3929</v>
      </c>
      <c r="Y78" s="42" t="s">
        <v>3820</v>
      </c>
      <c r="Z78" s="31">
        <v>290.0</v>
      </c>
      <c r="AA78" s="34" t="s">
        <v>3853</v>
      </c>
      <c r="AB78" s="34">
        <v>0.0</v>
      </c>
      <c r="AC78" s="34">
        <v>100.0</v>
      </c>
      <c r="AD78" s="34">
        <v>0.0</v>
      </c>
      <c r="AE78" s="34">
        <v>0.0</v>
      </c>
      <c r="AF78" s="33">
        <f>COUNTIFS('Data For Calculation - Insuranc'!A:A,A78,'Data For Calculation - Insuranc'!D:D,"Individual",'Data For Calculation - Insuranc'!E:E,"Rollover Comprehensive - 1 Year OD + 1 Year TP")</f>
        <v>0</v>
      </c>
      <c r="AG78" s="34" t="s">
        <v>3930</v>
      </c>
      <c r="AH78" s="42" t="s">
        <v>3820</v>
      </c>
      <c r="AI78" s="31">
        <v>290.0</v>
      </c>
      <c r="AJ78" s="34" t="s">
        <v>3853</v>
      </c>
      <c r="AK78" s="34">
        <v>0.0</v>
      </c>
      <c r="AL78" s="34">
        <v>100.0</v>
      </c>
      <c r="AM78" s="34">
        <v>0.0</v>
      </c>
      <c r="AN78" s="34">
        <v>0.0</v>
      </c>
      <c r="AO78" s="33">
        <f>COUNTIFS('Data For Calculation - Insuranc'!A:A,A78,'Data For Calculation - Insuranc'!D:D,"Company",'Data For Calculation - Insuranc'!E:E,"Rollover Comprehensive - 1 Year OD + 1 Year TP")</f>
        <v>0</v>
      </c>
      <c r="AP78" s="34" t="s">
        <v>3931</v>
      </c>
      <c r="AQ78" s="42" t="s">
        <v>3820</v>
      </c>
      <c r="AR78" s="31">
        <v>290.0</v>
      </c>
      <c r="AS78" s="34" t="s">
        <v>3853</v>
      </c>
      <c r="AT78" s="34">
        <v>0.0</v>
      </c>
      <c r="AU78" s="34">
        <v>100.0</v>
      </c>
      <c r="AV78" s="34">
        <v>0.0</v>
      </c>
      <c r="AW78" s="34">
        <v>0.0</v>
      </c>
      <c r="AX78" s="33">
        <f>COUNTIFS('Data For Calculation - Insuranc'!A:A,A78,'Data For Calculation - Insuranc'!D:D,"Individual",'Data For Calculation - Insuranc'!E:E,"Rollover - 1 Year OD Only")</f>
        <v>0</v>
      </c>
      <c r="AY78" s="34" t="s">
        <v>3932</v>
      </c>
      <c r="AZ78" s="42" t="s">
        <v>3820</v>
      </c>
      <c r="BA78" s="31">
        <v>290.0</v>
      </c>
      <c r="BB78" s="34" t="s">
        <v>3853</v>
      </c>
      <c r="BC78" s="34">
        <v>0.0</v>
      </c>
      <c r="BD78" s="34">
        <v>100.0</v>
      </c>
      <c r="BE78" s="34">
        <v>0.0</v>
      </c>
      <c r="BF78" s="34">
        <v>0.0</v>
      </c>
      <c r="BG78" s="33">
        <f>COUNTIFS('Data For Calculation - Insuranc'!A:A,A78,'Data For Calculation - Insuranc'!D:D,"Company",'Data For Calculation - Insuranc'!E:E,"Rollover - 1 Year OD Only")</f>
        <v>0</v>
      </c>
      <c r="BH78" s="34" t="s">
        <v>3931</v>
      </c>
      <c r="BI78" s="42" t="s">
        <v>3820</v>
      </c>
      <c r="BJ78" s="31">
        <v>290.0</v>
      </c>
      <c r="BK78" s="34" t="s">
        <v>3853</v>
      </c>
      <c r="BL78" s="34">
        <v>0.0</v>
      </c>
      <c r="BM78" s="34">
        <v>100.0</v>
      </c>
      <c r="BN78" s="34">
        <v>0.0</v>
      </c>
      <c r="BO78" s="34">
        <v>0.0</v>
      </c>
      <c r="BP78" s="33">
        <f>COUNTIFS('Data For Calculation - Insuranc'!A:A,A78,'Data For Calculation - Insuranc'!D:D,"Individual",'Data For Calculation - Insuranc'!E:E,"Rollover - 1 Year TP Only")</f>
        <v>0</v>
      </c>
      <c r="BQ78" s="34" t="s">
        <v>3932</v>
      </c>
      <c r="BR78" s="42" t="s">
        <v>3820</v>
      </c>
      <c r="BS78" s="31">
        <v>290.0</v>
      </c>
      <c r="BT78" s="34" t="s">
        <v>3853</v>
      </c>
      <c r="BU78" s="34">
        <v>0.0</v>
      </c>
      <c r="BV78" s="34">
        <v>100.0</v>
      </c>
      <c r="BW78" s="34">
        <v>0.0</v>
      </c>
      <c r="BX78" s="34">
        <v>0.0</v>
      </c>
      <c r="BY78" s="33">
        <f>COUNTIFS('Data For Calculation - Insuranc'!A:A,A78,'Data For Calculation - Insuranc'!D:D,"Company",'Data For Calculation - Insuranc'!E:E,"Rollover - 1 Year TP Only")</f>
        <v>0</v>
      </c>
      <c r="BZ78" s="31">
        <f t="shared" si="1"/>
        <v>0</v>
      </c>
      <c r="CA78" s="33">
        <f>SUMIFS('Data For Calculation - Insuranc'!I:I,'Data For Calculation - Insuranc'!$A:$A,$A78)</f>
        <v>0</v>
      </c>
      <c r="CB78" s="33">
        <f>SUMIFS('Data For Calculation - Insuranc'!J:J,'Data For Calculation - Insuranc'!$A:$A,$A78)</f>
        <v>0</v>
      </c>
      <c r="CC78" s="33">
        <f>SUMIFS('Data For Calculation - Insuranc'!K:K,'Data For Calculation - Insuranc'!$A:$A,$A78)</f>
        <v>0</v>
      </c>
      <c r="CD78" s="33">
        <f>IF($CK78 = "Dealer", SUMIFS('Data For Calculation - Insuranc'!I:I,'Data For Calculation - Insuranc'!$B:$B,$A78,'Data For Calculation - Insuranc'!$H:$H,"Master Dealer")) + SUMIFS('Data For Calculation - Insuranc'!I:I,'Data For Calculation - Insuranc'!$A:$A,$A78,'Data For Calculation - Insuranc'!$H:$H,"Self")</f>
        <v>0</v>
      </c>
      <c r="CE78" s="33">
        <f>IF($CK78 = "Dealer", SUMIFS('Data For Calculation - Insuranc'!J:J,'Data For Calculation - Insuranc'!$B:$B,$A78,'Data For Calculation - Insuranc'!$H:$H,"Master Dealer")) + SUMIFS('Data For Calculation - Insuranc'!J:J,'Data For Calculation - Insuranc'!$A:$A,$A78,'Data For Calculation - Insuranc'!$H:$H,"Self")</f>
        <v>0</v>
      </c>
      <c r="CF78" s="33">
        <f>IF($CK78 = "Dealer", SUMIFS('Data For Calculation - Insuranc'!K:K,'Data For Calculation - Insuranc'!$B:$B,$A78,'Data For Calculation - Insuranc'!$H:$H,"Master Dealer")) + SUMIFS('Data For Calculation - Insuranc'!K:K,'Data For Calculation - Insuranc'!$A:$A,$A78,'Data For Calculation - Insuranc'!$H:$H,"Self")</f>
        <v>0</v>
      </c>
      <c r="CG78" s="25" t="str">
        <f>(Sheet1!N78)</f>
        <v>Shree Shyam Bajaj - Bhiwani</v>
      </c>
      <c r="CH78" s="25" t="str">
        <f>(Sheet1!O78)</f>
        <v>17IQU0-K8aHZCBdscVJssP97WqFoWmGSZpvE9qk-0w_g</v>
      </c>
      <c r="CI78" s="25" t="str">
        <f>(Sheet1!AV78)</f>
        <v/>
      </c>
      <c r="CJ78" s="25" t="str">
        <f>(Sheet1!AW78)</f>
        <v/>
      </c>
      <c r="CK78" s="26" t="str">
        <f>(Sheet1!P78)</f>
        <v>Dealer</v>
      </c>
    </row>
    <row r="79">
      <c r="A79" s="25" t="str">
        <f>(Sheet1!A79)</f>
        <v>1pI_tDns4A7jbcl0nEvEO_u0FclM2PyV1AT-2Q2Dx2Jo</v>
      </c>
      <c r="B79" s="25" t="str">
        <f>(Sheet1!B79)</f>
        <v>Chaudhary Automobiles - Hisar</v>
      </c>
      <c r="C79" s="30" t="str">
        <f>Sheet1!BB79</f>
        <v>No</v>
      </c>
      <c r="D79" s="30" t="s">
        <v>13</v>
      </c>
      <c r="E79" s="34" t="s">
        <v>13</v>
      </c>
      <c r="F79" s="34" t="s">
        <v>3929</v>
      </c>
      <c r="G79" s="42" t="s">
        <v>3817</v>
      </c>
      <c r="H79" s="43">
        <v>460.0</v>
      </c>
      <c r="I79" s="42" t="s">
        <v>3853</v>
      </c>
      <c r="J79" s="43">
        <v>0.0</v>
      </c>
      <c r="K79" s="43">
        <v>100.0</v>
      </c>
      <c r="L79" s="43">
        <v>0.0</v>
      </c>
      <c r="M79" s="43">
        <v>0.0</v>
      </c>
      <c r="N79" s="33">
        <f>COUNTIFS('Data For Calculation - Insuranc'!A:A,A79,'Data For Calculation - Insuranc'!D:D,"Individual",'Data For Calculation - Insuranc'!E:E,"Bundled - 1 Year OD + 5 Year TP")</f>
        <v>0</v>
      </c>
      <c r="O79" s="34" t="s">
        <v>3930</v>
      </c>
      <c r="P79" s="42" t="s">
        <v>3817</v>
      </c>
      <c r="Q79" s="43">
        <v>460.0</v>
      </c>
      <c r="R79" s="42" t="s">
        <v>3853</v>
      </c>
      <c r="S79" s="43">
        <v>0.0</v>
      </c>
      <c r="T79" s="43">
        <v>100.0</v>
      </c>
      <c r="U79" s="43">
        <v>0.0</v>
      </c>
      <c r="V79" s="43">
        <v>0.0</v>
      </c>
      <c r="W79" s="33">
        <f>COUNTIFS('Data For Calculation - Insuranc'!A:A,A79,'Data For Calculation - Insuranc'!D:D,"Company",'Data For Calculation - Insuranc'!E:E,"Bundled - 1 Year OD + 5 Year TP")</f>
        <v>0</v>
      </c>
      <c r="X79" s="34" t="s">
        <v>3929</v>
      </c>
      <c r="Y79" s="42" t="s">
        <v>3817</v>
      </c>
      <c r="Z79" s="31">
        <v>290.0</v>
      </c>
      <c r="AA79" s="34" t="s">
        <v>3853</v>
      </c>
      <c r="AB79" s="34">
        <v>0.0</v>
      </c>
      <c r="AC79" s="34">
        <v>100.0</v>
      </c>
      <c r="AD79" s="34">
        <v>0.0</v>
      </c>
      <c r="AE79" s="34">
        <v>0.0</v>
      </c>
      <c r="AF79" s="33">
        <f>COUNTIFS('Data For Calculation - Insuranc'!A:A,A79,'Data For Calculation - Insuranc'!D:D,"Individual",'Data For Calculation - Insuranc'!E:E,"Rollover Comprehensive - 1 Year OD + 1 Year TP")</f>
        <v>0</v>
      </c>
      <c r="AG79" s="34" t="s">
        <v>3930</v>
      </c>
      <c r="AH79" s="42" t="s">
        <v>3817</v>
      </c>
      <c r="AI79" s="31">
        <v>290.0</v>
      </c>
      <c r="AJ79" s="34" t="s">
        <v>3853</v>
      </c>
      <c r="AK79" s="34">
        <v>0.0</v>
      </c>
      <c r="AL79" s="34">
        <v>100.0</v>
      </c>
      <c r="AM79" s="34">
        <v>0.0</v>
      </c>
      <c r="AN79" s="34">
        <v>0.0</v>
      </c>
      <c r="AO79" s="33">
        <f>COUNTIFS('Data For Calculation - Insuranc'!A:A,A79,'Data For Calculation - Insuranc'!D:D,"Company",'Data For Calculation - Insuranc'!E:E,"Rollover Comprehensive - 1 Year OD + 1 Year TP")</f>
        <v>0</v>
      </c>
      <c r="AP79" s="34" t="s">
        <v>3931</v>
      </c>
      <c r="AQ79" s="42" t="s">
        <v>3817</v>
      </c>
      <c r="AR79" s="31">
        <v>290.0</v>
      </c>
      <c r="AS79" s="34" t="s">
        <v>3853</v>
      </c>
      <c r="AT79" s="34">
        <v>0.0</v>
      </c>
      <c r="AU79" s="34">
        <v>100.0</v>
      </c>
      <c r="AV79" s="34">
        <v>0.0</v>
      </c>
      <c r="AW79" s="34">
        <v>0.0</v>
      </c>
      <c r="AX79" s="33">
        <f>COUNTIFS('Data For Calculation - Insuranc'!A:A,A79,'Data For Calculation - Insuranc'!D:D,"Individual",'Data For Calculation - Insuranc'!E:E,"Rollover - 1 Year OD Only")</f>
        <v>0</v>
      </c>
      <c r="AY79" s="34" t="s">
        <v>3932</v>
      </c>
      <c r="AZ79" s="42" t="s">
        <v>3817</v>
      </c>
      <c r="BA79" s="31">
        <v>290.0</v>
      </c>
      <c r="BB79" s="34" t="s">
        <v>3853</v>
      </c>
      <c r="BC79" s="34">
        <v>0.0</v>
      </c>
      <c r="BD79" s="34">
        <v>100.0</v>
      </c>
      <c r="BE79" s="34">
        <v>0.0</v>
      </c>
      <c r="BF79" s="34">
        <v>0.0</v>
      </c>
      <c r="BG79" s="33">
        <f>COUNTIFS('Data For Calculation - Insuranc'!A:A,A79,'Data For Calculation - Insuranc'!D:D,"Company",'Data For Calculation - Insuranc'!E:E,"Rollover - 1 Year OD Only")</f>
        <v>0</v>
      </c>
      <c r="BH79" s="34" t="s">
        <v>3931</v>
      </c>
      <c r="BI79" s="42" t="s">
        <v>3817</v>
      </c>
      <c r="BJ79" s="31">
        <v>290.0</v>
      </c>
      <c r="BK79" s="34" t="s">
        <v>3853</v>
      </c>
      <c r="BL79" s="34">
        <v>0.0</v>
      </c>
      <c r="BM79" s="34">
        <v>100.0</v>
      </c>
      <c r="BN79" s="34">
        <v>0.0</v>
      </c>
      <c r="BO79" s="34">
        <v>0.0</v>
      </c>
      <c r="BP79" s="33">
        <f>COUNTIFS('Data For Calculation - Insuranc'!A:A,A79,'Data For Calculation - Insuranc'!D:D,"Individual",'Data For Calculation - Insuranc'!E:E,"Rollover - 1 Year TP Only")</f>
        <v>0</v>
      </c>
      <c r="BQ79" s="34" t="s">
        <v>3932</v>
      </c>
      <c r="BR79" s="42" t="s">
        <v>3817</v>
      </c>
      <c r="BS79" s="31">
        <v>290.0</v>
      </c>
      <c r="BT79" s="34" t="s">
        <v>3853</v>
      </c>
      <c r="BU79" s="34">
        <v>0.0</v>
      </c>
      <c r="BV79" s="34">
        <v>100.0</v>
      </c>
      <c r="BW79" s="34">
        <v>0.0</v>
      </c>
      <c r="BX79" s="34">
        <v>0.0</v>
      </c>
      <c r="BY79" s="33">
        <f>COUNTIFS('Data For Calculation - Insuranc'!A:A,A79,'Data For Calculation - Insuranc'!D:D,"Company",'Data For Calculation - Insuranc'!E:E,"Rollover - 1 Year TP Only")</f>
        <v>0</v>
      </c>
      <c r="BZ79" s="31">
        <f t="shared" si="1"/>
        <v>0</v>
      </c>
      <c r="CA79" s="33">
        <f>SUMIFS('Data For Calculation - Insuranc'!I:I,'Data For Calculation - Insuranc'!$A:$A,$A79)</f>
        <v>0</v>
      </c>
      <c r="CB79" s="33">
        <f>SUMIFS('Data For Calculation - Insuranc'!J:J,'Data For Calculation - Insuranc'!$A:$A,$A79)</f>
        <v>0</v>
      </c>
      <c r="CC79" s="33">
        <f>SUMIFS('Data For Calculation - Insuranc'!K:K,'Data For Calculation - Insuranc'!$A:$A,$A79)</f>
        <v>0</v>
      </c>
      <c r="CD79" s="33">
        <f>IF($CK79 = "Dealer", SUMIFS('Data For Calculation - Insuranc'!I:I,'Data For Calculation - Insuranc'!$B:$B,$A79,'Data For Calculation - Insuranc'!$H:$H,"Master Dealer")) + SUMIFS('Data For Calculation - Insuranc'!I:I,'Data For Calculation - Insuranc'!$A:$A,$A79,'Data For Calculation - Insuranc'!$H:$H,"Self")</f>
        <v>0</v>
      </c>
      <c r="CE79" s="33">
        <f>IF($CK79 = "Dealer", SUMIFS('Data For Calculation - Insuranc'!J:J,'Data For Calculation - Insuranc'!$B:$B,$A79,'Data For Calculation - Insuranc'!$H:$H,"Master Dealer")) + SUMIFS('Data For Calculation - Insuranc'!J:J,'Data For Calculation - Insuranc'!$A:$A,$A79,'Data For Calculation - Insuranc'!$H:$H,"Self")</f>
        <v>0</v>
      </c>
      <c r="CF79" s="33">
        <f>IF($CK79 = "Dealer", SUMIFS('Data For Calculation - Insuranc'!K:K,'Data For Calculation - Insuranc'!$B:$B,$A79,'Data For Calculation - Insuranc'!$H:$H,"Master Dealer")) + SUMIFS('Data For Calculation - Insuranc'!K:K,'Data For Calculation - Insuranc'!$A:$A,$A79,'Data For Calculation - Insuranc'!$H:$H,"Self")</f>
        <v>0</v>
      </c>
      <c r="CG79" s="25" t="str">
        <f>(Sheet1!N79)</f>
        <v>Chaudhary Automobiles - Hisar</v>
      </c>
      <c r="CH79" s="25" t="str">
        <f>(Sheet1!O79)</f>
        <v>1pI_tDns4A7jbcl0nEvEO_u0FclM2PyV1AT-2Q2Dx2Jo</v>
      </c>
      <c r="CI79" s="25" t="str">
        <f>(Sheet1!AV79)</f>
        <v/>
      </c>
      <c r="CJ79" s="25" t="str">
        <f>(Sheet1!AW79)</f>
        <v/>
      </c>
      <c r="CK79" s="26" t="str">
        <f>(Sheet1!P79)</f>
        <v>Dealer</v>
      </c>
    </row>
    <row r="80">
      <c r="A80" s="25" t="str">
        <f>(Sheet1!A80)</f>
        <v>1hR0JpXiceB7xWAHLNEwMyaE9wlUgF4ljP0RD80dtSd0</v>
      </c>
      <c r="B80" s="25" t="str">
        <f>(Sheet1!B80)</f>
        <v>Krishna Enterprise - Gohana</v>
      </c>
      <c r="C80" s="30" t="str">
        <f>Sheet1!BB80</f>
        <v>No</v>
      </c>
      <c r="D80" s="30" t="s">
        <v>13</v>
      </c>
      <c r="E80" s="34" t="s">
        <v>13</v>
      </c>
      <c r="F80" s="34" t="s">
        <v>3929</v>
      </c>
      <c r="G80" s="42" t="s">
        <v>3820</v>
      </c>
      <c r="H80" s="43">
        <v>460.0</v>
      </c>
      <c r="I80" s="42" t="s">
        <v>3853</v>
      </c>
      <c r="J80" s="43">
        <v>0.0</v>
      </c>
      <c r="K80" s="43">
        <v>100.0</v>
      </c>
      <c r="L80" s="43">
        <v>0.0</v>
      </c>
      <c r="M80" s="43">
        <v>0.0</v>
      </c>
      <c r="N80" s="33">
        <f>COUNTIFS('Data For Calculation - Insuranc'!A:A,A80,'Data For Calculation - Insuranc'!D:D,"Individual",'Data For Calculation - Insuranc'!E:E,"Bundled - 1 Year OD + 5 Year TP")</f>
        <v>0</v>
      </c>
      <c r="O80" s="34" t="s">
        <v>3930</v>
      </c>
      <c r="P80" s="42" t="s">
        <v>3820</v>
      </c>
      <c r="Q80" s="43">
        <v>460.0</v>
      </c>
      <c r="R80" s="42" t="s">
        <v>3853</v>
      </c>
      <c r="S80" s="43">
        <v>0.0</v>
      </c>
      <c r="T80" s="43">
        <v>100.0</v>
      </c>
      <c r="U80" s="43">
        <v>0.0</v>
      </c>
      <c r="V80" s="43">
        <v>0.0</v>
      </c>
      <c r="W80" s="33">
        <f>COUNTIFS('Data For Calculation - Insuranc'!A:A,A80,'Data For Calculation - Insuranc'!D:D,"Company",'Data For Calculation - Insuranc'!E:E,"Bundled - 1 Year OD + 5 Year TP")</f>
        <v>0</v>
      </c>
      <c r="X80" s="34" t="s">
        <v>3929</v>
      </c>
      <c r="Y80" s="42" t="s">
        <v>3820</v>
      </c>
      <c r="Z80" s="31">
        <v>290.0</v>
      </c>
      <c r="AA80" s="34" t="s">
        <v>3853</v>
      </c>
      <c r="AB80" s="34">
        <v>0.0</v>
      </c>
      <c r="AC80" s="34">
        <v>100.0</v>
      </c>
      <c r="AD80" s="34">
        <v>0.0</v>
      </c>
      <c r="AE80" s="34">
        <v>0.0</v>
      </c>
      <c r="AF80" s="33">
        <f>COUNTIFS('Data For Calculation - Insuranc'!A:A,A80,'Data For Calculation - Insuranc'!D:D,"Individual",'Data For Calculation - Insuranc'!E:E,"Rollover Comprehensive - 1 Year OD + 1 Year TP")</f>
        <v>0</v>
      </c>
      <c r="AG80" s="34" t="s">
        <v>3930</v>
      </c>
      <c r="AH80" s="42" t="s">
        <v>3820</v>
      </c>
      <c r="AI80" s="31">
        <v>290.0</v>
      </c>
      <c r="AJ80" s="34" t="s">
        <v>3853</v>
      </c>
      <c r="AK80" s="34">
        <v>0.0</v>
      </c>
      <c r="AL80" s="34">
        <v>100.0</v>
      </c>
      <c r="AM80" s="34">
        <v>0.0</v>
      </c>
      <c r="AN80" s="34">
        <v>0.0</v>
      </c>
      <c r="AO80" s="33">
        <f>COUNTIFS('Data For Calculation - Insuranc'!A:A,A80,'Data For Calculation - Insuranc'!D:D,"Company",'Data For Calculation - Insuranc'!E:E,"Rollover Comprehensive - 1 Year OD + 1 Year TP")</f>
        <v>0</v>
      </c>
      <c r="AP80" s="34" t="s">
        <v>3931</v>
      </c>
      <c r="AQ80" s="42" t="s">
        <v>3820</v>
      </c>
      <c r="AR80" s="31">
        <v>290.0</v>
      </c>
      <c r="AS80" s="34" t="s">
        <v>3853</v>
      </c>
      <c r="AT80" s="34">
        <v>0.0</v>
      </c>
      <c r="AU80" s="34">
        <v>100.0</v>
      </c>
      <c r="AV80" s="34">
        <v>0.0</v>
      </c>
      <c r="AW80" s="34">
        <v>0.0</v>
      </c>
      <c r="AX80" s="33">
        <f>COUNTIFS('Data For Calculation - Insuranc'!A:A,A80,'Data For Calculation - Insuranc'!D:D,"Individual",'Data For Calculation - Insuranc'!E:E,"Rollover - 1 Year OD Only")</f>
        <v>0</v>
      </c>
      <c r="AY80" s="34" t="s">
        <v>3932</v>
      </c>
      <c r="AZ80" s="42" t="s">
        <v>3820</v>
      </c>
      <c r="BA80" s="31">
        <v>290.0</v>
      </c>
      <c r="BB80" s="34" t="s">
        <v>3853</v>
      </c>
      <c r="BC80" s="34">
        <v>0.0</v>
      </c>
      <c r="BD80" s="34">
        <v>100.0</v>
      </c>
      <c r="BE80" s="34">
        <v>0.0</v>
      </c>
      <c r="BF80" s="34">
        <v>0.0</v>
      </c>
      <c r="BG80" s="33">
        <f>COUNTIFS('Data For Calculation - Insuranc'!A:A,A80,'Data For Calculation - Insuranc'!D:D,"Company",'Data For Calculation - Insuranc'!E:E,"Rollover - 1 Year OD Only")</f>
        <v>0</v>
      </c>
      <c r="BH80" s="34" t="s">
        <v>3931</v>
      </c>
      <c r="BI80" s="42" t="s">
        <v>3820</v>
      </c>
      <c r="BJ80" s="31">
        <v>290.0</v>
      </c>
      <c r="BK80" s="34" t="s">
        <v>3853</v>
      </c>
      <c r="BL80" s="34">
        <v>0.0</v>
      </c>
      <c r="BM80" s="34">
        <v>100.0</v>
      </c>
      <c r="BN80" s="34">
        <v>0.0</v>
      </c>
      <c r="BO80" s="34">
        <v>0.0</v>
      </c>
      <c r="BP80" s="33">
        <f>COUNTIFS('Data For Calculation - Insuranc'!A:A,A80,'Data For Calculation - Insuranc'!D:D,"Individual",'Data For Calculation - Insuranc'!E:E,"Rollover - 1 Year TP Only")</f>
        <v>0</v>
      </c>
      <c r="BQ80" s="34" t="s">
        <v>3932</v>
      </c>
      <c r="BR80" s="42" t="s">
        <v>3820</v>
      </c>
      <c r="BS80" s="31">
        <v>290.0</v>
      </c>
      <c r="BT80" s="34" t="s">
        <v>3853</v>
      </c>
      <c r="BU80" s="34">
        <v>0.0</v>
      </c>
      <c r="BV80" s="34">
        <v>100.0</v>
      </c>
      <c r="BW80" s="34">
        <v>0.0</v>
      </c>
      <c r="BX80" s="34">
        <v>0.0</v>
      </c>
      <c r="BY80" s="33">
        <f>COUNTIFS('Data For Calculation - Insuranc'!A:A,A80,'Data For Calculation - Insuranc'!D:D,"Company",'Data For Calculation - Insuranc'!E:E,"Rollover - 1 Year TP Only")</f>
        <v>0</v>
      </c>
      <c r="BZ80" s="31">
        <f t="shared" si="1"/>
        <v>0</v>
      </c>
      <c r="CA80" s="33">
        <f>SUMIFS('Data For Calculation - Insuranc'!I:I,'Data For Calculation - Insuranc'!$A:$A,$A80)</f>
        <v>0</v>
      </c>
      <c r="CB80" s="33">
        <f>SUMIFS('Data For Calculation - Insuranc'!J:J,'Data For Calculation - Insuranc'!$A:$A,$A80)</f>
        <v>0</v>
      </c>
      <c r="CC80" s="33">
        <f>SUMIFS('Data For Calculation - Insuranc'!K:K,'Data For Calculation - Insuranc'!$A:$A,$A80)</f>
        <v>0</v>
      </c>
      <c r="CD80" s="33">
        <f>IF($CK80 = "Dealer", SUMIFS('Data For Calculation - Insuranc'!I:I,'Data For Calculation - Insuranc'!$B:$B,$A80,'Data For Calculation - Insuranc'!$H:$H,"Master Dealer")) + SUMIFS('Data For Calculation - Insuranc'!I:I,'Data For Calculation - Insuranc'!$A:$A,$A80,'Data For Calculation - Insuranc'!$H:$H,"Self")</f>
        <v>0</v>
      </c>
      <c r="CE80" s="33">
        <f>IF($CK80 = "Dealer", SUMIFS('Data For Calculation - Insuranc'!J:J,'Data For Calculation - Insuranc'!$B:$B,$A80,'Data For Calculation - Insuranc'!$H:$H,"Master Dealer")) + SUMIFS('Data For Calculation - Insuranc'!J:J,'Data For Calculation - Insuranc'!$A:$A,$A80,'Data For Calculation - Insuranc'!$H:$H,"Self")</f>
        <v>0</v>
      </c>
      <c r="CF80" s="33">
        <f>IF($CK80 = "Dealer", SUMIFS('Data For Calculation - Insuranc'!K:K,'Data For Calculation - Insuranc'!$B:$B,$A80,'Data For Calculation - Insuranc'!$H:$H,"Master Dealer")) + SUMIFS('Data For Calculation - Insuranc'!K:K,'Data For Calculation - Insuranc'!$A:$A,$A80,'Data For Calculation - Insuranc'!$H:$H,"Self")</f>
        <v>0</v>
      </c>
      <c r="CG80" s="25" t="str">
        <f>(Sheet1!N80)</f>
        <v>Krishna Enterprise - Gohana</v>
      </c>
      <c r="CH80" s="25" t="str">
        <f>(Sheet1!O80)</f>
        <v>1hR0JpXiceB7xWAHLNEwMyaE9wlUgF4ljP0RD80dtSd0</v>
      </c>
      <c r="CI80" s="25" t="str">
        <f>(Sheet1!AV80)</f>
        <v/>
      </c>
      <c r="CJ80" s="25" t="str">
        <f>(Sheet1!AW80)</f>
        <v/>
      </c>
      <c r="CK80" s="26" t="str">
        <f>(Sheet1!P80)</f>
        <v>Dealer</v>
      </c>
    </row>
    <row r="81">
      <c r="A81" s="25" t="str">
        <f>(Sheet1!A81)</f>
        <v>1T--GiX2IFe0RYo58Hf-j_i7C4y0B-AEmeo-kncwUWcg</v>
      </c>
      <c r="B81" s="25" t="str">
        <f>(Sheet1!B81)</f>
        <v>Vikrant Automobiles (CAH)</v>
      </c>
      <c r="C81" s="30" t="str">
        <f>Sheet1!BB81</f>
        <v>No</v>
      </c>
      <c r="D81" s="30" t="s">
        <v>13</v>
      </c>
      <c r="E81" s="34" t="s">
        <v>13</v>
      </c>
      <c r="F81" s="34" t="s">
        <v>3929</v>
      </c>
      <c r="G81" s="42" t="s">
        <v>3817</v>
      </c>
      <c r="H81" s="43">
        <v>460.0</v>
      </c>
      <c r="I81" s="42" t="s">
        <v>3853</v>
      </c>
      <c r="J81" s="43">
        <v>0.0</v>
      </c>
      <c r="K81" s="43">
        <v>100.0</v>
      </c>
      <c r="L81" s="43">
        <v>0.0</v>
      </c>
      <c r="M81" s="43">
        <v>0.0</v>
      </c>
      <c r="N81" s="33">
        <f>COUNTIFS('Data For Calculation - Insuranc'!A:A,A81,'Data For Calculation - Insuranc'!D:D,"Individual",'Data For Calculation - Insuranc'!E:E,"Bundled - 1 Year OD + 5 Year TP")</f>
        <v>0</v>
      </c>
      <c r="O81" s="34" t="s">
        <v>3930</v>
      </c>
      <c r="P81" s="42" t="s">
        <v>3817</v>
      </c>
      <c r="Q81" s="43">
        <v>460.0</v>
      </c>
      <c r="R81" s="42" t="s">
        <v>3853</v>
      </c>
      <c r="S81" s="43">
        <v>0.0</v>
      </c>
      <c r="T81" s="43">
        <v>100.0</v>
      </c>
      <c r="U81" s="43">
        <v>0.0</v>
      </c>
      <c r="V81" s="43">
        <v>0.0</v>
      </c>
      <c r="W81" s="33">
        <f>COUNTIFS('Data For Calculation - Insuranc'!A:A,A81,'Data For Calculation - Insuranc'!D:D,"Company",'Data For Calculation - Insuranc'!E:E,"Bundled - 1 Year OD + 5 Year TP")</f>
        <v>0</v>
      </c>
      <c r="X81" s="34" t="s">
        <v>3929</v>
      </c>
      <c r="Y81" s="42" t="s">
        <v>3817</v>
      </c>
      <c r="Z81" s="31">
        <v>290.0</v>
      </c>
      <c r="AA81" s="34" t="s">
        <v>3853</v>
      </c>
      <c r="AB81" s="34">
        <v>0.0</v>
      </c>
      <c r="AC81" s="34">
        <v>100.0</v>
      </c>
      <c r="AD81" s="34">
        <v>0.0</v>
      </c>
      <c r="AE81" s="34">
        <v>0.0</v>
      </c>
      <c r="AF81" s="33">
        <f>COUNTIFS('Data For Calculation - Insuranc'!A:A,A81,'Data For Calculation - Insuranc'!D:D,"Individual",'Data For Calculation - Insuranc'!E:E,"Rollover Comprehensive - 1 Year OD + 1 Year TP")</f>
        <v>0</v>
      </c>
      <c r="AG81" s="34" t="s">
        <v>3930</v>
      </c>
      <c r="AH81" s="42" t="s">
        <v>3817</v>
      </c>
      <c r="AI81" s="31">
        <v>290.0</v>
      </c>
      <c r="AJ81" s="34" t="s">
        <v>3853</v>
      </c>
      <c r="AK81" s="34">
        <v>0.0</v>
      </c>
      <c r="AL81" s="34">
        <v>100.0</v>
      </c>
      <c r="AM81" s="34">
        <v>0.0</v>
      </c>
      <c r="AN81" s="34">
        <v>0.0</v>
      </c>
      <c r="AO81" s="33">
        <f>COUNTIFS('Data For Calculation - Insuranc'!A:A,A81,'Data For Calculation - Insuranc'!D:D,"Company",'Data For Calculation - Insuranc'!E:E,"Rollover Comprehensive - 1 Year OD + 1 Year TP")</f>
        <v>0</v>
      </c>
      <c r="AP81" s="34" t="s">
        <v>3931</v>
      </c>
      <c r="AQ81" s="42" t="s">
        <v>3817</v>
      </c>
      <c r="AR81" s="31">
        <v>290.0</v>
      </c>
      <c r="AS81" s="34" t="s">
        <v>3853</v>
      </c>
      <c r="AT81" s="34">
        <v>0.0</v>
      </c>
      <c r="AU81" s="34">
        <v>100.0</v>
      </c>
      <c r="AV81" s="34">
        <v>0.0</v>
      </c>
      <c r="AW81" s="34">
        <v>0.0</v>
      </c>
      <c r="AX81" s="33">
        <f>COUNTIFS('Data For Calculation - Insuranc'!A:A,A81,'Data For Calculation - Insuranc'!D:D,"Individual",'Data For Calculation - Insuranc'!E:E,"Rollover - 1 Year OD Only")</f>
        <v>0</v>
      </c>
      <c r="AY81" s="34" t="s">
        <v>3932</v>
      </c>
      <c r="AZ81" s="42" t="s">
        <v>3817</v>
      </c>
      <c r="BA81" s="31">
        <v>290.0</v>
      </c>
      <c r="BB81" s="34" t="s">
        <v>3853</v>
      </c>
      <c r="BC81" s="34">
        <v>0.0</v>
      </c>
      <c r="BD81" s="34">
        <v>100.0</v>
      </c>
      <c r="BE81" s="34">
        <v>0.0</v>
      </c>
      <c r="BF81" s="34">
        <v>0.0</v>
      </c>
      <c r="BG81" s="33">
        <f>COUNTIFS('Data For Calculation - Insuranc'!A:A,A81,'Data For Calculation - Insuranc'!D:D,"Company",'Data For Calculation - Insuranc'!E:E,"Rollover - 1 Year OD Only")</f>
        <v>0</v>
      </c>
      <c r="BH81" s="34" t="s">
        <v>3931</v>
      </c>
      <c r="BI81" s="42" t="s">
        <v>3817</v>
      </c>
      <c r="BJ81" s="31">
        <v>290.0</v>
      </c>
      <c r="BK81" s="34" t="s">
        <v>3853</v>
      </c>
      <c r="BL81" s="34">
        <v>0.0</v>
      </c>
      <c r="BM81" s="34">
        <v>100.0</v>
      </c>
      <c r="BN81" s="34">
        <v>0.0</v>
      </c>
      <c r="BO81" s="34">
        <v>0.0</v>
      </c>
      <c r="BP81" s="33">
        <f>COUNTIFS('Data For Calculation - Insuranc'!A:A,A81,'Data For Calculation - Insuranc'!D:D,"Individual",'Data For Calculation - Insuranc'!E:E,"Rollover - 1 Year TP Only")</f>
        <v>0</v>
      </c>
      <c r="BQ81" s="34" t="s">
        <v>3932</v>
      </c>
      <c r="BR81" s="42" t="s">
        <v>3817</v>
      </c>
      <c r="BS81" s="31">
        <v>290.0</v>
      </c>
      <c r="BT81" s="34" t="s">
        <v>3853</v>
      </c>
      <c r="BU81" s="34">
        <v>0.0</v>
      </c>
      <c r="BV81" s="34">
        <v>100.0</v>
      </c>
      <c r="BW81" s="34">
        <v>0.0</v>
      </c>
      <c r="BX81" s="34">
        <v>0.0</v>
      </c>
      <c r="BY81" s="33">
        <f>COUNTIFS('Data For Calculation - Insuranc'!A:A,A81,'Data For Calculation - Insuranc'!D:D,"Company",'Data For Calculation - Insuranc'!E:E,"Rollover - 1 Year TP Only")</f>
        <v>0</v>
      </c>
      <c r="BZ81" s="31">
        <f t="shared" si="1"/>
        <v>0</v>
      </c>
      <c r="CA81" s="33">
        <f>SUMIFS('Data For Calculation - Insuranc'!I:I,'Data For Calculation - Insuranc'!$A:$A,$A81)</f>
        <v>0</v>
      </c>
      <c r="CB81" s="33">
        <f>SUMIFS('Data For Calculation - Insuranc'!J:J,'Data For Calculation - Insuranc'!$A:$A,$A81)</f>
        <v>0</v>
      </c>
      <c r="CC81" s="33">
        <f>SUMIFS('Data For Calculation - Insuranc'!K:K,'Data For Calculation - Insuranc'!$A:$A,$A81)</f>
        <v>0</v>
      </c>
      <c r="CD81" s="33">
        <f>IF($CK81 = "Dealer", SUMIFS('Data For Calculation - Insuranc'!I:I,'Data For Calculation - Insuranc'!$B:$B,$A81,'Data For Calculation - Insuranc'!$H:$H,"Master Dealer")) + SUMIFS('Data For Calculation - Insuranc'!I:I,'Data For Calculation - Insuranc'!$A:$A,$A81,'Data For Calculation - Insuranc'!$H:$H,"Self")</f>
        <v>0</v>
      </c>
      <c r="CE81" s="33">
        <f>IF($CK81 = "Dealer", SUMIFS('Data For Calculation - Insuranc'!J:J,'Data For Calculation - Insuranc'!$B:$B,$A81,'Data For Calculation - Insuranc'!$H:$H,"Master Dealer")) + SUMIFS('Data For Calculation - Insuranc'!J:J,'Data For Calculation - Insuranc'!$A:$A,$A81,'Data For Calculation - Insuranc'!$H:$H,"Self")</f>
        <v>0</v>
      </c>
      <c r="CF81" s="33">
        <f>IF($CK81 = "Dealer", SUMIFS('Data For Calculation - Insuranc'!K:K,'Data For Calculation - Insuranc'!$B:$B,$A81,'Data For Calculation - Insuranc'!$H:$H,"Master Dealer")) + SUMIFS('Data For Calculation - Insuranc'!K:K,'Data For Calculation - Insuranc'!$A:$A,$A81,'Data For Calculation - Insuranc'!$H:$H,"Self")</f>
        <v>0</v>
      </c>
      <c r="CG81" s="25" t="str">
        <f>(Sheet1!N81)</f>
        <v>Chaudhary Automobiles - Hisar</v>
      </c>
      <c r="CH81" s="25" t="str">
        <f>(Sheet1!O81)</f>
        <v>1pI_tDns4A7jbcl0nEvEO_u0FclM2PyV1AT-2Q2Dx2Jo</v>
      </c>
      <c r="CI81" s="25" t="str">
        <f>(Sheet1!AV81)</f>
        <v/>
      </c>
      <c r="CJ81" s="25" t="str">
        <f>(Sheet1!AW81)</f>
        <v/>
      </c>
      <c r="CK81" s="26" t="str">
        <f>(Sheet1!P81)</f>
        <v>Sub Dealer</v>
      </c>
    </row>
    <row r="82">
      <c r="A82" s="25" t="str">
        <f>(Sheet1!A82)</f>
        <v>1te-rw28wyEruXSSOAJhw4UGEPXdsOYHDVLF_IaZTrdY</v>
      </c>
      <c r="B82" s="25" t="str">
        <f>(Sheet1!B82)</f>
        <v>Himanshu Automobile (KHG)</v>
      </c>
      <c r="C82" s="30" t="str">
        <f>Sheet1!BB82</f>
        <v>No</v>
      </c>
      <c r="D82" s="30" t="s">
        <v>13</v>
      </c>
      <c r="E82" s="34" t="s">
        <v>13</v>
      </c>
      <c r="F82" s="34" t="s">
        <v>3929</v>
      </c>
      <c r="G82" s="42" t="s">
        <v>3820</v>
      </c>
      <c r="H82" s="43">
        <v>460.0</v>
      </c>
      <c r="I82" s="42" t="s">
        <v>3853</v>
      </c>
      <c r="J82" s="43">
        <v>0.0</v>
      </c>
      <c r="K82" s="43">
        <v>100.0</v>
      </c>
      <c r="L82" s="43">
        <v>0.0</v>
      </c>
      <c r="M82" s="43">
        <v>0.0</v>
      </c>
      <c r="N82" s="33">
        <f>COUNTIFS('Data For Calculation - Insuranc'!A:A,A82,'Data For Calculation - Insuranc'!D:D,"Individual",'Data For Calculation - Insuranc'!E:E,"Bundled - 1 Year OD + 5 Year TP")</f>
        <v>0</v>
      </c>
      <c r="O82" s="34" t="s">
        <v>3930</v>
      </c>
      <c r="P82" s="42" t="s">
        <v>3820</v>
      </c>
      <c r="Q82" s="43">
        <v>460.0</v>
      </c>
      <c r="R82" s="42" t="s">
        <v>3853</v>
      </c>
      <c r="S82" s="43">
        <v>0.0</v>
      </c>
      <c r="T82" s="43">
        <v>100.0</v>
      </c>
      <c r="U82" s="43">
        <v>0.0</v>
      </c>
      <c r="V82" s="43">
        <v>0.0</v>
      </c>
      <c r="W82" s="33">
        <f>COUNTIFS('Data For Calculation - Insuranc'!A:A,A82,'Data For Calculation - Insuranc'!D:D,"Company",'Data For Calculation - Insuranc'!E:E,"Bundled - 1 Year OD + 5 Year TP")</f>
        <v>0</v>
      </c>
      <c r="X82" s="34" t="s">
        <v>3929</v>
      </c>
      <c r="Y82" s="42" t="s">
        <v>3820</v>
      </c>
      <c r="Z82" s="31">
        <v>290.0</v>
      </c>
      <c r="AA82" s="34" t="s">
        <v>3853</v>
      </c>
      <c r="AB82" s="34">
        <v>0.0</v>
      </c>
      <c r="AC82" s="34">
        <v>100.0</v>
      </c>
      <c r="AD82" s="34">
        <v>0.0</v>
      </c>
      <c r="AE82" s="34">
        <v>0.0</v>
      </c>
      <c r="AF82" s="33">
        <f>COUNTIFS('Data For Calculation - Insuranc'!A:A,A82,'Data For Calculation - Insuranc'!D:D,"Individual",'Data For Calculation - Insuranc'!E:E,"Rollover Comprehensive - 1 Year OD + 1 Year TP")</f>
        <v>0</v>
      </c>
      <c r="AG82" s="34" t="s">
        <v>3930</v>
      </c>
      <c r="AH82" s="42" t="s">
        <v>3820</v>
      </c>
      <c r="AI82" s="31">
        <v>290.0</v>
      </c>
      <c r="AJ82" s="34" t="s">
        <v>3853</v>
      </c>
      <c r="AK82" s="34">
        <v>0.0</v>
      </c>
      <c r="AL82" s="34">
        <v>100.0</v>
      </c>
      <c r="AM82" s="34">
        <v>0.0</v>
      </c>
      <c r="AN82" s="34">
        <v>0.0</v>
      </c>
      <c r="AO82" s="33">
        <f>COUNTIFS('Data For Calculation - Insuranc'!A:A,A82,'Data For Calculation - Insuranc'!D:D,"Company",'Data For Calculation - Insuranc'!E:E,"Rollover Comprehensive - 1 Year OD + 1 Year TP")</f>
        <v>0</v>
      </c>
      <c r="AP82" s="34" t="s">
        <v>3931</v>
      </c>
      <c r="AQ82" s="42" t="s">
        <v>3820</v>
      </c>
      <c r="AR82" s="31">
        <v>290.0</v>
      </c>
      <c r="AS82" s="34" t="s">
        <v>3853</v>
      </c>
      <c r="AT82" s="34">
        <v>0.0</v>
      </c>
      <c r="AU82" s="34">
        <v>100.0</v>
      </c>
      <c r="AV82" s="34">
        <v>0.0</v>
      </c>
      <c r="AW82" s="34">
        <v>0.0</v>
      </c>
      <c r="AX82" s="33">
        <f>COUNTIFS('Data For Calculation - Insuranc'!A:A,A82,'Data For Calculation - Insuranc'!D:D,"Individual",'Data For Calculation - Insuranc'!E:E,"Rollover - 1 Year OD Only")</f>
        <v>0</v>
      </c>
      <c r="AY82" s="34" t="s">
        <v>3932</v>
      </c>
      <c r="AZ82" s="42" t="s">
        <v>3820</v>
      </c>
      <c r="BA82" s="31">
        <v>290.0</v>
      </c>
      <c r="BB82" s="34" t="s">
        <v>3853</v>
      </c>
      <c r="BC82" s="34">
        <v>0.0</v>
      </c>
      <c r="BD82" s="34">
        <v>100.0</v>
      </c>
      <c r="BE82" s="34">
        <v>0.0</v>
      </c>
      <c r="BF82" s="34">
        <v>0.0</v>
      </c>
      <c r="BG82" s="33">
        <f>COUNTIFS('Data For Calculation - Insuranc'!A:A,A82,'Data For Calculation - Insuranc'!D:D,"Company",'Data For Calculation - Insuranc'!E:E,"Rollover - 1 Year OD Only")</f>
        <v>0</v>
      </c>
      <c r="BH82" s="34" t="s">
        <v>3931</v>
      </c>
      <c r="BI82" s="42" t="s">
        <v>3820</v>
      </c>
      <c r="BJ82" s="31">
        <v>290.0</v>
      </c>
      <c r="BK82" s="34" t="s">
        <v>3853</v>
      </c>
      <c r="BL82" s="34">
        <v>0.0</v>
      </c>
      <c r="BM82" s="34">
        <v>100.0</v>
      </c>
      <c r="BN82" s="34">
        <v>0.0</v>
      </c>
      <c r="BO82" s="34">
        <v>0.0</v>
      </c>
      <c r="BP82" s="33">
        <f>COUNTIFS('Data For Calculation - Insuranc'!A:A,A82,'Data For Calculation - Insuranc'!D:D,"Individual",'Data For Calculation - Insuranc'!E:E,"Rollover - 1 Year TP Only")</f>
        <v>0</v>
      </c>
      <c r="BQ82" s="34" t="s">
        <v>3932</v>
      </c>
      <c r="BR82" s="42" t="s">
        <v>3820</v>
      </c>
      <c r="BS82" s="31">
        <v>290.0</v>
      </c>
      <c r="BT82" s="34" t="s">
        <v>3853</v>
      </c>
      <c r="BU82" s="34">
        <v>0.0</v>
      </c>
      <c r="BV82" s="34">
        <v>100.0</v>
      </c>
      <c r="BW82" s="34">
        <v>0.0</v>
      </c>
      <c r="BX82" s="34">
        <v>0.0</v>
      </c>
      <c r="BY82" s="33">
        <f>COUNTIFS('Data For Calculation - Insuranc'!A:A,A82,'Data For Calculation - Insuranc'!D:D,"Company",'Data For Calculation - Insuranc'!E:E,"Rollover - 1 Year TP Only")</f>
        <v>0</v>
      </c>
      <c r="BZ82" s="31">
        <f t="shared" si="1"/>
        <v>0</v>
      </c>
      <c r="CA82" s="33">
        <f>SUMIFS('Data For Calculation - Insuranc'!I:I,'Data For Calculation - Insuranc'!$A:$A,$A82)</f>
        <v>0</v>
      </c>
      <c r="CB82" s="33">
        <f>SUMIFS('Data For Calculation - Insuranc'!J:J,'Data For Calculation - Insuranc'!$A:$A,$A82)</f>
        <v>0</v>
      </c>
      <c r="CC82" s="33">
        <f>SUMIFS('Data For Calculation - Insuranc'!K:K,'Data For Calculation - Insuranc'!$A:$A,$A82)</f>
        <v>0</v>
      </c>
      <c r="CD82" s="33">
        <f>IF($CK82 = "Dealer", SUMIFS('Data For Calculation - Insuranc'!I:I,'Data For Calculation - Insuranc'!$B:$B,$A82,'Data For Calculation - Insuranc'!$H:$H,"Master Dealer")) + SUMIFS('Data For Calculation - Insuranc'!I:I,'Data For Calculation - Insuranc'!$A:$A,$A82,'Data For Calculation - Insuranc'!$H:$H,"Self")</f>
        <v>0</v>
      </c>
      <c r="CE82" s="33">
        <f>IF($CK82 = "Dealer", SUMIFS('Data For Calculation - Insuranc'!J:J,'Data For Calculation - Insuranc'!$B:$B,$A82,'Data For Calculation - Insuranc'!$H:$H,"Master Dealer")) + SUMIFS('Data For Calculation - Insuranc'!J:J,'Data For Calculation - Insuranc'!$A:$A,$A82,'Data For Calculation - Insuranc'!$H:$H,"Self")</f>
        <v>0</v>
      </c>
      <c r="CF82" s="33">
        <f>IF($CK82 = "Dealer", SUMIFS('Data For Calculation - Insuranc'!K:K,'Data For Calculation - Insuranc'!$B:$B,$A82,'Data For Calculation - Insuranc'!$H:$H,"Master Dealer")) + SUMIFS('Data For Calculation - Insuranc'!K:K,'Data For Calculation - Insuranc'!$A:$A,$A82,'Data For Calculation - Insuranc'!$H:$H,"Self")</f>
        <v>0</v>
      </c>
      <c r="CG82" s="25" t="str">
        <f>(Sheet1!N82)</f>
        <v>Himanshu Automobile (KHG)</v>
      </c>
      <c r="CH82" s="25" t="str">
        <f>(Sheet1!O82)</f>
        <v>1te-rw28wyEruXSSOAJhw4UGEPXdsOYHDVLF_IaZTrdY</v>
      </c>
      <c r="CI82" s="25" t="str">
        <f>(Sheet1!AV82)</f>
        <v/>
      </c>
      <c r="CJ82" s="25" t="str">
        <f>(Sheet1!AW82)</f>
        <v/>
      </c>
      <c r="CK82" s="26" t="str">
        <f>(Sheet1!P82)</f>
        <v>Dealer</v>
      </c>
    </row>
    <row r="83">
      <c r="A83" s="25" t="str">
        <f>(Sheet1!A83)</f>
        <v>1YGpVDN0ELgWGDdcU8lnhIXzjT7NqPXsCaqGWqE3ma8o</v>
      </c>
      <c r="B83" s="25" t="str">
        <f>(Sheet1!B83)</f>
        <v>TR Motors - Kundali (KEG)</v>
      </c>
      <c r="C83" s="30" t="str">
        <f>Sheet1!BB83</f>
        <v>No</v>
      </c>
      <c r="D83" s="30" t="s">
        <v>13</v>
      </c>
      <c r="E83" s="34" t="s">
        <v>13</v>
      </c>
      <c r="F83" s="34" t="s">
        <v>3929</v>
      </c>
      <c r="G83" s="42" t="s">
        <v>3817</v>
      </c>
      <c r="H83" s="43">
        <v>460.0</v>
      </c>
      <c r="I83" s="42" t="s">
        <v>3853</v>
      </c>
      <c r="J83" s="43">
        <v>0.0</v>
      </c>
      <c r="K83" s="43">
        <v>100.0</v>
      </c>
      <c r="L83" s="43">
        <v>0.0</v>
      </c>
      <c r="M83" s="43">
        <v>0.0</v>
      </c>
      <c r="N83" s="33">
        <f>COUNTIFS('Data For Calculation - Insuranc'!A:A,A83,'Data For Calculation - Insuranc'!D:D,"Individual",'Data For Calculation - Insuranc'!E:E,"Bundled - 1 Year OD + 5 Year TP")</f>
        <v>0</v>
      </c>
      <c r="O83" s="34" t="s">
        <v>3930</v>
      </c>
      <c r="P83" s="42" t="s">
        <v>3817</v>
      </c>
      <c r="Q83" s="43">
        <v>460.0</v>
      </c>
      <c r="R83" s="42" t="s">
        <v>3853</v>
      </c>
      <c r="S83" s="43">
        <v>0.0</v>
      </c>
      <c r="T83" s="43">
        <v>100.0</v>
      </c>
      <c r="U83" s="43">
        <v>0.0</v>
      </c>
      <c r="V83" s="43">
        <v>0.0</v>
      </c>
      <c r="W83" s="33">
        <f>COUNTIFS('Data For Calculation - Insuranc'!A:A,A83,'Data For Calculation - Insuranc'!D:D,"Company",'Data For Calculation - Insuranc'!E:E,"Bundled - 1 Year OD + 5 Year TP")</f>
        <v>0</v>
      </c>
      <c r="X83" s="34" t="s">
        <v>3929</v>
      </c>
      <c r="Y83" s="42" t="s">
        <v>3817</v>
      </c>
      <c r="Z83" s="31">
        <v>290.0</v>
      </c>
      <c r="AA83" s="34" t="s">
        <v>3853</v>
      </c>
      <c r="AB83" s="34">
        <v>0.0</v>
      </c>
      <c r="AC83" s="34">
        <v>100.0</v>
      </c>
      <c r="AD83" s="34">
        <v>0.0</v>
      </c>
      <c r="AE83" s="34">
        <v>0.0</v>
      </c>
      <c r="AF83" s="33">
        <f>COUNTIFS('Data For Calculation - Insuranc'!A:A,A83,'Data For Calculation - Insuranc'!D:D,"Individual",'Data For Calculation - Insuranc'!E:E,"Rollover Comprehensive - 1 Year OD + 1 Year TP")</f>
        <v>0</v>
      </c>
      <c r="AG83" s="34" t="s">
        <v>3930</v>
      </c>
      <c r="AH83" s="42" t="s">
        <v>3817</v>
      </c>
      <c r="AI83" s="31">
        <v>290.0</v>
      </c>
      <c r="AJ83" s="34" t="s">
        <v>3853</v>
      </c>
      <c r="AK83" s="34">
        <v>0.0</v>
      </c>
      <c r="AL83" s="34">
        <v>100.0</v>
      </c>
      <c r="AM83" s="34">
        <v>0.0</v>
      </c>
      <c r="AN83" s="34">
        <v>0.0</v>
      </c>
      <c r="AO83" s="33">
        <f>COUNTIFS('Data For Calculation - Insuranc'!A:A,A83,'Data For Calculation - Insuranc'!D:D,"Company",'Data For Calculation - Insuranc'!E:E,"Rollover Comprehensive - 1 Year OD + 1 Year TP")</f>
        <v>0</v>
      </c>
      <c r="AP83" s="34" t="s">
        <v>3931</v>
      </c>
      <c r="AQ83" s="42" t="s">
        <v>3817</v>
      </c>
      <c r="AR83" s="31">
        <v>290.0</v>
      </c>
      <c r="AS83" s="34" t="s">
        <v>3853</v>
      </c>
      <c r="AT83" s="34">
        <v>0.0</v>
      </c>
      <c r="AU83" s="34">
        <v>100.0</v>
      </c>
      <c r="AV83" s="34">
        <v>0.0</v>
      </c>
      <c r="AW83" s="34">
        <v>0.0</v>
      </c>
      <c r="AX83" s="33">
        <f>COUNTIFS('Data For Calculation - Insuranc'!A:A,A83,'Data For Calculation - Insuranc'!D:D,"Individual",'Data For Calculation - Insuranc'!E:E,"Rollover - 1 Year OD Only")</f>
        <v>0</v>
      </c>
      <c r="AY83" s="34" t="s">
        <v>3932</v>
      </c>
      <c r="AZ83" s="42" t="s">
        <v>3817</v>
      </c>
      <c r="BA83" s="31">
        <v>290.0</v>
      </c>
      <c r="BB83" s="34" t="s">
        <v>3853</v>
      </c>
      <c r="BC83" s="34">
        <v>0.0</v>
      </c>
      <c r="BD83" s="34">
        <v>100.0</v>
      </c>
      <c r="BE83" s="34">
        <v>0.0</v>
      </c>
      <c r="BF83" s="34">
        <v>0.0</v>
      </c>
      <c r="BG83" s="33">
        <f>COUNTIFS('Data For Calculation - Insuranc'!A:A,A83,'Data For Calculation - Insuranc'!D:D,"Company",'Data For Calculation - Insuranc'!E:E,"Rollover - 1 Year OD Only")</f>
        <v>0</v>
      </c>
      <c r="BH83" s="34" t="s">
        <v>3931</v>
      </c>
      <c r="BI83" s="42" t="s">
        <v>3817</v>
      </c>
      <c r="BJ83" s="31">
        <v>290.0</v>
      </c>
      <c r="BK83" s="34" t="s">
        <v>3853</v>
      </c>
      <c r="BL83" s="34">
        <v>0.0</v>
      </c>
      <c r="BM83" s="34">
        <v>100.0</v>
      </c>
      <c r="BN83" s="34">
        <v>0.0</v>
      </c>
      <c r="BO83" s="34">
        <v>0.0</v>
      </c>
      <c r="BP83" s="33">
        <f>COUNTIFS('Data For Calculation - Insuranc'!A:A,A83,'Data For Calculation - Insuranc'!D:D,"Individual",'Data For Calculation - Insuranc'!E:E,"Rollover - 1 Year TP Only")</f>
        <v>0</v>
      </c>
      <c r="BQ83" s="34" t="s">
        <v>3932</v>
      </c>
      <c r="BR83" s="42" t="s">
        <v>3817</v>
      </c>
      <c r="BS83" s="31">
        <v>290.0</v>
      </c>
      <c r="BT83" s="34" t="s">
        <v>3853</v>
      </c>
      <c r="BU83" s="34">
        <v>0.0</v>
      </c>
      <c r="BV83" s="34">
        <v>100.0</v>
      </c>
      <c r="BW83" s="34">
        <v>0.0</v>
      </c>
      <c r="BX83" s="34">
        <v>0.0</v>
      </c>
      <c r="BY83" s="33">
        <f>COUNTIFS('Data For Calculation - Insuranc'!A:A,A83,'Data For Calculation - Insuranc'!D:D,"Company",'Data For Calculation - Insuranc'!E:E,"Rollover - 1 Year TP Only")</f>
        <v>0</v>
      </c>
      <c r="BZ83" s="31">
        <f t="shared" si="1"/>
        <v>0</v>
      </c>
      <c r="CA83" s="33">
        <f>SUMIFS('Data For Calculation - Insuranc'!I:I,'Data For Calculation - Insuranc'!$A:$A,$A83)</f>
        <v>0</v>
      </c>
      <c r="CB83" s="33">
        <f>SUMIFS('Data For Calculation - Insuranc'!J:J,'Data For Calculation - Insuranc'!$A:$A,$A83)</f>
        <v>0</v>
      </c>
      <c r="CC83" s="33">
        <f>SUMIFS('Data For Calculation - Insuranc'!K:K,'Data For Calculation - Insuranc'!$A:$A,$A83)</f>
        <v>0</v>
      </c>
      <c r="CD83" s="33">
        <f>IF($CK83 = "Dealer", SUMIFS('Data For Calculation - Insuranc'!I:I,'Data For Calculation - Insuranc'!$B:$B,$A83,'Data For Calculation - Insuranc'!$H:$H,"Master Dealer")) + SUMIFS('Data For Calculation - Insuranc'!I:I,'Data For Calculation - Insuranc'!$A:$A,$A83,'Data For Calculation - Insuranc'!$H:$H,"Self")</f>
        <v>0</v>
      </c>
      <c r="CE83" s="33">
        <f>IF($CK83 = "Dealer", SUMIFS('Data For Calculation - Insuranc'!J:J,'Data For Calculation - Insuranc'!$B:$B,$A83,'Data For Calculation - Insuranc'!$H:$H,"Master Dealer")) + SUMIFS('Data For Calculation - Insuranc'!J:J,'Data For Calculation - Insuranc'!$A:$A,$A83,'Data For Calculation - Insuranc'!$H:$H,"Self")</f>
        <v>0</v>
      </c>
      <c r="CF83" s="33">
        <f>IF($CK83 = "Dealer", SUMIFS('Data For Calculation - Insuranc'!K:K,'Data For Calculation - Insuranc'!$B:$B,$A83,'Data For Calculation - Insuranc'!$H:$H,"Master Dealer")) + SUMIFS('Data For Calculation - Insuranc'!K:K,'Data For Calculation - Insuranc'!$A:$A,$A83,'Data For Calculation - Insuranc'!$H:$H,"Self")</f>
        <v>0</v>
      </c>
      <c r="CG83" s="25" t="str">
        <f>(Sheet1!N83)</f>
        <v>Krishna Enterprise - Gohana</v>
      </c>
      <c r="CH83" s="25" t="str">
        <f>(Sheet1!O83)</f>
        <v>1hR0JpXiceB7xWAHLNEwMyaE9wlUgF4ljP0RD80dtSd0</v>
      </c>
      <c r="CI83" s="25" t="str">
        <f>(Sheet1!AV83)</f>
        <v/>
      </c>
      <c r="CJ83" s="25" t="str">
        <f>(Sheet1!AW83)</f>
        <v/>
      </c>
      <c r="CK83" s="26" t="str">
        <f>(Sheet1!P83)</f>
        <v>Sub Dealer</v>
      </c>
    </row>
    <row r="84">
      <c r="A84" s="25" t="str">
        <f>(Sheet1!A84)</f>
        <v>1th0hj2blk-gBbR7lpmA16YsAj_ttAS2Hct4wjY5lY2o</v>
      </c>
      <c r="B84" s="25" t="str">
        <f>(Sheet1!B84)</f>
        <v>Johri Auto Mobile-Uklana (CAH)</v>
      </c>
      <c r="C84" s="30" t="str">
        <f>Sheet1!BB84</f>
        <v>No</v>
      </c>
      <c r="D84" s="30" t="s">
        <v>13</v>
      </c>
      <c r="E84" s="34" t="s">
        <v>13</v>
      </c>
      <c r="F84" s="34" t="s">
        <v>3929</v>
      </c>
      <c r="G84" s="42" t="s">
        <v>3817</v>
      </c>
      <c r="H84" s="43">
        <v>460.0</v>
      </c>
      <c r="I84" s="42" t="s">
        <v>3853</v>
      </c>
      <c r="J84" s="43">
        <v>0.0</v>
      </c>
      <c r="K84" s="43">
        <v>100.0</v>
      </c>
      <c r="L84" s="43">
        <v>0.0</v>
      </c>
      <c r="M84" s="43">
        <v>0.0</v>
      </c>
      <c r="N84" s="33">
        <f>COUNTIFS('Data For Calculation - Insuranc'!A:A,A84,'Data For Calculation - Insuranc'!D:D,"Individual",'Data For Calculation - Insuranc'!E:E,"Bundled - 1 Year OD + 5 Year TP")</f>
        <v>0</v>
      </c>
      <c r="O84" s="34" t="s">
        <v>3930</v>
      </c>
      <c r="P84" s="42" t="s">
        <v>3817</v>
      </c>
      <c r="Q84" s="43">
        <v>460.0</v>
      </c>
      <c r="R84" s="42" t="s">
        <v>3853</v>
      </c>
      <c r="S84" s="43">
        <v>0.0</v>
      </c>
      <c r="T84" s="43">
        <v>100.0</v>
      </c>
      <c r="U84" s="43">
        <v>0.0</v>
      </c>
      <c r="V84" s="43">
        <v>0.0</v>
      </c>
      <c r="W84" s="33">
        <f>COUNTIFS('Data For Calculation - Insuranc'!A:A,A84,'Data For Calculation - Insuranc'!D:D,"Company",'Data For Calculation - Insuranc'!E:E,"Bundled - 1 Year OD + 5 Year TP")</f>
        <v>0</v>
      </c>
      <c r="X84" s="34" t="s">
        <v>3929</v>
      </c>
      <c r="Y84" s="42" t="s">
        <v>3817</v>
      </c>
      <c r="Z84" s="31">
        <v>290.0</v>
      </c>
      <c r="AA84" s="34" t="s">
        <v>3853</v>
      </c>
      <c r="AB84" s="34">
        <v>0.0</v>
      </c>
      <c r="AC84" s="34">
        <v>100.0</v>
      </c>
      <c r="AD84" s="34">
        <v>0.0</v>
      </c>
      <c r="AE84" s="34">
        <v>0.0</v>
      </c>
      <c r="AF84" s="33">
        <f>COUNTIFS('Data For Calculation - Insuranc'!A:A,A84,'Data For Calculation - Insuranc'!D:D,"Individual",'Data For Calculation - Insuranc'!E:E,"Rollover Comprehensive - 1 Year OD + 1 Year TP")</f>
        <v>0</v>
      </c>
      <c r="AG84" s="34" t="s">
        <v>3930</v>
      </c>
      <c r="AH84" s="42" t="s">
        <v>3817</v>
      </c>
      <c r="AI84" s="31">
        <v>290.0</v>
      </c>
      <c r="AJ84" s="34" t="s">
        <v>3853</v>
      </c>
      <c r="AK84" s="34">
        <v>0.0</v>
      </c>
      <c r="AL84" s="34">
        <v>100.0</v>
      </c>
      <c r="AM84" s="34">
        <v>0.0</v>
      </c>
      <c r="AN84" s="34">
        <v>0.0</v>
      </c>
      <c r="AO84" s="33">
        <f>COUNTIFS('Data For Calculation - Insuranc'!A:A,A84,'Data For Calculation - Insuranc'!D:D,"Company",'Data For Calculation - Insuranc'!E:E,"Rollover Comprehensive - 1 Year OD + 1 Year TP")</f>
        <v>0</v>
      </c>
      <c r="AP84" s="34" t="s">
        <v>3931</v>
      </c>
      <c r="AQ84" s="42" t="s">
        <v>3817</v>
      </c>
      <c r="AR84" s="31">
        <v>290.0</v>
      </c>
      <c r="AS84" s="34" t="s">
        <v>3853</v>
      </c>
      <c r="AT84" s="34">
        <v>0.0</v>
      </c>
      <c r="AU84" s="34">
        <v>100.0</v>
      </c>
      <c r="AV84" s="34">
        <v>0.0</v>
      </c>
      <c r="AW84" s="34">
        <v>0.0</v>
      </c>
      <c r="AX84" s="33">
        <f>COUNTIFS('Data For Calculation - Insuranc'!A:A,A84,'Data For Calculation - Insuranc'!D:D,"Individual",'Data For Calculation - Insuranc'!E:E,"Rollover - 1 Year OD Only")</f>
        <v>0</v>
      </c>
      <c r="AY84" s="34" t="s">
        <v>3932</v>
      </c>
      <c r="AZ84" s="42" t="s">
        <v>3817</v>
      </c>
      <c r="BA84" s="31">
        <v>290.0</v>
      </c>
      <c r="BB84" s="34" t="s">
        <v>3853</v>
      </c>
      <c r="BC84" s="34">
        <v>0.0</v>
      </c>
      <c r="BD84" s="34">
        <v>100.0</v>
      </c>
      <c r="BE84" s="34">
        <v>0.0</v>
      </c>
      <c r="BF84" s="34">
        <v>0.0</v>
      </c>
      <c r="BG84" s="33">
        <f>COUNTIFS('Data For Calculation - Insuranc'!A:A,A84,'Data For Calculation - Insuranc'!D:D,"Company",'Data For Calculation - Insuranc'!E:E,"Rollover - 1 Year OD Only")</f>
        <v>0</v>
      </c>
      <c r="BH84" s="34" t="s">
        <v>3931</v>
      </c>
      <c r="BI84" s="42" t="s">
        <v>3817</v>
      </c>
      <c r="BJ84" s="31">
        <v>290.0</v>
      </c>
      <c r="BK84" s="34" t="s">
        <v>3853</v>
      </c>
      <c r="BL84" s="34">
        <v>0.0</v>
      </c>
      <c r="BM84" s="34">
        <v>100.0</v>
      </c>
      <c r="BN84" s="34">
        <v>0.0</v>
      </c>
      <c r="BO84" s="34">
        <v>0.0</v>
      </c>
      <c r="BP84" s="33">
        <f>COUNTIFS('Data For Calculation - Insuranc'!A:A,A84,'Data For Calculation - Insuranc'!D:D,"Individual",'Data For Calculation - Insuranc'!E:E,"Rollover - 1 Year TP Only")</f>
        <v>0</v>
      </c>
      <c r="BQ84" s="34" t="s">
        <v>3932</v>
      </c>
      <c r="BR84" s="42" t="s">
        <v>3817</v>
      </c>
      <c r="BS84" s="31">
        <v>290.0</v>
      </c>
      <c r="BT84" s="34" t="s">
        <v>3853</v>
      </c>
      <c r="BU84" s="34">
        <v>0.0</v>
      </c>
      <c r="BV84" s="34">
        <v>100.0</v>
      </c>
      <c r="BW84" s="34">
        <v>0.0</v>
      </c>
      <c r="BX84" s="34">
        <v>0.0</v>
      </c>
      <c r="BY84" s="33">
        <f>COUNTIFS('Data For Calculation - Insuranc'!A:A,A84,'Data For Calculation - Insuranc'!D:D,"Company",'Data For Calculation - Insuranc'!E:E,"Rollover - 1 Year TP Only")</f>
        <v>0</v>
      </c>
      <c r="BZ84" s="31">
        <f t="shared" si="1"/>
        <v>0</v>
      </c>
      <c r="CA84" s="33">
        <f>SUMIFS('Data For Calculation - Insuranc'!I:I,'Data For Calculation - Insuranc'!$A:$A,$A84)</f>
        <v>0</v>
      </c>
      <c r="CB84" s="33">
        <f>SUMIFS('Data For Calculation - Insuranc'!J:J,'Data For Calculation - Insuranc'!$A:$A,$A84)</f>
        <v>0</v>
      </c>
      <c r="CC84" s="33">
        <f>SUMIFS('Data For Calculation - Insuranc'!K:K,'Data For Calculation - Insuranc'!$A:$A,$A84)</f>
        <v>0</v>
      </c>
      <c r="CD84" s="33">
        <f>IF($CK84 = "Dealer", SUMIFS('Data For Calculation - Insuranc'!I:I,'Data For Calculation - Insuranc'!$B:$B,$A84,'Data For Calculation - Insuranc'!$H:$H,"Master Dealer")) + SUMIFS('Data For Calculation - Insuranc'!I:I,'Data For Calculation - Insuranc'!$A:$A,$A84,'Data For Calculation - Insuranc'!$H:$H,"Self")</f>
        <v>0</v>
      </c>
      <c r="CE84" s="33">
        <f>IF($CK84 = "Dealer", SUMIFS('Data For Calculation - Insuranc'!J:J,'Data For Calculation - Insuranc'!$B:$B,$A84,'Data For Calculation - Insuranc'!$H:$H,"Master Dealer")) + SUMIFS('Data For Calculation - Insuranc'!J:J,'Data For Calculation - Insuranc'!$A:$A,$A84,'Data For Calculation - Insuranc'!$H:$H,"Self")</f>
        <v>0</v>
      </c>
      <c r="CF84" s="33">
        <f>IF($CK84 = "Dealer", SUMIFS('Data For Calculation - Insuranc'!K:K,'Data For Calculation - Insuranc'!$B:$B,$A84,'Data For Calculation - Insuranc'!$H:$H,"Master Dealer")) + SUMIFS('Data For Calculation - Insuranc'!K:K,'Data For Calculation - Insuranc'!$A:$A,$A84,'Data For Calculation - Insuranc'!$H:$H,"Self")</f>
        <v>0</v>
      </c>
      <c r="CG84" s="25" t="str">
        <f>(Sheet1!N84)</f>
        <v>Chaudhary Automobiles - Hisar</v>
      </c>
      <c r="CH84" s="25" t="str">
        <f>(Sheet1!O84)</f>
        <v>1pI_tDns4A7jbcl0nEvEO_u0FclM2PyV1AT-2Q2Dx2Jo</v>
      </c>
      <c r="CI84" s="25" t="str">
        <f>(Sheet1!AV84)</f>
        <v/>
      </c>
      <c r="CJ84" s="25" t="str">
        <f>(Sheet1!AW84)</f>
        <v/>
      </c>
      <c r="CK84" s="26" t="str">
        <f>(Sheet1!P84)</f>
        <v>Sub Dealer</v>
      </c>
    </row>
    <row r="85">
      <c r="A85" s="25" t="str">
        <f>(Sheet1!A85)</f>
        <v>1M25XSc1w8NZMexWP6izPWIwiJI8ces6yFAUV3fB4-pA</v>
      </c>
      <c r="B85" s="25" t="str">
        <f>(Sheet1!B85)</f>
        <v>Narwana Automobiles - Narwana</v>
      </c>
      <c r="C85" s="30" t="str">
        <f>Sheet1!BB85</f>
        <v>No</v>
      </c>
      <c r="D85" s="30" t="s">
        <v>13</v>
      </c>
      <c r="E85" s="34" t="s">
        <v>13</v>
      </c>
      <c r="F85" s="34" t="s">
        <v>3929</v>
      </c>
      <c r="G85" s="42" t="s">
        <v>3817</v>
      </c>
      <c r="H85" s="43">
        <v>460.0</v>
      </c>
      <c r="I85" s="42" t="s">
        <v>3853</v>
      </c>
      <c r="J85" s="43">
        <v>0.0</v>
      </c>
      <c r="K85" s="43">
        <v>100.0</v>
      </c>
      <c r="L85" s="43">
        <v>0.0</v>
      </c>
      <c r="M85" s="43">
        <v>0.0</v>
      </c>
      <c r="N85" s="33">
        <f>COUNTIFS('Data For Calculation - Insuranc'!A:A,A85,'Data For Calculation - Insuranc'!D:D,"Individual",'Data For Calculation - Insuranc'!E:E,"Bundled - 1 Year OD + 5 Year TP")</f>
        <v>0</v>
      </c>
      <c r="O85" s="34" t="s">
        <v>3930</v>
      </c>
      <c r="P85" s="42" t="s">
        <v>3817</v>
      </c>
      <c r="Q85" s="43">
        <v>460.0</v>
      </c>
      <c r="R85" s="42" t="s">
        <v>3853</v>
      </c>
      <c r="S85" s="43">
        <v>0.0</v>
      </c>
      <c r="T85" s="43">
        <v>100.0</v>
      </c>
      <c r="U85" s="43">
        <v>0.0</v>
      </c>
      <c r="V85" s="43">
        <v>0.0</v>
      </c>
      <c r="W85" s="33">
        <f>COUNTIFS('Data For Calculation - Insuranc'!A:A,A85,'Data For Calculation - Insuranc'!D:D,"Company",'Data For Calculation - Insuranc'!E:E,"Bundled - 1 Year OD + 5 Year TP")</f>
        <v>0</v>
      </c>
      <c r="X85" s="34" t="s">
        <v>3929</v>
      </c>
      <c r="Y85" s="42" t="s">
        <v>3817</v>
      </c>
      <c r="Z85" s="31">
        <v>290.0</v>
      </c>
      <c r="AA85" s="34" t="s">
        <v>3853</v>
      </c>
      <c r="AB85" s="34">
        <v>0.0</v>
      </c>
      <c r="AC85" s="34">
        <v>100.0</v>
      </c>
      <c r="AD85" s="34">
        <v>0.0</v>
      </c>
      <c r="AE85" s="34">
        <v>0.0</v>
      </c>
      <c r="AF85" s="33">
        <f>COUNTIFS('Data For Calculation - Insuranc'!A:A,A85,'Data For Calculation - Insuranc'!D:D,"Individual",'Data For Calculation - Insuranc'!E:E,"Rollover Comprehensive - 1 Year OD + 1 Year TP")</f>
        <v>0</v>
      </c>
      <c r="AG85" s="34" t="s">
        <v>3930</v>
      </c>
      <c r="AH85" s="42" t="s">
        <v>3817</v>
      </c>
      <c r="AI85" s="31">
        <v>290.0</v>
      </c>
      <c r="AJ85" s="34" t="s">
        <v>3853</v>
      </c>
      <c r="AK85" s="34">
        <v>0.0</v>
      </c>
      <c r="AL85" s="34">
        <v>100.0</v>
      </c>
      <c r="AM85" s="34">
        <v>0.0</v>
      </c>
      <c r="AN85" s="34">
        <v>0.0</v>
      </c>
      <c r="AO85" s="33">
        <f>COUNTIFS('Data For Calculation - Insuranc'!A:A,A85,'Data For Calculation - Insuranc'!D:D,"Company",'Data For Calculation - Insuranc'!E:E,"Rollover Comprehensive - 1 Year OD + 1 Year TP")</f>
        <v>0</v>
      </c>
      <c r="AP85" s="34" t="s">
        <v>3931</v>
      </c>
      <c r="AQ85" s="42" t="s">
        <v>3817</v>
      </c>
      <c r="AR85" s="31">
        <v>290.0</v>
      </c>
      <c r="AS85" s="34" t="s">
        <v>3853</v>
      </c>
      <c r="AT85" s="34">
        <v>0.0</v>
      </c>
      <c r="AU85" s="34">
        <v>100.0</v>
      </c>
      <c r="AV85" s="34">
        <v>0.0</v>
      </c>
      <c r="AW85" s="34">
        <v>0.0</v>
      </c>
      <c r="AX85" s="33">
        <f>COUNTIFS('Data For Calculation - Insuranc'!A:A,A85,'Data For Calculation - Insuranc'!D:D,"Individual",'Data For Calculation - Insuranc'!E:E,"Rollover - 1 Year OD Only")</f>
        <v>0</v>
      </c>
      <c r="AY85" s="34" t="s">
        <v>3932</v>
      </c>
      <c r="AZ85" s="42" t="s">
        <v>3817</v>
      </c>
      <c r="BA85" s="31">
        <v>290.0</v>
      </c>
      <c r="BB85" s="34" t="s">
        <v>3853</v>
      </c>
      <c r="BC85" s="34">
        <v>0.0</v>
      </c>
      <c r="BD85" s="34">
        <v>100.0</v>
      </c>
      <c r="BE85" s="34">
        <v>0.0</v>
      </c>
      <c r="BF85" s="34">
        <v>0.0</v>
      </c>
      <c r="BG85" s="33">
        <f>COUNTIFS('Data For Calculation - Insuranc'!A:A,A85,'Data For Calculation - Insuranc'!D:D,"Company",'Data For Calculation - Insuranc'!E:E,"Rollover - 1 Year OD Only")</f>
        <v>0</v>
      </c>
      <c r="BH85" s="34" t="s">
        <v>3931</v>
      </c>
      <c r="BI85" s="42" t="s">
        <v>3817</v>
      </c>
      <c r="BJ85" s="31">
        <v>290.0</v>
      </c>
      <c r="BK85" s="34" t="s">
        <v>3853</v>
      </c>
      <c r="BL85" s="34">
        <v>0.0</v>
      </c>
      <c r="BM85" s="34">
        <v>100.0</v>
      </c>
      <c r="BN85" s="34">
        <v>0.0</v>
      </c>
      <c r="BO85" s="34">
        <v>0.0</v>
      </c>
      <c r="BP85" s="33">
        <f>COUNTIFS('Data For Calculation - Insuranc'!A:A,A85,'Data For Calculation - Insuranc'!D:D,"Individual",'Data For Calculation - Insuranc'!E:E,"Rollover - 1 Year TP Only")</f>
        <v>0</v>
      </c>
      <c r="BQ85" s="34" t="s">
        <v>3932</v>
      </c>
      <c r="BR85" s="42" t="s">
        <v>3817</v>
      </c>
      <c r="BS85" s="31">
        <v>290.0</v>
      </c>
      <c r="BT85" s="34" t="s">
        <v>3853</v>
      </c>
      <c r="BU85" s="34">
        <v>0.0</v>
      </c>
      <c r="BV85" s="34">
        <v>100.0</v>
      </c>
      <c r="BW85" s="34">
        <v>0.0</v>
      </c>
      <c r="BX85" s="34">
        <v>0.0</v>
      </c>
      <c r="BY85" s="33">
        <f>COUNTIFS('Data For Calculation - Insuranc'!A:A,A85,'Data For Calculation - Insuranc'!D:D,"Company",'Data For Calculation - Insuranc'!E:E,"Rollover - 1 Year TP Only")</f>
        <v>0</v>
      </c>
      <c r="BZ85" s="31">
        <f t="shared" si="1"/>
        <v>0</v>
      </c>
      <c r="CA85" s="33">
        <f>SUMIFS('Data For Calculation - Insuranc'!I:I,'Data For Calculation - Insuranc'!$A:$A,$A85)</f>
        <v>0</v>
      </c>
      <c r="CB85" s="33">
        <f>SUMIFS('Data For Calculation - Insuranc'!J:J,'Data For Calculation - Insuranc'!$A:$A,$A85)</f>
        <v>0</v>
      </c>
      <c r="CC85" s="33">
        <f>SUMIFS('Data For Calculation - Insuranc'!K:K,'Data For Calculation - Insuranc'!$A:$A,$A85)</f>
        <v>0</v>
      </c>
      <c r="CD85" s="33">
        <f>IF($CK85 = "Dealer", SUMIFS('Data For Calculation - Insuranc'!I:I,'Data For Calculation - Insuranc'!$B:$B,$A85,'Data For Calculation - Insuranc'!$H:$H,"Master Dealer")) + SUMIFS('Data For Calculation - Insuranc'!I:I,'Data For Calculation - Insuranc'!$A:$A,$A85,'Data For Calculation - Insuranc'!$H:$H,"Self")</f>
        <v>0</v>
      </c>
      <c r="CE85" s="33">
        <f>IF($CK85 = "Dealer", SUMIFS('Data For Calculation - Insuranc'!J:J,'Data For Calculation - Insuranc'!$B:$B,$A85,'Data For Calculation - Insuranc'!$H:$H,"Master Dealer")) + SUMIFS('Data For Calculation - Insuranc'!J:J,'Data For Calculation - Insuranc'!$A:$A,$A85,'Data For Calculation - Insuranc'!$H:$H,"Self")</f>
        <v>0</v>
      </c>
      <c r="CF85" s="33">
        <f>IF($CK85 = "Dealer", SUMIFS('Data For Calculation - Insuranc'!K:K,'Data For Calculation - Insuranc'!$B:$B,$A85,'Data For Calculation - Insuranc'!$H:$H,"Master Dealer")) + SUMIFS('Data For Calculation - Insuranc'!K:K,'Data For Calculation - Insuranc'!$A:$A,$A85,'Data For Calculation - Insuranc'!$H:$H,"Self")</f>
        <v>0</v>
      </c>
      <c r="CG85" s="25" t="str">
        <f>(Sheet1!N85)</f>
        <v>Narwana Automobiles - Narwana</v>
      </c>
      <c r="CH85" s="25" t="str">
        <f>(Sheet1!O85)</f>
        <v>1M25XSc1w8NZMexWP6izPWIwiJI8ces6yFAUV3fB4-pA</v>
      </c>
      <c r="CI85" s="25" t="str">
        <f>(Sheet1!AV85)</f>
        <v/>
      </c>
      <c r="CJ85" s="25" t="str">
        <f>(Sheet1!AW85)</f>
        <v/>
      </c>
      <c r="CK85" s="26" t="str">
        <f>(Sheet1!P85)</f>
        <v>Dealer</v>
      </c>
    </row>
    <row r="86">
      <c r="A86" s="25" t="str">
        <f>(Sheet1!A86)</f>
        <v>1UIyqHTLBGZ9oJJifSEPsCIcKejmqUySrjCf7ZVdx8Gs</v>
      </c>
      <c r="B86" s="25" t="str">
        <f>(Sheet1!B86)</f>
        <v>Shiv Auto- Balsamand</v>
      </c>
      <c r="C86" s="30" t="str">
        <f>Sheet1!BB86</f>
        <v>No</v>
      </c>
      <c r="D86" s="30" t="s">
        <v>13</v>
      </c>
      <c r="E86" s="34" t="s">
        <v>13</v>
      </c>
      <c r="F86" s="34" t="s">
        <v>3929</v>
      </c>
      <c r="G86" s="42" t="s">
        <v>3817</v>
      </c>
      <c r="H86" s="43">
        <v>460.0</v>
      </c>
      <c r="I86" s="42" t="s">
        <v>3853</v>
      </c>
      <c r="J86" s="43">
        <v>0.0</v>
      </c>
      <c r="K86" s="43">
        <v>100.0</v>
      </c>
      <c r="L86" s="43">
        <v>0.0</v>
      </c>
      <c r="M86" s="43">
        <v>0.0</v>
      </c>
      <c r="N86" s="33">
        <f>COUNTIFS('Data For Calculation - Insuranc'!A:A,A86,'Data For Calculation - Insuranc'!D:D,"Individual",'Data For Calculation - Insuranc'!E:E,"Bundled - 1 Year OD + 5 Year TP")</f>
        <v>0</v>
      </c>
      <c r="O86" s="34" t="s">
        <v>3930</v>
      </c>
      <c r="P86" s="42" t="s">
        <v>3817</v>
      </c>
      <c r="Q86" s="43">
        <v>460.0</v>
      </c>
      <c r="R86" s="42" t="s">
        <v>3853</v>
      </c>
      <c r="S86" s="43">
        <v>0.0</v>
      </c>
      <c r="T86" s="43">
        <v>100.0</v>
      </c>
      <c r="U86" s="43">
        <v>0.0</v>
      </c>
      <c r="V86" s="43">
        <v>0.0</v>
      </c>
      <c r="W86" s="33">
        <f>COUNTIFS('Data For Calculation - Insuranc'!A:A,A86,'Data For Calculation - Insuranc'!D:D,"Company",'Data For Calculation - Insuranc'!E:E,"Bundled - 1 Year OD + 5 Year TP")</f>
        <v>0</v>
      </c>
      <c r="X86" s="34" t="s">
        <v>3929</v>
      </c>
      <c r="Y86" s="42" t="s">
        <v>3817</v>
      </c>
      <c r="Z86" s="31">
        <v>290.0</v>
      </c>
      <c r="AA86" s="34" t="s">
        <v>3853</v>
      </c>
      <c r="AB86" s="34">
        <v>0.0</v>
      </c>
      <c r="AC86" s="34">
        <v>100.0</v>
      </c>
      <c r="AD86" s="34">
        <v>0.0</v>
      </c>
      <c r="AE86" s="34">
        <v>0.0</v>
      </c>
      <c r="AF86" s="33">
        <f>COUNTIFS('Data For Calculation - Insuranc'!A:A,A86,'Data For Calculation - Insuranc'!D:D,"Individual",'Data For Calculation - Insuranc'!E:E,"Rollover Comprehensive - 1 Year OD + 1 Year TP")</f>
        <v>0</v>
      </c>
      <c r="AG86" s="34" t="s">
        <v>3930</v>
      </c>
      <c r="AH86" s="42" t="s">
        <v>3817</v>
      </c>
      <c r="AI86" s="31">
        <v>290.0</v>
      </c>
      <c r="AJ86" s="34" t="s">
        <v>3853</v>
      </c>
      <c r="AK86" s="34">
        <v>0.0</v>
      </c>
      <c r="AL86" s="34">
        <v>100.0</v>
      </c>
      <c r="AM86" s="34">
        <v>0.0</v>
      </c>
      <c r="AN86" s="34">
        <v>0.0</v>
      </c>
      <c r="AO86" s="33">
        <f>COUNTIFS('Data For Calculation - Insuranc'!A:A,A86,'Data For Calculation - Insuranc'!D:D,"Company",'Data For Calculation - Insuranc'!E:E,"Rollover Comprehensive - 1 Year OD + 1 Year TP")</f>
        <v>0</v>
      </c>
      <c r="AP86" s="34" t="s">
        <v>3931</v>
      </c>
      <c r="AQ86" s="42" t="s">
        <v>3817</v>
      </c>
      <c r="AR86" s="31">
        <v>290.0</v>
      </c>
      <c r="AS86" s="34" t="s">
        <v>3853</v>
      </c>
      <c r="AT86" s="34">
        <v>0.0</v>
      </c>
      <c r="AU86" s="34">
        <v>100.0</v>
      </c>
      <c r="AV86" s="34">
        <v>0.0</v>
      </c>
      <c r="AW86" s="34">
        <v>0.0</v>
      </c>
      <c r="AX86" s="33">
        <f>COUNTIFS('Data For Calculation - Insuranc'!A:A,A86,'Data For Calculation - Insuranc'!D:D,"Individual",'Data For Calculation - Insuranc'!E:E,"Rollover - 1 Year OD Only")</f>
        <v>0</v>
      </c>
      <c r="AY86" s="34" t="s">
        <v>3932</v>
      </c>
      <c r="AZ86" s="42" t="s">
        <v>3817</v>
      </c>
      <c r="BA86" s="31">
        <v>290.0</v>
      </c>
      <c r="BB86" s="34" t="s">
        <v>3853</v>
      </c>
      <c r="BC86" s="34">
        <v>0.0</v>
      </c>
      <c r="BD86" s="34">
        <v>100.0</v>
      </c>
      <c r="BE86" s="34">
        <v>0.0</v>
      </c>
      <c r="BF86" s="34">
        <v>0.0</v>
      </c>
      <c r="BG86" s="33">
        <f>COUNTIFS('Data For Calculation - Insuranc'!A:A,A86,'Data For Calculation - Insuranc'!D:D,"Company",'Data For Calculation - Insuranc'!E:E,"Rollover - 1 Year OD Only")</f>
        <v>0</v>
      </c>
      <c r="BH86" s="34" t="s">
        <v>3931</v>
      </c>
      <c r="BI86" s="42" t="s">
        <v>3817</v>
      </c>
      <c r="BJ86" s="31">
        <v>290.0</v>
      </c>
      <c r="BK86" s="34" t="s">
        <v>3853</v>
      </c>
      <c r="BL86" s="34">
        <v>0.0</v>
      </c>
      <c r="BM86" s="34">
        <v>100.0</v>
      </c>
      <c r="BN86" s="34">
        <v>0.0</v>
      </c>
      <c r="BO86" s="34">
        <v>0.0</v>
      </c>
      <c r="BP86" s="33">
        <f>COUNTIFS('Data For Calculation - Insuranc'!A:A,A86,'Data For Calculation - Insuranc'!D:D,"Individual",'Data For Calculation - Insuranc'!E:E,"Rollover - 1 Year TP Only")</f>
        <v>0</v>
      </c>
      <c r="BQ86" s="34" t="s">
        <v>3932</v>
      </c>
      <c r="BR86" s="42" t="s">
        <v>3817</v>
      </c>
      <c r="BS86" s="31">
        <v>290.0</v>
      </c>
      <c r="BT86" s="34" t="s">
        <v>3853</v>
      </c>
      <c r="BU86" s="34">
        <v>0.0</v>
      </c>
      <c r="BV86" s="34">
        <v>100.0</v>
      </c>
      <c r="BW86" s="34">
        <v>0.0</v>
      </c>
      <c r="BX86" s="34">
        <v>0.0</v>
      </c>
      <c r="BY86" s="33">
        <f>COUNTIFS('Data For Calculation - Insuranc'!A:A,A86,'Data For Calculation - Insuranc'!D:D,"Company",'Data For Calculation - Insuranc'!E:E,"Rollover - 1 Year TP Only")</f>
        <v>0</v>
      </c>
      <c r="BZ86" s="31">
        <f t="shared" si="1"/>
        <v>0</v>
      </c>
      <c r="CA86" s="33">
        <f>SUMIFS('Data For Calculation - Insuranc'!I:I,'Data For Calculation - Insuranc'!$A:$A,$A86)</f>
        <v>0</v>
      </c>
      <c r="CB86" s="33">
        <f>SUMIFS('Data For Calculation - Insuranc'!J:J,'Data For Calculation - Insuranc'!$A:$A,$A86)</f>
        <v>0</v>
      </c>
      <c r="CC86" s="33">
        <f>SUMIFS('Data For Calculation - Insuranc'!K:K,'Data For Calculation - Insuranc'!$A:$A,$A86)</f>
        <v>0</v>
      </c>
      <c r="CD86" s="33">
        <f>IF($CK86 = "Dealer", SUMIFS('Data For Calculation - Insuranc'!I:I,'Data For Calculation - Insuranc'!$B:$B,$A86,'Data For Calculation - Insuranc'!$H:$H,"Master Dealer")) + SUMIFS('Data For Calculation - Insuranc'!I:I,'Data For Calculation - Insuranc'!$A:$A,$A86,'Data For Calculation - Insuranc'!$H:$H,"Self")</f>
        <v>0</v>
      </c>
      <c r="CE86" s="33">
        <f>IF($CK86 = "Dealer", SUMIFS('Data For Calculation - Insuranc'!J:J,'Data For Calculation - Insuranc'!$B:$B,$A86,'Data For Calculation - Insuranc'!$H:$H,"Master Dealer")) + SUMIFS('Data For Calculation - Insuranc'!J:J,'Data For Calculation - Insuranc'!$A:$A,$A86,'Data For Calculation - Insuranc'!$H:$H,"Self")</f>
        <v>0</v>
      </c>
      <c r="CF86" s="33">
        <f>IF($CK86 = "Dealer", SUMIFS('Data For Calculation - Insuranc'!K:K,'Data For Calculation - Insuranc'!$B:$B,$A86,'Data For Calculation - Insuranc'!$H:$H,"Master Dealer")) + SUMIFS('Data For Calculation - Insuranc'!K:K,'Data For Calculation - Insuranc'!$A:$A,$A86,'Data For Calculation - Insuranc'!$H:$H,"Self")</f>
        <v>0</v>
      </c>
      <c r="CG86" s="25" t="str">
        <f>(Sheet1!N86)</f>
        <v>Chaudhary Automobiles - Hisar</v>
      </c>
      <c r="CH86" s="25" t="str">
        <f>(Sheet1!O86)</f>
        <v>1pI_tDns4A7jbcl0nEvEO_u0FclM2PyV1AT-2Q2Dx2Jo</v>
      </c>
      <c r="CI86" s="25" t="str">
        <f>(Sheet1!AV86)</f>
        <v/>
      </c>
      <c r="CJ86" s="25" t="str">
        <f>(Sheet1!AW86)</f>
        <v/>
      </c>
      <c r="CK86" s="26" t="str">
        <f>(Sheet1!P86)</f>
        <v>Sub Dealer</v>
      </c>
    </row>
    <row r="87">
      <c r="A87" s="25" t="str">
        <f>(Sheet1!A87)</f>
        <v>1Q4aI-AB3iqaBUsFrzL3oASW-2tjkwXyAtJSO1Lx4Z04</v>
      </c>
      <c r="B87" s="25" t="str">
        <f>(Sheet1!B87)</f>
        <v>SAINI AUTOMOBILES-HANSI</v>
      </c>
      <c r="C87" s="30" t="str">
        <f>Sheet1!BB87</f>
        <v>No</v>
      </c>
      <c r="D87" s="30" t="s">
        <v>13</v>
      </c>
      <c r="E87" s="34" t="s">
        <v>13</v>
      </c>
      <c r="F87" s="34" t="s">
        <v>3929</v>
      </c>
      <c r="G87" s="42" t="s">
        <v>3817</v>
      </c>
      <c r="H87" s="43">
        <v>460.0</v>
      </c>
      <c r="I87" s="42" t="s">
        <v>3853</v>
      </c>
      <c r="J87" s="43">
        <v>0.0</v>
      </c>
      <c r="K87" s="43">
        <v>100.0</v>
      </c>
      <c r="L87" s="43">
        <v>0.0</v>
      </c>
      <c r="M87" s="43">
        <v>0.0</v>
      </c>
      <c r="N87" s="33">
        <f>COUNTIFS('Data For Calculation - Insuranc'!A:A,A87,'Data For Calculation - Insuranc'!D:D,"Individual",'Data For Calculation - Insuranc'!E:E,"Bundled - 1 Year OD + 5 Year TP")</f>
        <v>0</v>
      </c>
      <c r="O87" s="34" t="s">
        <v>3930</v>
      </c>
      <c r="P87" s="42" t="s">
        <v>3817</v>
      </c>
      <c r="Q87" s="43">
        <v>460.0</v>
      </c>
      <c r="R87" s="42" t="s">
        <v>3853</v>
      </c>
      <c r="S87" s="43">
        <v>0.0</v>
      </c>
      <c r="T87" s="43">
        <v>100.0</v>
      </c>
      <c r="U87" s="43">
        <v>0.0</v>
      </c>
      <c r="V87" s="43">
        <v>0.0</v>
      </c>
      <c r="W87" s="33">
        <f>COUNTIFS('Data For Calculation - Insuranc'!A:A,A87,'Data For Calculation - Insuranc'!D:D,"Company",'Data For Calculation - Insuranc'!E:E,"Bundled - 1 Year OD + 5 Year TP")</f>
        <v>0</v>
      </c>
      <c r="X87" s="34" t="s">
        <v>3929</v>
      </c>
      <c r="Y87" s="42" t="s">
        <v>3817</v>
      </c>
      <c r="Z87" s="31">
        <v>290.0</v>
      </c>
      <c r="AA87" s="34" t="s">
        <v>3853</v>
      </c>
      <c r="AB87" s="34">
        <v>0.0</v>
      </c>
      <c r="AC87" s="34">
        <v>100.0</v>
      </c>
      <c r="AD87" s="34">
        <v>0.0</v>
      </c>
      <c r="AE87" s="34">
        <v>0.0</v>
      </c>
      <c r="AF87" s="33">
        <f>COUNTIFS('Data For Calculation - Insuranc'!A:A,A87,'Data For Calculation - Insuranc'!D:D,"Individual",'Data For Calculation - Insuranc'!E:E,"Rollover Comprehensive - 1 Year OD + 1 Year TP")</f>
        <v>0</v>
      </c>
      <c r="AG87" s="34" t="s">
        <v>3930</v>
      </c>
      <c r="AH87" s="42" t="s">
        <v>3817</v>
      </c>
      <c r="AI87" s="31">
        <v>290.0</v>
      </c>
      <c r="AJ87" s="34" t="s">
        <v>3853</v>
      </c>
      <c r="AK87" s="34">
        <v>0.0</v>
      </c>
      <c r="AL87" s="34">
        <v>100.0</v>
      </c>
      <c r="AM87" s="34">
        <v>0.0</v>
      </c>
      <c r="AN87" s="34">
        <v>0.0</v>
      </c>
      <c r="AO87" s="33">
        <f>COUNTIFS('Data For Calculation - Insuranc'!A:A,A87,'Data For Calculation - Insuranc'!D:D,"Company",'Data For Calculation - Insuranc'!E:E,"Rollover Comprehensive - 1 Year OD + 1 Year TP")</f>
        <v>0</v>
      </c>
      <c r="AP87" s="34" t="s">
        <v>3931</v>
      </c>
      <c r="AQ87" s="42" t="s">
        <v>3817</v>
      </c>
      <c r="AR87" s="31">
        <v>290.0</v>
      </c>
      <c r="AS87" s="34" t="s">
        <v>3853</v>
      </c>
      <c r="AT87" s="34">
        <v>0.0</v>
      </c>
      <c r="AU87" s="34">
        <v>100.0</v>
      </c>
      <c r="AV87" s="34">
        <v>0.0</v>
      </c>
      <c r="AW87" s="34">
        <v>0.0</v>
      </c>
      <c r="AX87" s="33">
        <f>COUNTIFS('Data For Calculation - Insuranc'!A:A,A87,'Data For Calculation - Insuranc'!D:D,"Individual",'Data For Calculation - Insuranc'!E:E,"Rollover - 1 Year OD Only")</f>
        <v>0</v>
      </c>
      <c r="AY87" s="34" t="s">
        <v>3932</v>
      </c>
      <c r="AZ87" s="42" t="s">
        <v>3817</v>
      </c>
      <c r="BA87" s="31">
        <v>290.0</v>
      </c>
      <c r="BB87" s="34" t="s">
        <v>3853</v>
      </c>
      <c r="BC87" s="34">
        <v>0.0</v>
      </c>
      <c r="BD87" s="34">
        <v>100.0</v>
      </c>
      <c r="BE87" s="34">
        <v>0.0</v>
      </c>
      <c r="BF87" s="34">
        <v>0.0</v>
      </c>
      <c r="BG87" s="33">
        <f>COUNTIFS('Data For Calculation - Insuranc'!A:A,A87,'Data For Calculation - Insuranc'!D:D,"Company",'Data For Calculation - Insuranc'!E:E,"Rollover - 1 Year OD Only")</f>
        <v>0</v>
      </c>
      <c r="BH87" s="34" t="s">
        <v>3931</v>
      </c>
      <c r="BI87" s="42" t="s">
        <v>3817</v>
      </c>
      <c r="BJ87" s="31">
        <v>290.0</v>
      </c>
      <c r="BK87" s="34" t="s">
        <v>3853</v>
      </c>
      <c r="BL87" s="34">
        <v>0.0</v>
      </c>
      <c r="BM87" s="34">
        <v>100.0</v>
      </c>
      <c r="BN87" s="34">
        <v>0.0</v>
      </c>
      <c r="BO87" s="34">
        <v>0.0</v>
      </c>
      <c r="BP87" s="33">
        <f>COUNTIFS('Data For Calculation - Insuranc'!A:A,A87,'Data For Calculation - Insuranc'!D:D,"Individual",'Data For Calculation - Insuranc'!E:E,"Rollover - 1 Year TP Only")</f>
        <v>0</v>
      </c>
      <c r="BQ87" s="34" t="s">
        <v>3932</v>
      </c>
      <c r="BR87" s="42" t="s">
        <v>3817</v>
      </c>
      <c r="BS87" s="31">
        <v>290.0</v>
      </c>
      <c r="BT87" s="34" t="s">
        <v>3853</v>
      </c>
      <c r="BU87" s="34">
        <v>0.0</v>
      </c>
      <c r="BV87" s="34">
        <v>100.0</v>
      </c>
      <c r="BW87" s="34">
        <v>0.0</v>
      </c>
      <c r="BX87" s="34">
        <v>0.0</v>
      </c>
      <c r="BY87" s="33">
        <f>COUNTIFS('Data For Calculation - Insuranc'!A:A,A87,'Data For Calculation - Insuranc'!D:D,"Company",'Data For Calculation - Insuranc'!E:E,"Rollover - 1 Year TP Only")</f>
        <v>0</v>
      </c>
      <c r="BZ87" s="31">
        <f t="shared" si="1"/>
        <v>0</v>
      </c>
      <c r="CA87" s="33">
        <f>SUMIFS('Data For Calculation - Insuranc'!I:I,'Data For Calculation - Insuranc'!$A:$A,$A87)</f>
        <v>0</v>
      </c>
      <c r="CB87" s="33">
        <f>SUMIFS('Data For Calculation - Insuranc'!J:J,'Data For Calculation - Insuranc'!$A:$A,$A87)</f>
        <v>0</v>
      </c>
      <c r="CC87" s="33">
        <f>SUMIFS('Data For Calculation - Insuranc'!K:K,'Data For Calculation - Insuranc'!$A:$A,$A87)</f>
        <v>0</v>
      </c>
      <c r="CD87" s="33">
        <f>IF($CK87 = "Dealer", SUMIFS('Data For Calculation - Insuranc'!I:I,'Data For Calculation - Insuranc'!$B:$B,$A87,'Data For Calculation - Insuranc'!$H:$H,"Master Dealer")) + SUMIFS('Data For Calculation - Insuranc'!I:I,'Data For Calculation - Insuranc'!$A:$A,$A87,'Data For Calculation - Insuranc'!$H:$H,"Self")</f>
        <v>0</v>
      </c>
      <c r="CE87" s="33">
        <f>IF($CK87 = "Dealer", SUMIFS('Data For Calculation - Insuranc'!J:J,'Data For Calculation - Insuranc'!$B:$B,$A87,'Data For Calculation - Insuranc'!$H:$H,"Master Dealer")) + SUMIFS('Data For Calculation - Insuranc'!J:J,'Data For Calculation - Insuranc'!$A:$A,$A87,'Data For Calculation - Insuranc'!$H:$H,"Self")</f>
        <v>0</v>
      </c>
      <c r="CF87" s="33">
        <f>IF($CK87 = "Dealer", SUMIFS('Data For Calculation - Insuranc'!K:K,'Data For Calculation - Insuranc'!$B:$B,$A87,'Data For Calculation - Insuranc'!$H:$H,"Master Dealer")) + SUMIFS('Data For Calculation - Insuranc'!K:K,'Data For Calculation - Insuranc'!$A:$A,$A87,'Data For Calculation - Insuranc'!$H:$H,"Self")</f>
        <v>0</v>
      </c>
      <c r="CG87" s="25" t="str">
        <f>(Sheet1!N87)</f>
        <v>Chaudhary Automobiles - Hisar</v>
      </c>
      <c r="CH87" s="25" t="str">
        <f>(Sheet1!O87)</f>
        <v>1pI_tDns4A7jbcl0nEvEO_u0FclM2PyV1AT-2Q2Dx2Jo</v>
      </c>
      <c r="CI87" s="25" t="str">
        <f>(Sheet1!AV87)</f>
        <v/>
      </c>
      <c r="CJ87" s="25" t="str">
        <f>(Sheet1!AW87)</f>
        <v/>
      </c>
      <c r="CK87" s="26" t="str">
        <f>(Sheet1!P87)</f>
        <v>Sub Dealer</v>
      </c>
    </row>
    <row r="88">
      <c r="A88" s="25" t="str">
        <f>(Sheet1!A88)</f>
        <v>1ek0kGrVLOQttU35mRbEycOZ6YRg6Oon_3gkX4EwTum0</v>
      </c>
      <c r="B88" s="25" t="str">
        <f>(Sheet1!B88)</f>
        <v>Sharma auto Mobile-Barwala</v>
      </c>
      <c r="C88" s="30" t="str">
        <f>Sheet1!BB88</f>
        <v>No</v>
      </c>
      <c r="D88" s="30" t="s">
        <v>13</v>
      </c>
      <c r="E88" s="34" t="s">
        <v>13</v>
      </c>
      <c r="F88" s="34" t="s">
        <v>3929</v>
      </c>
      <c r="G88" s="42" t="s">
        <v>3817</v>
      </c>
      <c r="H88" s="43">
        <v>460.0</v>
      </c>
      <c r="I88" s="42" t="s">
        <v>3853</v>
      </c>
      <c r="J88" s="43">
        <v>0.0</v>
      </c>
      <c r="K88" s="43">
        <v>100.0</v>
      </c>
      <c r="L88" s="43">
        <v>0.0</v>
      </c>
      <c r="M88" s="43">
        <v>0.0</v>
      </c>
      <c r="N88" s="33">
        <f>COUNTIFS('Data For Calculation - Insuranc'!A:A,A88,'Data For Calculation - Insuranc'!D:D,"Individual",'Data For Calculation - Insuranc'!E:E,"Bundled - 1 Year OD + 5 Year TP")</f>
        <v>0</v>
      </c>
      <c r="O88" s="34" t="s">
        <v>3930</v>
      </c>
      <c r="P88" s="42" t="s">
        <v>3817</v>
      </c>
      <c r="Q88" s="43">
        <v>460.0</v>
      </c>
      <c r="R88" s="42" t="s">
        <v>3853</v>
      </c>
      <c r="S88" s="43">
        <v>0.0</v>
      </c>
      <c r="T88" s="43">
        <v>100.0</v>
      </c>
      <c r="U88" s="43">
        <v>0.0</v>
      </c>
      <c r="V88" s="43">
        <v>0.0</v>
      </c>
      <c r="W88" s="33">
        <f>COUNTIFS('Data For Calculation - Insuranc'!A:A,A88,'Data For Calculation - Insuranc'!D:D,"Company",'Data For Calculation - Insuranc'!E:E,"Bundled - 1 Year OD + 5 Year TP")</f>
        <v>0</v>
      </c>
      <c r="X88" s="34" t="s">
        <v>3929</v>
      </c>
      <c r="Y88" s="42" t="s">
        <v>3817</v>
      </c>
      <c r="Z88" s="31">
        <v>290.0</v>
      </c>
      <c r="AA88" s="34" t="s">
        <v>3853</v>
      </c>
      <c r="AB88" s="34">
        <v>0.0</v>
      </c>
      <c r="AC88" s="34">
        <v>100.0</v>
      </c>
      <c r="AD88" s="34">
        <v>0.0</v>
      </c>
      <c r="AE88" s="34">
        <v>0.0</v>
      </c>
      <c r="AF88" s="33">
        <f>COUNTIFS('Data For Calculation - Insuranc'!A:A,A88,'Data For Calculation - Insuranc'!D:D,"Individual",'Data For Calculation - Insuranc'!E:E,"Rollover Comprehensive - 1 Year OD + 1 Year TP")</f>
        <v>0</v>
      </c>
      <c r="AG88" s="34" t="s">
        <v>3930</v>
      </c>
      <c r="AH88" s="42" t="s">
        <v>3817</v>
      </c>
      <c r="AI88" s="31">
        <v>290.0</v>
      </c>
      <c r="AJ88" s="34" t="s">
        <v>3853</v>
      </c>
      <c r="AK88" s="34">
        <v>0.0</v>
      </c>
      <c r="AL88" s="34">
        <v>100.0</v>
      </c>
      <c r="AM88" s="34">
        <v>0.0</v>
      </c>
      <c r="AN88" s="34">
        <v>0.0</v>
      </c>
      <c r="AO88" s="33">
        <f>COUNTIFS('Data For Calculation - Insuranc'!A:A,A88,'Data For Calculation - Insuranc'!D:D,"Company",'Data For Calculation - Insuranc'!E:E,"Rollover Comprehensive - 1 Year OD + 1 Year TP")</f>
        <v>0</v>
      </c>
      <c r="AP88" s="34" t="s">
        <v>3931</v>
      </c>
      <c r="AQ88" s="42" t="s">
        <v>3817</v>
      </c>
      <c r="AR88" s="31">
        <v>290.0</v>
      </c>
      <c r="AS88" s="34" t="s">
        <v>3853</v>
      </c>
      <c r="AT88" s="34">
        <v>0.0</v>
      </c>
      <c r="AU88" s="34">
        <v>100.0</v>
      </c>
      <c r="AV88" s="34">
        <v>0.0</v>
      </c>
      <c r="AW88" s="34">
        <v>0.0</v>
      </c>
      <c r="AX88" s="33">
        <f>COUNTIFS('Data For Calculation - Insuranc'!A:A,A88,'Data For Calculation - Insuranc'!D:D,"Individual",'Data For Calculation - Insuranc'!E:E,"Rollover - 1 Year OD Only")</f>
        <v>0</v>
      </c>
      <c r="AY88" s="34" t="s">
        <v>3932</v>
      </c>
      <c r="AZ88" s="42" t="s">
        <v>3817</v>
      </c>
      <c r="BA88" s="31">
        <v>290.0</v>
      </c>
      <c r="BB88" s="34" t="s">
        <v>3853</v>
      </c>
      <c r="BC88" s="34">
        <v>0.0</v>
      </c>
      <c r="BD88" s="34">
        <v>100.0</v>
      </c>
      <c r="BE88" s="34">
        <v>0.0</v>
      </c>
      <c r="BF88" s="34">
        <v>0.0</v>
      </c>
      <c r="BG88" s="33">
        <f>COUNTIFS('Data For Calculation - Insuranc'!A:A,A88,'Data For Calculation - Insuranc'!D:D,"Company",'Data For Calculation - Insuranc'!E:E,"Rollover - 1 Year OD Only")</f>
        <v>0</v>
      </c>
      <c r="BH88" s="34" t="s">
        <v>3931</v>
      </c>
      <c r="BI88" s="42" t="s">
        <v>3817</v>
      </c>
      <c r="BJ88" s="31">
        <v>290.0</v>
      </c>
      <c r="BK88" s="34" t="s">
        <v>3853</v>
      </c>
      <c r="BL88" s="34">
        <v>0.0</v>
      </c>
      <c r="BM88" s="34">
        <v>100.0</v>
      </c>
      <c r="BN88" s="34">
        <v>0.0</v>
      </c>
      <c r="BO88" s="34">
        <v>0.0</v>
      </c>
      <c r="BP88" s="33">
        <f>COUNTIFS('Data For Calculation - Insuranc'!A:A,A88,'Data For Calculation - Insuranc'!D:D,"Individual",'Data For Calculation - Insuranc'!E:E,"Rollover - 1 Year TP Only")</f>
        <v>0</v>
      </c>
      <c r="BQ88" s="34" t="s">
        <v>3932</v>
      </c>
      <c r="BR88" s="42" t="s">
        <v>3817</v>
      </c>
      <c r="BS88" s="31">
        <v>290.0</v>
      </c>
      <c r="BT88" s="34" t="s">
        <v>3853</v>
      </c>
      <c r="BU88" s="34">
        <v>0.0</v>
      </c>
      <c r="BV88" s="34">
        <v>100.0</v>
      </c>
      <c r="BW88" s="34">
        <v>0.0</v>
      </c>
      <c r="BX88" s="34">
        <v>0.0</v>
      </c>
      <c r="BY88" s="33">
        <f>COUNTIFS('Data For Calculation - Insuranc'!A:A,A88,'Data For Calculation - Insuranc'!D:D,"Company",'Data For Calculation - Insuranc'!E:E,"Rollover - 1 Year TP Only")</f>
        <v>0</v>
      </c>
      <c r="BZ88" s="31">
        <f t="shared" si="1"/>
        <v>0</v>
      </c>
      <c r="CA88" s="33">
        <f>SUMIFS('Data For Calculation - Insuranc'!I:I,'Data For Calculation - Insuranc'!$A:$A,$A88)</f>
        <v>0</v>
      </c>
      <c r="CB88" s="33">
        <f>SUMIFS('Data For Calculation - Insuranc'!J:J,'Data For Calculation - Insuranc'!$A:$A,$A88)</f>
        <v>0</v>
      </c>
      <c r="CC88" s="33">
        <f>SUMIFS('Data For Calculation - Insuranc'!K:K,'Data For Calculation - Insuranc'!$A:$A,$A88)</f>
        <v>0</v>
      </c>
      <c r="CD88" s="33">
        <f>IF($CK88 = "Dealer", SUMIFS('Data For Calculation - Insuranc'!I:I,'Data For Calculation - Insuranc'!$B:$B,$A88,'Data For Calculation - Insuranc'!$H:$H,"Master Dealer")) + SUMIFS('Data For Calculation - Insuranc'!I:I,'Data For Calculation - Insuranc'!$A:$A,$A88,'Data For Calculation - Insuranc'!$H:$H,"Self")</f>
        <v>0</v>
      </c>
      <c r="CE88" s="33">
        <f>IF($CK88 = "Dealer", SUMIFS('Data For Calculation - Insuranc'!J:J,'Data For Calculation - Insuranc'!$B:$B,$A88,'Data For Calculation - Insuranc'!$H:$H,"Master Dealer")) + SUMIFS('Data For Calculation - Insuranc'!J:J,'Data For Calculation - Insuranc'!$A:$A,$A88,'Data For Calculation - Insuranc'!$H:$H,"Self")</f>
        <v>0</v>
      </c>
      <c r="CF88" s="33">
        <f>IF($CK88 = "Dealer", SUMIFS('Data For Calculation - Insuranc'!K:K,'Data For Calculation - Insuranc'!$B:$B,$A88,'Data For Calculation - Insuranc'!$H:$H,"Master Dealer")) + SUMIFS('Data For Calculation - Insuranc'!K:K,'Data For Calculation - Insuranc'!$A:$A,$A88,'Data For Calculation - Insuranc'!$H:$H,"Self")</f>
        <v>0</v>
      </c>
      <c r="CG88" s="25" t="str">
        <f>(Sheet1!N88)</f>
        <v>Chaudhary Automobiles - Hisar</v>
      </c>
      <c r="CH88" s="25" t="str">
        <f>(Sheet1!O88)</f>
        <v>1pI_tDns4A7jbcl0nEvEO_u0FclM2PyV1AT-2Q2Dx2Jo</v>
      </c>
      <c r="CI88" s="25" t="str">
        <f>(Sheet1!AV88)</f>
        <v/>
      </c>
      <c r="CJ88" s="25" t="str">
        <f>(Sheet1!AW88)</f>
        <v/>
      </c>
      <c r="CK88" s="26" t="str">
        <f>(Sheet1!P88)</f>
        <v>Sub Dealer</v>
      </c>
    </row>
    <row r="89">
      <c r="A89" s="25" t="str">
        <f>(Sheet1!A89)</f>
        <v>15e1MPdmX1KahSQrgQP1EiQhxwoiZU-49rilJy51h_W8</v>
      </c>
      <c r="B89" s="25" t="str">
        <f>(Sheet1!B89)</f>
        <v>Chaudhary Auto Agency - Kaithal</v>
      </c>
      <c r="C89" s="30" t="str">
        <f>Sheet1!BB89</f>
        <v>No</v>
      </c>
      <c r="D89" s="30" t="s">
        <v>13</v>
      </c>
      <c r="E89" s="34" t="s">
        <v>13</v>
      </c>
      <c r="F89" s="34" t="s">
        <v>3929</v>
      </c>
      <c r="G89" s="42" t="s">
        <v>3817</v>
      </c>
      <c r="H89" s="43">
        <v>460.0</v>
      </c>
      <c r="I89" s="42" t="s">
        <v>3853</v>
      </c>
      <c r="J89" s="43">
        <v>0.0</v>
      </c>
      <c r="K89" s="43">
        <v>100.0</v>
      </c>
      <c r="L89" s="43">
        <v>0.0</v>
      </c>
      <c r="M89" s="43">
        <v>0.0</v>
      </c>
      <c r="N89" s="33">
        <f>COUNTIFS('Data For Calculation - Insuranc'!A:A,A89,'Data For Calculation - Insuranc'!D:D,"Individual",'Data For Calculation - Insuranc'!E:E,"Bundled - 1 Year OD + 5 Year TP")</f>
        <v>0</v>
      </c>
      <c r="O89" s="34" t="s">
        <v>3930</v>
      </c>
      <c r="P89" s="42" t="s">
        <v>3817</v>
      </c>
      <c r="Q89" s="43">
        <v>460.0</v>
      </c>
      <c r="R89" s="42" t="s">
        <v>3853</v>
      </c>
      <c r="S89" s="43">
        <v>0.0</v>
      </c>
      <c r="T89" s="43">
        <v>100.0</v>
      </c>
      <c r="U89" s="43">
        <v>0.0</v>
      </c>
      <c r="V89" s="43">
        <v>0.0</v>
      </c>
      <c r="W89" s="33">
        <f>COUNTIFS('Data For Calculation - Insuranc'!A:A,A89,'Data For Calculation - Insuranc'!D:D,"Company",'Data For Calculation - Insuranc'!E:E,"Bundled - 1 Year OD + 5 Year TP")</f>
        <v>0</v>
      </c>
      <c r="X89" s="34" t="s">
        <v>3929</v>
      </c>
      <c r="Y89" s="42" t="s">
        <v>3817</v>
      </c>
      <c r="Z89" s="31">
        <v>290.0</v>
      </c>
      <c r="AA89" s="34" t="s">
        <v>3853</v>
      </c>
      <c r="AB89" s="34">
        <v>0.0</v>
      </c>
      <c r="AC89" s="34">
        <v>100.0</v>
      </c>
      <c r="AD89" s="34">
        <v>0.0</v>
      </c>
      <c r="AE89" s="34">
        <v>0.0</v>
      </c>
      <c r="AF89" s="33">
        <f>COUNTIFS('Data For Calculation - Insuranc'!A:A,A89,'Data For Calculation - Insuranc'!D:D,"Individual",'Data For Calculation - Insuranc'!E:E,"Rollover Comprehensive - 1 Year OD + 1 Year TP")</f>
        <v>0</v>
      </c>
      <c r="AG89" s="34" t="s">
        <v>3930</v>
      </c>
      <c r="AH89" s="42" t="s">
        <v>3817</v>
      </c>
      <c r="AI89" s="31">
        <v>290.0</v>
      </c>
      <c r="AJ89" s="34" t="s">
        <v>3853</v>
      </c>
      <c r="AK89" s="34">
        <v>0.0</v>
      </c>
      <c r="AL89" s="34">
        <v>100.0</v>
      </c>
      <c r="AM89" s="34">
        <v>0.0</v>
      </c>
      <c r="AN89" s="34">
        <v>0.0</v>
      </c>
      <c r="AO89" s="33">
        <f>COUNTIFS('Data For Calculation - Insuranc'!A:A,A89,'Data For Calculation - Insuranc'!D:D,"Company",'Data For Calculation - Insuranc'!E:E,"Rollover Comprehensive - 1 Year OD + 1 Year TP")</f>
        <v>0</v>
      </c>
      <c r="AP89" s="34" t="s">
        <v>3931</v>
      </c>
      <c r="AQ89" s="42" t="s">
        <v>3817</v>
      </c>
      <c r="AR89" s="31">
        <v>290.0</v>
      </c>
      <c r="AS89" s="34" t="s">
        <v>3853</v>
      </c>
      <c r="AT89" s="34">
        <v>0.0</v>
      </c>
      <c r="AU89" s="34">
        <v>100.0</v>
      </c>
      <c r="AV89" s="34">
        <v>0.0</v>
      </c>
      <c r="AW89" s="34">
        <v>0.0</v>
      </c>
      <c r="AX89" s="33">
        <f>COUNTIFS('Data For Calculation - Insuranc'!A:A,A89,'Data For Calculation - Insuranc'!D:D,"Individual",'Data For Calculation - Insuranc'!E:E,"Rollover - 1 Year OD Only")</f>
        <v>0</v>
      </c>
      <c r="AY89" s="34" t="s">
        <v>3932</v>
      </c>
      <c r="AZ89" s="42" t="s">
        <v>3817</v>
      </c>
      <c r="BA89" s="31">
        <v>290.0</v>
      </c>
      <c r="BB89" s="34" t="s">
        <v>3853</v>
      </c>
      <c r="BC89" s="34">
        <v>0.0</v>
      </c>
      <c r="BD89" s="34">
        <v>100.0</v>
      </c>
      <c r="BE89" s="34">
        <v>0.0</v>
      </c>
      <c r="BF89" s="34">
        <v>0.0</v>
      </c>
      <c r="BG89" s="33">
        <f>COUNTIFS('Data For Calculation - Insuranc'!A:A,A89,'Data For Calculation - Insuranc'!D:D,"Company",'Data For Calculation - Insuranc'!E:E,"Rollover - 1 Year OD Only")</f>
        <v>0</v>
      </c>
      <c r="BH89" s="34" t="s">
        <v>3931</v>
      </c>
      <c r="BI89" s="42" t="s">
        <v>3817</v>
      </c>
      <c r="BJ89" s="31">
        <v>290.0</v>
      </c>
      <c r="BK89" s="34" t="s">
        <v>3853</v>
      </c>
      <c r="BL89" s="34">
        <v>0.0</v>
      </c>
      <c r="BM89" s="34">
        <v>100.0</v>
      </c>
      <c r="BN89" s="34">
        <v>0.0</v>
      </c>
      <c r="BO89" s="34">
        <v>0.0</v>
      </c>
      <c r="BP89" s="33">
        <f>COUNTIFS('Data For Calculation - Insuranc'!A:A,A89,'Data For Calculation - Insuranc'!D:D,"Individual",'Data For Calculation - Insuranc'!E:E,"Rollover - 1 Year TP Only")</f>
        <v>0</v>
      </c>
      <c r="BQ89" s="34" t="s">
        <v>3932</v>
      </c>
      <c r="BR89" s="42" t="s">
        <v>3817</v>
      </c>
      <c r="BS89" s="31">
        <v>290.0</v>
      </c>
      <c r="BT89" s="34" t="s">
        <v>3853</v>
      </c>
      <c r="BU89" s="34">
        <v>0.0</v>
      </c>
      <c r="BV89" s="34">
        <v>100.0</v>
      </c>
      <c r="BW89" s="34">
        <v>0.0</v>
      </c>
      <c r="BX89" s="34">
        <v>0.0</v>
      </c>
      <c r="BY89" s="33">
        <f>COUNTIFS('Data For Calculation - Insuranc'!A:A,A89,'Data For Calculation - Insuranc'!D:D,"Company",'Data For Calculation - Insuranc'!E:E,"Rollover - 1 Year TP Only")</f>
        <v>0</v>
      </c>
      <c r="BZ89" s="31">
        <f t="shared" si="1"/>
        <v>0</v>
      </c>
      <c r="CA89" s="33">
        <f>SUMIFS('Data For Calculation - Insuranc'!I:I,'Data For Calculation - Insuranc'!$A:$A,$A89)</f>
        <v>0</v>
      </c>
      <c r="CB89" s="33">
        <f>SUMIFS('Data For Calculation - Insuranc'!J:J,'Data For Calculation - Insuranc'!$A:$A,$A89)</f>
        <v>0</v>
      </c>
      <c r="CC89" s="33">
        <f>SUMIFS('Data For Calculation - Insuranc'!K:K,'Data For Calculation - Insuranc'!$A:$A,$A89)</f>
        <v>0</v>
      </c>
      <c r="CD89" s="33">
        <f>IF($CK89 = "Dealer", SUMIFS('Data For Calculation - Insuranc'!I:I,'Data For Calculation - Insuranc'!$B:$B,$A89,'Data For Calculation - Insuranc'!$H:$H,"Master Dealer")) + SUMIFS('Data For Calculation - Insuranc'!I:I,'Data For Calculation - Insuranc'!$A:$A,$A89,'Data For Calculation - Insuranc'!$H:$H,"Self")</f>
        <v>0</v>
      </c>
      <c r="CE89" s="33">
        <f>IF($CK89 = "Dealer", SUMIFS('Data For Calculation - Insuranc'!J:J,'Data For Calculation - Insuranc'!$B:$B,$A89,'Data For Calculation - Insuranc'!$H:$H,"Master Dealer")) + SUMIFS('Data For Calculation - Insuranc'!J:J,'Data For Calculation - Insuranc'!$A:$A,$A89,'Data For Calculation - Insuranc'!$H:$H,"Self")</f>
        <v>0</v>
      </c>
      <c r="CF89" s="33">
        <f>IF($CK89 = "Dealer", SUMIFS('Data For Calculation - Insuranc'!K:K,'Data For Calculation - Insuranc'!$B:$B,$A89,'Data For Calculation - Insuranc'!$H:$H,"Master Dealer")) + SUMIFS('Data For Calculation - Insuranc'!K:K,'Data For Calculation - Insuranc'!$A:$A,$A89,'Data For Calculation - Insuranc'!$H:$H,"Self")</f>
        <v>0</v>
      </c>
      <c r="CG89" s="25" t="str">
        <f>(Sheet1!N89)</f>
        <v>Chaudhary Auto Agency - Kaithal</v>
      </c>
      <c r="CH89" s="25" t="str">
        <f>(Sheet1!O89)</f>
        <v>15e1MPdmX1KahSQrgQP1EiQhxwoiZU-49rilJy51h_W8</v>
      </c>
      <c r="CI89" s="25" t="str">
        <f>(Sheet1!AV89)</f>
        <v/>
      </c>
      <c r="CJ89" s="25" t="str">
        <f>(Sheet1!AW89)</f>
        <v/>
      </c>
      <c r="CK89" s="26" t="str">
        <f>(Sheet1!P89)</f>
        <v>Dealer</v>
      </c>
    </row>
    <row r="90">
      <c r="A90" s="25" t="str">
        <f>(Sheet1!A90)</f>
        <v>1DHuoK3CPfNh_Joggi61wQdiSIly5OZEhbKVvkkW9X5U</v>
      </c>
      <c r="B90" s="25" t="str">
        <f>(Sheet1!B90)</f>
        <v>Saraswati Enterprises - Pehowa</v>
      </c>
      <c r="C90" s="30" t="str">
        <f>Sheet1!BB90</f>
        <v>No</v>
      </c>
      <c r="D90" s="30" t="s">
        <v>13</v>
      </c>
      <c r="E90" s="34" t="s">
        <v>13</v>
      </c>
      <c r="F90" s="34" t="s">
        <v>3929</v>
      </c>
      <c r="G90" s="42" t="s">
        <v>3817</v>
      </c>
      <c r="H90" s="43">
        <v>460.0</v>
      </c>
      <c r="I90" s="42" t="s">
        <v>3853</v>
      </c>
      <c r="J90" s="43">
        <v>0.0</v>
      </c>
      <c r="K90" s="43">
        <v>100.0</v>
      </c>
      <c r="L90" s="43">
        <v>0.0</v>
      </c>
      <c r="M90" s="43">
        <v>0.0</v>
      </c>
      <c r="N90" s="33">
        <f>COUNTIFS('Data For Calculation - Insuranc'!A:A,A90,'Data For Calculation - Insuranc'!D:D,"Individual",'Data For Calculation - Insuranc'!E:E,"Bundled - 1 Year OD + 5 Year TP")</f>
        <v>0</v>
      </c>
      <c r="O90" s="34" t="s">
        <v>3930</v>
      </c>
      <c r="P90" s="42" t="s">
        <v>3817</v>
      </c>
      <c r="Q90" s="43">
        <v>460.0</v>
      </c>
      <c r="R90" s="42" t="s">
        <v>3853</v>
      </c>
      <c r="S90" s="43">
        <v>0.0</v>
      </c>
      <c r="T90" s="43">
        <v>100.0</v>
      </c>
      <c r="U90" s="43">
        <v>0.0</v>
      </c>
      <c r="V90" s="43">
        <v>0.0</v>
      </c>
      <c r="W90" s="33">
        <f>COUNTIFS('Data For Calculation - Insuranc'!A:A,A90,'Data For Calculation - Insuranc'!D:D,"Company",'Data For Calculation - Insuranc'!E:E,"Bundled - 1 Year OD + 5 Year TP")</f>
        <v>0</v>
      </c>
      <c r="X90" s="34" t="s">
        <v>3929</v>
      </c>
      <c r="Y90" s="42" t="s">
        <v>3817</v>
      </c>
      <c r="Z90" s="31">
        <v>290.0</v>
      </c>
      <c r="AA90" s="34" t="s">
        <v>3853</v>
      </c>
      <c r="AB90" s="34">
        <v>0.0</v>
      </c>
      <c r="AC90" s="34">
        <v>100.0</v>
      </c>
      <c r="AD90" s="34">
        <v>0.0</v>
      </c>
      <c r="AE90" s="34">
        <v>0.0</v>
      </c>
      <c r="AF90" s="33">
        <f>COUNTIFS('Data For Calculation - Insuranc'!A:A,A90,'Data For Calculation - Insuranc'!D:D,"Individual",'Data For Calculation - Insuranc'!E:E,"Rollover Comprehensive - 1 Year OD + 1 Year TP")</f>
        <v>0</v>
      </c>
      <c r="AG90" s="34" t="s">
        <v>3930</v>
      </c>
      <c r="AH90" s="42" t="s">
        <v>3817</v>
      </c>
      <c r="AI90" s="31">
        <v>290.0</v>
      </c>
      <c r="AJ90" s="34" t="s">
        <v>3853</v>
      </c>
      <c r="AK90" s="34">
        <v>0.0</v>
      </c>
      <c r="AL90" s="34">
        <v>100.0</v>
      </c>
      <c r="AM90" s="34">
        <v>0.0</v>
      </c>
      <c r="AN90" s="34">
        <v>0.0</v>
      </c>
      <c r="AO90" s="33">
        <f>COUNTIFS('Data For Calculation - Insuranc'!A:A,A90,'Data For Calculation - Insuranc'!D:D,"Company",'Data For Calculation - Insuranc'!E:E,"Rollover Comprehensive - 1 Year OD + 1 Year TP")</f>
        <v>0</v>
      </c>
      <c r="AP90" s="34" t="s">
        <v>3931</v>
      </c>
      <c r="AQ90" s="42" t="s">
        <v>3817</v>
      </c>
      <c r="AR90" s="31">
        <v>290.0</v>
      </c>
      <c r="AS90" s="34" t="s">
        <v>3853</v>
      </c>
      <c r="AT90" s="34">
        <v>0.0</v>
      </c>
      <c r="AU90" s="34">
        <v>100.0</v>
      </c>
      <c r="AV90" s="34">
        <v>0.0</v>
      </c>
      <c r="AW90" s="34">
        <v>0.0</v>
      </c>
      <c r="AX90" s="33">
        <f>COUNTIFS('Data For Calculation - Insuranc'!A:A,A90,'Data For Calculation - Insuranc'!D:D,"Individual",'Data For Calculation - Insuranc'!E:E,"Rollover - 1 Year OD Only")</f>
        <v>0</v>
      </c>
      <c r="AY90" s="34" t="s">
        <v>3932</v>
      </c>
      <c r="AZ90" s="42" t="s">
        <v>3817</v>
      </c>
      <c r="BA90" s="31">
        <v>290.0</v>
      </c>
      <c r="BB90" s="34" t="s">
        <v>3853</v>
      </c>
      <c r="BC90" s="34">
        <v>0.0</v>
      </c>
      <c r="BD90" s="34">
        <v>100.0</v>
      </c>
      <c r="BE90" s="34">
        <v>0.0</v>
      </c>
      <c r="BF90" s="34">
        <v>0.0</v>
      </c>
      <c r="BG90" s="33">
        <f>COUNTIFS('Data For Calculation - Insuranc'!A:A,A90,'Data For Calculation - Insuranc'!D:D,"Company",'Data For Calculation - Insuranc'!E:E,"Rollover - 1 Year OD Only")</f>
        <v>0</v>
      </c>
      <c r="BH90" s="34" t="s">
        <v>3931</v>
      </c>
      <c r="BI90" s="42" t="s">
        <v>3817</v>
      </c>
      <c r="BJ90" s="31">
        <v>290.0</v>
      </c>
      <c r="BK90" s="34" t="s">
        <v>3853</v>
      </c>
      <c r="BL90" s="34">
        <v>0.0</v>
      </c>
      <c r="BM90" s="34">
        <v>100.0</v>
      </c>
      <c r="BN90" s="34">
        <v>0.0</v>
      </c>
      <c r="BO90" s="34">
        <v>0.0</v>
      </c>
      <c r="BP90" s="33">
        <f>COUNTIFS('Data For Calculation - Insuranc'!A:A,A90,'Data For Calculation - Insuranc'!D:D,"Individual",'Data For Calculation - Insuranc'!E:E,"Rollover - 1 Year TP Only")</f>
        <v>0</v>
      </c>
      <c r="BQ90" s="34" t="s">
        <v>3932</v>
      </c>
      <c r="BR90" s="42" t="s">
        <v>3817</v>
      </c>
      <c r="BS90" s="31">
        <v>290.0</v>
      </c>
      <c r="BT90" s="34" t="s">
        <v>3853</v>
      </c>
      <c r="BU90" s="34">
        <v>0.0</v>
      </c>
      <c r="BV90" s="34">
        <v>100.0</v>
      </c>
      <c r="BW90" s="34">
        <v>0.0</v>
      </c>
      <c r="BX90" s="34">
        <v>0.0</v>
      </c>
      <c r="BY90" s="33">
        <f>COUNTIFS('Data For Calculation - Insuranc'!A:A,A90,'Data For Calculation - Insuranc'!D:D,"Company",'Data For Calculation - Insuranc'!E:E,"Rollover - 1 Year TP Only")</f>
        <v>0</v>
      </c>
      <c r="BZ90" s="31">
        <f t="shared" si="1"/>
        <v>0</v>
      </c>
      <c r="CA90" s="33">
        <f>SUMIFS('Data For Calculation - Insuranc'!I:I,'Data For Calculation - Insuranc'!$A:$A,$A90)</f>
        <v>0</v>
      </c>
      <c r="CB90" s="33">
        <f>SUMIFS('Data For Calculation - Insuranc'!J:J,'Data For Calculation - Insuranc'!$A:$A,$A90)</f>
        <v>0</v>
      </c>
      <c r="CC90" s="33">
        <f>SUMIFS('Data For Calculation - Insuranc'!K:K,'Data For Calculation - Insuranc'!$A:$A,$A90)</f>
        <v>0</v>
      </c>
      <c r="CD90" s="33">
        <f>IF($CK90 = "Dealer", SUMIFS('Data For Calculation - Insuranc'!I:I,'Data For Calculation - Insuranc'!$B:$B,$A90,'Data For Calculation - Insuranc'!$H:$H,"Master Dealer")) + SUMIFS('Data For Calculation - Insuranc'!I:I,'Data For Calculation - Insuranc'!$A:$A,$A90,'Data For Calculation - Insuranc'!$H:$H,"Self")</f>
        <v>0</v>
      </c>
      <c r="CE90" s="33">
        <f>IF($CK90 = "Dealer", SUMIFS('Data For Calculation - Insuranc'!J:J,'Data For Calculation - Insuranc'!$B:$B,$A90,'Data For Calculation - Insuranc'!$H:$H,"Master Dealer")) + SUMIFS('Data For Calculation - Insuranc'!J:J,'Data For Calculation - Insuranc'!$A:$A,$A90,'Data For Calculation - Insuranc'!$H:$H,"Self")</f>
        <v>0</v>
      </c>
      <c r="CF90" s="33">
        <f>IF($CK90 = "Dealer", SUMIFS('Data For Calculation - Insuranc'!K:K,'Data For Calculation - Insuranc'!$B:$B,$A90,'Data For Calculation - Insuranc'!$H:$H,"Master Dealer")) + SUMIFS('Data For Calculation - Insuranc'!K:K,'Data For Calculation - Insuranc'!$A:$A,$A90,'Data For Calculation - Insuranc'!$H:$H,"Self")</f>
        <v>0</v>
      </c>
      <c r="CG90" s="25" t="str">
        <f>(Sheet1!N90)</f>
        <v>Saraswati Enterprises - Pehowa</v>
      </c>
      <c r="CH90" s="25" t="str">
        <f>(Sheet1!O90)</f>
        <v>1DHuoK3CPfNh_Joggi61wQdiSIly5OZEhbKVvkkW9X5U</v>
      </c>
      <c r="CI90" s="25" t="str">
        <f>(Sheet1!AV90)</f>
        <v/>
      </c>
      <c r="CJ90" s="25" t="str">
        <f>(Sheet1!AW90)</f>
        <v/>
      </c>
      <c r="CK90" s="26" t="str">
        <f>(Sheet1!P90)</f>
        <v>Dealer</v>
      </c>
    </row>
    <row r="91">
      <c r="A91" s="25" t="str">
        <f>(Sheet1!A91)</f>
        <v>1TuBCieryI5B9C4qUUscd4DG93Cj0YeOolwC7hs56SEg</v>
      </c>
      <c r="B91" s="25" t="str">
        <f>(Sheet1!B91)</f>
        <v>VPS HERO - KURUKSHETRA</v>
      </c>
      <c r="C91" s="30" t="str">
        <f>Sheet1!BB91</f>
        <v>No</v>
      </c>
      <c r="D91" s="30" t="s">
        <v>13</v>
      </c>
      <c r="E91" s="34" t="s">
        <v>13</v>
      </c>
      <c r="F91" s="34" t="s">
        <v>3929</v>
      </c>
      <c r="G91" s="42" t="s">
        <v>3817</v>
      </c>
      <c r="H91" s="43">
        <v>460.0</v>
      </c>
      <c r="I91" s="42" t="s">
        <v>3853</v>
      </c>
      <c r="J91" s="43">
        <v>0.0</v>
      </c>
      <c r="K91" s="43">
        <v>100.0</v>
      </c>
      <c r="L91" s="43">
        <v>0.0</v>
      </c>
      <c r="M91" s="43">
        <v>0.0</v>
      </c>
      <c r="N91" s="33">
        <f>COUNTIFS('Data For Calculation - Insuranc'!A:A,A91,'Data For Calculation - Insuranc'!D:D,"Individual",'Data For Calculation - Insuranc'!E:E,"Bundled - 1 Year OD + 5 Year TP")</f>
        <v>0</v>
      </c>
      <c r="O91" s="34" t="s">
        <v>3930</v>
      </c>
      <c r="P91" s="42" t="s">
        <v>3817</v>
      </c>
      <c r="Q91" s="43">
        <v>460.0</v>
      </c>
      <c r="R91" s="42" t="s">
        <v>3853</v>
      </c>
      <c r="S91" s="43">
        <v>0.0</v>
      </c>
      <c r="T91" s="43">
        <v>100.0</v>
      </c>
      <c r="U91" s="43">
        <v>0.0</v>
      </c>
      <c r="V91" s="43">
        <v>0.0</v>
      </c>
      <c r="W91" s="33">
        <f>COUNTIFS('Data For Calculation - Insuranc'!A:A,A91,'Data For Calculation - Insuranc'!D:D,"Company",'Data For Calculation - Insuranc'!E:E,"Bundled - 1 Year OD + 5 Year TP")</f>
        <v>0</v>
      </c>
      <c r="X91" s="34" t="s">
        <v>3929</v>
      </c>
      <c r="Y91" s="42" t="s">
        <v>3817</v>
      </c>
      <c r="Z91" s="31">
        <v>290.0</v>
      </c>
      <c r="AA91" s="34" t="s">
        <v>3853</v>
      </c>
      <c r="AB91" s="34">
        <v>0.0</v>
      </c>
      <c r="AC91" s="34">
        <v>100.0</v>
      </c>
      <c r="AD91" s="34">
        <v>0.0</v>
      </c>
      <c r="AE91" s="34">
        <v>0.0</v>
      </c>
      <c r="AF91" s="33">
        <f>COUNTIFS('Data For Calculation - Insuranc'!A:A,A91,'Data For Calculation - Insuranc'!D:D,"Individual",'Data For Calculation - Insuranc'!E:E,"Rollover Comprehensive - 1 Year OD + 1 Year TP")</f>
        <v>0</v>
      </c>
      <c r="AG91" s="34" t="s">
        <v>3930</v>
      </c>
      <c r="AH91" s="42" t="s">
        <v>3817</v>
      </c>
      <c r="AI91" s="31">
        <v>290.0</v>
      </c>
      <c r="AJ91" s="34" t="s">
        <v>3853</v>
      </c>
      <c r="AK91" s="34">
        <v>0.0</v>
      </c>
      <c r="AL91" s="34">
        <v>100.0</v>
      </c>
      <c r="AM91" s="34">
        <v>0.0</v>
      </c>
      <c r="AN91" s="34">
        <v>0.0</v>
      </c>
      <c r="AO91" s="33">
        <f>COUNTIFS('Data For Calculation - Insuranc'!A:A,A91,'Data For Calculation - Insuranc'!D:D,"Company",'Data For Calculation - Insuranc'!E:E,"Rollover Comprehensive - 1 Year OD + 1 Year TP")</f>
        <v>0</v>
      </c>
      <c r="AP91" s="34" t="s">
        <v>3931</v>
      </c>
      <c r="AQ91" s="42" t="s">
        <v>3817</v>
      </c>
      <c r="AR91" s="31">
        <v>290.0</v>
      </c>
      <c r="AS91" s="34" t="s">
        <v>3853</v>
      </c>
      <c r="AT91" s="34">
        <v>0.0</v>
      </c>
      <c r="AU91" s="34">
        <v>100.0</v>
      </c>
      <c r="AV91" s="34">
        <v>0.0</v>
      </c>
      <c r="AW91" s="34">
        <v>0.0</v>
      </c>
      <c r="AX91" s="33">
        <f>COUNTIFS('Data For Calculation - Insuranc'!A:A,A91,'Data For Calculation - Insuranc'!D:D,"Individual",'Data For Calculation - Insuranc'!E:E,"Rollover - 1 Year OD Only")</f>
        <v>0</v>
      </c>
      <c r="AY91" s="34" t="s">
        <v>3932</v>
      </c>
      <c r="AZ91" s="42" t="s">
        <v>3817</v>
      </c>
      <c r="BA91" s="31">
        <v>290.0</v>
      </c>
      <c r="BB91" s="34" t="s">
        <v>3853</v>
      </c>
      <c r="BC91" s="34">
        <v>0.0</v>
      </c>
      <c r="BD91" s="34">
        <v>100.0</v>
      </c>
      <c r="BE91" s="34">
        <v>0.0</v>
      </c>
      <c r="BF91" s="34">
        <v>0.0</v>
      </c>
      <c r="BG91" s="33">
        <f>COUNTIFS('Data For Calculation - Insuranc'!A:A,A91,'Data For Calculation - Insuranc'!D:D,"Company",'Data For Calculation - Insuranc'!E:E,"Rollover - 1 Year OD Only")</f>
        <v>0</v>
      </c>
      <c r="BH91" s="34" t="s">
        <v>3931</v>
      </c>
      <c r="BI91" s="42" t="s">
        <v>3817</v>
      </c>
      <c r="BJ91" s="31">
        <v>290.0</v>
      </c>
      <c r="BK91" s="34" t="s">
        <v>3853</v>
      </c>
      <c r="BL91" s="34">
        <v>0.0</v>
      </c>
      <c r="BM91" s="34">
        <v>100.0</v>
      </c>
      <c r="BN91" s="34">
        <v>0.0</v>
      </c>
      <c r="BO91" s="34">
        <v>0.0</v>
      </c>
      <c r="BP91" s="33">
        <f>COUNTIFS('Data For Calculation - Insuranc'!A:A,A91,'Data For Calculation - Insuranc'!D:D,"Individual",'Data For Calculation - Insuranc'!E:E,"Rollover - 1 Year TP Only")</f>
        <v>0</v>
      </c>
      <c r="BQ91" s="34" t="s">
        <v>3932</v>
      </c>
      <c r="BR91" s="42" t="s">
        <v>3817</v>
      </c>
      <c r="BS91" s="31">
        <v>290.0</v>
      </c>
      <c r="BT91" s="34" t="s">
        <v>3853</v>
      </c>
      <c r="BU91" s="34">
        <v>0.0</v>
      </c>
      <c r="BV91" s="34">
        <v>100.0</v>
      </c>
      <c r="BW91" s="34">
        <v>0.0</v>
      </c>
      <c r="BX91" s="34">
        <v>0.0</v>
      </c>
      <c r="BY91" s="33">
        <f>COUNTIFS('Data For Calculation - Insuranc'!A:A,A91,'Data For Calculation - Insuranc'!D:D,"Company",'Data For Calculation - Insuranc'!E:E,"Rollover - 1 Year TP Only")</f>
        <v>0</v>
      </c>
      <c r="BZ91" s="31">
        <f t="shared" si="1"/>
        <v>0</v>
      </c>
      <c r="CA91" s="33">
        <f>SUMIFS('Data For Calculation - Insuranc'!I:I,'Data For Calculation - Insuranc'!$A:$A,$A91)</f>
        <v>0</v>
      </c>
      <c r="CB91" s="33">
        <f>SUMIFS('Data For Calculation - Insuranc'!J:J,'Data For Calculation - Insuranc'!$A:$A,$A91)</f>
        <v>0</v>
      </c>
      <c r="CC91" s="33">
        <f>SUMIFS('Data For Calculation - Insuranc'!K:K,'Data For Calculation - Insuranc'!$A:$A,$A91)</f>
        <v>0</v>
      </c>
      <c r="CD91" s="33">
        <f>IF($CK91 = "Dealer", SUMIFS('Data For Calculation - Insuranc'!I:I,'Data For Calculation - Insuranc'!$B:$B,$A91,'Data For Calculation - Insuranc'!$H:$H,"Master Dealer")) + SUMIFS('Data For Calculation - Insuranc'!I:I,'Data For Calculation - Insuranc'!$A:$A,$A91,'Data For Calculation - Insuranc'!$H:$H,"Self")</f>
        <v>0</v>
      </c>
      <c r="CE91" s="33">
        <f>IF($CK91 = "Dealer", SUMIFS('Data For Calculation - Insuranc'!J:J,'Data For Calculation - Insuranc'!$B:$B,$A91,'Data For Calculation - Insuranc'!$H:$H,"Master Dealer")) + SUMIFS('Data For Calculation - Insuranc'!J:J,'Data For Calculation - Insuranc'!$A:$A,$A91,'Data For Calculation - Insuranc'!$H:$H,"Self")</f>
        <v>0</v>
      </c>
      <c r="CF91" s="33">
        <f>IF($CK91 = "Dealer", SUMIFS('Data For Calculation - Insuranc'!K:K,'Data For Calculation - Insuranc'!$B:$B,$A91,'Data For Calculation - Insuranc'!$H:$H,"Master Dealer")) + SUMIFS('Data For Calculation - Insuranc'!K:K,'Data For Calculation - Insuranc'!$A:$A,$A91,'Data For Calculation - Insuranc'!$H:$H,"Self")</f>
        <v>0</v>
      </c>
      <c r="CG91" s="25" t="str">
        <f>(Sheet1!N91)</f>
        <v>VPS HERO - KURUKSHETRA</v>
      </c>
      <c r="CH91" s="25" t="str">
        <f>(Sheet1!O91)</f>
        <v>1TuBCieryI5B9C4qUUscd4DG93Cj0YeOolwC7hs56SEg</v>
      </c>
      <c r="CI91" s="25" t="str">
        <f>(Sheet1!AV91)</f>
        <v/>
      </c>
      <c r="CJ91" s="25" t="str">
        <f>(Sheet1!AW91)</f>
        <v/>
      </c>
      <c r="CK91" s="26" t="str">
        <f>(Sheet1!P91)</f>
        <v>Dealer</v>
      </c>
    </row>
    <row r="92">
      <c r="A92" s="25" t="str">
        <f>(Sheet1!A92)</f>
        <v>1eiTogQPi-sHfdl6mZbOd9WL047mVrKOSLuFH6hsfT4U</v>
      </c>
      <c r="B92" s="25" t="str">
        <f>(Sheet1!B92)</f>
        <v>Rohit Automobiles - Yamuna Nagar</v>
      </c>
      <c r="C92" s="30" t="str">
        <f>Sheet1!BB92</f>
        <v>No</v>
      </c>
      <c r="D92" s="30" t="s">
        <v>13</v>
      </c>
      <c r="E92" s="34" t="s">
        <v>13</v>
      </c>
      <c r="F92" s="34" t="s">
        <v>3929</v>
      </c>
      <c r="G92" s="42" t="s">
        <v>3817</v>
      </c>
      <c r="H92" s="43">
        <v>460.0</v>
      </c>
      <c r="I92" s="42" t="s">
        <v>3853</v>
      </c>
      <c r="J92" s="43">
        <v>0.0</v>
      </c>
      <c r="K92" s="43">
        <v>100.0</v>
      </c>
      <c r="L92" s="43">
        <v>0.0</v>
      </c>
      <c r="M92" s="43">
        <v>0.0</v>
      </c>
      <c r="N92" s="33">
        <f>COUNTIFS('Data For Calculation - Insuranc'!A:A,A92,'Data For Calculation - Insuranc'!D:D,"Individual",'Data For Calculation - Insuranc'!E:E,"Bundled - 1 Year OD + 5 Year TP")</f>
        <v>0</v>
      </c>
      <c r="O92" s="34" t="s">
        <v>3930</v>
      </c>
      <c r="P92" s="42" t="s">
        <v>3817</v>
      </c>
      <c r="Q92" s="43">
        <v>460.0</v>
      </c>
      <c r="R92" s="42" t="s">
        <v>3853</v>
      </c>
      <c r="S92" s="43">
        <v>0.0</v>
      </c>
      <c r="T92" s="43">
        <v>100.0</v>
      </c>
      <c r="U92" s="43">
        <v>0.0</v>
      </c>
      <c r="V92" s="43">
        <v>0.0</v>
      </c>
      <c r="W92" s="33">
        <f>COUNTIFS('Data For Calculation - Insuranc'!A:A,A92,'Data For Calculation - Insuranc'!D:D,"Company",'Data For Calculation - Insuranc'!E:E,"Bundled - 1 Year OD + 5 Year TP")</f>
        <v>0</v>
      </c>
      <c r="X92" s="34" t="s">
        <v>3929</v>
      </c>
      <c r="Y92" s="42" t="s">
        <v>3817</v>
      </c>
      <c r="Z92" s="31">
        <v>290.0</v>
      </c>
      <c r="AA92" s="34" t="s">
        <v>3853</v>
      </c>
      <c r="AB92" s="34">
        <v>0.0</v>
      </c>
      <c r="AC92" s="34">
        <v>100.0</v>
      </c>
      <c r="AD92" s="34">
        <v>0.0</v>
      </c>
      <c r="AE92" s="34">
        <v>0.0</v>
      </c>
      <c r="AF92" s="33">
        <f>COUNTIFS('Data For Calculation - Insuranc'!A:A,A92,'Data For Calculation - Insuranc'!D:D,"Individual",'Data For Calculation - Insuranc'!E:E,"Rollover Comprehensive - 1 Year OD + 1 Year TP")</f>
        <v>0</v>
      </c>
      <c r="AG92" s="34" t="s">
        <v>3930</v>
      </c>
      <c r="AH92" s="42" t="s">
        <v>3817</v>
      </c>
      <c r="AI92" s="31">
        <v>290.0</v>
      </c>
      <c r="AJ92" s="34" t="s">
        <v>3853</v>
      </c>
      <c r="AK92" s="34">
        <v>0.0</v>
      </c>
      <c r="AL92" s="34">
        <v>100.0</v>
      </c>
      <c r="AM92" s="34">
        <v>0.0</v>
      </c>
      <c r="AN92" s="34">
        <v>0.0</v>
      </c>
      <c r="AO92" s="33">
        <f>COUNTIFS('Data For Calculation - Insuranc'!A:A,A92,'Data For Calculation - Insuranc'!D:D,"Company",'Data For Calculation - Insuranc'!E:E,"Rollover Comprehensive - 1 Year OD + 1 Year TP")</f>
        <v>0</v>
      </c>
      <c r="AP92" s="34" t="s">
        <v>3931</v>
      </c>
      <c r="AQ92" s="42" t="s">
        <v>3817</v>
      </c>
      <c r="AR92" s="31">
        <v>290.0</v>
      </c>
      <c r="AS92" s="34" t="s">
        <v>3853</v>
      </c>
      <c r="AT92" s="34">
        <v>0.0</v>
      </c>
      <c r="AU92" s="34">
        <v>100.0</v>
      </c>
      <c r="AV92" s="34">
        <v>0.0</v>
      </c>
      <c r="AW92" s="34">
        <v>0.0</v>
      </c>
      <c r="AX92" s="33">
        <f>COUNTIFS('Data For Calculation - Insuranc'!A:A,A92,'Data For Calculation - Insuranc'!D:D,"Individual",'Data For Calculation - Insuranc'!E:E,"Rollover - 1 Year OD Only")</f>
        <v>0</v>
      </c>
      <c r="AY92" s="34" t="s">
        <v>3932</v>
      </c>
      <c r="AZ92" s="42" t="s">
        <v>3817</v>
      </c>
      <c r="BA92" s="31">
        <v>290.0</v>
      </c>
      <c r="BB92" s="34" t="s">
        <v>3853</v>
      </c>
      <c r="BC92" s="34">
        <v>0.0</v>
      </c>
      <c r="BD92" s="34">
        <v>100.0</v>
      </c>
      <c r="BE92" s="34">
        <v>0.0</v>
      </c>
      <c r="BF92" s="34">
        <v>0.0</v>
      </c>
      <c r="BG92" s="33">
        <f>COUNTIFS('Data For Calculation - Insuranc'!A:A,A92,'Data For Calculation - Insuranc'!D:D,"Company",'Data For Calculation - Insuranc'!E:E,"Rollover - 1 Year OD Only")</f>
        <v>0</v>
      </c>
      <c r="BH92" s="34" t="s">
        <v>3931</v>
      </c>
      <c r="BI92" s="42" t="s">
        <v>3817</v>
      </c>
      <c r="BJ92" s="31">
        <v>290.0</v>
      </c>
      <c r="BK92" s="34" t="s">
        <v>3853</v>
      </c>
      <c r="BL92" s="34">
        <v>0.0</v>
      </c>
      <c r="BM92" s="34">
        <v>100.0</v>
      </c>
      <c r="BN92" s="34">
        <v>0.0</v>
      </c>
      <c r="BO92" s="34">
        <v>0.0</v>
      </c>
      <c r="BP92" s="33">
        <f>COUNTIFS('Data For Calculation - Insuranc'!A:A,A92,'Data For Calculation - Insuranc'!D:D,"Individual",'Data For Calculation - Insuranc'!E:E,"Rollover - 1 Year TP Only")</f>
        <v>0</v>
      </c>
      <c r="BQ92" s="34" t="s">
        <v>3932</v>
      </c>
      <c r="BR92" s="42" t="s">
        <v>3817</v>
      </c>
      <c r="BS92" s="31">
        <v>290.0</v>
      </c>
      <c r="BT92" s="34" t="s">
        <v>3853</v>
      </c>
      <c r="BU92" s="34">
        <v>0.0</v>
      </c>
      <c r="BV92" s="34">
        <v>100.0</v>
      </c>
      <c r="BW92" s="34">
        <v>0.0</v>
      </c>
      <c r="BX92" s="34">
        <v>0.0</v>
      </c>
      <c r="BY92" s="33">
        <f>COUNTIFS('Data For Calculation - Insuranc'!A:A,A92,'Data For Calculation - Insuranc'!D:D,"Company",'Data For Calculation - Insuranc'!E:E,"Rollover - 1 Year TP Only")</f>
        <v>0</v>
      </c>
      <c r="BZ92" s="31">
        <f t="shared" si="1"/>
        <v>0</v>
      </c>
      <c r="CA92" s="33">
        <f>SUMIFS('Data For Calculation - Insuranc'!I:I,'Data For Calculation - Insuranc'!$A:$A,$A92)</f>
        <v>0</v>
      </c>
      <c r="CB92" s="33">
        <f>SUMIFS('Data For Calculation - Insuranc'!J:J,'Data For Calculation - Insuranc'!$A:$A,$A92)</f>
        <v>0</v>
      </c>
      <c r="CC92" s="33">
        <f>SUMIFS('Data For Calculation - Insuranc'!K:K,'Data For Calculation - Insuranc'!$A:$A,$A92)</f>
        <v>0</v>
      </c>
      <c r="CD92" s="33">
        <f>IF($CK92 = "Dealer", SUMIFS('Data For Calculation - Insuranc'!I:I,'Data For Calculation - Insuranc'!$B:$B,$A92,'Data For Calculation - Insuranc'!$H:$H,"Master Dealer")) + SUMIFS('Data For Calculation - Insuranc'!I:I,'Data For Calculation - Insuranc'!$A:$A,$A92,'Data For Calculation - Insuranc'!$H:$H,"Self")</f>
        <v>0</v>
      </c>
      <c r="CE92" s="33">
        <f>IF($CK92 = "Dealer", SUMIFS('Data For Calculation - Insuranc'!J:J,'Data For Calculation - Insuranc'!$B:$B,$A92,'Data For Calculation - Insuranc'!$H:$H,"Master Dealer")) + SUMIFS('Data For Calculation - Insuranc'!J:J,'Data For Calculation - Insuranc'!$A:$A,$A92,'Data For Calculation - Insuranc'!$H:$H,"Self")</f>
        <v>0</v>
      </c>
      <c r="CF92" s="33">
        <f>IF($CK92 = "Dealer", SUMIFS('Data For Calculation - Insuranc'!K:K,'Data For Calculation - Insuranc'!$B:$B,$A92,'Data For Calculation - Insuranc'!$H:$H,"Master Dealer")) + SUMIFS('Data For Calculation - Insuranc'!K:K,'Data For Calculation - Insuranc'!$A:$A,$A92,'Data For Calculation - Insuranc'!$H:$H,"Self")</f>
        <v>0</v>
      </c>
      <c r="CG92" s="25" t="str">
        <f>(Sheet1!N92)</f>
        <v>Rohit Automobiles - Yamuna Nagar</v>
      </c>
      <c r="CH92" s="25" t="str">
        <f>(Sheet1!O92)</f>
        <v>1eiTogQPi-sHfdl6mZbOd9WL047mVrKOSLuFH6hsfT4U</v>
      </c>
      <c r="CI92" s="25" t="str">
        <f>(Sheet1!AV92)</f>
        <v/>
      </c>
      <c r="CJ92" s="25" t="str">
        <f>(Sheet1!AW92)</f>
        <v/>
      </c>
      <c r="CK92" s="26" t="str">
        <f>(Sheet1!P92)</f>
        <v>Dealer</v>
      </c>
    </row>
    <row r="93">
      <c r="A93" s="25" t="str">
        <f>(Sheet1!A93)</f>
        <v>1K6oaFfzdWrW0ygNwDwWBmlm6lWJxWCUD9ydsyisVA7A</v>
      </c>
      <c r="B93" s="25" t="str">
        <f>(Sheet1!B93)</f>
        <v>Sahib Motors - Panipat</v>
      </c>
      <c r="C93" s="30" t="str">
        <f>Sheet1!BB93</f>
        <v>No</v>
      </c>
      <c r="D93" s="30" t="s">
        <v>13</v>
      </c>
      <c r="E93" s="34" t="s">
        <v>13</v>
      </c>
      <c r="F93" s="34" t="s">
        <v>3929</v>
      </c>
      <c r="G93" s="42" t="s">
        <v>3817</v>
      </c>
      <c r="H93" s="43">
        <v>460.0</v>
      </c>
      <c r="I93" s="42" t="s">
        <v>3853</v>
      </c>
      <c r="J93" s="43">
        <v>0.0</v>
      </c>
      <c r="K93" s="43">
        <v>100.0</v>
      </c>
      <c r="L93" s="43">
        <v>0.0</v>
      </c>
      <c r="M93" s="43">
        <v>0.0</v>
      </c>
      <c r="N93" s="33">
        <f>COUNTIFS('Data For Calculation - Insuranc'!A:A,A93,'Data For Calculation - Insuranc'!D:D,"Individual",'Data For Calculation - Insuranc'!E:E,"Bundled - 1 Year OD + 5 Year TP")</f>
        <v>0</v>
      </c>
      <c r="O93" s="34" t="s">
        <v>3930</v>
      </c>
      <c r="P93" s="42" t="s">
        <v>3817</v>
      </c>
      <c r="Q93" s="43">
        <v>460.0</v>
      </c>
      <c r="R93" s="42" t="s">
        <v>3853</v>
      </c>
      <c r="S93" s="43">
        <v>0.0</v>
      </c>
      <c r="T93" s="43">
        <v>100.0</v>
      </c>
      <c r="U93" s="43">
        <v>0.0</v>
      </c>
      <c r="V93" s="43">
        <v>0.0</v>
      </c>
      <c r="W93" s="33">
        <f>COUNTIFS('Data For Calculation - Insuranc'!A:A,A93,'Data For Calculation - Insuranc'!D:D,"Company",'Data For Calculation - Insuranc'!E:E,"Bundled - 1 Year OD + 5 Year TP")</f>
        <v>0</v>
      </c>
      <c r="X93" s="34" t="s">
        <v>3929</v>
      </c>
      <c r="Y93" s="42" t="s">
        <v>3817</v>
      </c>
      <c r="Z93" s="31">
        <v>290.0</v>
      </c>
      <c r="AA93" s="34" t="s">
        <v>3853</v>
      </c>
      <c r="AB93" s="34">
        <v>0.0</v>
      </c>
      <c r="AC93" s="34">
        <v>100.0</v>
      </c>
      <c r="AD93" s="34">
        <v>0.0</v>
      </c>
      <c r="AE93" s="34">
        <v>0.0</v>
      </c>
      <c r="AF93" s="33">
        <f>COUNTIFS('Data For Calculation - Insuranc'!A:A,A93,'Data For Calculation - Insuranc'!D:D,"Individual",'Data For Calculation - Insuranc'!E:E,"Rollover Comprehensive - 1 Year OD + 1 Year TP")</f>
        <v>0</v>
      </c>
      <c r="AG93" s="34" t="s">
        <v>3930</v>
      </c>
      <c r="AH93" s="42" t="s">
        <v>3817</v>
      </c>
      <c r="AI93" s="31">
        <v>290.0</v>
      </c>
      <c r="AJ93" s="34" t="s">
        <v>3853</v>
      </c>
      <c r="AK93" s="34">
        <v>0.0</v>
      </c>
      <c r="AL93" s="34">
        <v>100.0</v>
      </c>
      <c r="AM93" s="34">
        <v>0.0</v>
      </c>
      <c r="AN93" s="34">
        <v>0.0</v>
      </c>
      <c r="AO93" s="33">
        <f>COUNTIFS('Data For Calculation - Insuranc'!A:A,A93,'Data For Calculation - Insuranc'!D:D,"Company",'Data For Calculation - Insuranc'!E:E,"Rollover Comprehensive - 1 Year OD + 1 Year TP")</f>
        <v>0</v>
      </c>
      <c r="AP93" s="34" t="s">
        <v>3931</v>
      </c>
      <c r="AQ93" s="42" t="s">
        <v>3817</v>
      </c>
      <c r="AR93" s="31">
        <v>290.0</v>
      </c>
      <c r="AS93" s="34" t="s">
        <v>3853</v>
      </c>
      <c r="AT93" s="34">
        <v>0.0</v>
      </c>
      <c r="AU93" s="34">
        <v>100.0</v>
      </c>
      <c r="AV93" s="34">
        <v>0.0</v>
      </c>
      <c r="AW93" s="34">
        <v>0.0</v>
      </c>
      <c r="AX93" s="33">
        <f>COUNTIFS('Data For Calculation - Insuranc'!A:A,A93,'Data For Calculation - Insuranc'!D:D,"Individual",'Data For Calculation - Insuranc'!E:E,"Rollover - 1 Year OD Only")</f>
        <v>0</v>
      </c>
      <c r="AY93" s="34" t="s">
        <v>3932</v>
      </c>
      <c r="AZ93" s="42" t="s">
        <v>3817</v>
      </c>
      <c r="BA93" s="31">
        <v>290.0</v>
      </c>
      <c r="BB93" s="34" t="s">
        <v>3853</v>
      </c>
      <c r="BC93" s="34">
        <v>0.0</v>
      </c>
      <c r="BD93" s="34">
        <v>100.0</v>
      </c>
      <c r="BE93" s="34">
        <v>0.0</v>
      </c>
      <c r="BF93" s="34">
        <v>0.0</v>
      </c>
      <c r="BG93" s="33">
        <f>COUNTIFS('Data For Calculation - Insuranc'!A:A,A93,'Data For Calculation - Insuranc'!D:D,"Company",'Data For Calculation - Insuranc'!E:E,"Rollover - 1 Year OD Only")</f>
        <v>0</v>
      </c>
      <c r="BH93" s="34" t="s">
        <v>3931</v>
      </c>
      <c r="BI93" s="42" t="s">
        <v>3817</v>
      </c>
      <c r="BJ93" s="31">
        <v>290.0</v>
      </c>
      <c r="BK93" s="34" t="s">
        <v>3853</v>
      </c>
      <c r="BL93" s="34">
        <v>0.0</v>
      </c>
      <c r="BM93" s="34">
        <v>100.0</v>
      </c>
      <c r="BN93" s="34">
        <v>0.0</v>
      </c>
      <c r="BO93" s="34">
        <v>0.0</v>
      </c>
      <c r="BP93" s="33">
        <f>COUNTIFS('Data For Calculation - Insuranc'!A:A,A93,'Data For Calculation - Insuranc'!D:D,"Individual",'Data For Calculation - Insuranc'!E:E,"Rollover - 1 Year TP Only")</f>
        <v>0</v>
      </c>
      <c r="BQ93" s="34" t="s">
        <v>3932</v>
      </c>
      <c r="BR93" s="42" t="s">
        <v>3817</v>
      </c>
      <c r="BS93" s="31">
        <v>290.0</v>
      </c>
      <c r="BT93" s="34" t="s">
        <v>3853</v>
      </c>
      <c r="BU93" s="34">
        <v>0.0</v>
      </c>
      <c r="BV93" s="34">
        <v>100.0</v>
      </c>
      <c r="BW93" s="34">
        <v>0.0</v>
      </c>
      <c r="BX93" s="34">
        <v>0.0</v>
      </c>
      <c r="BY93" s="33">
        <f>COUNTIFS('Data For Calculation - Insuranc'!A:A,A93,'Data For Calculation - Insuranc'!D:D,"Company",'Data For Calculation - Insuranc'!E:E,"Rollover - 1 Year TP Only")</f>
        <v>0</v>
      </c>
      <c r="BZ93" s="31">
        <f t="shared" si="1"/>
        <v>0</v>
      </c>
      <c r="CA93" s="33">
        <f>SUMIFS('Data For Calculation - Insuranc'!I:I,'Data For Calculation - Insuranc'!$A:$A,$A93)</f>
        <v>0</v>
      </c>
      <c r="CB93" s="33">
        <f>SUMIFS('Data For Calculation - Insuranc'!J:J,'Data For Calculation - Insuranc'!$A:$A,$A93)</f>
        <v>0</v>
      </c>
      <c r="CC93" s="33">
        <f>SUMIFS('Data For Calculation - Insuranc'!K:K,'Data For Calculation - Insuranc'!$A:$A,$A93)</f>
        <v>0</v>
      </c>
      <c r="CD93" s="33">
        <f>IF($CK93 = "Dealer", SUMIFS('Data For Calculation - Insuranc'!I:I,'Data For Calculation - Insuranc'!$B:$B,$A93,'Data For Calculation - Insuranc'!$H:$H,"Master Dealer")) + SUMIFS('Data For Calculation - Insuranc'!I:I,'Data For Calculation - Insuranc'!$A:$A,$A93,'Data For Calculation - Insuranc'!$H:$H,"Self")</f>
        <v>0</v>
      </c>
      <c r="CE93" s="33">
        <f>IF($CK93 = "Dealer", SUMIFS('Data For Calculation - Insuranc'!J:J,'Data For Calculation - Insuranc'!$B:$B,$A93,'Data For Calculation - Insuranc'!$H:$H,"Master Dealer")) + SUMIFS('Data For Calculation - Insuranc'!J:J,'Data For Calculation - Insuranc'!$A:$A,$A93,'Data For Calculation - Insuranc'!$H:$H,"Self")</f>
        <v>0</v>
      </c>
      <c r="CF93" s="33">
        <f>IF($CK93 = "Dealer", SUMIFS('Data For Calculation - Insuranc'!K:K,'Data For Calculation - Insuranc'!$B:$B,$A93,'Data For Calculation - Insuranc'!$H:$H,"Master Dealer")) + SUMIFS('Data For Calculation - Insuranc'!K:K,'Data For Calculation - Insuranc'!$A:$A,$A93,'Data For Calculation - Insuranc'!$H:$H,"Self")</f>
        <v>0</v>
      </c>
      <c r="CG93" s="25" t="str">
        <f>(Sheet1!N93)</f>
        <v>Sahib Motors - Panipat</v>
      </c>
      <c r="CH93" s="25" t="str">
        <f>(Sheet1!O93)</f>
        <v>1K6oaFfzdWrW0ygNwDwWBmlm6lWJxWCUD9ydsyisVA7A</v>
      </c>
      <c r="CI93" s="25" t="str">
        <f>(Sheet1!AV93)</f>
        <v/>
      </c>
      <c r="CJ93" s="25" t="str">
        <f>(Sheet1!AW93)</f>
        <v/>
      </c>
      <c r="CK93" s="26" t="str">
        <f>(Sheet1!P93)</f>
        <v>Dealer</v>
      </c>
    </row>
    <row r="94">
      <c r="A94" s="25" t="str">
        <f>(Sheet1!A94)</f>
        <v>1-Ht1VJM8lu7HceWxxtL7iafzmbHFLLgtLF3OJk7V8IQ</v>
      </c>
      <c r="B94" s="25" t="str">
        <f>(Sheet1!B94)</f>
        <v>LAKSHMI AUTOMOBILES - GHARAUNDA</v>
      </c>
      <c r="C94" s="30" t="str">
        <f>Sheet1!BB94</f>
        <v>No</v>
      </c>
      <c r="D94" s="30" t="s">
        <v>13</v>
      </c>
      <c r="E94" s="34" t="s">
        <v>13</v>
      </c>
      <c r="F94" s="34" t="s">
        <v>3929</v>
      </c>
      <c r="G94" s="42" t="s">
        <v>3817</v>
      </c>
      <c r="H94" s="43">
        <v>460.0</v>
      </c>
      <c r="I94" s="42" t="s">
        <v>3853</v>
      </c>
      <c r="J94" s="43">
        <v>0.0</v>
      </c>
      <c r="K94" s="43">
        <v>100.0</v>
      </c>
      <c r="L94" s="43">
        <v>0.0</v>
      </c>
      <c r="M94" s="43">
        <v>0.0</v>
      </c>
      <c r="N94" s="33">
        <f>COUNTIFS('Data For Calculation - Insuranc'!A:A,A94,'Data For Calculation - Insuranc'!D:D,"Individual",'Data For Calculation - Insuranc'!E:E,"Bundled - 1 Year OD + 5 Year TP")</f>
        <v>0</v>
      </c>
      <c r="O94" s="34" t="s">
        <v>3930</v>
      </c>
      <c r="P94" s="42" t="s">
        <v>3817</v>
      </c>
      <c r="Q94" s="43">
        <v>460.0</v>
      </c>
      <c r="R94" s="42" t="s">
        <v>3853</v>
      </c>
      <c r="S94" s="43">
        <v>0.0</v>
      </c>
      <c r="T94" s="43">
        <v>100.0</v>
      </c>
      <c r="U94" s="43">
        <v>0.0</v>
      </c>
      <c r="V94" s="43">
        <v>0.0</v>
      </c>
      <c r="W94" s="33">
        <f>COUNTIFS('Data For Calculation - Insuranc'!A:A,A94,'Data For Calculation - Insuranc'!D:D,"Company",'Data For Calculation - Insuranc'!E:E,"Bundled - 1 Year OD + 5 Year TP")</f>
        <v>0</v>
      </c>
      <c r="X94" s="34" t="s">
        <v>3929</v>
      </c>
      <c r="Y94" s="42" t="s">
        <v>3817</v>
      </c>
      <c r="Z94" s="31">
        <v>290.0</v>
      </c>
      <c r="AA94" s="34" t="s">
        <v>3853</v>
      </c>
      <c r="AB94" s="34">
        <v>0.0</v>
      </c>
      <c r="AC94" s="34">
        <v>100.0</v>
      </c>
      <c r="AD94" s="34">
        <v>0.0</v>
      </c>
      <c r="AE94" s="34">
        <v>0.0</v>
      </c>
      <c r="AF94" s="33">
        <f>COUNTIFS('Data For Calculation - Insuranc'!A:A,A94,'Data For Calculation - Insuranc'!D:D,"Individual",'Data For Calculation - Insuranc'!E:E,"Rollover Comprehensive - 1 Year OD + 1 Year TP")</f>
        <v>0</v>
      </c>
      <c r="AG94" s="34" t="s">
        <v>3930</v>
      </c>
      <c r="AH94" s="42" t="s">
        <v>3817</v>
      </c>
      <c r="AI94" s="31">
        <v>290.0</v>
      </c>
      <c r="AJ94" s="34" t="s">
        <v>3853</v>
      </c>
      <c r="AK94" s="34">
        <v>0.0</v>
      </c>
      <c r="AL94" s="34">
        <v>100.0</v>
      </c>
      <c r="AM94" s="34">
        <v>0.0</v>
      </c>
      <c r="AN94" s="34">
        <v>0.0</v>
      </c>
      <c r="AO94" s="33">
        <f>COUNTIFS('Data For Calculation - Insuranc'!A:A,A94,'Data For Calculation - Insuranc'!D:D,"Company",'Data For Calculation - Insuranc'!E:E,"Rollover Comprehensive - 1 Year OD + 1 Year TP")</f>
        <v>0</v>
      </c>
      <c r="AP94" s="34" t="s">
        <v>3931</v>
      </c>
      <c r="AQ94" s="42" t="s">
        <v>3817</v>
      </c>
      <c r="AR94" s="31">
        <v>290.0</v>
      </c>
      <c r="AS94" s="34" t="s">
        <v>3853</v>
      </c>
      <c r="AT94" s="34">
        <v>0.0</v>
      </c>
      <c r="AU94" s="34">
        <v>100.0</v>
      </c>
      <c r="AV94" s="34">
        <v>0.0</v>
      </c>
      <c r="AW94" s="34">
        <v>0.0</v>
      </c>
      <c r="AX94" s="33">
        <f>COUNTIFS('Data For Calculation - Insuranc'!A:A,A94,'Data For Calculation - Insuranc'!D:D,"Individual",'Data For Calculation - Insuranc'!E:E,"Rollover - 1 Year OD Only")</f>
        <v>0</v>
      </c>
      <c r="AY94" s="34" t="s">
        <v>3932</v>
      </c>
      <c r="AZ94" s="42" t="s">
        <v>3817</v>
      </c>
      <c r="BA94" s="31">
        <v>290.0</v>
      </c>
      <c r="BB94" s="34" t="s">
        <v>3853</v>
      </c>
      <c r="BC94" s="34">
        <v>0.0</v>
      </c>
      <c r="BD94" s="34">
        <v>100.0</v>
      </c>
      <c r="BE94" s="34">
        <v>0.0</v>
      </c>
      <c r="BF94" s="34">
        <v>0.0</v>
      </c>
      <c r="BG94" s="33">
        <f>COUNTIFS('Data For Calculation - Insuranc'!A:A,A94,'Data For Calculation - Insuranc'!D:D,"Company",'Data For Calculation - Insuranc'!E:E,"Rollover - 1 Year OD Only")</f>
        <v>0</v>
      </c>
      <c r="BH94" s="34" t="s">
        <v>3931</v>
      </c>
      <c r="BI94" s="42" t="s">
        <v>3817</v>
      </c>
      <c r="BJ94" s="31">
        <v>290.0</v>
      </c>
      <c r="BK94" s="34" t="s">
        <v>3853</v>
      </c>
      <c r="BL94" s="34">
        <v>0.0</v>
      </c>
      <c r="BM94" s="34">
        <v>100.0</v>
      </c>
      <c r="BN94" s="34">
        <v>0.0</v>
      </c>
      <c r="BO94" s="34">
        <v>0.0</v>
      </c>
      <c r="BP94" s="33">
        <f>COUNTIFS('Data For Calculation - Insuranc'!A:A,A94,'Data For Calculation - Insuranc'!D:D,"Individual",'Data For Calculation - Insuranc'!E:E,"Rollover - 1 Year TP Only")</f>
        <v>0</v>
      </c>
      <c r="BQ94" s="34" t="s">
        <v>3932</v>
      </c>
      <c r="BR94" s="42" t="s">
        <v>3817</v>
      </c>
      <c r="BS94" s="31">
        <v>290.0</v>
      </c>
      <c r="BT94" s="34" t="s">
        <v>3853</v>
      </c>
      <c r="BU94" s="34">
        <v>0.0</v>
      </c>
      <c r="BV94" s="34">
        <v>100.0</v>
      </c>
      <c r="BW94" s="34">
        <v>0.0</v>
      </c>
      <c r="BX94" s="34">
        <v>0.0</v>
      </c>
      <c r="BY94" s="33">
        <f>COUNTIFS('Data For Calculation - Insuranc'!A:A,A94,'Data For Calculation - Insuranc'!D:D,"Company",'Data For Calculation - Insuranc'!E:E,"Rollover - 1 Year TP Only")</f>
        <v>0</v>
      </c>
      <c r="BZ94" s="31">
        <f t="shared" si="1"/>
        <v>0</v>
      </c>
      <c r="CA94" s="33">
        <f>SUMIFS('Data For Calculation - Insuranc'!I:I,'Data For Calculation - Insuranc'!$A:$A,$A94)</f>
        <v>0</v>
      </c>
      <c r="CB94" s="33">
        <f>SUMIFS('Data For Calculation - Insuranc'!J:J,'Data For Calculation - Insuranc'!$A:$A,$A94)</f>
        <v>0</v>
      </c>
      <c r="CC94" s="33">
        <f>SUMIFS('Data For Calculation - Insuranc'!K:K,'Data For Calculation - Insuranc'!$A:$A,$A94)</f>
        <v>0</v>
      </c>
      <c r="CD94" s="33">
        <f>IF($CK94 = "Dealer", SUMIFS('Data For Calculation - Insuranc'!I:I,'Data For Calculation - Insuranc'!$B:$B,$A94,'Data For Calculation - Insuranc'!$H:$H,"Master Dealer")) + SUMIFS('Data For Calculation - Insuranc'!I:I,'Data For Calculation - Insuranc'!$A:$A,$A94,'Data For Calculation - Insuranc'!$H:$H,"Self")</f>
        <v>0</v>
      </c>
      <c r="CE94" s="33">
        <f>IF($CK94 = "Dealer", SUMIFS('Data For Calculation - Insuranc'!J:J,'Data For Calculation - Insuranc'!$B:$B,$A94,'Data For Calculation - Insuranc'!$H:$H,"Master Dealer")) + SUMIFS('Data For Calculation - Insuranc'!J:J,'Data For Calculation - Insuranc'!$A:$A,$A94,'Data For Calculation - Insuranc'!$H:$H,"Self")</f>
        <v>0</v>
      </c>
      <c r="CF94" s="33">
        <f>IF($CK94 = "Dealer", SUMIFS('Data For Calculation - Insuranc'!K:K,'Data For Calculation - Insuranc'!$B:$B,$A94,'Data For Calculation - Insuranc'!$H:$H,"Master Dealer")) + SUMIFS('Data For Calculation - Insuranc'!K:K,'Data For Calculation - Insuranc'!$A:$A,$A94,'Data For Calculation - Insuranc'!$H:$H,"Self")</f>
        <v>0</v>
      </c>
      <c r="CG94" s="25" t="str">
        <f>(Sheet1!N94)</f>
        <v>LAKSHMI AUTOMOBILES - GHARAUNDA</v>
      </c>
      <c r="CH94" s="25" t="str">
        <f>(Sheet1!O94)</f>
        <v>1-Ht1VJM8lu7HceWxxtL7iafzmbHFLLgtLF3OJk7V8IQ</v>
      </c>
      <c r="CI94" s="25" t="str">
        <f>(Sheet1!AV94)</f>
        <v/>
      </c>
      <c r="CJ94" s="25" t="str">
        <f>(Sheet1!AW94)</f>
        <v/>
      </c>
      <c r="CK94" s="26" t="str">
        <f>(Sheet1!P94)</f>
        <v>Dealer</v>
      </c>
    </row>
    <row r="95">
      <c r="A95" s="25" t="str">
        <f>(Sheet1!A95)</f>
        <v>1Wxkr9M9brzH_Qd8RBgAFdg3jgvfV-5e6mlbAaitWxss</v>
      </c>
      <c r="B95" s="25" t="str">
        <f>(Sheet1!B95)</f>
        <v>Testing Ravi</v>
      </c>
      <c r="C95" s="30" t="str">
        <f>Sheet1!BB95</f>
        <v>No</v>
      </c>
      <c r="D95" s="30" t="s">
        <v>13</v>
      </c>
      <c r="E95" s="34" t="s">
        <v>13</v>
      </c>
      <c r="F95" s="34" t="s">
        <v>3929</v>
      </c>
      <c r="G95" s="42" t="s">
        <v>3817</v>
      </c>
      <c r="H95" s="43">
        <v>460.0</v>
      </c>
      <c r="I95" s="42" t="s">
        <v>3853</v>
      </c>
      <c r="J95" s="43">
        <v>0.0</v>
      </c>
      <c r="K95" s="43">
        <v>100.0</v>
      </c>
      <c r="L95" s="43">
        <v>0.0</v>
      </c>
      <c r="M95" s="43">
        <v>0.0</v>
      </c>
      <c r="N95" s="33">
        <f>COUNTIFS('Data For Calculation - Insuranc'!A:A,A95,'Data For Calculation - Insuranc'!D:D,"Individual",'Data For Calculation - Insuranc'!E:E,"Bundled - 1 Year OD + 5 Year TP")</f>
        <v>0</v>
      </c>
      <c r="O95" s="34" t="s">
        <v>3930</v>
      </c>
      <c r="P95" s="42" t="s">
        <v>3817</v>
      </c>
      <c r="Q95" s="43">
        <v>460.0</v>
      </c>
      <c r="R95" s="42" t="s">
        <v>3853</v>
      </c>
      <c r="S95" s="43">
        <v>0.0</v>
      </c>
      <c r="T95" s="43">
        <v>100.0</v>
      </c>
      <c r="U95" s="43">
        <v>0.0</v>
      </c>
      <c r="V95" s="43">
        <v>0.0</v>
      </c>
      <c r="W95" s="33">
        <f>COUNTIFS('Data For Calculation - Insuranc'!A:A,A95,'Data For Calculation - Insuranc'!D:D,"Company",'Data For Calculation - Insuranc'!E:E,"Bundled - 1 Year OD + 5 Year TP")</f>
        <v>0</v>
      </c>
      <c r="X95" s="34" t="s">
        <v>3929</v>
      </c>
      <c r="Y95" s="42" t="s">
        <v>3817</v>
      </c>
      <c r="Z95" s="31">
        <v>290.0</v>
      </c>
      <c r="AA95" s="34" t="s">
        <v>3853</v>
      </c>
      <c r="AB95" s="34">
        <v>0.0</v>
      </c>
      <c r="AC95" s="34">
        <v>100.0</v>
      </c>
      <c r="AD95" s="34">
        <v>0.0</v>
      </c>
      <c r="AE95" s="34">
        <v>0.0</v>
      </c>
      <c r="AF95" s="33">
        <f>COUNTIFS('Data For Calculation - Insuranc'!A:A,A95,'Data For Calculation - Insuranc'!D:D,"Individual",'Data For Calculation - Insuranc'!E:E,"Rollover Comprehensive - 1 Year OD + 1 Year TP")</f>
        <v>0</v>
      </c>
      <c r="AG95" s="34" t="s">
        <v>3930</v>
      </c>
      <c r="AH95" s="42" t="s">
        <v>3817</v>
      </c>
      <c r="AI95" s="31">
        <v>290.0</v>
      </c>
      <c r="AJ95" s="34" t="s">
        <v>3853</v>
      </c>
      <c r="AK95" s="34">
        <v>0.0</v>
      </c>
      <c r="AL95" s="34">
        <v>100.0</v>
      </c>
      <c r="AM95" s="34">
        <v>0.0</v>
      </c>
      <c r="AN95" s="34">
        <v>0.0</v>
      </c>
      <c r="AO95" s="33">
        <f>COUNTIFS('Data For Calculation - Insuranc'!A:A,A95,'Data For Calculation - Insuranc'!D:D,"Company",'Data For Calculation - Insuranc'!E:E,"Rollover Comprehensive - 1 Year OD + 1 Year TP")</f>
        <v>0</v>
      </c>
      <c r="AP95" s="34" t="s">
        <v>3931</v>
      </c>
      <c r="AQ95" s="42" t="s">
        <v>3817</v>
      </c>
      <c r="AR95" s="31">
        <v>290.0</v>
      </c>
      <c r="AS95" s="34" t="s">
        <v>3853</v>
      </c>
      <c r="AT95" s="34">
        <v>0.0</v>
      </c>
      <c r="AU95" s="34">
        <v>100.0</v>
      </c>
      <c r="AV95" s="34">
        <v>0.0</v>
      </c>
      <c r="AW95" s="34">
        <v>0.0</v>
      </c>
      <c r="AX95" s="33">
        <f>COUNTIFS('Data For Calculation - Insuranc'!A:A,A95,'Data For Calculation - Insuranc'!D:D,"Individual",'Data For Calculation - Insuranc'!E:E,"Rollover - 1 Year OD Only")</f>
        <v>0</v>
      </c>
      <c r="AY95" s="34" t="s">
        <v>3932</v>
      </c>
      <c r="AZ95" s="42" t="s">
        <v>3817</v>
      </c>
      <c r="BA95" s="31">
        <v>290.0</v>
      </c>
      <c r="BB95" s="34" t="s">
        <v>3853</v>
      </c>
      <c r="BC95" s="34">
        <v>0.0</v>
      </c>
      <c r="BD95" s="34">
        <v>100.0</v>
      </c>
      <c r="BE95" s="34">
        <v>0.0</v>
      </c>
      <c r="BF95" s="34">
        <v>0.0</v>
      </c>
      <c r="BG95" s="33">
        <f>COUNTIFS('Data For Calculation - Insuranc'!A:A,A95,'Data For Calculation - Insuranc'!D:D,"Company",'Data For Calculation - Insuranc'!E:E,"Rollover - 1 Year OD Only")</f>
        <v>0</v>
      </c>
      <c r="BH95" s="34" t="s">
        <v>3931</v>
      </c>
      <c r="BI95" s="42" t="s">
        <v>3817</v>
      </c>
      <c r="BJ95" s="31">
        <v>290.0</v>
      </c>
      <c r="BK95" s="34" t="s">
        <v>3853</v>
      </c>
      <c r="BL95" s="34">
        <v>0.0</v>
      </c>
      <c r="BM95" s="34">
        <v>100.0</v>
      </c>
      <c r="BN95" s="34">
        <v>0.0</v>
      </c>
      <c r="BO95" s="34">
        <v>0.0</v>
      </c>
      <c r="BP95" s="33">
        <f>COUNTIFS('Data For Calculation - Insuranc'!A:A,A95,'Data For Calculation - Insuranc'!D:D,"Individual",'Data For Calculation - Insuranc'!E:E,"Rollover - 1 Year TP Only")</f>
        <v>0</v>
      </c>
      <c r="BQ95" s="34" t="s">
        <v>3932</v>
      </c>
      <c r="BR95" s="42" t="s">
        <v>3817</v>
      </c>
      <c r="BS95" s="31">
        <v>290.0</v>
      </c>
      <c r="BT95" s="34" t="s">
        <v>3853</v>
      </c>
      <c r="BU95" s="34">
        <v>0.0</v>
      </c>
      <c r="BV95" s="34">
        <v>100.0</v>
      </c>
      <c r="BW95" s="34">
        <v>0.0</v>
      </c>
      <c r="BX95" s="34">
        <v>0.0</v>
      </c>
      <c r="BY95" s="33">
        <f>COUNTIFS('Data For Calculation - Insuranc'!A:A,A95,'Data For Calculation - Insuranc'!D:D,"Company",'Data For Calculation - Insuranc'!E:E,"Rollover - 1 Year TP Only")</f>
        <v>0</v>
      </c>
      <c r="BZ95" s="31">
        <f t="shared" si="1"/>
        <v>0</v>
      </c>
      <c r="CA95" s="33">
        <f>SUMIFS('Data For Calculation - Insuranc'!I:I,'Data For Calculation - Insuranc'!$A:$A,$A95)</f>
        <v>0</v>
      </c>
      <c r="CB95" s="33">
        <f>SUMIFS('Data For Calculation - Insuranc'!J:J,'Data For Calculation - Insuranc'!$A:$A,$A95)</f>
        <v>0</v>
      </c>
      <c r="CC95" s="33">
        <f>SUMIFS('Data For Calculation - Insuranc'!K:K,'Data For Calculation - Insuranc'!$A:$A,$A95)</f>
        <v>0</v>
      </c>
      <c r="CD95" s="33">
        <f>IF($CK95 = "Dealer", SUMIFS('Data For Calculation - Insuranc'!I:I,'Data For Calculation - Insuranc'!$B:$B,$A95,'Data For Calculation - Insuranc'!$H:$H,"Master Dealer")) + SUMIFS('Data For Calculation - Insuranc'!I:I,'Data For Calculation - Insuranc'!$A:$A,$A95,'Data For Calculation - Insuranc'!$H:$H,"Self")</f>
        <v>0</v>
      </c>
      <c r="CE95" s="33">
        <f>IF($CK95 = "Dealer", SUMIFS('Data For Calculation - Insuranc'!J:J,'Data For Calculation - Insuranc'!$B:$B,$A95,'Data For Calculation - Insuranc'!$H:$H,"Master Dealer")) + SUMIFS('Data For Calculation - Insuranc'!J:J,'Data For Calculation - Insuranc'!$A:$A,$A95,'Data For Calculation - Insuranc'!$H:$H,"Self")</f>
        <v>0</v>
      </c>
      <c r="CF95" s="33">
        <f>IF($CK95 = "Dealer", SUMIFS('Data For Calculation - Insuranc'!K:K,'Data For Calculation - Insuranc'!$B:$B,$A95,'Data For Calculation - Insuranc'!$H:$H,"Master Dealer")) + SUMIFS('Data For Calculation - Insuranc'!K:K,'Data For Calculation - Insuranc'!$A:$A,$A95,'Data For Calculation - Insuranc'!$H:$H,"Self")</f>
        <v>0</v>
      </c>
      <c r="CG95" s="25" t="str">
        <f>(Sheet1!N95)</f>
        <v>Testing Ravi</v>
      </c>
      <c r="CH95" s="25" t="str">
        <f>(Sheet1!O95)</f>
        <v>1Wxkr9M9brzH_Qd8RBgAFdg3jgvfV-5e6mlbAaitWxss</v>
      </c>
      <c r="CI95" s="25" t="str">
        <f>(Sheet1!AV95)</f>
        <v/>
      </c>
      <c r="CJ95" s="25" t="str">
        <f>(Sheet1!AW95)</f>
        <v/>
      </c>
      <c r="CK95" s="26" t="str">
        <f>(Sheet1!P95)</f>
        <v>Dealer</v>
      </c>
    </row>
    <row r="96">
      <c r="A96" s="25" t="str">
        <f>(Sheet1!A96)</f>
        <v>1KaEmNIMK0XXiIsA6XQ7GNELp4AsXjf8BnThrJvzVk2Q</v>
      </c>
      <c r="B96" s="25" t="str">
        <f>(Sheet1!B96)</f>
        <v>National Automobile - Jind</v>
      </c>
      <c r="C96" s="30" t="str">
        <f>Sheet1!BB96</f>
        <v>No</v>
      </c>
      <c r="D96" s="30" t="s">
        <v>13</v>
      </c>
      <c r="E96" s="34" t="s">
        <v>13</v>
      </c>
      <c r="F96" s="34" t="s">
        <v>3929</v>
      </c>
      <c r="G96" s="42" t="s">
        <v>3817</v>
      </c>
      <c r="H96" s="43">
        <v>460.0</v>
      </c>
      <c r="I96" s="42" t="s">
        <v>3853</v>
      </c>
      <c r="J96" s="43">
        <v>0.0</v>
      </c>
      <c r="K96" s="43">
        <v>100.0</v>
      </c>
      <c r="L96" s="43">
        <v>0.0</v>
      </c>
      <c r="M96" s="43">
        <v>0.0</v>
      </c>
      <c r="N96" s="33">
        <f>COUNTIFS('Data For Calculation - Insuranc'!A:A,A96,'Data For Calculation - Insuranc'!D:D,"Individual",'Data For Calculation - Insuranc'!E:E,"Bundled - 1 Year OD + 5 Year TP")</f>
        <v>0</v>
      </c>
      <c r="O96" s="34" t="s">
        <v>3930</v>
      </c>
      <c r="P96" s="42" t="s">
        <v>3817</v>
      </c>
      <c r="Q96" s="43">
        <v>460.0</v>
      </c>
      <c r="R96" s="42" t="s">
        <v>3853</v>
      </c>
      <c r="S96" s="43">
        <v>0.0</v>
      </c>
      <c r="T96" s="43">
        <v>100.0</v>
      </c>
      <c r="U96" s="43">
        <v>0.0</v>
      </c>
      <c r="V96" s="43">
        <v>0.0</v>
      </c>
      <c r="W96" s="33">
        <f>COUNTIFS('Data For Calculation - Insuranc'!A:A,A96,'Data For Calculation - Insuranc'!D:D,"Company",'Data For Calculation - Insuranc'!E:E,"Bundled - 1 Year OD + 5 Year TP")</f>
        <v>0</v>
      </c>
      <c r="X96" s="34" t="s">
        <v>3929</v>
      </c>
      <c r="Y96" s="42" t="s">
        <v>3817</v>
      </c>
      <c r="Z96" s="31">
        <v>290.0</v>
      </c>
      <c r="AA96" s="34" t="s">
        <v>3853</v>
      </c>
      <c r="AB96" s="34">
        <v>0.0</v>
      </c>
      <c r="AC96" s="34">
        <v>100.0</v>
      </c>
      <c r="AD96" s="34">
        <v>0.0</v>
      </c>
      <c r="AE96" s="34">
        <v>0.0</v>
      </c>
      <c r="AF96" s="33">
        <f>COUNTIFS('Data For Calculation - Insuranc'!A:A,A96,'Data For Calculation - Insuranc'!D:D,"Individual",'Data For Calculation - Insuranc'!E:E,"Rollover Comprehensive - 1 Year OD + 1 Year TP")</f>
        <v>0</v>
      </c>
      <c r="AG96" s="34" t="s">
        <v>3930</v>
      </c>
      <c r="AH96" s="42" t="s">
        <v>3817</v>
      </c>
      <c r="AI96" s="31">
        <v>290.0</v>
      </c>
      <c r="AJ96" s="34" t="s">
        <v>3853</v>
      </c>
      <c r="AK96" s="34">
        <v>0.0</v>
      </c>
      <c r="AL96" s="34">
        <v>100.0</v>
      </c>
      <c r="AM96" s="34">
        <v>0.0</v>
      </c>
      <c r="AN96" s="34">
        <v>0.0</v>
      </c>
      <c r="AO96" s="33">
        <f>COUNTIFS('Data For Calculation - Insuranc'!A:A,A96,'Data For Calculation - Insuranc'!D:D,"Company",'Data For Calculation - Insuranc'!E:E,"Rollover Comprehensive - 1 Year OD + 1 Year TP")</f>
        <v>0</v>
      </c>
      <c r="AP96" s="34" t="s">
        <v>3931</v>
      </c>
      <c r="AQ96" s="42" t="s">
        <v>3817</v>
      </c>
      <c r="AR96" s="31">
        <v>290.0</v>
      </c>
      <c r="AS96" s="34" t="s">
        <v>3853</v>
      </c>
      <c r="AT96" s="34">
        <v>0.0</v>
      </c>
      <c r="AU96" s="34">
        <v>100.0</v>
      </c>
      <c r="AV96" s="34">
        <v>0.0</v>
      </c>
      <c r="AW96" s="34">
        <v>0.0</v>
      </c>
      <c r="AX96" s="33">
        <f>COUNTIFS('Data For Calculation - Insuranc'!A:A,A96,'Data For Calculation - Insuranc'!D:D,"Individual",'Data For Calculation - Insuranc'!E:E,"Rollover - 1 Year OD Only")</f>
        <v>0</v>
      </c>
      <c r="AY96" s="34" t="s">
        <v>3932</v>
      </c>
      <c r="AZ96" s="42" t="s">
        <v>3817</v>
      </c>
      <c r="BA96" s="31">
        <v>290.0</v>
      </c>
      <c r="BB96" s="34" t="s">
        <v>3853</v>
      </c>
      <c r="BC96" s="34">
        <v>0.0</v>
      </c>
      <c r="BD96" s="34">
        <v>100.0</v>
      </c>
      <c r="BE96" s="34">
        <v>0.0</v>
      </c>
      <c r="BF96" s="34">
        <v>0.0</v>
      </c>
      <c r="BG96" s="33">
        <f>COUNTIFS('Data For Calculation - Insuranc'!A:A,A96,'Data For Calculation - Insuranc'!D:D,"Company",'Data For Calculation - Insuranc'!E:E,"Rollover - 1 Year OD Only")</f>
        <v>0</v>
      </c>
      <c r="BH96" s="34" t="s">
        <v>3931</v>
      </c>
      <c r="BI96" s="42" t="s">
        <v>3817</v>
      </c>
      <c r="BJ96" s="31">
        <v>290.0</v>
      </c>
      <c r="BK96" s="34" t="s">
        <v>3853</v>
      </c>
      <c r="BL96" s="34">
        <v>0.0</v>
      </c>
      <c r="BM96" s="34">
        <v>100.0</v>
      </c>
      <c r="BN96" s="34">
        <v>0.0</v>
      </c>
      <c r="BO96" s="34">
        <v>0.0</v>
      </c>
      <c r="BP96" s="33">
        <f>COUNTIFS('Data For Calculation - Insuranc'!A:A,A96,'Data For Calculation - Insuranc'!D:D,"Individual",'Data For Calculation - Insuranc'!E:E,"Rollover - 1 Year TP Only")</f>
        <v>0</v>
      </c>
      <c r="BQ96" s="34" t="s">
        <v>3932</v>
      </c>
      <c r="BR96" s="42" t="s">
        <v>3817</v>
      </c>
      <c r="BS96" s="31">
        <v>290.0</v>
      </c>
      <c r="BT96" s="34" t="s">
        <v>3853</v>
      </c>
      <c r="BU96" s="34">
        <v>0.0</v>
      </c>
      <c r="BV96" s="34">
        <v>100.0</v>
      </c>
      <c r="BW96" s="34">
        <v>0.0</v>
      </c>
      <c r="BX96" s="34">
        <v>0.0</v>
      </c>
      <c r="BY96" s="33">
        <f>COUNTIFS('Data For Calculation - Insuranc'!A:A,A96,'Data For Calculation - Insuranc'!D:D,"Company",'Data For Calculation - Insuranc'!E:E,"Rollover - 1 Year TP Only")</f>
        <v>0</v>
      </c>
      <c r="BZ96" s="31">
        <f t="shared" si="1"/>
        <v>0</v>
      </c>
      <c r="CA96" s="33">
        <f>SUMIFS('Data For Calculation - Insuranc'!I:I,'Data For Calculation - Insuranc'!$A:$A,$A96)</f>
        <v>0</v>
      </c>
      <c r="CB96" s="33">
        <f>SUMIFS('Data For Calculation - Insuranc'!J:J,'Data For Calculation - Insuranc'!$A:$A,$A96)</f>
        <v>0</v>
      </c>
      <c r="CC96" s="33">
        <f>SUMIFS('Data For Calculation - Insuranc'!K:K,'Data For Calculation - Insuranc'!$A:$A,$A96)</f>
        <v>0</v>
      </c>
      <c r="CD96" s="33">
        <f>IF($CK96 = "Dealer", SUMIFS('Data For Calculation - Insuranc'!I:I,'Data For Calculation - Insuranc'!$B:$B,$A96,'Data For Calculation - Insuranc'!$H:$H,"Master Dealer")) + SUMIFS('Data For Calculation - Insuranc'!I:I,'Data For Calculation - Insuranc'!$A:$A,$A96,'Data For Calculation - Insuranc'!$H:$H,"Self")</f>
        <v>0</v>
      </c>
      <c r="CE96" s="33">
        <f>IF($CK96 = "Dealer", SUMIFS('Data For Calculation - Insuranc'!J:J,'Data For Calculation - Insuranc'!$B:$B,$A96,'Data For Calculation - Insuranc'!$H:$H,"Master Dealer")) + SUMIFS('Data For Calculation - Insuranc'!J:J,'Data For Calculation - Insuranc'!$A:$A,$A96,'Data For Calculation - Insuranc'!$H:$H,"Self")</f>
        <v>0</v>
      </c>
      <c r="CF96" s="33">
        <f>IF($CK96 = "Dealer", SUMIFS('Data For Calculation - Insuranc'!K:K,'Data For Calculation - Insuranc'!$B:$B,$A96,'Data For Calculation - Insuranc'!$H:$H,"Master Dealer")) + SUMIFS('Data For Calculation - Insuranc'!K:K,'Data For Calculation - Insuranc'!$A:$A,$A96,'Data For Calculation - Insuranc'!$H:$H,"Self")</f>
        <v>0</v>
      </c>
      <c r="CG96" s="25" t="str">
        <f>(Sheet1!N96)</f>
        <v>National Automobile - Jind</v>
      </c>
      <c r="CH96" s="25" t="str">
        <f>(Sheet1!O96)</f>
        <v>1KaEmNIMK0XXiIsA6XQ7GNELp4AsXjf8BnThrJvzVk2Q</v>
      </c>
      <c r="CI96" s="25" t="str">
        <f>(Sheet1!AV96)</f>
        <v/>
      </c>
      <c r="CJ96" s="25" t="str">
        <f>(Sheet1!AW96)</f>
        <v/>
      </c>
      <c r="CK96" s="26" t="str">
        <f>(Sheet1!P96)</f>
        <v>Dealer</v>
      </c>
    </row>
    <row r="97">
      <c r="A97" s="25" t="str">
        <f>(Sheet1!A97)</f>
        <v>1kk6retEj7a8ElwHKY3kD7Cti9VMfyX-Nt8jZobYqikg</v>
      </c>
      <c r="B97" s="25" t="str">
        <f>(Sheet1!B97)</f>
        <v>Karan Automobiles - Dabwali</v>
      </c>
      <c r="C97" s="30" t="str">
        <f>Sheet1!BB97</f>
        <v>No</v>
      </c>
      <c r="D97" s="30" t="s">
        <v>13</v>
      </c>
      <c r="E97" s="34" t="s">
        <v>13</v>
      </c>
      <c r="F97" s="34" t="s">
        <v>3929</v>
      </c>
      <c r="G97" s="42" t="s">
        <v>3817</v>
      </c>
      <c r="H97" s="43">
        <v>460.0</v>
      </c>
      <c r="I97" s="42" t="s">
        <v>3853</v>
      </c>
      <c r="J97" s="43">
        <v>0.0</v>
      </c>
      <c r="K97" s="43">
        <v>100.0</v>
      </c>
      <c r="L97" s="43">
        <v>0.0</v>
      </c>
      <c r="M97" s="43">
        <v>0.0</v>
      </c>
      <c r="N97" s="33">
        <f>COUNTIFS('Data For Calculation - Insuranc'!A:A,A97,'Data For Calculation - Insuranc'!D:D,"Individual",'Data For Calculation - Insuranc'!E:E,"Bundled - 1 Year OD + 5 Year TP")</f>
        <v>0</v>
      </c>
      <c r="O97" s="34" t="s">
        <v>3930</v>
      </c>
      <c r="P97" s="42" t="s">
        <v>3817</v>
      </c>
      <c r="Q97" s="43">
        <v>460.0</v>
      </c>
      <c r="R97" s="42" t="s">
        <v>3853</v>
      </c>
      <c r="S97" s="43">
        <v>0.0</v>
      </c>
      <c r="T97" s="43">
        <v>100.0</v>
      </c>
      <c r="U97" s="43">
        <v>0.0</v>
      </c>
      <c r="V97" s="43">
        <v>0.0</v>
      </c>
      <c r="W97" s="33">
        <f>COUNTIFS('Data For Calculation - Insuranc'!A:A,A97,'Data For Calculation - Insuranc'!D:D,"Company",'Data For Calculation - Insuranc'!E:E,"Bundled - 1 Year OD + 5 Year TP")</f>
        <v>0</v>
      </c>
      <c r="X97" s="34" t="s">
        <v>3929</v>
      </c>
      <c r="Y97" s="42" t="s">
        <v>3817</v>
      </c>
      <c r="Z97" s="31">
        <v>290.0</v>
      </c>
      <c r="AA97" s="34" t="s">
        <v>3853</v>
      </c>
      <c r="AB97" s="34">
        <v>0.0</v>
      </c>
      <c r="AC97" s="34">
        <v>100.0</v>
      </c>
      <c r="AD97" s="34">
        <v>0.0</v>
      </c>
      <c r="AE97" s="34">
        <v>0.0</v>
      </c>
      <c r="AF97" s="33">
        <f>COUNTIFS('Data For Calculation - Insuranc'!A:A,A97,'Data For Calculation - Insuranc'!D:D,"Individual",'Data For Calculation - Insuranc'!E:E,"Rollover Comprehensive - 1 Year OD + 1 Year TP")</f>
        <v>0</v>
      </c>
      <c r="AG97" s="34" t="s">
        <v>3930</v>
      </c>
      <c r="AH97" s="42" t="s">
        <v>3817</v>
      </c>
      <c r="AI97" s="31">
        <v>290.0</v>
      </c>
      <c r="AJ97" s="34" t="s">
        <v>3853</v>
      </c>
      <c r="AK97" s="34">
        <v>0.0</v>
      </c>
      <c r="AL97" s="34">
        <v>100.0</v>
      </c>
      <c r="AM97" s="34">
        <v>0.0</v>
      </c>
      <c r="AN97" s="34">
        <v>0.0</v>
      </c>
      <c r="AO97" s="33">
        <f>COUNTIFS('Data For Calculation - Insuranc'!A:A,A97,'Data For Calculation - Insuranc'!D:D,"Company",'Data For Calculation - Insuranc'!E:E,"Rollover Comprehensive - 1 Year OD + 1 Year TP")</f>
        <v>0</v>
      </c>
      <c r="AP97" s="34" t="s">
        <v>3931</v>
      </c>
      <c r="AQ97" s="42" t="s">
        <v>3817</v>
      </c>
      <c r="AR97" s="31">
        <v>290.0</v>
      </c>
      <c r="AS97" s="34" t="s">
        <v>3853</v>
      </c>
      <c r="AT97" s="34">
        <v>0.0</v>
      </c>
      <c r="AU97" s="34">
        <v>100.0</v>
      </c>
      <c r="AV97" s="34">
        <v>0.0</v>
      </c>
      <c r="AW97" s="34">
        <v>0.0</v>
      </c>
      <c r="AX97" s="33">
        <f>COUNTIFS('Data For Calculation - Insuranc'!A:A,A97,'Data For Calculation - Insuranc'!D:D,"Individual",'Data For Calculation - Insuranc'!E:E,"Rollover - 1 Year OD Only")</f>
        <v>0</v>
      </c>
      <c r="AY97" s="34" t="s">
        <v>3932</v>
      </c>
      <c r="AZ97" s="42" t="s">
        <v>3817</v>
      </c>
      <c r="BA97" s="31">
        <v>290.0</v>
      </c>
      <c r="BB97" s="34" t="s">
        <v>3853</v>
      </c>
      <c r="BC97" s="34">
        <v>0.0</v>
      </c>
      <c r="BD97" s="34">
        <v>100.0</v>
      </c>
      <c r="BE97" s="34">
        <v>0.0</v>
      </c>
      <c r="BF97" s="34">
        <v>0.0</v>
      </c>
      <c r="BG97" s="33">
        <f>COUNTIFS('Data For Calculation - Insuranc'!A:A,A97,'Data For Calculation - Insuranc'!D:D,"Company",'Data For Calculation - Insuranc'!E:E,"Rollover - 1 Year OD Only")</f>
        <v>0</v>
      </c>
      <c r="BH97" s="34" t="s">
        <v>3931</v>
      </c>
      <c r="BI97" s="42" t="s">
        <v>3817</v>
      </c>
      <c r="BJ97" s="31">
        <v>290.0</v>
      </c>
      <c r="BK97" s="34" t="s">
        <v>3853</v>
      </c>
      <c r="BL97" s="34">
        <v>0.0</v>
      </c>
      <c r="BM97" s="34">
        <v>100.0</v>
      </c>
      <c r="BN97" s="34">
        <v>0.0</v>
      </c>
      <c r="BO97" s="34">
        <v>0.0</v>
      </c>
      <c r="BP97" s="33">
        <f>COUNTIFS('Data For Calculation - Insuranc'!A:A,A97,'Data For Calculation - Insuranc'!D:D,"Individual",'Data For Calculation - Insuranc'!E:E,"Rollover - 1 Year TP Only")</f>
        <v>0</v>
      </c>
      <c r="BQ97" s="34" t="s">
        <v>3932</v>
      </c>
      <c r="BR97" s="42" t="s">
        <v>3817</v>
      </c>
      <c r="BS97" s="31">
        <v>290.0</v>
      </c>
      <c r="BT97" s="34" t="s">
        <v>3853</v>
      </c>
      <c r="BU97" s="34">
        <v>0.0</v>
      </c>
      <c r="BV97" s="34">
        <v>100.0</v>
      </c>
      <c r="BW97" s="34">
        <v>0.0</v>
      </c>
      <c r="BX97" s="34">
        <v>0.0</v>
      </c>
      <c r="BY97" s="33">
        <f>COUNTIFS('Data For Calculation - Insuranc'!A:A,A97,'Data For Calculation - Insuranc'!D:D,"Company",'Data For Calculation - Insuranc'!E:E,"Rollover - 1 Year TP Only")</f>
        <v>0</v>
      </c>
      <c r="BZ97" s="31">
        <f t="shared" si="1"/>
        <v>0</v>
      </c>
      <c r="CA97" s="33">
        <f>SUMIFS('Data For Calculation - Insuranc'!I:I,'Data For Calculation - Insuranc'!$A:$A,$A97)</f>
        <v>0</v>
      </c>
      <c r="CB97" s="33">
        <f>SUMIFS('Data For Calculation - Insuranc'!J:J,'Data For Calculation - Insuranc'!$A:$A,$A97)</f>
        <v>0</v>
      </c>
      <c r="CC97" s="33">
        <f>SUMIFS('Data For Calculation - Insuranc'!K:K,'Data For Calculation - Insuranc'!$A:$A,$A97)</f>
        <v>0</v>
      </c>
      <c r="CD97" s="33">
        <f>IF($CK97 = "Dealer", SUMIFS('Data For Calculation - Insuranc'!I:I,'Data For Calculation - Insuranc'!$B:$B,$A97,'Data For Calculation - Insuranc'!$H:$H,"Master Dealer")) + SUMIFS('Data For Calculation - Insuranc'!I:I,'Data For Calculation - Insuranc'!$A:$A,$A97,'Data For Calculation - Insuranc'!$H:$H,"Self")</f>
        <v>0</v>
      </c>
      <c r="CE97" s="33">
        <f>IF($CK97 = "Dealer", SUMIFS('Data For Calculation - Insuranc'!J:J,'Data For Calculation - Insuranc'!$B:$B,$A97,'Data For Calculation - Insuranc'!$H:$H,"Master Dealer")) + SUMIFS('Data For Calculation - Insuranc'!J:J,'Data For Calculation - Insuranc'!$A:$A,$A97,'Data For Calculation - Insuranc'!$H:$H,"Self")</f>
        <v>0</v>
      </c>
      <c r="CF97" s="33">
        <f>IF($CK97 = "Dealer", SUMIFS('Data For Calculation - Insuranc'!K:K,'Data For Calculation - Insuranc'!$B:$B,$A97,'Data For Calculation - Insuranc'!$H:$H,"Master Dealer")) + SUMIFS('Data For Calculation - Insuranc'!K:K,'Data For Calculation - Insuranc'!$A:$A,$A97,'Data For Calculation - Insuranc'!$H:$H,"Self")</f>
        <v>0</v>
      </c>
      <c r="CG97" s="25" t="str">
        <f>(Sheet1!N97)</f>
        <v>Karan Automobiles - Dabwali</v>
      </c>
      <c r="CH97" s="25" t="str">
        <f>(Sheet1!O97)</f>
        <v>1kk6retEj7a8ElwHKY3kD7Cti9VMfyX-Nt8jZobYqikg</v>
      </c>
      <c r="CI97" s="25" t="str">
        <f>(Sheet1!AV97)</f>
        <v/>
      </c>
      <c r="CJ97" s="25" t="str">
        <f>(Sheet1!AW97)</f>
        <v/>
      </c>
      <c r="CK97" s="26" t="str">
        <f>(Sheet1!P97)</f>
        <v>Dealer</v>
      </c>
    </row>
    <row r="98">
      <c r="A98" s="25" t="str">
        <f>(Sheet1!A98)</f>
        <v>13RsJ1T_W8o2VNE9w100mgEYjOaU-1jlpABRILPpMAjs</v>
      </c>
      <c r="B98" s="25" t="str">
        <f>(Sheet1!B98)</f>
        <v>Ajit Automobiles - Ellenabad</v>
      </c>
      <c r="C98" s="30" t="str">
        <f>Sheet1!BB98</f>
        <v>No</v>
      </c>
      <c r="D98" s="30" t="s">
        <v>13</v>
      </c>
      <c r="E98" s="34" t="s">
        <v>13</v>
      </c>
      <c r="F98" s="34" t="s">
        <v>3929</v>
      </c>
      <c r="G98" s="42" t="s">
        <v>3817</v>
      </c>
      <c r="H98" s="43">
        <v>460.0</v>
      </c>
      <c r="I98" s="42" t="s">
        <v>3853</v>
      </c>
      <c r="J98" s="43">
        <v>0.0</v>
      </c>
      <c r="K98" s="43">
        <v>100.0</v>
      </c>
      <c r="L98" s="43">
        <v>0.0</v>
      </c>
      <c r="M98" s="43">
        <v>0.0</v>
      </c>
      <c r="N98" s="33">
        <f>COUNTIFS('Data For Calculation - Insuranc'!A:A,A98,'Data For Calculation - Insuranc'!D:D,"Individual",'Data For Calculation - Insuranc'!E:E,"Bundled - 1 Year OD + 5 Year TP")</f>
        <v>0</v>
      </c>
      <c r="O98" s="34" t="s">
        <v>3930</v>
      </c>
      <c r="P98" s="42" t="s">
        <v>3817</v>
      </c>
      <c r="Q98" s="43">
        <v>460.0</v>
      </c>
      <c r="R98" s="42" t="s">
        <v>3853</v>
      </c>
      <c r="S98" s="43">
        <v>0.0</v>
      </c>
      <c r="T98" s="43">
        <v>100.0</v>
      </c>
      <c r="U98" s="43">
        <v>0.0</v>
      </c>
      <c r="V98" s="43">
        <v>0.0</v>
      </c>
      <c r="W98" s="33">
        <f>COUNTIFS('Data For Calculation - Insuranc'!A:A,A98,'Data For Calculation - Insuranc'!D:D,"Company",'Data For Calculation - Insuranc'!E:E,"Bundled - 1 Year OD + 5 Year TP")</f>
        <v>0</v>
      </c>
      <c r="X98" s="34" t="s">
        <v>3929</v>
      </c>
      <c r="Y98" s="42" t="s">
        <v>3817</v>
      </c>
      <c r="Z98" s="31">
        <v>290.0</v>
      </c>
      <c r="AA98" s="34" t="s">
        <v>3853</v>
      </c>
      <c r="AB98" s="34">
        <v>0.0</v>
      </c>
      <c r="AC98" s="34">
        <v>100.0</v>
      </c>
      <c r="AD98" s="34">
        <v>0.0</v>
      </c>
      <c r="AE98" s="34">
        <v>0.0</v>
      </c>
      <c r="AF98" s="33">
        <f>COUNTIFS('Data For Calculation - Insuranc'!A:A,A98,'Data For Calculation - Insuranc'!D:D,"Individual",'Data For Calculation - Insuranc'!E:E,"Rollover Comprehensive - 1 Year OD + 1 Year TP")</f>
        <v>0</v>
      </c>
      <c r="AG98" s="34" t="s">
        <v>3930</v>
      </c>
      <c r="AH98" s="42" t="s">
        <v>3817</v>
      </c>
      <c r="AI98" s="31">
        <v>290.0</v>
      </c>
      <c r="AJ98" s="34" t="s">
        <v>3853</v>
      </c>
      <c r="AK98" s="34">
        <v>0.0</v>
      </c>
      <c r="AL98" s="34">
        <v>100.0</v>
      </c>
      <c r="AM98" s="34">
        <v>0.0</v>
      </c>
      <c r="AN98" s="34">
        <v>0.0</v>
      </c>
      <c r="AO98" s="33">
        <f>COUNTIFS('Data For Calculation - Insuranc'!A:A,A98,'Data For Calculation - Insuranc'!D:D,"Company",'Data For Calculation - Insuranc'!E:E,"Rollover Comprehensive - 1 Year OD + 1 Year TP")</f>
        <v>0</v>
      </c>
      <c r="AP98" s="34" t="s">
        <v>3931</v>
      </c>
      <c r="AQ98" s="42" t="s">
        <v>3817</v>
      </c>
      <c r="AR98" s="31">
        <v>290.0</v>
      </c>
      <c r="AS98" s="34" t="s">
        <v>3853</v>
      </c>
      <c r="AT98" s="34">
        <v>0.0</v>
      </c>
      <c r="AU98" s="34">
        <v>100.0</v>
      </c>
      <c r="AV98" s="34">
        <v>0.0</v>
      </c>
      <c r="AW98" s="34">
        <v>0.0</v>
      </c>
      <c r="AX98" s="33">
        <f>COUNTIFS('Data For Calculation - Insuranc'!A:A,A98,'Data For Calculation - Insuranc'!D:D,"Individual",'Data For Calculation - Insuranc'!E:E,"Rollover - 1 Year OD Only")</f>
        <v>0</v>
      </c>
      <c r="AY98" s="34" t="s">
        <v>3932</v>
      </c>
      <c r="AZ98" s="42" t="s">
        <v>3817</v>
      </c>
      <c r="BA98" s="31">
        <v>290.0</v>
      </c>
      <c r="BB98" s="34" t="s">
        <v>3853</v>
      </c>
      <c r="BC98" s="34">
        <v>0.0</v>
      </c>
      <c r="BD98" s="34">
        <v>100.0</v>
      </c>
      <c r="BE98" s="34">
        <v>0.0</v>
      </c>
      <c r="BF98" s="34">
        <v>0.0</v>
      </c>
      <c r="BG98" s="33">
        <f>COUNTIFS('Data For Calculation - Insuranc'!A:A,A98,'Data For Calculation - Insuranc'!D:D,"Company",'Data For Calculation - Insuranc'!E:E,"Rollover - 1 Year OD Only")</f>
        <v>0</v>
      </c>
      <c r="BH98" s="34" t="s">
        <v>3931</v>
      </c>
      <c r="BI98" s="42" t="s">
        <v>3817</v>
      </c>
      <c r="BJ98" s="31">
        <v>290.0</v>
      </c>
      <c r="BK98" s="34" t="s">
        <v>3853</v>
      </c>
      <c r="BL98" s="34">
        <v>0.0</v>
      </c>
      <c r="BM98" s="34">
        <v>100.0</v>
      </c>
      <c r="BN98" s="34">
        <v>0.0</v>
      </c>
      <c r="BO98" s="34">
        <v>0.0</v>
      </c>
      <c r="BP98" s="33">
        <f>COUNTIFS('Data For Calculation - Insuranc'!A:A,A98,'Data For Calculation - Insuranc'!D:D,"Individual",'Data For Calculation - Insuranc'!E:E,"Rollover - 1 Year TP Only")</f>
        <v>0</v>
      </c>
      <c r="BQ98" s="34" t="s">
        <v>3932</v>
      </c>
      <c r="BR98" s="42" t="s">
        <v>3817</v>
      </c>
      <c r="BS98" s="31">
        <v>290.0</v>
      </c>
      <c r="BT98" s="34" t="s">
        <v>3853</v>
      </c>
      <c r="BU98" s="34">
        <v>0.0</v>
      </c>
      <c r="BV98" s="34">
        <v>100.0</v>
      </c>
      <c r="BW98" s="34">
        <v>0.0</v>
      </c>
      <c r="BX98" s="34">
        <v>0.0</v>
      </c>
      <c r="BY98" s="33">
        <f>COUNTIFS('Data For Calculation - Insuranc'!A:A,A98,'Data For Calculation - Insuranc'!D:D,"Company",'Data For Calculation - Insuranc'!E:E,"Rollover - 1 Year TP Only")</f>
        <v>0</v>
      </c>
      <c r="BZ98" s="31">
        <f t="shared" si="1"/>
        <v>0</v>
      </c>
      <c r="CA98" s="33">
        <f>SUMIFS('Data For Calculation - Insuranc'!I:I,'Data For Calculation - Insuranc'!$A:$A,$A98)</f>
        <v>0</v>
      </c>
      <c r="CB98" s="33">
        <f>SUMIFS('Data For Calculation - Insuranc'!J:J,'Data For Calculation - Insuranc'!$A:$A,$A98)</f>
        <v>0</v>
      </c>
      <c r="CC98" s="33">
        <f>SUMIFS('Data For Calculation - Insuranc'!K:K,'Data For Calculation - Insuranc'!$A:$A,$A98)</f>
        <v>0</v>
      </c>
      <c r="CD98" s="33">
        <f>IF($CK98 = "Dealer", SUMIFS('Data For Calculation - Insuranc'!I:I,'Data For Calculation - Insuranc'!$B:$B,$A98,'Data For Calculation - Insuranc'!$H:$H,"Master Dealer")) + SUMIFS('Data For Calculation - Insuranc'!I:I,'Data For Calculation - Insuranc'!$A:$A,$A98,'Data For Calculation - Insuranc'!$H:$H,"Self")</f>
        <v>0</v>
      </c>
      <c r="CE98" s="33">
        <f>IF($CK98 = "Dealer", SUMIFS('Data For Calculation - Insuranc'!J:J,'Data For Calculation - Insuranc'!$B:$B,$A98,'Data For Calculation - Insuranc'!$H:$H,"Master Dealer")) + SUMIFS('Data For Calculation - Insuranc'!J:J,'Data For Calculation - Insuranc'!$A:$A,$A98,'Data For Calculation - Insuranc'!$H:$H,"Self")</f>
        <v>0</v>
      </c>
      <c r="CF98" s="33">
        <f>IF($CK98 = "Dealer", SUMIFS('Data For Calculation - Insuranc'!K:K,'Data For Calculation - Insuranc'!$B:$B,$A98,'Data For Calculation - Insuranc'!$H:$H,"Master Dealer")) + SUMIFS('Data For Calculation - Insuranc'!K:K,'Data For Calculation - Insuranc'!$A:$A,$A98,'Data For Calculation - Insuranc'!$H:$H,"Self")</f>
        <v>0</v>
      </c>
      <c r="CG98" s="25" t="str">
        <f>(Sheet1!N98)</f>
        <v>Ajit Automobiles - Ellenabad</v>
      </c>
      <c r="CH98" s="25" t="str">
        <f>(Sheet1!O98)</f>
        <v>13RsJ1T_W8o2VNE9w100mgEYjOaU-1jlpABRILPpMAjs</v>
      </c>
      <c r="CI98" s="25" t="str">
        <f>(Sheet1!AV98)</f>
        <v/>
      </c>
      <c r="CJ98" s="25" t="str">
        <f>(Sheet1!AW98)</f>
        <v/>
      </c>
      <c r="CK98" s="26" t="str">
        <f>(Sheet1!P98)</f>
        <v>Dealer</v>
      </c>
    </row>
    <row r="99">
      <c r="A99" s="25" t="str">
        <f>(Sheet1!A99)</f>
        <v>1nEWA1qF6Gna7lK-YjdC89uY5m1GPuTi_8hhe6AxW12M</v>
      </c>
      <c r="B99" s="25" t="str">
        <f>(Sheet1!B99)</f>
        <v>Shivam Auto - Rohtak</v>
      </c>
      <c r="C99" s="30" t="str">
        <f>Sheet1!BB99</f>
        <v>No</v>
      </c>
      <c r="D99" s="30" t="s">
        <v>13</v>
      </c>
      <c r="E99" s="34" t="s">
        <v>13</v>
      </c>
      <c r="F99" s="34" t="s">
        <v>3929</v>
      </c>
      <c r="G99" s="42" t="s">
        <v>3820</v>
      </c>
      <c r="H99" s="43">
        <v>0.0</v>
      </c>
      <c r="I99" s="42" t="s">
        <v>3853</v>
      </c>
      <c r="J99" s="43">
        <v>0.0</v>
      </c>
      <c r="K99" s="43">
        <v>100.0</v>
      </c>
      <c r="L99" s="43">
        <v>0.0</v>
      </c>
      <c r="M99" s="43">
        <v>0.0</v>
      </c>
      <c r="N99" s="33">
        <f>COUNTIFS('Data For Calculation - Insuranc'!A:A,A99,'Data For Calculation - Insuranc'!D:D,"Individual",'Data For Calculation - Insuranc'!E:E,"Bundled - 1 Year OD + 5 Year TP")</f>
        <v>0</v>
      </c>
      <c r="O99" s="34" t="s">
        <v>3930</v>
      </c>
      <c r="P99" s="42" t="s">
        <v>3820</v>
      </c>
      <c r="Q99" s="43">
        <v>0.0</v>
      </c>
      <c r="R99" s="42" t="s">
        <v>3853</v>
      </c>
      <c r="S99" s="43">
        <v>0.0</v>
      </c>
      <c r="T99" s="43">
        <v>100.0</v>
      </c>
      <c r="U99" s="43">
        <v>0.0</v>
      </c>
      <c r="V99" s="43">
        <v>0.0</v>
      </c>
      <c r="W99" s="33">
        <f>COUNTIFS('Data For Calculation - Insuranc'!A:A,A99,'Data For Calculation - Insuranc'!D:D,"Company",'Data For Calculation - Insuranc'!E:E,"Bundled - 1 Year OD + 5 Year TP")</f>
        <v>0</v>
      </c>
      <c r="X99" s="34" t="s">
        <v>3929</v>
      </c>
      <c r="Y99" s="42" t="s">
        <v>3820</v>
      </c>
      <c r="Z99" s="31">
        <v>0.0</v>
      </c>
      <c r="AA99" s="34" t="s">
        <v>3853</v>
      </c>
      <c r="AB99" s="34">
        <v>0.0</v>
      </c>
      <c r="AC99" s="34">
        <v>100.0</v>
      </c>
      <c r="AD99" s="34">
        <v>0.0</v>
      </c>
      <c r="AE99" s="34">
        <v>0.0</v>
      </c>
      <c r="AF99" s="33">
        <f>COUNTIFS('Data For Calculation - Insuranc'!A:A,A99,'Data For Calculation - Insuranc'!D:D,"Individual",'Data For Calculation - Insuranc'!E:E,"Rollover Comprehensive - 1 Year OD + 1 Year TP")</f>
        <v>0</v>
      </c>
      <c r="AG99" s="34" t="s">
        <v>3930</v>
      </c>
      <c r="AH99" s="42" t="s">
        <v>3820</v>
      </c>
      <c r="AI99" s="31">
        <v>0.0</v>
      </c>
      <c r="AJ99" s="34" t="s">
        <v>3853</v>
      </c>
      <c r="AK99" s="34">
        <v>0.0</v>
      </c>
      <c r="AL99" s="34">
        <v>100.0</v>
      </c>
      <c r="AM99" s="34">
        <v>0.0</v>
      </c>
      <c r="AN99" s="34">
        <v>0.0</v>
      </c>
      <c r="AO99" s="33">
        <f>COUNTIFS('Data For Calculation - Insuranc'!A:A,A99,'Data For Calculation - Insuranc'!D:D,"Company",'Data For Calculation - Insuranc'!E:E,"Rollover Comprehensive - 1 Year OD + 1 Year TP")</f>
        <v>0</v>
      </c>
      <c r="AP99" s="34" t="s">
        <v>3931</v>
      </c>
      <c r="AQ99" s="42" t="s">
        <v>3820</v>
      </c>
      <c r="AR99" s="31">
        <v>0.0</v>
      </c>
      <c r="AS99" s="34" t="s">
        <v>3853</v>
      </c>
      <c r="AT99" s="34">
        <v>0.0</v>
      </c>
      <c r="AU99" s="34">
        <v>100.0</v>
      </c>
      <c r="AV99" s="34">
        <v>0.0</v>
      </c>
      <c r="AW99" s="34">
        <v>0.0</v>
      </c>
      <c r="AX99" s="33">
        <f>COUNTIFS('Data For Calculation - Insuranc'!A:A,A99,'Data For Calculation - Insuranc'!D:D,"Individual",'Data For Calculation - Insuranc'!E:E,"Rollover - 1 Year OD Only")</f>
        <v>0</v>
      </c>
      <c r="AY99" s="34" t="s">
        <v>3932</v>
      </c>
      <c r="AZ99" s="42" t="s">
        <v>3820</v>
      </c>
      <c r="BA99" s="31">
        <v>0.0</v>
      </c>
      <c r="BB99" s="34" t="s">
        <v>3853</v>
      </c>
      <c r="BC99" s="34">
        <v>0.0</v>
      </c>
      <c r="BD99" s="34">
        <v>100.0</v>
      </c>
      <c r="BE99" s="34">
        <v>0.0</v>
      </c>
      <c r="BF99" s="34">
        <v>0.0</v>
      </c>
      <c r="BG99" s="33">
        <f>COUNTIFS('Data For Calculation - Insuranc'!A:A,A99,'Data For Calculation - Insuranc'!D:D,"Company",'Data For Calculation - Insuranc'!E:E,"Rollover - 1 Year OD Only")</f>
        <v>0</v>
      </c>
      <c r="BH99" s="34" t="s">
        <v>3931</v>
      </c>
      <c r="BI99" s="42" t="s">
        <v>3820</v>
      </c>
      <c r="BJ99" s="31">
        <v>0.0</v>
      </c>
      <c r="BK99" s="34" t="s">
        <v>3853</v>
      </c>
      <c r="BL99" s="34">
        <v>0.0</v>
      </c>
      <c r="BM99" s="34">
        <v>100.0</v>
      </c>
      <c r="BN99" s="34">
        <v>0.0</v>
      </c>
      <c r="BO99" s="34">
        <v>0.0</v>
      </c>
      <c r="BP99" s="33">
        <f>COUNTIFS('Data For Calculation - Insuranc'!A:A,A99,'Data For Calculation - Insuranc'!D:D,"Individual",'Data For Calculation - Insuranc'!E:E,"Rollover - 1 Year TP Only")</f>
        <v>0</v>
      </c>
      <c r="BQ99" s="34" t="s">
        <v>3932</v>
      </c>
      <c r="BR99" s="42" t="s">
        <v>3820</v>
      </c>
      <c r="BS99" s="31">
        <v>0.0</v>
      </c>
      <c r="BT99" s="34" t="s">
        <v>3853</v>
      </c>
      <c r="BU99" s="34">
        <v>0.0</v>
      </c>
      <c r="BV99" s="34">
        <v>100.0</v>
      </c>
      <c r="BW99" s="34">
        <v>0.0</v>
      </c>
      <c r="BX99" s="34">
        <v>0.0</v>
      </c>
      <c r="BY99" s="33">
        <f>COUNTIFS('Data For Calculation - Insuranc'!A:A,A99,'Data For Calculation - Insuranc'!D:D,"Company",'Data For Calculation - Insuranc'!E:E,"Rollover - 1 Year TP Only")</f>
        <v>0</v>
      </c>
      <c r="BZ99" s="31">
        <f t="shared" si="1"/>
        <v>0</v>
      </c>
      <c r="CA99" s="33">
        <f>SUMIFS('Data For Calculation - Insuranc'!I:I,'Data For Calculation - Insuranc'!$A:$A,$A99)</f>
        <v>0</v>
      </c>
      <c r="CB99" s="33">
        <f>SUMIFS('Data For Calculation - Insuranc'!J:J,'Data For Calculation - Insuranc'!$A:$A,$A99)</f>
        <v>0</v>
      </c>
      <c r="CC99" s="33">
        <f>SUMIFS('Data For Calculation - Insuranc'!K:K,'Data For Calculation - Insuranc'!$A:$A,$A99)</f>
        <v>0</v>
      </c>
      <c r="CD99" s="33">
        <f>IF($CK99 = "Dealer", SUMIFS('Data For Calculation - Insuranc'!I:I,'Data For Calculation - Insuranc'!$B:$B,$A99,'Data For Calculation - Insuranc'!$H:$H,"Master Dealer")) + SUMIFS('Data For Calculation - Insuranc'!I:I,'Data For Calculation - Insuranc'!$A:$A,$A99,'Data For Calculation - Insuranc'!$H:$H,"Self")</f>
        <v>0</v>
      </c>
      <c r="CE99" s="33">
        <f>IF($CK99 = "Dealer", SUMIFS('Data For Calculation - Insuranc'!J:J,'Data For Calculation - Insuranc'!$B:$B,$A99,'Data For Calculation - Insuranc'!$H:$H,"Master Dealer")) + SUMIFS('Data For Calculation - Insuranc'!J:J,'Data For Calculation - Insuranc'!$A:$A,$A99,'Data For Calculation - Insuranc'!$H:$H,"Self")</f>
        <v>0</v>
      </c>
      <c r="CF99" s="33">
        <f>IF($CK99 = "Dealer", SUMIFS('Data For Calculation - Insuranc'!K:K,'Data For Calculation - Insuranc'!$B:$B,$A99,'Data For Calculation - Insuranc'!$H:$H,"Master Dealer")) + SUMIFS('Data For Calculation - Insuranc'!K:K,'Data For Calculation - Insuranc'!$A:$A,$A99,'Data For Calculation - Insuranc'!$H:$H,"Self")</f>
        <v>0</v>
      </c>
      <c r="CG99" s="25" t="str">
        <f>(Sheet1!N99)</f>
        <v>Shivam Auto - Rohtak</v>
      </c>
      <c r="CH99" s="25" t="str">
        <f>(Sheet1!O99)</f>
        <v>1nEWA1qF6Gna7lK-YjdC89uY5m1GPuTi_8hhe6AxW12M</v>
      </c>
      <c r="CI99" s="25" t="str">
        <f>(Sheet1!AV99)</f>
        <v/>
      </c>
      <c r="CJ99" s="25" t="str">
        <f>(Sheet1!AW99)</f>
        <v/>
      </c>
      <c r="CK99" s="26" t="str">
        <f>(Sheet1!P99)</f>
        <v>Dealer</v>
      </c>
    </row>
    <row r="100">
      <c r="A100" s="25" t="str">
        <f>(Sheet1!A100)</f>
        <v>1ajtc9H9LQaAwROSG0sPyjJHA38yC9DyS1xGLXYi7kSg</v>
      </c>
      <c r="B100" s="25" t="str">
        <f>(Sheet1!B100)</f>
        <v>Singla Auto Agency- Tilpata</v>
      </c>
      <c r="C100" s="30" t="str">
        <f>Sheet1!BB100</f>
        <v>No</v>
      </c>
      <c r="D100" s="30" t="s">
        <v>13</v>
      </c>
      <c r="E100" s="34" t="s">
        <v>13</v>
      </c>
      <c r="F100" s="34" t="s">
        <v>3929</v>
      </c>
      <c r="G100" s="42" t="s">
        <v>3820</v>
      </c>
      <c r="H100" s="43">
        <v>460.0</v>
      </c>
      <c r="I100" s="42" t="s">
        <v>3853</v>
      </c>
      <c r="J100" s="43">
        <v>0.0</v>
      </c>
      <c r="K100" s="43">
        <v>100.0</v>
      </c>
      <c r="L100" s="43">
        <v>0.0</v>
      </c>
      <c r="M100" s="43">
        <v>0.0</v>
      </c>
      <c r="N100" s="33">
        <f>COUNTIFS('Data For Calculation - Insuranc'!A:A,A100,'Data For Calculation - Insuranc'!D:D,"Individual",'Data For Calculation - Insuranc'!E:E,"Bundled - 1 Year OD + 5 Year TP")</f>
        <v>0</v>
      </c>
      <c r="O100" s="34" t="s">
        <v>3930</v>
      </c>
      <c r="P100" s="42" t="s">
        <v>3820</v>
      </c>
      <c r="Q100" s="43">
        <v>460.0</v>
      </c>
      <c r="R100" s="42" t="s">
        <v>3853</v>
      </c>
      <c r="S100" s="43">
        <v>0.0</v>
      </c>
      <c r="T100" s="43">
        <v>100.0</v>
      </c>
      <c r="U100" s="43">
        <v>0.0</v>
      </c>
      <c r="V100" s="43">
        <v>0.0</v>
      </c>
      <c r="W100" s="33">
        <f>COUNTIFS('Data For Calculation - Insuranc'!A:A,A100,'Data For Calculation - Insuranc'!D:D,"Company",'Data For Calculation - Insuranc'!E:E,"Bundled - 1 Year OD + 5 Year TP")</f>
        <v>0</v>
      </c>
      <c r="X100" s="34" t="s">
        <v>3929</v>
      </c>
      <c r="Y100" s="42" t="s">
        <v>3820</v>
      </c>
      <c r="Z100" s="31">
        <v>290.0</v>
      </c>
      <c r="AA100" s="34" t="s">
        <v>3853</v>
      </c>
      <c r="AB100" s="34">
        <v>0.0</v>
      </c>
      <c r="AC100" s="34">
        <v>100.0</v>
      </c>
      <c r="AD100" s="34">
        <v>0.0</v>
      </c>
      <c r="AE100" s="34">
        <v>0.0</v>
      </c>
      <c r="AF100" s="33">
        <f>COUNTIFS('Data For Calculation - Insuranc'!A:A,A100,'Data For Calculation - Insuranc'!D:D,"Individual",'Data For Calculation - Insuranc'!E:E,"Rollover Comprehensive - 1 Year OD + 1 Year TP")</f>
        <v>0</v>
      </c>
      <c r="AG100" s="34" t="s">
        <v>3930</v>
      </c>
      <c r="AH100" s="42" t="s">
        <v>3820</v>
      </c>
      <c r="AI100" s="31">
        <v>290.0</v>
      </c>
      <c r="AJ100" s="34" t="s">
        <v>3853</v>
      </c>
      <c r="AK100" s="34">
        <v>0.0</v>
      </c>
      <c r="AL100" s="34">
        <v>100.0</v>
      </c>
      <c r="AM100" s="34">
        <v>0.0</v>
      </c>
      <c r="AN100" s="34">
        <v>0.0</v>
      </c>
      <c r="AO100" s="33">
        <f>COUNTIFS('Data For Calculation - Insuranc'!A:A,A100,'Data For Calculation - Insuranc'!D:D,"Company",'Data For Calculation - Insuranc'!E:E,"Rollover Comprehensive - 1 Year OD + 1 Year TP")</f>
        <v>0</v>
      </c>
      <c r="AP100" s="34" t="s">
        <v>3931</v>
      </c>
      <c r="AQ100" s="42" t="s">
        <v>3820</v>
      </c>
      <c r="AR100" s="31">
        <v>290.0</v>
      </c>
      <c r="AS100" s="34" t="s">
        <v>3853</v>
      </c>
      <c r="AT100" s="34">
        <v>0.0</v>
      </c>
      <c r="AU100" s="34">
        <v>100.0</v>
      </c>
      <c r="AV100" s="34">
        <v>0.0</v>
      </c>
      <c r="AW100" s="34">
        <v>0.0</v>
      </c>
      <c r="AX100" s="33">
        <f>COUNTIFS('Data For Calculation - Insuranc'!A:A,A100,'Data For Calculation - Insuranc'!D:D,"Individual",'Data For Calculation - Insuranc'!E:E,"Rollover - 1 Year OD Only")</f>
        <v>0</v>
      </c>
      <c r="AY100" s="34" t="s">
        <v>3932</v>
      </c>
      <c r="AZ100" s="42" t="s">
        <v>3820</v>
      </c>
      <c r="BA100" s="31">
        <v>290.0</v>
      </c>
      <c r="BB100" s="34" t="s">
        <v>3853</v>
      </c>
      <c r="BC100" s="34">
        <v>0.0</v>
      </c>
      <c r="BD100" s="34">
        <v>100.0</v>
      </c>
      <c r="BE100" s="34">
        <v>0.0</v>
      </c>
      <c r="BF100" s="34">
        <v>0.0</v>
      </c>
      <c r="BG100" s="33">
        <f>COUNTIFS('Data For Calculation - Insuranc'!A:A,A100,'Data For Calculation - Insuranc'!D:D,"Company",'Data For Calculation - Insuranc'!E:E,"Rollover - 1 Year OD Only")</f>
        <v>0</v>
      </c>
      <c r="BH100" s="34" t="s">
        <v>3931</v>
      </c>
      <c r="BI100" s="42" t="s">
        <v>3820</v>
      </c>
      <c r="BJ100" s="31">
        <v>290.0</v>
      </c>
      <c r="BK100" s="34" t="s">
        <v>3853</v>
      </c>
      <c r="BL100" s="34">
        <v>0.0</v>
      </c>
      <c r="BM100" s="34">
        <v>100.0</v>
      </c>
      <c r="BN100" s="34">
        <v>0.0</v>
      </c>
      <c r="BO100" s="34">
        <v>0.0</v>
      </c>
      <c r="BP100" s="33">
        <f>COUNTIFS('Data For Calculation - Insuranc'!A:A,A100,'Data For Calculation - Insuranc'!D:D,"Individual",'Data For Calculation - Insuranc'!E:E,"Rollover - 1 Year TP Only")</f>
        <v>0</v>
      </c>
      <c r="BQ100" s="34" t="s">
        <v>3932</v>
      </c>
      <c r="BR100" s="42" t="s">
        <v>3820</v>
      </c>
      <c r="BS100" s="31">
        <v>290.0</v>
      </c>
      <c r="BT100" s="34" t="s">
        <v>3853</v>
      </c>
      <c r="BU100" s="34">
        <v>0.0</v>
      </c>
      <c r="BV100" s="34">
        <v>100.0</v>
      </c>
      <c r="BW100" s="34">
        <v>0.0</v>
      </c>
      <c r="BX100" s="34">
        <v>0.0</v>
      </c>
      <c r="BY100" s="33">
        <f>COUNTIFS('Data For Calculation - Insuranc'!A:A,A100,'Data For Calculation - Insuranc'!D:D,"Company",'Data For Calculation - Insuranc'!E:E,"Rollover - 1 Year TP Only")</f>
        <v>0</v>
      </c>
      <c r="BZ100" s="31">
        <f t="shared" si="1"/>
        <v>0</v>
      </c>
      <c r="CA100" s="33">
        <f>SUMIFS('Data For Calculation - Insuranc'!I:I,'Data For Calculation - Insuranc'!$A:$A,$A100)</f>
        <v>0</v>
      </c>
      <c r="CB100" s="33">
        <f>SUMIFS('Data For Calculation - Insuranc'!J:J,'Data For Calculation - Insuranc'!$A:$A,$A100)</f>
        <v>0</v>
      </c>
      <c r="CC100" s="33">
        <f>SUMIFS('Data For Calculation - Insuranc'!K:K,'Data For Calculation - Insuranc'!$A:$A,$A100)</f>
        <v>0</v>
      </c>
      <c r="CD100" s="33">
        <f>IF($CK100 = "Dealer", SUMIFS('Data For Calculation - Insuranc'!I:I,'Data For Calculation - Insuranc'!$B:$B,$A100,'Data For Calculation - Insuranc'!$H:$H,"Master Dealer")) + SUMIFS('Data For Calculation - Insuranc'!I:I,'Data For Calculation - Insuranc'!$A:$A,$A100,'Data For Calculation - Insuranc'!$H:$H,"Self")</f>
        <v>0</v>
      </c>
      <c r="CE100" s="33">
        <f>IF($CK100 = "Dealer", SUMIFS('Data For Calculation - Insuranc'!J:J,'Data For Calculation - Insuranc'!$B:$B,$A100,'Data For Calculation - Insuranc'!$H:$H,"Master Dealer")) + SUMIFS('Data For Calculation - Insuranc'!J:J,'Data For Calculation - Insuranc'!$A:$A,$A100,'Data For Calculation - Insuranc'!$H:$H,"Self")</f>
        <v>0</v>
      </c>
      <c r="CF100" s="33">
        <f>IF($CK100 = "Dealer", SUMIFS('Data For Calculation - Insuranc'!K:K,'Data For Calculation - Insuranc'!$B:$B,$A100,'Data For Calculation - Insuranc'!$H:$H,"Master Dealer")) + SUMIFS('Data For Calculation - Insuranc'!K:K,'Data For Calculation - Insuranc'!$A:$A,$A100,'Data For Calculation - Insuranc'!$H:$H,"Self")</f>
        <v>0</v>
      </c>
      <c r="CG100" s="25" t="str">
        <f>(Sheet1!N100)</f>
        <v>Singla Auto Agencies (Noida)</v>
      </c>
      <c r="CH100" s="25" t="str">
        <f>(Sheet1!O100)</f>
        <v>1aig_7rzTvnQej6pxtLbGhfZNPUH2VLzHk2NHcxmPOhg</v>
      </c>
      <c r="CI100" s="25" t="str">
        <f>(Sheet1!AV100)</f>
        <v/>
      </c>
      <c r="CJ100" s="25" t="str">
        <f>(Sheet1!AW100)</f>
        <v/>
      </c>
      <c r="CK100" s="26" t="str">
        <f>(Sheet1!P100)</f>
        <v>Sub Dealer</v>
      </c>
    </row>
    <row r="101">
      <c r="A101" s="25" t="str">
        <f>(Sheet1!A101)</f>
        <v>1RoojyyM-QnJWkU4BEw5RvwkrV0urtgRc4XGLN4gN_Y4</v>
      </c>
      <c r="B101" s="25" t="str">
        <f>(Sheet1!B101)</f>
        <v>Gaurav Automobiles - Safidon</v>
      </c>
      <c r="C101" s="30" t="str">
        <f>Sheet1!BB101</f>
        <v>No</v>
      </c>
      <c r="D101" s="30" t="s">
        <v>13</v>
      </c>
      <c r="E101" s="34" t="s">
        <v>13</v>
      </c>
      <c r="F101" s="34" t="s">
        <v>3929</v>
      </c>
      <c r="G101" s="42" t="s">
        <v>3817</v>
      </c>
      <c r="H101" s="43">
        <v>460.0</v>
      </c>
      <c r="I101" s="42" t="s">
        <v>3853</v>
      </c>
      <c r="J101" s="43">
        <v>0.0</v>
      </c>
      <c r="K101" s="43">
        <v>100.0</v>
      </c>
      <c r="L101" s="43">
        <v>0.0</v>
      </c>
      <c r="M101" s="43">
        <v>0.0</v>
      </c>
      <c r="N101" s="33">
        <f>COUNTIFS('Data For Calculation - Insuranc'!A:A,A101,'Data For Calculation - Insuranc'!D:D,"Individual",'Data For Calculation - Insuranc'!E:E,"Bundled - 1 Year OD + 5 Year TP")</f>
        <v>0</v>
      </c>
      <c r="O101" s="34" t="s">
        <v>3930</v>
      </c>
      <c r="P101" s="42" t="s">
        <v>3817</v>
      </c>
      <c r="Q101" s="43">
        <v>460.0</v>
      </c>
      <c r="R101" s="42" t="s">
        <v>3853</v>
      </c>
      <c r="S101" s="43">
        <v>0.0</v>
      </c>
      <c r="T101" s="43">
        <v>100.0</v>
      </c>
      <c r="U101" s="43">
        <v>0.0</v>
      </c>
      <c r="V101" s="43">
        <v>0.0</v>
      </c>
      <c r="W101" s="33">
        <f>COUNTIFS('Data For Calculation - Insuranc'!A:A,A101,'Data For Calculation - Insuranc'!D:D,"Company",'Data For Calculation - Insuranc'!E:E,"Bundled - 1 Year OD + 5 Year TP")</f>
        <v>0</v>
      </c>
      <c r="X101" s="34" t="s">
        <v>3929</v>
      </c>
      <c r="Y101" s="42" t="s">
        <v>3817</v>
      </c>
      <c r="Z101" s="31">
        <v>290.0</v>
      </c>
      <c r="AA101" s="34" t="s">
        <v>3853</v>
      </c>
      <c r="AB101" s="34">
        <v>0.0</v>
      </c>
      <c r="AC101" s="34">
        <v>100.0</v>
      </c>
      <c r="AD101" s="34">
        <v>0.0</v>
      </c>
      <c r="AE101" s="34">
        <v>0.0</v>
      </c>
      <c r="AF101" s="33">
        <f>COUNTIFS('Data For Calculation - Insuranc'!A:A,A101,'Data For Calculation - Insuranc'!D:D,"Individual",'Data For Calculation - Insuranc'!E:E,"Rollover Comprehensive - 1 Year OD + 1 Year TP")</f>
        <v>0</v>
      </c>
      <c r="AG101" s="34" t="s">
        <v>3930</v>
      </c>
      <c r="AH101" s="42" t="s">
        <v>3817</v>
      </c>
      <c r="AI101" s="31">
        <v>290.0</v>
      </c>
      <c r="AJ101" s="34" t="s">
        <v>3853</v>
      </c>
      <c r="AK101" s="34">
        <v>0.0</v>
      </c>
      <c r="AL101" s="34">
        <v>100.0</v>
      </c>
      <c r="AM101" s="34">
        <v>0.0</v>
      </c>
      <c r="AN101" s="34">
        <v>0.0</v>
      </c>
      <c r="AO101" s="33">
        <f>COUNTIFS('Data For Calculation - Insuranc'!A:A,A101,'Data For Calculation - Insuranc'!D:D,"Company",'Data For Calculation - Insuranc'!E:E,"Rollover Comprehensive - 1 Year OD + 1 Year TP")</f>
        <v>0</v>
      </c>
      <c r="AP101" s="34" t="s">
        <v>3931</v>
      </c>
      <c r="AQ101" s="42" t="s">
        <v>3817</v>
      </c>
      <c r="AR101" s="31">
        <v>290.0</v>
      </c>
      <c r="AS101" s="34" t="s">
        <v>3853</v>
      </c>
      <c r="AT101" s="34">
        <v>0.0</v>
      </c>
      <c r="AU101" s="34">
        <v>100.0</v>
      </c>
      <c r="AV101" s="34">
        <v>0.0</v>
      </c>
      <c r="AW101" s="34">
        <v>0.0</v>
      </c>
      <c r="AX101" s="33">
        <f>COUNTIFS('Data For Calculation - Insuranc'!A:A,A101,'Data For Calculation - Insuranc'!D:D,"Individual",'Data For Calculation - Insuranc'!E:E,"Rollover - 1 Year OD Only")</f>
        <v>0</v>
      </c>
      <c r="AY101" s="34" t="s">
        <v>3932</v>
      </c>
      <c r="AZ101" s="42" t="s">
        <v>3817</v>
      </c>
      <c r="BA101" s="31">
        <v>290.0</v>
      </c>
      <c r="BB101" s="34" t="s">
        <v>3853</v>
      </c>
      <c r="BC101" s="34">
        <v>0.0</v>
      </c>
      <c r="BD101" s="34">
        <v>100.0</v>
      </c>
      <c r="BE101" s="34">
        <v>0.0</v>
      </c>
      <c r="BF101" s="34">
        <v>0.0</v>
      </c>
      <c r="BG101" s="33">
        <f>COUNTIFS('Data For Calculation - Insuranc'!A:A,A101,'Data For Calculation - Insuranc'!D:D,"Company",'Data For Calculation - Insuranc'!E:E,"Rollover - 1 Year OD Only")</f>
        <v>0</v>
      </c>
      <c r="BH101" s="34" t="s">
        <v>3931</v>
      </c>
      <c r="BI101" s="42" t="s">
        <v>3817</v>
      </c>
      <c r="BJ101" s="31">
        <v>290.0</v>
      </c>
      <c r="BK101" s="34" t="s">
        <v>3853</v>
      </c>
      <c r="BL101" s="34">
        <v>0.0</v>
      </c>
      <c r="BM101" s="34">
        <v>100.0</v>
      </c>
      <c r="BN101" s="34">
        <v>0.0</v>
      </c>
      <c r="BO101" s="34">
        <v>0.0</v>
      </c>
      <c r="BP101" s="33">
        <f>COUNTIFS('Data For Calculation - Insuranc'!A:A,A101,'Data For Calculation - Insuranc'!D:D,"Individual",'Data For Calculation - Insuranc'!E:E,"Rollover - 1 Year TP Only")</f>
        <v>0</v>
      </c>
      <c r="BQ101" s="34" t="s">
        <v>3932</v>
      </c>
      <c r="BR101" s="42" t="s">
        <v>3817</v>
      </c>
      <c r="BS101" s="31">
        <v>290.0</v>
      </c>
      <c r="BT101" s="34" t="s">
        <v>3853</v>
      </c>
      <c r="BU101" s="34">
        <v>0.0</v>
      </c>
      <c r="BV101" s="34">
        <v>100.0</v>
      </c>
      <c r="BW101" s="34">
        <v>0.0</v>
      </c>
      <c r="BX101" s="34">
        <v>0.0</v>
      </c>
      <c r="BY101" s="33">
        <f>COUNTIFS('Data For Calculation - Insuranc'!A:A,A101,'Data For Calculation - Insuranc'!D:D,"Company",'Data For Calculation - Insuranc'!E:E,"Rollover - 1 Year TP Only")</f>
        <v>0</v>
      </c>
      <c r="BZ101" s="31">
        <f t="shared" si="1"/>
        <v>0</v>
      </c>
      <c r="CA101" s="33">
        <f>SUMIFS('Data For Calculation - Insuranc'!I:I,'Data For Calculation - Insuranc'!$A:$A,$A101)</f>
        <v>0</v>
      </c>
      <c r="CB101" s="33">
        <f>SUMIFS('Data For Calculation - Insuranc'!J:J,'Data For Calculation - Insuranc'!$A:$A,$A101)</f>
        <v>0</v>
      </c>
      <c r="CC101" s="33">
        <f>SUMIFS('Data For Calculation - Insuranc'!K:K,'Data For Calculation - Insuranc'!$A:$A,$A101)</f>
        <v>0</v>
      </c>
      <c r="CD101" s="33">
        <f>IF($CK101 = "Dealer", SUMIFS('Data For Calculation - Insuranc'!I:I,'Data For Calculation - Insuranc'!$B:$B,$A101,'Data For Calculation - Insuranc'!$H:$H,"Master Dealer")) + SUMIFS('Data For Calculation - Insuranc'!I:I,'Data For Calculation - Insuranc'!$A:$A,$A101,'Data For Calculation - Insuranc'!$H:$H,"Self")</f>
        <v>0</v>
      </c>
      <c r="CE101" s="33">
        <f>IF($CK101 = "Dealer", SUMIFS('Data For Calculation - Insuranc'!J:J,'Data For Calculation - Insuranc'!$B:$B,$A101,'Data For Calculation - Insuranc'!$H:$H,"Master Dealer")) + SUMIFS('Data For Calculation - Insuranc'!J:J,'Data For Calculation - Insuranc'!$A:$A,$A101,'Data For Calculation - Insuranc'!$H:$H,"Self")</f>
        <v>0</v>
      </c>
      <c r="CF101" s="33">
        <f>IF($CK101 = "Dealer", SUMIFS('Data For Calculation - Insuranc'!K:K,'Data For Calculation - Insuranc'!$B:$B,$A101,'Data For Calculation - Insuranc'!$H:$H,"Master Dealer")) + SUMIFS('Data For Calculation - Insuranc'!K:K,'Data For Calculation - Insuranc'!$A:$A,$A101,'Data For Calculation - Insuranc'!$H:$H,"Self")</f>
        <v>0</v>
      </c>
      <c r="CG101" s="25" t="str">
        <f>(Sheet1!N101)</f>
        <v>National Automobile - Jind</v>
      </c>
      <c r="CH101" s="25" t="str">
        <f>(Sheet1!O101)</f>
        <v>1KaEmNIMK0XXiIsA6XQ7GNELp4AsXjf8BnThrJvzVk2Q</v>
      </c>
      <c r="CI101" s="25" t="str">
        <f>(Sheet1!AV101)</f>
        <v/>
      </c>
      <c r="CJ101" s="25" t="str">
        <f>(Sheet1!AW101)</f>
        <v/>
      </c>
      <c r="CK101" s="26" t="str">
        <f>(Sheet1!P101)</f>
        <v>Sub Dealer</v>
      </c>
    </row>
    <row r="102">
      <c r="A102" s="25" t="str">
        <f>(Sheet1!A102)</f>
        <v>1mvO39KISdJTTFZrNPXYSBSiguynUfxnAQ_H-EBPwdG4</v>
      </c>
      <c r="B102" s="25" t="str">
        <f>(Sheet1!B102)</f>
        <v>KANHA MOTORS</v>
      </c>
      <c r="C102" s="30" t="str">
        <f>Sheet1!BB102</f>
        <v>No</v>
      </c>
      <c r="D102" s="30" t="s">
        <v>13</v>
      </c>
      <c r="E102" s="34" t="s">
        <v>13</v>
      </c>
      <c r="F102" s="34" t="s">
        <v>3929</v>
      </c>
      <c r="G102" s="42" t="s">
        <v>3820</v>
      </c>
      <c r="H102" s="43">
        <v>460.0</v>
      </c>
      <c r="I102" s="42" t="s">
        <v>3853</v>
      </c>
      <c r="J102" s="43">
        <v>0.0</v>
      </c>
      <c r="K102" s="43">
        <v>100.0</v>
      </c>
      <c r="L102" s="43">
        <v>0.0</v>
      </c>
      <c r="M102" s="43">
        <v>0.0</v>
      </c>
      <c r="N102" s="33">
        <f>COUNTIFS('Data For Calculation - Insuranc'!A:A,A102,'Data For Calculation - Insuranc'!D:D,"Individual",'Data For Calculation - Insuranc'!E:E,"Bundled - 1 Year OD + 5 Year TP")</f>
        <v>0</v>
      </c>
      <c r="O102" s="34" t="s">
        <v>3930</v>
      </c>
      <c r="P102" s="42" t="s">
        <v>3820</v>
      </c>
      <c r="Q102" s="43">
        <v>460.0</v>
      </c>
      <c r="R102" s="42" t="s">
        <v>3853</v>
      </c>
      <c r="S102" s="43">
        <v>0.0</v>
      </c>
      <c r="T102" s="43">
        <v>100.0</v>
      </c>
      <c r="U102" s="43">
        <v>0.0</v>
      </c>
      <c r="V102" s="43">
        <v>0.0</v>
      </c>
      <c r="W102" s="33">
        <f>COUNTIFS('Data For Calculation - Insuranc'!A:A,A102,'Data For Calculation - Insuranc'!D:D,"Company",'Data For Calculation - Insuranc'!E:E,"Bundled - 1 Year OD + 5 Year TP")</f>
        <v>0</v>
      </c>
      <c r="X102" s="34" t="s">
        <v>3929</v>
      </c>
      <c r="Y102" s="42" t="s">
        <v>3820</v>
      </c>
      <c r="Z102" s="31">
        <v>290.0</v>
      </c>
      <c r="AA102" s="34" t="s">
        <v>3853</v>
      </c>
      <c r="AB102" s="34">
        <v>0.0</v>
      </c>
      <c r="AC102" s="34">
        <v>100.0</v>
      </c>
      <c r="AD102" s="34">
        <v>0.0</v>
      </c>
      <c r="AE102" s="34">
        <v>0.0</v>
      </c>
      <c r="AF102" s="33">
        <f>COUNTIFS('Data For Calculation - Insuranc'!A:A,A102,'Data For Calculation - Insuranc'!D:D,"Individual",'Data For Calculation - Insuranc'!E:E,"Rollover Comprehensive - 1 Year OD + 1 Year TP")</f>
        <v>0</v>
      </c>
      <c r="AG102" s="34" t="s">
        <v>3930</v>
      </c>
      <c r="AH102" s="42" t="s">
        <v>3820</v>
      </c>
      <c r="AI102" s="31">
        <v>290.0</v>
      </c>
      <c r="AJ102" s="34" t="s">
        <v>3853</v>
      </c>
      <c r="AK102" s="34">
        <v>0.0</v>
      </c>
      <c r="AL102" s="34">
        <v>100.0</v>
      </c>
      <c r="AM102" s="34">
        <v>0.0</v>
      </c>
      <c r="AN102" s="34">
        <v>0.0</v>
      </c>
      <c r="AO102" s="33">
        <f>COUNTIFS('Data For Calculation - Insuranc'!A:A,A102,'Data For Calculation - Insuranc'!D:D,"Company",'Data For Calculation - Insuranc'!E:E,"Rollover Comprehensive - 1 Year OD + 1 Year TP")</f>
        <v>0</v>
      </c>
      <c r="AP102" s="34" t="s">
        <v>3931</v>
      </c>
      <c r="AQ102" s="42" t="s">
        <v>3820</v>
      </c>
      <c r="AR102" s="31">
        <v>290.0</v>
      </c>
      <c r="AS102" s="34" t="s">
        <v>3853</v>
      </c>
      <c r="AT102" s="34">
        <v>0.0</v>
      </c>
      <c r="AU102" s="34">
        <v>100.0</v>
      </c>
      <c r="AV102" s="34">
        <v>0.0</v>
      </c>
      <c r="AW102" s="34">
        <v>0.0</v>
      </c>
      <c r="AX102" s="33">
        <f>COUNTIFS('Data For Calculation - Insuranc'!A:A,A102,'Data For Calculation - Insuranc'!D:D,"Individual",'Data For Calculation - Insuranc'!E:E,"Rollover - 1 Year OD Only")</f>
        <v>0</v>
      </c>
      <c r="AY102" s="34" t="s">
        <v>3932</v>
      </c>
      <c r="AZ102" s="42" t="s">
        <v>3820</v>
      </c>
      <c r="BA102" s="31">
        <v>290.0</v>
      </c>
      <c r="BB102" s="34" t="s">
        <v>3853</v>
      </c>
      <c r="BC102" s="34">
        <v>0.0</v>
      </c>
      <c r="BD102" s="34">
        <v>100.0</v>
      </c>
      <c r="BE102" s="34">
        <v>0.0</v>
      </c>
      <c r="BF102" s="34">
        <v>0.0</v>
      </c>
      <c r="BG102" s="33">
        <f>COUNTIFS('Data For Calculation - Insuranc'!A:A,A102,'Data For Calculation - Insuranc'!D:D,"Company",'Data For Calculation - Insuranc'!E:E,"Rollover - 1 Year OD Only")</f>
        <v>0</v>
      </c>
      <c r="BH102" s="34" t="s">
        <v>3931</v>
      </c>
      <c r="BI102" s="42" t="s">
        <v>3820</v>
      </c>
      <c r="BJ102" s="31">
        <v>290.0</v>
      </c>
      <c r="BK102" s="34" t="s">
        <v>3853</v>
      </c>
      <c r="BL102" s="34">
        <v>0.0</v>
      </c>
      <c r="BM102" s="34">
        <v>100.0</v>
      </c>
      <c r="BN102" s="34">
        <v>0.0</v>
      </c>
      <c r="BO102" s="34">
        <v>0.0</v>
      </c>
      <c r="BP102" s="33">
        <f>COUNTIFS('Data For Calculation - Insuranc'!A:A,A102,'Data For Calculation - Insuranc'!D:D,"Individual",'Data For Calculation - Insuranc'!E:E,"Rollover - 1 Year TP Only")</f>
        <v>0</v>
      </c>
      <c r="BQ102" s="34" t="s">
        <v>3932</v>
      </c>
      <c r="BR102" s="42" t="s">
        <v>3820</v>
      </c>
      <c r="BS102" s="31">
        <v>290.0</v>
      </c>
      <c r="BT102" s="34" t="s">
        <v>3853</v>
      </c>
      <c r="BU102" s="34">
        <v>0.0</v>
      </c>
      <c r="BV102" s="34">
        <v>100.0</v>
      </c>
      <c r="BW102" s="34">
        <v>0.0</v>
      </c>
      <c r="BX102" s="34">
        <v>0.0</v>
      </c>
      <c r="BY102" s="33">
        <f>COUNTIFS('Data For Calculation - Insuranc'!A:A,A102,'Data For Calculation - Insuranc'!D:D,"Company",'Data For Calculation - Insuranc'!E:E,"Rollover - 1 Year TP Only")</f>
        <v>0</v>
      </c>
      <c r="BZ102" s="31">
        <f t="shared" si="1"/>
        <v>0</v>
      </c>
      <c r="CA102" s="33">
        <f>SUMIFS('Data For Calculation - Insuranc'!I:I,'Data For Calculation - Insuranc'!$A:$A,$A102)</f>
        <v>0</v>
      </c>
      <c r="CB102" s="33">
        <f>SUMIFS('Data For Calculation - Insuranc'!J:J,'Data For Calculation - Insuranc'!$A:$A,$A102)</f>
        <v>0</v>
      </c>
      <c r="CC102" s="33">
        <f>SUMIFS('Data For Calculation - Insuranc'!K:K,'Data For Calculation - Insuranc'!$A:$A,$A102)</f>
        <v>0</v>
      </c>
      <c r="CD102" s="33">
        <f>IF($CK102 = "Dealer", SUMIFS('Data For Calculation - Insuranc'!I:I,'Data For Calculation - Insuranc'!$B:$B,$A102,'Data For Calculation - Insuranc'!$H:$H,"Master Dealer")) + SUMIFS('Data For Calculation - Insuranc'!I:I,'Data For Calculation - Insuranc'!$A:$A,$A102,'Data For Calculation - Insuranc'!$H:$H,"Self")</f>
        <v>0</v>
      </c>
      <c r="CE102" s="33">
        <f>IF($CK102 = "Dealer", SUMIFS('Data For Calculation - Insuranc'!J:J,'Data For Calculation - Insuranc'!$B:$B,$A102,'Data For Calculation - Insuranc'!$H:$H,"Master Dealer")) + SUMIFS('Data For Calculation - Insuranc'!J:J,'Data For Calculation - Insuranc'!$A:$A,$A102,'Data For Calculation - Insuranc'!$H:$H,"Self")</f>
        <v>0</v>
      </c>
      <c r="CF102" s="33">
        <f>IF($CK102 = "Dealer", SUMIFS('Data For Calculation - Insuranc'!K:K,'Data For Calculation - Insuranc'!$B:$B,$A102,'Data For Calculation - Insuranc'!$H:$H,"Master Dealer")) + SUMIFS('Data For Calculation - Insuranc'!K:K,'Data For Calculation - Insuranc'!$A:$A,$A102,'Data For Calculation - Insuranc'!$H:$H,"Self")</f>
        <v>0</v>
      </c>
      <c r="CG102" s="25" t="str">
        <f>(Sheet1!N102)</f>
        <v>Shri Durga Motors</v>
      </c>
      <c r="CH102" s="25" t="str">
        <f>(Sheet1!O102)</f>
        <v>1LnxzSZR-Hn1GFJEM91CqSDi8yQ1-11OqyVT04QUkFAM</v>
      </c>
      <c r="CI102" s="25" t="str">
        <f>(Sheet1!AV102)</f>
        <v/>
      </c>
      <c r="CJ102" s="25" t="str">
        <f>(Sheet1!AW102)</f>
        <v/>
      </c>
      <c r="CK102" s="26" t="str">
        <f>(Sheet1!P102)</f>
        <v>Sub Dealer</v>
      </c>
    </row>
    <row r="103">
      <c r="A103" s="25" t="str">
        <f>(Sheet1!A103)</f>
        <v>1RuulKhAraOSJneBIfAUOQbLBn9JvoSu3eYaWMZ5M-aI</v>
      </c>
      <c r="B103" s="25" t="str">
        <f>(Sheet1!B103)</f>
        <v>RINKU AUTOMOBILES</v>
      </c>
      <c r="C103" s="30" t="str">
        <f>Sheet1!BB103</f>
        <v>No</v>
      </c>
      <c r="D103" s="30" t="s">
        <v>13</v>
      </c>
      <c r="E103" s="34" t="s">
        <v>13</v>
      </c>
      <c r="F103" s="34" t="s">
        <v>3929</v>
      </c>
      <c r="G103" s="42" t="s">
        <v>3820</v>
      </c>
      <c r="H103" s="43">
        <v>460.0</v>
      </c>
      <c r="I103" s="42" t="s">
        <v>3853</v>
      </c>
      <c r="J103" s="43">
        <v>0.0</v>
      </c>
      <c r="K103" s="43">
        <v>100.0</v>
      </c>
      <c r="L103" s="43">
        <v>0.0</v>
      </c>
      <c r="M103" s="43">
        <v>0.0</v>
      </c>
      <c r="N103" s="33">
        <f>COUNTIFS('Data For Calculation - Insuranc'!A:A,A103,'Data For Calculation - Insuranc'!D:D,"Individual",'Data For Calculation - Insuranc'!E:E,"Bundled - 1 Year OD + 5 Year TP")</f>
        <v>0</v>
      </c>
      <c r="O103" s="34" t="s">
        <v>3930</v>
      </c>
      <c r="P103" s="42" t="s">
        <v>3820</v>
      </c>
      <c r="Q103" s="43">
        <v>460.0</v>
      </c>
      <c r="R103" s="42" t="s">
        <v>3853</v>
      </c>
      <c r="S103" s="43">
        <v>0.0</v>
      </c>
      <c r="T103" s="43">
        <v>100.0</v>
      </c>
      <c r="U103" s="43">
        <v>0.0</v>
      </c>
      <c r="V103" s="43">
        <v>0.0</v>
      </c>
      <c r="W103" s="33">
        <f>COUNTIFS('Data For Calculation - Insuranc'!A:A,A103,'Data For Calculation - Insuranc'!D:D,"Company",'Data For Calculation - Insuranc'!E:E,"Bundled - 1 Year OD + 5 Year TP")</f>
        <v>0</v>
      </c>
      <c r="X103" s="34" t="s">
        <v>3929</v>
      </c>
      <c r="Y103" s="42" t="s">
        <v>3820</v>
      </c>
      <c r="Z103" s="31">
        <v>290.0</v>
      </c>
      <c r="AA103" s="34" t="s">
        <v>3853</v>
      </c>
      <c r="AB103" s="34">
        <v>0.0</v>
      </c>
      <c r="AC103" s="34">
        <v>100.0</v>
      </c>
      <c r="AD103" s="34">
        <v>0.0</v>
      </c>
      <c r="AE103" s="34">
        <v>0.0</v>
      </c>
      <c r="AF103" s="33">
        <f>COUNTIFS('Data For Calculation - Insuranc'!A:A,A103,'Data For Calculation - Insuranc'!D:D,"Individual",'Data For Calculation - Insuranc'!E:E,"Rollover Comprehensive - 1 Year OD + 1 Year TP")</f>
        <v>0</v>
      </c>
      <c r="AG103" s="34" t="s">
        <v>3930</v>
      </c>
      <c r="AH103" s="42" t="s">
        <v>3820</v>
      </c>
      <c r="AI103" s="31">
        <v>290.0</v>
      </c>
      <c r="AJ103" s="34" t="s">
        <v>3853</v>
      </c>
      <c r="AK103" s="34">
        <v>0.0</v>
      </c>
      <c r="AL103" s="34">
        <v>100.0</v>
      </c>
      <c r="AM103" s="34">
        <v>0.0</v>
      </c>
      <c r="AN103" s="34">
        <v>0.0</v>
      </c>
      <c r="AO103" s="33">
        <f>COUNTIFS('Data For Calculation - Insuranc'!A:A,A103,'Data For Calculation - Insuranc'!D:D,"Company",'Data For Calculation - Insuranc'!E:E,"Rollover Comprehensive - 1 Year OD + 1 Year TP")</f>
        <v>0</v>
      </c>
      <c r="AP103" s="34" t="s">
        <v>3931</v>
      </c>
      <c r="AQ103" s="42" t="s">
        <v>3820</v>
      </c>
      <c r="AR103" s="31">
        <v>290.0</v>
      </c>
      <c r="AS103" s="34" t="s">
        <v>3853</v>
      </c>
      <c r="AT103" s="34">
        <v>0.0</v>
      </c>
      <c r="AU103" s="34">
        <v>100.0</v>
      </c>
      <c r="AV103" s="34">
        <v>0.0</v>
      </c>
      <c r="AW103" s="34">
        <v>0.0</v>
      </c>
      <c r="AX103" s="33">
        <f>COUNTIFS('Data For Calculation - Insuranc'!A:A,A103,'Data For Calculation - Insuranc'!D:D,"Individual",'Data For Calculation - Insuranc'!E:E,"Rollover - 1 Year OD Only")</f>
        <v>0</v>
      </c>
      <c r="AY103" s="34" t="s">
        <v>3932</v>
      </c>
      <c r="AZ103" s="42" t="s">
        <v>3820</v>
      </c>
      <c r="BA103" s="31">
        <v>290.0</v>
      </c>
      <c r="BB103" s="34" t="s">
        <v>3853</v>
      </c>
      <c r="BC103" s="34">
        <v>0.0</v>
      </c>
      <c r="BD103" s="34">
        <v>100.0</v>
      </c>
      <c r="BE103" s="34">
        <v>0.0</v>
      </c>
      <c r="BF103" s="34">
        <v>0.0</v>
      </c>
      <c r="BG103" s="33">
        <f>COUNTIFS('Data For Calculation - Insuranc'!A:A,A103,'Data For Calculation - Insuranc'!D:D,"Company",'Data For Calculation - Insuranc'!E:E,"Rollover - 1 Year OD Only")</f>
        <v>0</v>
      </c>
      <c r="BH103" s="34" t="s">
        <v>3931</v>
      </c>
      <c r="BI103" s="42" t="s">
        <v>3820</v>
      </c>
      <c r="BJ103" s="31">
        <v>290.0</v>
      </c>
      <c r="BK103" s="34" t="s">
        <v>3853</v>
      </c>
      <c r="BL103" s="34">
        <v>0.0</v>
      </c>
      <c r="BM103" s="34">
        <v>100.0</v>
      </c>
      <c r="BN103" s="34">
        <v>0.0</v>
      </c>
      <c r="BO103" s="34">
        <v>0.0</v>
      </c>
      <c r="BP103" s="33">
        <f>COUNTIFS('Data For Calculation - Insuranc'!A:A,A103,'Data For Calculation - Insuranc'!D:D,"Individual",'Data For Calculation - Insuranc'!E:E,"Rollover - 1 Year TP Only")</f>
        <v>0</v>
      </c>
      <c r="BQ103" s="34" t="s">
        <v>3932</v>
      </c>
      <c r="BR103" s="42" t="s">
        <v>3820</v>
      </c>
      <c r="BS103" s="31">
        <v>290.0</v>
      </c>
      <c r="BT103" s="34" t="s">
        <v>3853</v>
      </c>
      <c r="BU103" s="34">
        <v>0.0</v>
      </c>
      <c r="BV103" s="34">
        <v>100.0</v>
      </c>
      <c r="BW103" s="34">
        <v>0.0</v>
      </c>
      <c r="BX103" s="34">
        <v>0.0</v>
      </c>
      <c r="BY103" s="33">
        <f>COUNTIFS('Data For Calculation - Insuranc'!A:A,A103,'Data For Calculation - Insuranc'!D:D,"Company",'Data For Calculation - Insuranc'!E:E,"Rollover - 1 Year TP Only")</f>
        <v>0</v>
      </c>
      <c r="BZ103" s="31">
        <f t="shared" si="1"/>
        <v>0</v>
      </c>
      <c r="CA103" s="33">
        <f>SUMIFS('Data For Calculation - Insuranc'!I:I,'Data For Calculation - Insuranc'!$A:$A,$A103)</f>
        <v>0</v>
      </c>
      <c r="CB103" s="33">
        <f>SUMIFS('Data For Calculation - Insuranc'!J:J,'Data For Calculation - Insuranc'!$A:$A,$A103)</f>
        <v>0</v>
      </c>
      <c r="CC103" s="33">
        <f>SUMIFS('Data For Calculation - Insuranc'!K:K,'Data For Calculation - Insuranc'!$A:$A,$A103)</f>
        <v>0</v>
      </c>
      <c r="CD103" s="33">
        <f>IF($CK103 = "Dealer", SUMIFS('Data For Calculation - Insuranc'!I:I,'Data For Calculation - Insuranc'!$B:$B,$A103,'Data For Calculation - Insuranc'!$H:$H,"Master Dealer")) + SUMIFS('Data For Calculation - Insuranc'!I:I,'Data For Calculation - Insuranc'!$A:$A,$A103,'Data For Calculation - Insuranc'!$H:$H,"Self")</f>
        <v>0</v>
      </c>
      <c r="CE103" s="33">
        <f>IF($CK103 = "Dealer", SUMIFS('Data For Calculation - Insuranc'!J:J,'Data For Calculation - Insuranc'!$B:$B,$A103,'Data For Calculation - Insuranc'!$H:$H,"Master Dealer")) + SUMIFS('Data For Calculation - Insuranc'!J:J,'Data For Calculation - Insuranc'!$A:$A,$A103,'Data For Calculation - Insuranc'!$H:$H,"Self")</f>
        <v>0</v>
      </c>
      <c r="CF103" s="33">
        <f>IF($CK103 = "Dealer", SUMIFS('Data For Calculation - Insuranc'!K:K,'Data For Calculation - Insuranc'!$B:$B,$A103,'Data For Calculation - Insuranc'!$H:$H,"Master Dealer")) + SUMIFS('Data For Calculation - Insuranc'!K:K,'Data For Calculation - Insuranc'!$A:$A,$A103,'Data For Calculation - Insuranc'!$H:$H,"Self")</f>
        <v>0</v>
      </c>
      <c r="CG103" s="25" t="str">
        <f>(Sheet1!N103)</f>
        <v>Shri Durga Motors</v>
      </c>
      <c r="CH103" s="25" t="str">
        <f>(Sheet1!O103)</f>
        <v>1LnxzSZR-Hn1GFJEM91CqSDi8yQ1-11OqyVT04QUkFAM</v>
      </c>
      <c r="CI103" s="25" t="str">
        <f>(Sheet1!AV103)</f>
        <v/>
      </c>
      <c r="CJ103" s="25" t="str">
        <f>(Sheet1!AW103)</f>
        <v/>
      </c>
      <c r="CK103" s="26" t="str">
        <f>(Sheet1!P103)</f>
        <v>Sub Dealer</v>
      </c>
    </row>
    <row r="104">
      <c r="A104" s="25" t="str">
        <f>(Sheet1!A104)</f>
        <v>1Z4ZANLU0BXFj5_cuQpCVhqL-_dbEpnMn3rbGL3bya7g</v>
      </c>
      <c r="B104" s="25" t="str">
        <f>(Sheet1!B104)</f>
        <v>TRIAMBIKE MOTORS</v>
      </c>
      <c r="C104" s="30" t="str">
        <f>Sheet1!BB104</f>
        <v>No</v>
      </c>
      <c r="D104" s="30" t="s">
        <v>13</v>
      </c>
      <c r="E104" s="34" t="s">
        <v>13</v>
      </c>
      <c r="F104" s="34" t="s">
        <v>3929</v>
      </c>
      <c r="G104" s="42" t="s">
        <v>3820</v>
      </c>
      <c r="H104" s="43">
        <v>460.0</v>
      </c>
      <c r="I104" s="42" t="s">
        <v>3853</v>
      </c>
      <c r="J104" s="43">
        <v>0.0</v>
      </c>
      <c r="K104" s="43">
        <v>100.0</v>
      </c>
      <c r="L104" s="43">
        <v>0.0</v>
      </c>
      <c r="M104" s="43">
        <v>0.0</v>
      </c>
      <c r="N104" s="33">
        <f>COUNTIFS('Data For Calculation - Insuranc'!A:A,A104,'Data For Calculation - Insuranc'!D:D,"Individual",'Data For Calculation - Insuranc'!E:E,"Bundled - 1 Year OD + 5 Year TP")</f>
        <v>0</v>
      </c>
      <c r="O104" s="34" t="s">
        <v>3930</v>
      </c>
      <c r="P104" s="42" t="s">
        <v>3820</v>
      </c>
      <c r="Q104" s="43">
        <v>460.0</v>
      </c>
      <c r="R104" s="42" t="s">
        <v>3853</v>
      </c>
      <c r="S104" s="43">
        <v>0.0</v>
      </c>
      <c r="T104" s="43">
        <v>100.0</v>
      </c>
      <c r="U104" s="43">
        <v>0.0</v>
      </c>
      <c r="V104" s="43">
        <v>0.0</v>
      </c>
      <c r="W104" s="33">
        <f>COUNTIFS('Data For Calculation - Insuranc'!A:A,A104,'Data For Calculation - Insuranc'!D:D,"Company",'Data For Calculation - Insuranc'!E:E,"Bundled - 1 Year OD + 5 Year TP")</f>
        <v>0</v>
      </c>
      <c r="X104" s="34" t="s">
        <v>3929</v>
      </c>
      <c r="Y104" s="42" t="s">
        <v>3820</v>
      </c>
      <c r="Z104" s="31">
        <v>290.0</v>
      </c>
      <c r="AA104" s="34" t="s">
        <v>3853</v>
      </c>
      <c r="AB104" s="34">
        <v>0.0</v>
      </c>
      <c r="AC104" s="34">
        <v>100.0</v>
      </c>
      <c r="AD104" s="34">
        <v>0.0</v>
      </c>
      <c r="AE104" s="34">
        <v>0.0</v>
      </c>
      <c r="AF104" s="33">
        <f>COUNTIFS('Data For Calculation - Insuranc'!A:A,A104,'Data For Calculation - Insuranc'!D:D,"Individual",'Data For Calculation - Insuranc'!E:E,"Rollover Comprehensive - 1 Year OD + 1 Year TP")</f>
        <v>0</v>
      </c>
      <c r="AG104" s="34" t="s">
        <v>3930</v>
      </c>
      <c r="AH104" s="42" t="s">
        <v>3820</v>
      </c>
      <c r="AI104" s="31">
        <v>290.0</v>
      </c>
      <c r="AJ104" s="34" t="s">
        <v>3853</v>
      </c>
      <c r="AK104" s="34">
        <v>0.0</v>
      </c>
      <c r="AL104" s="34">
        <v>100.0</v>
      </c>
      <c r="AM104" s="34">
        <v>0.0</v>
      </c>
      <c r="AN104" s="34">
        <v>0.0</v>
      </c>
      <c r="AO104" s="33">
        <f>COUNTIFS('Data For Calculation - Insuranc'!A:A,A104,'Data For Calculation - Insuranc'!D:D,"Company",'Data For Calculation - Insuranc'!E:E,"Rollover Comprehensive - 1 Year OD + 1 Year TP")</f>
        <v>0</v>
      </c>
      <c r="AP104" s="34" t="s">
        <v>3931</v>
      </c>
      <c r="AQ104" s="42" t="s">
        <v>3820</v>
      </c>
      <c r="AR104" s="31">
        <v>290.0</v>
      </c>
      <c r="AS104" s="34" t="s">
        <v>3853</v>
      </c>
      <c r="AT104" s="34">
        <v>0.0</v>
      </c>
      <c r="AU104" s="34">
        <v>100.0</v>
      </c>
      <c r="AV104" s="34">
        <v>0.0</v>
      </c>
      <c r="AW104" s="34">
        <v>0.0</v>
      </c>
      <c r="AX104" s="33">
        <f>COUNTIFS('Data For Calculation - Insuranc'!A:A,A104,'Data For Calculation - Insuranc'!D:D,"Individual",'Data For Calculation - Insuranc'!E:E,"Rollover - 1 Year OD Only")</f>
        <v>0</v>
      </c>
      <c r="AY104" s="34" t="s">
        <v>3932</v>
      </c>
      <c r="AZ104" s="42" t="s">
        <v>3820</v>
      </c>
      <c r="BA104" s="31">
        <v>290.0</v>
      </c>
      <c r="BB104" s="34" t="s">
        <v>3853</v>
      </c>
      <c r="BC104" s="34">
        <v>0.0</v>
      </c>
      <c r="BD104" s="34">
        <v>100.0</v>
      </c>
      <c r="BE104" s="34">
        <v>0.0</v>
      </c>
      <c r="BF104" s="34">
        <v>0.0</v>
      </c>
      <c r="BG104" s="33">
        <f>COUNTIFS('Data For Calculation - Insuranc'!A:A,A104,'Data For Calculation - Insuranc'!D:D,"Company",'Data For Calculation - Insuranc'!E:E,"Rollover - 1 Year OD Only")</f>
        <v>0</v>
      </c>
      <c r="BH104" s="34" t="s">
        <v>3931</v>
      </c>
      <c r="BI104" s="42" t="s">
        <v>3820</v>
      </c>
      <c r="BJ104" s="31">
        <v>290.0</v>
      </c>
      <c r="BK104" s="34" t="s">
        <v>3853</v>
      </c>
      <c r="BL104" s="34">
        <v>0.0</v>
      </c>
      <c r="BM104" s="34">
        <v>100.0</v>
      </c>
      <c r="BN104" s="34">
        <v>0.0</v>
      </c>
      <c r="BO104" s="34">
        <v>0.0</v>
      </c>
      <c r="BP104" s="33">
        <f>COUNTIFS('Data For Calculation - Insuranc'!A:A,A104,'Data For Calculation - Insuranc'!D:D,"Individual",'Data For Calculation - Insuranc'!E:E,"Rollover - 1 Year TP Only")</f>
        <v>0</v>
      </c>
      <c r="BQ104" s="34" t="s">
        <v>3932</v>
      </c>
      <c r="BR104" s="42" t="s">
        <v>3820</v>
      </c>
      <c r="BS104" s="31">
        <v>290.0</v>
      </c>
      <c r="BT104" s="34" t="s">
        <v>3853</v>
      </c>
      <c r="BU104" s="34">
        <v>0.0</v>
      </c>
      <c r="BV104" s="34">
        <v>100.0</v>
      </c>
      <c r="BW104" s="34">
        <v>0.0</v>
      </c>
      <c r="BX104" s="34">
        <v>0.0</v>
      </c>
      <c r="BY104" s="33">
        <f>COUNTIFS('Data For Calculation - Insuranc'!A:A,A104,'Data For Calculation - Insuranc'!D:D,"Company",'Data For Calculation - Insuranc'!E:E,"Rollover - 1 Year TP Only")</f>
        <v>0</v>
      </c>
      <c r="BZ104" s="31">
        <f t="shared" si="1"/>
        <v>0</v>
      </c>
      <c r="CA104" s="33">
        <f>SUMIFS('Data For Calculation - Insuranc'!I:I,'Data For Calculation - Insuranc'!$A:$A,$A104)</f>
        <v>0</v>
      </c>
      <c r="CB104" s="33">
        <f>SUMIFS('Data For Calculation - Insuranc'!J:J,'Data For Calculation - Insuranc'!$A:$A,$A104)</f>
        <v>0</v>
      </c>
      <c r="CC104" s="33">
        <f>SUMIFS('Data For Calculation - Insuranc'!K:K,'Data For Calculation - Insuranc'!$A:$A,$A104)</f>
        <v>0</v>
      </c>
      <c r="CD104" s="33">
        <f>IF($CK104 = "Dealer", SUMIFS('Data For Calculation - Insuranc'!I:I,'Data For Calculation - Insuranc'!$B:$B,$A104,'Data For Calculation - Insuranc'!$H:$H,"Master Dealer")) + SUMIFS('Data For Calculation - Insuranc'!I:I,'Data For Calculation - Insuranc'!$A:$A,$A104,'Data For Calculation - Insuranc'!$H:$H,"Self")</f>
        <v>0</v>
      </c>
      <c r="CE104" s="33">
        <f>IF($CK104 = "Dealer", SUMIFS('Data For Calculation - Insuranc'!J:J,'Data For Calculation - Insuranc'!$B:$B,$A104,'Data For Calculation - Insuranc'!$H:$H,"Master Dealer")) + SUMIFS('Data For Calculation - Insuranc'!J:J,'Data For Calculation - Insuranc'!$A:$A,$A104,'Data For Calculation - Insuranc'!$H:$H,"Self")</f>
        <v>0</v>
      </c>
      <c r="CF104" s="33">
        <f>IF($CK104 = "Dealer", SUMIFS('Data For Calculation - Insuranc'!K:K,'Data For Calculation - Insuranc'!$B:$B,$A104,'Data For Calculation - Insuranc'!$H:$H,"Master Dealer")) + SUMIFS('Data For Calculation - Insuranc'!K:K,'Data For Calculation - Insuranc'!$A:$A,$A104,'Data For Calculation - Insuranc'!$H:$H,"Self")</f>
        <v>0</v>
      </c>
      <c r="CG104" s="25" t="str">
        <f>(Sheet1!N104)</f>
        <v>Shri Durga Motors</v>
      </c>
      <c r="CH104" s="25" t="str">
        <f>(Sheet1!O104)</f>
        <v>1LnxzSZR-Hn1GFJEM91CqSDi8yQ1-11OqyVT04QUkFAM</v>
      </c>
      <c r="CI104" s="25" t="str">
        <f>(Sheet1!AV104)</f>
        <v/>
      </c>
      <c r="CJ104" s="25" t="str">
        <f>(Sheet1!AW104)</f>
        <v/>
      </c>
      <c r="CK104" s="26" t="str">
        <f>(Sheet1!P104)</f>
        <v>Sub Dealer</v>
      </c>
    </row>
    <row r="105">
      <c r="A105" s="25" t="str">
        <f>(Sheet1!A105)</f>
        <v>1fUQnKuEtcNauUdHQbe2Uqem42il1atlCNxeSWUXTiaA</v>
      </c>
      <c r="B105" s="25" t="str">
        <f>(Sheet1!B105)</f>
        <v>TRIAMBIKE MOTORS</v>
      </c>
      <c r="C105" s="30" t="str">
        <f>Sheet1!BB105</f>
        <v>No</v>
      </c>
      <c r="D105" s="30" t="s">
        <v>13</v>
      </c>
      <c r="E105" s="34" t="s">
        <v>13</v>
      </c>
      <c r="F105" s="34" t="s">
        <v>3929</v>
      </c>
      <c r="G105" s="42" t="s">
        <v>3820</v>
      </c>
      <c r="H105" s="43">
        <v>460.0</v>
      </c>
      <c r="I105" s="42" t="s">
        <v>3853</v>
      </c>
      <c r="J105" s="43">
        <v>0.0</v>
      </c>
      <c r="K105" s="43">
        <v>100.0</v>
      </c>
      <c r="L105" s="43">
        <v>0.0</v>
      </c>
      <c r="M105" s="43">
        <v>0.0</v>
      </c>
      <c r="N105" s="33">
        <f>COUNTIFS('Data For Calculation - Insuranc'!A:A,A105,'Data For Calculation - Insuranc'!D:D,"Individual",'Data For Calculation - Insuranc'!E:E,"Bundled - 1 Year OD + 5 Year TP")</f>
        <v>0</v>
      </c>
      <c r="O105" s="34" t="s">
        <v>3930</v>
      </c>
      <c r="P105" s="42" t="s">
        <v>3820</v>
      </c>
      <c r="Q105" s="43">
        <v>460.0</v>
      </c>
      <c r="R105" s="42" t="s">
        <v>3853</v>
      </c>
      <c r="S105" s="43">
        <v>0.0</v>
      </c>
      <c r="T105" s="43">
        <v>100.0</v>
      </c>
      <c r="U105" s="43">
        <v>0.0</v>
      </c>
      <c r="V105" s="43">
        <v>0.0</v>
      </c>
      <c r="W105" s="33">
        <f>COUNTIFS('Data For Calculation - Insuranc'!A:A,A105,'Data For Calculation - Insuranc'!D:D,"Company",'Data For Calculation - Insuranc'!E:E,"Bundled - 1 Year OD + 5 Year TP")</f>
        <v>0</v>
      </c>
      <c r="X105" s="34" t="s">
        <v>3929</v>
      </c>
      <c r="Y105" s="42" t="s">
        <v>3820</v>
      </c>
      <c r="Z105" s="31">
        <v>290.0</v>
      </c>
      <c r="AA105" s="34" t="s">
        <v>3853</v>
      </c>
      <c r="AB105" s="34">
        <v>0.0</v>
      </c>
      <c r="AC105" s="34">
        <v>100.0</v>
      </c>
      <c r="AD105" s="34">
        <v>0.0</v>
      </c>
      <c r="AE105" s="34">
        <v>0.0</v>
      </c>
      <c r="AF105" s="33">
        <f>COUNTIFS('Data For Calculation - Insuranc'!A:A,A105,'Data For Calculation - Insuranc'!D:D,"Individual",'Data For Calculation - Insuranc'!E:E,"Rollover Comprehensive - 1 Year OD + 1 Year TP")</f>
        <v>0</v>
      </c>
      <c r="AG105" s="34" t="s">
        <v>3930</v>
      </c>
      <c r="AH105" s="42" t="s">
        <v>3820</v>
      </c>
      <c r="AI105" s="31">
        <v>290.0</v>
      </c>
      <c r="AJ105" s="34" t="s">
        <v>3853</v>
      </c>
      <c r="AK105" s="34">
        <v>0.0</v>
      </c>
      <c r="AL105" s="34">
        <v>100.0</v>
      </c>
      <c r="AM105" s="34">
        <v>0.0</v>
      </c>
      <c r="AN105" s="34">
        <v>0.0</v>
      </c>
      <c r="AO105" s="33">
        <f>COUNTIFS('Data For Calculation - Insuranc'!A:A,A105,'Data For Calculation - Insuranc'!D:D,"Company",'Data For Calculation - Insuranc'!E:E,"Rollover Comprehensive - 1 Year OD + 1 Year TP")</f>
        <v>0</v>
      </c>
      <c r="AP105" s="34" t="s">
        <v>3931</v>
      </c>
      <c r="AQ105" s="42" t="s">
        <v>3820</v>
      </c>
      <c r="AR105" s="31">
        <v>290.0</v>
      </c>
      <c r="AS105" s="34" t="s">
        <v>3853</v>
      </c>
      <c r="AT105" s="34">
        <v>0.0</v>
      </c>
      <c r="AU105" s="34">
        <v>100.0</v>
      </c>
      <c r="AV105" s="34">
        <v>0.0</v>
      </c>
      <c r="AW105" s="34">
        <v>0.0</v>
      </c>
      <c r="AX105" s="33">
        <f>COUNTIFS('Data For Calculation - Insuranc'!A:A,A105,'Data For Calculation - Insuranc'!D:D,"Individual",'Data For Calculation - Insuranc'!E:E,"Rollover - 1 Year OD Only")</f>
        <v>0</v>
      </c>
      <c r="AY105" s="34" t="s">
        <v>3932</v>
      </c>
      <c r="AZ105" s="42" t="s">
        <v>3820</v>
      </c>
      <c r="BA105" s="31">
        <v>290.0</v>
      </c>
      <c r="BB105" s="34" t="s">
        <v>3853</v>
      </c>
      <c r="BC105" s="34">
        <v>0.0</v>
      </c>
      <c r="BD105" s="34">
        <v>100.0</v>
      </c>
      <c r="BE105" s="34">
        <v>0.0</v>
      </c>
      <c r="BF105" s="34">
        <v>0.0</v>
      </c>
      <c r="BG105" s="33">
        <f>COUNTIFS('Data For Calculation - Insuranc'!A:A,A105,'Data For Calculation - Insuranc'!D:D,"Company",'Data For Calculation - Insuranc'!E:E,"Rollover - 1 Year OD Only")</f>
        <v>0</v>
      </c>
      <c r="BH105" s="34" t="s">
        <v>3931</v>
      </c>
      <c r="BI105" s="42" t="s">
        <v>3820</v>
      </c>
      <c r="BJ105" s="31">
        <v>290.0</v>
      </c>
      <c r="BK105" s="34" t="s">
        <v>3853</v>
      </c>
      <c r="BL105" s="34">
        <v>0.0</v>
      </c>
      <c r="BM105" s="34">
        <v>100.0</v>
      </c>
      <c r="BN105" s="34">
        <v>0.0</v>
      </c>
      <c r="BO105" s="34">
        <v>0.0</v>
      </c>
      <c r="BP105" s="33">
        <f>COUNTIFS('Data For Calculation - Insuranc'!A:A,A105,'Data For Calculation - Insuranc'!D:D,"Individual",'Data For Calculation - Insuranc'!E:E,"Rollover - 1 Year TP Only")</f>
        <v>0</v>
      </c>
      <c r="BQ105" s="34" t="s">
        <v>3932</v>
      </c>
      <c r="BR105" s="42" t="s">
        <v>3820</v>
      </c>
      <c r="BS105" s="31">
        <v>290.0</v>
      </c>
      <c r="BT105" s="34" t="s">
        <v>3853</v>
      </c>
      <c r="BU105" s="34">
        <v>0.0</v>
      </c>
      <c r="BV105" s="34">
        <v>100.0</v>
      </c>
      <c r="BW105" s="34">
        <v>0.0</v>
      </c>
      <c r="BX105" s="34">
        <v>0.0</v>
      </c>
      <c r="BY105" s="33">
        <f>COUNTIFS('Data For Calculation - Insuranc'!A:A,A105,'Data For Calculation - Insuranc'!D:D,"Company",'Data For Calculation - Insuranc'!E:E,"Rollover - 1 Year TP Only")</f>
        <v>0</v>
      </c>
      <c r="BZ105" s="31">
        <f t="shared" si="1"/>
        <v>0</v>
      </c>
      <c r="CA105" s="33">
        <f>SUMIFS('Data For Calculation - Insuranc'!I:I,'Data For Calculation - Insuranc'!$A:$A,$A105)</f>
        <v>0</v>
      </c>
      <c r="CB105" s="33">
        <f>SUMIFS('Data For Calculation - Insuranc'!J:J,'Data For Calculation - Insuranc'!$A:$A,$A105)</f>
        <v>0</v>
      </c>
      <c r="CC105" s="33">
        <f>SUMIFS('Data For Calculation - Insuranc'!K:K,'Data For Calculation - Insuranc'!$A:$A,$A105)</f>
        <v>0</v>
      </c>
      <c r="CD105" s="33">
        <f>IF($CK105 = "Dealer", SUMIFS('Data For Calculation - Insuranc'!I:I,'Data For Calculation - Insuranc'!$B:$B,$A105,'Data For Calculation - Insuranc'!$H:$H,"Master Dealer")) + SUMIFS('Data For Calculation - Insuranc'!I:I,'Data For Calculation - Insuranc'!$A:$A,$A105,'Data For Calculation - Insuranc'!$H:$H,"Self")</f>
        <v>0</v>
      </c>
      <c r="CE105" s="33">
        <f>IF($CK105 = "Dealer", SUMIFS('Data For Calculation - Insuranc'!J:J,'Data For Calculation - Insuranc'!$B:$B,$A105,'Data For Calculation - Insuranc'!$H:$H,"Master Dealer")) + SUMIFS('Data For Calculation - Insuranc'!J:J,'Data For Calculation - Insuranc'!$A:$A,$A105,'Data For Calculation - Insuranc'!$H:$H,"Self")</f>
        <v>0</v>
      </c>
      <c r="CF105" s="33">
        <f>IF($CK105 = "Dealer", SUMIFS('Data For Calculation - Insuranc'!K:K,'Data For Calculation - Insuranc'!$B:$B,$A105,'Data For Calculation - Insuranc'!$H:$H,"Master Dealer")) + SUMIFS('Data For Calculation - Insuranc'!K:K,'Data For Calculation - Insuranc'!$A:$A,$A105,'Data For Calculation - Insuranc'!$H:$H,"Self")</f>
        <v>0</v>
      </c>
      <c r="CG105" s="25" t="str">
        <f>(Sheet1!N105)</f>
        <v>Shri Durga Motors</v>
      </c>
      <c r="CH105" s="25" t="str">
        <f>(Sheet1!O105)</f>
        <v>1LnxzSZR-Hn1GFJEM91CqSDi8yQ1-11OqyVT04QUkFAM</v>
      </c>
      <c r="CI105" s="25" t="str">
        <f>(Sheet1!AV105)</f>
        <v/>
      </c>
      <c r="CJ105" s="25" t="str">
        <f>(Sheet1!AW105)</f>
        <v/>
      </c>
      <c r="CK105" s="26" t="str">
        <f>(Sheet1!P105)</f>
        <v>Sub Dealer</v>
      </c>
    </row>
    <row r="106">
      <c r="A106" s="25" t="str">
        <f>(Sheet1!A106)</f>
        <v>11B-8kSH0gJgoCgMmv0w8C_6P4qZyG7h6hdldCVMJqNA</v>
      </c>
      <c r="B106" s="25" t="str">
        <f>(Sheet1!B106)</f>
        <v>AGARSEN AUTOMOBILE</v>
      </c>
      <c r="C106" s="30" t="str">
        <f>Sheet1!BB106</f>
        <v>No</v>
      </c>
      <c r="D106" s="30" t="s">
        <v>13</v>
      </c>
      <c r="E106" s="34" t="s">
        <v>13</v>
      </c>
      <c r="F106" s="34" t="s">
        <v>3929</v>
      </c>
      <c r="G106" s="42" t="s">
        <v>3820</v>
      </c>
      <c r="H106" s="43">
        <v>460.0</v>
      </c>
      <c r="I106" s="42" t="s">
        <v>3853</v>
      </c>
      <c r="J106" s="43">
        <v>0.0</v>
      </c>
      <c r="K106" s="43">
        <v>100.0</v>
      </c>
      <c r="L106" s="43">
        <v>0.0</v>
      </c>
      <c r="M106" s="43">
        <v>0.0</v>
      </c>
      <c r="N106" s="33">
        <f>COUNTIFS('Data For Calculation - Insuranc'!A:A,A106,'Data For Calculation - Insuranc'!D:D,"Individual",'Data For Calculation - Insuranc'!E:E,"Bundled - 1 Year OD + 5 Year TP")</f>
        <v>0</v>
      </c>
      <c r="O106" s="34" t="s">
        <v>3930</v>
      </c>
      <c r="P106" s="42" t="s">
        <v>3820</v>
      </c>
      <c r="Q106" s="43">
        <v>460.0</v>
      </c>
      <c r="R106" s="42" t="s">
        <v>3853</v>
      </c>
      <c r="S106" s="43">
        <v>0.0</v>
      </c>
      <c r="T106" s="43">
        <v>100.0</v>
      </c>
      <c r="U106" s="43">
        <v>0.0</v>
      </c>
      <c r="V106" s="43">
        <v>0.0</v>
      </c>
      <c r="W106" s="33">
        <f>COUNTIFS('Data For Calculation - Insuranc'!A:A,A106,'Data For Calculation - Insuranc'!D:D,"Company",'Data For Calculation - Insuranc'!E:E,"Bundled - 1 Year OD + 5 Year TP")</f>
        <v>0</v>
      </c>
      <c r="X106" s="34" t="s">
        <v>3929</v>
      </c>
      <c r="Y106" s="42" t="s">
        <v>3820</v>
      </c>
      <c r="Z106" s="31">
        <v>290.0</v>
      </c>
      <c r="AA106" s="34" t="s">
        <v>3853</v>
      </c>
      <c r="AB106" s="34">
        <v>0.0</v>
      </c>
      <c r="AC106" s="34">
        <v>100.0</v>
      </c>
      <c r="AD106" s="34">
        <v>0.0</v>
      </c>
      <c r="AE106" s="34">
        <v>0.0</v>
      </c>
      <c r="AF106" s="33">
        <f>COUNTIFS('Data For Calculation - Insuranc'!A:A,A106,'Data For Calculation - Insuranc'!D:D,"Individual",'Data For Calculation - Insuranc'!E:E,"Rollover Comprehensive - 1 Year OD + 1 Year TP")</f>
        <v>0</v>
      </c>
      <c r="AG106" s="34" t="s">
        <v>3930</v>
      </c>
      <c r="AH106" s="42" t="s">
        <v>3820</v>
      </c>
      <c r="AI106" s="31">
        <v>290.0</v>
      </c>
      <c r="AJ106" s="34" t="s">
        <v>3853</v>
      </c>
      <c r="AK106" s="34">
        <v>0.0</v>
      </c>
      <c r="AL106" s="34">
        <v>100.0</v>
      </c>
      <c r="AM106" s="34">
        <v>0.0</v>
      </c>
      <c r="AN106" s="34">
        <v>0.0</v>
      </c>
      <c r="AO106" s="33">
        <f>COUNTIFS('Data For Calculation - Insuranc'!A:A,A106,'Data For Calculation - Insuranc'!D:D,"Company",'Data For Calculation - Insuranc'!E:E,"Rollover Comprehensive - 1 Year OD + 1 Year TP")</f>
        <v>0</v>
      </c>
      <c r="AP106" s="34" t="s">
        <v>3931</v>
      </c>
      <c r="AQ106" s="42" t="s">
        <v>3820</v>
      </c>
      <c r="AR106" s="31">
        <v>290.0</v>
      </c>
      <c r="AS106" s="34" t="s">
        <v>3853</v>
      </c>
      <c r="AT106" s="34">
        <v>0.0</v>
      </c>
      <c r="AU106" s="34">
        <v>100.0</v>
      </c>
      <c r="AV106" s="34">
        <v>0.0</v>
      </c>
      <c r="AW106" s="34">
        <v>0.0</v>
      </c>
      <c r="AX106" s="33">
        <f>COUNTIFS('Data For Calculation - Insuranc'!A:A,A106,'Data For Calculation - Insuranc'!D:D,"Individual",'Data For Calculation - Insuranc'!E:E,"Rollover - 1 Year OD Only")</f>
        <v>0</v>
      </c>
      <c r="AY106" s="34" t="s">
        <v>3932</v>
      </c>
      <c r="AZ106" s="42" t="s">
        <v>3820</v>
      </c>
      <c r="BA106" s="31">
        <v>290.0</v>
      </c>
      <c r="BB106" s="34" t="s">
        <v>3853</v>
      </c>
      <c r="BC106" s="34">
        <v>0.0</v>
      </c>
      <c r="BD106" s="34">
        <v>100.0</v>
      </c>
      <c r="BE106" s="34">
        <v>0.0</v>
      </c>
      <c r="BF106" s="34">
        <v>0.0</v>
      </c>
      <c r="BG106" s="33">
        <f>COUNTIFS('Data For Calculation - Insuranc'!A:A,A106,'Data For Calculation - Insuranc'!D:D,"Company",'Data For Calculation - Insuranc'!E:E,"Rollover - 1 Year OD Only")</f>
        <v>0</v>
      </c>
      <c r="BH106" s="34" t="s">
        <v>3931</v>
      </c>
      <c r="BI106" s="42" t="s">
        <v>3820</v>
      </c>
      <c r="BJ106" s="31">
        <v>290.0</v>
      </c>
      <c r="BK106" s="34" t="s">
        <v>3853</v>
      </c>
      <c r="BL106" s="34">
        <v>0.0</v>
      </c>
      <c r="BM106" s="34">
        <v>100.0</v>
      </c>
      <c r="BN106" s="34">
        <v>0.0</v>
      </c>
      <c r="BO106" s="34">
        <v>0.0</v>
      </c>
      <c r="BP106" s="33">
        <f>COUNTIFS('Data For Calculation - Insuranc'!A:A,A106,'Data For Calculation - Insuranc'!D:D,"Individual",'Data For Calculation - Insuranc'!E:E,"Rollover - 1 Year TP Only")</f>
        <v>0</v>
      </c>
      <c r="BQ106" s="34" t="s">
        <v>3932</v>
      </c>
      <c r="BR106" s="42" t="s">
        <v>3820</v>
      </c>
      <c r="BS106" s="31">
        <v>290.0</v>
      </c>
      <c r="BT106" s="34" t="s">
        <v>3853</v>
      </c>
      <c r="BU106" s="34">
        <v>0.0</v>
      </c>
      <c r="BV106" s="34">
        <v>100.0</v>
      </c>
      <c r="BW106" s="34">
        <v>0.0</v>
      </c>
      <c r="BX106" s="34">
        <v>0.0</v>
      </c>
      <c r="BY106" s="33">
        <f>COUNTIFS('Data For Calculation - Insuranc'!A:A,A106,'Data For Calculation - Insuranc'!D:D,"Company",'Data For Calculation - Insuranc'!E:E,"Rollover - 1 Year TP Only")</f>
        <v>0</v>
      </c>
      <c r="BZ106" s="31">
        <f t="shared" si="1"/>
        <v>0</v>
      </c>
      <c r="CA106" s="33">
        <f>SUMIFS('Data For Calculation - Insuranc'!I:I,'Data For Calculation - Insuranc'!$A:$A,$A106)</f>
        <v>0</v>
      </c>
      <c r="CB106" s="33">
        <f>SUMIFS('Data For Calculation - Insuranc'!J:J,'Data For Calculation - Insuranc'!$A:$A,$A106)</f>
        <v>0</v>
      </c>
      <c r="CC106" s="33">
        <f>SUMIFS('Data For Calculation - Insuranc'!K:K,'Data For Calculation - Insuranc'!$A:$A,$A106)</f>
        <v>0</v>
      </c>
      <c r="CD106" s="33">
        <f>IF($CK106 = "Dealer", SUMIFS('Data For Calculation - Insuranc'!I:I,'Data For Calculation - Insuranc'!$B:$B,$A106,'Data For Calculation - Insuranc'!$H:$H,"Master Dealer")) + SUMIFS('Data For Calculation - Insuranc'!I:I,'Data For Calculation - Insuranc'!$A:$A,$A106,'Data For Calculation - Insuranc'!$H:$H,"Self")</f>
        <v>0</v>
      </c>
      <c r="CE106" s="33">
        <f>IF($CK106 = "Dealer", SUMIFS('Data For Calculation - Insuranc'!J:J,'Data For Calculation - Insuranc'!$B:$B,$A106,'Data For Calculation - Insuranc'!$H:$H,"Master Dealer")) + SUMIFS('Data For Calculation - Insuranc'!J:J,'Data For Calculation - Insuranc'!$A:$A,$A106,'Data For Calculation - Insuranc'!$H:$H,"Self")</f>
        <v>0</v>
      </c>
      <c r="CF106" s="33">
        <f>IF($CK106 = "Dealer", SUMIFS('Data For Calculation - Insuranc'!K:K,'Data For Calculation - Insuranc'!$B:$B,$A106,'Data For Calculation - Insuranc'!$H:$H,"Master Dealer")) + SUMIFS('Data For Calculation - Insuranc'!K:K,'Data For Calculation - Insuranc'!$A:$A,$A106,'Data For Calculation - Insuranc'!$H:$H,"Self")</f>
        <v>0</v>
      </c>
      <c r="CG106" s="25" t="str">
        <f>(Sheet1!N106)</f>
        <v>Shri Durga Motors</v>
      </c>
      <c r="CH106" s="25" t="str">
        <f>(Sheet1!O106)</f>
        <v>1LnxzSZR-Hn1GFJEM91CqSDi8yQ1-11OqyVT04QUkFAM</v>
      </c>
      <c r="CI106" s="25" t="str">
        <f>(Sheet1!AV106)</f>
        <v/>
      </c>
      <c r="CJ106" s="25" t="str">
        <f>(Sheet1!AW106)</f>
        <v/>
      </c>
      <c r="CK106" s="26" t="str">
        <f>(Sheet1!P106)</f>
        <v>Sub Dealer</v>
      </c>
    </row>
    <row r="107">
      <c r="A107" s="25" t="str">
        <f>(Sheet1!A107)</f>
        <v>1a7hE99lXmj_QqvEYsr78Q6N1-mxcmCnbqEiJRN1RUOk</v>
      </c>
      <c r="B107" s="25" t="str">
        <f>(Sheet1!B107)</f>
        <v>SOLANKI MOTORS</v>
      </c>
      <c r="C107" s="30" t="str">
        <f>Sheet1!BB107</f>
        <v>No</v>
      </c>
      <c r="D107" s="30" t="s">
        <v>13</v>
      </c>
      <c r="E107" s="34" t="s">
        <v>13</v>
      </c>
      <c r="F107" s="34" t="s">
        <v>3929</v>
      </c>
      <c r="G107" s="42" t="s">
        <v>3820</v>
      </c>
      <c r="H107" s="43">
        <v>460.0</v>
      </c>
      <c r="I107" s="42" t="s">
        <v>3853</v>
      </c>
      <c r="J107" s="43">
        <v>0.0</v>
      </c>
      <c r="K107" s="43">
        <v>100.0</v>
      </c>
      <c r="L107" s="43">
        <v>0.0</v>
      </c>
      <c r="M107" s="43">
        <v>0.0</v>
      </c>
      <c r="N107" s="33">
        <f>COUNTIFS('Data For Calculation - Insuranc'!A:A,A107,'Data For Calculation - Insuranc'!D:D,"Individual",'Data For Calculation - Insuranc'!E:E,"Bundled - 1 Year OD + 5 Year TP")</f>
        <v>0</v>
      </c>
      <c r="O107" s="34" t="s">
        <v>3930</v>
      </c>
      <c r="P107" s="42" t="s">
        <v>3820</v>
      </c>
      <c r="Q107" s="43">
        <v>460.0</v>
      </c>
      <c r="R107" s="42" t="s">
        <v>3853</v>
      </c>
      <c r="S107" s="43">
        <v>0.0</v>
      </c>
      <c r="T107" s="43">
        <v>100.0</v>
      </c>
      <c r="U107" s="43">
        <v>0.0</v>
      </c>
      <c r="V107" s="43">
        <v>0.0</v>
      </c>
      <c r="W107" s="33">
        <f>COUNTIFS('Data For Calculation - Insuranc'!A:A,A107,'Data For Calculation - Insuranc'!D:D,"Company",'Data For Calculation - Insuranc'!E:E,"Bundled - 1 Year OD + 5 Year TP")</f>
        <v>0</v>
      </c>
      <c r="X107" s="34" t="s">
        <v>3929</v>
      </c>
      <c r="Y107" s="42" t="s">
        <v>3820</v>
      </c>
      <c r="Z107" s="31">
        <v>290.0</v>
      </c>
      <c r="AA107" s="34" t="s">
        <v>3853</v>
      </c>
      <c r="AB107" s="34">
        <v>0.0</v>
      </c>
      <c r="AC107" s="34">
        <v>100.0</v>
      </c>
      <c r="AD107" s="34">
        <v>0.0</v>
      </c>
      <c r="AE107" s="34">
        <v>0.0</v>
      </c>
      <c r="AF107" s="33">
        <f>COUNTIFS('Data For Calculation - Insuranc'!A:A,A107,'Data For Calculation - Insuranc'!D:D,"Individual",'Data For Calculation - Insuranc'!E:E,"Rollover Comprehensive - 1 Year OD + 1 Year TP")</f>
        <v>0</v>
      </c>
      <c r="AG107" s="34" t="s">
        <v>3930</v>
      </c>
      <c r="AH107" s="42" t="s">
        <v>3820</v>
      </c>
      <c r="AI107" s="31">
        <v>290.0</v>
      </c>
      <c r="AJ107" s="34" t="s">
        <v>3853</v>
      </c>
      <c r="AK107" s="34">
        <v>0.0</v>
      </c>
      <c r="AL107" s="34">
        <v>100.0</v>
      </c>
      <c r="AM107" s="34">
        <v>0.0</v>
      </c>
      <c r="AN107" s="34">
        <v>0.0</v>
      </c>
      <c r="AO107" s="33">
        <f>COUNTIFS('Data For Calculation - Insuranc'!A:A,A107,'Data For Calculation - Insuranc'!D:D,"Company",'Data For Calculation - Insuranc'!E:E,"Rollover Comprehensive - 1 Year OD + 1 Year TP")</f>
        <v>0</v>
      </c>
      <c r="AP107" s="34" t="s">
        <v>3931</v>
      </c>
      <c r="AQ107" s="42" t="s">
        <v>3820</v>
      </c>
      <c r="AR107" s="31">
        <v>290.0</v>
      </c>
      <c r="AS107" s="34" t="s">
        <v>3853</v>
      </c>
      <c r="AT107" s="34">
        <v>0.0</v>
      </c>
      <c r="AU107" s="34">
        <v>100.0</v>
      </c>
      <c r="AV107" s="34">
        <v>0.0</v>
      </c>
      <c r="AW107" s="34">
        <v>0.0</v>
      </c>
      <c r="AX107" s="33">
        <f>COUNTIFS('Data For Calculation - Insuranc'!A:A,A107,'Data For Calculation - Insuranc'!D:D,"Individual",'Data For Calculation - Insuranc'!E:E,"Rollover - 1 Year OD Only")</f>
        <v>0</v>
      </c>
      <c r="AY107" s="34" t="s">
        <v>3932</v>
      </c>
      <c r="AZ107" s="42" t="s">
        <v>3820</v>
      </c>
      <c r="BA107" s="31">
        <v>290.0</v>
      </c>
      <c r="BB107" s="34" t="s">
        <v>3853</v>
      </c>
      <c r="BC107" s="34">
        <v>0.0</v>
      </c>
      <c r="BD107" s="34">
        <v>100.0</v>
      </c>
      <c r="BE107" s="34">
        <v>0.0</v>
      </c>
      <c r="BF107" s="34">
        <v>0.0</v>
      </c>
      <c r="BG107" s="33">
        <f>COUNTIFS('Data For Calculation - Insuranc'!A:A,A107,'Data For Calculation - Insuranc'!D:D,"Company",'Data For Calculation - Insuranc'!E:E,"Rollover - 1 Year OD Only")</f>
        <v>0</v>
      </c>
      <c r="BH107" s="34" t="s">
        <v>3931</v>
      </c>
      <c r="BI107" s="42" t="s">
        <v>3820</v>
      </c>
      <c r="BJ107" s="31">
        <v>290.0</v>
      </c>
      <c r="BK107" s="34" t="s">
        <v>3853</v>
      </c>
      <c r="BL107" s="34">
        <v>0.0</v>
      </c>
      <c r="BM107" s="34">
        <v>100.0</v>
      </c>
      <c r="BN107" s="34">
        <v>0.0</v>
      </c>
      <c r="BO107" s="34">
        <v>0.0</v>
      </c>
      <c r="BP107" s="33">
        <f>COUNTIFS('Data For Calculation - Insuranc'!A:A,A107,'Data For Calculation - Insuranc'!D:D,"Individual",'Data For Calculation - Insuranc'!E:E,"Rollover - 1 Year TP Only")</f>
        <v>0</v>
      </c>
      <c r="BQ107" s="34" t="s">
        <v>3932</v>
      </c>
      <c r="BR107" s="42" t="s">
        <v>3820</v>
      </c>
      <c r="BS107" s="31">
        <v>290.0</v>
      </c>
      <c r="BT107" s="34" t="s">
        <v>3853</v>
      </c>
      <c r="BU107" s="34">
        <v>0.0</v>
      </c>
      <c r="BV107" s="34">
        <v>100.0</v>
      </c>
      <c r="BW107" s="34">
        <v>0.0</v>
      </c>
      <c r="BX107" s="34">
        <v>0.0</v>
      </c>
      <c r="BY107" s="33">
        <f>COUNTIFS('Data For Calculation - Insuranc'!A:A,A107,'Data For Calculation - Insuranc'!D:D,"Company",'Data For Calculation - Insuranc'!E:E,"Rollover - 1 Year TP Only")</f>
        <v>0</v>
      </c>
      <c r="BZ107" s="31">
        <f t="shared" si="1"/>
        <v>0</v>
      </c>
      <c r="CA107" s="33">
        <f>SUMIFS('Data For Calculation - Insuranc'!I:I,'Data For Calculation - Insuranc'!$A:$A,$A107)</f>
        <v>0</v>
      </c>
      <c r="CB107" s="33">
        <f>SUMIFS('Data For Calculation - Insuranc'!J:J,'Data For Calculation - Insuranc'!$A:$A,$A107)</f>
        <v>0</v>
      </c>
      <c r="CC107" s="33">
        <f>SUMIFS('Data For Calculation - Insuranc'!K:K,'Data For Calculation - Insuranc'!$A:$A,$A107)</f>
        <v>0</v>
      </c>
      <c r="CD107" s="33">
        <f>IF($CK107 = "Dealer", SUMIFS('Data For Calculation - Insuranc'!I:I,'Data For Calculation - Insuranc'!$B:$B,$A107,'Data For Calculation - Insuranc'!$H:$H,"Master Dealer")) + SUMIFS('Data For Calculation - Insuranc'!I:I,'Data For Calculation - Insuranc'!$A:$A,$A107,'Data For Calculation - Insuranc'!$H:$H,"Self")</f>
        <v>0</v>
      </c>
      <c r="CE107" s="33">
        <f>IF($CK107 = "Dealer", SUMIFS('Data For Calculation - Insuranc'!J:J,'Data For Calculation - Insuranc'!$B:$B,$A107,'Data For Calculation - Insuranc'!$H:$H,"Master Dealer")) + SUMIFS('Data For Calculation - Insuranc'!J:J,'Data For Calculation - Insuranc'!$A:$A,$A107,'Data For Calculation - Insuranc'!$H:$H,"Self")</f>
        <v>0</v>
      </c>
      <c r="CF107" s="33">
        <f>IF($CK107 = "Dealer", SUMIFS('Data For Calculation - Insuranc'!K:K,'Data For Calculation - Insuranc'!$B:$B,$A107,'Data For Calculation - Insuranc'!$H:$H,"Master Dealer")) + SUMIFS('Data For Calculation - Insuranc'!K:K,'Data For Calculation - Insuranc'!$A:$A,$A107,'Data For Calculation - Insuranc'!$H:$H,"Self")</f>
        <v>0</v>
      </c>
      <c r="CG107" s="25" t="str">
        <f>(Sheet1!N107)</f>
        <v>Shri Durga Motors</v>
      </c>
      <c r="CH107" s="25" t="str">
        <f>(Sheet1!O107)</f>
        <v>1LnxzSZR-Hn1GFJEM91CqSDi8yQ1-11OqyVT04QUkFAM</v>
      </c>
      <c r="CI107" s="25" t="str">
        <f>(Sheet1!AV107)</f>
        <v/>
      </c>
      <c r="CJ107" s="25" t="str">
        <f>(Sheet1!AW107)</f>
        <v/>
      </c>
      <c r="CK107" s="26" t="str">
        <f>(Sheet1!P107)</f>
        <v>Sub Dealer</v>
      </c>
    </row>
    <row r="108">
      <c r="A108" s="25" t="str">
        <f>(Sheet1!A108)</f>
        <v>17j5aRjD4kTe3VvlO2qpEFolWacmd9riwj8nppSGLohk</v>
      </c>
      <c r="B108" s="25" t="str">
        <f>(Sheet1!B108)</f>
        <v>Durga Auto - SMP</v>
      </c>
      <c r="C108" s="30" t="str">
        <f>Sheet1!BB108</f>
        <v>No</v>
      </c>
      <c r="D108" s="30" t="s">
        <v>13</v>
      </c>
      <c r="E108" s="34" t="s">
        <v>13</v>
      </c>
      <c r="F108" s="34" t="s">
        <v>3929</v>
      </c>
      <c r="G108" s="42" t="s">
        <v>3817</v>
      </c>
      <c r="H108" s="43">
        <v>460.0</v>
      </c>
      <c r="I108" s="42" t="s">
        <v>3853</v>
      </c>
      <c r="J108" s="43">
        <v>0.0</v>
      </c>
      <c r="K108" s="43">
        <v>100.0</v>
      </c>
      <c r="L108" s="43">
        <v>0.0</v>
      </c>
      <c r="M108" s="43">
        <v>0.0</v>
      </c>
      <c r="N108" s="33">
        <f>COUNTIFS('Data For Calculation - Insuranc'!A:A,A108,'Data For Calculation - Insuranc'!D:D,"Individual",'Data For Calculation - Insuranc'!E:E,"Bundled - 1 Year OD + 5 Year TP")</f>
        <v>0</v>
      </c>
      <c r="O108" s="34" t="s">
        <v>3930</v>
      </c>
      <c r="P108" s="42" t="s">
        <v>3817</v>
      </c>
      <c r="Q108" s="43">
        <v>460.0</v>
      </c>
      <c r="R108" s="42" t="s">
        <v>3853</v>
      </c>
      <c r="S108" s="43">
        <v>0.0</v>
      </c>
      <c r="T108" s="43">
        <v>100.0</v>
      </c>
      <c r="U108" s="43">
        <v>0.0</v>
      </c>
      <c r="V108" s="43">
        <v>0.0</v>
      </c>
      <c r="W108" s="33">
        <f>COUNTIFS('Data For Calculation - Insuranc'!A:A,A108,'Data For Calculation - Insuranc'!D:D,"Company",'Data For Calculation - Insuranc'!E:E,"Bundled - 1 Year OD + 5 Year TP")</f>
        <v>0</v>
      </c>
      <c r="X108" s="34" t="s">
        <v>3929</v>
      </c>
      <c r="Y108" s="42" t="s">
        <v>3817</v>
      </c>
      <c r="Z108" s="31">
        <v>290.0</v>
      </c>
      <c r="AA108" s="34" t="s">
        <v>3853</v>
      </c>
      <c r="AB108" s="34">
        <v>0.0</v>
      </c>
      <c r="AC108" s="34">
        <v>100.0</v>
      </c>
      <c r="AD108" s="34">
        <v>0.0</v>
      </c>
      <c r="AE108" s="34">
        <v>0.0</v>
      </c>
      <c r="AF108" s="33">
        <f>COUNTIFS('Data For Calculation - Insuranc'!A:A,A108,'Data For Calculation - Insuranc'!D:D,"Individual",'Data For Calculation - Insuranc'!E:E,"Rollover Comprehensive - 1 Year OD + 1 Year TP")</f>
        <v>0</v>
      </c>
      <c r="AG108" s="34" t="s">
        <v>3930</v>
      </c>
      <c r="AH108" s="42" t="s">
        <v>3817</v>
      </c>
      <c r="AI108" s="31">
        <v>290.0</v>
      </c>
      <c r="AJ108" s="34" t="s">
        <v>3853</v>
      </c>
      <c r="AK108" s="34">
        <v>0.0</v>
      </c>
      <c r="AL108" s="34">
        <v>100.0</v>
      </c>
      <c r="AM108" s="34">
        <v>0.0</v>
      </c>
      <c r="AN108" s="34">
        <v>0.0</v>
      </c>
      <c r="AO108" s="33">
        <f>COUNTIFS('Data For Calculation - Insuranc'!A:A,A108,'Data For Calculation - Insuranc'!D:D,"Company",'Data For Calculation - Insuranc'!E:E,"Rollover Comprehensive - 1 Year OD + 1 Year TP")</f>
        <v>0</v>
      </c>
      <c r="AP108" s="34" t="s">
        <v>3931</v>
      </c>
      <c r="AQ108" s="42" t="s">
        <v>3817</v>
      </c>
      <c r="AR108" s="31">
        <v>290.0</v>
      </c>
      <c r="AS108" s="34" t="s">
        <v>3853</v>
      </c>
      <c r="AT108" s="34">
        <v>0.0</v>
      </c>
      <c r="AU108" s="34">
        <v>100.0</v>
      </c>
      <c r="AV108" s="34">
        <v>0.0</v>
      </c>
      <c r="AW108" s="34">
        <v>0.0</v>
      </c>
      <c r="AX108" s="33">
        <f>COUNTIFS('Data For Calculation - Insuranc'!A:A,A108,'Data For Calculation - Insuranc'!D:D,"Individual",'Data For Calculation - Insuranc'!E:E,"Rollover - 1 Year OD Only")</f>
        <v>0</v>
      </c>
      <c r="AY108" s="34" t="s">
        <v>3932</v>
      </c>
      <c r="AZ108" s="42" t="s">
        <v>3817</v>
      </c>
      <c r="BA108" s="31">
        <v>290.0</v>
      </c>
      <c r="BB108" s="34" t="s">
        <v>3853</v>
      </c>
      <c r="BC108" s="34">
        <v>0.0</v>
      </c>
      <c r="BD108" s="34">
        <v>100.0</v>
      </c>
      <c r="BE108" s="34">
        <v>0.0</v>
      </c>
      <c r="BF108" s="34">
        <v>0.0</v>
      </c>
      <c r="BG108" s="33">
        <f>COUNTIFS('Data For Calculation - Insuranc'!A:A,A108,'Data For Calculation - Insuranc'!D:D,"Company",'Data For Calculation - Insuranc'!E:E,"Rollover - 1 Year OD Only")</f>
        <v>0</v>
      </c>
      <c r="BH108" s="34" t="s">
        <v>3931</v>
      </c>
      <c r="BI108" s="42" t="s">
        <v>3817</v>
      </c>
      <c r="BJ108" s="31">
        <v>290.0</v>
      </c>
      <c r="BK108" s="34" t="s">
        <v>3853</v>
      </c>
      <c r="BL108" s="34">
        <v>0.0</v>
      </c>
      <c r="BM108" s="34">
        <v>100.0</v>
      </c>
      <c r="BN108" s="34">
        <v>0.0</v>
      </c>
      <c r="BO108" s="34">
        <v>0.0</v>
      </c>
      <c r="BP108" s="33">
        <f>COUNTIFS('Data For Calculation - Insuranc'!A:A,A108,'Data For Calculation - Insuranc'!D:D,"Individual",'Data For Calculation - Insuranc'!E:E,"Rollover - 1 Year TP Only")</f>
        <v>0</v>
      </c>
      <c r="BQ108" s="34" t="s">
        <v>3932</v>
      </c>
      <c r="BR108" s="42" t="s">
        <v>3817</v>
      </c>
      <c r="BS108" s="31">
        <v>290.0</v>
      </c>
      <c r="BT108" s="34" t="s">
        <v>3853</v>
      </c>
      <c r="BU108" s="34">
        <v>0.0</v>
      </c>
      <c r="BV108" s="34">
        <v>100.0</v>
      </c>
      <c r="BW108" s="34">
        <v>0.0</v>
      </c>
      <c r="BX108" s="34">
        <v>0.0</v>
      </c>
      <c r="BY108" s="33">
        <f>COUNTIFS('Data For Calculation - Insuranc'!A:A,A108,'Data For Calculation - Insuranc'!D:D,"Company",'Data For Calculation - Insuranc'!E:E,"Rollover - 1 Year TP Only")</f>
        <v>0</v>
      </c>
      <c r="BZ108" s="31">
        <f t="shared" si="1"/>
        <v>0</v>
      </c>
      <c r="CA108" s="33">
        <f>SUMIFS('Data For Calculation - Insuranc'!I:I,'Data For Calculation - Insuranc'!$A:$A,$A108)</f>
        <v>0</v>
      </c>
      <c r="CB108" s="33">
        <f>SUMIFS('Data For Calculation - Insuranc'!J:J,'Data For Calculation - Insuranc'!$A:$A,$A108)</f>
        <v>0</v>
      </c>
      <c r="CC108" s="33">
        <f>SUMIFS('Data For Calculation - Insuranc'!K:K,'Data For Calculation - Insuranc'!$A:$A,$A108)</f>
        <v>0</v>
      </c>
      <c r="CD108" s="33">
        <f>IF($CK108 = "Dealer", SUMIFS('Data For Calculation - Insuranc'!I:I,'Data For Calculation - Insuranc'!$B:$B,$A108,'Data For Calculation - Insuranc'!$H:$H,"Master Dealer")) + SUMIFS('Data For Calculation - Insuranc'!I:I,'Data For Calculation - Insuranc'!$A:$A,$A108,'Data For Calculation - Insuranc'!$H:$H,"Self")</f>
        <v>0</v>
      </c>
      <c r="CE108" s="33">
        <f>IF($CK108 = "Dealer", SUMIFS('Data For Calculation - Insuranc'!J:J,'Data For Calculation - Insuranc'!$B:$B,$A108,'Data For Calculation - Insuranc'!$H:$H,"Master Dealer")) + SUMIFS('Data For Calculation - Insuranc'!J:J,'Data For Calculation - Insuranc'!$A:$A,$A108,'Data For Calculation - Insuranc'!$H:$H,"Self")</f>
        <v>0</v>
      </c>
      <c r="CF108" s="33">
        <f>IF($CK108 = "Dealer", SUMIFS('Data For Calculation - Insuranc'!K:K,'Data For Calculation - Insuranc'!$B:$B,$A108,'Data For Calculation - Insuranc'!$H:$H,"Master Dealer")) + SUMIFS('Data For Calculation - Insuranc'!K:K,'Data For Calculation - Insuranc'!$A:$A,$A108,'Data For Calculation - Insuranc'!$H:$H,"Self")</f>
        <v>0</v>
      </c>
      <c r="CG108" s="25" t="str">
        <f>(Sheet1!N108)</f>
        <v>Sahib Motors - Panipat</v>
      </c>
      <c r="CH108" s="25" t="str">
        <f>(Sheet1!O108)</f>
        <v>1K6oaFfzdWrW0ygNwDwWBmlm6lWJxWCUD9ydsyisVA7A</v>
      </c>
      <c r="CI108" s="25" t="str">
        <f>(Sheet1!AV108)</f>
        <v/>
      </c>
      <c r="CJ108" s="25" t="str">
        <f>(Sheet1!AW108)</f>
        <v/>
      </c>
      <c r="CK108" s="26" t="str">
        <f>(Sheet1!P108)</f>
        <v>Sub Dealer</v>
      </c>
    </row>
    <row r="109">
      <c r="A109" s="25" t="str">
        <f>(Sheet1!A109)</f>
        <v>1t3gopzk1OTS3KoTW1PbFTMhVF5pTGTgKOkW5Lr73qQs</v>
      </c>
      <c r="B109" s="25" t="str">
        <f>(Sheet1!B109)</f>
        <v>Dev Vaahan- Hero Palwal</v>
      </c>
      <c r="C109" s="30" t="str">
        <f>Sheet1!BB109</f>
        <v>No</v>
      </c>
      <c r="D109" s="30" t="s">
        <v>13</v>
      </c>
      <c r="E109" s="34" t="s">
        <v>13</v>
      </c>
      <c r="F109" s="34" t="s">
        <v>3929</v>
      </c>
      <c r="G109" s="42" t="s">
        <v>3817</v>
      </c>
      <c r="H109" s="43">
        <v>460.0</v>
      </c>
      <c r="I109" s="42" t="s">
        <v>3853</v>
      </c>
      <c r="J109" s="43">
        <v>0.0</v>
      </c>
      <c r="K109" s="43">
        <v>100.0</v>
      </c>
      <c r="L109" s="43">
        <v>0.0</v>
      </c>
      <c r="M109" s="43">
        <v>0.0</v>
      </c>
      <c r="N109" s="33">
        <f>COUNTIFS('Data For Calculation - Insuranc'!A:A,A109,'Data For Calculation - Insuranc'!D:D,"Individual",'Data For Calculation - Insuranc'!E:E,"Bundled - 1 Year OD + 5 Year TP")</f>
        <v>0</v>
      </c>
      <c r="O109" s="34" t="s">
        <v>3930</v>
      </c>
      <c r="P109" s="42" t="s">
        <v>3817</v>
      </c>
      <c r="Q109" s="43">
        <v>460.0</v>
      </c>
      <c r="R109" s="42" t="s">
        <v>3853</v>
      </c>
      <c r="S109" s="43">
        <v>0.0</v>
      </c>
      <c r="T109" s="43">
        <v>100.0</v>
      </c>
      <c r="U109" s="43">
        <v>0.0</v>
      </c>
      <c r="V109" s="43">
        <v>0.0</v>
      </c>
      <c r="W109" s="33">
        <f>COUNTIFS('Data For Calculation - Insuranc'!A:A,A109,'Data For Calculation - Insuranc'!D:D,"Company",'Data For Calculation - Insuranc'!E:E,"Bundled - 1 Year OD + 5 Year TP")</f>
        <v>0</v>
      </c>
      <c r="X109" s="34" t="s">
        <v>3929</v>
      </c>
      <c r="Y109" s="42" t="s">
        <v>3817</v>
      </c>
      <c r="Z109" s="31">
        <v>290.0</v>
      </c>
      <c r="AA109" s="34" t="s">
        <v>3853</v>
      </c>
      <c r="AB109" s="34">
        <v>0.0</v>
      </c>
      <c r="AC109" s="34">
        <v>100.0</v>
      </c>
      <c r="AD109" s="34">
        <v>0.0</v>
      </c>
      <c r="AE109" s="34">
        <v>0.0</v>
      </c>
      <c r="AF109" s="33">
        <f>COUNTIFS('Data For Calculation - Insuranc'!A:A,A109,'Data For Calculation - Insuranc'!D:D,"Individual",'Data For Calculation - Insuranc'!E:E,"Rollover Comprehensive - 1 Year OD + 1 Year TP")</f>
        <v>0</v>
      </c>
      <c r="AG109" s="34" t="s">
        <v>3930</v>
      </c>
      <c r="AH109" s="42" t="s">
        <v>3817</v>
      </c>
      <c r="AI109" s="31">
        <v>290.0</v>
      </c>
      <c r="AJ109" s="34" t="s">
        <v>3853</v>
      </c>
      <c r="AK109" s="34">
        <v>0.0</v>
      </c>
      <c r="AL109" s="34">
        <v>100.0</v>
      </c>
      <c r="AM109" s="34">
        <v>0.0</v>
      </c>
      <c r="AN109" s="34">
        <v>0.0</v>
      </c>
      <c r="AO109" s="33">
        <f>COUNTIFS('Data For Calculation - Insuranc'!A:A,A109,'Data For Calculation - Insuranc'!D:D,"Company",'Data For Calculation - Insuranc'!E:E,"Rollover Comprehensive - 1 Year OD + 1 Year TP")</f>
        <v>0</v>
      </c>
      <c r="AP109" s="34" t="s">
        <v>3931</v>
      </c>
      <c r="AQ109" s="42" t="s">
        <v>3817</v>
      </c>
      <c r="AR109" s="31">
        <v>290.0</v>
      </c>
      <c r="AS109" s="34" t="s">
        <v>3853</v>
      </c>
      <c r="AT109" s="34">
        <v>0.0</v>
      </c>
      <c r="AU109" s="34">
        <v>100.0</v>
      </c>
      <c r="AV109" s="34">
        <v>0.0</v>
      </c>
      <c r="AW109" s="34">
        <v>0.0</v>
      </c>
      <c r="AX109" s="33">
        <f>COUNTIFS('Data For Calculation - Insuranc'!A:A,A109,'Data For Calculation - Insuranc'!D:D,"Individual",'Data For Calculation - Insuranc'!E:E,"Rollover - 1 Year OD Only")</f>
        <v>0</v>
      </c>
      <c r="AY109" s="34" t="s">
        <v>3932</v>
      </c>
      <c r="AZ109" s="42" t="s">
        <v>3817</v>
      </c>
      <c r="BA109" s="31">
        <v>290.0</v>
      </c>
      <c r="BB109" s="34" t="s">
        <v>3853</v>
      </c>
      <c r="BC109" s="34">
        <v>0.0</v>
      </c>
      <c r="BD109" s="34">
        <v>100.0</v>
      </c>
      <c r="BE109" s="34">
        <v>0.0</v>
      </c>
      <c r="BF109" s="34">
        <v>0.0</v>
      </c>
      <c r="BG109" s="33">
        <f>COUNTIFS('Data For Calculation - Insuranc'!A:A,A109,'Data For Calculation - Insuranc'!D:D,"Company",'Data For Calculation - Insuranc'!E:E,"Rollover - 1 Year OD Only")</f>
        <v>0</v>
      </c>
      <c r="BH109" s="34" t="s">
        <v>3931</v>
      </c>
      <c r="BI109" s="42" t="s">
        <v>3817</v>
      </c>
      <c r="BJ109" s="31">
        <v>290.0</v>
      </c>
      <c r="BK109" s="34" t="s">
        <v>3853</v>
      </c>
      <c r="BL109" s="34">
        <v>0.0</v>
      </c>
      <c r="BM109" s="34">
        <v>100.0</v>
      </c>
      <c r="BN109" s="34">
        <v>0.0</v>
      </c>
      <c r="BO109" s="34">
        <v>0.0</v>
      </c>
      <c r="BP109" s="33">
        <f>COUNTIFS('Data For Calculation - Insuranc'!A:A,A109,'Data For Calculation - Insuranc'!D:D,"Individual",'Data For Calculation - Insuranc'!E:E,"Rollover - 1 Year TP Only")</f>
        <v>0</v>
      </c>
      <c r="BQ109" s="34" t="s">
        <v>3932</v>
      </c>
      <c r="BR109" s="42" t="s">
        <v>3817</v>
      </c>
      <c r="BS109" s="31">
        <v>290.0</v>
      </c>
      <c r="BT109" s="34" t="s">
        <v>3853</v>
      </c>
      <c r="BU109" s="34">
        <v>0.0</v>
      </c>
      <c r="BV109" s="34">
        <v>100.0</v>
      </c>
      <c r="BW109" s="34">
        <v>0.0</v>
      </c>
      <c r="BX109" s="34">
        <v>0.0</v>
      </c>
      <c r="BY109" s="33">
        <f>COUNTIFS('Data For Calculation - Insuranc'!A:A,A109,'Data For Calculation - Insuranc'!D:D,"Company",'Data For Calculation - Insuranc'!E:E,"Rollover - 1 Year TP Only")</f>
        <v>0</v>
      </c>
      <c r="BZ109" s="31">
        <f t="shared" si="1"/>
        <v>0</v>
      </c>
      <c r="CA109" s="33">
        <f>SUMIFS('Data For Calculation - Insuranc'!I:I,'Data For Calculation - Insuranc'!$A:$A,$A109)</f>
        <v>0</v>
      </c>
      <c r="CB109" s="33">
        <f>SUMIFS('Data For Calculation - Insuranc'!J:J,'Data For Calculation - Insuranc'!$A:$A,$A109)</f>
        <v>0</v>
      </c>
      <c r="CC109" s="33">
        <f>SUMIFS('Data For Calculation - Insuranc'!K:K,'Data For Calculation - Insuranc'!$A:$A,$A109)</f>
        <v>0</v>
      </c>
      <c r="CD109" s="33">
        <f>IF($CK109 = "Dealer", SUMIFS('Data For Calculation - Insuranc'!I:I,'Data For Calculation - Insuranc'!$B:$B,$A109,'Data For Calculation - Insuranc'!$H:$H,"Master Dealer")) + SUMIFS('Data For Calculation - Insuranc'!I:I,'Data For Calculation - Insuranc'!$A:$A,$A109,'Data For Calculation - Insuranc'!$H:$H,"Self")</f>
        <v>0</v>
      </c>
      <c r="CE109" s="33">
        <f>IF($CK109 = "Dealer", SUMIFS('Data For Calculation - Insuranc'!J:J,'Data For Calculation - Insuranc'!$B:$B,$A109,'Data For Calculation - Insuranc'!$H:$H,"Master Dealer")) + SUMIFS('Data For Calculation - Insuranc'!J:J,'Data For Calculation - Insuranc'!$A:$A,$A109,'Data For Calculation - Insuranc'!$H:$H,"Self")</f>
        <v>0</v>
      </c>
      <c r="CF109" s="33">
        <f>IF($CK109 = "Dealer", SUMIFS('Data For Calculation - Insuranc'!K:K,'Data For Calculation - Insuranc'!$B:$B,$A109,'Data For Calculation - Insuranc'!$H:$H,"Master Dealer")) + SUMIFS('Data For Calculation - Insuranc'!K:K,'Data For Calculation - Insuranc'!$A:$A,$A109,'Data For Calculation - Insuranc'!$H:$H,"Self")</f>
        <v>0</v>
      </c>
      <c r="CG109" s="25" t="str">
        <f>(Sheet1!N109)</f>
        <v>Dev Vaahan- Hero Palwal</v>
      </c>
      <c r="CH109" s="25" t="str">
        <f>(Sheet1!O109)</f>
        <v>1t3gopzk1OTS3KoTW1PbFTMhVF5pTGTgKOkW5Lr73qQs</v>
      </c>
      <c r="CI109" s="25" t="str">
        <f>(Sheet1!AV109)</f>
        <v/>
      </c>
      <c r="CJ109" s="25" t="str">
        <f>(Sheet1!AW109)</f>
        <v/>
      </c>
      <c r="CK109" s="26" t="str">
        <f>(Sheet1!P109)</f>
        <v>Dealer</v>
      </c>
    </row>
    <row r="110">
      <c r="A110" s="25" t="str">
        <f>(Sheet1!A110)</f>
        <v>1MantqYN_L9u1phKAd2tRf1JbAshYFDLMdeUkvTdUQ8E</v>
      </c>
      <c r="B110" s="25" t="str">
        <f>(Sheet1!B110)</f>
        <v>BD MOTORS TVS - GURGAON</v>
      </c>
      <c r="C110" s="30" t="str">
        <f>Sheet1!BB110</f>
        <v>No</v>
      </c>
      <c r="D110" s="30" t="s">
        <v>13</v>
      </c>
      <c r="E110" s="34" t="s">
        <v>13</v>
      </c>
      <c r="F110" s="34" t="s">
        <v>3929</v>
      </c>
      <c r="G110" s="42" t="s">
        <v>3817</v>
      </c>
      <c r="H110" s="43">
        <v>460.0</v>
      </c>
      <c r="I110" s="42" t="s">
        <v>3853</v>
      </c>
      <c r="J110" s="43">
        <v>0.0</v>
      </c>
      <c r="K110" s="43">
        <v>100.0</v>
      </c>
      <c r="L110" s="43">
        <v>0.0</v>
      </c>
      <c r="M110" s="43">
        <v>0.0</v>
      </c>
      <c r="N110" s="33">
        <f>COUNTIFS('Data For Calculation - Insuranc'!A:A,A110,'Data For Calculation - Insuranc'!D:D,"Individual",'Data For Calculation - Insuranc'!E:E,"Bundled - 1 Year OD + 5 Year TP")</f>
        <v>0</v>
      </c>
      <c r="O110" s="34" t="s">
        <v>3930</v>
      </c>
      <c r="P110" s="42" t="s">
        <v>3817</v>
      </c>
      <c r="Q110" s="43">
        <v>460.0</v>
      </c>
      <c r="R110" s="42" t="s">
        <v>3853</v>
      </c>
      <c r="S110" s="43">
        <v>0.0</v>
      </c>
      <c r="T110" s="43">
        <v>100.0</v>
      </c>
      <c r="U110" s="43">
        <v>0.0</v>
      </c>
      <c r="V110" s="43">
        <v>0.0</v>
      </c>
      <c r="W110" s="33">
        <f>COUNTIFS('Data For Calculation - Insuranc'!A:A,A110,'Data For Calculation - Insuranc'!D:D,"Company",'Data For Calculation - Insuranc'!E:E,"Bundled - 1 Year OD + 5 Year TP")</f>
        <v>0</v>
      </c>
      <c r="X110" s="34" t="s">
        <v>3929</v>
      </c>
      <c r="Y110" s="42" t="s">
        <v>3817</v>
      </c>
      <c r="Z110" s="31">
        <v>290.0</v>
      </c>
      <c r="AA110" s="34" t="s">
        <v>3853</v>
      </c>
      <c r="AB110" s="34">
        <v>0.0</v>
      </c>
      <c r="AC110" s="34">
        <v>100.0</v>
      </c>
      <c r="AD110" s="34">
        <v>0.0</v>
      </c>
      <c r="AE110" s="34">
        <v>0.0</v>
      </c>
      <c r="AF110" s="33">
        <f>COUNTIFS('Data For Calculation - Insuranc'!A:A,A110,'Data For Calculation - Insuranc'!D:D,"Individual",'Data For Calculation - Insuranc'!E:E,"Rollover Comprehensive - 1 Year OD + 1 Year TP")</f>
        <v>0</v>
      </c>
      <c r="AG110" s="34" t="s">
        <v>3930</v>
      </c>
      <c r="AH110" s="42" t="s">
        <v>3817</v>
      </c>
      <c r="AI110" s="31">
        <v>290.0</v>
      </c>
      <c r="AJ110" s="34" t="s">
        <v>3853</v>
      </c>
      <c r="AK110" s="34">
        <v>0.0</v>
      </c>
      <c r="AL110" s="34">
        <v>100.0</v>
      </c>
      <c r="AM110" s="34">
        <v>0.0</v>
      </c>
      <c r="AN110" s="34">
        <v>0.0</v>
      </c>
      <c r="AO110" s="33">
        <f>COUNTIFS('Data For Calculation - Insuranc'!A:A,A110,'Data For Calculation - Insuranc'!D:D,"Company",'Data For Calculation - Insuranc'!E:E,"Rollover Comprehensive - 1 Year OD + 1 Year TP")</f>
        <v>0</v>
      </c>
      <c r="AP110" s="34" t="s">
        <v>3931</v>
      </c>
      <c r="AQ110" s="42" t="s">
        <v>3817</v>
      </c>
      <c r="AR110" s="31">
        <v>290.0</v>
      </c>
      <c r="AS110" s="34" t="s">
        <v>3853</v>
      </c>
      <c r="AT110" s="34">
        <v>0.0</v>
      </c>
      <c r="AU110" s="34">
        <v>100.0</v>
      </c>
      <c r="AV110" s="34">
        <v>0.0</v>
      </c>
      <c r="AW110" s="34">
        <v>0.0</v>
      </c>
      <c r="AX110" s="33">
        <f>COUNTIFS('Data For Calculation - Insuranc'!A:A,A110,'Data For Calculation - Insuranc'!D:D,"Individual",'Data For Calculation - Insuranc'!E:E,"Rollover - 1 Year OD Only")</f>
        <v>0</v>
      </c>
      <c r="AY110" s="34" t="s">
        <v>3932</v>
      </c>
      <c r="AZ110" s="42" t="s">
        <v>3817</v>
      </c>
      <c r="BA110" s="31">
        <v>290.0</v>
      </c>
      <c r="BB110" s="34" t="s">
        <v>3853</v>
      </c>
      <c r="BC110" s="34">
        <v>0.0</v>
      </c>
      <c r="BD110" s="34">
        <v>100.0</v>
      </c>
      <c r="BE110" s="34">
        <v>0.0</v>
      </c>
      <c r="BF110" s="34">
        <v>0.0</v>
      </c>
      <c r="BG110" s="33">
        <f>COUNTIFS('Data For Calculation - Insuranc'!A:A,A110,'Data For Calculation - Insuranc'!D:D,"Company",'Data For Calculation - Insuranc'!E:E,"Rollover - 1 Year OD Only")</f>
        <v>0</v>
      </c>
      <c r="BH110" s="34" t="s">
        <v>3931</v>
      </c>
      <c r="BI110" s="42" t="s">
        <v>3817</v>
      </c>
      <c r="BJ110" s="31">
        <v>290.0</v>
      </c>
      <c r="BK110" s="34" t="s">
        <v>3853</v>
      </c>
      <c r="BL110" s="34">
        <v>0.0</v>
      </c>
      <c r="BM110" s="34">
        <v>100.0</v>
      </c>
      <c r="BN110" s="34">
        <v>0.0</v>
      </c>
      <c r="BO110" s="34">
        <v>0.0</v>
      </c>
      <c r="BP110" s="33">
        <f>COUNTIFS('Data For Calculation - Insuranc'!A:A,A110,'Data For Calculation - Insuranc'!D:D,"Individual",'Data For Calculation - Insuranc'!E:E,"Rollover - 1 Year TP Only")</f>
        <v>0</v>
      </c>
      <c r="BQ110" s="34" t="s">
        <v>3932</v>
      </c>
      <c r="BR110" s="42" t="s">
        <v>3817</v>
      </c>
      <c r="BS110" s="31">
        <v>290.0</v>
      </c>
      <c r="BT110" s="34" t="s">
        <v>3853</v>
      </c>
      <c r="BU110" s="34">
        <v>0.0</v>
      </c>
      <c r="BV110" s="34">
        <v>100.0</v>
      </c>
      <c r="BW110" s="34">
        <v>0.0</v>
      </c>
      <c r="BX110" s="34">
        <v>0.0</v>
      </c>
      <c r="BY110" s="33">
        <f>COUNTIFS('Data For Calculation - Insuranc'!A:A,A110,'Data For Calculation - Insuranc'!D:D,"Company",'Data For Calculation - Insuranc'!E:E,"Rollover - 1 Year TP Only")</f>
        <v>0</v>
      </c>
      <c r="BZ110" s="31">
        <f t="shared" si="1"/>
        <v>0</v>
      </c>
      <c r="CA110" s="33">
        <f>SUMIFS('Data For Calculation - Insuranc'!I:I,'Data For Calculation - Insuranc'!$A:$A,$A110)</f>
        <v>0</v>
      </c>
      <c r="CB110" s="33">
        <f>SUMIFS('Data For Calculation - Insuranc'!J:J,'Data For Calculation - Insuranc'!$A:$A,$A110)</f>
        <v>0</v>
      </c>
      <c r="CC110" s="33">
        <f>SUMIFS('Data For Calculation - Insuranc'!K:K,'Data For Calculation - Insuranc'!$A:$A,$A110)</f>
        <v>0</v>
      </c>
      <c r="CD110" s="33">
        <f>IF($CK110 = "Dealer", SUMIFS('Data For Calculation - Insuranc'!I:I,'Data For Calculation - Insuranc'!$B:$B,$A110,'Data For Calculation - Insuranc'!$H:$H,"Master Dealer")) + SUMIFS('Data For Calculation - Insuranc'!I:I,'Data For Calculation - Insuranc'!$A:$A,$A110,'Data For Calculation - Insuranc'!$H:$H,"Self")</f>
        <v>0</v>
      </c>
      <c r="CE110" s="33">
        <f>IF($CK110 = "Dealer", SUMIFS('Data For Calculation - Insuranc'!J:J,'Data For Calculation - Insuranc'!$B:$B,$A110,'Data For Calculation - Insuranc'!$H:$H,"Master Dealer")) + SUMIFS('Data For Calculation - Insuranc'!J:J,'Data For Calculation - Insuranc'!$A:$A,$A110,'Data For Calculation - Insuranc'!$H:$H,"Self")</f>
        <v>0</v>
      </c>
      <c r="CF110" s="33">
        <f>IF($CK110 = "Dealer", SUMIFS('Data For Calculation - Insuranc'!K:K,'Data For Calculation - Insuranc'!$B:$B,$A110,'Data For Calculation - Insuranc'!$H:$H,"Master Dealer")) + SUMIFS('Data For Calculation - Insuranc'!K:K,'Data For Calculation - Insuranc'!$A:$A,$A110,'Data For Calculation - Insuranc'!$H:$H,"Self")</f>
        <v>0</v>
      </c>
      <c r="CG110" s="25" t="str">
        <f>(Sheet1!N110)</f>
        <v>BD MOTORS TVS - GURGAON</v>
      </c>
      <c r="CH110" s="25" t="str">
        <f>(Sheet1!O110)</f>
        <v>1MantqYN_L9u1phKAd2tRf1JbAshYFDLMdeUkvTdUQ8E</v>
      </c>
      <c r="CI110" s="25" t="str">
        <f>(Sheet1!AV110)</f>
        <v/>
      </c>
      <c r="CJ110" s="25" t="str">
        <f>(Sheet1!AW110)</f>
        <v/>
      </c>
      <c r="CK110" s="26" t="str">
        <f>(Sheet1!P110)</f>
        <v>Dealer</v>
      </c>
    </row>
    <row r="111">
      <c r="A111" s="25" t="str">
        <f>(Sheet1!A111)</f>
        <v>176zvh_D144kr5dn49FjVWXAIKjjIO1Wqb6zAj_kGTr4</v>
      </c>
      <c r="B111" s="25" t="str">
        <f>(Sheet1!B111)</f>
        <v>Sai Auto</v>
      </c>
      <c r="C111" s="30" t="str">
        <f>Sheet1!BB111</f>
        <v>No</v>
      </c>
      <c r="D111" s="30" t="s">
        <v>13</v>
      </c>
      <c r="E111" s="34" t="s">
        <v>13</v>
      </c>
      <c r="F111" s="34" t="s">
        <v>3929</v>
      </c>
      <c r="G111" s="42" t="s">
        <v>3817</v>
      </c>
      <c r="H111" s="43">
        <v>460.0</v>
      </c>
      <c r="I111" s="42" t="s">
        <v>3853</v>
      </c>
      <c r="J111" s="43">
        <v>0.0</v>
      </c>
      <c r="K111" s="43">
        <v>100.0</v>
      </c>
      <c r="L111" s="43">
        <v>0.0</v>
      </c>
      <c r="M111" s="43">
        <v>0.0</v>
      </c>
      <c r="N111" s="33">
        <f>COUNTIFS('Data For Calculation - Insuranc'!A:A,A111,'Data For Calculation - Insuranc'!D:D,"Individual",'Data For Calculation - Insuranc'!E:E,"Bundled - 1 Year OD + 5 Year TP")</f>
        <v>0</v>
      </c>
      <c r="O111" s="34" t="s">
        <v>3930</v>
      </c>
      <c r="P111" s="42" t="s">
        <v>3817</v>
      </c>
      <c r="Q111" s="43">
        <v>460.0</v>
      </c>
      <c r="R111" s="42" t="s">
        <v>3853</v>
      </c>
      <c r="S111" s="43">
        <v>0.0</v>
      </c>
      <c r="T111" s="43">
        <v>100.0</v>
      </c>
      <c r="U111" s="43">
        <v>0.0</v>
      </c>
      <c r="V111" s="43">
        <v>0.0</v>
      </c>
      <c r="W111" s="33">
        <f>COUNTIFS('Data For Calculation - Insuranc'!A:A,A111,'Data For Calculation - Insuranc'!D:D,"Company",'Data For Calculation - Insuranc'!E:E,"Bundled - 1 Year OD + 5 Year TP")</f>
        <v>0</v>
      </c>
      <c r="X111" s="34" t="s">
        <v>3929</v>
      </c>
      <c r="Y111" s="42" t="s">
        <v>3817</v>
      </c>
      <c r="Z111" s="31">
        <v>290.0</v>
      </c>
      <c r="AA111" s="34" t="s">
        <v>3853</v>
      </c>
      <c r="AB111" s="34">
        <v>0.0</v>
      </c>
      <c r="AC111" s="34">
        <v>100.0</v>
      </c>
      <c r="AD111" s="34">
        <v>0.0</v>
      </c>
      <c r="AE111" s="34">
        <v>0.0</v>
      </c>
      <c r="AF111" s="33">
        <f>COUNTIFS('Data For Calculation - Insuranc'!A:A,A111,'Data For Calculation - Insuranc'!D:D,"Individual",'Data For Calculation - Insuranc'!E:E,"Rollover Comprehensive - 1 Year OD + 1 Year TP")</f>
        <v>0</v>
      </c>
      <c r="AG111" s="34" t="s">
        <v>3930</v>
      </c>
      <c r="AH111" s="42" t="s">
        <v>3817</v>
      </c>
      <c r="AI111" s="31">
        <v>290.0</v>
      </c>
      <c r="AJ111" s="34" t="s">
        <v>3853</v>
      </c>
      <c r="AK111" s="34">
        <v>0.0</v>
      </c>
      <c r="AL111" s="34">
        <v>100.0</v>
      </c>
      <c r="AM111" s="34">
        <v>0.0</v>
      </c>
      <c r="AN111" s="34">
        <v>0.0</v>
      </c>
      <c r="AO111" s="33">
        <f>COUNTIFS('Data For Calculation - Insuranc'!A:A,A111,'Data For Calculation - Insuranc'!D:D,"Company",'Data For Calculation - Insuranc'!E:E,"Rollover Comprehensive - 1 Year OD + 1 Year TP")</f>
        <v>0</v>
      </c>
      <c r="AP111" s="34" t="s">
        <v>3931</v>
      </c>
      <c r="AQ111" s="42" t="s">
        <v>3817</v>
      </c>
      <c r="AR111" s="31">
        <v>290.0</v>
      </c>
      <c r="AS111" s="34" t="s">
        <v>3853</v>
      </c>
      <c r="AT111" s="34">
        <v>0.0</v>
      </c>
      <c r="AU111" s="34">
        <v>100.0</v>
      </c>
      <c r="AV111" s="34">
        <v>0.0</v>
      </c>
      <c r="AW111" s="34">
        <v>0.0</v>
      </c>
      <c r="AX111" s="33">
        <f>COUNTIFS('Data For Calculation - Insuranc'!A:A,A111,'Data For Calculation - Insuranc'!D:D,"Individual",'Data For Calculation - Insuranc'!E:E,"Rollover - 1 Year OD Only")</f>
        <v>0</v>
      </c>
      <c r="AY111" s="34" t="s">
        <v>3932</v>
      </c>
      <c r="AZ111" s="42" t="s">
        <v>3817</v>
      </c>
      <c r="BA111" s="31">
        <v>290.0</v>
      </c>
      <c r="BB111" s="34" t="s">
        <v>3853</v>
      </c>
      <c r="BC111" s="34">
        <v>0.0</v>
      </c>
      <c r="BD111" s="34">
        <v>100.0</v>
      </c>
      <c r="BE111" s="34">
        <v>0.0</v>
      </c>
      <c r="BF111" s="34">
        <v>0.0</v>
      </c>
      <c r="BG111" s="33">
        <f>COUNTIFS('Data For Calculation - Insuranc'!A:A,A111,'Data For Calculation - Insuranc'!D:D,"Company",'Data For Calculation - Insuranc'!E:E,"Rollover - 1 Year OD Only")</f>
        <v>0</v>
      </c>
      <c r="BH111" s="34" t="s">
        <v>3931</v>
      </c>
      <c r="BI111" s="42" t="s">
        <v>3817</v>
      </c>
      <c r="BJ111" s="31">
        <v>290.0</v>
      </c>
      <c r="BK111" s="34" t="s">
        <v>3853</v>
      </c>
      <c r="BL111" s="34">
        <v>0.0</v>
      </c>
      <c r="BM111" s="34">
        <v>100.0</v>
      </c>
      <c r="BN111" s="34">
        <v>0.0</v>
      </c>
      <c r="BO111" s="34">
        <v>0.0</v>
      </c>
      <c r="BP111" s="33">
        <f>COUNTIFS('Data For Calculation - Insuranc'!A:A,A111,'Data For Calculation - Insuranc'!D:D,"Individual",'Data For Calculation - Insuranc'!E:E,"Rollover - 1 Year TP Only")</f>
        <v>0</v>
      </c>
      <c r="BQ111" s="34" t="s">
        <v>3932</v>
      </c>
      <c r="BR111" s="42" t="s">
        <v>3817</v>
      </c>
      <c r="BS111" s="31">
        <v>290.0</v>
      </c>
      <c r="BT111" s="34" t="s">
        <v>3853</v>
      </c>
      <c r="BU111" s="34">
        <v>0.0</v>
      </c>
      <c r="BV111" s="34">
        <v>100.0</v>
      </c>
      <c r="BW111" s="34">
        <v>0.0</v>
      </c>
      <c r="BX111" s="34">
        <v>0.0</v>
      </c>
      <c r="BY111" s="33">
        <f>COUNTIFS('Data For Calculation - Insuranc'!A:A,A111,'Data For Calculation - Insuranc'!D:D,"Company",'Data For Calculation - Insuranc'!E:E,"Rollover - 1 Year TP Only")</f>
        <v>0</v>
      </c>
      <c r="BZ111" s="31">
        <f t="shared" si="1"/>
        <v>0</v>
      </c>
      <c r="CA111" s="33">
        <f>SUMIFS('Data For Calculation - Insuranc'!I:I,'Data For Calculation - Insuranc'!$A:$A,$A111)</f>
        <v>0</v>
      </c>
      <c r="CB111" s="33">
        <f>SUMIFS('Data For Calculation - Insuranc'!J:J,'Data For Calculation - Insuranc'!$A:$A,$A111)</f>
        <v>0</v>
      </c>
      <c r="CC111" s="33">
        <f>SUMIFS('Data For Calculation - Insuranc'!K:K,'Data For Calculation - Insuranc'!$A:$A,$A111)</f>
        <v>0</v>
      </c>
      <c r="CD111" s="33">
        <f>IF($CK111 = "Dealer", SUMIFS('Data For Calculation - Insuranc'!I:I,'Data For Calculation - Insuranc'!$B:$B,$A111,'Data For Calculation - Insuranc'!$H:$H,"Master Dealer")) + SUMIFS('Data For Calculation - Insuranc'!I:I,'Data For Calculation - Insuranc'!$A:$A,$A111,'Data For Calculation - Insuranc'!$H:$H,"Self")</f>
        <v>0</v>
      </c>
      <c r="CE111" s="33">
        <f>IF($CK111 = "Dealer", SUMIFS('Data For Calculation - Insuranc'!J:J,'Data For Calculation - Insuranc'!$B:$B,$A111,'Data For Calculation - Insuranc'!$H:$H,"Master Dealer")) + SUMIFS('Data For Calculation - Insuranc'!J:J,'Data For Calculation - Insuranc'!$A:$A,$A111,'Data For Calculation - Insuranc'!$H:$H,"Self")</f>
        <v>0</v>
      </c>
      <c r="CF111" s="33">
        <f>IF($CK111 = "Dealer", SUMIFS('Data For Calculation - Insuranc'!K:K,'Data For Calculation - Insuranc'!$B:$B,$A111,'Data For Calculation - Insuranc'!$H:$H,"Master Dealer")) + SUMIFS('Data For Calculation - Insuranc'!K:K,'Data For Calculation - Insuranc'!$A:$A,$A111,'Data For Calculation - Insuranc'!$H:$H,"Self")</f>
        <v>0</v>
      </c>
      <c r="CG111" s="25" t="str">
        <f>(Sheet1!N111)</f>
        <v>Sai Auto</v>
      </c>
      <c r="CH111" s="25" t="str">
        <f>(Sheet1!O111)</f>
        <v>176zvh_D144kr5dn49FjVWXAIKjjIO1Wqb6zAj_kGTr4</v>
      </c>
      <c r="CI111" s="25" t="str">
        <f>(Sheet1!AV111)</f>
        <v/>
      </c>
      <c r="CJ111" s="25" t="str">
        <f>(Sheet1!AW111)</f>
        <v/>
      </c>
      <c r="CK111" s="26" t="str">
        <f>(Sheet1!P111)</f>
        <v>Dealer</v>
      </c>
    </row>
    <row r="112">
      <c r="A112" s="25" t="str">
        <f>(Sheet1!A112)</f>
        <v>1C_6P8aZHJLH36sahBuwDXCSV6YfPH0RInIufKGWcO4E</v>
      </c>
      <c r="B112" s="25" t="str">
        <f>(Sheet1!B112)</f>
        <v>VAW Narona</v>
      </c>
      <c r="C112" s="30" t="str">
        <f>Sheet1!BB112</f>
        <v>No</v>
      </c>
      <c r="D112" s="30" t="s">
        <v>13</v>
      </c>
      <c r="E112" s="34" t="s">
        <v>13</v>
      </c>
      <c r="F112" s="34" t="s">
        <v>3929</v>
      </c>
      <c r="G112" s="42" t="s">
        <v>3820</v>
      </c>
      <c r="H112" s="43">
        <v>170.0</v>
      </c>
      <c r="I112" s="42" t="s">
        <v>3853</v>
      </c>
      <c r="J112" s="43">
        <v>0.0</v>
      </c>
      <c r="K112" s="43">
        <v>100.0</v>
      </c>
      <c r="L112" s="43">
        <v>0.0</v>
      </c>
      <c r="M112" s="43">
        <v>0.0</v>
      </c>
      <c r="N112" s="33">
        <f>COUNTIFS('Data For Calculation - Insuranc'!A:A,A112,'Data For Calculation - Insuranc'!D:D,"Individual",'Data For Calculation - Insuranc'!E:E,"Bundled - 1 Year OD + 5 Year TP")</f>
        <v>0</v>
      </c>
      <c r="O112" s="34" t="s">
        <v>3930</v>
      </c>
      <c r="P112" s="42" t="s">
        <v>3820</v>
      </c>
      <c r="Q112" s="43">
        <v>170.0</v>
      </c>
      <c r="R112" s="42" t="s">
        <v>3853</v>
      </c>
      <c r="S112" s="43">
        <v>0.0</v>
      </c>
      <c r="T112" s="43">
        <v>100.0</v>
      </c>
      <c r="U112" s="43">
        <v>0.0</v>
      </c>
      <c r="V112" s="43">
        <v>0.0</v>
      </c>
      <c r="W112" s="33">
        <f>COUNTIFS('Data For Calculation - Insuranc'!A:A,A112,'Data For Calculation - Insuranc'!D:D,"Company",'Data For Calculation - Insuranc'!E:E,"Bundled - 1 Year OD + 5 Year TP")</f>
        <v>0</v>
      </c>
      <c r="X112" s="34" t="s">
        <v>3929</v>
      </c>
      <c r="Y112" s="42" t="s">
        <v>3820</v>
      </c>
      <c r="Z112" s="31">
        <v>170.0</v>
      </c>
      <c r="AA112" s="34" t="s">
        <v>3853</v>
      </c>
      <c r="AB112" s="34">
        <v>0.0</v>
      </c>
      <c r="AC112" s="34">
        <v>100.0</v>
      </c>
      <c r="AD112" s="34">
        <v>0.0</v>
      </c>
      <c r="AE112" s="34">
        <v>0.0</v>
      </c>
      <c r="AF112" s="33">
        <f>COUNTIFS('Data For Calculation - Insuranc'!A:A,A112,'Data For Calculation - Insuranc'!D:D,"Individual",'Data For Calculation - Insuranc'!E:E,"Rollover Comprehensive - 1 Year OD + 1 Year TP")</f>
        <v>0</v>
      </c>
      <c r="AG112" s="34" t="s">
        <v>3930</v>
      </c>
      <c r="AH112" s="42" t="s">
        <v>3820</v>
      </c>
      <c r="AI112" s="31">
        <v>170.0</v>
      </c>
      <c r="AJ112" s="34" t="s">
        <v>3853</v>
      </c>
      <c r="AK112" s="34">
        <v>0.0</v>
      </c>
      <c r="AL112" s="34">
        <v>100.0</v>
      </c>
      <c r="AM112" s="34">
        <v>0.0</v>
      </c>
      <c r="AN112" s="34">
        <v>0.0</v>
      </c>
      <c r="AO112" s="33">
        <f>COUNTIFS('Data For Calculation - Insuranc'!A:A,A112,'Data For Calculation - Insuranc'!D:D,"Company",'Data For Calculation - Insuranc'!E:E,"Rollover Comprehensive - 1 Year OD + 1 Year TP")</f>
        <v>0</v>
      </c>
      <c r="AP112" s="34" t="s">
        <v>3931</v>
      </c>
      <c r="AQ112" s="42" t="s">
        <v>3820</v>
      </c>
      <c r="AR112" s="31">
        <v>170.0</v>
      </c>
      <c r="AS112" s="34" t="s">
        <v>3853</v>
      </c>
      <c r="AT112" s="34">
        <v>0.0</v>
      </c>
      <c r="AU112" s="34">
        <v>100.0</v>
      </c>
      <c r="AV112" s="34">
        <v>0.0</v>
      </c>
      <c r="AW112" s="34">
        <v>0.0</v>
      </c>
      <c r="AX112" s="33">
        <f>COUNTIFS('Data For Calculation - Insuranc'!A:A,A112,'Data For Calculation - Insuranc'!D:D,"Individual",'Data For Calculation - Insuranc'!E:E,"Rollover - 1 Year OD Only")</f>
        <v>0</v>
      </c>
      <c r="AY112" s="34" t="s">
        <v>3932</v>
      </c>
      <c r="AZ112" s="42" t="s">
        <v>3820</v>
      </c>
      <c r="BA112" s="31">
        <v>170.0</v>
      </c>
      <c r="BB112" s="34" t="s">
        <v>3853</v>
      </c>
      <c r="BC112" s="34">
        <v>0.0</v>
      </c>
      <c r="BD112" s="34">
        <v>100.0</v>
      </c>
      <c r="BE112" s="34">
        <v>0.0</v>
      </c>
      <c r="BF112" s="34">
        <v>0.0</v>
      </c>
      <c r="BG112" s="33">
        <f>COUNTIFS('Data For Calculation - Insuranc'!A:A,A112,'Data For Calculation - Insuranc'!D:D,"Company",'Data For Calculation - Insuranc'!E:E,"Rollover - 1 Year OD Only")</f>
        <v>0</v>
      </c>
      <c r="BH112" s="34" t="s">
        <v>3931</v>
      </c>
      <c r="BI112" s="42" t="s">
        <v>3820</v>
      </c>
      <c r="BJ112" s="31">
        <v>170.0</v>
      </c>
      <c r="BK112" s="34" t="s">
        <v>3853</v>
      </c>
      <c r="BL112" s="34">
        <v>0.0</v>
      </c>
      <c r="BM112" s="34">
        <v>100.0</v>
      </c>
      <c r="BN112" s="34">
        <v>0.0</v>
      </c>
      <c r="BO112" s="34">
        <v>0.0</v>
      </c>
      <c r="BP112" s="33">
        <f>COUNTIFS('Data For Calculation - Insuranc'!A:A,A112,'Data For Calculation - Insuranc'!D:D,"Individual",'Data For Calculation - Insuranc'!E:E,"Rollover - 1 Year TP Only")</f>
        <v>0</v>
      </c>
      <c r="BQ112" s="34" t="s">
        <v>3932</v>
      </c>
      <c r="BR112" s="42" t="s">
        <v>3820</v>
      </c>
      <c r="BS112" s="31">
        <v>170.0</v>
      </c>
      <c r="BT112" s="34" t="s">
        <v>3853</v>
      </c>
      <c r="BU112" s="34">
        <v>0.0</v>
      </c>
      <c r="BV112" s="34">
        <v>100.0</v>
      </c>
      <c r="BW112" s="34">
        <v>0.0</v>
      </c>
      <c r="BX112" s="34">
        <v>0.0</v>
      </c>
      <c r="BY112" s="33">
        <f>COUNTIFS('Data For Calculation - Insuranc'!A:A,A112,'Data For Calculation - Insuranc'!D:D,"Company",'Data For Calculation - Insuranc'!E:E,"Rollover - 1 Year TP Only")</f>
        <v>0</v>
      </c>
      <c r="BZ112" s="31">
        <f t="shared" si="1"/>
        <v>0</v>
      </c>
      <c r="CA112" s="33">
        <f>SUMIFS('Data For Calculation - Insuranc'!I:I,'Data For Calculation - Insuranc'!$A:$A,$A112)</f>
        <v>0</v>
      </c>
      <c r="CB112" s="33">
        <f>SUMIFS('Data For Calculation - Insuranc'!J:J,'Data For Calculation - Insuranc'!$A:$A,$A112)</f>
        <v>0</v>
      </c>
      <c r="CC112" s="33">
        <f>SUMIFS('Data For Calculation - Insuranc'!K:K,'Data For Calculation - Insuranc'!$A:$A,$A112)</f>
        <v>0</v>
      </c>
      <c r="CD112" s="33">
        <f>IF($CK112 = "Dealer", SUMIFS('Data For Calculation - Insuranc'!I:I,'Data For Calculation - Insuranc'!$B:$B,$A112,'Data For Calculation - Insuranc'!$H:$H,"Master Dealer")) + SUMIFS('Data For Calculation - Insuranc'!I:I,'Data For Calculation - Insuranc'!$A:$A,$A112,'Data For Calculation - Insuranc'!$H:$H,"Self")</f>
        <v>0</v>
      </c>
      <c r="CE112" s="33">
        <f>IF($CK112 = "Dealer", SUMIFS('Data For Calculation - Insuranc'!J:J,'Data For Calculation - Insuranc'!$B:$B,$A112,'Data For Calculation - Insuranc'!$H:$H,"Master Dealer")) + SUMIFS('Data For Calculation - Insuranc'!J:J,'Data For Calculation - Insuranc'!$A:$A,$A112,'Data For Calculation - Insuranc'!$H:$H,"Self")</f>
        <v>0</v>
      </c>
      <c r="CF112" s="33">
        <f>IF($CK112 = "Dealer", SUMIFS('Data For Calculation - Insuranc'!K:K,'Data For Calculation - Insuranc'!$B:$B,$A112,'Data For Calculation - Insuranc'!$H:$H,"Master Dealer")) + SUMIFS('Data For Calculation - Insuranc'!K:K,'Data For Calculation - Insuranc'!$A:$A,$A112,'Data For Calculation - Insuranc'!$H:$H,"Self")</f>
        <v>0</v>
      </c>
      <c r="CG112" s="25" t="str">
        <f>(Sheet1!N112)</f>
        <v>Vikas Autowheels</v>
      </c>
      <c r="CH112" s="25" t="str">
        <f>(Sheet1!O112)</f>
        <v>1944RLX7T1M23YXRXYoMnJ6nD_bKLldQXRpFRA0rDLvg</v>
      </c>
      <c r="CI112" s="25" t="str">
        <f>(Sheet1!AV112)</f>
        <v/>
      </c>
      <c r="CJ112" s="25" t="str">
        <f>(Sheet1!AW112)</f>
        <v/>
      </c>
      <c r="CK112" s="26" t="str">
        <f>(Sheet1!P112)</f>
        <v>Sub Dealer</v>
      </c>
    </row>
    <row r="113">
      <c r="A113" s="25" t="str">
        <f>(Sheet1!A113)</f>
        <v>1olMJPxdvTblXlRJ5Kke7BysRgQVWxsLISMo98ayU8oo</v>
      </c>
      <c r="B113" s="25" t="str">
        <f>(Sheet1!B113)</f>
        <v>Gaurav arora</v>
      </c>
      <c r="C113" s="30" t="str">
        <f>Sheet1!BB113</f>
        <v>No</v>
      </c>
      <c r="D113" s="30" t="s">
        <v>13</v>
      </c>
      <c r="E113" s="34" t="s">
        <v>13</v>
      </c>
      <c r="F113" s="34" t="s">
        <v>3929</v>
      </c>
      <c r="G113" s="42" t="s">
        <v>3817</v>
      </c>
      <c r="H113" s="43">
        <v>460.0</v>
      </c>
      <c r="I113" s="42" t="s">
        <v>3853</v>
      </c>
      <c r="J113" s="43">
        <v>0.0</v>
      </c>
      <c r="K113" s="43">
        <v>100.0</v>
      </c>
      <c r="L113" s="43">
        <v>0.0</v>
      </c>
      <c r="M113" s="43">
        <v>0.0</v>
      </c>
      <c r="N113" s="33">
        <f>COUNTIFS('Data For Calculation - Insuranc'!A:A,A113,'Data For Calculation - Insuranc'!D:D,"Individual",'Data For Calculation - Insuranc'!E:E,"Bundled - 1 Year OD + 5 Year TP")</f>
        <v>0</v>
      </c>
      <c r="O113" s="34" t="s">
        <v>3930</v>
      </c>
      <c r="P113" s="42" t="s">
        <v>3817</v>
      </c>
      <c r="Q113" s="43">
        <v>460.0</v>
      </c>
      <c r="R113" s="42" t="s">
        <v>3853</v>
      </c>
      <c r="S113" s="43">
        <v>0.0</v>
      </c>
      <c r="T113" s="43">
        <v>100.0</v>
      </c>
      <c r="U113" s="43">
        <v>0.0</v>
      </c>
      <c r="V113" s="43">
        <v>0.0</v>
      </c>
      <c r="W113" s="33">
        <f>COUNTIFS('Data For Calculation - Insuranc'!A:A,A113,'Data For Calculation - Insuranc'!D:D,"Company",'Data For Calculation - Insuranc'!E:E,"Bundled - 1 Year OD + 5 Year TP")</f>
        <v>0</v>
      </c>
      <c r="X113" s="34" t="s">
        <v>3929</v>
      </c>
      <c r="Y113" s="42" t="s">
        <v>3817</v>
      </c>
      <c r="Z113" s="31">
        <v>290.0</v>
      </c>
      <c r="AA113" s="34" t="s">
        <v>3853</v>
      </c>
      <c r="AB113" s="34">
        <v>0.0</v>
      </c>
      <c r="AC113" s="34">
        <v>100.0</v>
      </c>
      <c r="AD113" s="34">
        <v>0.0</v>
      </c>
      <c r="AE113" s="34">
        <v>0.0</v>
      </c>
      <c r="AF113" s="33">
        <f>COUNTIFS('Data For Calculation - Insuranc'!A:A,A113,'Data For Calculation - Insuranc'!D:D,"Individual",'Data For Calculation - Insuranc'!E:E,"Rollover Comprehensive - 1 Year OD + 1 Year TP")</f>
        <v>0</v>
      </c>
      <c r="AG113" s="34" t="s">
        <v>3930</v>
      </c>
      <c r="AH113" s="42" t="s">
        <v>3817</v>
      </c>
      <c r="AI113" s="31">
        <v>290.0</v>
      </c>
      <c r="AJ113" s="34" t="s">
        <v>3853</v>
      </c>
      <c r="AK113" s="34">
        <v>0.0</v>
      </c>
      <c r="AL113" s="34">
        <v>100.0</v>
      </c>
      <c r="AM113" s="34">
        <v>0.0</v>
      </c>
      <c r="AN113" s="34">
        <v>0.0</v>
      </c>
      <c r="AO113" s="33">
        <f>COUNTIFS('Data For Calculation - Insuranc'!A:A,A113,'Data For Calculation - Insuranc'!D:D,"Company",'Data For Calculation - Insuranc'!E:E,"Rollover Comprehensive - 1 Year OD + 1 Year TP")</f>
        <v>0</v>
      </c>
      <c r="AP113" s="34" t="s">
        <v>3931</v>
      </c>
      <c r="AQ113" s="42" t="s">
        <v>3817</v>
      </c>
      <c r="AR113" s="31">
        <v>290.0</v>
      </c>
      <c r="AS113" s="34" t="s">
        <v>3853</v>
      </c>
      <c r="AT113" s="34">
        <v>0.0</v>
      </c>
      <c r="AU113" s="34">
        <v>100.0</v>
      </c>
      <c r="AV113" s="34">
        <v>0.0</v>
      </c>
      <c r="AW113" s="34">
        <v>0.0</v>
      </c>
      <c r="AX113" s="33">
        <f>COUNTIFS('Data For Calculation - Insuranc'!A:A,A113,'Data For Calculation - Insuranc'!D:D,"Individual",'Data For Calculation - Insuranc'!E:E,"Rollover - 1 Year OD Only")</f>
        <v>0</v>
      </c>
      <c r="AY113" s="34" t="s">
        <v>3932</v>
      </c>
      <c r="AZ113" s="42" t="s">
        <v>3817</v>
      </c>
      <c r="BA113" s="31">
        <v>290.0</v>
      </c>
      <c r="BB113" s="34" t="s">
        <v>3853</v>
      </c>
      <c r="BC113" s="34">
        <v>0.0</v>
      </c>
      <c r="BD113" s="34">
        <v>100.0</v>
      </c>
      <c r="BE113" s="34">
        <v>0.0</v>
      </c>
      <c r="BF113" s="34">
        <v>0.0</v>
      </c>
      <c r="BG113" s="33">
        <f>COUNTIFS('Data For Calculation - Insuranc'!A:A,A113,'Data For Calculation - Insuranc'!D:D,"Company",'Data For Calculation - Insuranc'!E:E,"Rollover - 1 Year OD Only")</f>
        <v>0</v>
      </c>
      <c r="BH113" s="34" t="s">
        <v>3931</v>
      </c>
      <c r="BI113" s="42" t="s">
        <v>3817</v>
      </c>
      <c r="BJ113" s="31">
        <v>290.0</v>
      </c>
      <c r="BK113" s="34" t="s">
        <v>3853</v>
      </c>
      <c r="BL113" s="34">
        <v>0.0</v>
      </c>
      <c r="BM113" s="34">
        <v>100.0</v>
      </c>
      <c r="BN113" s="34">
        <v>0.0</v>
      </c>
      <c r="BO113" s="34">
        <v>0.0</v>
      </c>
      <c r="BP113" s="33">
        <f>COUNTIFS('Data For Calculation - Insuranc'!A:A,A113,'Data For Calculation - Insuranc'!D:D,"Individual",'Data For Calculation - Insuranc'!E:E,"Rollover - 1 Year TP Only")</f>
        <v>0</v>
      </c>
      <c r="BQ113" s="34" t="s">
        <v>3932</v>
      </c>
      <c r="BR113" s="42" t="s">
        <v>3817</v>
      </c>
      <c r="BS113" s="31">
        <v>290.0</v>
      </c>
      <c r="BT113" s="34" t="s">
        <v>3853</v>
      </c>
      <c r="BU113" s="34">
        <v>0.0</v>
      </c>
      <c r="BV113" s="34">
        <v>100.0</v>
      </c>
      <c r="BW113" s="34">
        <v>0.0</v>
      </c>
      <c r="BX113" s="34">
        <v>0.0</v>
      </c>
      <c r="BY113" s="33">
        <f>COUNTIFS('Data For Calculation - Insuranc'!A:A,A113,'Data For Calculation - Insuranc'!D:D,"Company",'Data For Calculation - Insuranc'!E:E,"Rollover - 1 Year TP Only")</f>
        <v>0</v>
      </c>
      <c r="BZ113" s="31">
        <f t="shared" si="1"/>
        <v>0</v>
      </c>
      <c r="CA113" s="33">
        <f>SUMIFS('Data For Calculation - Insuranc'!I:I,'Data For Calculation - Insuranc'!$A:$A,$A113)</f>
        <v>0</v>
      </c>
      <c r="CB113" s="33">
        <f>SUMIFS('Data For Calculation - Insuranc'!J:J,'Data For Calculation - Insuranc'!$A:$A,$A113)</f>
        <v>0</v>
      </c>
      <c r="CC113" s="33">
        <f>SUMIFS('Data For Calculation - Insuranc'!K:K,'Data For Calculation - Insuranc'!$A:$A,$A113)</f>
        <v>0</v>
      </c>
      <c r="CD113" s="33">
        <f>IF($CK113 = "Dealer", SUMIFS('Data For Calculation - Insuranc'!I:I,'Data For Calculation - Insuranc'!$B:$B,$A113,'Data For Calculation - Insuranc'!$H:$H,"Master Dealer")) + SUMIFS('Data For Calculation - Insuranc'!I:I,'Data For Calculation - Insuranc'!$A:$A,$A113,'Data For Calculation - Insuranc'!$H:$H,"Self")</f>
        <v>0</v>
      </c>
      <c r="CE113" s="33">
        <f>IF($CK113 = "Dealer", SUMIFS('Data For Calculation - Insuranc'!J:J,'Data For Calculation - Insuranc'!$B:$B,$A113,'Data For Calculation - Insuranc'!$H:$H,"Master Dealer")) + SUMIFS('Data For Calculation - Insuranc'!J:J,'Data For Calculation - Insuranc'!$A:$A,$A113,'Data For Calculation - Insuranc'!$H:$H,"Self")</f>
        <v>0</v>
      </c>
      <c r="CF113" s="33">
        <f>IF($CK113 = "Dealer", SUMIFS('Data For Calculation - Insuranc'!K:K,'Data For Calculation - Insuranc'!$B:$B,$A113,'Data For Calculation - Insuranc'!$H:$H,"Master Dealer")) + SUMIFS('Data For Calculation - Insuranc'!K:K,'Data For Calculation - Insuranc'!$A:$A,$A113,'Data For Calculation - Insuranc'!$H:$H,"Self")</f>
        <v>0</v>
      </c>
      <c r="CG113" s="25" t="str">
        <f>(Sheet1!N113)</f>
        <v>MPS</v>
      </c>
      <c r="CH113" s="25" t="str">
        <f>(Sheet1!O113)</f>
        <v>1ClXh28BQwwGN7Q42xt0Dc8b_R_3jweBItLcbwVq3Rj0</v>
      </c>
      <c r="CI113" s="25" t="str">
        <f>(Sheet1!AV113)</f>
        <v/>
      </c>
      <c r="CJ113" s="25" t="str">
        <f>(Sheet1!AW113)</f>
        <v/>
      </c>
      <c r="CK113" s="26" t="str">
        <f>(Sheet1!P113)</f>
        <v>Sub Dealer</v>
      </c>
    </row>
    <row r="114">
      <c r="A114" s="25" t="str">
        <f>(Sheet1!A114)</f>
        <v>10my9j6PucXwYa7gh_WvsXD6uPvI-yhWp3q1FQznHVc8</v>
      </c>
      <c r="B114" s="25" t="str">
        <f>(Sheet1!B114)</f>
        <v>Sohna Honda</v>
      </c>
      <c r="C114" s="30" t="str">
        <f>Sheet1!BB114</f>
        <v>No</v>
      </c>
      <c r="D114" s="30" t="s">
        <v>13</v>
      </c>
      <c r="E114" s="34" t="s">
        <v>13</v>
      </c>
      <c r="F114" s="34" t="s">
        <v>3929</v>
      </c>
      <c r="G114" s="42" t="s">
        <v>3817</v>
      </c>
      <c r="H114" s="43">
        <v>460.0</v>
      </c>
      <c r="I114" s="42" t="s">
        <v>3853</v>
      </c>
      <c r="J114" s="43">
        <v>0.0</v>
      </c>
      <c r="K114" s="43">
        <v>100.0</v>
      </c>
      <c r="L114" s="43">
        <v>0.0</v>
      </c>
      <c r="M114" s="43">
        <v>0.0</v>
      </c>
      <c r="N114" s="33">
        <f>COUNTIFS('Data For Calculation - Insuranc'!A:A,A114,'Data For Calculation - Insuranc'!D:D,"Individual",'Data For Calculation - Insuranc'!E:E,"Bundled - 1 Year OD + 5 Year TP")</f>
        <v>0</v>
      </c>
      <c r="O114" s="34" t="s">
        <v>3930</v>
      </c>
      <c r="P114" s="42" t="s">
        <v>3817</v>
      </c>
      <c r="Q114" s="43">
        <v>460.0</v>
      </c>
      <c r="R114" s="42" t="s">
        <v>3853</v>
      </c>
      <c r="S114" s="43">
        <v>0.0</v>
      </c>
      <c r="T114" s="43">
        <v>100.0</v>
      </c>
      <c r="U114" s="43">
        <v>0.0</v>
      </c>
      <c r="V114" s="43">
        <v>0.0</v>
      </c>
      <c r="W114" s="33">
        <f>COUNTIFS('Data For Calculation - Insuranc'!A:A,A114,'Data For Calculation - Insuranc'!D:D,"Company",'Data For Calculation - Insuranc'!E:E,"Bundled - 1 Year OD + 5 Year TP")</f>
        <v>0</v>
      </c>
      <c r="X114" s="34" t="s">
        <v>3929</v>
      </c>
      <c r="Y114" s="42" t="s">
        <v>3817</v>
      </c>
      <c r="Z114" s="31">
        <v>290.0</v>
      </c>
      <c r="AA114" s="34" t="s">
        <v>3853</v>
      </c>
      <c r="AB114" s="34">
        <v>0.0</v>
      </c>
      <c r="AC114" s="34">
        <v>100.0</v>
      </c>
      <c r="AD114" s="34">
        <v>0.0</v>
      </c>
      <c r="AE114" s="34">
        <v>0.0</v>
      </c>
      <c r="AF114" s="33">
        <f>COUNTIFS('Data For Calculation - Insuranc'!A:A,A114,'Data For Calculation - Insuranc'!D:D,"Individual",'Data For Calculation - Insuranc'!E:E,"Rollover Comprehensive - 1 Year OD + 1 Year TP")</f>
        <v>0</v>
      </c>
      <c r="AG114" s="34" t="s">
        <v>3930</v>
      </c>
      <c r="AH114" s="42" t="s">
        <v>3817</v>
      </c>
      <c r="AI114" s="31">
        <v>290.0</v>
      </c>
      <c r="AJ114" s="34" t="s">
        <v>3853</v>
      </c>
      <c r="AK114" s="34">
        <v>0.0</v>
      </c>
      <c r="AL114" s="34">
        <v>100.0</v>
      </c>
      <c r="AM114" s="34">
        <v>0.0</v>
      </c>
      <c r="AN114" s="34">
        <v>0.0</v>
      </c>
      <c r="AO114" s="33">
        <f>COUNTIFS('Data For Calculation - Insuranc'!A:A,A114,'Data For Calculation - Insuranc'!D:D,"Company",'Data For Calculation - Insuranc'!E:E,"Rollover Comprehensive - 1 Year OD + 1 Year TP")</f>
        <v>0</v>
      </c>
      <c r="AP114" s="34" t="s">
        <v>3931</v>
      </c>
      <c r="AQ114" s="42" t="s">
        <v>3817</v>
      </c>
      <c r="AR114" s="31">
        <v>290.0</v>
      </c>
      <c r="AS114" s="34" t="s">
        <v>3853</v>
      </c>
      <c r="AT114" s="34">
        <v>0.0</v>
      </c>
      <c r="AU114" s="34">
        <v>100.0</v>
      </c>
      <c r="AV114" s="34">
        <v>0.0</v>
      </c>
      <c r="AW114" s="34">
        <v>0.0</v>
      </c>
      <c r="AX114" s="33">
        <f>COUNTIFS('Data For Calculation - Insuranc'!A:A,A114,'Data For Calculation - Insuranc'!D:D,"Individual",'Data For Calculation - Insuranc'!E:E,"Rollover - 1 Year OD Only")</f>
        <v>0</v>
      </c>
      <c r="AY114" s="34" t="s">
        <v>3932</v>
      </c>
      <c r="AZ114" s="42" t="s">
        <v>3817</v>
      </c>
      <c r="BA114" s="31">
        <v>290.0</v>
      </c>
      <c r="BB114" s="34" t="s">
        <v>3853</v>
      </c>
      <c r="BC114" s="34">
        <v>0.0</v>
      </c>
      <c r="BD114" s="34">
        <v>100.0</v>
      </c>
      <c r="BE114" s="34">
        <v>0.0</v>
      </c>
      <c r="BF114" s="34">
        <v>0.0</v>
      </c>
      <c r="BG114" s="33">
        <f>COUNTIFS('Data For Calculation - Insuranc'!A:A,A114,'Data For Calculation - Insuranc'!D:D,"Company",'Data For Calculation - Insuranc'!E:E,"Rollover - 1 Year OD Only")</f>
        <v>0</v>
      </c>
      <c r="BH114" s="34" t="s">
        <v>3931</v>
      </c>
      <c r="BI114" s="42" t="s">
        <v>3817</v>
      </c>
      <c r="BJ114" s="31">
        <v>290.0</v>
      </c>
      <c r="BK114" s="34" t="s">
        <v>3853</v>
      </c>
      <c r="BL114" s="34">
        <v>0.0</v>
      </c>
      <c r="BM114" s="34">
        <v>100.0</v>
      </c>
      <c r="BN114" s="34">
        <v>0.0</v>
      </c>
      <c r="BO114" s="34">
        <v>0.0</v>
      </c>
      <c r="BP114" s="33">
        <f>COUNTIFS('Data For Calculation - Insuranc'!A:A,A114,'Data For Calculation - Insuranc'!D:D,"Individual",'Data For Calculation - Insuranc'!E:E,"Rollover - 1 Year TP Only")</f>
        <v>0</v>
      </c>
      <c r="BQ114" s="34" t="s">
        <v>3932</v>
      </c>
      <c r="BR114" s="42" t="s">
        <v>3817</v>
      </c>
      <c r="BS114" s="31">
        <v>290.0</v>
      </c>
      <c r="BT114" s="34" t="s">
        <v>3853</v>
      </c>
      <c r="BU114" s="34">
        <v>0.0</v>
      </c>
      <c r="BV114" s="34">
        <v>100.0</v>
      </c>
      <c r="BW114" s="34">
        <v>0.0</v>
      </c>
      <c r="BX114" s="34">
        <v>0.0</v>
      </c>
      <c r="BY114" s="33">
        <f>COUNTIFS('Data For Calculation - Insuranc'!A:A,A114,'Data For Calculation - Insuranc'!D:D,"Company",'Data For Calculation - Insuranc'!E:E,"Rollover - 1 Year TP Only")</f>
        <v>0</v>
      </c>
      <c r="BZ114" s="31">
        <f t="shared" si="1"/>
        <v>0</v>
      </c>
      <c r="CA114" s="33">
        <f>SUMIFS('Data For Calculation - Insuranc'!I:I,'Data For Calculation - Insuranc'!$A:$A,$A114)</f>
        <v>0</v>
      </c>
      <c r="CB114" s="33">
        <f>SUMIFS('Data For Calculation - Insuranc'!J:J,'Data For Calculation - Insuranc'!$A:$A,$A114)</f>
        <v>0</v>
      </c>
      <c r="CC114" s="33">
        <f>SUMIFS('Data For Calculation - Insuranc'!K:K,'Data For Calculation - Insuranc'!$A:$A,$A114)</f>
        <v>0</v>
      </c>
      <c r="CD114" s="33">
        <f>IF($CK114 = "Dealer", SUMIFS('Data For Calculation - Insuranc'!I:I,'Data For Calculation - Insuranc'!$B:$B,$A114,'Data For Calculation - Insuranc'!$H:$H,"Master Dealer")) + SUMIFS('Data For Calculation - Insuranc'!I:I,'Data For Calculation - Insuranc'!$A:$A,$A114,'Data For Calculation - Insuranc'!$H:$H,"Self")</f>
        <v>0</v>
      </c>
      <c r="CE114" s="33">
        <f>IF($CK114 = "Dealer", SUMIFS('Data For Calculation - Insuranc'!J:J,'Data For Calculation - Insuranc'!$B:$B,$A114,'Data For Calculation - Insuranc'!$H:$H,"Master Dealer")) + SUMIFS('Data For Calculation - Insuranc'!J:J,'Data For Calculation - Insuranc'!$A:$A,$A114,'Data For Calculation - Insuranc'!$H:$H,"Self")</f>
        <v>0</v>
      </c>
      <c r="CF114" s="33">
        <f>IF($CK114 = "Dealer", SUMIFS('Data For Calculation - Insuranc'!K:K,'Data For Calculation - Insuranc'!$B:$B,$A114,'Data For Calculation - Insuranc'!$H:$H,"Master Dealer")) + SUMIFS('Data For Calculation - Insuranc'!K:K,'Data For Calculation - Insuranc'!$A:$A,$A114,'Data For Calculation - Insuranc'!$H:$H,"Self")</f>
        <v>0</v>
      </c>
      <c r="CG114" s="25" t="str">
        <f>(Sheet1!N114)</f>
        <v>Sohna Honda</v>
      </c>
      <c r="CH114" s="25" t="str">
        <f>(Sheet1!O114)</f>
        <v>10my9j6PucXwYa7gh_WvsXD6uPvI-yhWp3q1FQznHVc8</v>
      </c>
      <c r="CI114" s="25" t="str">
        <f>(Sheet1!AV114)</f>
        <v/>
      </c>
      <c r="CJ114" s="25" t="str">
        <f>(Sheet1!AW114)</f>
        <v/>
      </c>
      <c r="CK114" s="26" t="str">
        <f>(Sheet1!P114)</f>
        <v>Sub Dealer</v>
      </c>
    </row>
    <row r="115">
      <c r="A115" s="25" t="str">
        <f>(Sheet1!A115)</f>
        <v>1hwxal2Fqa0hEplduGUGitsJlZ0mEGEOEYh3fdHugU9o</v>
      </c>
      <c r="B115" s="25" t="str">
        <f>(Sheet1!B115)</f>
        <v>Shree Balaji Automobiles - Fatehabad</v>
      </c>
      <c r="C115" s="30" t="str">
        <f>Sheet1!BB115</f>
        <v>No</v>
      </c>
      <c r="D115" s="30" t="s">
        <v>13</v>
      </c>
      <c r="E115" s="34" t="s">
        <v>13</v>
      </c>
      <c r="F115" s="34" t="s">
        <v>3929</v>
      </c>
      <c r="G115" s="42" t="s">
        <v>3820</v>
      </c>
      <c r="H115" s="43">
        <v>460.0</v>
      </c>
      <c r="I115" s="42" t="s">
        <v>3853</v>
      </c>
      <c r="J115" s="43">
        <v>0.0</v>
      </c>
      <c r="K115" s="43">
        <v>100.0</v>
      </c>
      <c r="L115" s="43">
        <v>0.0</v>
      </c>
      <c r="M115" s="43">
        <v>0.0</v>
      </c>
      <c r="N115" s="33">
        <f>COUNTIFS('Data For Calculation - Insuranc'!A:A,A115,'Data For Calculation - Insuranc'!D:D,"Individual",'Data For Calculation - Insuranc'!E:E,"Bundled - 1 Year OD + 5 Year TP")</f>
        <v>0</v>
      </c>
      <c r="O115" s="34" t="s">
        <v>3930</v>
      </c>
      <c r="P115" s="42" t="s">
        <v>3820</v>
      </c>
      <c r="Q115" s="43">
        <v>460.0</v>
      </c>
      <c r="R115" s="42" t="s">
        <v>3853</v>
      </c>
      <c r="S115" s="43">
        <v>0.0</v>
      </c>
      <c r="T115" s="43">
        <v>100.0</v>
      </c>
      <c r="U115" s="43">
        <v>0.0</v>
      </c>
      <c r="V115" s="43">
        <v>0.0</v>
      </c>
      <c r="W115" s="33">
        <f>COUNTIFS('Data For Calculation - Insuranc'!A:A,A115,'Data For Calculation - Insuranc'!D:D,"Company",'Data For Calculation - Insuranc'!E:E,"Bundled - 1 Year OD + 5 Year TP")</f>
        <v>0</v>
      </c>
      <c r="X115" s="34" t="s">
        <v>3929</v>
      </c>
      <c r="Y115" s="42" t="s">
        <v>3820</v>
      </c>
      <c r="Z115" s="31">
        <v>290.0</v>
      </c>
      <c r="AA115" s="34" t="s">
        <v>3853</v>
      </c>
      <c r="AB115" s="34">
        <v>0.0</v>
      </c>
      <c r="AC115" s="34">
        <v>100.0</v>
      </c>
      <c r="AD115" s="34">
        <v>0.0</v>
      </c>
      <c r="AE115" s="34">
        <v>0.0</v>
      </c>
      <c r="AF115" s="33">
        <f>COUNTIFS('Data For Calculation - Insuranc'!A:A,A115,'Data For Calculation - Insuranc'!D:D,"Individual",'Data For Calculation - Insuranc'!E:E,"Rollover Comprehensive - 1 Year OD + 1 Year TP")</f>
        <v>0</v>
      </c>
      <c r="AG115" s="34" t="s">
        <v>3930</v>
      </c>
      <c r="AH115" s="42" t="s">
        <v>3820</v>
      </c>
      <c r="AI115" s="31">
        <v>290.0</v>
      </c>
      <c r="AJ115" s="34" t="s">
        <v>3853</v>
      </c>
      <c r="AK115" s="34">
        <v>0.0</v>
      </c>
      <c r="AL115" s="34">
        <v>100.0</v>
      </c>
      <c r="AM115" s="34">
        <v>0.0</v>
      </c>
      <c r="AN115" s="34">
        <v>0.0</v>
      </c>
      <c r="AO115" s="33">
        <f>COUNTIFS('Data For Calculation - Insuranc'!A:A,A115,'Data For Calculation - Insuranc'!D:D,"Company",'Data For Calculation - Insuranc'!E:E,"Rollover Comprehensive - 1 Year OD + 1 Year TP")</f>
        <v>0</v>
      </c>
      <c r="AP115" s="34" t="s">
        <v>3931</v>
      </c>
      <c r="AQ115" s="42" t="s">
        <v>3820</v>
      </c>
      <c r="AR115" s="31">
        <v>290.0</v>
      </c>
      <c r="AS115" s="34" t="s">
        <v>3853</v>
      </c>
      <c r="AT115" s="34">
        <v>0.0</v>
      </c>
      <c r="AU115" s="34">
        <v>100.0</v>
      </c>
      <c r="AV115" s="34">
        <v>0.0</v>
      </c>
      <c r="AW115" s="34">
        <v>0.0</v>
      </c>
      <c r="AX115" s="33">
        <f>COUNTIFS('Data For Calculation - Insuranc'!A:A,A115,'Data For Calculation - Insuranc'!D:D,"Individual",'Data For Calculation - Insuranc'!E:E,"Rollover - 1 Year OD Only")</f>
        <v>0</v>
      </c>
      <c r="AY115" s="34" t="s">
        <v>3932</v>
      </c>
      <c r="AZ115" s="42" t="s">
        <v>3820</v>
      </c>
      <c r="BA115" s="31">
        <v>290.0</v>
      </c>
      <c r="BB115" s="34" t="s">
        <v>3853</v>
      </c>
      <c r="BC115" s="34">
        <v>0.0</v>
      </c>
      <c r="BD115" s="34">
        <v>100.0</v>
      </c>
      <c r="BE115" s="34">
        <v>0.0</v>
      </c>
      <c r="BF115" s="34">
        <v>0.0</v>
      </c>
      <c r="BG115" s="33">
        <f>COUNTIFS('Data For Calculation - Insuranc'!A:A,A115,'Data For Calculation - Insuranc'!D:D,"Company",'Data For Calculation - Insuranc'!E:E,"Rollover - 1 Year OD Only")</f>
        <v>0</v>
      </c>
      <c r="BH115" s="34" t="s">
        <v>3931</v>
      </c>
      <c r="BI115" s="42" t="s">
        <v>3820</v>
      </c>
      <c r="BJ115" s="31">
        <v>290.0</v>
      </c>
      <c r="BK115" s="34" t="s">
        <v>3853</v>
      </c>
      <c r="BL115" s="34">
        <v>0.0</v>
      </c>
      <c r="BM115" s="34">
        <v>100.0</v>
      </c>
      <c r="BN115" s="34">
        <v>0.0</v>
      </c>
      <c r="BO115" s="34">
        <v>0.0</v>
      </c>
      <c r="BP115" s="33">
        <f>COUNTIFS('Data For Calculation - Insuranc'!A:A,A115,'Data For Calculation - Insuranc'!D:D,"Individual",'Data For Calculation - Insuranc'!E:E,"Rollover - 1 Year TP Only")</f>
        <v>0</v>
      </c>
      <c r="BQ115" s="34" t="s">
        <v>3932</v>
      </c>
      <c r="BR115" s="42" t="s">
        <v>3820</v>
      </c>
      <c r="BS115" s="31">
        <v>290.0</v>
      </c>
      <c r="BT115" s="34" t="s">
        <v>3853</v>
      </c>
      <c r="BU115" s="34">
        <v>0.0</v>
      </c>
      <c r="BV115" s="34">
        <v>100.0</v>
      </c>
      <c r="BW115" s="34">
        <v>0.0</v>
      </c>
      <c r="BX115" s="34">
        <v>0.0</v>
      </c>
      <c r="BY115" s="33">
        <f>COUNTIFS('Data For Calculation - Insuranc'!A:A,A115,'Data For Calculation - Insuranc'!D:D,"Company",'Data For Calculation - Insuranc'!E:E,"Rollover - 1 Year TP Only")</f>
        <v>0</v>
      </c>
      <c r="BZ115" s="31">
        <f t="shared" si="1"/>
        <v>0</v>
      </c>
      <c r="CA115" s="33">
        <f>SUMIFS('Data For Calculation - Insuranc'!I:I,'Data For Calculation - Insuranc'!$A:$A,$A115)</f>
        <v>0</v>
      </c>
      <c r="CB115" s="33">
        <f>SUMIFS('Data For Calculation - Insuranc'!J:J,'Data For Calculation - Insuranc'!$A:$A,$A115)</f>
        <v>0</v>
      </c>
      <c r="CC115" s="33">
        <f>SUMIFS('Data For Calculation - Insuranc'!K:K,'Data For Calculation - Insuranc'!$A:$A,$A115)</f>
        <v>0</v>
      </c>
      <c r="CD115" s="33">
        <f>IF($CK115 = "Dealer", SUMIFS('Data For Calculation - Insuranc'!I:I,'Data For Calculation - Insuranc'!$B:$B,$A115,'Data For Calculation - Insuranc'!$H:$H,"Master Dealer")) + SUMIFS('Data For Calculation - Insuranc'!I:I,'Data For Calculation - Insuranc'!$A:$A,$A115,'Data For Calculation - Insuranc'!$H:$H,"Self")</f>
        <v>0</v>
      </c>
      <c r="CE115" s="33">
        <f>IF($CK115 = "Dealer", SUMIFS('Data For Calculation - Insuranc'!J:J,'Data For Calculation - Insuranc'!$B:$B,$A115,'Data For Calculation - Insuranc'!$H:$H,"Master Dealer")) + SUMIFS('Data For Calculation - Insuranc'!J:J,'Data For Calculation - Insuranc'!$A:$A,$A115,'Data For Calculation - Insuranc'!$H:$H,"Self")</f>
        <v>0</v>
      </c>
      <c r="CF115" s="33">
        <f>IF($CK115 = "Dealer", SUMIFS('Data For Calculation - Insuranc'!K:K,'Data For Calculation - Insuranc'!$B:$B,$A115,'Data For Calculation - Insuranc'!$H:$H,"Master Dealer")) + SUMIFS('Data For Calculation - Insuranc'!K:K,'Data For Calculation - Insuranc'!$A:$A,$A115,'Data For Calculation - Insuranc'!$H:$H,"Self")</f>
        <v>0</v>
      </c>
      <c r="CG115" s="25" t="str">
        <f>(Sheet1!N115)</f>
        <v>Shree Balaji Automobiles - Fatehabad</v>
      </c>
      <c r="CH115" s="25" t="str">
        <f>(Sheet1!O115)</f>
        <v>1hwxal2Fqa0hEplduGUGitsJlZ0mEGEOEYh3fdHugU9o</v>
      </c>
      <c r="CI115" s="25" t="str">
        <f>(Sheet1!AV115)</f>
        <v/>
      </c>
      <c r="CJ115" s="25" t="str">
        <f>(Sheet1!AW115)</f>
        <v/>
      </c>
      <c r="CK115" s="26" t="str">
        <f>(Sheet1!P115)</f>
        <v>Dealer</v>
      </c>
    </row>
    <row r="116">
      <c r="A116" s="25" t="str">
        <f>(Sheet1!A116)</f>
        <v>1AyozEGLZqJCcdssyT5lh9p367qkQ4ixlLx7VhIkGjas</v>
      </c>
      <c r="B116" s="25" t="str">
        <f>(Sheet1!B116)</f>
        <v>Shri Krishna Auto - Rohtak</v>
      </c>
      <c r="C116" s="30" t="str">
        <f>Sheet1!BB116</f>
        <v>No</v>
      </c>
      <c r="D116" s="30" t="s">
        <v>13</v>
      </c>
      <c r="E116" s="34" t="s">
        <v>13</v>
      </c>
      <c r="F116" s="34" t="s">
        <v>3929</v>
      </c>
      <c r="G116" s="42" t="s">
        <v>3817</v>
      </c>
      <c r="H116" s="43">
        <v>460.0</v>
      </c>
      <c r="I116" s="42" t="s">
        <v>3853</v>
      </c>
      <c r="J116" s="43">
        <v>0.0</v>
      </c>
      <c r="K116" s="43">
        <v>100.0</v>
      </c>
      <c r="L116" s="43">
        <v>0.0</v>
      </c>
      <c r="M116" s="43">
        <v>0.0</v>
      </c>
      <c r="N116" s="33">
        <f>COUNTIFS('Data For Calculation - Insuranc'!A:A,A116,'Data For Calculation - Insuranc'!D:D,"Individual",'Data For Calculation - Insuranc'!E:E,"Bundled - 1 Year OD + 5 Year TP")</f>
        <v>0</v>
      </c>
      <c r="O116" s="34" t="s">
        <v>3930</v>
      </c>
      <c r="P116" s="42" t="s">
        <v>3817</v>
      </c>
      <c r="Q116" s="43">
        <v>460.0</v>
      </c>
      <c r="R116" s="42" t="s">
        <v>3853</v>
      </c>
      <c r="S116" s="43">
        <v>0.0</v>
      </c>
      <c r="T116" s="43">
        <v>100.0</v>
      </c>
      <c r="U116" s="43">
        <v>0.0</v>
      </c>
      <c r="V116" s="43">
        <v>0.0</v>
      </c>
      <c r="W116" s="33">
        <f>COUNTIFS('Data For Calculation - Insuranc'!A:A,A116,'Data For Calculation - Insuranc'!D:D,"Company",'Data For Calculation - Insuranc'!E:E,"Bundled - 1 Year OD + 5 Year TP")</f>
        <v>0</v>
      </c>
      <c r="X116" s="34" t="s">
        <v>3929</v>
      </c>
      <c r="Y116" s="42" t="s">
        <v>3817</v>
      </c>
      <c r="Z116" s="31">
        <v>290.0</v>
      </c>
      <c r="AA116" s="34" t="s">
        <v>3853</v>
      </c>
      <c r="AB116" s="34">
        <v>0.0</v>
      </c>
      <c r="AC116" s="34">
        <v>100.0</v>
      </c>
      <c r="AD116" s="34">
        <v>0.0</v>
      </c>
      <c r="AE116" s="34">
        <v>0.0</v>
      </c>
      <c r="AF116" s="33">
        <f>COUNTIFS('Data For Calculation - Insuranc'!A:A,A116,'Data For Calculation - Insuranc'!D:D,"Individual",'Data For Calculation - Insuranc'!E:E,"Rollover Comprehensive - 1 Year OD + 1 Year TP")</f>
        <v>0</v>
      </c>
      <c r="AG116" s="34" t="s">
        <v>3930</v>
      </c>
      <c r="AH116" s="42" t="s">
        <v>3817</v>
      </c>
      <c r="AI116" s="31">
        <v>290.0</v>
      </c>
      <c r="AJ116" s="34" t="s">
        <v>3853</v>
      </c>
      <c r="AK116" s="34">
        <v>0.0</v>
      </c>
      <c r="AL116" s="34">
        <v>100.0</v>
      </c>
      <c r="AM116" s="34">
        <v>0.0</v>
      </c>
      <c r="AN116" s="34">
        <v>0.0</v>
      </c>
      <c r="AO116" s="33">
        <f>COUNTIFS('Data For Calculation - Insuranc'!A:A,A116,'Data For Calculation - Insuranc'!D:D,"Company",'Data For Calculation - Insuranc'!E:E,"Rollover Comprehensive - 1 Year OD + 1 Year TP")</f>
        <v>0</v>
      </c>
      <c r="AP116" s="34" t="s">
        <v>3931</v>
      </c>
      <c r="AQ116" s="42" t="s">
        <v>3817</v>
      </c>
      <c r="AR116" s="31">
        <v>290.0</v>
      </c>
      <c r="AS116" s="34" t="s">
        <v>3853</v>
      </c>
      <c r="AT116" s="34">
        <v>0.0</v>
      </c>
      <c r="AU116" s="34">
        <v>100.0</v>
      </c>
      <c r="AV116" s="34">
        <v>0.0</v>
      </c>
      <c r="AW116" s="34">
        <v>0.0</v>
      </c>
      <c r="AX116" s="33">
        <f>COUNTIFS('Data For Calculation - Insuranc'!A:A,A116,'Data For Calculation - Insuranc'!D:D,"Individual",'Data For Calculation - Insuranc'!E:E,"Rollover - 1 Year OD Only")</f>
        <v>0</v>
      </c>
      <c r="AY116" s="34" t="s">
        <v>3932</v>
      </c>
      <c r="AZ116" s="42" t="s">
        <v>3817</v>
      </c>
      <c r="BA116" s="31">
        <v>290.0</v>
      </c>
      <c r="BB116" s="34" t="s">
        <v>3853</v>
      </c>
      <c r="BC116" s="34">
        <v>0.0</v>
      </c>
      <c r="BD116" s="34">
        <v>100.0</v>
      </c>
      <c r="BE116" s="34">
        <v>0.0</v>
      </c>
      <c r="BF116" s="34">
        <v>0.0</v>
      </c>
      <c r="BG116" s="33">
        <f>COUNTIFS('Data For Calculation - Insuranc'!A:A,A116,'Data For Calculation - Insuranc'!D:D,"Company",'Data For Calculation - Insuranc'!E:E,"Rollover - 1 Year OD Only")</f>
        <v>0</v>
      </c>
      <c r="BH116" s="34" t="s">
        <v>3931</v>
      </c>
      <c r="BI116" s="42" t="s">
        <v>3817</v>
      </c>
      <c r="BJ116" s="31">
        <v>290.0</v>
      </c>
      <c r="BK116" s="34" t="s">
        <v>3853</v>
      </c>
      <c r="BL116" s="34">
        <v>0.0</v>
      </c>
      <c r="BM116" s="34">
        <v>100.0</v>
      </c>
      <c r="BN116" s="34">
        <v>0.0</v>
      </c>
      <c r="BO116" s="34">
        <v>0.0</v>
      </c>
      <c r="BP116" s="33">
        <f>COUNTIFS('Data For Calculation - Insuranc'!A:A,A116,'Data For Calculation - Insuranc'!D:D,"Individual",'Data For Calculation - Insuranc'!E:E,"Rollover - 1 Year TP Only")</f>
        <v>0</v>
      </c>
      <c r="BQ116" s="34" t="s">
        <v>3932</v>
      </c>
      <c r="BR116" s="42" t="s">
        <v>3817</v>
      </c>
      <c r="BS116" s="31">
        <v>290.0</v>
      </c>
      <c r="BT116" s="34" t="s">
        <v>3853</v>
      </c>
      <c r="BU116" s="34">
        <v>0.0</v>
      </c>
      <c r="BV116" s="34">
        <v>100.0</v>
      </c>
      <c r="BW116" s="34">
        <v>0.0</v>
      </c>
      <c r="BX116" s="34">
        <v>0.0</v>
      </c>
      <c r="BY116" s="33">
        <f>COUNTIFS('Data For Calculation - Insuranc'!A:A,A116,'Data For Calculation - Insuranc'!D:D,"Company",'Data For Calculation - Insuranc'!E:E,"Rollover - 1 Year TP Only")</f>
        <v>0</v>
      </c>
      <c r="BZ116" s="31">
        <f t="shared" si="1"/>
        <v>0</v>
      </c>
      <c r="CA116" s="33">
        <f>SUMIFS('Data For Calculation - Insuranc'!I:I,'Data For Calculation - Insuranc'!$A:$A,$A116)</f>
        <v>0</v>
      </c>
      <c r="CB116" s="33">
        <f>SUMIFS('Data For Calculation - Insuranc'!J:J,'Data For Calculation - Insuranc'!$A:$A,$A116)</f>
        <v>0</v>
      </c>
      <c r="CC116" s="33">
        <f>SUMIFS('Data For Calculation - Insuranc'!K:K,'Data For Calculation - Insuranc'!$A:$A,$A116)</f>
        <v>0</v>
      </c>
      <c r="CD116" s="33">
        <f>IF($CK116 = "Dealer", SUMIFS('Data For Calculation - Insuranc'!I:I,'Data For Calculation - Insuranc'!$B:$B,$A116,'Data For Calculation - Insuranc'!$H:$H,"Master Dealer")) + SUMIFS('Data For Calculation - Insuranc'!I:I,'Data For Calculation - Insuranc'!$A:$A,$A116,'Data For Calculation - Insuranc'!$H:$H,"Self")</f>
        <v>0</v>
      </c>
      <c r="CE116" s="33">
        <f>IF($CK116 = "Dealer", SUMIFS('Data For Calculation - Insuranc'!J:J,'Data For Calculation - Insuranc'!$B:$B,$A116,'Data For Calculation - Insuranc'!$H:$H,"Master Dealer")) + SUMIFS('Data For Calculation - Insuranc'!J:J,'Data For Calculation - Insuranc'!$A:$A,$A116,'Data For Calculation - Insuranc'!$H:$H,"Self")</f>
        <v>0</v>
      </c>
      <c r="CF116" s="33">
        <f>IF($CK116 = "Dealer", SUMIFS('Data For Calculation - Insuranc'!K:K,'Data For Calculation - Insuranc'!$B:$B,$A116,'Data For Calculation - Insuranc'!$H:$H,"Master Dealer")) + SUMIFS('Data For Calculation - Insuranc'!K:K,'Data For Calculation - Insuranc'!$A:$A,$A116,'Data For Calculation - Insuranc'!$H:$H,"Self")</f>
        <v>0</v>
      </c>
      <c r="CG116" s="25" t="str">
        <f>(Sheet1!N116)</f>
        <v>Shri Krishna Auto - Rohtak</v>
      </c>
      <c r="CH116" s="25" t="str">
        <f>(Sheet1!O116)</f>
        <v>1AyozEGLZqJCcdssyT5lh9p367qkQ4ixlLx7VhIkGjas</v>
      </c>
      <c r="CI116" s="25" t="str">
        <f>(Sheet1!AV116)</f>
        <v/>
      </c>
      <c r="CJ116" s="25" t="str">
        <f>(Sheet1!AW116)</f>
        <v/>
      </c>
      <c r="CK116" s="26" t="str">
        <f>(Sheet1!P116)</f>
        <v>Dealer</v>
      </c>
    </row>
    <row r="117">
      <c r="A117" s="25" t="str">
        <f>(Sheet1!A117)</f>
        <v>1vT3QczjVeQXI3BUHWLVlmriSeWuoyjUZOrXtNn1poas</v>
      </c>
      <c r="B117" s="25" t="str">
        <f>(Sheet1!B117)</f>
        <v>Ratandeep Motors - Sultanpur</v>
      </c>
      <c r="C117" s="30" t="str">
        <f>Sheet1!BB117</f>
        <v>No</v>
      </c>
      <c r="D117" s="30" t="s">
        <v>13</v>
      </c>
      <c r="E117" s="34" t="s">
        <v>13</v>
      </c>
      <c r="F117" s="34" t="s">
        <v>3929</v>
      </c>
      <c r="G117" s="42" t="s">
        <v>3817</v>
      </c>
      <c r="H117" s="43">
        <v>460.0</v>
      </c>
      <c r="I117" s="42" t="s">
        <v>3853</v>
      </c>
      <c r="J117" s="43">
        <v>0.0</v>
      </c>
      <c r="K117" s="43">
        <v>100.0</v>
      </c>
      <c r="L117" s="43">
        <v>0.0</v>
      </c>
      <c r="M117" s="43">
        <v>0.0</v>
      </c>
      <c r="N117" s="33">
        <f>COUNTIFS('Data For Calculation - Insuranc'!A:A,A117,'Data For Calculation - Insuranc'!D:D,"Individual",'Data For Calculation - Insuranc'!E:E,"Bundled - 1 Year OD + 5 Year TP")</f>
        <v>0</v>
      </c>
      <c r="O117" s="34" t="s">
        <v>3930</v>
      </c>
      <c r="P117" s="42" t="s">
        <v>3817</v>
      </c>
      <c r="Q117" s="43">
        <v>460.0</v>
      </c>
      <c r="R117" s="42" t="s">
        <v>3853</v>
      </c>
      <c r="S117" s="43">
        <v>0.0</v>
      </c>
      <c r="T117" s="43">
        <v>100.0</v>
      </c>
      <c r="U117" s="43">
        <v>0.0</v>
      </c>
      <c r="V117" s="43">
        <v>0.0</v>
      </c>
      <c r="W117" s="33">
        <f>COUNTIFS('Data For Calculation - Insuranc'!A:A,A117,'Data For Calculation - Insuranc'!D:D,"Company",'Data For Calculation - Insuranc'!E:E,"Bundled - 1 Year OD + 5 Year TP")</f>
        <v>0</v>
      </c>
      <c r="X117" s="34" t="s">
        <v>3929</v>
      </c>
      <c r="Y117" s="42" t="s">
        <v>3817</v>
      </c>
      <c r="Z117" s="31">
        <v>290.0</v>
      </c>
      <c r="AA117" s="34" t="s">
        <v>3853</v>
      </c>
      <c r="AB117" s="34">
        <v>0.0</v>
      </c>
      <c r="AC117" s="34">
        <v>100.0</v>
      </c>
      <c r="AD117" s="34">
        <v>0.0</v>
      </c>
      <c r="AE117" s="34">
        <v>0.0</v>
      </c>
      <c r="AF117" s="33">
        <f>COUNTIFS('Data For Calculation - Insuranc'!A:A,A117,'Data For Calculation - Insuranc'!D:D,"Individual",'Data For Calculation - Insuranc'!E:E,"Rollover Comprehensive - 1 Year OD + 1 Year TP")</f>
        <v>0</v>
      </c>
      <c r="AG117" s="34" t="s">
        <v>3930</v>
      </c>
      <c r="AH117" s="42" t="s">
        <v>3817</v>
      </c>
      <c r="AI117" s="31">
        <v>290.0</v>
      </c>
      <c r="AJ117" s="34" t="s">
        <v>3853</v>
      </c>
      <c r="AK117" s="34">
        <v>0.0</v>
      </c>
      <c r="AL117" s="34">
        <v>100.0</v>
      </c>
      <c r="AM117" s="34">
        <v>0.0</v>
      </c>
      <c r="AN117" s="34">
        <v>0.0</v>
      </c>
      <c r="AO117" s="33">
        <f>COUNTIFS('Data For Calculation - Insuranc'!A:A,A117,'Data For Calculation - Insuranc'!D:D,"Company",'Data For Calculation - Insuranc'!E:E,"Rollover Comprehensive - 1 Year OD + 1 Year TP")</f>
        <v>0</v>
      </c>
      <c r="AP117" s="34" t="s">
        <v>3931</v>
      </c>
      <c r="AQ117" s="42" t="s">
        <v>3817</v>
      </c>
      <c r="AR117" s="31">
        <v>290.0</v>
      </c>
      <c r="AS117" s="34" t="s">
        <v>3853</v>
      </c>
      <c r="AT117" s="34">
        <v>0.0</v>
      </c>
      <c r="AU117" s="34">
        <v>100.0</v>
      </c>
      <c r="AV117" s="34">
        <v>0.0</v>
      </c>
      <c r="AW117" s="34">
        <v>0.0</v>
      </c>
      <c r="AX117" s="33">
        <f>COUNTIFS('Data For Calculation - Insuranc'!A:A,A117,'Data For Calculation - Insuranc'!D:D,"Individual",'Data For Calculation - Insuranc'!E:E,"Rollover - 1 Year OD Only")</f>
        <v>0</v>
      </c>
      <c r="AY117" s="34" t="s">
        <v>3932</v>
      </c>
      <c r="AZ117" s="42" t="s">
        <v>3817</v>
      </c>
      <c r="BA117" s="31">
        <v>290.0</v>
      </c>
      <c r="BB117" s="34" t="s">
        <v>3853</v>
      </c>
      <c r="BC117" s="34">
        <v>0.0</v>
      </c>
      <c r="BD117" s="34">
        <v>100.0</v>
      </c>
      <c r="BE117" s="34">
        <v>0.0</v>
      </c>
      <c r="BF117" s="34">
        <v>0.0</v>
      </c>
      <c r="BG117" s="33">
        <f>COUNTIFS('Data For Calculation - Insuranc'!A:A,A117,'Data For Calculation - Insuranc'!D:D,"Company",'Data For Calculation - Insuranc'!E:E,"Rollover - 1 Year OD Only")</f>
        <v>0</v>
      </c>
      <c r="BH117" s="34" t="s">
        <v>3931</v>
      </c>
      <c r="BI117" s="42" t="s">
        <v>3817</v>
      </c>
      <c r="BJ117" s="31">
        <v>290.0</v>
      </c>
      <c r="BK117" s="34" t="s">
        <v>3853</v>
      </c>
      <c r="BL117" s="34">
        <v>0.0</v>
      </c>
      <c r="BM117" s="34">
        <v>100.0</v>
      </c>
      <c r="BN117" s="34">
        <v>0.0</v>
      </c>
      <c r="BO117" s="34">
        <v>0.0</v>
      </c>
      <c r="BP117" s="33">
        <f>COUNTIFS('Data For Calculation - Insuranc'!A:A,A117,'Data For Calculation - Insuranc'!D:D,"Individual",'Data For Calculation - Insuranc'!E:E,"Rollover - 1 Year TP Only")</f>
        <v>0</v>
      </c>
      <c r="BQ117" s="34" t="s">
        <v>3932</v>
      </c>
      <c r="BR117" s="42" t="s">
        <v>3817</v>
      </c>
      <c r="BS117" s="31">
        <v>290.0</v>
      </c>
      <c r="BT117" s="34" t="s">
        <v>3853</v>
      </c>
      <c r="BU117" s="34">
        <v>0.0</v>
      </c>
      <c r="BV117" s="34">
        <v>100.0</v>
      </c>
      <c r="BW117" s="34">
        <v>0.0</v>
      </c>
      <c r="BX117" s="34">
        <v>0.0</v>
      </c>
      <c r="BY117" s="33">
        <f>COUNTIFS('Data For Calculation - Insuranc'!A:A,A117,'Data For Calculation - Insuranc'!D:D,"Company",'Data For Calculation - Insuranc'!E:E,"Rollover - 1 Year TP Only")</f>
        <v>0</v>
      </c>
      <c r="BZ117" s="31">
        <f t="shared" si="1"/>
        <v>0</v>
      </c>
      <c r="CA117" s="33">
        <f>SUMIFS('Data For Calculation - Insuranc'!I:I,'Data For Calculation - Insuranc'!$A:$A,$A117)</f>
        <v>0</v>
      </c>
      <c r="CB117" s="33">
        <f>SUMIFS('Data For Calculation - Insuranc'!J:J,'Data For Calculation - Insuranc'!$A:$A,$A117)</f>
        <v>0</v>
      </c>
      <c r="CC117" s="33">
        <f>SUMIFS('Data For Calculation - Insuranc'!K:K,'Data For Calculation - Insuranc'!$A:$A,$A117)</f>
        <v>0</v>
      </c>
      <c r="CD117" s="33">
        <f>IF($CK117 = "Dealer", SUMIFS('Data For Calculation - Insuranc'!I:I,'Data For Calculation - Insuranc'!$B:$B,$A117,'Data For Calculation - Insuranc'!$H:$H,"Master Dealer")) + SUMIFS('Data For Calculation - Insuranc'!I:I,'Data For Calculation - Insuranc'!$A:$A,$A117,'Data For Calculation - Insuranc'!$H:$H,"Self")</f>
        <v>0</v>
      </c>
      <c r="CE117" s="33">
        <f>IF($CK117 = "Dealer", SUMIFS('Data For Calculation - Insuranc'!J:J,'Data For Calculation - Insuranc'!$B:$B,$A117,'Data For Calculation - Insuranc'!$H:$H,"Master Dealer")) + SUMIFS('Data For Calculation - Insuranc'!J:J,'Data For Calculation - Insuranc'!$A:$A,$A117,'Data For Calculation - Insuranc'!$H:$H,"Self")</f>
        <v>0</v>
      </c>
      <c r="CF117" s="33">
        <f>IF($CK117 = "Dealer", SUMIFS('Data For Calculation - Insuranc'!K:K,'Data For Calculation - Insuranc'!$B:$B,$A117,'Data For Calculation - Insuranc'!$H:$H,"Master Dealer")) + SUMIFS('Data For Calculation - Insuranc'!K:K,'Data For Calculation - Insuranc'!$A:$A,$A117,'Data For Calculation - Insuranc'!$H:$H,"Self")</f>
        <v>0</v>
      </c>
      <c r="CG117" s="25" t="str">
        <f>(Sheet1!N117)</f>
        <v>Ratandeep Motors - Sultanpur</v>
      </c>
      <c r="CH117" s="25" t="str">
        <f>(Sheet1!O117)</f>
        <v>1vT3QczjVeQXI3BUHWLVlmriSeWuoyjUZOrXtNn1poas</v>
      </c>
      <c r="CI117" s="25" t="str">
        <f>(Sheet1!AV117)</f>
        <v/>
      </c>
      <c r="CJ117" s="25" t="str">
        <f>(Sheet1!AW117)</f>
        <v/>
      </c>
      <c r="CK117" s="26" t="str">
        <f>(Sheet1!P117)</f>
        <v>Dealer</v>
      </c>
    </row>
    <row r="118">
      <c r="A118" s="25" t="str">
        <f>(Sheet1!A118)</f>
        <v>1tXTdyZsoSXVb9B3iBitP1V6V5cBJgmDdDrd7x6dN0R4</v>
      </c>
      <c r="B118" s="25" t="str">
        <f>(Sheet1!B118)</f>
        <v>Vijay Auto Agency (AAA) - Borna</v>
      </c>
      <c r="C118" s="30" t="str">
        <f>Sheet1!BB118</f>
        <v>No</v>
      </c>
      <c r="D118" s="30" t="s">
        <v>13</v>
      </c>
      <c r="E118" s="34" t="s">
        <v>13</v>
      </c>
      <c r="F118" s="34" t="s">
        <v>3929</v>
      </c>
      <c r="G118" s="42" t="s">
        <v>3817</v>
      </c>
      <c r="H118" s="47">
        <v>155.0</v>
      </c>
      <c r="I118" s="42" t="s">
        <v>3853</v>
      </c>
      <c r="J118" s="43">
        <v>0.0</v>
      </c>
      <c r="K118" s="43">
        <v>100.0</v>
      </c>
      <c r="L118" s="43">
        <v>0.0</v>
      </c>
      <c r="M118" s="43">
        <v>0.0</v>
      </c>
      <c r="N118" s="33">
        <f>COUNTIFS('Data For Calculation - Insuranc'!A:A,A118,'Data For Calculation - Insuranc'!D:D,"Individual",'Data For Calculation - Insuranc'!E:E,"Bundled - 1 Year OD + 5 Year TP")</f>
        <v>0</v>
      </c>
      <c r="O118" s="34" t="s">
        <v>3930</v>
      </c>
      <c r="P118" s="42" t="s">
        <v>3817</v>
      </c>
      <c r="Q118" s="47">
        <v>155.0</v>
      </c>
      <c r="R118" s="42" t="s">
        <v>3853</v>
      </c>
      <c r="S118" s="43">
        <v>0.0</v>
      </c>
      <c r="T118" s="43">
        <v>100.0</v>
      </c>
      <c r="U118" s="43">
        <v>0.0</v>
      </c>
      <c r="V118" s="43">
        <v>0.0</v>
      </c>
      <c r="W118" s="33">
        <f>COUNTIFS('Data For Calculation - Insuranc'!A:A,A118,'Data For Calculation - Insuranc'!D:D,"Company",'Data For Calculation - Insuranc'!E:E,"Bundled - 1 Year OD + 5 Year TP")</f>
        <v>0</v>
      </c>
      <c r="X118" s="34" t="s">
        <v>3929</v>
      </c>
      <c r="Y118" s="42" t="s">
        <v>3817</v>
      </c>
      <c r="Z118" s="31">
        <v>155.0</v>
      </c>
      <c r="AA118" s="34" t="s">
        <v>3853</v>
      </c>
      <c r="AB118" s="34">
        <v>0.0</v>
      </c>
      <c r="AC118" s="34">
        <v>100.0</v>
      </c>
      <c r="AD118" s="34">
        <v>0.0</v>
      </c>
      <c r="AE118" s="34">
        <v>0.0</v>
      </c>
      <c r="AF118" s="33">
        <f>COUNTIFS('Data For Calculation - Insuranc'!A:A,A118,'Data For Calculation - Insuranc'!D:D,"Individual",'Data For Calculation - Insuranc'!E:E,"Rollover Comprehensive - 1 Year OD + 1 Year TP")</f>
        <v>0</v>
      </c>
      <c r="AG118" s="34" t="s">
        <v>3930</v>
      </c>
      <c r="AH118" s="42" t="s">
        <v>3817</v>
      </c>
      <c r="AI118" s="31">
        <v>155.0</v>
      </c>
      <c r="AJ118" s="34" t="s">
        <v>3853</v>
      </c>
      <c r="AK118" s="34">
        <v>0.0</v>
      </c>
      <c r="AL118" s="34">
        <v>100.0</v>
      </c>
      <c r="AM118" s="34">
        <v>0.0</v>
      </c>
      <c r="AN118" s="34">
        <v>0.0</v>
      </c>
      <c r="AO118" s="33">
        <f>COUNTIFS('Data For Calculation - Insuranc'!A:A,A118,'Data For Calculation - Insuranc'!D:D,"Company",'Data For Calculation - Insuranc'!E:E,"Rollover Comprehensive - 1 Year OD + 1 Year TP")</f>
        <v>0</v>
      </c>
      <c r="AP118" s="34" t="s">
        <v>3931</v>
      </c>
      <c r="AQ118" s="42" t="s">
        <v>3817</v>
      </c>
      <c r="AR118" s="31">
        <v>155.0</v>
      </c>
      <c r="AS118" s="34" t="s">
        <v>3853</v>
      </c>
      <c r="AT118" s="34">
        <v>0.0</v>
      </c>
      <c r="AU118" s="34">
        <v>100.0</v>
      </c>
      <c r="AV118" s="34">
        <v>0.0</v>
      </c>
      <c r="AW118" s="34">
        <v>0.0</v>
      </c>
      <c r="AX118" s="33">
        <f>COUNTIFS('Data For Calculation - Insuranc'!A:A,A118,'Data For Calculation - Insuranc'!D:D,"Individual",'Data For Calculation - Insuranc'!E:E,"Rollover - 1 Year OD Only")</f>
        <v>0</v>
      </c>
      <c r="AY118" s="34" t="s">
        <v>3932</v>
      </c>
      <c r="AZ118" s="42" t="s">
        <v>3817</v>
      </c>
      <c r="BA118" s="31">
        <v>155.0</v>
      </c>
      <c r="BB118" s="34" t="s">
        <v>3853</v>
      </c>
      <c r="BC118" s="34">
        <v>0.0</v>
      </c>
      <c r="BD118" s="34">
        <v>100.0</v>
      </c>
      <c r="BE118" s="34">
        <v>0.0</v>
      </c>
      <c r="BF118" s="34">
        <v>0.0</v>
      </c>
      <c r="BG118" s="33">
        <f>COUNTIFS('Data For Calculation - Insuranc'!A:A,A118,'Data For Calculation - Insuranc'!D:D,"Company",'Data For Calculation - Insuranc'!E:E,"Rollover - 1 Year OD Only")</f>
        <v>0</v>
      </c>
      <c r="BH118" s="34" t="s">
        <v>3931</v>
      </c>
      <c r="BI118" s="42" t="s">
        <v>3817</v>
      </c>
      <c r="BJ118" s="31">
        <v>155.0</v>
      </c>
      <c r="BK118" s="34" t="s">
        <v>3853</v>
      </c>
      <c r="BL118" s="34">
        <v>0.0</v>
      </c>
      <c r="BM118" s="34">
        <v>100.0</v>
      </c>
      <c r="BN118" s="34">
        <v>0.0</v>
      </c>
      <c r="BO118" s="34">
        <v>0.0</v>
      </c>
      <c r="BP118" s="33">
        <f>COUNTIFS('Data For Calculation - Insuranc'!A:A,A118,'Data For Calculation - Insuranc'!D:D,"Individual",'Data For Calculation - Insuranc'!E:E,"Rollover - 1 Year TP Only")</f>
        <v>0</v>
      </c>
      <c r="BQ118" s="34" t="s">
        <v>3932</v>
      </c>
      <c r="BR118" s="42" t="s">
        <v>3817</v>
      </c>
      <c r="BS118" s="31">
        <v>155.0</v>
      </c>
      <c r="BT118" s="34" t="s">
        <v>3853</v>
      </c>
      <c r="BU118" s="34">
        <v>0.0</v>
      </c>
      <c r="BV118" s="34">
        <v>100.0</v>
      </c>
      <c r="BW118" s="34">
        <v>0.0</v>
      </c>
      <c r="BX118" s="34">
        <v>0.0</v>
      </c>
      <c r="BY118" s="33">
        <f>COUNTIFS('Data For Calculation - Insuranc'!A:A,A118,'Data For Calculation - Insuranc'!D:D,"Company",'Data For Calculation - Insuranc'!E:E,"Rollover - 1 Year TP Only")</f>
        <v>0</v>
      </c>
      <c r="BZ118" s="31">
        <f t="shared" si="1"/>
        <v>0</v>
      </c>
      <c r="CA118" s="33">
        <f>SUMIFS('Data For Calculation - Insuranc'!I:I,'Data For Calculation - Insuranc'!$A:$A,$A118)</f>
        <v>0</v>
      </c>
      <c r="CB118" s="33">
        <f>SUMIFS('Data For Calculation - Insuranc'!J:J,'Data For Calculation - Insuranc'!$A:$A,$A118)</f>
        <v>0</v>
      </c>
      <c r="CC118" s="33">
        <f>SUMIFS('Data For Calculation - Insuranc'!K:K,'Data For Calculation - Insuranc'!$A:$A,$A118)</f>
        <v>0</v>
      </c>
      <c r="CD118" s="33">
        <f>IF($CK118 = "Dealer", SUMIFS('Data For Calculation - Insuranc'!I:I,'Data For Calculation - Insuranc'!$B:$B,$A118,'Data For Calculation - Insuranc'!$H:$H,"Master Dealer")) + SUMIFS('Data For Calculation - Insuranc'!I:I,'Data For Calculation - Insuranc'!$A:$A,$A118,'Data For Calculation - Insuranc'!$H:$H,"Self")</f>
        <v>0</v>
      </c>
      <c r="CE118" s="33">
        <f>IF($CK118 = "Dealer", SUMIFS('Data For Calculation - Insuranc'!J:J,'Data For Calculation - Insuranc'!$B:$B,$A118,'Data For Calculation - Insuranc'!$H:$H,"Master Dealer")) + SUMIFS('Data For Calculation - Insuranc'!J:J,'Data For Calculation - Insuranc'!$A:$A,$A118,'Data For Calculation - Insuranc'!$H:$H,"Self")</f>
        <v>0</v>
      </c>
      <c r="CF118" s="33">
        <f>IF($CK118 = "Dealer", SUMIFS('Data For Calculation - Insuranc'!K:K,'Data For Calculation - Insuranc'!$B:$B,$A118,'Data For Calculation - Insuranc'!$H:$H,"Master Dealer")) + SUMIFS('Data For Calculation - Insuranc'!K:K,'Data For Calculation - Insuranc'!$A:$A,$A118,'Data For Calculation - Insuranc'!$H:$H,"Self")</f>
        <v>0</v>
      </c>
      <c r="CG118" s="25" t="str">
        <f>(Sheet1!N118)</f>
        <v>AAA</v>
      </c>
      <c r="CH118" s="25" t="str">
        <f>(Sheet1!O118)</f>
        <v>1AjVyIHPgPw3jscNmkTH1qzR2RokK5FZaJLjeNfOiYAA</v>
      </c>
      <c r="CI118" s="25" t="str">
        <f>(Sheet1!AV118)</f>
        <v/>
      </c>
      <c r="CJ118" s="25" t="str">
        <f>(Sheet1!AW118)</f>
        <v/>
      </c>
      <c r="CK118" s="26" t="str">
        <f>(Sheet1!P118)</f>
        <v>Sub Dealer</v>
      </c>
    </row>
    <row r="119">
      <c r="A119" s="25" t="str">
        <f>(Sheet1!A119)</f>
        <v>11FZlKtFUzBvNAVUVwf1C2KpyoxHhbZTiI7E_EdPr-mg</v>
      </c>
      <c r="B119" s="25" t="str">
        <f>(Sheet1!B119)</f>
        <v>Sumitra Sons - Shahajahanpur</v>
      </c>
      <c r="C119" s="30" t="str">
        <f>Sheet1!BB119</f>
        <v>No</v>
      </c>
      <c r="D119" s="30" t="s">
        <v>13</v>
      </c>
      <c r="E119" s="34" t="s">
        <v>13</v>
      </c>
      <c r="F119" s="34" t="s">
        <v>3929</v>
      </c>
      <c r="G119" s="42" t="s">
        <v>3817</v>
      </c>
      <c r="H119" s="43">
        <v>460.0</v>
      </c>
      <c r="I119" s="42" t="s">
        <v>3853</v>
      </c>
      <c r="J119" s="43">
        <v>0.0</v>
      </c>
      <c r="K119" s="43">
        <v>100.0</v>
      </c>
      <c r="L119" s="43">
        <v>0.0</v>
      </c>
      <c r="M119" s="43">
        <v>0.0</v>
      </c>
      <c r="N119" s="33">
        <f>COUNTIFS('Data For Calculation - Insuranc'!A:A,A119,'Data For Calculation - Insuranc'!D:D,"Individual",'Data For Calculation - Insuranc'!E:E,"Bundled - 1 Year OD + 5 Year TP")</f>
        <v>0</v>
      </c>
      <c r="O119" s="34" t="s">
        <v>3930</v>
      </c>
      <c r="P119" s="42" t="s">
        <v>3817</v>
      </c>
      <c r="Q119" s="43">
        <v>460.0</v>
      </c>
      <c r="R119" s="42" t="s">
        <v>3853</v>
      </c>
      <c r="S119" s="43">
        <v>0.0</v>
      </c>
      <c r="T119" s="43">
        <v>100.0</v>
      </c>
      <c r="U119" s="43">
        <v>0.0</v>
      </c>
      <c r="V119" s="43">
        <v>0.0</v>
      </c>
      <c r="W119" s="33">
        <f>COUNTIFS('Data For Calculation - Insuranc'!A:A,A119,'Data For Calculation - Insuranc'!D:D,"Company",'Data For Calculation - Insuranc'!E:E,"Bundled - 1 Year OD + 5 Year TP")</f>
        <v>0</v>
      </c>
      <c r="X119" s="34" t="s">
        <v>3929</v>
      </c>
      <c r="Y119" s="42" t="s">
        <v>3817</v>
      </c>
      <c r="Z119" s="31">
        <v>290.0</v>
      </c>
      <c r="AA119" s="34" t="s">
        <v>3853</v>
      </c>
      <c r="AB119" s="34">
        <v>0.0</v>
      </c>
      <c r="AC119" s="34">
        <v>100.0</v>
      </c>
      <c r="AD119" s="34">
        <v>0.0</v>
      </c>
      <c r="AE119" s="34">
        <v>0.0</v>
      </c>
      <c r="AF119" s="33">
        <f>COUNTIFS('Data For Calculation - Insuranc'!A:A,A119,'Data For Calculation - Insuranc'!D:D,"Individual",'Data For Calculation - Insuranc'!E:E,"Rollover Comprehensive - 1 Year OD + 1 Year TP")</f>
        <v>0</v>
      </c>
      <c r="AG119" s="34" t="s">
        <v>3930</v>
      </c>
      <c r="AH119" s="42" t="s">
        <v>3817</v>
      </c>
      <c r="AI119" s="31">
        <v>290.0</v>
      </c>
      <c r="AJ119" s="34" t="s">
        <v>3853</v>
      </c>
      <c r="AK119" s="34">
        <v>0.0</v>
      </c>
      <c r="AL119" s="34">
        <v>100.0</v>
      </c>
      <c r="AM119" s="34">
        <v>0.0</v>
      </c>
      <c r="AN119" s="34">
        <v>0.0</v>
      </c>
      <c r="AO119" s="33">
        <f>COUNTIFS('Data For Calculation - Insuranc'!A:A,A119,'Data For Calculation - Insuranc'!D:D,"Company",'Data For Calculation - Insuranc'!E:E,"Rollover Comprehensive - 1 Year OD + 1 Year TP")</f>
        <v>0</v>
      </c>
      <c r="AP119" s="34" t="s">
        <v>3931</v>
      </c>
      <c r="AQ119" s="42" t="s">
        <v>3817</v>
      </c>
      <c r="AR119" s="31">
        <v>290.0</v>
      </c>
      <c r="AS119" s="34" t="s">
        <v>3853</v>
      </c>
      <c r="AT119" s="34">
        <v>0.0</v>
      </c>
      <c r="AU119" s="34">
        <v>100.0</v>
      </c>
      <c r="AV119" s="34">
        <v>0.0</v>
      </c>
      <c r="AW119" s="34">
        <v>0.0</v>
      </c>
      <c r="AX119" s="33">
        <f>COUNTIFS('Data For Calculation - Insuranc'!A:A,A119,'Data For Calculation - Insuranc'!D:D,"Individual",'Data For Calculation - Insuranc'!E:E,"Rollover - 1 Year OD Only")</f>
        <v>0</v>
      </c>
      <c r="AY119" s="34" t="s">
        <v>3932</v>
      </c>
      <c r="AZ119" s="42" t="s">
        <v>3817</v>
      </c>
      <c r="BA119" s="31">
        <v>290.0</v>
      </c>
      <c r="BB119" s="34" t="s">
        <v>3853</v>
      </c>
      <c r="BC119" s="34">
        <v>0.0</v>
      </c>
      <c r="BD119" s="34">
        <v>100.0</v>
      </c>
      <c r="BE119" s="34">
        <v>0.0</v>
      </c>
      <c r="BF119" s="34">
        <v>0.0</v>
      </c>
      <c r="BG119" s="33">
        <f>COUNTIFS('Data For Calculation - Insuranc'!A:A,A119,'Data For Calculation - Insuranc'!D:D,"Company",'Data For Calculation - Insuranc'!E:E,"Rollover - 1 Year OD Only")</f>
        <v>0</v>
      </c>
      <c r="BH119" s="34" t="s">
        <v>3931</v>
      </c>
      <c r="BI119" s="42" t="s">
        <v>3817</v>
      </c>
      <c r="BJ119" s="31">
        <v>290.0</v>
      </c>
      <c r="BK119" s="34" t="s">
        <v>3853</v>
      </c>
      <c r="BL119" s="34">
        <v>0.0</v>
      </c>
      <c r="BM119" s="34">
        <v>100.0</v>
      </c>
      <c r="BN119" s="34">
        <v>0.0</v>
      </c>
      <c r="BO119" s="34">
        <v>0.0</v>
      </c>
      <c r="BP119" s="33">
        <f>COUNTIFS('Data For Calculation - Insuranc'!A:A,A119,'Data For Calculation - Insuranc'!D:D,"Individual",'Data For Calculation - Insuranc'!E:E,"Rollover - 1 Year TP Only")</f>
        <v>0</v>
      </c>
      <c r="BQ119" s="34" t="s">
        <v>3932</v>
      </c>
      <c r="BR119" s="42" t="s">
        <v>3817</v>
      </c>
      <c r="BS119" s="31">
        <v>290.0</v>
      </c>
      <c r="BT119" s="34" t="s">
        <v>3853</v>
      </c>
      <c r="BU119" s="34">
        <v>0.0</v>
      </c>
      <c r="BV119" s="34">
        <v>100.0</v>
      </c>
      <c r="BW119" s="34">
        <v>0.0</v>
      </c>
      <c r="BX119" s="34">
        <v>0.0</v>
      </c>
      <c r="BY119" s="33">
        <f>COUNTIFS('Data For Calculation - Insuranc'!A:A,A119,'Data For Calculation - Insuranc'!D:D,"Company",'Data For Calculation - Insuranc'!E:E,"Rollover - 1 Year TP Only")</f>
        <v>0</v>
      </c>
      <c r="BZ119" s="31">
        <f t="shared" si="1"/>
        <v>0</v>
      </c>
      <c r="CA119" s="33">
        <f>SUMIFS('Data For Calculation - Insuranc'!I:I,'Data For Calculation - Insuranc'!$A:$A,$A119)</f>
        <v>0</v>
      </c>
      <c r="CB119" s="33">
        <f>SUMIFS('Data For Calculation - Insuranc'!J:J,'Data For Calculation - Insuranc'!$A:$A,$A119)</f>
        <v>0</v>
      </c>
      <c r="CC119" s="33">
        <f>SUMIFS('Data For Calculation - Insuranc'!K:K,'Data For Calculation - Insuranc'!$A:$A,$A119)</f>
        <v>0</v>
      </c>
      <c r="CD119" s="33">
        <f>IF($CK119 = "Dealer", SUMIFS('Data For Calculation - Insuranc'!I:I,'Data For Calculation - Insuranc'!$B:$B,$A119,'Data For Calculation - Insuranc'!$H:$H,"Master Dealer")) + SUMIFS('Data For Calculation - Insuranc'!I:I,'Data For Calculation - Insuranc'!$A:$A,$A119,'Data For Calculation - Insuranc'!$H:$H,"Self")</f>
        <v>0</v>
      </c>
      <c r="CE119" s="33">
        <f>IF($CK119 = "Dealer", SUMIFS('Data For Calculation - Insuranc'!J:J,'Data For Calculation - Insuranc'!$B:$B,$A119,'Data For Calculation - Insuranc'!$H:$H,"Master Dealer")) + SUMIFS('Data For Calculation - Insuranc'!J:J,'Data For Calculation - Insuranc'!$A:$A,$A119,'Data For Calculation - Insuranc'!$H:$H,"Self")</f>
        <v>0</v>
      </c>
      <c r="CF119" s="33">
        <f>IF($CK119 = "Dealer", SUMIFS('Data For Calculation - Insuranc'!K:K,'Data For Calculation - Insuranc'!$B:$B,$A119,'Data For Calculation - Insuranc'!$H:$H,"Master Dealer")) + SUMIFS('Data For Calculation - Insuranc'!K:K,'Data For Calculation - Insuranc'!$A:$A,$A119,'Data For Calculation - Insuranc'!$H:$H,"Self")</f>
        <v>0</v>
      </c>
      <c r="CG119" s="25" t="str">
        <f>(Sheet1!N119)</f>
        <v>Sumitra Sons - Shahajahanpur</v>
      </c>
      <c r="CH119" s="25" t="str">
        <f>(Sheet1!O119)</f>
        <v>11FZlKtFUzBvNAVUVwf1C2KpyoxHhbZTiI7E_EdPr-mg</v>
      </c>
      <c r="CI119" s="25" t="str">
        <f>(Sheet1!AV119)</f>
        <v/>
      </c>
      <c r="CJ119" s="25" t="str">
        <f>(Sheet1!AW119)</f>
        <v/>
      </c>
      <c r="CK119" s="26" t="str">
        <f>(Sheet1!P119)</f>
        <v>Dealer</v>
      </c>
    </row>
    <row r="120">
      <c r="A120" s="25" t="str">
        <f>(Sheet1!A120)</f>
        <v>1Ls4odXuMLfeohk9ZIC00W0M7HKTZolVgkr-fVY8YwrQ</v>
      </c>
      <c r="B120" s="25" t="str">
        <f>(Sheet1!B120)</f>
        <v>R N Motors - Rampur</v>
      </c>
      <c r="C120" s="30" t="str">
        <f>Sheet1!BB120</f>
        <v>No</v>
      </c>
      <c r="D120" s="30" t="s">
        <v>13</v>
      </c>
      <c r="E120" s="34" t="s">
        <v>13</v>
      </c>
      <c r="F120" s="34" t="s">
        <v>3929</v>
      </c>
      <c r="G120" s="42" t="s">
        <v>3817</v>
      </c>
      <c r="H120" s="43">
        <v>460.0</v>
      </c>
      <c r="I120" s="42" t="s">
        <v>3853</v>
      </c>
      <c r="J120" s="43">
        <v>0.0</v>
      </c>
      <c r="K120" s="43">
        <v>100.0</v>
      </c>
      <c r="L120" s="43">
        <v>0.0</v>
      </c>
      <c r="M120" s="43">
        <v>0.0</v>
      </c>
      <c r="N120" s="33">
        <f>COUNTIFS('Data For Calculation - Insuranc'!A:A,A120,'Data For Calculation - Insuranc'!D:D,"Individual",'Data For Calculation - Insuranc'!E:E,"Bundled - 1 Year OD + 5 Year TP")</f>
        <v>0</v>
      </c>
      <c r="O120" s="34" t="s">
        <v>3930</v>
      </c>
      <c r="P120" s="42" t="s">
        <v>3817</v>
      </c>
      <c r="Q120" s="43">
        <v>460.0</v>
      </c>
      <c r="R120" s="42" t="s">
        <v>3853</v>
      </c>
      <c r="S120" s="43">
        <v>0.0</v>
      </c>
      <c r="T120" s="43">
        <v>100.0</v>
      </c>
      <c r="U120" s="43">
        <v>0.0</v>
      </c>
      <c r="V120" s="43">
        <v>0.0</v>
      </c>
      <c r="W120" s="33">
        <f>COUNTIFS('Data For Calculation - Insuranc'!A:A,A120,'Data For Calculation - Insuranc'!D:D,"Company",'Data For Calculation - Insuranc'!E:E,"Bundled - 1 Year OD + 5 Year TP")</f>
        <v>0</v>
      </c>
      <c r="X120" s="34" t="s">
        <v>3929</v>
      </c>
      <c r="Y120" s="42" t="s">
        <v>3817</v>
      </c>
      <c r="Z120" s="31">
        <v>290.0</v>
      </c>
      <c r="AA120" s="34" t="s">
        <v>3853</v>
      </c>
      <c r="AB120" s="34">
        <v>0.0</v>
      </c>
      <c r="AC120" s="34">
        <v>100.0</v>
      </c>
      <c r="AD120" s="34">
        <v>0.0</v>
      </c>
      <c r="AE120" s="34">
        <v>0.0</v>
      </c>
      <c r="AF120" s="33">
        <f>COUNTIFS('Data For Calculation - Insuranc'!A:A,A120,'Data For Calculation - Insuranc'!D:D,"Individual",'Data For Calculation - Insuranc'!E:E,"Rollover Comprehensive - 1 Year OD + 1 Year TP")</f>
        <v>0</v>
      </c>
      <c r="AG120" s="34" t="s">
        <v>3930</v>
      </c>
      <c r="AH120" s="42" t="s">
        <v>3817</v>
      </c>
      <c r="AI120" s="31">
        <v>290.0</v>
      </c>
      <c r="AJ120" s="34" t="s">
        <v>3853</v>
      </c>
      <c r="AK120" s="34">
        <v>0.0</v>
      </c>
      <c r="AL120" s="34">
        <v>100.0</v>
      </c>
      <c r="AM120" s="34">
        <v>0.0</v>
      </c>
      <c r="AN120" s="34">
        <v>0.0</v>
      </c>
      <c r="AO120" s="33">
        <f>COUNTIFS('Data For Calculation - Insuranc'!A:A,A120,'Data For Calculation - Insuranc'!D:D,"Company",'Data For Calculation - Insuranc'!E:E,"Rollover Comprehensive - 1 Year OD + 1 Year TP")</f>
        <v>0</v>
      </c>
      <c r="AP120" s="34" t="s">
        <v>3931</v>
      </c>
      <c r="AQ120" s="42" t="s">
        <v>3817</v>
      </c>
      <c r="AR120" s="31">
        <v>290.0</v>
      </c>
      <c r="AS120" s="34" t="s">
        <v>3853</v>
      </c>
      <c r="AT120" s="34">
        <v>0.0</v>
      </c>
      <c r="AU120" s="34">
        <v>100.0</v>
      </c>
      <c r="AV120" s="34">
        <v>0.0</v>
      </c>
      <c r="AW120" s="34">
        <v>0.0</v>
      </c>
      <c r="AX120" s="33">
        <f>COUNTIFS('Data For Calculation - Insuranc'!A:A,A120,'Data For Calculation - Insuranc'!D:D,"Individual",'Data For Calculation - Insuranc'!E:E,"Rollover - 1 Year OD Only")</f>
        <v>0</v>
      </c>
      <c r="AY120" s="34" t="s">
        <v>3932</v>
      </c>
      <c r="AZ120" s="42" t="s">
        <v>3817</v>
      </c>
      <c r="BA120" s="31">
        <v>290.0</v>
      </c>
      <c r="BB120" s="34" t="s">
        <v>3853</v>
      </c>
      <c r="BC120" s="34">
        <v>0.0</v>
      </c>
      <c r="BD120" s="34">
        <v>100.0</v>
      </c>
      <c r="BE120" s="34">
        <v>0.0</v>
      </c>
      <c r="BF120" s="34">
        <v>0.0</v>
      </c>
      <c r="BG120" s="33">
        <f>COUNTIFS('Data For Calculation - Insuranc'!A:A,A120,'Data For Calculation - Insuranc'!D:D,"Company",'Data For Calculation - Insuranc'!E:E,"Rollover - 1 Year OD Only")</f>
        <v>0</v>
      </c>
      <c r="BH120" s="34" t="s">
        <v>3931</v>
      </c>
      <c r="BI120" s="42" t="s">
        <v>3817</v>
      </c>
      <c r="BJ120" s="31">
        <v>290.0</v>
      </c>
      <c r="BK120" s="34" t="s">
        <v>3853</v>
      </c>
      <c r="BL120" s="34">
        <v>0.0</v>
      </c>
      <c r="BM120" s="34">
        <v>100.0</v>
      </c>
      <c r="BN120" s="34">
        <v>0.0</v>
      </c>
      <c r="BO120" s="34">
        <v>0.0</v>
      </c>
      <c r="BP120" s="33">
        <f>COUNTIFS('Data For Calculation - Insuranc'!A:A,A120,'Data For Calculation - Insuranc'!D:D,"Individual",'Data For Calculation - Insuranc'!E:E,"Rollover - 1 Year TP Only")</f>
        <v>0</v>
      </c>
      <c r="BQ120" s="34" t="s">
        <v>3932</v>
      </c>
      <c r="BR120" s="42" t="s">
        <v>3817</v>
      </c>
      <c r="BS120" s="31">
        <v>290.0</v>
      </c>
      <c r="BT120" s="34" t="s">
        <v>3853</v>
      </c>
      <c r="BU120" s="34">
        <v>0.0</v>
      </c>
      <c r="BV120" s="34">
        <v>100.0</v>
      </c>
      <c r="BW120" s="34">
        <v>0.0</v>
      </c>
      <c r="BX120" s="34">
        <v>0.0</v>
      </c>
      <c r="BY120" s="33">
        <f>COUNTIFS('Data For Calculation - Insuranc'!A:A,A120,'Data For Calculation - Insuranc'!D:D,"Company",'Data For Calculation - Insuranc'!E:E,"Rollover - 1 Year TP Only")</f>
        <v>0</v>
      </c>
      <c r="BZ120" s="31">
        <f t="shared" si="1"/>
        <v>0</v>
      </c>
      <c r="CA120" s="33">
        <f>SUMIFS('Data For Calculation - Insuranc'!I:I,'Data For Calculation - Insuranc'!$A:$A,$A120)</f>
        <v>0</v>
      </c>
      <c r="CB120" s="33">
        <f>SUMIFS('Data For Calculation - Insuranc'!J:J,'Data For Calculation - Insuranc'!$A:$A,$A120)</f>
        <v>0</v>
      </c>
      <c r="CC120" s="33">
        <f>SUMIFS('Data For Calculation - Insuranc'!K:K,'Data For Calculation - Insuranc'!$A:$A,$A120)</f>
        <v>0</v>
      </c>
      <c r="CD120" s="33">
        <f>IF($CK120 = "Dealer", SUMIFS('Data For Calculation - Insuranc'!I:I,'Data For Calculation - Insuranc'!$B:$B,$A120,'Data For Calculation - Insuranc'!$H:$H,"Master Dealer")) + SUMIFS('Data For Calculation - Insuranc'!I:I,'Data For Calculation - Insuranc'!$A:$A,$A120,'Data For Calculation - Insuranc'!$H:$H,"Self")</f>
        <v>0</v>
      </c>
      <c r="CE120" s="33">
        <f>IF($CK120 = "Dealer", SUMIFS('Data For Calculation - Insuranc'!J:J,'Data For Calculation - Insuranc'!$B:$B,$A120,'Data For Calculation - Insuranc'!$H:$H,"Master Dealer")) + SUMIFS('Data For Calculation - Insuranc'!J:J,'Data For Calculation - Insuranc'!$A:$A,$A120,'Data For Calculation - Insuranc'!$H:$H,"Self")</f>
        <v>0</v>
      </c>
      <c r="CF120" s="33">
        <f>IF($CK120 = "Dealer", SUMIFS('Data For Calculation - Insuranc'!K:K,'Data For Calculation - Insuranc'!$B:$B,$A120,'Data For Calculation - Insuranc'!$H:$H,"Master Dealer")) + SUMIFS('Data For Calculation - Insuranc'!K:K,'Data For Calculation - Insuranc'!$A:$A,$A120,'Data For Calculation - Insuranc'!$H:$H,"Self")</f>
        <v>0</v>
      </c>
      <c r="CG120" s="25" t="str">
        <f>(Sheet1!N120)</f>
        <v>R N Motors - Rampur</v>
      </c>
      <c r="CH120" s="25" t="str">
        <f>(Sheet1!O120)</f>
        <v>1Ls4odXuMLfeohk9ZIC00W0M7HKTZolVgkr-fVY8YwrQ</v>
      </c>
      <c r="CI120" s="25" t="str">
        <f>(Sheet1!AV120)</f>
        <v/>
      </c>
      <c r="CJ120" s="25" t="str">
        <f>(Sheet1!AW120)</f>
        <v/>
      </c>
      <c r="CK120" s="26" t="str">
        <f>(Sheet1!P120)</f>
        <v>Dealer</v>
      </c>
    </row>
    <row r="121">
      <c r="A121" s="25" t="str">
        <f>(Sheet1!A121)</f>
        <v>1egrFzds1dA_qcyd-YeJKBrt74ORJ0Jzk4cfbN-wYoKI</v>
      </c>
      <c r="B121" s="25" t="str">
        <f>(Sheet1!B121)</f>
        <v>Venus Hero Venture - Firozabad</v>
      </c>
      <c r="C121" s="30" t="str">
        <f>Sheet1!BB121</f>
        <v>No</v>
      </c>
      <c r="D121" s="30" t="s">
        <v>13</v>
      </c>
      <c r="E121" s="34" t="s">
        <v>13</v>
      </c>
      <c r="F121" s="34" t="s">
        <v>3929</v>
      </c>
      <c r="G121" s="42" t="s">
        <v>3820</v>
      </c>
      <c r="H121" s="43">
        <v>460.0</v>
      </c>
      <c r="I121" s="42" t="s">
        <v>3853</v>
      </c>
      <c r="J121" s="43">
        <v>0.0</v>
      </c>
      <c r="K121" s="43">
        <v>100.0</v>
      </c>
      <c r="L121" s="43">
        <v>0.0</v>
      </c>
      <c r="M121" s="43">
        <v>0.0</v>
      </c>
      <c r="N121" s="33">
        <f>COUNTIFS('Data For Calculation - Insuranc'!A:A,A121,'Data For Calculation - Insuranc'!D:D,"Individual",'Data For Calculation - Insuranc'!E:E,"Bundled - 1 Year OD + 5 Year TP")</f>
        <v>0</v>
      </c>
      <c r="O121" s="34" t="s">
        <v>3930</v>
      </c>
      <c r="P121" s="42" t="s">
        <v>3820</v>
      </c>
      <c r="Q121" s="43">
        <v>460.0</v>
      </c>
      <c r="R121" s="42" t="s">
        <v>3853</v>
      </c>
      <c r="S121" s="43">
        <v>0.0</v>
      </c>
      <c r="T121" s="43">
        <v>100.0</v>
      </c>
      <c r="U121" s="43">
        <v>0.0</v>
      </c>
      <c r="V121" s="43">
        <v>0.0</v>
      </c>
      <c r="W121" s="33">
        <f>COUNTIFS('Data For Calculation - Insuranc'!A:A,A121,'Data For Calculation - Insuranc'!D:D,"Company",'Data For Calculation - Insuranc'!E:E,"Bundled - 1 Year OD + 5 Year TP")</f>
        <v>0</v>
      </c>
      <c r="X121" s="34" t="s">
        <v>3929</v>
      </c>
      <c r="Y121" s="42" t="s">
        <v>3820</v>
      </c>
      <c r="Z121" s="31">
        <v>290.0</v>
      </c>
      <c r="AA121" s="34" t="s">
        <v>3853</v>
      </c>
      <c r="AB121" s="34">
        <v>0.0</v>
      </c>
      <c r="AC121" s="34">
        <v>100.0</v>
      </c>
      <c r="AD121" s="34">
        <v>0.0</v>
      </c>
      <c r="AE121" s="34">
        <v>0.0</v>
      </c>
      <c r="AF121" s="33">
        <f>COUNTIFS('Data For Calculation - Insuranc'!A:A,A121,'Data For Calculation - Insuranc'!D:D,"Individual",'Data For Calculation - Insuranc'!E:E,"Rollover Comprehensive - 1 Year OD + 1 Year TP")</f>
        <v>0</v>
      </c>
      <c r="AG121" s="34" t="s">
        <v>3930</v>
      </c>
      <c r="AH121" s="42" t="s">
        <v>3820</v>
      </c>
      <c r="AI121" s="31">
        <v>290.0</v>
      </c>
      <c r="AJ121" s="34" t="s">
        <v>3853</v>
      </c>
      <c r="AK121" s="34">
        <v>0.0</v>
      </c>
      <c r="AL121" s="34">
        <v>100.0</v>
      </c>
      <c r="AM121" s="34">
        <v>0.0</v>
      </c>
      <c r="AN121" s="34">
        <v>0.0</v>
      </c>
      <c r="AO121" s="33">
        <f>COUNTIFS('Data For Calculation - Insuranc'!A:A,A121,'Data For Calculation - Insuranc'!D:D,"Company",'Data For Calculation - Insuranc'!E:E,"Rollover Comprehensive - 1 Year OD + 1 Year TP")</f>
        <v>0</v>
      </c>
      <c r="AP121" s="34" t="s">
        <v>3931</v>
      </c>
      <c r="AQ121" s="42" t="s">
        <v>3820</v>
      </c>
      <c r="AR121" s="31">
        <v>290.0</v>
      </c>
      <c r="AS121" s="34" t="s">
        <v>3853</v>
      </c>
      <c r="AT121" s="34">
        <v>0.0</v>
      </c>
      <c r="AU121" s="34">
        <v>100.0</v>
      </c>
      <c r="AV121" s="34">
        <v>0.0</v>
      </c>
      <c r="AW121" s="34">
        <v>0.0</v>
      </c>
      <c r="AX121" s="33">
        <f>COUNTIFS('Data For Calculation - Insuranc'!A:A,A121,'Data For Calculation - Insuranc'!D:D,"Individual",'Data For Calculation - Insuranc'!E:E,"Rollover - 1 Year OD Only")</f>
        <v>0</v>
      </c>
      <c r="AY121" s="34" t="s">
        <v>3932</v>
      </c>
      <c r="AZ121" s="42" t="s">
        <v>3820</v>
      </c>
      <c r="BA121" s="31">
        <v>290.0</v>
      </c>
      <c r="BB121" s="34" t="s">
        <v>3853</v>
      </c>
      <c r="BC121" s="34">
        <v>0.0</v>
      </c>
      <c r="BD121" s="34">
        <v>100.0</v>
      </c>
      <c r="BE121" s="34">
        <v>0.0</v>
      </c>
      <c r="BF121" s="34">
        <v>0.0</v>
      </c>
      <c r="BG121" s="33">
        <f>COUNTIFS('Data For Calculation - Insuranc'!A:A,A121,'Data For Calculation - Insuranc'!D:D,"Company",'Data For Calculation - Insuranc'!E:E,"Rollover - 1 Year OD Only")</f>
        <v>0</v>
      </c>
      <c r="BH121" s="34" t="s">
        <v>3931</v>
      </c>
      <c r="BI121" s="42" t="s">
        <v>3820</v>
      </c>
      <c r="BJ121" s="31">
        <v>290.0</v>
      </c>
      <c r="BK121" s="34" t="s">
        <v>3853</v>
      </c>
      <c r="BL121" s="34">
        <v>0.0</v>
      </c>
      <c r="BM121" s="34">
        <v>100.0</v>
      </c>
      <c r="BN121" s="34">
        <v>0.0</v>
      </c>
      <c r="BO121" s="34">
        <v>0.0</v>
      </c>
      <c r="BP121" s="33">
        <f>COUNTIFS('Data For Calculation - Insuranc'!A:A,A121,'Data For Calculation - Insuranc'!D:D,"Individual",'Data For Calculation - Insuranc'!E:E,"Rollover - 1 Year TP Only")</f>
        <v>0</v>
      </c>
      <c r="BQ121" s="34" t="s">
        <v>3932</v>
      </c>
      <c r="BR121" s="42" t="s">
        <v>3820</v>
      </c>
      <c r="BS121" s="31">
        <v>290.0</v>
      </c>
      <c r="BT121" s="34" t="s">
        <v>3853</v>
      </c>
      <c r="BU121" s="34">
        <v>0.0</v>
      </c>
      <c r="BV121" s="34">
        <v>100.0</v>
      </c>
      <c r="BW121" s="34">
        <v>0.0</v>
      </c>
      <c r="BX121" s="34">
        <v>0.0</v>
      </c>
      <c r="BY121" s="33">
        <f>COUNTIFS('Data For Calculation - Insuranc'!A:A,A121,'Data For Calculation - Insuranc'!D:D,"Company",'Data For Calculation - Insuranc'!E:E,"Rollover - 1 Year TP Only")</f>
        <v>0</v>
      </c>
      <c r="BZ121" s="31">
        <f t="shared" si="1"/>
        <v>0</v>
      </c>
      <c r="CA121" s="33">
        <f>SUMIFS('Data For Calculation - Insuranc'!I:I,'Data For Calculation - Insuranc'!$A:$A,$A121)</f>
        <v>0</v>
      </c>
      <c r="CB121" s="33">
        <f>SUMIFS('Data For Calculation - Insuranc'!J:J,'Data For Calculation - Insuranc'!$A:$A,$A121)</f>
        <v>0</v>
      </c>
      <c r="CC121" s="33">
        <f>SUMIFS('Data For Calculation - Insuranc'!K:K,'Data For Calculation - Insuranc'!$A:$A,$A121)</f>
        <v>0</v>
      </c>
      <c r="CD121" s="33">
        <f>IF($CK121 = "Dealer", SUMIFS('Data For Calculation - Insuranc'!I:I,'Data For Calculation - Insuranc'!$B:$B,$A121,'Data For Calculation - Insuranc'!$H:$H,"Master Dealer")) + SUMIFS('Data For Calculation - Insuranc'!I:I,'Data For Calculation - Insuranc'!$A:$A,$A121,'Data For Calculation - Insuranc'!$H:$H,"Self")</f>
        <v>0</v>
      </c>
      <c r="CE121" s="33">
        <f>IF($CK121 = "Dealer", SUMIFS('Data For Calculation - Insuranc'!J:J,'Data For Calculation - Insuranc'!$B:$B,$A121,'Data For Calculation - Insuranc'!$H:$H,"Master Dealer")) + SUMIFS('Data For Calculation - Insuranc'!J:J,'Data For Calculation - Insuranc'!$A:$A,$A121,'Data For Calculation - Insuranc'!$H:$H,"Self")</f>
        <v>0</v>
      </c>
      <c r="CF121" s="33">
        <f>IF($CK121 = "Dealer", SUMIFS('Data For Calculation - Insuranc'!K:K,'Data For Calculation - Insuranc'!$B:$B,$A121,'Data For Calculation - Insuranc'!$H:$H,"Master Dealer")) + SUMIFS('Data For Calculation - Insuranc'!K:K,'Data For Calculation - Insuranc'!$A:$A,$A121,'Data For Calculation - Insuranc'!$H:$H,"Self")</f>
        <v>0</v>
      </c>
      <c r="CG121" s="25" t="str">
        <f>(Sheet1!N121)</f>
        <v>Venus Hero Venture - Firozabad</v>
      </c>
      <c r="CH121" s="25" t="str">
        <f>(Sheet1!O121)</f>
        <v>1egrFzds1dA_qcyd-YeJKBrt74ORJ0Jzk4cfbN-wYoKI</v>
      </c>
      <c r="CI121" s="25" t="str">
        <f>(Sheet1!AV121)</f>
        <v/>
      </c>
      <c r="CJ121" s="25" t="str">
        <f>(Sheet1!AW121)</f>
        <v/>
      </c>
      <c r="CK121" s="26" t="str">
        <f>(Sheet1!P121)</f>
        <v>Dealer</v>
      </c>
    </row>
    <row r="122">
      <c r="A122" s="25" t="str">
        <f>(Sheet1!A122)</f>
        <v>1ra6mHCXtOkmX_f5VYmZIM-O0h_lwV1ZF943CChQWm44</v>
      </c>
      <c r="B122" s="25" t="str">
        <f>(Sheet1!B122)</f>
        <v>VAW - Ramghat Road</v>
      </c>
      <c r="C122" s="30" t="str">
        <f>Sheet1!BB122</f>
        <v>No</v>
      </c>
      <c r="D122" s="30" t="s">
        <v>13</v>
      </c>
      <c r="E122" s="34" t="s">
        <v>13</v>
      </c>
      <c r="F122" s="34" t="s">
        <v>3929</v>
      </c>
      <c r="G122" s="42" t="s">
        <v>3820</v>
      </c>
      <c r="H122" s="43">
        <v>170.0</v>
      </c>
      <c r="I122" s="42" t="s">
        <v>3853</v>
      </c>
      <c r="J122" s="43">
        <v>0.0</v>
      </c>
      <c r="K122" s="43">
        <v>100.0</v>
      </c>
      <c r="L122" s="43">
        <v>0.0</v>
      </c>
      <c r="M122" s="43">
        <v>0.0</v>
      </c>
      <c r="N122" s="33">
        <f>COUNTIFS('Data For Calculation - Insuranc'!A:A,A122,'Data For Calculation - Insuranc'!D:D,"Individual",'Data For Calculation - Insuranc'!E:E,"Bundled - 1 Year OD + 5 Year TP")</f>
        <v>0</v>
      </c>
      <c r="O122" s="34" t="s">
        <v>3930</v>
      </c>
      <c r="P122" s="42" t="s">
        <v>3820</v>
      </c>
      <c r="Q122" s="43">
        <v>170.0</v>
      </c>
      <c r="R122" s="42" t="s">
        <v>3853</v>
      </c>
      <c r="S122" s="43">
        <v>0.0</v>
      </c>
      <c r="T122" s="43">
        <v>100.0</v>
      </c>
      <c r="U122" s="43">
        <v>0.0</v>
      </c>
      <c r="V122" s="43">
        <v>0.0</v>
      </c>
      <c r="W122" s="33">
        <f>COUNTIFS('Data For Calculation - Insuranc'!A:A,A122,'Data For Calculation - Insuranc'!D:D,"Company",'Data For Calculation - Insuranc'!E:E,"Bundled - 1 Year OD + 5 Year TP")</f>
        <v>0</v>
      </c>
      <c r="X122" s="34" t="s">
        <v>3929</v>
      </c>
      <c r="Y122" s="42" t="s">
        <v>3820</v>
      </c>
      <c r="Z122" s="31">
        <v>170.0</v>
      </c>
      <c r="AA122" s="34" t="s">
        <v>3853</v>
      </c>
      <c r="AB122" s="34">
        <v>0.0</v>
      </c>
      <c r="AC122" s="34">
        <v>100.0</v>
      </c>
      <c r="AD122" s="34">
        <v>0.0</v>
      </c>
      <c r="AE122" s="34">
        <v>0.0</v>
      </c>
      <c r="AF122" s="33">
        <f>COUNTIFS('Data For Calculation - Insuranc'!A:A,A122,'Data For Calculation - Insuranc'!D:D,"Individual",'Data For Calculation - Insuranc'!E:E,"Rollover Comprehensive - 1 Year OD + 1 Year TP")</f>
        <v>0</v>
      </c>
      <c r="AG122" s="34" t="s">
        <v>3930</v>
      </c>
      <c r="AH122" s="42" t="s">
        <v>3820</v>
      </c>
      <c r="AI122" s="31">
        <v>170.0</v>
      </c>
      <c r="AJ122" s="34" t="s">
        <v>3853</v>
      </c>
      <c r="AK122" s="34">
        <v>0.0</v>
      </c>
      <c r="AL122" s="34">
        <v>100.0</v>
      </c>
      <c r="AM122" s="34">
        <v>0.0</v>
      </c>
      <c r="AN122" s="34">
        <v>0.0</v>
      </c>
      <c r="AO122" s="33">
        <f>COUNTIFS('Data For Calculation - Insuranc'!A:A,A122,'Data For Calculation - Insuranc'!D:D,"Company",'Data For Calculation - Insuranc'!E:E,"Rollover Comprehensive - 1 Year OD + 1 Year TP")</f>
        <v>0</v>
      </c>
      <c r="AP122" s="34" t="s">
        <v>3931</v>
      </c>
      <c r="AQ122" s="42" t="s">
        <v>3820</v>
      </c>
      <c r="AR122" s="31">
        <v>170.0</v>
      </c>
      <c r="AS122" s="34" t="s">
        <v>3853</v>
      </c>
      <c r="AT122" s="34">
        <v>0.0</v>
      </c>
      <c r="AU122" s="34">
        <v>100.0</v>
      </c>
      <c r="AV122" s="34">
        <v>0.0</v>
      </c>
      <c r="AW122" s="34">
        <v>0.0</v>
      </c>
      <c r="AX122" s="33">
        <f>COUNTIFS('Data For Calculation - Insuranc'!A:A,A122,'Data For Calculation - Insuranc'!D:D,"Individual",'Data For Calculation - Insuranc'!E:E,"Rollover - 1 Year OD Only")</f>
        <v>0</v>
      </c>
      <c r="AY122" s="34" t="s">
        <v>3932</v>
      </c>
      <c r="AZ122" s="42" t="s">
        <v>3820</v>
      </c>
      <c r="BA122" s="31">
        <v>170.0</v>
      </c>
      <c r="BB122" s="34" t="s">
        <v>3853</v>
      </c>
      <c r="BC122" s="34">
        <v>0.0</v>
      </c>
      <c r="BD122" s="34">
        <v>100.0</v>
      </c>
      <c r="BE122" s="34">
        <v>0.0</v>
      </c>
      <c r="BF122" s="34">
        <v>0.0</v>
      </c>
      <c r="BG122" s="33">
        <f>COUNTIFS('Data For Calculation - Insuranc'!A:A,A122,'Data For Calculation - Insuranc'!D:D,"Company",'Data For Calculation - Insuranc'!E:E,"Rollover - 1 Year OD Only")</f>
        <v>0</v>
      </c>
      <c r="BH122" s="34" t="s">
        <v>3931</v>
      </c>
      <c r="BI122" s="42" t="s">
        <v>3820</v>
      </c>
      <c r="BJ122" s="31">
        <v>170.0</v>
      </c>
      <c r="BK122" s="34" t="s">
        <v>3853</v>
      </c>
      <c r="BL122" s="34">
        <v>0.0</v>
      </c>
      <c r="BM122" s="34">
        <v>100.0</v>
      </c>
      <c r="BN122" s="34">
        <v>0.0</v>
      </c>
      <c r="BO122" s="34">
        <v>0.0</v>
      </c>
      <c r="BP122" s="33">
        <f>COUNTIFS('Data For Calculation - Insuranc'!A:A,A122,'Data For Calculation - Insuranc'!D:D,"Individual",'Data For Calculation - Insuranc'!E:E,"Rollover - 1 Year TP Only")</f>
        <v>0</v>
      </c>
      <c r="BQ122" s="34" t="s">
        <v>3932</v>
      </c>
      <c r="BR122" s="42" t="s">
        <v>3820</v>
      </c>
      <c r="BS122" s="31">
        <v>170.0</v>
      </c>
      <c r="BT122" s="34" t="s">
        <v>3853</v>
      </c>
      <c r="BU122" s="34">
        <v>0.0</v>
      </c>
      <c r="BV122" s="34">
        <v>100.0</v>
      </c>
      <c r="BW122" s="34">
        <v>0.0</v>
      </c>
      <c r="BX122" s="34">
        <v>0.0</v>
      </c>
      <c r="BY122" s="33">
        <f>COUNTIFS('Data For Calculation - Insuranc'!A:A,A122,'Data For Calculation - Insuranc'!D:D,"Company",'Data For Calculation - Insuranc'!E:E,"Rollover - 1 Year TP Only")</f>
        <v>0</v>
      </c>
      <c r="BZ122" s="31">
        <f t="shared" si="1"/>
        <v>0</v>
      </c>
      <c r="CA122" s="33">
        <f>SUMIFS('Data For Calculation - Insuranc'!I:I,'Data For Calculation - Insuranc'!$A:$A,$A122)</f>
        <v>0</v>
      </c>
      <c r="CB122" s="33">
        <f>SUMIFS('Data For Calculation - Insuranc'!J:J,'Data For Calculation - Insuranc'!$A:$A,$A122)</f>
        <v>0</v>
      </c>
      <c r="CC122" s="33">
        <f>SUMIFS('Data For Calculation - Insuranc'!K:K,'Data For Calculation - Insuranc'!$A:$A,$A122)</f>
        <v>0</v>
      </c>
      <c r="CD122" s="33">
        <f>IF($CK122 = "Dealer", SUMIFS('Data For Calculation - Insuranc'!I:I,'Data For Calculation - Insuranc'!$B:$B,$A122,'Data For Calculation - Insuranc'!$H:$H,"Master Dealer")) + SUMIFS('Data For Calculation - Insuranc'!I:I,'Data For Calculation - Insuranc'!$A:$A,$A122,'Data For Calculation - Insuranc'!$H:$H,"Self")</f>
        <v>0</v>
      </c>
      <c r="CE122" s="33">
        <f>IF($CK122 = "Dealer", SUMIFS('Data For Calculation - Insuranc'!J:J,'Data For Calculation - Insuranc'!$B:$B,$A122,'Data For Calculation - Insuranc'!$H:$H,"Master Dealer")) + SUMIFS('Data For Calculation - Insuranc'!J:J,'Data For Calculation - Insuranc'!$A:$A,$A122,'Data For Calculation - Insuranc'!$H:$H,"Self")</f>
        <v>0</v>
      </c>
      <c r="CF122" s="33">
        <f>IF($CK122 = "Dealer", SUMIFS('Data For Calculation - Insuranc'!K:K,'Data For Calculation - Insuranc'!$B:$B,$A122,'Data For Calculation - Insuranc'!$H:$H,"Master Dealer")) + SUMIFS('Data For Calculation - Insuranc'!K:K,'Data For Calculation - Insuranc'!$A:$A,$A122,'Data For Calculation - Insuranc'!$H:$H,"Self")</f>
        <v>0</v>
      </c>
      <c r="CG122" s="25" t="str">
        <f>(Sheet1!N122)</f>
        <v>Vikas Autowheels</v>
      </c>
      <c r="CH122" s="25" t="str">
        <f>(Sheet1!O122)</f>
        <v>1944RLX7T1M23YXRXYoMnJ6nD_bKLldQXRpFRA0rDLvg</v>
      </c>
      <c r="CI122" s="25" t="str">
        <f>(Sheet1!AV122)</f>
        <v/>
      </c>
      <c r="CJ122" s="25" t="str">
        <f>(Sheet1!AW122)</f>
        <v/>
      </c>
      <c r="CK122" s="26" t="str">
        <f>(Sheet1!P122)</f>
        <v>Sub Dealer</v>
      </c>
    </row>
    <row r="123">
      <c r="A123" s="25" t="str">
        <f>(Sheet1!A123)</f>
        <v>1TvRQZ8YHmTzU37pKeH-YEX0J0a9zBflsEJs2L0GfFao</v>
      </c>
      <c r="B123" s="25" t="str">
        <f>(Sheet1!B123)</f>
        <v>VAW - Kodiaganj</v>
      </c>
      <c r="C123" s="30" t="str">
        <f>Sheet1!BB123</f>
        <v>No</v>
      </c>
      <c r="D123" s="30" t="s">
        <v>13</v>
      </c>
      <c r="E123" s="34" t="s">
        <v>13</v>
      </c>
      <c r="F123" s="34" t="s">
        <v>3929</v>
      </c>
      <c r="G123" s="42" t="s">
        <v>3820</v>
      </c>
      <c r="H123" s="43">
        <v>170.0</v>
      </c>
      <c r="I123" s="42" t="s">
        <v>3853</v>
      </c>
      <c r="J123" s="43">
        <v>0.0</v>
      </c>
      <c r="K123" s="43">
        <v>100.0</v>
      </c>
      <c r="L123" s="43">
        <v>0.0</v>
      </c>
      <c r="M123" s="43">
        <v>0.0</v>
      </c>
      <c r="N123" s="33">
        <f>COUNTIFS('Data For Calculation - Insuranc'!A:A,A123,'Data For Calculation - Insuranc'!D:D,"Individual",'Data For Calculation - Insuranc'!E:E,"Bundled - 1 Year OD + 5 Year TP")</f>
        <v>0</v>
      </c>
      <c r="O123" s="34" t="s">
        <v>3930</v>
      </c>
      <c r="P123" s="42" t="s">
        <v>3820</v>
      </c>
      <c r="Q123" s="43">
        <v>170.0</v>
      </c>
      <c r="R123" s="42" t="s">
        <v>3853</v>
      </c>
      <c r="S123" s="43">
        <v>0.0</v>
      </c>
      <c r="T123" s="43">
        <v>100.0</v>
      </c>
      <c r="U123" s="43">
        <v>0.0</v>
      </c>
      <c r="V123" s="43">
        <v>0.0</v>
      </c>
      <c r="W123" s="33">
        <f>COUNTIFS('Data For Calculation - Insuranc'!A:A,A123,'Data For Calculation - Insuranc'!D:D,"Company",'Data For Calculation - Insuranc'!E:E,"Bundled - 1 Year OD + 5 Year TP")</f>
        <v>0</v>
      </c>
      <c r="X123" s="34" t="s">
        <v>3929</v>
      </c>
      <c r="Y123" s="42" t="s">
        <v>3820</v>
      </c>
      <c r="Z123" s="31">
        <v>170.0</v>
      </c>
      <c r="AA123" s="34" t="s">
        <v>3853</v>
      </c>
      <c r="AB123" s="34">
        <v>0.0</v>
      </c>
      <c r="AC123" s="34">
        <v>100.0</v>
      </c>
      <c r="AD123" s="34">
        <v>0.0</v>
      </c>
      <c r="AE123" s="34">
        <v>0.0</v>
      </c>
      <c r="AF123" s="33">
        <f>COUNTIFS('Data For Calculation - Insuranc'!A:A,A123,'Data For Calculation - Insuranc'!D:D,"Individual",'Data For Calculation - Insuranc'!E:E,"Rollover Comprehensive - 1 Year OD + 1 Year TP")</f>
        <v>0</v>
      </c>
      <c r="AG123" s="34" t="s">
        <v>3930</v>
      </c>
      <c r="AH123" s="42" t="s">
        <v>3820</v>
      </c>
      <c r="AI123" s="31">
        <v>170.0</v>
      </c>
      <c r="AJ123" s="34" t="s">
        <v>3853</v>
      </c>
      <c r="AK123" s="34">
        <v>0.0</v>
      </c>
      <c r="AL123" s="34">
        <v>100.0</v>
      </c>
      <c r="AM123" s="34">
        <v>0.0</v>
      </c>
      <c r="AN123" s="34">
        <v>0.0</v>
      </c>
      <c r="AO123" s="33">
        <f>COUNTIFS('Data For Calculation - Insuranc'!A:A,A123,'Data For Calculation - Insuranc'!D:D,"Company",'Data For Calculation - Insuranc'!E:E,"Rollover Comprehensive - 1 Year OD + 1 Year TP")</f>
        <v>0</v>
      </c>
      <c r="AP123" s="34" t="s">
        <v>3931</v>
      </c>
      <c r="AQ123" s="42" t="s">
        <v>3820</v>
      </c>
      <c r="AR123" s="31">
        <v>170.0</v>
      </c>
      <c r="AS123" s="34" t="s">
        <v>3853</v>
      </c>
      <c r="AT123" s="34">
        <v>0.0</v>
      </c>
      <c r="AU123" s="34">
        <v>100.0</v>
      </c>
      <c r="AV123" s="34">
        <v>0.0</v>
      </c>
      <c r="AW123" s="34">
        <v>0.0</v>
      </c>
      <c r="AX123" s="33">
        <f>COUNTIFS('Data For Calculation - Insuranc'!A:A,A123,'Data For Calculation - Insuranc'!D:D,"Individual",'Data For Calculation - Insuranc'!E:E,"Rollover - 1 Year OD Only")</f>
        <v>0</v>
      </c>
      <c r="AY123" s="34" t="s">
        <v>3932</v>
      </c>
      <c r="AZ123" s="42" t="s">
        <v>3820</v>
      </c>
      <c r="BA123" s="31">
        <v>170.0</v>
      </c>
      <c r="BB123" s="34" t="s">
        <v>3853</v>
      </c>
      <c r="BC123" s="34">
        <v>0.0</v>
      </c>
      <c r="BD123" s="34">
        <v>100.0</v>
      </c>
      <c r="BE123" s="34">
        <v>0.0</v>
      </c>
      <c r="BF123" s="34">
        <v>0.0</v>
      </c>
      <c r="BG123" s="33">
        <f>COUNTIFS('Data For Calculation - Insuranc'!A:A,A123,'Data For Calculation - Insuranc'!D:D,"Company",'Data For Calculation - Insuranc'!E:E,"Rollover - 1 Year OD Only")</f>
        <v>0</v>
      </c>
      <c r="BH123" s="34" t="s">
        <v>3931</v>
      </c>
      <c r="BI123" s="42" t="s">
        <v>3820</v>
      </c>
      <c r="BJ123" s="31">
        <v>170.0</v>
      </c>
      <c r="BK123" s="34" t="s">
        <v>3853</v>
      </c>
      <c r="BL123" s="34">
        <v>0.0</v>
      </c>
      <c r="BM123" s="34">
        <v>100.0</v>
      </c>
      <c r="BN123" s="34">
        <v>0.0</v>
      </c>
      <c r="BO123" s="34">
        <v>0.0</v>
      </c>
      <c r="BP123" s="33">
        <f>COUNTIFS('Data For Calculation - Insuranc'!A:A,A123,'Data For Calculation - Insuranc'!D:D,"Individual",'Data For Calculation - Insuranc'!E:E,"Rollover - 1 Year TP Only")</f>
        <v>0</v>
      </c>
      <c r="BQ123" s="34" t="s">
        <v>3932</v>
      </c>
      <c r="BR123" s="42" t="s">
        <v>3820</v>
      </c>
      <c r="BS123" s="31">
        <v>170.0</v>
      </c>
      <c r="BT123" s="34" t="s">
        <v>3853</v>
      </c>
      <c r="BU123" s="34">
        <v>0.0</v>
      </c>
      <c r="BV123" s="34">
        <v>100.0</v>
      </c>
      <c r="BW123" s="34">
        <v>0.0</v>
      </c>
      <c r="BX123" s="34">
        <v>0.0</v>
      </c>
      <c r="BY123" s="33">
        <f>COUNTIFS('Data For Calculation - Insuranc'!A:A,A123,'Data For Calculation - Insuranc'!D:D,"Company",'Data For Calculation - Insuranc'!E:E,"Rollover - 1 Year TP Only")</f>
        <v>0</v>
      </c>
      <c r="BZ123" s="31">
        <f t="shared" si="1"/>
        <v>0</v>
      </c>
      <c r="CA123" s="33">
        <f>SUMIFS('Data For Calculation - Insuranc'!I:I,'Data For Calculation - Insuranc'!$A:$A,$A123)</f>
        <v>0</v>
      </c>
      <c r="CB123" s="33">
        <f>SUMIFS('Data For Calculation - Insuranc'!J:J,'Data For Calculation - Insuranc'!$A:$A,$A123)</f>
        <v>0</v>
      </c>
      <c r="CC123" s="33">
        <f>SUMIFS('Data For Calculation - Insuranc'!K:K,'Data For Calculation - Insuranc'!$A:$A,$A123)</f>
        <v>0</v>
      </c>
      <c r="CD123" s="33">
        <f>IF($CK123 = "Dealer", SUMIFS('Data For Calculation - Insuranc'!I:I,'Data For Calculation - Insuranc'!$B:$B,$A123,'Data For Calculation - Insuranc'!$H:$H,"Master Dealer")) + SUMIFS('Data For Calculation - Insuranc'!I:I,'Data For Calculation - Insuranc'!$A:$A,$A123,'Data For Calculation - Insuranc'!$H:$H,"Self")</f>
        <v>0</v>
      </c>
      <c r="CE123" s="33">
        <f>IF($CK123 = "Dealer", SUMIFS('Data For Calculation - Insuranc'!J:J,'Data For Calculation - Insuranc'!$B:$B,$A123,'Data For Calculation - Insuranc'!$H:$H,"Master Dealer")) + SUMIFS('Data For Calculation - Insuranc'!J:J,'Data For Calculation - Insuranc'!$A:$A,$A123,'Data For Calculation - Insuranc'!$H:$H,"Self")</f>
        <v>0</v>
      </c>
      <c r="CF123" s="33">
        <f>IF($CK123 = "Dealer", SUMIFS('Data For Calculation - Insuranc'!K:K,'Data For Calculation - Insuranc'!$B:$B,$A123,'Data For Calculation - Insuranc'!$H:$H,"Master Dealer")) + SUMIFS('Data For Calculation - Insuranc'!K:K,'Data For Calculation - Insuranc'!$A:$A,$A123,'Data For Calculation - Insuranc'!$H:$H,"Self")</f>
        <v>0</v>
      </c>
      <c r="CG123" s="25" t="str">
        <f>(Sheet1!N123)</f>
        <v>Vikas Autowheels</v>
      </c>
      <c r="CH123" s="25" t="str">
        <f>(Sheet1!O123)</f>
        <v>1944RLX7T1M23YXRXYoMnJ6nD_bKLldQXRpFRA0rDLvg</v>
      </c>
      <c r="CI123" s="25" t="str">
        <f>(Sheet1!AV123)</f>
        <v/>
      </c>
      <c r="CJ123" s="25" t="str">
        <f>(Sheet1!AW123)</f>
        <v/>
      </c>
      <c r="CK123" s="26" t="str">
        <f>(Sheet1!P123)</f>
        <v>Sub Dealer</v>
      </c>
    </row>
    <row r="124">
      <c r="A124" s="25" t="str">
        <f>(Sheet1!A124)</f>
        <v>1bYwIVlCfU99TAHdvICTPeCyAgj9qA4D16LviL3oq-wg</v>
      </c>
      <c r="B124" s="25" t="str">
        <f>(Sheet1!B124)</f>
        <v>VAW - Iglas</v>
      </c>
      <c r="C124" s="30" t="str">
        <f>Sheet1!BB124</f>
        <v>No</v>
      </c>
      <c r="D124" s="30" t="s">
        <v>13</v>
      </c>
      <c r="E124" s="34" t="s">
        <v>13</v>
      </c>
      <c r="F124" s="34" t="s">
        <v>3929</v>
      </c>
      <c r="G124" s="42" t="s">
        <v>3820</v>
      </c>
      <c r="H124" s="43">
        <v>170.0</v>
      </c>
      <c r="I124" s="42" t="s">
        <v>3853</v>
      </c>
      <c r="J124" s="43">
        <v>0.0</v>
      </c>
      <c r="K124" s="43">
        <v>100.0</v>
      </c>
      <c r="L124" s="43">
        <v>0.0</v>
      </c>
      <c r="M124" s="43">
        <v>0.0</v>
      </c>
      <c r="N124" s="33">
        <f>COUNTIFS('Data For Calculation - Insuranc'!A:A,A124,'Data For Calculation - Insuranc'!D:D,"Individual",'Data For Calculation - Insuranc'!E:E,"Bundled - 1 Year OD + 5 Year TP")</f>
        <v>0</v>
      </c>
      <c r="O124" s="34" t="s">
        <v>3930</v>
      </c>
      <c r="P124" s="42" t="s">
        <v>3820</v>
      </c>
      <c r="Q124" s="43">
        <v>170.0</v>
      </c>
      <c r="R124" s="42" t="s">
        <v>3853</v>
      </c>
      <c r="S124" s="43">
        <v>0.0</v>
      </c>
      <c r="T124" s="43">
        <v>100.0</v>
      </c>
      <c r="U124" s="43">
        <v>0.0</v>
      </c>
      <c r="V124" s="43">
        <v>0.0</v>
      </c>
      <c r="W124" s="33">
        <f>COUNTIFS('Data For Calculation - Insuranc'!A:A,A124,'Data For Calculation - Insuranc'!D:D,"Company",'Data For Calculation - Insuranc'!E:E,"Bundled - 1 Year OD + 5 Year TP")</f>
        <v>0</v>
      </c>
      <c r="X124" s="34" t="s">
        <v>3929</v>
      </c>
      <c r="Y124" s="42" t="s">
        <v>3820</v>
      </c>
      <c r="Z124" s="31">
        <v>170.0</v>
      </c>
      <c r="AA124" s="34" t="s">
        <v>3853</v>
      </c>
      <c r="AB124" s="34">
        <v>0.0</v>
      </c>
      <c r="AC124" s="34">
        <v>100.0</v>
      </c>
      <c r="AD124" s="34">
        <v>0.0</v>
      </c>
      <c r="AE124" s="34">
        <v>0.0</v>
      </c>
      <c r="AF124" s="33">
        <f>COUNTIFS('Data For Calculation - Insuranc'!A:A,A124,'Data For Calculation - Insuranc'!D:D,"Individual",'Data For Calculation - Insuranc'!E:E,"Rollover Comprehensive - 1 Year OD + 1 Year TP")</f>
        <v>0</v>
      </c>
      <c r="AG124" s="34" t="s">
        <v>3930</v>
      </c>
      <c r="AH124" s="42" t="s">
        <v>3820</v>
      </c>
      <c r="AI124" s="31">
        <v>170.0</v>
      </c>
      <c r="AJ124" s="34" t="s">
        <v>3853</v>
      </c>
      <c r="AK124" s="34">
        <v>0.0</v>
      </c>
      <c r="AL124" s="34">
        <v>100.0</v>
      </c>
      <c r="AM124" s="34">
        <v>0.0</v>
      </c>
      <c r="AN124" s="34">
        <v>0.0</v>
      </c>
      <c r="AO124" s="33">
        <f>COUNTIFS('Data For Calculation - Insuranc'!A:A,A124,'Data For Calculation - Insuranc'!D:D,"Company",'Data For Calculation - Insuranc'!E:E,"Rollover Comprehensive - 1 Year OD + 1 Year TP")</f>
        <v>0</v>
      </c>
      <c r="AP124" s="34" t="s">
        <v>3931</v>
      </c>
      <c r="AQ124" s="42" t="s">
        <v>3820</v>
      </c>
      <c r="AR124" s="31">
        <v>170.0</v>
      </c>
      <c r="AS124" s="34" t="s">
        <v>3853</v>
      </c>
      <c r="AT124" s="34">
        <v>0.0</v>
      </c>
      <c r="AU124" s="34">
        <v>100.0</v>
      </c>
      <c r="AV124" s="34">
        <v>0.0</v>
      </c>
      <c r="AW124" s="34">
        <v>0.0</v>
      </c>
      <c r="AX124" s="33">
        <f>COUNTIFS('Data For Calculation - Insuranc'!A:A,A124,'Data For Calculation - Insuranc'!D:D,"Individual",'Data For Calculation - Insuranc'!E:E,"Rollover - 1 Year OD Only")</f>
        <v>0</v>
      </c>
      <c r="AY124" s="34" t="s">
        <v>3932</v>
      </c>
      <c r="AZ124" s="42" t="s">
        <v>3820</v>
      </c>
      <c r="BA124" s="31">
        <v>170.0</v>
      </c>
      <c r="BB124" s="34" t="s">
        <v>3853</v>
      </c>
      <c r="BC124" s="34">
        <v>0.0</v>
      </c>
      <c r="BD124" s="34">
        <v>100.0</v>
      </c>
      <c r="BE124" s="34">
        <v>0.0</v>
      </c>
      <c r="BF124" s="34">
        <v>0.0</v>
      </c>
      <c r="BG124" s="33">
        <f>COUNTIFS('Data For Calculation - Insuranc'!A:A,A124,'Data For Calculation - Insuranc'!D:D,"Company",'Data For Calculation - Insuranc'!E:E,"Rollover - 1 Year OD Only")</f>
        <v>0</v>
      </c>
      <c r="BH124" s="34" t="s">
        <v>3931</v>
      </c>
      <c r="BI124" s="42" t="s">
        <v>3820</v>
      </c>
      <c r="BJ124" s="31">
        <v>170.0</v>
      </c>
      <c r="BK124" s="34" t="s">
        <v>3853</v>
      </c>
      <c r="BL124" s="34">
        <v>0.0</v>
      </c>
      <c r="BM124" s="34">
        <v>100.0</v>
      </c>
      <c r="BN124" s="34">
        <v>0.0</v>
      </c>
      <c r="BO124" s="34">
        <v>0.0</v>
      </c>
      <c r="BP124" s="33">
        <f>COUNTIFS('Data For Calculation - Insuranc'!A:A,A124,'Data For Calculation - Insuranc'!D:D,"Individual",'Data For Calculation - Insuranc'!E:E,"Rollover - 1 Year TP Only")</f>
        <v>0</v>
      </c>
      <c r="BQ124" s="34" t="s">
        <v>3932</v>
      </c>
      <c r="BR124" s="42" t="s">
        <v>3820</v>
      </c>
      <c r="BS124" s="31">
        <v>170.0</v>
      </c>
      <c r="BT124" s="34" t="s">
        <v>3853</v>
      </c>
      <c r="BU124" s="34">
        <v>0.0</v>
      </c>
      <c r="BV124" s="34">
        <v>100.0</v>
      </c>
      <c r="BW124" s="34">
        <v>0.0</v>
      </c>
      <c r="BX124" s="34">
        <v>0.0</v>
      </c>
      <c r="BY124" s="33">
        <f>COUNTIFS('Data For Calculation - Insuranc'!A:A,A124,'Data For Calculation - Insuranc'!D:D,"Company",'Data For Calculation - Insuranc'!E:E,"Rollover - 1 Year TP Only")</f>
        <v>0</v>
      </c>
      <c r="BZ124" s="31">
        <f t="shared" si="1"/>
        <v>0</v>
      </c>
      <c r="CA124" s="33">
        <f>SUMIFS('Data For Calculation - Insuranc'!I:I,'Data For Calculation - Insuranc'!$A:$A,$A124)</f>
        <v>0</v>
      </c>
      <c r="CB124" s="33">
        <f>SUMIFS('Data For Calculation - Insuranc'!J:J,'Data For Calculation - Insuranc'!$A:$A,$A124)</f>
        <v>0</v>
      </c>
      <c r="CC124" s="33">
        <f>SUMIFS('Data For Calculation - Insuranc'!K:K,'Data For Calculation - Insuranc'!$A:$A,$A124)</f>
        <v>0</v>
      </c>
      <c r="CD124" s="33">
        <f>IF($CK124 = "Dealer", SUMIFS('Data For Calculation - Insuranc'!I:I,'Data For Calculation - Insuranc'!$B:$B,$A124,'Data For Calculation - Insuranc'!$H:$H,"Master Dealer")) + SUMIFS('Data For Calculation - Insuranc'!I:I,'Data For Calculation - Insuranc'!$A:$A,$A124,'Data For Calculation - Insuranc'!$H:$H,"Self")</f>
        <v>0</v>
      </c>
      <c r="CE124" s="33">
        <f>IF($CK124 = "Dealer", SUMIFS('Data For Calculation - Insuranc'!J:J,'Data For Calculation - Insuranc'!$B:$B,$A124,'Data For Calculation - Insuranc'!$H:$H,"Master Dealer")) + SUMIFS('Data For Calculation - Insuranc'!J:J,'Data For Calculation - Insuranc'!$A:$A,$A124,'Data For Calculation - Insuranc'!$H:$H,"Self")</f>
        <v>0</v>
      </c>
      <c r="CF124" s="33">
        <f>IF($CK124 = "Dealer", SUMIFS('Data For Calculation - Insuranc'!K:K,'Data For Calculation - Insuranc'!$B:$B,$A124,'Data For Calculation - Insuranc'!$H:$H,"Master Dealer")) + SUMIFS('Data For Calculation - Insuranc'!K:K,'Data For Calculation - Insuranc'!$A:$A,$A124,'Data For Calculation - Insuranc'!$H:$H,"Self")</f>
        <v>0</v>
      </c>
      <c r="CG124" s="25" t="str">
        <f>(Sheet1!N124)</f>
        <v>Vikas Autowheels</v>
      </c>
      <c r="CH124" s="25" t="str">
        <f>(Sheet1!O124)</f>
        <v>1944RLX7T1M23YXRXYoMnJ6nD_bKLldQXRpFRA0rDLvg</v>
      </c>
      <c r="CI124" s="25" t="str">
        <f>(Sheet1!AV124)</f>
        <v/>
      </c>
      <c r="CJ124" s="25" t="str">
        <f>(Sheet1!AW124)</f>
        <v/>
      </c>
      <c r="CK124" s="26" t="str">
        <f>(Sheet1!P124)</f>
        <v>Sub Dealer</v>
      </c>
    </row>
    <row r="125">
      <c r="A125" s="25" t="str">
        <f>(Sheet1!A125)</f>
        <v>1n0q72v9I-kw0RzKIviLdrLa2PsoBQvNEL7tOwmkWW5Y</v>
      </c>
      <c r="B125" s="25" t="str">
        <f>(Sheet1!B125)</f>
        <v>VAW - Agra Road</v>
      </c>
      <c r="C125" s="30" t="str">
        <f>Sheet1!BB125</f>
        <v>No</v>
      </c>
      <c r="D125" s="30" t="s">
        <v>13</v>
      </c>
      <c r="E125" s="34" t="s">
        <v>13</v>
      </c>
      <c r="F125" s="34" t="s">
        <v>3929</v>
      </c>
      <c r="G125" s="42" t="s">
        <v>3820</v>
      </c>
      <c r="H125" s="43">
        <v>170.0</v>
      </c>
      <c r="I125" s="42" t="s">
        <v>3853</v>
      </c>
      <c r="J125" s="43">
        <v>0.0</v>
      </c>
      <c r="K125" s="43">
        <v>100.0</v>
      </c>
      <c r="L125" s="43">
        <v>0.0</v>
      </c>
      <c r="M125" s="43">
        <v>0.0</v>
      </c>
      <c r="N125" s="33">
        <f>COUNTIFS('Data For Calculation - Insuranc'!A:A,A125,'Data For Calculation - Insuranc'!D:D,"Individual",'Data For Calculation - Insuranc'!E:E,"Bundled - 1 Year OD + 5 Year TP")</f>
        <v>0</v>
      </c>
      <c r="O125" s="34" t="s">
        <v>3930</v>
      </c>
      <c r="P125" s="42" t="s">
        <v>3820</v>
      </c>
      <c r="Q125" s="43">
        <v>170.0</v>
      </c>
      <c r="R125" s="42" t="s">
        <v>3853</v>
      </c>
      <c r="S125" s="43">
        <v>0.0</v>
      </c>
      <c r="T125" s="43">
        <v>100.0</v>
      </c>
      <c r="U125" s="43">
        <v>0.0</v>
      </c>
      <c r="V125" s="43">
        <v>0.0</v>
      </c>
      <c r="W125" s="33">
        <f>COUNTIFS('Data For Calculation - Insuranc'!A:A,A125,'Data For Calculation - Insuranc'!D:D,"Company",'Data For Calculation - Insuranc'!E:E,"Bundled - 1 Year OD + 5 Year TP")</f>
        <v>0</v>
      </c>
      <c r="X125" s="34" t="s">
        <v>3929</v>
      </c>
      <c r="Y125" s="42" t="s">
        <v>3820</v>
      </c>
      <c r="Z125" s="31">
        <v>170.0</v>
      </c>
      <c r="AA125" s="34" t="s">
        <v>3853</v>
      </c>
      <c r="AB125" s="34">
        <v>0.0</v>
      </c>
      <c r="AC125" s="34">
        <v>100.0</v>
      </c>
      <c r="AD125" s="34">
        <v>0.0</v>
      </c>
      <c r="AE125" s="34">
        <v>0.0</v>
      </c>
      <c r="AF125" s="33">
        <f>COUNTIFS('Data For Calculation - Insuranc'!A:A,A125,'Data For Calculation - Insuranc'!D:D,"Individual",'Data For Calculation - Insuranc'!E:E,"Rollover Comprehensive - 1 Year OD + 1 Year TP")</f>
        <v>0</v>
      </c>
      <c r="AG125" s="34" t="s">
        <v>3930</v>
      </c>
      <c r="AH125" s="42" t="s">
        <v>3820</v>
      </c>
      <c r="AI125" s="31">
        <v>170.0</v>
      </c>
      <c r="AJ125" s="34" t="s">
        <v>3853</v>
      </c>
      <c r="AK125" s="34">
        <v>0.0</v>
      </c>
      <c r="AL125" s="34">
        <v>100.0</v>
      </c>
      <c r="AM125" s="34">
        <v>0.0</v>
      </c>
      <c r="AN125" s="34">
        <v>0.0</v>
      </c>
      <c r="AO125" s="33">
        <f>COUNTIFS('Data For Calculation - Insuranc'!A:A,A125,'Data For Calculation - Insuranc'!D:D,"Company",'Data For Calculation - Insuranc'!E:E,"Rollover Comprehensive - 1 Year OD + 1 Year TP")</f>
        <v>0</v>
      </c>
      <c r="AP125" s="34" t="s">
        <v>3931</v>
      </c>
      <c r="AQ125" s="42" t="s">
        <v>3820</v>
      </c>
      <c r="AR125" s="31">
        <v>170.0</v>
      </c>
      <c r="AS125" s="34" t="s">
        <v>3853</v>
      </c>
      <c r="AT125" s="34">
        <v>0.0</v>
      </c>
      <c r="AU125" s="34">
        <v>100.0</v>
      </c>
      <c r="AV125" s="34">
        <v>0.0</v>
      </c>
      <c r="AW125" s="34">
        <v>0.0</v>
      </c>
      <c r="AX125" s="33">
        <f>COUNTIFS('Data For Calculation - Insuranc'!A:A,A125,'Data For Calculation - Insuranc'!D:D,"Individual",'Data For Calculation - Insuranc'!E:E,"Rollover - 1 Year OD Only")</f>
        <v>0</v>
      </c>
      <c r="AY125" s="34" t="s">
        <v>3932</v>
      </c>
      <c r="AZ125" s="42" t="s">
        <v>3820</v>
      </c>
      <c r="BA125" s="31">
        <v>170.0</v>
      </c>
      <c r="BB125" s="34" t="s">
        <v>3853</v>
      </c>
      <c r="BC125" s="34">
        <v>0.0</v>
      </c>
      <c r="BD125" s="34">
        <v>100.0</v>
      </c>
      <c r="BE125" s="34">
        <v>0.0</v>
      </c>
      <c r="BF125" s="34">
        <v>0.0</v>
      </c>
      <c r="BG125" s="33">
        <f>COUNTIFS('Data For Calculation - Insuranc'!A:A,A125,'Data For Calculation - Insuranc'!D:D,"Company",'Data For Calculation - Insuranc'!E:E,"Rollover - 1 Year OD Only")</f>
        <v>0</v>
      </c>
      <c r="BH125" s="34" t="s">
        <v>3931</v>
      </c>
      <c r="BI125" s="42" t="s">
        <v>3820</v>
      </c>
      <c r="BJ125" s="31">
        <v>170.0</v>
      </c>
      <c r="BK125" s="34" t="s">
        <v>3853</v>
      </c>
      <c r="BL125" s="34">
        <v>0.0</v>
      </c>
      <c r="BM125" s="34">
        <v>100.0</v>
      </c>
      <c r="BN125" s="34">
        <v>0.0</v>
      </c>
      <c r="BO125" s="34">
        <v>0.0</v>
      </c>
      <c r="BP125" s="33">
        <f>COUNTIFS('Data For Calculation - Insuranc'!A:A,A125,'Data For Calculation - Insuranc'!D:D,"Individual",'Data For Calculation - Insuranc'!E:E,"Rollover - 1 Year TP Only")</f>
        <v>0</v>
      </c>
      <c r="BQ125" s="34" t="s">
        <v>3932</v>
      </c>
      <c r="BR125" s="42" t="s">
        <v>3820</v>
      </c>
      <c r="BS125" s="31">
        <v>170.0</v>
      </c>
      <c r="BT125" s="34" t="s">
        <v>3853</v>
      </c>
      <c r="BU125" s="34">
        <v>0.0</v>
      </c>
      <c r="BV125" s="34">
        <v>100.0</v>
      </c>
      <c r="BW125" s="34">
        <v>0.0</v>
      </c>
      <c r="BX125" s="34">
        <v>0.0</v>
      </c>
      <c r="BY125" s="33">
        <f>COUNTIFS('Data For Calculation - Insuranc'!A:A,A125,'Data For Calculation - Insuranc'!D:D,"Company",'Data For Calculation - Insuranc'!E:E,"Rollover - 1 Year TP Only")</f>
        <v>0</v>
      </c>
      <c r="BZ125" s="31">
        <f t="shared" si="1"/>
        <v>0</v>
      </c>
      <c r="CA125" s="33">
        <f>SUMIFS('Data For Calculation - Insuranc'!I:I,'Data For Calculation - Insuranc'!$A:$A,$A125)</f>
        <v>0</v>
      </c>
      <c r="CB125" s="33">
        <f>SUMIFS('Data For Calculation - Insuranc'!J:J,'Data For Calculation - Insuranc'!$A:$A,$A125)</f>
        <v>0</v>
      </c>
      <c r="CC125" s="33">
        <f>SUMIFS('Data For Calculation - Insuranc'!K:K,'Data For Calculation - Insuranc'!$A:$A,$A125)</f>
        <v>0</v>
      </c>
      <c r="CD125" s="33">
        <f>IF($CK125 = "Dealer", SUMIFS('Data For Calculation - Insuranc'!I:I,'Data For Calculation - Insuranc'!$B:$B,$A125,'Data For Calculation - Insuranc'!$H:$H,"Master Dealer")) + SUMIFS('Data For Calculation - Insuranc'!I:I,'Data For Calculation - Insuranc'!$A:$A,$A125,'Data For Calculation - Insuranc'!$H:$H,"Self")</f>
        <v>0</v>
      </c>
      <c r="CE125" s="33">
        <f>IF($CK125 = "Dealer", SUMIFS('Data For Calculation - Insuranc'!J:J,'Data For Calculation - Insuranc'!$B:$B,$A125,'Data For Calculation - Insuranc'!$H:$H,"Master Dealer")) + SUMIFS('Data For Calculation - Insuranc'!J:J,'Data For Calculation - Insuranc'!$A:$A,$A125,'Data For Calculation - Insuranc'!$H:$H,"Self")</f>
        <v>0</v>
      </c>
      <c r="CF125" s="33">
        <f>IF($CK125 = "Dealer", SUMIFS('Data For Calculation - Insuranc'!K:K,'Data For Calculation - Insuranc'!$B:$B,$A125,'Data For Calculation - Insuranc'!$H:$H,"Master Dealer")) + SUMIFS('Data For Calculation - Insuranc'!K:K,'Data For Calculation - Insuranc'!$A:$A,$A125,'Data For Calculation - Insuranc'!$H:$H,"Self")</f>
        <v>0</v>
      </c>
      <c r="CG125" s="25" t="str">
        <f>(Sheet1!N125)</f>
        <v>Vikas Autowheels</v>
      </c>
      <c r="CH125" s="25" t="str">
        <f>(Sheet1!O125)</f>
        <v>1944RLX7T1M23YXRXYoMnJ6nD_bKLldQXRpFRA0rDLvg</v>
      </c>
      <c r="CI125" s="25" t="str">
        <f>(Sheet1!AV125)</f>
        <v/>
      </c>
      <c r="CJ125" s="25" t="str">
        <f>(Sheet1!AW125)</f>
        <v/>
      </c>
      <c r="CK125" s="26" t="str">
        <f>(Sheet1!P125)</f>
        <v>Sub Dealer</v>
      </c>
    </row>
    <row r="126">
      <c r="A126" s="25" t="str">
        <f>(Sheet1!A126)</f>
        <v>1xZLFmrgIQQCVIpiqSQdZXo8Z3s5icym4MeFUuARl1dw</v>
      </c>
      <c r="B126" s="25" t="str">
        <f>(Sheet1!B126)</f>
        <v>OM TVS</v>
      </c>
      <c r="C126" s="30" t="str">
        <f>Sheet1!BB126</f>
        <v>No</v>
      </c>
      <c r="D126" s="30" t="s">
        <v>13</v>
      </c>
      <c r="E126" s="34" t="s">
        <v>13</v>
      </c>
      <c r="F126" s="34" t="s">
        <v>3929</v>
      </c>
      <c r="G126" s="42" t="s">
        <v>3817</v>
      </c>
      <c r="H126" s="43">
        <v>460.0</v>
      </c>
      <c r="I126" s="42" t="s">
        <v>3853</v>
      </c>
      <c r="J126" s="43">
        <v>0.0</v>
      </c>
      <c r="K126" s="43">
        <v>100.0</v>
      </c>
      <c r="L126" s="43">
        <v>0.0</v>
      </c>
      <c r="M126" s="43">
        <v>0.0</v>
      </c>
      <c r="N126" s="33">
        <f>COUNTIFS('Data For Calculation - Insuranc'!A:A,A126,'Data For Calculation - Insuranc'!D:D,"Individual",'Data For Calculation - Insuranc'!E:E,"Bundled - 1 Year OD + 5 Year TP")</f>
        <v>0</v>
      </c>
      <c r="O126" s="34" t="s">
        <v>3930</v>
      </c>
      <c r="P126" s="42" t="s">
        <v>3817</v>
      </c>
      <c r="Q126" s="43">
        <v>460.0</v>
      </c>
      <c r="R126" s="42" t="s">
        <v>3853</v>
      </c>
      <c r="S126" s="43">
        <v>0.0</v>
      </c>
      <c r="T126" s="43">
        <v>100.0</v>
      </c>
      <c r="U126" s="43">
        <v>0.0</v>
      </c>
      <c r="V126" s="43">
        <v>0.0</v>
      </c>
      <c r="W126" s="33">
        <f>COUNTIFS('Data For Calculation - Insuranc'!A:A,A126,'Data For Calculation - Insuranc'!D:D,"Company",'Data For Calculation - Insuranc'!E:E,"Bundled - 1 Year OD + 5 Year TP")</f>
        <v>0</v>
      </c>
      <c r="X126" s="34" t="s">
        <v>3929</v>
      </c>
      <c r="Y126" s="42" t="s">
        <v>3817</v>
      </c>
      <c r="Z126" s="31">
        <v>290.0</v>
      </c>
      <c r="AA126" s="34" t="s">
        <v>3853</v>
      </c>
      <c r="AB126" s="34">
        <v>0.0</v>
      </c>
      <c r="AC126" s="34">
        <v>100.0</v>
      </c>
      <c r="AD126" s="34">
        <v>0.0</v>
      </c>
      <c r="AE126" s="34">
        <v>0.0</v>
      </c>
      <c r="AF126" s="33">
        <f>COUNTIFS('Data For Calculation - Insuranc'!A:A,A126,'Data For Calculation - Insuranc'!D:D,"Individual",'Data For Calculation - Insuranc'!E:E,"Rollover Comprehensive - 1 Year OD + 1 Year TP")</f>
        <v>0</v>
      </c>
      <c r="AG126" s="34" t="s">
        <v>3930</v>
      </c>
      <c r="AH126" s="42" t="s">
        <v>3817</v>
      </c>
      <c r="AI126" s="31">
        <v>290.0</v>
      </c>
      <c r="AJ126" s="34" t="s">
        <v>3853</v>
      </c>
      <c r="AK126" s="34">
        <v>0.0</v>
      </c>
      <c r="AL126" s="34">
        <v>100.0</v>
      </c>
      <c r="AM126" s="34">
        <v>0.0</v>
      </c>
      <c r="AN126" s="34">
        <v>0.0</v>
      </c>
      <c r="AO126" s="33">
        <f>COUNTIFS('Data For Calculation - Insuranc'!A:A,A126,'Data For Calculation - Insuranc'!D:D,"Company",'Data For Calculation - Insuranc'!E:E,"Rollover Comprehensive - 1 Year OD + 1 Year TP")</f>
        <v>0</v>
      </c>
      <c r="AP126" s="34" t="s">
        <v>3931</v>
      </c>
      <c r="AQ126" s="42" t="s">
        <v>3817</v>
      </c>
      <c r="AR126" s="31">
        <v>290.0</v>
      </c>
      <c r="AS126" s="34" t="s">
        <v>3853</v>
      </c>
      <c r="AT126" s="34">
        <v>0.0</v>
      </c>
      <c r="AU126" s="34">
        <v>100.0</v>
      </c>
      <c r="AV126" s="34">
        <v>0.0</v>
      </c>
      <c r="AW126" s="34">
        <v>0.0</v>
      </c>
      <c r="AX126" s="33">
        <f>COUNTIFS('Data For Calculation - Insuranc'!A:A,A126,'Data For Calculation - Insuranc'!D:D,"Individual",'Data For Calculation - Insuranc'!E:E,"Rollover - 1 Year OD Only")</f>
        <v>0</v>
      </c>
      <c r="AY126" s="34" t="s">
        <v>3932</v>
      </c>
      <c r="AZ126" s="42" t="s">
        <v>3817</v>
      </c>
      <c r="BA126" s="31">
        <v>290.0</v>
      </c>
      <c r="BB126" s="34" t="s">
        <v>3853</v>
      </c>
      <c r="BC126" s="34">
        <v>0.0</v>
      </c>
      <c r="BD126" s="34">
        <v>100.0</v>
      </c>
      <c r="BE126" s="34">
        <v>0.0</v>
      </c>
      <c r="BF126" s="34">
        <v>0.0</v>
      </c>
      <c r="BG126" s="33">
        <f>COUNTIFS('Data For Calculation - Insuranc'!A:A,A126,'Data For Calculation - Insuranc'!D:D,"Company",'Data For Calculation - Insuranc'!E:E,"Rollover - 1 Year OD Only")</f>
        <v>0</v>
      </c>
      <c r="BH126" s="34" t="s">
        <v>3931</v>
      </c>
      <c r="BI126" s="42" t="s">
        <v>3817</v>
      </c>
      <c r="BJ126" s="31">
        <v>290.0</v>
      </c>
      <c r="BK126" s="34" t="s">
        <v>3853</v>
      </c>
      <c r="BL126" s="34">
        <v>0.0</v>
      </c>
      <c r="BM126" s="34">
        <v>100.0</v>
      </c>
      <c r="BN126" s="34">
        <v>0.0</v>
      </c>
      <c r="BO126" s="34">
        <v>0.0</v>
      </c>
      <c r="BP126" s="33">
        <f>COUNTIFS('Data For Calculation - Insuranc'!A:A,A126,'Data For Calculation - Insuranc'!D:D,"Individual",'Data For Calculation - Insuranc'!E:E,"Rollover - 1 Year TP Only")</f>
        <v>0</v>
      </c>
      <c r="BQ126" s="34" t="s">
        <v>3932</v>
      </c>
      <c r="BR126" s="42" t="s">
        <v>3817</v>
      </c>
      <c r="BS126" s="31">
        <v>290.0</v>
      </c>
      <c r="BT126" s="34" t="s">
        <v>3853</v>
      </c>
      <c r="BU126" s="34">
        <v>0.0</v>
      </c>
      <c r="BV126" s="34">
        <v>100.0</v>
      </c>
      <c r="BW126" s="34">
        <v>0.0</v>
      </c>
      <c r="BX126" s="34">
        <v>0.0</v>
      </c>
      <c r="BY126" s="33">
        <f>COUNTIFS('Data For Calculation - Insuranc'!A:A,A126,'Data For Calculation - Insuranc'!D:D,"Company",'Data For Calculation - Insuranc'!E:E,"Rollover - 1 Year TP Only")</f>
        <v>0</v>
      </c>
      <c r="BZ126" s="31">
        <f t="shared" si="1"/>
        <v>0</v>
      </c>
      <c r="CA126" s="33">
        <f>SUMIFS('Data For Calculation - Insuranc'!I:I,'Data For Calculation - Insuranc'!$A:$A,$A126)</f>
        <v>0</v>
      </c>
      <c r="CB126" s="33">
        <f>SUMIFS('Data For Calculation - Insuranc'!J:J,'Data For Calculation - Insuranc'!$A:$A,$A126)</f>
        <v>0</v>
      </c>
      <c r="CC126" s="33">
        <f>SUMIFS('Data For Calculation - Insuranc'!K:K,'Data For Calculation - Insuranc'!$A:$A,$A126)</f>
        <v>0</v>
      </c>
      <c r="CD126" s="33">
        <f>IF($CK126 = "Dealer", SUMIFS('Data For Calculation - Insuranc'!I:I,'Data For Calculation - Insuranc'!$B:$B,$A126,'Data For Calculation - Insuranc'!$H:$H,"Master Dealer")) + SUMIFS('Data For Calculation - Insuranc'!I:I,'Data For Calculation - Insuranc'!$A:$A,$A126,'Data For Calculation - Insuranc'!$H:$H,"Self")</f>
        <v>0</v>
      </c>
      <c r="CE126" s="33">
        <f>IF($CK126 = "Dealer", SUMIFS('Data For Calculation - Insuranc'!J:J,'Data For Calculation - Insuranc'!$B:$B,$A126,'Data For Calculation - Insuranc'!$H:$H,"Master Dealer")) + SUMIFS('Data For Calculation - Insuranc'!J:J,'Data For Calculation - Insuranc'!$A:$A,$A126,'Data For Calculation - Insuranc'!$H:$H,"Self")</f>
        <v>0</v>
      </c>
      <c r="CF126" s="33">
        <f>IF($CK126 = "Dealer", SUMIFS('Data For Calculation - Insuranc'!K:K,'Data For Calculation - Insuranc'!$B:$B,$A126,'Data For Calculation - Insuranc'!$H:$H,"Master Dealer")) + SUMIFS('Data For Calculation - Insuranc'!K:K,'Data For Calculation - Insuranc'!$A:$A,$A126,'Data For Calculation - Insuranc'!$H:$H,"Self")</f>
        <v>0</v>
      </c>
      <c r="CG126" s="25" t="str">
        <f>(Sheet1!N126)</f>
        <v>OM TVS</v>
      </c>
      <c r="CH126" s="25" t="str">
        <f>(Sheet1!O126)</f>
        <v>1xZLFmrgIQQCVIpiqSQdZXo8Z3s5icym4MeFUuARl1dw</v>
      </c>
      <c r="CI126" s="25" t="str">
        <f>(Sheet1!AV126)</f>
        <v/>
      </c>
      <c r="CJ126" s="25" t="str">
        <f>(Sheet1!AW126)</f>
        <v/>
      </c>
      <c r="CK126" s="26" t="str">
        <f>(Sheet1!P126)</f>
        <v>Dealer</v>
      </c>
    </row>
    <row r="127">
      <c r="A127" s="25" t="str">
        <f>(Sheet1!A127)</f>
        <v>1QKcWwefYRSJheyPsGSz_GjUfTv41Syg0k2USNB-hpQs</v>
      </c>
      <c r="B127" s="25" t="str">
        <f>(Sheet1!B127)</f>
        <v>Darshan Sons (Sumitra Sons) - shahjahanpur</v>
      </c>
      <c r="C127" s="30" t="str">
        <f>Sheet1!BB127</f>
        <v>No</v>
      </c>
      <c r="D127" s="30" t="s">
        <v>13</v>
      </c>
      <c r="E127" s="34" t="s">
        <v>13</v>
      </c>
      <c r="F127" s="34" t="s">
        <v>3929</v>
      </c>
      <c r="G127" s="42" t="s">
        <v>3817</v>
      </c>
      <c r="H127" s="43">
        <v>460.0</v>
      </c>
      <c r="I127" s="42" t="s">
        <v>3853</v>
      </c>
      <c r="J127" s="43">
        <v>0.0</v>
      </c>
      <c r="K127" s="43">
        <v>100.0</v>
      </c>
      <c r="L127" s="43">
        <v>0.0</v>
      </c>
      <c r="M127" s="43">
        <v>0.0</v>
      </c>
      <c r="N127" s="33">
        <f>COUNTIFS('Data For Calculation - Insuranc'!A:A,A127,'Data For Calculation - Insuranc'!D:D,"Individual",'Data For Calculation - Insuranc'!E:E,"Bundled - 1 Year OD + 5 Year TP")</f>
        <v>0</v>
      </c>
      <c r="O127" s="34" t="s">
        <v>3930</v>
      </c>
      <c r="P127" s="42" t="s">
        <v>3817</v>
      </c>
      <c r="Q127" s="43">
        <v>460.0</v>
      </c>
      <c r="R127" s="42" t="s">
        <v>3853</v>
      </c>
      <c r="S127" s="43">
        <v>0.0</v>
      </c>
      <c r="T127" s="43">
        <v>100.0</v>
      </c>
      <c r="U127" s="43">
        <v>0.0</v>
      </c>
      <c r="V127" s="43">
        <v>0.0</v>
      </c>
      <c r="W127" s="33">
        <f>COUNTIFS('Data For Calculation - Insuranc'!A:A,A127,'Data For Calculation - Insuranc'!D:D,"Company",'Data For Calculation - Insuranc'!E:E,"Bundled - 1 Year OD + 5 Year TP")</f>
        <v>0</v>
      </c>
      <c r="X127" s="34" t="s">
        <v>3929</v>
      </c>
      <c r="Y127" s="42" t="s">
        <v>3817</v>
      </c>
      <c r="Z127" s="31">
        <v>290.0</v>
      </c>
      <c r="AA127" s="34" t="s">
        <v>3853</v>
      </c>
      <c r="AB127" s="34">
        <v>0.0</v>
      </c>
      <c r="AC127" s="34">
        <v>100.0</v>
      </c>
      <c r="AD127" s="34">
        <v>0.0</v>
      </c>
      <c r="AE127" s="34">
        <v>0.0</v>
      </c>
      <c r="AF127" s="33">
        <f>COUNTIFS('Data For Calculation - Insuranc'!A:A,A127,'Data For Calculation - Insuranc'!D:D,"Individual",'Data For Calculation - Insuranc'!E:E,"Rollover Comprehensive - 1 Year OD + 1 Year TP")</f>
        <v>0</v>
      </c>
      <c r="AG127" s="34" t="s">
        <v>3930</v>
      </c>
      <c r="AH127" s="42" t="s">
        <v>3817</v>
      </c>
      <c r="AI127" s="31">
        <v>290.0</v>
      </c>
      <c r="AJ127" s="34" t="s">
        <v>3853</v>
      </c>
      <c r="AK127" s="34">
        <v>0.0</v>
      </c>
      <c r="AL127" s="34">
        <v>100.0</v>
      </c>
      <c r="AM127" s="34">
        <v>0.0</v>
      </c>
      <c r="AN127" s="34">
        <v>0.0</v>
      </c>
      <c r="AO127" s="33">
        <f>COUNTIFS('Data For Calculation - Insuranc'!A:A,A127,'Data For Calculation - Insuranc'!D:D,"Company",'Data For Calculation - Insuranc'!E:E,"Rollover Comprehensive - 1 Year OD + 1 Year TP")</f>
        <v>0</v>
      </c>
      <c r="AP127" s="34" t="s">
        <v>3931</v>
      </c>
      <c r="AQ127" s="42" t="s">
        <v>3817</v>
      </c>
      <c r="AR127" s="31">
        <v>290.0</v>
      </c>
      <c r="AS127" s="34" t="s">
        <v>3853</v>
      </c>
      <c r="AT127" s="34">
        <v>0.0</v>
      </c>
      <c r="AU127" s="34">
        <v>100.0</v>
      </c>
      <c r="AV127" s="34">
        <v>0.0</v>
      </c>
      <c r="AW127" s="34">
        <v>0.0</v>
      </c>
      <c r="AX127" s="33">
        <f>COUNTIFS('Data For Calculation - Insuranc'!A:A,A127,'Data For Calculation - Insuranc'!D:D,"Individual",'Data For Calculation - Insuranc'!E:E,"Rollover - 1 Year OD Only")</f>
        <v>0</v>
      </c>
      <c r="AY127" s="34" t="s">
        <v>3932</v>
      </c>
      <c r="AZ127" s="42" t="s">
        <v>3817</v>
      </c>
      <c r="BA127" s="31">
        <v>290.0</v>
      </c>
      <c r="BB127" s="34" t="s">
        <v>3853</v>
      </c>
      <c r="BC127" s="34">
        <v>0.0</v>
      </c>
      <c r="BD127" s="34">
        <v>100.0</v>
      </c>
      <c r="BE127" s="34">
        <v>0.0</v>
      </c>
      <c r="BF127" s="34">
        <v>0.0</v>
      </c>
      <c r="BG127" s="33">
        <f>COUNTIFS('Data For Calculation - Insuranc'!A:A,A127,'Data For Calculation - Insuranc'!D:D,"Company",'Data For Calculation - Insuranc'!E:E,"Rollover - 1 Year OD Only")</f>
        <v>0</v>
      </c>
      <c r="BH127" s="34" t="s">
        <v>3931</v>
      </c>
      <c r="BI127" s="42" t="s">
        <v>3817</v>
      </c>
      <c r="BJ127" s="31">
        <v>290.0</v>
      </c>
      <c r="BK127" s="34" t="s">
        <v>3853</v>
      </c>
      <c r="BL127" s="34">
        <v>0.0</v>
      </c>
      <c r="BM127" s="34">
        <v>100.0</v>
      </c>
      <c r="BN127" s="34">
        <v>0.0</v>
      </c>
      <c r="BO127" s="34">
        <v>0.0</v>
      </c>
      <c r="BP127" s="33">
        <f>COUNTIFS('Data For Calculation - Insuranc'!A:A,A127,'Data For Calculation - Insuranc'!D:D,"Individual",'Data For Calculation - Insuranc'!E:E,"Rollover - 1 Year TP Only")</f>
        <v>0</v>
      </c>
      <c r="BQ127" s="34" t="s">
        <v>3932</v>
      </c>
      <c r="BR127" s="42" t="s">
        <v>3817</v>
      </c>
      <c r="BS127" s="31">
        <v>290.0</v>
      </c>
      <c r="BT127" s="34" t="s">
        <v>3853</v>
      </c>
      <c r="BU127" s="34">
        <v>0.0</v>
      </c>
      <c r="BV127" s="34">
        <v>100.0</v>
      </c>
      <c r="BW127" s="34">
        <v>0.0</v>
      </c>
      <c r="BX127" s="34">
        <v>0.0</v>
      </c>
      <c r="BY127" s="33">
        <f>COUNTIFS('Data For Calculation - Insuranc'!A:A,A127,'Data For Calculation - Insuranc'!D:D,"Company",'Data For Calculation - Insuranc'!E:E,"Rollover - 1 Year TP Only")</f>
        <v>0</v>
      </c>
      <c r="BZ127" s="31">
        <f t="shared" si="1"/>
        <v>0</v>
      </c>
      <c r="CA127" s="33">
        <f>SUMIFS('Data For Calculation - Insuranc'!I:I,'Data For Calculation - Insuranc'!$A:$A,$A127)</f>
        <v>0</v>
      </c>
      <c r="CB127" s="33">
        <f>SUMIFS('Data For Calculation - Insuranc'!J:J,'Data For Calculation - Insuranc'!$A:$A,$A127)</f>
        <v>0</v>
      </c>
      <c r="CC127" s="33">
        <f>SUMIFS('Data For Calculation - Insuranc'!K:K,'Data For Calculation - Insuranc'!$A:$A,$A127)</f>
        <v>0</v>
      </c>
      <c r="CD127" s="33">
        <f>IF($CK127 = "Dealer", SUMIFS('Data For Calculation - Insuranc'!I:I,'Data For Calculation - Insuranc'!$B:$B,$A127,'Data For Calculation - Insuranc'!$H:$H,"Master Dealer")) + SUMIFS('Data For Calculation - Insuranc'!I:I,'Data For Calculation - Insuranc'!$A:$A,$A127,'Data For Calculation - Insuranc'!$H:$H,"Self")</f>
        <v>0</v>
      </c>
      <c r="CE127" s="33">
        <f>IF($CK127 = "Dealer", SUMIFS('Data For Calculation - Insuranc'!J:J,'Data For Calculation - Insuranc'!$B:$B,$A127,'Data For Calculation - Insuranc'!$H:$H,"Master Dealer")) + SUMIFS('Data For Calculation - Insuranc'!J:J,'Data For Calculation - Insuranc'!$A:$A,$A127,'Data For Calculation - Insuranc'!$H:$H,"Self")</f>
        <v>0</v>
      </c>
      <c r="CF127" s="33">
        <f>IF($CK127 = "Dealer", SUMIFS('Data For Calculation - Insuranc'!K:K,'Data For Calculation - Insuranc'!$B:$B,$A127,'Data For Calculation - Insuranc'!$H:$H,"Master Dealer")) + SUMIFS('Data For Calculation - Insuranc'!K:K,'Data For Calculation - Insuranc'!$A:$A,$A127,'Data For Calculation - Insuranc'!$H:$H,"Self")</f>
        <v>0</v>
      </c>
      <c r="CG127" s="25" t="str">
        <f>(Sheet1!N127)</f>
        <v>Sumitra Sons - Shahajahanpur</v>
      </c>
      <c r="CH127" s="25" t="str">
        <f>(Sheet1!O127)</f>
        <v>11FZlKtFUzBvNAVUVwf1C2KpyoxHhbZTiI7E_EdPr-mg</v>
      </c>
      <c r="CI127" s="25" t="str">
        <f>(Sheet1!AV127)</f>
        <v/>
      </c>
      <c r="CJ127" s="25" t="str">
        <f>(Sheet1!AW127)</f>
        <v/>
      </c>
      <c r="CK127" s="26" t="str">
        <f>(Sheet1!P127)</f>
        <v>Sub Dealer</v>
      </c>
    </row>
    <row r="128">
      <c r="A128" s="25" t="str">
        <f>(Sheet1!A128)</f>
        <v>1vMWNNh-aM1nrCnH4Ps5ul1sg36h7ZiVgWbYyiSJDYW8</v>
      </c>
      <c r="B128" s="25" t="str">
        <f>(Sheet1!B128)</f>
        <v>Tarawati Maurya</v>
      </c>
      <c r="C128" s="30" t="str">
        <f>Sheet1!BB128</f>
        <v>No</v>
      </c>
      <c r="D128" s="30" t="s">
        <v>13</v>
      </c>
      <c r="E128" s="34" t="s">
        <v>13</v>
      </c>
      <c r="F128" s="34" t="s">
        <v>3929</v>
      </c>
      <c r="G128" s="42" t="s">
        <v>3817</v>
      </c>
      <c r="H128" s="43">
        <v>460.0</v>
      </c>
      <c r="I128" s="42" t="s">
        <v>3853</v>
      </c>
      <c r="J128" s="43">
        <v>0.0</v>
      </c>
      <c r="K128" s="43">
        <v>100.0</v>
      </c>
      <c r="L128" s="43">
        <v>0.0</v>
      </c>
      <c r="M128" s="43">
        <v>0.0</v>
      </c>
      <c r="N128" s="33">
        <f>COUNTIFS('Data For Calculation - Insuranc'!A:A,A128,'Data For Calculation - Insuranc'!D:D,"Individual",'Data For Calculation - Insuranc'!E:E,"Bundled - 1 Year OD + 5 Year TP")</f>
        <v>0</v>
      </c>
      <c r="O128" s="34" t="s">
        <v>3930</v>
      </c>
      <c r="P128" s="42" t="s">
        <v>3817</v>
      </c>
      <c r="Q128" s="43">
        <v>460.0</v>
      </c>
      <c r="R128" s="42" t="s">
        <v>3853</v>
      </c>
      <c r="S128" s="43">
        <v>0.0</v>
      </c>
      <c r="T128" s="43">
        <v>100.0</v>
      </c>
      <c r="U128" s="43">
        <v>0.0</v>
      </c>
      <c r="V128" s="43">
        <v>0.0</v>
      </c>
      <c r="W128" s="33">
        <f>COUNTIFS('Data For Calculation - Insuranc'!A:A,A128,'Data For Calculation - Insuranc'!D:D,"Company",'Data For Calculation - Insuranc'!E:E,"Bundled - 1 Year OD + 5 Year TP")</f>
        <v>0</v>
      </c>
      <c r="X128" s="34" t="s">
        <v>3929</v>
      </c>
      <c r="Y128" s="42" t="s">
        <v>3817</v>
      </c>
      <c r="Z128" s="31">
        <v>290.0</v>
      </c>
      <c r="AA128" s="34" t="s">
        <v>3853</v>
      </c>
      <c r="AB128" s="34">
        <v>0.0</v>
      </c>
      <c r="AC128" s="34">
        <v>100.0</v>
      </c>
      <c r="AD128" s="34">
        <v>0.0</v>
      </c>
      <c r="AE128" s="34">
        <v>0.0</v>
      </c>
      <c r="AF128" s="33">
        <f>COUNTIFS('Data For Calculation - Insuranc'!A:A,A128,'Data For Calculation - Insuranc'!D:D,"Individual",'Data For Calculation - Insuranc'!E:E,"Rollover Comprehensive - 1 Year OD + 1 Year TP")</f>
        <v>0</v>
      </c>
      <c r="AG128" s="34" t="s">
        <v>3930</v>
      </c>
      <c r="AH128" s="42" t="s">
        <v>3817</v>
      </c>
      <c r="AI128" s="31">
        <v>290.0</v>
      </c>
      <c r="AJ128" s="34" t="s">
        <v>3853</v>
      </c>
      <c r="AK128" s="34">
        <v>0.0</v>
      </c>
      <c r="AL128" s="34">
        <v>100.0</v>
      </c>
      <c r="AM128" s="34">
        <v>0.0</v>
      </c>
      <c r="AN128" s="34">
        <v>0.0</v>
      </c>
      <c r="AO128" s="33">
        <f>COUNTIFS('Data For Calculation - Insuranc'!A:A,A128,'Data For Calculation - Insuranc'!D:D,"Company",'Data For Calculation - Insuranc'!E:E,"Rollover Comprehensive - 1 Year OD + 1 Year TP")</f>
        <v>0</v>
      </c>
      <c r="AP128" s="34" t="s">
        <v>3931</v>
      </c>
      <c r="AQ128" s="42" t="s">
        <v>3817</v>
      </c>
      <c r="AR128" s="31">
        <v>290.0</v>
      </c>
      <c r="AS128" s="34" t="s">
        <v>3853</v>
      </c>
      <c r="AT128" s="34">
        <v>0.0</v>
      </c>
      <c r="AU128" s="34">
        <v>100.0</v>
      </c>
      <c r="AV128" s="34">
        <v>0.0</v>
      </c>
      <c r="AW128" s="34">
        <v>0.0</v>
      </c>
      <c r="AX128" s="33">
        <f>COUNTIFS('Data For Calculation - Insuranc'!A:A,A128,'Data For Calculation - Insuranc'!D:D,"Individual",'Data For Calculation - Insuranc'!E:E,"Rollover - 1 Year OD Only")</f>
        <v>0</v>
      </c>
      <c r="AY128" s="34" t="s">
        <v>3932</v>
      </c>
      <c r="AZ128" s="42" t="s">
        <v>3817</v>
      </c>
      <c r="BA128" s="31">
        <v>290.0</v>
      </c>
      <c r="BB128" s="34" t="s">
        <v>3853</v>
      </c>
      <c r="BC128" s="34">
        <v>0.0</v>
      </c>
      <c r="BD128" s="34">
        <v>100.0</v>
      </c>
      <c r="BE128" s="34">
        <v>0.0</v>
      </c>
      <c r="BF128" s="34">
        <v>0.0</v>
      </c>
      <c r="BG128" s="33">
        <f>COUNTIFS('Data For Calculation - Insuranc'!A:A,A128,'Data For Calculation - Insuranc'!D:D,"Company",'Data For Calculation - Insuranc'!E:E,"Rollover - 1 Year OD Only")</f>
        <v>0</v>
      </c>
      <c r="BH128" s="34" t="s">
        <v>3931</v>
      </c>
      <c r="BI128" s="42" t="s">
        <v>3817</v>
      </c>
      <c r="BJ128" s="31">
        <v>290.0</v>
      </c>
      <c r="BK128" s="34" t="s">
        <v>3853</v>
      </c>
      <c r="BL128" s="34">
        <v>0.0</v>
      </c>
      <c r="BM128" s="34">
        <v>100.0</v>
      </c>
      <c r="BN128" s="34">
        <v>0.0</v>
      </c>
      <c r="BO128" s="34">
        <v>0.0</v>
      </c>
      <c r="BP128" s="33">
        <f>COUNTIFS('Data For Calculation - Insuranc'!A:A,A128,'Data For Calculation - Insuranc'!D:D,"Individual",'Data For Calculation - Insuranc'!E:E,"Rollover - 1 Year TP Only")</f>
        <v>0</v>
      </c>
      <c r="BQ128" s="34" t="s">
        <v>3932</v>
      </c>
      <c r="BR128" s="42" t="s">
        <v>3817</v>
      </c>
      <c r="BS128" s="31">
        <v>290.0</v>
      </c>
      <c r="BT128" s="34" t="s">
        <v>3853</v>
      </c>
      <c r="BU128" s="34">
        <v>0.0</v>
      </c>
      <c r="BV128" s="34">
        <v>100.0</v>
      </c>
      <c r="BW128" s="34">
        <v>0.0</v>
      </c>
      <c r="BX128" s="34">
        <v>0.0</v>
      </c>
      <c r="BY128" s="33">
        <f>COUNTIFS('Data For Calculation - Insuranc'!A:A,A128,'Data For Calculation - Insuranc'!D:D,"Company",'Data For Calculation - Insuranc'!E:E,"Rollover - 1 Year TP Only")</f>
        <v>0</v>
      </c>
      <c r="BZ128" s="31">
        <f t="shared" si="1"/>
        <v>0</v>
      </c>
      <c r="CA128" s="33">
        <f>SUMIFS('Data For Calculation - Insuranc'!I:I,'Data For Calculation - Insuranc'!$A:$A,$A128)</f>
        <v>0</v>
      </c>
      <c r="CB128" s="33">
        <f>SUMIFS('Data For Calculation - Insuranc'!J:J,'Data For Calculation - Insuranc'!$A:$A,$A128)</f>
        <v>0</v>
      </c>
      <c r="CC128" s="33">
        <f>SUMIFS('Data For Calculation - Insuranc'!K:K,'Data For Calculation - Insuranc'!$A:$A,$A128)</f>
        <v>0</v>
      </c>
      <c r="CD128" s="33">
        <f>IF($CK128 = "Dealer", SUMIFS('Data For Calculation - Insuranc'!I:I,'Data For Calculation - Insuranc'!$B:$B,$A128,'Data For Calculation - Insuranc'!$H:$H,"Master Dealer")) + SUMIFS('Data For Calculation - Insuranc'!I:I,'Data For Calculation - Insuranc'!$A:$A,$A128,'Data For Calculation - Insuranc'!$H:$H,"Self")</f>
        <v>0</v>
      </c>
      <c r="CE128" s="33">
        <f>IF($CK128 = "Dealer", SUMIFS('Data For Calculation - Insuranc'!J:J,'Data For Calculation - Insuranc'!$B:$B,$A128,'Data For Calculation - Insuranc'!$H:$H,"Master Dealer")) + SUMIFS('Data For Calculation - Insuranc'!J:J,'Data For Calculation - Insuranc'!$A:$A,$A128,'Data For Calculation - Insuranc'!$H:$H,"Self")</f>
        <v>0</v>
      </c>
      <c r="CF128" s="33">
        <f>IF($CK128 = "Dealer", SUMIFS('Data For Calculation - Insuranc'!K:K,'Data For Calculation - Insuranc'!$B:$B,$A128,'Data For Calculation - Insuranc'!$H:$H,"Master Dealer")) + SUMIFS('Data For Calculation - Insuranc'!K:K,'Data For Calculation - Insuranc'!$A:$A,$A128,'Data For Calculation - Insuranc'!$H:$H,"Self")</f>
        <v>0</v>
      </c>
      <c r="CG128" s="25" t="str">
        <f>(Sheet1!N128)</f>
        <v>Tarawati Maurya</v>
      </c>
      <c r="CH128" s="25" t="str">
        <f>(Sheet1!O128)</f>
        <v>1vMWNNh-aM1nrCnH4Ps5ul1sg36h7ZiVgWbYyiSJDYW8</v>
      </c>
      <c r="CI128" s="25" t="str">
        <f>(Sheet1!AV128)</f>
        <v/>
      </c>
      <c r="CJ128" s="25" t="str">
        <f>(Sheet1!AW128)</f>
        <v/>
      </c>
      <c r="CK128" s="26" t="str">
        <f>(Sheet1!P128)</f>
        <v>Dealer</v>
      </c>
    </row>
    <row r="129">
      <c r="A129" s="25" t="str">
        <f>(Sheet1!A129)</f>
        <v>18j4yqkTLlff3QgAQzxbikTB9QfvCJyXh60_rLTsgkUA</v>
      </c>
      <c r="B129" s="25" t="str">
        <f>(Sheet1!B129)</f>
        <v>Jassi Motors - Mainpuri</v>
      </c>
      <c r="C129" s="30" t="str">
        <f>Sheet1!BB129</f>
        <v>No</v>
      </c>
      <c r="D129" s="30" t="s">
        <v>13</v>
      </c>
      <c r="E129" s="34" t="s">
        <v>13</v>
      </c>
      <c r="F129" s="34" t="s">
        <v>3929</v>
      </c>
      <c r="G129" s="42" t="s">
        <v>3820</v>
      </c>
      <c r="H129" s="43">
        <v>460.0</v>
      </c>
      <c r="I129" s="42" t="s">
        <v>3853</v>
      </c>
      <c r="J129" s="43">
        <v>0.0</v>
      </c>
      <c r="K129" s="43">
        <v>100.0</v>
      </c>
      <c r="L129" s="43">
        <v>0.0</v>
      </c>
      <c r="M129" s="43">
        <v>0.0</v>
      </c>
      <c r="N129" s="33">
        <f>COUNTIFS('Data For Calculation - Insuranc'!A:A,A129,'Data For Calculation - Insuranc'!D:D,"Individual",'Data For Calculation - Insuranc'!E:E,"Bundled - 1 Year OD + 5 Year TP")</f>
        <v>0</v>
      </c>
      <c r="O129" s="34" t="s">
        <v>3930</v>
      </c>
      <c r="P129" s="42" t="s">
        <v>3820</v>
      </c>
      <c r="Q129" s="43">
        <v>460.0</v>
      </c>
      <c r="R129" s="42" t="s">
        <v>3853</v>
      </c>
      <c r="S129" s="43">
        <v>0.0</v>
      </c>
      <c r="T129" s="43">
        <v>100.0</v>
      </c>
      <c r="U129" s="43">
        <v>0.0</v>
      </c>
      <c r="V129" s="43">
        <v>0.0</v>
      </c>
      <c r="W129" s="33">
        <f>COUNTIFS('Data For Calculation - Insuranc'!A:A,A129,'Data For Calculation - Insuranc'!D:D,"Company",'Data For Calculation - Insuranc'!E:E,"Bundled - 1 Year OD + 5 Year TP")</f>
        <v>0</v>
      </c>
      <c r="X129" s="34" t="s">
        <v>3929</v>
      </c>
      <c r="Y129" s="42" t="s">
        <v>3820</v>
      </c>
      <c r="Z129" s="31">
        <v>290.0</v>
      </c>
      <c r="AA129" s="34" t="s">
        <v>3853</v>
      </c>
      <c r="AB129" s="34">
        <v>0.0</v>
      </c>
      <c r="AC129" s="34">
        <v>100.0</v>
      </c>
      <c r="AD129" s="34">
        <v>0.0</v>
      </c>
      <c r="AE129" s="34">
        <v>0.0</v>
      </c>
      <c r="AF129" s="33">
        <f>COUNTIFS('Data For Calculation - Insuranc'!A:A,A129,'Data For Calculation - Insuranc'!D:D,"Individual",'Data For Calculation - Insuranc'!E:E,"Rollover Comprehensive - 1 Year OD + 1 Year TP")</f>
        <v>0</v>
      </c>
      <c r="AG129" s="34" t="s">
        <v>3930</v>
      </c>
      <c r="AH129" s="42" t="s">
        <v>3820</v>
      </c>
      <c r="AI129" s="31">
        <v>290.0</v>
      </c>
      <c r="AJ129" s="34" t="s">
        <v>3853</v>
      </c>
      <c r="AK129" s="34">
        <v>0.0</v>
      </c>
      <c r="AL129" s="34">
        <v>100.0</v>
      </c>
      <c r="AM129" s="34">
        <v>0.0</v>
      </c>
      <c r="AN129" s="34">
        <v>0.0</v>
      </c>
      <c r="AO129" s="33">
        <f>COUNTIFS('Data For Calculation - Insuranc'!A:A,A129,'Data For Calculation - Insuranc'!D:D,"Company",'Data For Calculation - Insuranc'!E:E,"Rollover Comprehensive - 1 Year OD + 1 Year TP")</f>
        <v>0</v>
      </c>
      <c r="AP129" s="34" t="s">
        <v>3931</v>
      </c>
      <c r="AQ129" s="42" t="s">
        <v>3820</v>
      </c>
      <c r="AR129" s="31">
        <v>290.0</v>
      </c>
      <c r="AS129" s="34" t="s">
        <v>3853</v>
      </c>
      <c r="AT129" s="34">
        <v>0.0</v>
      </c>
      <c r="AU129" s="34">
        <v>100.0</v>
      </c>
      <c r="AV129" s="34">
        <v>0.0</v>
      </c>
      <c r="AW129" s="34">
        <v>0.0</v>
      </c>
      <c r="AX129" s="33">
        <f>COUNTIFS('Data For Calculation - Insuranc'!A:A,A129,'Data For Calculation - Insuranc'!D:D,"Individual",'Data For Calculation - Insuranc'!E:E,"Rollover - 1 Year OD Only")</f>
        <v>0</v>
      </c>
      <c r="AY129" s="34" t="s">
        <v>3932</v>
      </c>
      <c r="AZ129" s="42" t="s">
        <v>3820</v>
      </c>
      <c r="BA129" s="31">
        <v>290.0</v>
      </c>
      <c r="BB129" s="34" t="s">
        <v>3853</v>
      </c>
      <c r="BC129" s="34">
        <v>0.0</v>
      </c>
      <c r="BD129" s="34">
        <v>100.0</v>
      </c>
      <c r="BE129" s="34">
        <v>0.0</v>
      </c>
      <c r="BF129" s="34">
        <v>0.0</v>
      </c>
      <c r="BG129" s="33">
        <f>COUNTIFS('Data For Calculation - Insuranc'!A:A,A129,'Data For Calculation - Insuranc'!D:D,"Company",'Data For Calculation - Insuranc'!E:E,"Rollover - 1 Year OD Only")</f>
        <v>0</v>
      </c>
      <c r="BH129" s="34" t="s">
        <v>3931</v>
      </c>
      <c r="BI129" s="42" t="s">
        <v>3820</v>
      </c>
      <c r="BJ129" s="31">
        <v>290.0</v>
      </c>
      <c r="BK129" s="34" t="s">
        <v>3853</v>
      </c>
      <c r="BL129" s="34">
        <v>0.0</v>
      </c>
      <c r="BM129" s="34">
        <v>100.0</v>
      </c>
      <c r="BN129" s="34">
        <v>0.0</v>
      </c>
      <c r="BO129" s="34">
        <v>0.0</v>
      </c>
      <c r="BP129" s="33">
        <f>COUNTIFS('Data For Calculation - Insuranc'!A:A,A129,'Data For Calculation - Insuranc'!D:D,"Individual",'Data For Calculation - Insuranc'!E:E,"Rollover - 1 Year TP Only")</f>
        <v>0</v>
      </c>
      <c r="BQ129" s="34" t="s">
        <v>3932</v>
      </c>
      <c r="BR129" s="42" t="s">
        <v>3820</v>
      </c>
      <c r="BS129" s="31">
        <v>290.0</v>
      </c>
      <c r="BT129" s="34" t="s">
        <v>3853</v>
      </c>
      <c r="BU129" s="34">
        <v>0.0</v>
      </c>
      <c r="BV129" s="34">
        <v>100.0</v>
      </c>
      <c r="BW129" s="34">
        <v>0.0</v>
      </c>
      <c r="BX129" s="34">
        <v>0.0</v>
      </c>
      <c r="BY129" s="33">
        <f>COUNTIFS('Data For Calculation - Insuranc'!A:A,A129,'Data For Calculation - Insuranc'!D:D,"Company",'Data For Calculation - Insuranc'!E:E,"Rollover - 1 Year TP Only")</f>
        <v>0</v>
      </c>
      <c r="BZ129" s="31">
        <f t="shared" si="1"/>
        <v>0</v>
      </c>
      <c r="CA129" s="33">
        <f>SUMIFS('Data For Calculation - Insuranc'!I:I,'Data For Calculation - Insuranc'!$A:$A,$A129)</f>
        <v>0</v>
      </c>
      <c r="CB129" s="33">
        <f>SUMIFS('Data For Calculation - Insuranc'!J:J,'Data For Calculation - Insuranc'!$A:$A,$A129)</f>
        <v>0</v>
      </c>
      <c r="CC129" s="33">
        <f>SUMIFS('Data For Calculation - Insuranc'!K:K,'Data For Calculation - Insuranc'!$A:$A,$A129)</f>
        <v>0</v>
      </c>
      <c r="CD129" s="33">
        <f>IF($CK129 = "Dealer", SUMIFS('Data For Calculation - Insuranc'!I:I,'Data For Calculation - Insuranc'!$B:$B,$A129,'Data For Calculation - Insuranc'!$H:$H,"Master Dealer")) + SUMIFS('Data For Calculation - Insuranc'!I:I,'Data For Calculation - Insuranc'!$A:$A,$A129,'Data For Calculation - Insuranc'!$H:$H,"Self")</f>
        <v>0</v>
      </c>
      <c r="CE129" s="33">
        <f>IF($CK129 = "Dealer", SUMIFS('Data For Calculation - Insuranc'!J:J,'Data For Calculation - Insuranc'!$B:$B,$A129,'Data For Calculation - Insuranc'!$H:$H,"Master Dealer")) + SUMIFS('Data For Calculation - Insuranc'!J:J,'Data For Calculation - Insuranc'!$A:$A,$A129,'Data For Calculation - Insuranc'!$H:$H,"Self")</f>
        <v>0</v>
      </c>
      <c r="CF129" s="33">
        <f>IF($CK129 = "Dealer", SUMIFS('Data For Calculation - Insuranc'!K:K,'Data For Calculation - Insuranc'!$B:$B,$A129,'Data For Calculation - Insuranc'!$H:$H,"Master Dealer")) + SUMIFS('Data For Calculation - Insuranc'!K:K,'Data For Calculation - Insuranc'!$A:$A,$A129,'Data For Calculation - Insuranc'!$H:$H,"Self")</f>
        <v>0</v>
      </c>
      <c r="CG129" s="25" t="str">
        <f>(Sheet1!N129)</f>
        <v>Jassi Motors - Mainpuri</v>
      </c>
      <c r="CH129" s="25" t="str">
        <f>(Sheet1!O129)</f>
        <v>18j4yqkTLlff3QgAQzxbikTB9QfvCJyXh60_rLTsgkUA</v>
      </c>
      <c r="CI129" s="25" t="str">
        <f>(Sheet1!AV129)</f>
        <v/>
      </c>
      <c r="CJ129" s="25" t="str">
        <f>(Sheet1!AW129)</f>
        <v/>
      </c>
      <c r="CK129" s="26" t="str">
        <f>(Sheet1!P129)</f>
        <v>Dealer</v>
      </c>
    </row>
    <row r="130">
      <c r="A130" s="25" t="str">
        <f>(Sheet1!A130)</f>
        <v>1dV47fJN9zfoEbGvv71kLmpN6o-gQtGRvXq4lwNICvVc</v>
      </c>
      <c r="B130" s="25" t="str">
        <f>(Sheet1!B130)</f>
        <v>Dhansri Motors - Noida</v>
      </c>
      <c r="C130" s="30" t="str">
        <f>Sheet1!BB130</f>
        <v>No</v>
      </c>
      <c r="D130" s="30" t="s">
        <v>13</v>
      </c>
      <c r="E130" s="34" t="s">
        <v>13</v>
      </c>
      <c r="F130" s="34" t="s">
        <v>3929</v>
      </c>
      <c r="G130" s="42" t="s">
        <v>3817</v>
      </c>
      <c r="H130" s="43">
        <v>460.0</v>
      </c>
      <c r="I130" s="42" t="s">
        <v>3853</v>
      </c>
      <c r="J130" s="43">
        <v>0.0</v>
      </c>
      <c r="K130" s="43">
        <v>100.0</v>
      </c>
      <c r="L130" s="43">
        <v>0.0</v>
      </c>
      <c r="M130" s="43">
        <v>0.0</v>
      </c>
      <c r="N130" s="33">
        <f>COUNTIFS('Data For Calculation - Insuranc'!A:A,A130,'Data For Calculation - Insuranc'!D:D,"Individual",'Data For Calculation - Insuranc'!E:E,"Bundled - 1 Year OD + 5 Year TP")</f>
        <v>0</v>
      </c>
      <c r="O130" s="34" t="s">
        <v>3930</v>
      </c>
      <c r="P130" s="42" t="s">
        <v>3817</v>
      </c>
      <c r="Q130" s="43">
        <v>460.0</v>
      </c>
      <c r="R130" s="42" t="s">
        <v>3853</v>
      </c>
      <c r="S130" s="43">
        <v>0.0</v>
      </c>
      <c r="T130" s="43">
        <v>100.0</v>
      </c>
      <c r="U130" s="43">
        <v>0.0</v>
      </c>
      <c r="V130" s="43">
        <v>0.0</v>
      </c>
      <c r="W130" s="33">
        <f>COUNTIFS('Data For Calculation - Insuranc'!A:A,A130,'Data For Calculation - Insuranc'!D:D,"Company",'Data For Calculation - Insuranc'!E:E,"Bundled - 1 Year OD + 5 Year TP")</f>
        <v>0</v>
      </c>
      <c r="X130" s="34" t="s">
        <v>3929</v>
      </c>
      <c r="Y130" s="42" t="s">
        <v>3817</v>
      </c>
      <c r="Z130" s="31">
        <v>290.0</v>
      </c>
      <c r="AA130" s="34" t="s">
        <v>3853</v>
      </c>
      <c r="AB130" s="34">
        <v>0.0</v>
      </c>
      <c r="AC130" s="34">
        <v>100.0</v>
      </c>
      <c r="AD130" s="34">
        <v>0.0</v>
      </c>
      <c r="AE130" s="34">
        <v>0.0</v>
      </c>
      <c r="AF130" s="33">
        <f>COUNTIFS('Data For Calculation - Insuranc'!A:A,A130,'Data For Calculation - Insuranc'!D:D,"Individual",'Data For Calculation - Insuranc'!E:E,"Rollover Comprehensive - 1 Year OD + 1 Year TP")</f>
        <v>0</v>
      </c>
      <c r="AG130" s="34" t="s">
        <v>3930</v>
      </c>
      <c r="AH130" s="42" t="s">
        <v>3817</v>
      </c>
      <c r="AI130" s="31">
        <v>290.0</v>
      </c>
      <c r="AJ130" s="34" t="s">
        <v>3853</v>
      </c>
      <c r="AK130" s="34">
        <v>0.0</v>
      </c>
      <c r="AL130" s="34">
        <v>100.0</v>
      </c>
      <c r="AM130" s="34">
        <v>0.0</v>
      </c>
      <c r="AN130" s="34">
        <v>0.0</v>
      </c>
      <c r="AO130" s="33">
        <f>COUNTIFS('Data For Calculation - Insuranc'!A:A,A130,'Data For Calculation - Insuranc'!D:D,"Company",'Data For Calculation - Insuranc'!E:E,"Rollover Comprehensive - 1 Year OD + 1 Year TP")</f>
        <v>0</v>
      </c>
      <c r="AP130" s="34" t="s">
        <v>3931</v>
      </c>
      <c r="AQ130" s="42" t="s">
        <v>3817</v>
      </c>
      <c r="AR130" s="31">
        <v>290.0</v>
      </c>
      <c r="AS130" s="34" t="s">
        <v>3853</v>
      </c>
      <c r="AT130" s="34">
        <v>0.0</v>
      </c>
      <c r="AU130" s="34">
        <v>100.0</v>
      </c>
      <c r="AV130" s="34">
        <v>0.0</v>
      </c>
      <c r="AW130" s="34">
        <v>0.0</v>
      </c>
      <c r="AX130" s="33">
        <f>COUNTIFS('Data For Calculation - Insuranc'!A:A,A130,'Data For Calculation - Insuranc'!D:D,"Individual",'Data For Calculation - Insuranc'!E:E,"Rollover - 1 Year OD Only")</f>
        <v>0</v>
      </c>
      <c r="AY130" s="34" t="s">
        <v>3932</v>
      </c>
      <c r="AZ130" s="42" t="s">
        <v>3817</v>
      </c>
      <c r="BA130" s="31">
        <v>290.0</v>
      </c>
      <c r="BB130" s="34" t="s">
        <v>3853</v>
      </c>
      <c r="BC130" s="34">
        <v>0.0</v>
      </c>
      <c r="BD130" s="34">
        <v>100.0</v>
      </c>
      <c r="BE130" s="34">
        <v>0.0</v>
      </c>
      <c r="BF130" s="34">
        <v>0.0</v>
      </c>
      <c r="BG130" s="33">
        <f>COUNTIFS('Data For Calculation - Insuranc'!A:A,A130,'Data For Calculation - Insuranc'!D:D,"Company",'Data For Calculation - Insuranc'!E:E,"Rollover - 1 Year OD Only")</f>
        <v>0</v>
      </c>
      <c r="BH130" s="34" t="s">
        <v>3931</v>
      </c>
      <c r="BI130" s="42" t="s">
        <v>3817</v>
      </c>
      <c r="BJ130" s="31">
        <v>290.0</v>
      </c>
      <c r="BK130" s="34" t="s">
        <v>3853</v>
      </c>
      <c r="BL130" s="34">
        <v>0.0</v>
      </c>
      <c r="BM130" s="34">
        <v>100.0</v>
      </c>
      <c r="BN130" s="34">
        <v>0.0</v>
      </c>
      <c r="BO130" s="34">
        <v>0.0</v>
      </c>
      <c r="BP130" s="33">
        <f>COUNTIFS('Data For Calculation - Insuranc'!A:A,A130,'Data For Calculation - Insuranc'!D:D,"Individual",'Data For Calculation - Insuranc'!E:E,"Rollover - 1 Year TP Only")</f>
        <v>0</v>
      </c>
      <c r="BQ130" s="34" t="s">
        <v>3932</v>
      </c>
      <c r="BR130" s="42" t="s">
        <v>3817</v>
      </c>
      <c r="BS130" s="31">
        <v>290.0</v>
      </c>
      <c r="BT130" s="34" t="s">
        <v>3853</v>
      </c>
      <c r="BU130" s="34">
        <v>0.0</v>
      </c>
      <c r="BV130" s="34">
        <v>100.0</v>
      </c>
      <c r="BW130" s="34">
        <v>0.0</v>
      </c>
      <c r="BX130" s="34">
        <v>0.0</v>
      </c>
      <c r="BY130" s="33">
        <f>COUNTIFS('Data For Calculation - Insuranc'!A:A,A130,'Data For Calculation - Insuranc'!D:D,"Company",'Data For Calculation - Insuranc'!E:E,"Rollover - 1 Year TP Only")</f>
        <v>0</v>
      </c>
      <c r="BZ130" s="31">
        <f t="shared" si="1"/>
        <v>0</v>
      </c>
      <c r="CA130" s="33">
        <f>SUMIFS('Data For Calculation - Insuranc'!I:I,'Data For Calculation - Insuranc'!$A:$A,$A130)</f>
        <v>0</v>
      </c>
      <c r="CB130" s="33">
        <f>SUMIFS('Data For Calculation - Insuranc'!J:J,'Data For Calculation - Insuranc'!$A:$A,$A130)</f>
        <v>0</v>
      </c>
      <c r="CC130" s="33">
        <f>SUMIFS('Data For Calculation - Insuranc'!K:K,'Data For Calculation - Insuranc'!$A:$A,$A130)</f>
        <v>0</v>
      </c>
      <c r="CD130" s="33">
        <f>IF($CK130 = "Dealer", SUMIFS('Data For Calculation - Insuranc'!I:I,'Data For Calculation - Insuranc'!$B:$B,$A130,'Data For Calculation - Insuranc'!$H:$H,"Master Dealer")) + SUMIFS('Data For Calculation - Insuranc'!I:I,'Data For Calculation - Insuranc'!$A:$A,$A130,'Data For Calculation - Insuranc'!$H:$H,"Self")</f>
        <v>0</v>
      </c>
      <c r="CE130" s="33">
        <f>IF($CK130 = "Dealer", SUMIFS('Data For Calculation - Insuranc'!J:J,'Data For Calculation - Insuranc'!$B:$B,$A130,'Data For Calculation - Insuranc'!$H:$H,"Master Dealer")) + SUMIFS('Data For Calculation - Insuranc'!J:J,'Data For Calculation - Insuranc'!$A:$A,$A130,'Data For Calculation - Insuranc'!$H:$H,"Self")</f>
        <v>0</v>
      </c>
      <c r="CF130" s="33">
        <f>IF($CK130 = "Dealer", SUMIFS('Data For Calculation - Insuranc'!K:K,'Data For Calculation - Insuranc'!$B:$B,$A130,'Data For Calculation - Insuranc'!$H:$H,"Master Dealer")) + SUMIFS('Data For Calculation - Insuranc'!K:K,'Data For Calculation - Insuranc'!$A:$A,$A130,'Data For Calculation - Insuranc'!$H:$H,"Self")</f>
        <v>0</v>
      </c>
      <c r="CG130" s="25" t="str">
        <f>(Sheet1!N130)</f>
        <v>Dhansri Motors - Noida</v>
      </c>
      <c r="CH130" s="25" t="str">
        <f>(Sheet1!O130)</f>
        <v>1dV47fJN9zfoEbGvv71kLmpN6o-gQtGRvXq4lwNICvVc</v>
      </c>
      <c r="CI130" s="25" t="str">
        <f>(Sheet1!AV130)</f>
        <v/>
      </c>
      <c r="CJ130" s="25" t="str">
        <f>(Sheet1!AW130)</f>
        <v/>
      </c>
      <c r="CK130" s="26" t="str">
        <f>(Sheet1!P130)</f>
        <v>Dealer</v>
      </c>
    </row>
    <row r="131">
      <c r="A131" s="25" t="str">
        <f>(Sheet1!A131)</f>
        <v>1QtE2j1s3tO4so4-6brIBcxG25GkuhYSP382fzi5rqdw</v>
      </c>
      <c r="B131" s="25" t="str">
        <f>(Sheet1!B131)</f>
        <v>Lalit Mohan sharma</v>
      </c>
      <c r="C131" s="30" t="str">
        <f>Sheet1!BB131</f>
        <v>No</v>
      </c>
      <c r="D131" s="30" t="s">
        <v>13</v>
      </c>
      <c r="E131" s="34" t="s">
        <v>13</v>
      </c>
      <c r="F131" s="34" t="s">
        <v>3929</v>
      </c>
      <c r="G131" s="42" t="s">
        <v>3817</v>
      </c>
      <c r="H131" s="43">
        <v>460.0</v>
      </c>
      <c r="I131" s="42" t="s">
        <v>3853</v>
      </c>
      <c r="J131" s="43">
        <v>0.0</v>
      </c>
      <c r="K131" s="43">
        <v>100.0</v>
      </c>
      <c r="L131" s="43">
        <v>0.0</v>
      </c>
      <c r="M131" s="43">
        <v>0.0</v>
      </c>
      <c r="N131" s="33">
        <f>COUNTIFS('Data For Calculation - Insuranc'!A:A,A131,'Data For Calculation - Insuranc'!D:D,"Individual",'Data For Calculation - Insuranc'!E:E,"Bundled - 1 Year OD + 5 Year TP")</f>
        <v>0</v>
      </c>
      <c r="O131" s="34" t="s">
        <v>3930</v>
      </c>
      <c r="P131" s="42" t="s">
        <v>3817</v>
      </c>
      <c r="Q131" s="43">
        <v>460.0</v>
      </c>
      <c r="R131" s="42" t="s">
        <v>3853</v>
      </c>
      <c r="S131" s="43">
        <v>0.0</v>
      </c>
      <c r="T131" s="43">
        <v>100.0</v>
      </c>
      <c r="U131" s="43">
        <v>0.0</v>
      </c>
      <c r="V131" s="43">
        <v>0.0</v>
      </c>
      <c r="W131" s="33">
        <f>COUNTIFS('Data For Calculation - Insuranc'!A:A,A131,'Data For Calculation - Insuranc'!D:D,"Company",'Data For Calculation - Insuranc'!E:E,"Bundled - 1 Year OD + 5 Year TP")</f>
        <v>0</v>
      </c>
      <c r="X131" s="34" t="s">
        <v>3929</v>
      </c>
      <c r="Y131" s="42" t="s">
        <v>3817</v>
      </c>
      <c r="Z131" s="31">
        <v>290.0</v>
      </c>
      <c r="AA131" s="34" t="s">
        <v>3853</v>
      </c>
      <c r="AB131" s="34">
        <v>0.0</v>
      </c>
      <c r="AC131" s="34">
        <v>100.0</v>
      </c>
      <c r="AD131" s="34">
        <v>0.0</v>
      </c>
      <c r="AE131" s="34">
        <v>0.0</v>
      </c>
      <c r="AF131" s="33">
        <f>COUNTIFS('Data For Calculation - Insuranc'!A:A,A131,'Data For Calculation - Insuranc'!D:D,"Individual",'Data For Calculation - Insuranc'!E:E,"Rollover Comprehensive - 1 Year OD + 1 Year TP")</f>
        <v>0</v>
      </c>
      <c r="AG131" s="34" t="s">
        <v>3930</v>
      </c>
      <c r="AH131" s="42" t="s">
        <v>3817</v>
      </c>
      <c r="AI131" s="31">
        <v>290.0</v>
      </c>
      <c r="AJ131" s="34" t="s">
        <v>3853</v>
      </c>
      <c r="AK131" s="34">
        <v>0.0</v>
      </c>
      <c r="AL131" s="34">
        <v>100.0</v>
      </c>
      <c r="AM131" s="34">
        <v>0.0</v>
      </c>
      <c r="AN131" s="34">
        <v>0.0</v>
      </c>
      <c r="AO131" s="33">
        <f>COUNTIFS('Data For Calculation - Insuranc'!A:A,A131,'Data For Calculation - Insuranc'!D:D,"Company",'Data For Calculation - Insuranc'!E:E,"Rollover Comprehensive - 1 Year OD + 1 Year TP")</f>
        <v>0</v>
      </c>
      <c r="AP131" s="34" t="s">
        <v>3931</v>
      </c>
      <c r="AQ131" s="42" t="s">
        <v>3817</v>
      </c>
      <c r="AR131" s="31">
        <v>290.0</v>
      </c>
      <c r="AS131" s="34" t="s">
        <v>3853</v>
      </c>
      <c r="AT131" s="34">
        <v>0.0</v>
      </c>
      <c r="AU131" s="34">
        <v>100.0</v>
      </c>
      <c r="AV131" s="34">
        <v>0.0</v>
      </c>
      <c r="AW131" s="34">
        <v>0.0</v>
      </c>
      <c r="AX131" s="33">
        <f>COUNTIFS('Data For Calculation - Insuranc'!A:A,A131,'Data For Calculation - Insuranc'!D:D,"Individual",'Data For Calculation - Insuranc'!E:E,"Rollover - 1 Year OD Only")</f>
        <v>0</v>
      </c>
      <c r="AY131" s="34" t="s">
        <v>3932</v>
      </c>
      <c r="AZ131" s="42" t="s">
        <v>3817</v>
      </c>
      <c r="BA131" s="31">
        <v>290.0</v>
      </c>
      <c r="BB131" s="34" t="s">
        <v>3853</v>
      </c>
      <c r="BC131" s="34">
        <v>0.0</v>
      </c>
      <c r="BD131" s="34">
        <v>100.0</v>
      </c>
      <c r="BE131" s="34">
        <v>0.0</v>
      </c>
      <c r="BF131" s="34">
        <v>0.0</v>
      </c>
      <c r="BG131" s="33">
        <f>COUNTIFS('Data For Calculation - Insuranc'!A:A,A131,'Data For Calculation - Insuranc'!D:D,"Company",'Data For Calculation - Insuranc'!E:E,"Rollover - 1 Year OD Only")</f>
        <v>0</v>
      </c>
      <c r="BH131" s="34" t="s">
        <v>3931</v>
      </c>
      <c r="BI131" s="42" t="s">
        <v>3817</v>
      </c>
      <c r="BJ131" s="31">
        <v>290.0</v>
      </c>
      <c r="BK131" s="34" t="s">
        <v>3853</v>
      </c>
      <c r="BL131" s="34">
        <v>0.0</v>
      </c>
      <c r="BM131" s="34">
        <v>100.0</v>
      </c>
      <c r="BN131" s="34">
        <v>0.0</v>
      </c>
      <c r="BO131" s="34">
        <v>0.0</v>
      </c>
      <c r="BP131" s="33">
        <f>COUNTIFS('Data For Calculation - Insuranc'!A:A,A131,'Data For Calculation - Insuranc'!D:D,"Individual",'Data For Calculation - Insuranc'!E:E,"Rollover - 1 Year TP Only")</f>
        <v>0</v>
      </c>
      <c r="BQ131" s="34" t="s">
        <v>3932</v>
      </c>
      <c r="BR131" s="42" t="s">
        <v>3817</v>
      </c>
      <c r="BS131" s="31">
        <v>290.0</v>
      </c>
      <c r="BT131" s="34" t="s">
        <v>3853</v>
      </c>
      <c r="BU131" s="34">
        <v>0.0</v>
      </c>
      <c r="BV131" s="34">
        <v>100.0</v>
      </c>
      <c r="BW131" s="34">
        <v>0.0</v>
      </c>
      <c r="BX131" s="34">
        <v>0.0</v>
      </c>
      <c r="BY131" s="33">
        <f>COUNTIFS('Data For Calculation - Insuranc'!A:A,A131,'Data For Calculation - Insuranc'!D:D,"Company",'Data For Calculation - Insuranc'!E:E,"Rollover - 1 Year TP Only")</f>
        <v>0</v>
      </c>
      <c r="BZ131" s="31">
        <f t="shared" si="1"/>
        <v>0</v>
      </c>
      <c r="CA131" s="33">
        <f>SUMIFS('Data For Calculation - Insuranc'!I:I,'Data For Calculation - Insuranc'!$A:$A,$A131)</f>
        <v>0</v>
      </c>
      <c r="CB131" s="33">
        <f>SUMIFS('Data For Calculation - Insuranc'!J:J,'Data For Calculation - Insuranc'!$A:$A,$A131)</f>
        <v>0</v>
      </c>
      <c r="CC131" s="33">
        <f>SUMIFS('Data For Calculation - Insuranc'!K:K,'Data For Calculation - Insuranc'!$A:$A,$A131)</f>
        <v>0</v>
      </c>
      <c r="CD131" s="33">
        <f>IF($CK131 = "Dealer", SUMIFS('Data For Calculation - Insuranc'!I:I,'Data For Calculation - Insuranc'!$B:$B,$A131,'Data For Calculation - Insuranc'!$H:$H,"Master Dealer")) + SUMIFS('Data For Calculation - Insuranc'!I:I,'Data For Calculation - Insuranc'!$A:$A,$A131,'Data For Calculation - Insuranc'!$H:$H,"Self")</f>
        <v>0</v>
      </c>
      <c r="CE131" s="33">
        <f>IF($CK131 = "Dealer", SUMIFS('Data For Calculation - Insuranc'!J:J,'Data For Calculation - Insuranc'!$B:$B,$A131,'Data For Calculation - Insuranc'!$H:$H,"Master Dealer")) + SUMIFS('Data For Calculation - Insuranc'!J:J,'Data For Calculation - Insuranc'!$A:$A,$A131,'Data For Calculation - Insuranc'!$H:$H,"Self")</f>
        <v>0</v>
      </c>
      <c r="CF131" s="33">
        <f>IF($CK131 = "Dealer", SUMIFS('Data For Calculation - Insuranc'!K:K,'Data For Calculation - Insuranc'!$B:$B,$A131,'Data For Calculation - Insuranc'!$H:$H,"Master Dealer")) + SUMIFS('Data For Calculation - Insuranc'!K:K,'Data For Calculation - Insuranc'!$A:$A,$A131,'Data For Calculation - Insuranc'!$H:$H,"Self")</f>
        <v>0</v>
      </c>
      <c r="CG131" s="25" t="str">
        <f>(Sheet1!N131)</f>
        <v>Lalit Mohan sharma</v>
      </c>
      <c r="CH131" s="25" t="str">
        <f>(Sheet1!O131)</f>
        <v>1QtE2j1s3tO4so4-6brIBcxG25GkuhYSP382fzi5rqdw</v>
      </c>
      <c r="CI131" s="25" t="str">
        <f>(Sheet1!AV131)</f>
        <v/>
      </c>
      <c r="CJ131" s="25" t="str">
        <f>(Sheet1!AW131)</f>
        <v/>
      </c>
      <c r="CK131" s="26" t="str">
        <f>(Sheet1!P131)</f>
        <v>Dealer</v>
      </c>
    </row>
    <row r="132">
      <c r="A132" s="25" t="str">
        <f>(Sheet1!A132)</f>
        <v>1d-fClpNuQDkiOpgBIcTAkZx1QbsS35V0oPcKli3TAOc</v>
      </c>
      <c r="B132" s="25" t="str">
        <f>(Sheet1!B132)</f>
        <v>Lalit Mohan Sharma</v>
      </c>
      <c r="C132" s="30" t="str">
        <f>Sheet1!BB132</f>
        <v>No</v>
      </c>
      <c r="D132" s="30" t="s">
        <v>13</v>
      </c>
      <c r="E132" s="34" t="s">
        <v>13</v>
      </c>
      <c r="F132" s="34" t="s">
        <v>3929</v>
      </c>
      <c r="G132" s="42" t="s">
        <v>3817</v>
      </c>
      <c r="H132" s="43">
        <v>460.0</v>
      </c>
      <c r="I132" s="42" t="s">
        <v>3853</v>
      </c>
      <c r="J132" s="43">
        <v>0.0</v>
      </c>
      <c r="K132" s="43">
        <v>100.0</v>
      </c>
      <c r="L132" s="43">
        <v>0.0</v>
      </c>
      <c r="M132" s="43">
        <v>0.0</v>
      </c>
      <c r="N132" s="33">
        <f>COUNTIFS('Data For Calculation - Insuranc'!A:A,A132,'Data For Calculation - Insuranc'!D:D,"Individual",'Data For Calculation - Insuranc'!E:E,"Bundled - 1 Year OD + 5 Year TP")</f>
        <v>0</v>
      </c>
      <c r="O132" s="34" t="s">
        <v>3930</v>
      </c>
      <c r="P132" s="42" t="s">
        <v>3817</v>
      </c>
      <c r="Q132" s="43">
        <v>460.0</v>
      </c>
      <c r="R132" s="42" t="s">
        <v>3853</v>
      </c>
      <c r="S132" s="43">
        <v>0.0</v>
      </c>
      <c r="T132" s="43">
        <v>100.0</v>
      </c>
      <c r="U132" s="43">
        <v>0.0</v>
      </c>
      <c r="V132" s="43">
        <v>0.0</v>
      </c>
      <c r="W132" s="33">
        <f>COUNTIFS('Data For Calculation - Insuranc'!A:A,A132,'Data For Calculation - Insuranc'!D:D,"Company",'Data For Calculation - Insuranc'!E:E,"Bundled - 1 Year OD + 5 Year TP")</f>
        <v>0</v>
      </c>
      <c r="X132" s="34" t="s">
        <v>3929</v>
      </c>
      <c r="Y132" s="42" t="s">
        <v>3817</v>
      </c>
      <c r="Z132" s="31">
        <v>290.0</v>
      </c>
      <c r="AA132" s="34" t="s">
        <v>3853</v>
      </c>
      <c r="AB132" s="34">
        <v>0.0</v>
      </c>
      <c r="AC132" s="34">
        <v>100.0</v>
      </c>
      <c r="AD132" s="34">
        <v>0.0</v>
      </c>
      <c r="AE132" s="34">
        <v>0.0</v>
      </c>
      <c r="AF132" s="33">
        <f>COUNTIFS('Data For Calculation - Insuranc'!A:A,A132,'Data For Calculation - Insuranc'!D:D,"Individual",'Data For Calculation - Insuranc'!E:E,"Rollover Comprehensive - 1 Year OD + 1 Year TP")</f>
        <v>0</v>
      </c>
      <c r="AG132" s="34" t="s">
        <v>3930</v>
      </c>
      <c r="AH132" s="42" t="s">
        <v>3817</v>
      </c>
      <c r="AI132" s="31">
        <v>290.0</v>
      </c>
      <c r="AJ132" s="34" t="s">
        <v>3853</v>
      </c>
      <c r="AK132" s="34">
        <v>0.0</v>
      </c>
      <c r="AL132" s="34">
        <v>100.0</v>
      </c>
      <c r="AM132" s="34">
        <v>0.0</v>
      </c>
      <c r="AN132" s="34">
        <v>0.0</v>
      </c>
      <c r="AO132" s="33">
        <f>COUNTIFS('Data For Calculation - Insuranc'!A:A,A132,'Data For Calculation - Insuranc'!D:D,"Company",'Data For Calculation - Insuranc'!E:E,"Rollover Comprehensive - 1 Year OD + 1 Year TP")</f>
        <v>0</v>
      </c>
      <c r="AP132" s="34" t="s">
        <v>3931</v>
      </c>
      <c r="AQ132" s="42" t="s">
        <v>3817</v>
      </c>
      <c r="AR132" s="31">
        <v>290.0</v>
      </c>
      <c r="AS132" s="34" t="s">
        <v>3853</v>
      </c>
      <c r="AT132" s="34">
        <v>0.0</v>
      </c>
      <c r="AU132" s="34">
        <v>100.0</v>
      </c>
      <c r="AV132" s="34">
        <v>0.0</v>
      </c>
      <c r="AW132" s="34">
        <v>0.0</v>
      </c>
      <c r="AX132" s="33">
        <f>COUNTIFS('Data For Calculation - Insuranc'!A:A,A132,'Data For Calculation - Insuranc'!D:D,"Individual",'Data For Calculation - Insuranc'!E:E,"Rollover - 1 Year OD Only")</f>
        <v>0</v>
      </c>
      <c r="AY132" s="34" t="s">
        <v>3932</v>
      </c>
      <c r="AZ132" s="42" t="s">
        <v>3817</v>
      </c>
      <c r="BA132" s="31">
        <v>290.0</v>
      </c>
      <c r="BB132" s="34" t="s">
        <v>3853</v>
      </c>
      <c r="BC132" s="34">
        <v>0.0</v>
      </c>
      <c r="BD132" s="34">
        <v>100.0</v>
      </c>
      <c r="BE132" s="34">
        <v>0.0</v>
      </c>
      <c r="BF132" s="34">
        <v>0.0</v>
      </c>
      <c r="BG132" s="33">
        <f>COUNTIFS('Data For Calculation - Insuranc'!A:A,A132,'Data For Calculation - Insuranc'!D:D,"Company",'Data For Calculation - Insuranc'!E:E,"Rollover - 1 Year OD Only")</f>
        <v>0</v>
      </c>
      <c r="BH132" s="34" t="s">
        <v>3931</v>
      </c>
      <c r="BI132" s="42" t="s">
        <v>3817</v>
      </c>
      <c r="BJ132" s="31">
        <v>290.0</v>
      </c>
      <c r="BK132" s="34" t="s">
        <v>3853</v>
      </c>
      <c r="BL132" s="34">
        <v>0.0</v>
      </c>
      <c r="BM132" s="34">
        <v>100.0</v>
      </c>
      <c r="BN132" s="34">
        <v>0.0</v>
      </c>
      <c r="BO132" s="34">
        <v>0.0</v>
      </c>
      <c r="BP132" s="33">
        <f>COUNTIFS('Data For Calculation - Insuranc'!A:A,A132,'Data For Calculation - Insuranc'!D:D,"Individual",'Data For Calculation - Insuranc'!E:E,"Rollover - 1 Year TP Only")</f>
        <v>0</v>
      </c>
      <c r="BQ132" s="34" t="s">
        <v>3932</v>
      </c>
      <c r="BR132" s="42" t="s">
        <v>3817</v>
      </c>
      <c r="BS132" s="31">
        <v>290.0</v>
      </c>
      <c r="BT132" s="34" t="s">
        <v>3853</v>
      </c>
      <c r="BU132" s="34">
        <v>0.0</v>
      </c>
      <c r="BV132" s="34">
        <v>100.0</v>
      </c>
      <c r="BW132" s="34">
        <v>0.0</v>
      </c>
      <c r="BX132" s="34">
        <v>0.0</v>
      </c>
      <c r="BY132" s="33">
        <f>COUNTIFS('Data For Calculation - Insuranc'!A:A,A132,'Data For Calculation - Insuranc'!D:D,"Company",'Data For Calculation - Insuranc'!E:E,"Rollover - 1 Year TP Only")</f>
        <v>0</v>
      </c>
      <c r="BZ132" s="31">
        <f t="shared" si="1"/>
        <v>0</v>
      </c>
      <c r="CA132" s="33">
        <f>SUMIFS('Data For Calculation - Insuranc'!I:I,'Data For Calculation - Insuranc'!$A:$A,$A132)</f>
        <v>0</v>
      </c>
      <c r="CB132" s="33">
        <f>SUMIFS('Data For Calculation - Insuranc'!J:J,'Data For Calculation - Insuranc'!$A:$A,$A132)</f>
        <v>0</v>
      </c>
      <c r="CC132" s="33">
        <f>SUMIFS('Data For Calculation - Insuranc'!K:K,'Data For Calculation - Insuranc'!$A:$A,$A132)</f>
        <v>0</v>
      </c>
      <c r="CD132" s="33">
        <f>IF($CK132 = "Dealer", SUMIFS('Data For Calculation - Insuranc'!I:I,'Data For Calculation - Insuranc'!$B:$B,$A132,'Data For Calculation - Insuranc'!$H:$H,"Master Dealer")) + SUMIFS('Data For Calculation - Insuranc'!I:I,'Data For Calculation - Insuranc'!$A:$A,$A132,'Data For Calculation - Insuranc'!$H:$H,"Self")</f>
        <v>0</v>
      </c>
      <c r="CE132" s="33">
        <f>IF($CK132 = "Dealer", SUMIFS('Data For Calculation - Insuranc'!J:J,'Data For Calculation - Insuranc'!$B:$B,$A132,'Data For Calculation - Insuranc'!$H:$H,"Master Dealer")) + SUMIFS('Data For Calculation - Insuranc'!J:J,'Data For Calculation - Insuranc'!$A:$A,$A132,'Data For Calculation - Insuranc'!$H:$H,"Self")</f>
        <v>0</v>
      </c>
      <c r="CF132" s="33">
        <f>IF($CK132 = "Dealer", SUMIFS('Data For Calculation - Insuranc'!K:K,'Data For Calculation - Insuranc'!$B:$B,$A132,'Data For Calculation - Insuranc'!$H:$H,"Master Dealer")) + SUMIFS('Data For Calculation - Insuranc'!K:K,'Data For Calculation - Insuranc'!$A:$A,$A132,'Data For Calculation - Insuranc'!$H:$H,"Self")</f>
        <v>0</v>
      </c>
      <c r="CG132" s="25" t="str">
        <f>(Sheet1!N132)</f>
        <v>Lalit Mohan Sharma</v>
      </c>
      <c r="CH132" s="25" t="str">
        <f>(Sheet1!O132)</f>
        <v>1d-fClpNuQDkiOpgBIcTAkZx1QbsS35V0oPcKli3TAOc</v>
      </c>
      <c r="CI132" s="25" t="str">
        <f>(Sheet1!AV132)</f>
        <v/>
      </c>
      <c r="CJ132" s="25" t="str">
        <f>(Sheet1!AW132)</f>
        <v/>
      </c>
      <c r="CK132" s="26" t="str">
        <f>(Sheet1!P132)</f>
        <v>Dealer</v>
      </c>
    </row>
    <row r="133">
      <c r="A133" s="25" t="str">
        <f>(Sheet1!A133)</f>
        <v>1whkrB_X-9Od4l-1CkkLvnSLfIwfTyRMI1A3rhlUbkHU</v>
      </c>
      <c r="B133" s="25" t="str">
        <f>(Sheet1!B133)</f>
        <v>Titan Automobiles - Chhattisgarh</v>
      </c>
      <c r="C133" s="30" t="str">
        <f>Sheet1!BB133</f>
        <v>No</v>
      </c>
      <c r="D133" s="30" t="s">
        <v>13</v>
      </c>
      <c r="E133" s="34" t="s">
        <v>13</v>
      </c>
      <c r="F133" s="34" t="s">
        <v>3929</v>
      </c>
      <c r="G133" s="42" t="s">
        <v>3817</v>
      </c>
      <c r="H133" s="43">
        <v>460.0</v>
      </c>
      <c r="I133" s="42" t="s">
        <v>3853</v>
      </c>
      <c r="J133" s="43">
        <v>0.0</v>
      </c>
      <c r="K133" s="43">
        <v>100.0</v>
      </c>
      <c r="L133" s="43">
        <v>0.0</v>
      </c>
      <c r="M133" s="43">
        <v>0.0</v>
      </c>
      <c r="N133" s="33">
        <f>COUNTIFS('Data For Calculation - Insuranc'!A:A,A133,'Data For Calculation - Insuranc'!D:D,"Individual",'Data For Calculation - Insuranc'!E:E,"Bundled - 1 Year OD + 5 Year TP")</f>
        <v>0</v>
      </c>
      <c r="O133" s="34" t="s">
        <v>3930</v>
      </c>
      <c r="P133" s="42" t="s">
        <v>3817</v>
      </c>
      <c r="Q133" s="43">
        <v>460.0</v>
      </c>
      <c r="R133" s="42" t="s">
        <v>3853</v>
      </c>
      <c r="S133" s="43">
        <v>0.0</v>
      </c>
      <c r="T133" s="43">
        <v>100.0</v>
      </c>
      <c r="U133" s="43">
        <v>0.0</v>
      </c>
      <c r="V133" s="43">
        <v>0.0</v>
      </c>
      <c r="W133" s="33">
        <f>COUNTIFS('Data For Calculation - Insuranc'!A:A,A133,'Data For Calculation - Insuranc'!D:D,"Company",'Data For Calculation - Insuranc'!E:E,"Bundled - 1 Year OD + 5 Year TP")</f>
        <v>0</v>
      </c>
      <c r="X133" s="34" t="s">
        <v>3929</v>
      </c>
      <c r="Y133" s="42" t="s">
        <v>3817</v>
      </c>
      <c r="Z133" s="31">
        <v>290.0</v>
      </c>
      <c r="AA133" s="34" t="s">
        <v>3853</v>
      </c>
      <c r="AB133" s="34">
        <v>0.0</v>
      </c>
      <c r="AC133" s="34">
        <v>100.0</v>
      </c>
      <c r="AD133" s="34">
        <v>0.0</v>
      </c>
      <c r="AE133" s="34">
        <v>0.0</v>
      </c>
      <c r="AF133" s="33">
        <f>COUNTIFS('Data For Calculation - Insuranc'!A:A,A133,'Data For Calculation - Insuranc'!D:D,"Individual",'Data For Calculation - Insuranc'!E:E,"Rollover Comprehensive - 1 Year OD + 1 Year TP")</f>
        <v>0</v>
      </c>
      <c r="AG133" s="34" t="s">
        <v>3930</v>
      </c>
      <c r="AH133" s="42" t="s">
        <v>3817</v>
      </c>
      <c r="AI133" s="31">
        <v>290.0</v>
      </c>
      <c r="AJ133" s="34" t="s">
        <v>3853</v>
      </c>
      <c r="AK133" s="34">
        <v>0.0</v>
      </c>
      <c r="AL133" s="34">
        <v>100.0</v>
      </c>
      <c r="AM133" s="34">
        <v>0.0</v>
      </c>
      <c r="AN133" s="34">
        <v>0.0</v>
      </c>
      <c r="AO133" s="33">
        <f>COUNTIFS('Data For Calculation - Insuranc'!A:A,A133,'Data For Calculation - Insuranc'!D:D,"Company",'Data For Calculation - Insuranc'!E:E,"Rollover Comprehensive - 1 Year OD + 1 Year TP")</f>
        <v>0</v>
      </c>
      <c r="AP133" s="34" t="s">
        <v>3931</v>
      </c>
      <c r="AQ133" s="42" t="s">
        <v>3817</v>
      </c>
      <c r="AR133" s="31">
        <v>290.0</v>
      </c>
      <c r="AS133" s="34" t="s">
        <v>3853</v>
      </c>
      <c r="AT133" s="34">
        <v>0.0</v>
      </c>
      <c r="AU133" s="34">
        <v>100.0</v>
      </c>
      <c r="AV133" s="34">
        <v>0.0</v>
      </c>
      <c r="AW133" s="34">
        <v>0.0</v>
      </c>
      <c r="AX133" s="33">
        <f>COUNTIFS('Data For Calculation - Insuranc'!A:A,A133,'Data For Calculation - Insuranc'!D:D,"Individual",'Data For Calculation - Insuranc'!E:E,"Rollover - 1 Year OD Only")</f>
        <v>0</v>
      </c>
      <c r="AY133" s="34" t="s">
        <v>3932</v>
      </c>
      <c r="AZ133" s="42" t="s">
        <v>3817</v>
      </c>
      <c r="BA133" s="31">
        <v>290.0</v>
      </c>
      <c r="BB133" s="34" t="s">
        <v>3853</v>
      </c>
      <c r="BC133" s="34">
        <v>0.0</v>
      </c>
      <c r="BD133" s="34">
        <v>100.0</v>
      </c>
      <c r="BE133" s="34">
        <v>0.0</v>
      </c>
      <c r="BF133" s="34">
        <v>0.0</v>
      </c>
      <c r="BG133" s="33">
        <f>COUNTIFS('Data For Calculation - Insuranc'!A:A,A133,'Data For Calculation - Insuranc'!D:D,"Company",'Data For Calculation - Insuranc'!E:E,"Rollover - 1 Year OD Only")</f>
        <v>0</v>
      </c>
      <c r="BH133" s="34" t="s">
        <v>3931</v>
      </c>
      <c r="BI133" s="42" t="s">
        <v>3817</v>
      </c>
      <c r="BJ133" s="31">
        <v>290.0</v>
      </c>
      <c r="BK133" s="34" t="s">
        <v>3853</v>
      </c>
      <c r="BL133" s="34">
        <v>0.0</v>
      </c>
      <c r="BM133" s="34">
        <v>100.0</v>
      </c>
      <c r="BN133" s="34">
        <v>0.0</v>
      </c>
      <c r="BO133" s="34">
        <v>0.0</v>
      </c>
      <c r="BP133" s="33">
        <f>COUNTIFS('Data For Calculation - Insuranc'!A:A,A133,'Data For Calculation - Insuranc'!D:D,"Individual",'Data For Calculation - Insuranc'!E:E,"Rollover - 1 Year TP Only")</f>
        <v>0</v>
      </c>
      <c r="BQ133" s="34" t="s">
        <v>3932</v>
      </c>
      <c r="BR133" s="42" t="s">
        <v>3817</v>
      </c>
      <c r="BS133" s="31">
        <v>290.0</v>
      </c>
      <c r="BT133" s="34" t="s">
        <v>3853</v>
      </c>
      <c r="BU133" s="34">
        <v>0.0</v>
      </c>
      <c r="BV133" s="34">
        <v>100.0</v>
      </c>
      <c r="BW133" s="34">
        <v>0.0</v>
      </c>
      <c r="BX133" s="34">
        <v>0.0</v>
      </c>
      <c r="BY133" s="33">
        <f>COUNTIFS('Data For Calculation - Insuranc'!A:A,A133,'Data For Calculation - Insuranc'!D:D,"Company",'Data For Calculation - Insuranc'!E:E,"Rollover - 1 Year TP Only")</f>
        <v>0</v>
      </c>
      <c r="BZ133" s="31">
        <f t="shared" si="1"/>
        <v>0</v>
      </c>
      <c r="CA133" s="33">
        <f>SUMIFS('Data For Calculation - Insuranc'!I:I,'Data For Calculation - Insuranc'!$A:$A,$A133)</f>
        <v>0</v>
      </c>
      <c r="CB133" s="33">
        <f>SUMIFS('Data For Calculation - Insuranc'!J:J,'Data For Calculation - Insuranc'!$A:$A,$A133)</f>
        <v>0</v>
      </c>
      <c r="CC133" s="33">
        <f>SUMIFS('Data For Calculation - Insuranc'!K:K,'Data For Calculation - Insuranc'!$A:$A,$A133)</f>
        <v>0</v>
      </c>
      <c r="CD133" s="33">
        <f>IF($CK133 = "Dealer", SUMIFS('Data For Calculation - Insuranc'!I:I,'Data For Calculation - Insuranc'!$B:$B,$A133,'Data For Calculation - Insuranc'!$H:$H,"Master Dealer")) + SUMIFS('Data For Calculation - Insuranc'!I:I,'Data For Calculation - Insuranc'!$A:$A,$A133,'Data For Calculation - Insuranc'!$H:$H,"Self")</f>
        <v>0</v>
      </c>
      <c r="CE133" s="33">
        <f>IF($CK133 = "Dealer", SUMIFS('Data For Calculation - Insuranc'!J:J,'Data For Calculation - Insuranc'!$B:$B,$A133,'Data For Calculation - Insuranc'!$H:$H,"Master Dealer")) + SUMIFS('Data For Calculation - Insuranc'!J:J,'Data For Calculation - Insuranc'!$A:$A,$A133,'Data For Calculation - Insuranc'!$H:$H,"Self")</f>
        <v>0</v>
      </c>
      <c r="CF133" s="33">
        <f>IF($CK133 = "Dealer", SUMIFS('Data For Calculation - Insuranc'!K:K,'Data For Calculation - Insuranc'!$B:$B,$A133,'Data For Calculation - Insuranc'!$H:$H,"Master Dealer")) + SUMIFS('Data For Calculation - Insuranc'!K:K,'Data For Calculation - Insuranc'!$A:$A,$A133,'Data For Calculation - Insuranc'!$H:$H,"Self")</f>
        <v>0</v>
      </c>
      <c r="CG133" s="25" t="str">
        <f>(Sheet1!N133)</f>
        <v>Titan Automobiles - Chhattisgarh</v>
      </c>
      <c r="CH133" s="25" t="str">
        <f>(Sheet1!O133)</f>
        <v>1whkrB_X-9Od4l-1CkkLvnSLfIwfTyRMI1A3rhlUbkHU</v>
      </c>
      <c r="CI133" s="25" t="str">
        <f>(Sheet1!AV133)</f>
        <v/>
      </c>
      <c r="CJ133" s="25" t="str">
        <f>(Sheet1!AW133)</f>
        <v/>
      </c>
      <c r="CK133" s="26" t="str">
        <f>(Sheet1!P133)</f>
        <v>Dealer</v>
      </c>
    </row>
    <row r="134">
      <c r="A134" s="25" t="str">
        <f>(Sheet1!A134)</f>
        <v>1R-KBg0YkrorE8DStygYpBSvRKir_GExYWSoR962MR28</v>
      </c>
      <c r="B134" s="25" t="str">
        <f>(Sheet1!B134)</f>
        <v>Infinity Auto - Delhi</v>
      </c>
      <c r="C134" s="30" t="str">
        <f>Sheet1!BB134</f>
        <v>No</v>
      </c>
      <c r="D134" s="30" t="s">
        <v>13</v>
      </c>
      <c r="E134" s="34" t="s">
        <v>13</v>
      </c>
      <c r="F134" s="34" t="s">
        <v>3929</v>
      </c>
      <c r="G134" s="42" t="s">
        <v>3820</v>
      </c>
      <c r="H134" s="43">
        <v>460.0</v>
      </c>
      <c r="I134" s="42" t="s">
        <v>3853</v>
      </c>
      <c r="J134" s="43">
        <v>0.0</v>
      </c>
      <c r="K134" s="43">
        <v>100.0</v>
      </c>
      <c r="L134" s="43">
        <v>0.0</v>
      </c>
      <c r="M134" s="43">
        <v>0.0</v>
      </c>
      <c r="N134" s="33">
        <f>COUNTIFS('Data For Calculation - Insuranc'!A:A,A134,'Data For Calculation - Insuranc'!D:D,"Individual",'Data For Calculation - Insuranc'!E:E,"Bundled - 1 Year OD + 5 Year TP")</f>
        <v>0</v>
      </c>
      <c r="O134" s="34" t="s">
        <v>3930</v>
      </c>
      <c r="P134" s="42" t="s">
        <v>3820</v>
      </c>
      <c r="Q134" s="43">
        <v>460.0</v>
      </c>
      <c r="R134" s="42" t="s">
        <v>3853</v>
      </c>
      <c r="S134" s="43">
        <v>0.0</v>
      </c>
      <c r="T134" s="43">
        <v>100.0</v>
      </c>
      <c r="U134" s="43">
        <v>0.0</v>
      </c>
      <c r="V134" s="43">
        <v>0.0</v>
      </c>
      <c r="W134" s="33">
        <f>COUNTIFS('Data For Calculation - Insuranc'!A:A,A134,'Data For Calculation - Insuranc'!D:D,"Company",'Data For Calculation - Insuranc'!E:E,"Bundled - 1 Year OD + 5 Year TP")</f>
        <v>0</v>
      </c>
      <c r="X134" s="34" t="s">
        <v>3929</v>
      </c>
      <c r="Y134" s="42" t="s">
        <v>3820</v>
      </c>
      <c r="Z134" s="31">
        <v>290.0</v>
      </c>
      <c r="AA134" s="34" t="s">
        <v>3853</v>
      </c>
      <c r="AB134" s="34">
        <v>0.0</v>
      </c>
      <c r="AC134" s="34">
        <v>100.0</v>
      </c>
      <c r="AD134" s="34">
        <v>0.0</v>
      </c>
      <c r="AE134" s="34">
        <v>0.0</v>
      </c>
      <c r="AF134" s="33">
        <f>COUNTIFS('Data For Calculation - Insuranc'!A:A,A134,'Data For Calculation - Insuranc'!D:D,"Individual",'Data For Calculation - Insuranc'!E:E,"Rollover Comprehensive - 1 Year OD + 1 Year TP")</f>
        <v>0</v>
      </c>
      <c r="AG134" s="34" t="s">
        <v>3930</v>
      </c>
      <c r="AH134" s="42" t="s">
        <v>3820</v>
      </c>
      <c r="AI134" s="31">
        <v>290.0</v>
      </c>
      <c r="AJ134" s="34" t="s">
        <v>3853</v>
      </c>
      <c r="AK134" s="34">
        <v>0.0</v>
      </c>
      <c r="AL134" s="34">
        <v>100.0</v>
      </c>
      <c r="AM134" s="34">
        <v>0.0</v>
      </c>
      <c r="AN134" s="34">
        <v>0.0</v>
      </c>
      <c r="AO134" s="33">
        <f>COUNTIFS('Data For Calculation - Insuranc'!A:A,A134,'Data For Calculation - Insuranc'!D:D,"Company",'Data For Calculation - Insuranc'!E:E,"Rollover Comprehensive - 1 Year OD + 1 Year TP")</f>
        <v>0</v>
      </c>
      <c r="AP134" s="34" t="s">
        <v>3931</v>
      </c>
      <c r="AQ134" s="42" t="s">
        <v>3820</v>
      </c>
      <c r="AR134" s="31">
        <v>290.0</v>
      </c>
      <c r="AS134" s="34" t="s">
        <v>3853</v>
      </c>
      <c r="AT134" s="34">
        <v>0.0</v>
      </c>
      <c r="AU134" s="34">
        <v>100.0</v>
      </c>
      <c r="AV134" s="34">
        <v>0.0</v>
      </c>
      <c r="AW134" s="34">
        <v>0.0</v>
      </c>
      <c r="AX134" s="33">
        <f>COUNTIFS('Data For Calculation - Insuranc'!A:A,A134,'Data For Calculation - Insuranc'!D:D,"Individual",'Data For Calculation - Insuranc'!E:E,"Rollover - 1 Year OD Only")</f>
        <v>0</v>
      </c>
      <c r="AY134" s="34" t="s">
        <v>3932</v>
      </c>
      <c r="AZ134" s="42" t="s">
        <v>3820</v>
      </c>
      <c r="BA134" s="31">
        <v>290.0</v>
      </c>
      <c r="BB134" s="34" t="s">
        <v>3853</v>
      </c>
      <c r="BC134" s="34">
        <v>0.0</v>
      </c>
      <c r="BD134" s="34">
        <v>100.0</v>
      </c>
      <c r="BE134" s="34">
        <v>0.0</v>
      </c>
      <c r="BF134" s="34">
        <v>0.0</v>
      </c>
      <c r="BG134" s="33">
        <f>COUNTIFS('Data For Calculation - Insuranc'!A:A,A134,'Data For Calculation - Insuranc'!D:D,"Company",'Data For Calculation - Insuranc'!E:E,"Rollover - 1 Year OD Only")</f>
        <v>0</v>
      </c>
      <c r="BH134" s="34" t="s">
        <v>3931</v>
      </c>
      <c r="BI134" s="42" t="s">
        <v>3820</v>
      </c>
      <c r="BJ134" s="31">
        <v>290.0</v>
      </c>
      <c r="BK134" s="34" t="s">
        <v>3853</v>
      </c>
      <c r="BL134" s="34">
        <v>0.0</v>
      </c>
      <c r="BM134" s="34">
        <v>100.0</v>
      </c>
      <c r="BN134" s="34">
        <v>0.0</v>
      </c>
      <c r="BO134" s="34">
        <v>0.0</v>
      </c>
      <c r="BP134" s="33">
        <f>COUNTIFS('Data For Calculation - Insuranc'!A:A,A134,'Data For Calculation - Insuranc'!D:D,"Individual",'Data For Calculation - Insuranc'!E:E,"Rollover - 1 Year TP Only")</f>
        <v>0</v>
      </c>
      <c r="BQ134" s="34" t="s">
        <v>3932</v>
      </c>
      <c r="BR134" s="42" t="s">
        <v>3820</v>
      </c>
      <c r="BS134" s="31">
        <v>290.0</v>
      </c>
      <c r="BT134" s="34" t="s">
        <v>3853</v>
      </c>
      <c r="BU134" s="34">
        <v>0.0</v>
      </c>
      <c r="BV134" s="34">
        <v>100.0</v>
      </c>
      <c r="BW134" s="34">
        <v>0.0</v>
      </c>
      <c r="BX134" s="34">
        <v>0.0</v>
      </c>
      <c r="BY134" s="33">
        <f>COUNTIFS('Data For Calculation - Insuranc'!A:A,A134,'Data For Calculation - Insuranc'!D:D,"Company",'Data For Calculation - Insuranc'!E:E,"Rollover - 1 Year TP Only")</f>
        <v>0</v>
      </c>
      <c r="BZ134" s="31">
        <f t="shared" si="1"/>
        <v>0</v>
      </c>
      <c r="CA134" s="33">
        <f>SUMIFS('Data For Calculation - Insuranc'!I:I,'Data For Calculation - Insuranc'!$A:$A,$A134)</f>
        <v>0</v>
      </c>
      <c r="CB134" s="33">
        <f>SUMIFS('Data For Calculation - Insuranc'!J:J,'Data For Calculation - Insuranc'!$A:$A,$A134)</f>
        <v>0</v>
      </c>
      <c r="CC134" s="33">
        <f>SUMIFS('Data For Calculation - Insuranc'!K:K,'Data For Calculation - Insuranc'!$A:$A,$A134)</f>
        <v>0</v>
      </c>
      <c r="CD134" s="33">
        <f>IF($CK134 = "Dealer", SUMIFS('Data For Calculation - Insuranc'!I:I,'Data For Calculation - Insuranc'!$B:$B,$A134,'Data For Calculation - Insuranc'!$H:$H,"Master Dealer")) + SUMIFS('Data For Calculation - Insuranc'!I:I,'Data For Calculation - Insuranc'!$A:$A,$A134,'Data For Calculation - Insuranc'!$H:$H,"Self")</f>
        <v>0</v>
      </c>
      <c r="CE134" s="33">
        <f>IF($CK134 = "Dealer", SUMIFS('Data For Calculation - Insuranc'!J:J,'Data For Calculation - Insuranc'!$B:$B,$A134,'Data For Calculation - Insuranc'!$H:$H,"Master Dealer")) + SUMIFS('Data For Calculation - Insuranc'!J:J,'Data For Calculation - Insuranc'!$A:$A,$A134,'Data For Calculation - Insuranc'!$H:$H,"Self")</f>
        <v>0</v>
      </c>
      <c r="CF134" s="33">
        <f>IF($CK134 = "Dealer", SUMIFS('Data For Calculation - Insuranc'!K:K,'Data For Calculation - Insuranc'!$B:$B,$A134,'Data For Calculation - Insuranc'!$H:$H,"Master Dealer")) + SUMIFS('Data For Calculation - Insuranc'!K:K,'Data For Calculation - Insuranc'!$A:$A,$A134,'Data For Calculation - Insuranc'!$H:$H,"Self")</f>
        <v>0</v>
      </c>
      <c r="CG134" s="25" t="str">
        <f>(Sheet1!N134)</f>
        <v>Infinity Auto - Delhi</v>
      </c>
      <c r="CH134" s="25" t="str">
        <f>(Sheet1!O134)</f>
        <v>1R-KBg0YkrorE8DStygYpBSvRKir_GExYWSoR962MR28</v>
      </c>
      <c r="CI134" s="25" t="str">
        <f>(Sheet1!AV134)</f>
        <v/>
      </c>
      <c r="CJ134" s="25" t="str">
        <f>(Sheet1!AW134)</f>
        <v/>
      </c>
      <c r="CK134" s="26" t="str">
        <f>(Sheet1!P134)</f>
        <v>Dealer</v>
      </c>
    </row>
    <row r="135">
      <c r="A135" s="25" t="str">
        <f>(Sheet1!A135)</f>
        <v>1gpkFkt64SOPtUdTLgYHh3ywX3j8A0gBqJpCUqa9mZ2E</v>
      </c>
      <c r="B135" s="25" t="str">
        <f>(Sheet1!B135)</f>
        <v>Shri Ganga Motors(KAB)- DIWAI</v>
      </c>
      <c r="C135" s="30" t="str">
        <f>Sheet1!BB135</f>
        <v>No</v>
      </c>
      <c r="D135" s="30" t="s">
        <v>13</v>
      </c>
      <c r="E135" s="34" t="s">
        <v>13</v>
      </c>
      <c r="F135" s="34" t="s">
        <v>3929</v>
      </c>
      <c r="G135" s="42" t="s">
        <v>3856</v>
      </c>
      <c r="H135" s="47">
        <v>155.0</v>
      </c>
      <c r="I135" s="42" t="s">
        <v>3853</v>
      </c>
      <c r="J135" s="43">
        <v>0.0</v>
      </c>
      <c r="K135" s="43">
        <v>100.0</v>
      </c>
      <c r="L135" s="43">
        <v>0.0</v>
      </c>
      <c r="M135" s="43">
        <v>0.0</v>
      </c>
      <c r="N135" s="33">
        <f>COUNTIFS('Data For Calculation - Insuranc'!A:A,A135,'Data For Calculation - Insuranc'!D:D,"Individual",'Data For Calculation - Insuranc'!E:E,"Bundled - 1 Year OD + 5 Year TP")</f>
        <v>0</v>
      </c>
      <c r="O135" s="34" t="s">
        <v>3930</v>
      </c>
      <c r="P135" s="42" t="s">
        <v>3856</v>
      </c>
      <c r="Q135" s="47">
        <v>155.0</v>
      </c>
      <c r="R135" s="42" t="s">
        <v>3853</v>
      </c>
      <c r="S135" s="43">
        <v>0.0</v>
      </c>
      <c r="T135" s="43">
        <v>100.0</v>
      </c>
      <c r="U135" s="43">
        <v>0.0</v>
      </c>
      <c r="V135" s="43">
        <v>0.0</v>
      </c>
      <c r="W135" s="33">
        <f>COUNTIFS('Data For Calculation - Insuranc'!A:A,A135,'Data For Calculation - Insuranc'!D:D,"Company",'Data For Calculation - Insuranc'!E:E,"Bundled - 1 Year OD + 5 Year TP")</f>
        <v>0</v>
      </c>
      <c r="X135" s="34" t="s">
        <v>3929</v>
      </c>
      <c r="Y135" s="42" t="s">
        <v>3856</v>
      </c>
      <c r="Z135" s="31">
        <v>155.0</v>
      </c>
      <c r="AA135" s="34" t="s">
        <v>3853</v>
      </c>
      <c r="AB135" s="34">
        <v>0.0</v>
      </c>
      <c r="AC135" s="34">
        <v>100.0</v>
      </c>
      <c r="AD135" s="34">
        <v>0.0</v>
      </c>
      <c r="AE135" s="34">
        <v>0.0</v>
      </c>
      <c r="AF135" s="33">
        <f>COUNTIFS('Data For Calculation - Insuranc'!A:A,A135,'Data For Calculation - Insuranc'!D:D,"Individual",'Data For Calculation - Insuranc'!E:E,"Rollover Comprehensive - 1 Year OD + 1 Year TP")</f>
        <v>0</v>
      </c>
      <c r="AG135" s="34" t="s">
        <v>3930</v>
      </c>
      <c r="AH135" s="42" t="s">
        <v>3856</v>
      </c>
      <c r="AI135" s="31">
        <v>155.0</v>
      </c>
      <c r="AJ135" s="34" t="s">
        <v>3853</v>
      </c>
      <c r="AK135" s="34">
        <v>0.0</v>
      </c>
      <c r="AL135" s="34">
        <v>100.0</v>
      </c>
      <c r="AM135" s="34">
        <v>0.0</v>
      </c>
      <c r="AN135" s="34">
        <v>0.0</v>
      </c>
      <c r="AO135" s="33">
        <f>COUNTIFS('Data For Calculation - Insuranc'!A:A,A135,'Data For Calculation - Insuranc'!D:D,"Company",'Data For Calculation - Insuranc'!E:E,"Rollover Comprehensive - 1 Year OD + 1 Year TP")</f>
        <v>0</v>
      </c>
      <c r="AP135" s="34" t="s">
        <v>3931</v>
      </c>
      <c r="AQ135" s="42" t="s">
        <v>3856</v>
      </c>
      <c r="AR135" s="31">
        <v>155.0</v>
      </c>
      <c r="AS135" s="34" t="s">
        <v>3853</v>
      </c>
      <c r="AT135" s="34">
        <v>0.0</v>
      </c>
      <c r="AU135" s="34">
        <v>100.0</v>
      </c>
      <c r="AV135" s="34">
        <v>0.0</v>
      </c>
      <c r="AW135" s="34">
        <v>0.0</v>
      </c>
      <c r="AX135" s="33">
        <f>COUNTIFS('Data For Calculation - Insuranc'!A:A,A135,'Data For Calculation - Insuranc'!D:D,"Individual",'Data For Calculation - Insuranc'!E:E,"Rollover - 1 Year OD Only")</f>
        <v>0</v>
      </c>
      <c r="AY135" s="34" t="s">
        <v>3932</v>
      </c>
      <c r="AZ135" s="42" t="s">
        <v>3856</v>
      </c>
      <c r="BA135" s="31">
        <v>155.0</v>
      </c>
      <c r="BB135" s="34" t="s">
        <v>3853</v>
      </c>
      <c r="BC135" s="34">
        <v>0.0</v>
      </c>
      <c r="BD135" s="34">
        <v>100.0</v>
      </c>
      <c r="BE135" s="34">
        <v>0.0</v>
      </c>
      <c r="BF135" s="34">
        <v>0.0</v>
      </c>
      <c r="BG135" s="33">
        <f>COUNTIFS('Data For Calculation - Insuranc'!A:A,A135,'Data For Calculation - Insuranc'!D:D,"Company",'Data For Calculation - Insuranc'!E:E,"Rollover - 1 Year OD Only")</f>
        <v>0</v>
      </c>
      <c r="BH135" s="34" t="s">
        <v>3931</v>
      </c>
      <c r="BI135" s="42" t="s">
        <v>3856</v>
      </c>
      <c r="BJ135" s="31">
        <v>155.0</v>
      </c>
      <c r="BK135" s="34" t="s">
        <v>3853</v>
      </c>
      <c r="BL135" s="34">
        <v>0.0</v>
      </c>
      <c r="BM135" s="34">
        <v>100.0</v>
      </c>
      <c r="BN135" s="34">
        <v>0.0</v>
      </c>
      <c r="BO135" s="34">
        <v>0.0</v>
      </c>
      <c r="BP135" s="33">
        <f>COUNTIFS('Data For Calculation - Insuranc'!A:A,A135,'Data For Calculation - Insuranc'!D:D,"Individual",'Data For Calculation - Insuranc'!E:E,"Rollover - 1 Year TP Only")</f>
        <v>0</v>
      </c>
      <c r="BQ135" s="34" t="s">
        <v>3932</v>
      </c>
      <c r="BR135" s="42" t="s">
        <v>3856</v>
      </c>
      <c r="BS135" s="31">
        <v>155.0</v>
      </c>
      <c r="BT135" s="34" t="s">
        <v>3853</v>
      </c>
      <c r="BU135" s="34">
        <v>0.0</v>
      </c>
      <c r="BV135" s="34">
        <v>100.0</v>
      </c>
      <c r="BW135" s="34">
        <v>0.0</v>
      </c>
      <c r="BX135" s="34">
        <v>0.0</v>
      </c>
      <c r="BY135" s="33">
        <f>COUNTIFS('Data For Calculation - Insuranc'!A:A,A135,'Data For Calculation - Insuranc'!D:D,"Company",'Data For Calculation - Insuranc'!E:E,"Rollover - 1 Year TP Only")</f>
        <v>0</v>
      </c>
      <c r="BZ135" s="31">
        <f t="shared" si="1"/>
        <v>0</v>
      </c>
      <c r="CA135" s="33">
        <f>SUMIFS('Data For Calculation - Insuranc'!I:I,'Data For Calculation - Insuranc'!$A:$A,$A135)</f>
        <v>0</v>
      </c>
      <c r="CB135" s="33">
        <f>SUMIFS('Data For Calculation - Insuranc'!J:J,'Data For Calculation - Insuranc'!$A:$A,$A135)</f>
        <v>0</v>
      </c>
      <c r="CC135" s="33">
        <f>SUMIFS('Data For Calculation - Insuranc'!K:K,'Data For Calculation - Insuranc'!$A:$A,$A135)</f>
        <v>0</v>
      </c>
      <c r="CD135" s="33">
        <f>IF($CK135 = "Dealer", SUMIFS('Data For Calculation - Insuranc'!I:I,'Data For Calculation - Insuranc'!$B:$B,$A135,'Data For Calculation - Insuranc'!$H:$H,"Master Dealer")) + SUMIFS('Data For Calculation - Insuranc'!I:I,'Data For Calculation - Insuranc'!$A:$A,$A135,'Data For Calculation - Insuranc'!$H:$H,"Self")</f>
        <v>0</v>
      </c>
      <c r="CE135" s="33">
        <f>IF($CK135 = "Dealer", SUMIFS('Data For Calculation - Insuranc'!J:J,'Data For Calculation - Insuranc'!$B:$B,$A135,'Data For Calculation - Insuranc'!$H:$H,"Master Dealer")) + SUMIFS('Data For Calculation - Insuranc'!J:J,'Data For Calculation - Insuranc'!$A:$A,$A135,'Data For Calculation - Insuranc'!$H:$H,"Self")</f>
        <v>0</v>
      </c>
      <c r="CF135" s="33">
        <f>IF($CK135 = "Dealer", SUMIFS('Data For Calculation - Insuranc'!K:K,'Data For Calculation - Insuranc'!$B:$B,$A135,'Data For Calculation - Insuranc'!$H:$H,"Master Dealer")) + SUMIFS('Data For Calculation - Insuranc'!K:K,'Data For Calculation - Insuranc'!$A:$A,$A135,'Data For Calculation - Insuranc'!$H:$H,"Self")</f>
        <v>0</v>
      </c>
      <c r="CG135" s="25" t="str">
        <f>(Sheet1!N135)</f>
        <v>Krishna Hero - Bulandshahr</v>
      </c>
      <c r="CH135" s="25" t="str">
        <f>(Sheet1!O135)</f>
        <v>1mX_ZCiMgVCd3AONQ2zBbbc9wQ6Mlj2RvmkSWdpWht-8</v>
      </c>
      <c r="CI135" s="25" t="str">
        <f>(Sheet1!AV135)</f>
        <v/>
      </c>
      <c r="CJ135" s="25" t="str">
        <f>(Sheet1!AW135)</f>
        <v/>
      </c>
      <c r="CK135" s="26" t="str">
        <f>(Sheet1!P135)</f>
        <v>Sub Dealer</v>
      </c>
    </row>
    <row r="136">
      <c r="A136" s="25" t="str">
        <f>(Sheet1!A136)</f>
        <v>10TVZfWpwLQGjQeNEgYtxUDB0Ff-TAcnqGp35yEFO690</v>
      </c>
      <c r="B136" s="25" t="str">
        <f>(Sheet1!B136)</f>
        <v>Raja Motors (KAB) - Anupshahr</v>
      </c>
      <c r="C136" s="30" t="str">
        <f>Sheet1!BB136</f>
        <v>No</v>
      </c>
      <c r="D136" s="30" t="s">
        <v>13</v>
      </c>
      <c r="E136" s="34" t="s">
        <v>13</v>
      </c>
      <c r="F136" s="34" t="s">
        <v>3929</v>
      </c>
      <c r="G136" s="42" t="s">
        <v>3856</v>
      </c>
      <c r="H136" s="47">
        <v>155.0</v>
      </c>
      <c r="I136" s="42" t="s">
        <v>3853</v>
      </c>
      <c r="J136" s="43">
        <v>0.0</v>
      </c>
      <c r="K136" s="43">
        <v>100.0</v>
      </c>
      <c r="L136" s="43">
        <v>0.0</v>
      </c>
      <c r="M136" s="43">
        <v>0.0</v>
      </c>
      <c r="N136" s="33">
        <f>COUNTIFS('Data For Calculation - Insuranc'!A:A,A136,'Data For Calculation - Insuranc'!D:D,"Individual",'Data For Calculation - Insuranc'!E:E,"Bundled - 1 Year OD + 5 Year TP")</f>
        <v>0</v>
      </c>
      <c r="O136" s="34" t="s">
        <v>3930</v>
      </c>
      <c r="P136" s="42" t="s">
        <v>3856</v>
      </c>
      <c r="Q136" s="47">
        <v>155.0</v>
      </c>
      <c r="R136" s="42" t="s">
        <v>3853</v>
      </c>
      <c r="S136" s="43">
        <v>0.0</v>
      </c>
      <c r="T136" s="43">
        <v>100.0</v>
      </c>
      <c r="U136" s="43">
        <v>0.0</v>
      </c>
      <c r="V136" s="43">
        <v>0.0</v>
      </c>
      <c r="W136" s="33">
        <f>COUNTIFS('Data For Calculation - Insuranc'!A:A,A136,'Data For Calculation - Insuranc'!D:D,"Company",'Data For Calculation - Insuranc'!E:E,"Bundled - 1 Year OD + 5 Year TP")</f>
        <v>0</v>
      </c>
      <c r="X136" s="34" t="s">
        <v>3929</v>
      </c>
      <c r="Y136" s="42" t="s">
        <v>3856</v>
      </c>
      <c r="Z136" s="31">
        <v>155.0</v>
      </c>
      <c r="AA136" s="34" t="s">
        <v>3853</v>
      </c>
      <c r="AB136" s="34">
        <v>0.0</v>
      </c>
      <c r="AC136" s="34">
        <v>100.0</v>
      </c>
      <c r="AD136" s="34">
        <v>0.0</v>
      </c>
      <c r="AE136" s="34">
        <v>0.0</v>
      </c>
      <c r="AF136" s="33">
        <f>COUNTIFS('Data For Calculation - Insuranc'!A:A,A136,'Data For Calculation - Insuranc'!D:D,"Individual",'Data For Calculation - Insuranc'!E:E,"Rollover Comprehensive - 1 Year OD + 1 Year TP")</f>
        <v>0</v>
      </c>
      <c r="AG136" s="34" t="s">
        <v>3930</v>
      </c>
      <c r="AH136" s="42" t="s">
        <v>3856</v>
      </c>
      <c r="AI136" s="31">
        <v>155.0</v>
      </c>
      <c r="AJ136" s="34" t="s">
        <v>3853</v>
      </c>
      <c r="AK136" s="34">
        <v>0.0</v>
      </c>
      <c r="AL136" s="34">
        <v>100.0</v>
      </c>
      <c r="AM136" s="34">
        <v>0.0</v>
      </c>
      <c r="AN136" s="34">
        <v>0.0</v>
      </c>
      <c r="AO136" s="33">
        <f>COUNTIFS('Data For Calculation - Insuranc'!A:A,A136,'Data For Calculation - Insuranc'!D:D,"Company",'Data For Calculation - Insuranc'!E:E,"Rollover Comprehensive - 1 Year OD + 1 Year TP")</f>
        <v>0</v>
      </c>
      <c r="AP136" s="34" t="s">
        <v>3931</v>
      </c>
      <c r="AQ136" s="42" t="s">
        <v>3856</v>
      </c>
      <c r="AR136" s="31">
        <v>155.0</v>
      </c>
      <c r="AS136" s="34" t="s">
        <v>3853</v>
      </c>
      <c r="AT136" s="34">
        <v>0.0</v>
      </c>
      <c r="AU136" s="34">
        <v>100.0</v>
      </c>
      <c r="AV136" s="34">
        <v>0.0</v>
      </c>
      <c r="AW136" s="34">
        <v>0.0</v>
      </c>
      <c r="AX136" s="33">
        <f>COUNTIFS('Data For Calculation - Insuranc'!A:A,A136,'Data For Calculation - Insuranc'!D:D,"Individual",'Data For Calculation - Insuranc'!E:E,"Rollover - 1 Year OD Only")</f>
        <v>0</v>
      </c>
      <c r="AY136" s="34" t="s">
        <v>3932</v>
      </c>
      <c r="AZ136" s="42" t="s">
        <v>3856</v>
      </c>
      <c r="BA136" s="31">
        <v>155.0</v>
      </c>
      <c r="BB136" s="34" t="s">
        <v>3853</v>
      </c>
      <c r="BC136" s="34">
        <v>0.0</v>
      </c>
      <c r="BD136" s="34">
        <v>100.0</v>
      </c>
      <c r="BE136" s="34">
        <v>0.0</v>
      </c>
      <c r="BF136" s="34">
        <v>0.0</v>
      </c>
      <c r="BG136" s="33">
        <f>COUNTIFS('Data For Calculation - Insuranc'!A:A,A136,'Data For Calculation - Insuranc'!D:D,"Company",'Data For Calculation - Insuranc'!E:E,"Rollover - 1 Year OD Only")</f>
        <v>0</v>
      </c>
      <c r="BH136" s="34" t="s">
        <v>3931</v>
      </c>
      <c r="BI136" s="42" t="s">
        <v>3856</v>
      </c>
      <c r="BJ136" s="31">
        <v>155.0</v>
      </c>
      <c r="BK136" s="34" t="s">
        <v>3853</v>
      </c>
      <c r="BL136" s="34">
        <v>0.0</v>
      </c>
      <c r="BM136" s="34">
        <v>100.0</v>
      </c>
      <c r="BN136" s="34">
        <v>0.0</v>
      </c>
      <c r="BO136" s="34">
        <v>0.0</v>
      </c>
      <c r="BP136" s="33">
        <f>COUNTIFS('Data For Calculation - Insuranc'!A:A,A136,'Data For Calculation - Insuranc'!D:D,"Individual",'Data For Calculation - Insuranc'!E:E,"Rollover - 1 Year TP Only")</f>
        <v>0</v>
      </c>
      <c r="BQ136" s="34" t="s">
        <v>3932</v>
      </c>
      <c r="BR136" s="42" t="s">
        <v>3856</v>
      </c>
      <c r="BS136" s="31">
        <v>155.0</v>
      </c>
      <c r="BT136" s="34" t="s">
        <v>3853</v>
      </c>
      <c r="BU136" s="34">
        <v>0.0</v>
      </c>
      <c r="BV136" s="34">
        <v>100.0</v>
      </c>
      <c r="BW136" s="34">
        <v>0.0</v>
      </c>
      <c r="BX136" s="34">
        <v>0.0</v>
      </c>
      <c r="BY136" s="33">
        <f>COUNTIFS('Data For Calculation - Insuranc'!A:A,A136,'Data For Calculation - Insuranc'!D:D,"Company",'Data For Calculation - Insuranc'!E:E,"Rollover - 1 Year TP Only")</f>
        <v>0</v>
      </c>
      <c r="BZ136" s="31">
        <f t="shared" si="1"/>
        <v>0</v>
      </c>
      <c r="CA136" s="33">
        <f>SUMIFS('Data For Calculation - Insuranc'!I:I,'Data For Calculation - Insuranc'!$A:$A,$A136)</f>
        <v>0</v>
      </c>
      <c r="CB136" s="33">
        <f>SUMIFS('Data For Calculation - Insuranc'!J:J,'Data For Calculation - Insuranc'!$A:$A,$A136)</f>
        <v>0</v>
      </c>
      <c r="CC136" s="33">
        <f>SUMIFS('Data For Calculation - Insuranc'!K:K,'Data For Calculation - Insuranc'!$A:$A,$A136)</f>
        <v>0</v>
      </c>
      <c r="CD136" s="33">
        <f>IF($CK136 = "Dealer", SUMIFS('Data For Calculation - Insuranc'!I:I,'Data For Calculation - Insuranc'!$B:$B,$A136,'Data For Calculation - Insuranc'!$H:$H,"Master Dealer")) + SUMIFS('Data For Calculation - Insuranc'!I:I,'Data For Calculation - Insuranc'!$A:$A,$A136,'Data For Calculation - Insuranc'!$H:$H,"Self")</f>
        <v>0</v>
      </c>
      <c r="CE136" s="33">
        <f>IF($CK136 = "Dealer", SUMIFS('Data For Calculation - Insuranc'!J:J,'Data For Calculation - Insuranc'!$B:$B,$A136,'Data For Calculation - Insuranc'!$H:$H,"Master Dealer")) + SUMIFS('Data For Calculation - Insuranc'!J:J,'Data For Calculation - Insuranc'!$A:$A,$A136,'Data For Calculation - Insuranc'!$H:$H,"Self")</f>
        <v>0</v>
      </c>
      <c r="CF136" s="33">
        <f>IF($CK136 = "Dealer", SUMIFS('Data For Calculation - Insuranc'!K:K,'Data For Calculation - Insuranc'!$B:$B,$A136,'Data For Calculation - Insuranc'!$H:$H,"Master Dealer")) + SUMIFS('Data For Calculation - Insuranc'!K:K,'Data For Calculation - Insuranc'!$A:$A,$A136,'Data For Calculation - Insuranc'!$H:$H,"Self")</f>
        <v>0</v>
      </c>
      <c r="CG136" s="25" t="str">
        <f>(Sheet1!N136)</f>
        <v>Krishna Hero - Bulandshahr</v>
      </c>
      <c r="CH136" s="25" t="str">
        <f>(Sheet1!O136)</f>
        <v>1mX_ZCiMgVCd3AONQ2zBbbc9wQ6Mlj2RvmkSWdpWht-8</v>
      </c>
      <c r="CI136" s="25" t="str">
        <f>(Sheet1!AV136)</f>
        <v/>
      </c>
      <c r="CJ136" s="25" t="str">
        <f>(Sheet1!AW136)</f>
        <v/>
      </c>
      <c r="CK136" s="26" t="str">
        <f>(Sheet1!P136)</f>
        <v>Sub Dealer</v>
      </c>
    </row>
    <row r="137">
      <c r="A137" s="25" t="str">
        <f>(Sheet1!A137)</f>
        <v>1_XLcWBp4ERHFxiaI3kI_QYeTmiuf6jLnvzg57PKGdV4</v>
      </c>
      <c r="B137" s="25" t="str">
        <f>(Sheet1!B137)</f>
        <v>Pandit Automobiles (KAB) - Amargarh</v>
      </c>
      <c r="C137" s="30" t="str">
        <f>Sheet1!BB137</f>
        <v>No</v>
      </c>
      <c r="D137" s="30" t="s">
        <v>13</v>
      </c>
      <c r="E137" s="34" t="s">
        <v>13</v>
      </c>
      <c r="F137" s="34" t="s">
        <v>3929</v>
      </c>
      <c r="G137" s="42" t="s">
        <v>3856</v>
      </c>
      <c r="H137" s="47">
        <v>155.0</v>
      </c>
      <c r="I137" s="42" t="s">
        <v>3853</v>
      </c>
      <c r="J137" s="43">
        <v>0.0</v>
      </c>
      <c r="K137" s="43">
        <v>100.0</v>
      </c>
      <c r="L137" s="43">
        <v>0.0</v>
      </c>
      <c r="M137" s="43">
        <v>0.0</v>
      </c>
      <c r="N137" s="33">
        <f>COUNTIFS('Data For Calculation - Insuranc'!A:A,A137,'Data For Calculation - Insuranc'!D:D,"Individual",'Data For Calculation - Insuranc'!E:E,"Bundled - 1 Year OD + 5 Year TP")</f>
        <v>0</v>
      </c>
      <c r="O137" s="34" t="s">
        <v>3930</v>
      </c>
      <c r="P137" s="42" t="s">
        <v>3856</v>
      </c>
      <c r="Q137" s="47">
        <v>155.0</v>
      </c>
      <c r="R137" s="42" t="s">
        <v>3853</v>
      </c>
      <c r="S137" s="43">
        <v>0.0</v>
      </c>
      <c r="T137" s="43">
        <v>100.0</v>
      </c>
      <c r="U137" s="43">
        <v>0.0</v>
      </c>
      <c r="V137" s="43">
        <v>0.0</v>
      </c>
      <c r="W137" s="33">
        <f>COUNTIFS('Data For Calculation - Insuranc'!A:A,A137,'Data For Calculation - Insuranc'!D:D,"Company",'Data For Calculation - Insuranc'!E:E,"Bundled - 1 Year OD + 5 Year TP")</f>
        <v>0</v>
      </c>
      <c r="X137" s="34" t="s">
        <v>3929</v>
      </c>
      <c r="Y137" s="42" t="s">
        <v>3856</v>
      </c>
      <c r="Z137" s="31">
        <v>155.0</v>
      </c>
      <c r="AA137" s="34" t="s">
        <v>3853</v>
      </c>
      <c r="AB137" s="34">
        <v>0.0</v>
      </c>
      <c r="AC137" s="34">
        <v>100.0</v>
      </c>
      <c r="AD137" s="34">
        <v>0.0</v>
      </c>
      <c r="AE137" s="34">
        <v>0.0</v>
      </c>
      <c r="AF137" s="33">
        <f>COUNTIFS('Data For Calculation - Insuranc'!A:A,A137,'Data For Calculation - Insuranc'!D:D,"Individual",'Data For Calculation - Insuranc'!E:E,"Rollover Comprehensive - 1 Year OD + 1 Year TP")</f>
        <v>0</v>
      </c>
      <c r="AG137" s="34" t="s">
        <v>3930</v>
      </c>
      <c r="AH137" s="42" t="s">
        <v>3856</v>
      </c>
      <c r="AI137" s="31">
        <v>155.0</v>
      </c>
      <c r="AJ137" s="34" t="s">
        <v>3853</v>
      </c>
      <c r="AK137" s="34">
        <v>0.0</v>
      </c>
      <c r="AL137" s="34">
        <v>100.0</v>
      </c>
      <c r="AM137" s="34">
        <v>0.0</v>
      </c>
      <c r="AN137" s="34">
        <v>0.0</v>
      </c>
      <c r="AO137" s="33">
        <f>COUNTIFS('Data For Calculation - Insuranc'!A:A,A137,'Data For Calculation - Insuranc'!D:D,"Company",'Data For Calculation - Insuranc'!E:E,"Rollover Comprehensive - 1 Year OD + 1 Year TP")</f>
        <v>0</v>
      </c>
      <c r="AP137" s="34" t="s">
        <v>3931</v>
      </c>
      <c r="AQ137" s="42" t="s">
        <v>3856</v>
      </c>
      <c r="AR137" s="31">
        <v>155.0</v>
      </c>
      <c r="AS137" s="34" t="s">
        <v>3853</v>
      </c>
      <c r="AT137" s="34">
        <v>0.0</v>
      </c>
      <c r="AU137" s="34">
        <v>100.0</v>
      </c>
      <c r="AV137" s="34">
        <v>0.0</v>
      </c>
      <c r="AW137" s="34">
        <v>0.0</v>
      </c>
      <c r="AX137" s="33">
        <f>COUNTIFS('Data For Calculation - Insuranc'!A:A,A137,'Data For Calculation - Insuranc'!D:D,"Individual",'Data For Calculation - Insuranc'!E:E,"Rollover - 1 Year OD Only")</f>
        <v>0</v>
      </c>
      <c r="AY137" s="34" t="s">
        <v>3932</v>
      </c>
      <c r="AZ137" s="42" t="s">
        <v>3856</v>
      </c>
      <c r="BA137" s="31">
        <v>155.0</v>
      </c>
      <c r="BB137" s="34" t="s">
        <v>3853</v>
      </c>
      <c r="BC137" s="34">
        <v>0.0</v>
      </c>
      <c r="BD137" s="34">
        <v>100.0</v>
      </c>
      <c r="BE137" s="34">
        <v>0.0</v>
      </c>
      <c r="BF137" s="34">
        <v>0.0</v>
      </c>
      <c r="BG137" s="33">
        <f>COUNTIFS('Data For Calculation - Insuranc'!A:A,A137,'Data For Calculation - Insuranc'!D:D,"Company",'Data For Calculation - Insuranc'!E:E,"Rollover - 1 Year OD Only")</f>
        <v>0</v>
      </c>
      <c r="BH137" s="34" t="s">
        <v>3931</v>
      </c>
      <c r="BI137" s="42" t="s">
        <v>3856</v>
      </c>
      <c r="BJ137" s="31">
        <v>155.0</v>
      </c>
      <c r="BK137" s="34" t="s">
        <v>3853</v>
      </c>
      <c r="BL137" s="34">
        <v>0.0</v>
      </c>
      <c r="BM137" s="34">
        <v>100.0</v>
      </c>
      <c r="BN137" s="34">
        <v>0.0</v>
      </c>
      <c r="BO137" s="34">
        <v>0.0</v>
      </c>
      <c r="BP137" s="33">
        <f>COUNTIFS('Data For Calculation - Insuranc'!A:A,A137,'Data For Calculation - Insuranc'!D:D,"Individual",'Data For Calculation - Insuranc'!E:E,"Rollover - 1 Year TP Only")</f>
        <v>0</v>
      </c>
      <c r="BQ137" s="34" t="s">
        <v>3932</v>
      </c>
      <c r="BR137" s="42" t="s">
        <v>3856</v>
      </c>
      <c r="BS137" s="31">
        <v>155.0</v>
      </c>
      <c r="BT137" s="34" t="s">
        <v>3853</v>
      </c>
      <c r="BU137" s="34">
        <v>0.0</v>
      </c>
      <c r="BV137" s="34">
        <v>100.0</v>
      </c>
      <c r="BW137" s="34">
        <v>0.0</v>
      </c>
      <c r="BX137" s="34">
        <v>0.0</v>
      </c>
      <c r="BY137" s="33">
        <f>COUNTIFS('Data For Calculation - Insuranc'!A:A,A137,'Data For Calculation - Insuranc'!D:D,"Company",'Data For Calculation - Insuranc'!E:E,"Rollover - 1 Year TP Only")</f>
        <v>0</v>
      </c>
      <c r="BZ137" s="31">
        <f t="shared" si="1"/>
        <v>0</v>
      </c>
      <c r="CA137" s="33">
        <f>SUMIFS('Data For Calculation - Insuranc'!I:I,'Data For Calculation - Insuranc'!$A:$A,$A137)</f>
        <v>0</v>
      </c>
      <c r="CB137" s="33">
        <f>SUMIFS('Data For Calculation - Insuranc'!J:J,'Data For Calculation - Insuranc'!$A:$A,$A137)</f>
        <v>0</v>
      </c>
      <c r="CC137" s="33">
        <f>SUMIFS('Data For Calculation - Insuranc'!K:K,'Data For Calculation - Insuranc'!$A:$A,$A137)</f>
        <v>0</v>
      </c>
      <c r="CD137" s="33">
        <f>IF($CK137 = "Dealer", SUMIFS('Data For Calculation - Insuranc'!I:I,'Data For Calculation - Insuranc'!$B:$B,$A137,'Data For Calculation - Insuranc'!$H:$H,"Master Dealer")) + SUMIFS('Data For Calculation - Insuranc'!I:I,'Data For Calculation - Insuranc'!$A:$A,$A137,'Data For Calculation - Insuranc'!$H:$H,"Self")</f>
        <v>0</v>
      </c>
      <c r="CE137" s="33">
        <f>IF($CK137 = "Dealer", SUMIFS('Data For Calculation - Insuranc'!J:J,'Data For Calculation - Insuranc'!$B:$B,$A137,'Data For Calculation - Insuranc'!$H:$H,"Master Dealer")) + SUMIFS('Data For Calculation - Insuranc'!J:J,'Data For Calculation - Insuranc'!$A:$A,$A137,'Data For Calculation - Insuranc'!$H:$H,"Self")</f>
        <v>0</v>
      </c>
      <c r="CF137" s="33">
        <f>IF($CK137 = "Dealer", SUMIFS('Data For Calculation - Insuranc'!K:K,'Data For Calculation - Insuranc'!$B:$B,$A137,'Data For Calculation - Insuranc'!$H:$H,"Master Dealer")) + SUMIFS('Data For Calculation - Insuranc'!K:K,'Data For Calculation - Insuranc'!$A:$A,$A137,'Data For Calculation - Insuranc'!$H:$H,"Self")</f>
        <v>0</v>
      </c>
      <c r="CG137" s="25" t="str">
        <f>(Sheet1!N137)</f>
        <v>Krishna Hero - Bulandshahr</v>
      </c>
      <c r="CH137" s="25" t="str">
        <f>(Sheet1!O137)</f>
        <v>1mX_ZCiMgVCd3AONQ2zBbbc9wQ6Mlj2RvmkSWdpWht-8</v>
      </c>
      <c r="CI137" s="25" t="str">
        <f>(Sheet1!AV137)</f>
        <v/>
      </c>
      <c r="CJ137" s="25" t="str">
        <f>(Sheet1!AW137)</f>
        <v/>
      </c>
      <c r="CK137" s="26" t="str">
        <f>(Sheet1!P137)</f>
        <v>Sub Dealer</v>
      </c>
    </row>
    <row r="138">
      <c r="A138" s="25" t="str">
        <f>(Sheet1!A138)</f>
        <v>1Kqyxw-0LSboMEeSuqYrhFgisXxilEf1M2rD8r466Po0</v>
      </c>
      <c r="B138" s="25" t="str">
        <f>(Sheet1!B138)</f>
        <v>Adesh Automobiles (KAB) - Narora</v>
      </c>
      <c r="C138" s="30" t="str">
        <f>Sheet1!BB138</f>
        <v>No</v>
      </c>
      <c r="D138" s="30" t="s">
        <v>13</v>
      </c>
      <c r="E138" s="34" t="s">
        <v>13</v>
      </c>
      <c r="F138" s="34" t="s">
        <v>3929</v>
      </c>
      <c r="G138" s="42" t="s">
        <v>3856</v>
      </c>
      <c r="H138" s="47">
        <v>155.0</v>
      </c>
      <c r="I138" s="42" t="s">
        <v>3853</v>
      </c>
      <c r="J138" s="43">
        <v>0.0</v>
      </c>
      <c r="K138" s="43">
        <v>100.0</v>
      </c>
      <c r="L138" s="43">
        <v>0.0</v>
      </c>
      <c r="M138" s="43">
        <v>0.0</v>
      </c>
      <c r="N138" s="33">
        <f>COUNTIFS('Data For Calculation - Insuranc'!A:A,A138,'Data For Calculation - Insuranc'!D:D,"Individual",'Data For Calculation - Insuranc'!E:E,"Bundled - 1 Year OD + 5 Year TP")</f>
        <v>0</v>
      </c>
      <c r="O138" s="34" t="s">
        <v>3930</v>
      </c>
      <c r="P138" s="42" t="s">
        <v>3856</v>
      </c>
      <c r="Q138" s="47">
        <v>155.0</v>
      </c>
      <c r="R138" s="42" t="s">
        <v>3853</v>
      </c>
      <c r="S138" s="43">
        <v>0.0</v>
      </c>
      <c r="T138" s="43">
        <v>100.0</v>
      </c>
      <c r="U138" s="43">
        <v>0.0</v>
      </c>
      <c r="V138" s="43">
        <v>0.0</v>
      </c>
      <c r="W138" s="33">
        <f>COUNTIFS('Data For Calculation - Insuranc'!A:A,A138,'Data For Calculation - Insuranc'!D:D,"Company",'Data For Calculation - Insuranc'!E:E,"Bundled - 1 Year OD + 5 Year TP")</f>
        <v>0</v>
      </c>
      <c r="X138" s="34" t="s">
        <v>3929</v>
      </c>
      <c r="Y138" s="42" t="s">
        <v>3856</v>
      </c>
      <c r="Z138" s="31">
        <v>155.0</v>
      </c>
      <c r="AA138" s="34" t="s">
        <v>3853</v>
      </c>
      <c r="AB138" s="34">
        <v>0.0</v>
      </c>
      <c r="AC138" s="34">
        <v>100.0</v>
      </c>
      <c r="AD138" s="34">
        <v>0.0</v>
      </c>
      <c r="AE138" s="34">
        <v>0.0</v>
      </c>
      <c r="AF138" s="33">
        <f>COUNTIFS('Data For Calculation - Insuranc'!A:A,A138,'Data For Calculation - Insuranc'!D:D,"Individual",'Data For Calculation - Insuranc'!E:E,"Rollover Comprehensive - 1 Year OD + 1 Year TP")</f>
        <v>0</v>
      </c>
      <c r="AG138" s="34" t="s">
        <v>3930</v>
      </c>
      <c r="AH138" s="42" t="s">
        <v>3856</v>
      </c>
      <c r="AI138" s="31">
        <v>155.0</v>
      </c>
      <c r="AJ138" s="34" t="s">
        <v>3853</v>
      </c>
      <c r="AK138" s="34">
        <v>0.0</v>
      </c>
      <c r="AL138" s="34">
        <v>100.0</v>
      </c>
      <c r="AM138" s="34">
        <v>0.0</v>
      </c>
      <c r="AN138" s="34">
        <v>0.0</v>
      </c>
      <c r="AO138" s="33">
        <f>COUNTIFS('Data For Calculation - Insuranc'!A:A,A138,'Data For Calculation - Insuranc'!D:D,"Company",'Data For Calculation - Insuranc'!E:E,"Rollover Comprehensive - 1 Year OD + 1 Year TP")</f>
        <v>0</v>
      </c>
      <c r="AP138" s="34" t="s">
        <v>3931</v>
      </c>
      <c r="AQ138" s="42" t="s">
        <v>3856</v>
      </c>
      <c r="AR138" s="31">
        <v>155.0</v>
      </c>
      <c r="AS138" s="34" t="s">
        <v>3853</v>
      </c>
      <c r="AT138" s="34">
        <v>0.0</v>
      </c>
      <c r="AU138" s="34">
        <v>100.0</v>
      </c>
      <c r="AV138" s="34">
        <v>0.0</v>
      </c>
      <c r="AW138" s="34">
        <v>0.0</v>
      </c>
      <c r="AX138" s="33">
        <f>COUNTIFS('Data For Calculation - Insuranc'!A:A,A138,'Data For Calculation - Insuranc'!D:D,"Individual",'Data For Calculation - Insuranc'!E:E,"Rollover - 1 Year OD Only")</f>
        <v>0</v>
      </c>
      <c r="AY138" s="34" t="s">
        <v>3932</v>
      </c>
      <c r="AZ138" s="42" t="s">
        <v>3856</v>
      </c>
      <c r="BA138" s="31">
        <v>155.0</v>
      </c>
      <c r="BB138" s="34" t="s">
        <v>3853</v>
      </c>
      <c r="BC138" s="34">
        <v>0.0</v>
      </c>
      <c r="BD138" s="34">
        <v>100.0</v>
      </c>
      <c r="BE138" s="34">
        <v>0.0</v>
      </c>
      <c r="BF138" s="34">
        <v>0.0</v>
      </c>
      <c r="BG138" s="33">
        <f>COUNTIFS('Data For Calculation - Insuranc'!A:A,A138,'Data For Calculation - Insuranc'!D:D,"Company",'Data For Calculation - Insuranc'!E:E,"Rollover - 1 Year OD Only")</f>
        <v>0</v>
      </c>
      <c r="BH138" s="34" t="s">
        <v>3931</v>
      </c>
      <c r="BI138" s="42" t="s">
        <v>3856</v>
      </c>
      <c r="BJ138" s="31">
        <v>155.0</v>
      </c>
      <c r="BK138" s="34" t="s">
        <v>3853</v>
      </c>
      <c r="BL138" s="34">
        <v>0.0</v>
      </c>
      <c r="BM138" s="34">
        <v>100.0</v>
      </c>
      <c r="BN138" s="34">
        <v>0.0</v>
      </c>
      <c r="BO138" s="34">
        <v>0.0</v>
      </c>
      <c r="BP138" s="33">
        <f>COUNTIFS('Data For Calculation - Insuranc'!A:A,A138,'Data For Calculation - Insuranc'!D:D,"Individual",'Data For Calculation - Insuranc'!E:E,"Rollover - 1 Year TP Only")</f>
        <v>0</v>
      </c>
      <c r="BQ138" s="34" t="s">
        <v>3932</v>
      </c>
      <c r="BR138" s="42" t="s">
        <v>3856</v>
      </c>
      <c r="BS138" s="31">
        <v>155.0</v>
      </c>
      <c r="BT138" s="34" t="s">
        <v>3853</v>
      </c>
      <c r="BU138" s="34">
        <v>0.0</v>
      </c>
      <c r="BV138" s="34">
        <v>100.0</v>
      </c>
      <c r="BW138" s="34">
        <v>0.0</v>
      </c>
      <c r="BX138" s="34">
        <v>0.0</v>
      </c>
      <c r="BY138" s="33">
        <f>COUNTIFS('Data For Calculation - Insuranc'!A:A,A138,'Data For Calculation - Insuranc'!D:D,"Company",'Data For Calculation - Insuranc'!E:E,"Rollover - 1 Year TP Only")</f>
        <v>0</v>
      </c>
      <c r="BZ138" s="31">
        <f t="shared" si="1"/>
        <v>0</v>
      </c>
      <c r="CA138" s="33">
        <f>SUMIFS('Data For Calculation - Insuranc'!I:I,'Data For Calculation - Insuranc'!$A:$A,$A138)</f>
        <v>0</v>
      </c>
      <c r="CB138" s="33">
        <f>SUMIFS('Data For Calculation - Insuranc'!J:J,'Data For Calculation - Insuranc'!$A:$A,$A138)</f>
        <v>0</v>
      </c>
      <c r="CC138" s="33">
        <f>SUMIFS('Data For Calculation - Insuranc'!K:K,'Data For Calculation - Insuranc'!$A:$A,$A138)</f>
        <v>0</v>
      </c>
      <c r="CD138" s="33">
        <f>IF($CK138 = "Dealer", SUMIFS('Data For Calculation - Insuranc'!I:I,'Data For Calculation - Insuranc'!$B:$B,$A138,'Data For Calculation - Insuranc'!$H:$H,"Master Dealer")) + SUMIFS('Data For Calculation - Insuranc'!I:I,'Data For Calculation - Insuranc'!$A:$A,$A138,'Data For Calculation - Insuranc'!$H:$H,"Self")</f>
        <v>0</v>
      </c>
      <c r="CE138" s="33">
        <f>IF($CK138 = "Dealer", SUMIFS('Data For Calculation - Insuranc'!J:J,'Data For Calculation - Insuranc'!$B:$B,$A138,'Data For Calculation - Insuranc'!$H:$H,"Master Dealer")) + SUMIFS('Data For Calculation - Insuranc'!J:J,'Data For Calculation - Insuranc'!$A:$A,$A138,'Data For Calculation - Insuranc'!$H:$H,"Self")</f>
        <v>0</v>
      </c>
      <c r="CF138" s="33">
        <f>IF($CK138 = "Dealer", SUMIFS('Data For Calculation - Insuranc'!K:K,'Data For Calculation - Insuranc'!$B:$B,$A138,'Data For Calculation - Insuranc'!$H:$H,"Master Dealer")) + SUMIFS('Data For Calculation - Insuranc'!K:K,'Data For Calculation - Insuranc'!$A:$A,$A138,'Data For Calculation - Insuranc'!$H:$H,"Self")</f>
        <v>0</v>
      </c>
      <c r="CG138" s="25" t="str">
        <f>(Sheet1!N138)</f>
        <v>Krishna Hero - Bulandshahr</v>
      </c>
      <c r="CH138" s="25" t="str">
        <f>(Sheet1!O138)</f>
        <v>1mX_ZCiMgVCd3AONQ2zBbbc9wQ6Mlj2RvmkSWdpWht-8</v>
      </c>
      <c r="CI138" s="25" t="str">
        <f>(Sheet1!AV138)</f>
        <v/>
      </c>
      <c r="CJ138" s="25" t="str">
        <f>(Sheet1!AW138)</f>
        <v/>
      </c>
      <c r="CK138" s="26" t="str">
        <f>(Sheet1!P138)</f>
        <v>Sub Dealer</v>
      </c>
    </row>
    <row r="139">
      <c r="A139" s="25" t="str">
        <f>(Sheet1!A139)</f>
        <v>1mPIzaGx8rwte8Mf-mRlb6WTN7sBNGOldRNCSH91K3bY</v>
      </c>
      <c r="B139" s="25" t="str">
        <f>(Sheet1!B139)</f>
        <v>Vikas Motors ( KAB)- JAHANGIRABAD</v>
      </c>
      <c r="C139" s="30" t="str">
        <f>Sheet1!BB139</f>
        <v>No</v>
      </c>
      <c r="D139" s="30" t="s">
        <v>13</v>
      </c>
      <c r="E139" s="34" t="s">
        <v>13</v>
      </c>
      <c r="F139" s="34" t="s">
        <v>3929</v>
      </c>
      <c r="G139" s="42" t="s">
        <v>3856</v>
      </c>
      <c r="H139" s="47">
        <v>155.0</v>
      </c>
      <c r="I139" s="42" t="s">
        <v>3853</v>
      </c>
      <c r="J139" s="43">
        <v>0.0</v>
      </c>
      <c r="K139" s="43">
        <v>100.0</v>
      </c>
      <c r="L139" s="43">
        <v>0.0</v>
      </c>
      <c r="M139" s="43">
        <v>0.0</v>
      </c>
      <c r="N139" s="33">
        <f>COUNTIFS('Data For Calculation - Insuranc'!A:A,A139,'Data For Calculation - Insuranc'!D:D,"Individual",'Data For Calculation - Insuranc'!E:E,"Bundled - 1 Year OD + 5 Year TP")</f>
        <v>0</v>
      </c>
      <c r="O139" s="34" t="s">
        <v>3930</v>
      </c>
      <c r="P139" s="42" t="s">
        <v>3856</v>
      </c>
      <c r="Q139" s="47">
        <v>155.0</v>
      </c>
      <c r="R139" s="42" t="s">
        <v>3853</v>
      </c>
      <c r="S139" s="43">
        <v>0.0</v>
      </c>
      <c r="T139" s="43">
        <v>100.0</v>
      </c>
      <c r="U139" s="43">
        <v>0.0</v>
      </c>
      <c r="V139" s="43">
        <v>0.0</v>
      </c>
      <c r="W139" s="33">
        <f>COUNTIFS('Data For Calculation - Insuranc'!A:A,A139,'Data For Calculation - Insuranc'!D:D,"Company",'Data For Calculation - Insuranc'!E:E,"Bundled - 1 Year OD + 5 Year TP")</f>
        <v>0</v>
      </c>
      <c r="X139" s="34" t="s">
        <v>3929</v>
      </c>
      <c r="Y139" s="42" t="s">
        <v>3856</v>
      </c>
      <c r="Z139" s="31">
        <v>155.0</v>
      </c>
      <c r="AA139" s="34" t="s">
        <v>3853</v>
      </c>
      <c r="AB139" s="34">
        <v>0.0</v>
      </c>
      <c r="AC139" s="34">
        <v>100.0</v>
      </c>
      <c r="AD139" s="34">
        <v>0.0</v>
      </c>
      <c r="AE139" s="34">
        <v>0.0</v>
      </c>
      <c r="AF139" s="33">
        <f>COUNTIFS('Data For Calculation - Insuranc'!A:A,A139,'Data For Calculation - Insuranc'!D:D,"Individual",'Data For Calculation - Insuranc'!E:E,"Rollover Comprehensive - 1 Year OD + 1 Year TP")</f>
        <v>0</v>
      </c>
      <c r="AG139" s="34" t="s">
        <v>3930</v>
      </c>
      <c r="AH139" s="42" t="s">
        <v>3856</v>
      </c>
      <c r="AI139" s="31">
        <v>155.0</v>
      </c>
      <c r="AJ139" s="34" t="s">
        <v>3853</v>
      </c>
      <c r="AK139" s="34">
        <v>0.0</v>
      </c>
      <c r="AL139" s="34">
        <v>100.0</v>
      </c>
      <c r="AM139" s="34">
        <v>0.0</v>
      </c>
      <c r="AN139" s="34">
        <v>0.0</v>
      </c>
      <c r="AO139" s="33">
        <f>COUNTIFS('Data For Calculation - Insuranc'!A:A,A139,'Data For Calculation - Insuranc'!D:D,"Company",'Data For Calculation - Insuranc'!E:E,"Rollover Comprehensive - 1 Year OD + 1 Year TP")</f>
        <v>0</v>
      </c>
      <c r="AP139" s="34" t="s">
        <v>3931</v>
      </c>
      <c r="AQ139" s="42" t="s">
        <v>3856</v>
      </c>
      <c r="AR139" s="31">
        <v>155.0</v>
      </c>
      <c r="AS139" s="34" t="s">
        <v>3853</v>
      </c>
      <c r="AT139" s="34">
        <v>0.0</v>
      </c>
      <c r="AU139" s="34">
        <v>100.0</v>
      </c>
      <c r="AV139" s="34">
        <v>0.0</v>
      </c>
      <c r="AW139" s="34">
        <v>0.0</v>
      </c>
      <c r="AX139" s="33">
        <f>COUNTIFS('Data For Calculation - Insuranc'!A:A,A139,'Data For Calculation - Insuranc'!D:D,"Individual",'Data For Calculation - Insuranc'!E:E,"Rollover - 1 Year OD Only")</f>
        <v>0</v>
      </c>
      <c r="AY139" s="34" t="s">
        <v>3932</v>
      </c>
      <c r="AZ139" s="42" t="s">
        <v>3856</v>
      </c>
      <c r="BA139" s="31">
        <v>155.0</v>
      </c>
      <c r="BB139" s="34" t="s">
        <v>3853</v>
      </c>
      <c r="BC139" s="34">
        <v>0.0</v>
      </c>
      <c r="BD139" s="34">
        <v>100.0</v>
      </c>
      <c r="BE139" s="34">
        <v>0.0</v>
      </c>
      <c r="BF139" s="34">
        <v>0.0</v>
      </c>
      <c r="BG139" s="33">
        <f>COUNTIFS('Data For Calculation - Insuranc'!A:A,A139,'Data For Calculation - Insuranc'!D:D,"Company",'Data For Calculation - Insuranc'!E:E,"Rollover - 1 Year OD Only")</f>
        <v>0</v>
      </c>
      <c r="BH139" s="34" t="s">
        <v>3931</v>
      </c>
      <c r="BI139" s="42" t="s">
        <v>3856</v>
      </c>
      <c r="BJ139" s="31">
        <v>155.0</v>
      </c>
      <c r="BK139" s="34" t="s">
        <v>3853</v>
      </c>
      <c r="BL139" s="34">
        <v>0.0</v>
      </c>
      <c r="BM139" s="34">
        <v>100.0</v>
      </c>
      <c r="BN139" s="34">
        <v>0.0</v>
      </c>
      <c r="BO139" s="34">
        <v>0.0</v>
      </c>
      <c r="BP139" s="33">
        <f>COUNTIFS('Data For Calculation - Insuranc'!A:A,A139,'Data For Calculation - Insuranc'!D:D,"Individual",'Data For Calculation - Insuranc'!E:E,"Rollover - 1 Year TP Only")</f>
        <v>0</v>
      </c>
      <c r="BQ139" s="34" t="s">
        <v>3932</v>
      </c>
      <c r="BR139" s="42" t="s">
        <v>3856</v>
      </c>
      <c r="BS139" s="31">
        <v>155.0</v>
      </c>
      <c r="BT139" s="34" t="s">
        <v>3853</v>
      </c>
      <c r="BU139" s="34">
        <v>0.0</v>
      </c>
      <c r="BV139" s="34">
        <v>100.0</v>
      </c>
      <c r="BW139" s="34">
        <v>0.0</v>
      </c>
      <c r="BX139" s="34">
        <v>0.0</v>
      </c>
      <c r="BY139" s="33">
        <f>COUNTIFS('Data For Calculation - Insuranc'!A:A,A139,'Data For Calculation - Insuranc'!D:D,"Company",'Data For Calculation - Insuranc'!E:E,"Rollover - 1 Year TP Only")</f>
        <v>0</v>
      </c>
      <c r="BZ139" s="31">
        <f t="shared" si="1"/>
        <v>0</v>
      </c>
      <c r="CA139" s="33">
        <f>SUMIFS('Data For Calculation - Insuranc'!I:I,'Data For Calculation - Insuranc'!$A:$A,$A139)</f>
        <v>0</v>
      </c>
      <c r="CB139" s="33">
        <f>SUMIFS('Data For Calculation - Insuranc'!J:J,'Data For Calculation - Insuranc'!$A:$A,$A139)</f>
        <v>0</v>
      </c>
      <c r="CC139" s="33">
        <f>SUMIFS('Data For Calculation - Insuranc'!K:K,'Data For Calculation - Insuranc'!$A:$A,$A139)</f>
        <v>0</v>
      </c>
      <c r="CD139" s="33">
        <f>IF($CK139 = "Dealer", SUMIFS('Data For Calculation - Insuranc'!I:I,'Data For Calculation - Insuranc'!$B:$B,$A139,'Data For Calculation - Insuranc'!$H:$H,"Master Dealer")) + SUMIFS('Data For Calculation - Insuranc'!I:I,'Data For Calculation - Insuranc'!$A:$A,$A139,'Data For Calculation - Insuranc'!$H:$H,"Self")</f>
        <v>0</v>
      </c>
      <c r="CE139" s="33">
        <f>IF($CK139 = "Dealer", SUMIFS('Data For Calculation - Insuranc'!J:J,'Data For Calculation - Insuranc'!$B:$B,$A139,'Data For Calculation - Insuranc'!$H:$H,"Master Dealer")) + SUMIFS('Data For Calculation - Insuranc'!J:J,'Data For Calculation - Insuranc'!$A:$A,$A139,'Data For Calculation - Insuranc'!$H:$H,"Self")</f>
        <v>0</v>
      </c>
      <c r="CF139" s="33">
        <f>IF($CK139 = "Dealer", SUMIFS('Data For Calculation - Insuranc'!K:K,'Data For Calculation - Insuranc'!$B:$B,$A139,'Data For Calculation - Insuranc'!$H:$H,"Master Dealer")) + SUMIFS('Data For Calculation - Insuranc'!K:K,'Data For Calculation - Insuranc'!$A:$A,$A139,'Data For Calculation - Insuranc'!$H:$H,"Self")</f>
        <v>0</v>
      </c>
      <c r="CG139" s="25" t="str">
        <f>(Sheet1!N139)</f>
        <v>Krishna Hero - Bulandshahr</v>
      </c>
      <c r="CH139" s="25" t="str">
        <f>(Sheet1!O139)</f>
        <v>1mX_ZCiMgVCd3AONQ2zBbbc9wQ6Mlj2RvmkSWdpWht-8</v>
      </c>
      <c r="CI139" s="25" t="str">
        <f>(Sheet1!AV139)</f>
        <v/>
      </c>
      <c r="CJ139" s="25" t="str">
        <f>(Sheet1!AW139)</f>
        <v/>
      </c>
      <c r="CK139" s="26" t="str">
        <f>(Sheet1!P139)</f>
        <v>Sub Dealer</v>
      </c>
    </row>
    <row r="140">
      <c r="A140" s="25" t="str">
        <f>(Sheet1!A140)</f>
        <v>1mU9iAGn4-HAQ-mbHBoZ8Bo4zVxOSHvTU8RtHuYSW4cI</v>
      </c>
      <c r="B140" s="25" t="str">
        <f>(Sheet1!B140)</f>
        <v>Sonu Motors(KAB)- AURANGABAD</v>
      </c>
      <c r="C140" s="30" t="str">
        <f>Sheet1!BB140</f>
        <v>No</v>
      </c>
      <c r="D140" s="30" t="s">
        <v>13</v>
      </c>
      <c r="E140" s="34" t="s">
        <v>13</v>
      </c>
      <c r="F140" s="34" t="s">
        <v>3929</v>
      </c>
      <c r="G140" s="42" t="s">
        <v>3856</v>
      </c>
      <c r="H140" s="47">
        <v>155.0</v>
      </c>
      <c r="I140" s="42" t="s">
        <v>3853</v>
      </c>
      <c r="J140" s="43">
        <v>0.0</v>
      </c>
      <c r="K140" s="43">
        <v>100.0</v>
      </c>
      <c r="L140" s="43">
        <v>0.0</v>
      </c>
      <c r="M140" s="43">
        <v>0.0</v>
      </c>
      <c r="N140" s="33">
        <f>COUNTIFS('Data For Calculation - Insuranc'!A:A,A140,'Data For Calculation - Insuranc'!D:D,"Individual",'Data For Calculation - Insuranc'!E:E,"Bundled - 1 Year OD + 5 Year TP")</f>
        <v>0</v>
      </c>
      <c r="O140" s="34" t="s">
        <v>3930</v>
      </c>
      <c r="P140" s="42" t="s">
        <v>3856</v>
      </c>
      <c r="Q140" s="47">
        <v>155.0</v>
      </c>
      <c r="R140" s="42" t="s">
        <v>3853</v>
      </c>
      <c r="S140" s="43">
        <v>0.0</v>
      </c>
      <c r="T140" s="43">
        <v>100.0</v>
      </c>
      <c r="U140" s="43">
        <v>0.0</v>
      </c>
      <c r="V140" s="43">
        <v>0.0</v>
      </c>
      <c r="W140" s="33">
        <f>COUNTIFS('Data For Calculation - Insuranc'!A:A,A140,'Data For Calculation - Insuranc'!D:D,"Company",'Data For Calculation - Insuranc'!E:E,"Bundled - 1 Year OD + 5 Year TP")</f>
        <v>0</v>
      </c>
      <c r="X140" s="34" t="s">
        <v>3929</v>
      </c>
      <c r="Y140" s="42" t="s">
        <v>3856</v>
      </c>
      <c r="Z140" s="31">
        <v>155.0</v>
      </c>
      <c r="AA140" s="34" t="s">
        <v>3853</v>
      </c>
      <c r="AB140" s="34">
        <v>0.0</v>
      </c>
      <c r="AC140" s="34">
        <v>100.0</v>
      </c>
      <c r="AD140" s="34">
        <v>0.0</v>
      </c>
      <c r="AE140" s="34">
        <v>0.0</v>
      </c>
      <c r="AF140" s="33">
        <f>COUNTIFS('Data For Calculation - Insuranc'!A:A,A140,'Data For Calculation - Insuranc'!D:D,"Individual",'Data For Calculation - Insuranc'!E:E,"Rollover Comprehensive - 1 Year OD + 1 Year TP")</f>
        <v>0</v>
      </c>
      <c r="AG140" s="34" t="s">
        <v>3930</v>
      </c>
      <c r="AH140" s="42" t="s">
        <v>3856</v>
      </c>
      <c r="AI140" s="31">
        <v>155.0</v>
      </c>
      <c r="AJ140" s="34" t="s">
        <v>3853</v>
      </c>
      <c r="AK140" s="34">
        <v>0.0</v>
      </c>
      <c r="AL140" s="34">
        <v>100.0</v>
      </c>
      <c r="AM140" s="34">
        <v>0.0</v>
      </c>
      <c r="AN140" s="34">
        <v>0.0</v>
      </c>
      <c r="AO140" s="33">
        <f>COUNTIFS('Data For Calculation - Insuranc'!A:A,A140,'Data For Calculation - Insuranc'!D:D,"Company",'Data For Calculation - Insuranc'!E:E,"Rollover Comprehensive - 1 Year OD + 1 Year TP")</f>
        <v>0</v>
      </c>
      <c r="AP140" s="34" t="s">
        <v>3931</v>
      </c>
      <c r="AQ140" s="42" t="s">
        <v>3856</v>
      </c>
      <c r="AR140" s="31">
        <v>155.0</v>
      </c>
      <c r="AS140" s="34" t="s">
        <v>3853</v>
      </c>
      <c r="AT140" s="34">
        <v>0.0</v>
      </c>
      <c r="AU140" s="34">
        <v>100.0</v>
      </c>
      <c r="AV140" s="34">
        <v>0.0</v>
      </c>
      <c r="AW140" s="34">
        <v>0.0</v>
      </c>
      <c r="AX140" s="33">
        <f>COUNTIFS('Data For Calculation - Insuranc'!A:A,A140,'Data For Calculation - Insuranc'!D:D,"Individual",'Data For Calculation - Insuranc'!E:E,"Rollover - 1 Year OD Only")</f>
        <v>0</v>
      </c>
      <c r="AY140" s="34" t="s">
        <v>3932</v>
      </c>
      <c r="AZ140" s="42" t="s">
        <v>3856</v>
      </c>
      <c r="BA140" s="31">
        <v>155.0</v>
      </c>
      <c r="BB140" s="34" t="s">
        <v>3853</v>
      </c>
      <c r="BC140" s="34">
        <v>0.0</v>
      </c>
      <c r="BD140" s="34">
        <v>100.0</v>
      </c>
      <c r="BE140" s="34">
        <v>0.0</v>
      </c>
      <c r="BF140" s="34">
        <v>0.0</v>
      </c>
      <c r="BG140" s="33">
        <f>COUNTIFS('Data For Calculation - Insuranc'!A:A,A140,'Data For Calculation - Insuranc'!D:D,"Company",'Data For Calculation - Insuranc'!E:E,"Rollover - 1 Year OD Only")</f>
        <v>0</v>
      </c>
      <c r="BH140" s="34" t="s">
        <v>3931</v>
      </c>
      <c r="BI140" s="42" t="s">
        <v>3856</v>
      </c>
      <c r="BJ140" s="31">
        <v>155.0</v>
      </c>
      <c r="BK140" s="34" t="s">
        <v>3853</v>
      </c>
      <c r="BL140" s="34">
        <v>0.0</v>
      </c>
      <c r="BM140" s="34">
        <v>100.0</v>
      </c>
      <c r="BN140" s="34">
        <v>0.0</v>
      </c>
      <c r="BO140" s="34">
        <v>0.0</v>
      </c>
      <c r="BP140" s="33">
        <f>COUNTIFS('Data For Calculation - Insuranc'!A:A,A140,'Data For Calculation - Insuranc'!D:D,"Individual",'Data For Calculation - Insuranc'!E:E,"Rollover - 1 Year TP Only")</f>
        <v>0</v>
      </c>
      <c r="BQ140" s="34" t="s">
        <v>3932</v>
      </c>
      <c r="BR140" s="42" t="s">
        <v>3856</v>
      </c>
      <c r="BS140" s="31">
        <v>155.0</v>
      </c>
      <c r="BT140" s="34" t="s">
        <v>3853</v>
      </c>
      <c r="BU140" s="34">
        <v>0.0</v>
      </c>
      <c r="BV140" s="34">
        <v>100.0</v>
      </c>
      <c r="BW140" s="34">
        <v>0.0</v>
      </c>
      <c r="BX140" s="34">
        <v>0.0</v>
      </c>
      <c r="BY140" s="33">
        <f>COUNTIFS('Data For Calculation - Insuranc'!A:A,A140,'Data For Calculation - Insuranc'!D:D,"Company",'Data For Calculation - Insuranc'!E:E,"Rollover - 1 Year TP Only")</f>
        <v>0</v>
      </c>
      <c r="BZ140" s="31">
        <f t="shared" si="1"/>
        <v>0</v>
      </c>
      <c r="CA140" s="33">
        <f>SUMIFS('Data For Calculation - Insuranc'!I:I,'Data For Calculation - Insuranc'!$A:$A,$A140)</f>
        <v>0</v>
      </c>
      <c r="CB140" s="33">
        <f>SUMIFS('Data For Calculation - Insuranc'!J:J,'Data For Calculation - Insuranc'!$A:$A,$A140)</f>
        <v>0</v>
      </c>
      <c r="CC140" s="33">
        <f>SUMIFS('Data For Calculation - Insuranc'!K:K,'Data For Calculation - Insuranc'!$A:$A,$A140)</f>
        <v>0</v>
      </c>
      <c r="CD140" s="33">
        <f>IF($CK140 = "Dealer", SUMIFS('Data For Calculation - Insuranc'!I:I,'Data For Calculation - Insuranc'!$B:$B,$A140,'Data For Calculation - Insuranc'!$H:$H,"Master Dealer")) + SUMIFS('Data For Calculation - Insuranc'!I:I,'Data For Calculation - Insuranc'!$A:$A,$A140,'Data For Calculation - Insuranc'!$H:$H,"Self")</f>
        <v>0</v>
      </c>
      <c r="CE140" s="33">
        <f>IF($CK140 = "Dealer", SUMIFS('Data For Calculation - Insuranc'!J:J,'Data For Calculation - Insuranc'!$B:$B,$A140,'Data For Calculation - Insuranc'!$H:$H,"Master Dealer")) + SUMIFS('Data For Calculation - Insuranc'!J:J,'Data For Calculation - Insuranc'!$A:$A,$A140,'Data For Calculation - Insuranc'!$H:$H,"Self")</f>
        <v>0</v>
      </c>
      <c r="CF140" s="33">
        <f>IF($CK140 = "Dealer", SUMIFS('Data For Calculation - Insuranc'!K:K,'Data For Calculation - Insuranc'!$B:$B,$A140,'Data For Calculation - Insuranc'!$H:$H,"Master Dealer")) + SUMIFS('Data For Calculation - Insuranc'!K:K,'Data For Calculation - Insuranc'!$A:$A,$A140,'Data For Calculation - Insuranc'!$H:$H,"Self")</f>
        <v>0</v>
      </c>
      <c r="CG140" s="25" t="str">
        <f>(Sheet1!N140)</f>
        <v>Krishna Hero - Bulandshahr</v>
      </c>
      <c r="CH140" s="25" t="str">
        <f>(Sheet1!O140)</f>
        <v>1mX_ZCiMgVCd3AONQ2zBbbc9wQ6Mlj2RvmkSWdpWht-8</v>
      </c>
      <c r="CI140" s="25" t="str">
        <f>(Sheet1!AV140)</f>
        <v/>
      </c>
      <c r="CJ140" s="25" t="str">
        <f>(Sheet1!AW140)</f>
        <v/>
      </c>
      <c r="CK140" s="26" t="str">
        <f>(Sheet1!P140)</f>
        <v>Sub Dealer</v>
      </c>
    </row>
    <row r="141">
      <c r="A141" s="25" t="str">
        <f>(Sheet1!A141)</f>
        <v>1eadD90u_QHYWVVLEumQCr0hMVIKVxHEKRn2KsZZbuqc</v>
      </c>
      <c r="B141" s="25" t="str">
        <f>(Sheet1!B141)</f>
        <v>AMAN HERO - GHAZIABAD</v>
      </c>
      <c r="C141" s="30" t="str">
        <f>Sheet1!BB141</f>
        <v>No</v>
      </c>
      <c r="D141" s="30" t="s">
        <v>13</v>
      </c>
      <c r="E141" s="34" t="s">
        <v>13</v>
      </c>
      <c r="F141" s="34" t="s">
        <v>3929</v>
      </c>
      <c r="G141" s="42" t="s">
        <v>3820</v>
      </c>
      <c r="H141" s="43">
        <v>460.0</v>
      </c>
      <c r="I141" s="42" t="s">
        <v>3853</v>
      </c>
      <c r="J141" s="43">
        <v>0.0</v>
      </c>
      <c r="K141" s="43">
        <v>100.0</v>
      </c>
      <c r="L141" s="43">
        <v>0.0</v>
      </c>
      <c r="M141" s="43">
        <v>0.0</v>
      </c>
      <c r="N141" s="33">
        <f>COUNTIFS('Data For Calculation - Insuranc'!A:A,A141,'Data For Calculation - Insuranc'!D:D,"Individual",'Data For Calculation - Insuranc'!E:E,"Bundled - 1 Year OD + 5 Year TP")</f>
        <v>0</v>
      </c>
      <c r="O141" s="34" t="s">
        <v>3930</v>
      </c>
      <c r="P141" s="42" t="s">
        <v>3820</v>
      </c>
      <c r="Q141" s="43">
        <v>460.0</v>
      </c>
      <c r="R141" s="42" t="s">
        <v>3853</v>
      </c>
      <c r="S141" s="43">
        <v>0.0</v>
      </c>
      <c r="T141" s="43">
        <v>100.0</v>
      </c>
      <c r="U141" s="43">
        <v>0.0</v>
      </c>
      <c r="V141" s="43">
        <v>0.0</v>
      </c>
      <c r="W141" s="33">
        <f>COUNTIFS('Data For Calculation - Insuranc'!A:A,A141,'Data For Calculation - Insuranc'!D:D,"Company",'Data For Calculation - Insuranc'!E:E,"Bundled - 1 Year OD + 5 Year TP")</f>
        <v>0</v>
      </c>
      <c r="X141" s="34" t="s">
        <v>3929</v>
      </c>
      <c r="Y141" s="42" t="s">
        <v>3820</v>
      </c>
      <c r="Z141" s="31">
        <v>290.0</v>
      </c>
      <c r="AA141" s="34" t="s">
        <v>3853</v>
      </c>
      <c r="AB141" s="34">
        <v>0.0</v>
      </c>
      <c r="AC141" s="34">
        <v>100.0</v>
      </c>
      <c r="AD141" s="34">
        <v>0.0</v>
      </c>
      <c r="AE141" s="34">
        <v>0.0</v>
      </c>
      <c r="AF141" s="33">
        <f>COUNTIFS('Data For Calculation - Insuranc'!A:A,A141,'Data For Calculation - Insuranc'!D:D,"Individual",'Data For Calculation - Insuranc'!E:E,"Rollover Comprehensive - 1 Year OD + 1 Year TP")</f>
        <v>0</v>
      </c>
      <c r="AG141" s="34" t="s">
        <v>3930</v>
      </c>
      <c r="AH141" s="42" t="s">
        <v>3820</v>
      </c>
      <c r="AI141" s="31">
        <v>290.0</v>
      </c>
      <c r="AJ141" s="34" t="s">
        <v>3853</v>
      </c>
      <c r="AK141" s="34">
        <v>0.0</v>
      </c>
      <c r="AL141" s="34">
        <v>100.0</v>
      </c>
      <c r="AM141" s="34">
        <v>0.0</v>
      </c>
      <c r="AN141" s="34">
        <v>0.0</v>
      </c>
      <c r="AO141" s="33">
        <f>COUNTIFS('Data For Calculation - Insuranc'!A:A,A141,'Data For Calculation - Insuranc'!D:D,"Company",'Data For Calculation - Insuranc'!E:E,"Rollover Comprehensive - 1 Year OD + 1 Year TP")</f>
        <v>0</v>
      </c>
      <c r="AP141" s="34" t="s">
        <v>3931</v>
      </c>
      <c r="AQ141" s="42" t="s">
        <v>3820</v>
      </c>
      <c r="AR141" s="31">
        <v>290.0</v>
      </c>
      <c r="AS141" s="34" t="s">
        <v>3853</v>
      </c>
      <c r="AT141" s="34">
        <v>0.0</v>
      </c>
      <c r="AU141" s="34">
        <v>100.0</v>
      </c>
      <c r="AV141" s="34">
        <v>0.0</v>
      </c>
      <c r="AW141" s="34">
        <v>0.0</v>
      </c>
      <c r="AX141" s="33">
        <f>COUNTIFS('Data For Calculation - Insuranc'!A:A,A141,'Data For Calculation - Insuranc'!D:D,"Individual",'Data For Calculation - Insuranc'!E:E,"Rollover - 1 Year OD Only")</f>
        <v>0</v>
      </c>
      <c r="AY141" s="34" t="s">
        <v>3932</v>
      </c>
      <c r="AZ141" s="42" t="s">
        <v>3820</v>
      </c>
      <c r="BA141" s="31">
        <v>290.0</v>
      </c>
      <c r="BB141" s="34" t="s">
        <v>3853</v>
      </c>
      <c r="BC141" s="34">
        <v>0.0</v>
      </c>
      <c r="BD141" s="34">
        <v>100.0</v>
      </c>
      <c r="BE141" s="34">
        <v>0.0</v>
      </c>
      <c r="BF141" s="34">
        <v>0.0</v>
      </c>
      <c r="BG141" s="33">
        <f>COUNTIFS('Data For Calculation - Insuranc'!A:A,A141,'Data For Calculation - Insuranc'!D:D,"Company",'Data For Calculation - Insuranc'!E:E,"Rollover - 1 Year OD Only")</f>
        <v>0</v>
      </c>
      <c r="BH141" s="34" t="s">
        <v>3931</v>
      </c>
      <c r="BI141" s="42" t="s">
        <v>3820</v>
      </c>
      <c r="BJ141" s="31">
        <v>290.0</v>
      </c>
      <c r="BK141" s="34" t="s">
        <v>3853</v>
      </c>
      <c r="BL141" s="34">
        <v>0.0</v>
      </c>
      <c r="BM141" s="34">
        <v>100.0</v>
      </c>
      <c r="BN141" s="34">
        <v>0.0</v>
      </c>
      <c r="BO141" s="34">
        <v>0.0</v>
      </c>
      <c r="BP141" s="33">
        <f>COUNTIFS('Data For Calculation - Insuranc'!A:A,A141,'Data For Calculation - Insuranc'!D:D,"Individual",'Data For Calculation - Insuranc'!E:E,"Rollover - 1 Year TP Only")</f>
        <v>0</v>
      </c>
      <c r="BQ141" s="34" t="s">
        <v>3932</v>
      </c>
      <c r="BR141" s="42" t="s">
        <v>3820</v>
      </c>
      <c r="BS141" s="31">
        <v>290.0</v>
      </c>
      <c r="BT141" s="34" t="s">
        <v>3853</v>
      </c>
      <c r="BU141" s="34">
        <v>0.0</v>
      </c>
      <c r="BV141" s="34">
        <v>100.0</v>
      </c>
      <c r="BW141" s="34">
        <v>0.0</v>
      </c>
      <c r="BX141" s="34">
        <v>0.0</v>
      </c>
      <c r="BY141" s="33">
        <f>COUNTIFS('Data For Calculation - Insuranc'!A:A,A141,'Data For Calculation - Insuranc'!D:D,"Company",'Data For Calculation - Insuranc'!E:E,"Rollover - 1 Year TP Only")</f>
        <v>0</v>
      </c>
      <c r="BZ141" s="31">
        <f t="shared" si="1"/>
        <v>0</v>
      </c>
      <c r="CA141" s="33">
        <f>SUMIFS('Data For Calculation - Insuranc'!I:I,'Data For Calculation - Insuranc'!$A:$A,$A141)</f>
        <v>0</v>
      </c>
      <c r="CB141" s="33">
        <f>SUMIFS('Data For Calculation - Insuranc'!J:J,'Data For Calculation - Insuranc'!$A:$A,$A141)</f>
        <v>0</v>
      </c>
      <c r="CC141" s="33">
        <f>SUMIFS('Data For Calculation - Insuranc'!K:K,'Data For Calculation - Insuranc'!$A:$A,$A141)</f>
        <v>0</v>
      </c>
      <c r="CD141" s="33">
        <f>IF($CK141 = "Dealer", SUMIFS('Data For Calculation - Insuranc'!I:I,'Data For Calculation - Insuranc'!$B:$B,$A141,'Data For Calculation - Insuranc'!$H:$H,"Master Dealer")) + SUMIFS('Data For Calculation - Insuranc'!I:I,'Data For Calculation - Insuranc'!$A:$A,$A141,'Data For Calculation - Insuranc'!$H:$H,"Self")</f>
        <v>0</v>
      </c>
      <c r="CE141" s="33">
        <f>IF($CK141 = "Dealer", SUMIFS('Data For Calculation - Insuranc'!J:J,'Data For Calculation - Insuranc'!$B:$B,$A141,'Data For Calculation - Insuranc'!$H:$H,"Master Dealer")) + SUMIFS('Data For Calculation - Insuranc'!J:J,'Data For Calculation - Insuranc'!$A:$A,$A141,'Data For Calculation - Insuranc'!$H:$H,"Self")</f>
        <v>0</v>
      </c>
      <c r="CF141" s="33">
        <f>IF($CK141 = "Dealer", SUMIFS('Data For Calculation - Insuranc'!K:K,'Data For Calculation - Insuranc'!$B:$B,$A141,'Data For Calculation - Insuranc'!$H:$H,"Master Dealer")) + SUMIFS('Data For Calculation - Insuranc'!K:K,'Data For Calculation - Insuranc'!$A:$A,$A141,'Data For Calculation - Insuranc'!$H:$H,"Self")</f>
        <v>0</v>
      </c>
      <c r="CG141" s="25" t="str">
        <f>(Sheet1!N141)</f>
        <v>AMAN HERO - GHAZIABAD</v>
      </c>
      <c r="CH141" s="25" t="str">
        <f>(Sheet1!O141)</f>
        <v>1eadD90u_QHYWVVLEumQCr0hMVIKVxHEKRn2KsZZbuqc</v>
      </c>
      <c r="CI141" s="25" t="str">
        <f>(Sheet1!AV141)</f>
        <v/>
      </c>
      <c r="CJ141" s="25" t="str">
        <f>(Sheet1!AW141)</f>
        <v/>
      </c>
      <c r="CK141" s="26" t="str">
        <f>(Sheet1!P141)</f>
        <v>Dealer</v>
      </c>
    </row>
    <row r="142">
      <c r="A142" s="25" t="str">
        <f>(Sheet1!A142)</f>
        <v>1eWL9qs4gF2hDOrao950bttsqaQjvqYNOwOArak2wAWY</v>
      </c>
      <c r="B142" s="25" t="str">
        <f>(Sheet1!B142)</f>
        <v>PREMA HONDA- BIHAR(SN)</v>
      </c>
      <c r="C142" s="30" t="str">
        <f>Sheet1!BB142</f>
        <v>No</v>
      </c>
      <c r="D142" s="30" t="s">
        <v>13</v>
      </c>
      <c r="E142" s="34" t="s">
        <v>13</v>
      </c>
      <c r="F142" s="34" t="s">
        <v>3929</v>
      </c>
      <c r="G142" s="42" t="s">
        <v>3820</v>
      </c>
      <c r="H142" s="43">
        <v>460.0</v>
      </c>
      <c r="I142" s="42" t="s">
        <v>3853</v>
      </c>
      <c r="J142" s="43">
        <v>0.0</v>
      </c>
      <c r="K142" s="43">
        <v>100.0</v>
      </c>
      <c r="L142" s="43">
        <v>0.0</v>
      </c>
      <c r="M142" s="43">
        <v>0.0</v>
      </c>
      <c r="N142" s="33">
        <f>COUNTIFS('Data For Calculation - Insuranc'!A:A,A142,'Data For Calculation - Insuranc'!D:D,"Individual",'Data For Calculation - Insuranc'!E:E,"Bundled - 1 Year OD + 5 Year TP")</f>
        <v>0</v>
      </c>
      <c r="O142" s="34" t="s">
        <v>3930</v>
      </c>
      <c r="P142" s="42" t="s">
        <v>3820</v>
      </c>
      <c r="Q142" s="43">
        <v>460.0</v>
      </c>
      <c r="R142" s="42" t="s">
        <v>3853</v>
      </c>
      <c r="S142" s="43">
        <v>0.0</v>
      </c>
      <c r="T142" s="43">
        <v>100.0</v>
      </c>
      <c r="U142" s="43">
        <v>0.0</v>
      </c>
      <c r="V142" s="43">
        <v>0.0</v>
      </c>
      <c r="W142" s="33">
        <f>COUNTIFS('Data For Calculation - Insuranc'!A:A,A142,'Data For Calculation - Insuranc'!D:D,"Company",'Data For Calculation - Insuranc'!E:E,"Bundled - 1 Year OD + 5 Year TP")</f>
        <v>0</v>
      </c>
      <c r="X142" s="34" t="s">
        <v>3929</v>
      </c>
      <c r="Y142" s="42" t="s">
        <v>3820</v>
      </c>
      <c r="Z142" s="31">
        <v>290.0</v>
      </c>
      <c r="AA142" s="34" t="s">
        <v>3853</v>
      </c>
      <c r="AB142" s="34">
        <v>0.0</v>
      </c>
      <c r="AC142" s="34">
        <v>100.0</v>
      </c>
      <c r="AD142" s="34">
        <v>0.0</v>
      </c>
      <c r="AE142" s="34">
        <v>0.0</v>
      </c>
      <c r="AF142" s="33">
        <f>COUNTIFS('Data For Calculation - Insuranc'!A:A,A142,'Data For Calculation - Insuranc'!D:D,"Individual",'Data For Calculation - Insuranc'!E:E,"Rollover Comprehensive - 1 Year OD + 1 Year TP")</f>
        <v>0</v>
      </c>
      <c r="AG142" s="34" t="s">
        <v>3930</v>
      </c>
      <c r="AH142" s="42" t="s">
        <v>3820</v>
      </c>
      <c r="AI142" s="31">
        <v>290.0</v>
      </c>
      <c r="AJ142" s="34" t="s">
        <v>3853</v>
      </c>
      <c r="AK142" s="34">
        <v>0.0</v>
      </c>
      <c r="AL142" s="34">
        <v>100.0</v>
      </c>
      <c r="AM142" s="34">
        <v>0.0</v>
      </c>
      <c r="AN142" s="34">
        <v>0.0</v>
      </c>
      <c r="AO142" s="33">
        <f>COUNTIFS('Data For Calculation - Insuranc'!A:A,A142,'Data For Calculation - Insuranc'!D:D,"Company",'Data For Calculation - Insuranc'!E:E,"Rollover Comprehensive - 1 Year OD + 1 Year TP")</f>
        <v>0</v>
      </c>
      <c r="AP142" s="34" t="s">
        <v>3931</v>
      </c>
      <c r="AQ142" s="42" t="s">
        <v>3820</v>
      </c>
      <c r="AR142" s="31">
        <v>290.0</v>
      </c>
      <c r="AS142" s="34" t="s">
        <v>3853</v>
      </c>
      <c r="AT142" s="34">
        <v>0.0</v>
      </c>
      <c r="AU142" s="34">
        <v>100.0</v>
      </c>
      <c r="AV142" s="34">
        <v>0.0</v>
      </c>
      <c r="AW142" s="34">
        <v>0.0</v>
      </c>
      <c r="AX142" s="33">
        <f>COUNTIFS('Data For Calculation - Insuranc'!A:A,A142,'Data For Calculation - Insuranc'!D:D,"Individual",'Data For Calculation - Insuranc'!E:E,"Rollover - 1 Year OD Only")</f>
        <v>0</v>
      </c>
      <c r="AY142" s="34" t="s">
        <v>3932</v>
      </c>
      <c r="AZ142" s="42" t="s">
        <v>3820</v>
      </c>
      <c r="BA142" s="31">
        <v>290.0</v>
      </c>
      <c r="BB142" s="34" t="s">
        <v>3853</v>
      </c>
      <c r="BC142" s="34">
        <v>0.0</v>
      </c>
      <c r="BD142" s="34">
        <v>100.0</v>
      </c>
      <c r="BE142" s="34">
        <v>0.0</v>
      </c>
      <c r="BF142" s="34">
        <v>0.0</v>
      </c>
      <c r="BG142" s="33">
        <f>COUNTIFS('Data For Calculation - Insuranc'!A:A,A142,'Data For Calculation - Insuranc'!D:D,"Company",'Data For Calculation - Insuranc'!E:E,"Rollover - 1 Year OD Only")</f>
        <v>0</v>
      </c>
      <c r="BH142" s="34" t="s">
        <v>3931</v>
      </c>
      <c r="BI142" s="42" t="s">
        <v>3820</v>
      </c>
      <c r="BJ142" s="31">
        <v>290.0</v>
      </c>
      <c r="BK142" s="34" t="s">
        <v>3853</v>
      </c>
      <c r="BL142" s="34">
        <v>0.0</v>
      </c>
      <c r="BM142" s="34">
        <v>100.0</v>
      </c>
      <c r="BN142" s="34">
        <v>0.0</v>
      </c>
      <c r="BO142" s="34">
        <v>0.0</v>
      </c>
      <c r="BP142" s="33">
        <f>COUNTIFS('Data For Calculation - Insuranc'!A:A,A142,'Data For Calculation - Insuranc'!D:D,"Individual",'Data For Calculation - Insuranc'!E:E,"Rollover - 1 Year TP Only")</f>
        <v>0</v>
      </c>
      <c r="BQ142" s="34" t="s">
        <v>3932</v>
      </c>
      <c r="BR142" s="42" t="s">
        <v>3820</v>
      </c>
      <c r="BS142" s="31">
        <v>290.0</v>
      </c>
      <c r="BT142" s="34" t="s">
        <v>3853</v>
      </c>
      <c r="BU142" s="34">
        <v>0.0</v>
      </c>
      <c r="BV142" s="34">
        <v>100.0</v>
      </c>
      <c r="BW142" s="34">
        <v>0.0</v>
      </c>
      <c r="BX142" s="34">
        <v>0.0</v>
      </c>
      <c r="BY142" s="33">
        <f>COUNTIFS('Data For Calculation - Insuranc'!A:A,A142,'Data For Calculation - Insuranc'!D:D,"Company",'Data For Calculation - Insuranc'!E:E,"Rollover - 1 Year TP Only")</f>
        <v>0</v>
      </c>
      <c r="BZ142" s="31">
        <f t="shared" si="1"/>
        <v>0</v>
      </c>
      <c r="CA142" s="33">
        <f>SUMIFS('Data For Calculation - Insuranc'!I:I,'Data For Calculation - Insuranc'!$A:$A,$A142)</f>
        <v>0</v>
      </c>
      <c r="CB142" s="33">
        <f>SUMIFS('Data For Calculation - Insuranc'!J:J,'Data For Calculation - Insuranc'!$A:$A,$A142)</f>
        <v>0</v>
      </c>
      <c r="CC142" s="33">
        <f>SUMIFS('Data For Calculation - Insuranc'!K:K,'Data For Calculation - Insuranc'!$A:$A,$A142)</f>
        <v>0</v>
      </c>
      <c r="CD142" s="33">
        <f>IF($CK142 = "Dealer", SUMIFS('Data For Calculation - Insuranc'!I:I,'Data For Calculation - Insuranc'!$B:$B,$A142,'Data For Calculation - Insuranc'!$H:$H,"Master Dealer")) + SUMIFS('Data For Calculation - Insuranc'!I:I,'Data For Calculation - Insuranc'!$A:$A,$A142,'Data For Calculation - Insuranc'!$H:$H,"Self")</f>
        <v>0</v>
      </c>
      <c r="CE142" s="33">
        <f>IF($CK142 = "Dealer", SUMIFS('Data For Calculation - Insuranc'!J:J,'Data For Calculation - Insuranc'!$B:$B,$A142,'Data For Calculation - Insuranc'!$H:$H,"Master Dealer")) + SUMIFS('Data For Calculation - Insuranc'!J:J,'Data For Calculation - Insuranc'!$A:$A,$A142,'Data For Calculation - Insuranc'!$H:$H,"Self")</f>
        <v>0</v>
      </c>
      <c r="CF142" s="33">
        <f>IF($CK142 = "Dealer", SUMIFS('Data For Calculation - Insuranc'!K:K,'Data For Calculation - Insuranc'!$B:$B,$A142,'Data For Calculation - Insuranc'!$H:$H,"Master Dealer")) + SUMIFS('Data For Calculation - Insuranc'!K:K,'Data For Calculation - Insuranc'!$A:$A,$A142,'Data For Calculation - Insuranc'!$H:$H,"Self")</f>
        <v>0</v>
      </c>
      <c r="CG142" s="25" t="str">
        <f>(Sheet1!N142)</f>
        <v>PREMA HONDA- BIHAR(SN)</v>
      </c>
      <c r="CH142" s="25" t="str">
        <f>(Sheet1!O142)</f>
        <v>1eWL9qs4gF2hDOrao950bttsqaQjvqYNOwOArak2wAWY</v>
      </c>
      <c r="CI142" s="25" t="str">
        <f>(Sheet1!AV142)</f>
        <v/>
      </c>
      <c r="CJ142" s="25" t="str">
        <f>(Sheet1!AW142)</f>
        <v/>
      </c>
      <c r="CK142" s="26" t="str">
        <f>(Sheet1!P142)</f>
        <v>Dealer</v>
      </c>
    </row>
    <row r="143">
      <c r="A143" s="25" t="str">
        <f>(Sheet1!A143)</f>
        <v>1rJGxnVgNYw4R0sSIyn3TAqm2-oK_NlkxU2BLo1Qupus</v>
      </c>
      <c r="B143" s="25" t="str">
        <f>(Sheet1!B143)</f>
        <v>Prema Honda-2-BIHAR</v>
      </c>
      <c r="C143" s="30" t="str">
        <f>Sheet1!BB143</f>
        <v>No</v>
      </c>
      <c r="D143" s="30" t="s">
        <v>13</v>
      </c>
      <c r="E143" s="34" t="s">
        <v>13</v>
      </c>
      <c r="F143" s="34" t="s">
        <v>3929</v>
      </c>
      <c r="G143" s="42" t="s">
        <v>3820</v>
      </c>
      <c r="H143" s="43">
        <v>460.0</v>
      </c>
      <c r="I143" s="42" t="s">
        <v>3853</v>
      </c>
      <c r="J143" s="43">
        <v>0.0</v>
      </c>
      <c r="K143" s="43">
        <v>100.0</v>
      </c>
      <c r="L143" s="43">
        <v>0.0</v>
      </c>
      <c r="M143" s="43">
        <v>0.0</v>
      </c>
      <c r="N143" s="33">
        <f>COUNTIFS('Data For Calculation - Insuranc'!A:A,A143,'Data For Calculation - Insuranc'!D:D,"Individual",'Data For Calculation - Insuranc'!E:E,"Bundled - 1 Year OD + 5 Year TP")</f>
        <v>0</v>
      </c>
      <c r="O143" s="34" t="s">
        <v>3930</v>
      </c>
      <c r="P143" s="42" t="s">
        <v>3820</v>
      </c>
      <c r="Q143" s="43">
        <v>460.0</v>
      </c>
      <c r="R143" s="42" t="s">
        <v>3853</v>
      </c>
      <c r="S143" s="43">
        <v>0.0</v>
      </c>
      <c r="T143" s="43">
        <v>100.0</v>
      </c>
      <c r="U143" s="43">
        <v>0.0</v>
      </c>
      <c r="V143" s="43">
        <v>0.0</v>
      </c>
      <c r="W143" s="33">
        <f>COUNTIFS('Data For Calculation - Insuranc'!A:A,A143,'Data For Calculation - Insuranc'!D:D,"Company",'Data For Calculation - Insuranc'!E:E,"Bundled - 1 Year OD + 5 Year TP")</f>
        <v>0</v>
      </c>
      <c r="X143" s="34" t="s">
        <v>3929</v>
      </c>
      <c r="Y143" s="42" t="s">
        <v>3820</v>
      </c>
      <c r="Z143" s="31">
        <v>290.0</v>
      </c>
      <c r="AA143" s="34" t="s">
        <v>3853</v>
      </c>
      <c r="AB143" s="34">
        <v>0.0</v>
      </c>
      <c r="AC143" s="34">
        <v>100.0</v>
      </c>
      <c r="AD143" s="34">
        <v>0.0</v>
      </c>
      <c r="AE143" s="34">
        <v>0.0</v>
      </c>
      <c r="AF143" s="33">
        <f>COUNTIFS('Data For Calculation - Insuranc'!A:A,A143,'Data For Calculation - Insuranc'!D:D,"Individual",'Data For Calculation - Insuranc'!E:E,"Rollover Comprehensive - 1 Year OD + 1 Year TP")</f>
        <v>0</v>
      </c>
      <c r="AG143" s="34" t="s">
        <v>3930</v>
      </c>
      <c r="AH143" s="42" t="s">
        <v>3820</v>
      </c>
      <c r="AI143" s="31">
        <v>290.0</v>
      </c>
      <c r="AJ143" s="34" t="s">
        <v>3853</v>
      </c>
      <c r="AK143" s="34">
        <v>0.0</v>
      </c>
      <c r="AL143" s="34">
        <v>100.0</v>
      </c>
      <c r="AM143" s="34">
        <v>0.0</v>
      </c>
      <c r="AN143" s="34">
        <v>0.0</v>
      </c>
      <c r="AO143" s="33">
        <f>COUNTIFS('Data For Calculation - Insuranc'!A:A,A143,'Data For Calculation - Insuranc'!D:D,"Company",'Data For Calculation - Insuranc'!E:E,"Rollover Comprehensive - 1 Year OD + 1 Year TP")</f>
        <v>0</v>
      </c>
      <c r="AP143" s="34" t="s">
        <v>3931</v>
      </c>
      <c r="AQ143" s="42" t="s">
        <v>3820</v>
      </c>
      <c r="AR143" s="31">
        <v>290.0</v>
      </c>
      <c r="AS143" s="34" t="s">
        <v>3853</v>
      </c>
      <c r="AT143" s="34">
        <v>0.0</v>
      </c>
      <c r="AU143" s="34">
        <v>100.0</v>
      </c>
      <c r="AV143" s="34">
        <v>0.0</v>
      </c>
      <c r="AW143" s="34">
        <v>0.0</v>
      </c>
      <c r="AX143" s="33">
        <f>COUNTIFS('Data For Calculation - Insuranc'!A:A,A143,'Data For Calculation - Insuranc'!D:D,"Individual",'Data For Calculation - Insuranc'!E:E,"Rollover - 1 Year OD Only")</f>
        <v>0</v>
      </c>
      <c r="AY143" s="34" t="s">
        <v>3932</v>
      </c>
      <c r="AZ143" s="42" t="s">
        <v>3820</v>
      </c>
      <c r="BA143" s="31">
        <v>290.0</v>
      </c>
      <c r="BB143" s="34" t="s">
        <v>3853</v>
      </c>
      <c r="BC143" s="34">
        <v>0.0</v>
      </c>
      <c r="BD143" s="34">
        <v>100.0</v>
      </c>
      <c r="BE143" s="34">
        <v>0.0</v>
      </c>
      <c r="BF143" s="34">
        <v>0.0</v>
      </c>
      <c r="BG143" s="33">
        <f>COUNTIFS('Data For Calculation - Insuranc'!A:A,A143,'Data For Calculation - Insuranc'!D:D,"Company",'Data For Calculation - Insuranc'!E:E,"Rollover - 1 Year OD Only")</f>
        <v>0</v>
      </c>
      <c r="BH143" s="34" t="s">
        <v>3931</v>
      </c>
      <c r="BI143" s="42" t="s">
        <v>3820</v>
      </c>
      <c r="BJ143" s="31">
        <v>290.0</v>
      </c>
      <c r="BK143" s="34" t="s">
        <v>3853</v>
      </c>
      <c r="BL143" s="34">
        <v>0.0</v>
      </c>
      <c r="BM143" s="34">
        <v>100.0</v>
      </c>
      <c r="BN143" s="34">
        <v>0.0</v>
      </c>
      <c r="BO143" s="34">
        <v>0.0</v>
      </c>
      <c r="BP143" s="33">
        <f>COUNTIFS('Data For Calculation - Insuranc'!A:A,A143,'Data For Calculation - Insuranc'!D:D,"Individual",'Data For Calculation - Insuranc'!E:E,"Rollover - 1 Year TP Only")</f>
        <v>0</v>
      </c>
      <c r="BQ143" s="34" t="s">
        <v>3932</v>
      </c>
      <c r="BR143" s="42" t="s">
        <v>3820</v>
      </c>
      <c r="BS143" s="31">
        <v>290.0</v>
      </c>
      <c r="BT143" s="34" t="s">
        <v>3853</v>
      </c>
      <c r="BU143" s="34">
        <v>0.0</v>
      </c>
      <c r="BV143" s="34">
        <v>100.0</v>
      </c>
      <c r="BW143" s="34">
        <v>0.0</v>
      </c>
      <c r="BX143" s="34">
        <v>0.0</v>
      </c>
      <c r="BY143" s="33">
        <f>COUNTIFS('Data For Calculation - Insuranc'!A:A,A143,'Data For Calculation - Insuranc'!D:D,"Company",'Data For Calculation - Insuranc'!E:E,"Rollover - 1 Year TP Only")</f>
        <v>0</v>
      </c>
      <c r="BZ143" s="31">
        <f t="shared" si="1"/>
        <v>0</v>
      </c>
      <c r="CA143" s="33">
        <f>SUMIFS('Data For Calculation - Insuranc'!I:I,'Data For Calculation - Insuranc'!$A:$A,$A143)</f>
        <v>0</v>
      </c>
      <c r="CB143" s="33">
        <f>SUMIFS('Data For Calculation - Insuranc'!J:J,'Data For Calculation - Insuranc'!$A:$A,$A143)</f>
        <v>0</v>
      </c>
      <c r="CC143" s="33">
        <f>SUMIFS('Data For Calculation - Insuranc'!K:K,'Data For Calculation - Insuranc'!$A:$A,$A143)</f>
        <v>0</v>
      </c>
      <c r="CD143" s="33">
        <f>IF($CK143 = "Dealer", SUMIFS('Data For Calculation - Insuranc'!I:I,'Data For Calculation - Insuranc'!$B:$B,$A143,'Data For Calculation - Insuranc'!$H:$H,"Master Dealer")) + SUMIFS('Data For Calculation - Insuranc'!I:I,'Data For Calculation - Insuranc'!$A:$A,$A143,'Data For Calculation - Insuranc'!$H:$H,"Self")</f>
        <v>0</v>
      </c>
      <c r="CE143" s="33">
        <f>IF($CK143 = "Dealer", SUMIFS('Data For Calculation - Insuranc'!J:J,'Data For Calculation - Insuranc'!$B:$B,$A143,'Data For Calculation - Insuranc'!$H:$H,"Master Dealer")) + SUMIFS('Data For Calculation - Insuranc'!J:J,'Data For Calculation - Insuranc'!$A:$A,$A143,'Data For Calculation - Insuranc'!$H:$H,"Self")</f>
        <v>0</v>
      </c>
      <c r="CF143" s="33">
        <f>IF($CK143 = "Dealer", SUMIFS('Data For Calculation - Insuranc'!K:K,'Data For Calculation - Insuranc'!$B:$B,$A143,'Data For Calculation - Insuranc'!$H:$H,"Master Dealer")) + SUMIFS('Data For Calculation - Insuranc'!K:K,'Data For Calculation - Insuranc'!$A:$A,$A143,'Data For Calculation - Insuranc'!$H:$H,"Self")</f>
        <v>0</v>
      </c>
      <c r="CG143" s="25" t="str">
        <f>(Sheet1!N143)</f>
        <v>Prema Honda-2-BIHAR</v>
      </c>
      <c r="CH143" s="25" t="str">
        <f>(Sheet1!O143)</f>
        <v>1rJGxnVgNYw4R0sSIyn3TAqm2-oK_NlkxU2BLo1Qupus</v>
      </c>
      <c r="CI143" s="25" t="str">
        <f>(Sheet1!AV143)</f>
        <v/>
      </c>
      <c r="CJ143" s="25" t="str">
        <f>(Sheet1!AW143)</f>
        <v/>
      </c>
      <c r="CK143" s="26" t="str">
        <f>(Sheet1!P143)</f>
        <v>Dealer</v>
      </c>
    </row>
    <row r="144">
      <c r="A144" s="25" t="str">
        <f>(Sheet1!A144)</f>
        <v>1Y6CS_YCls02UZ2FEArdhqIm2nzY7mjD6osbZ1wBxDHc</v>
      </c>
      <c r="B144" s="25" t="str">
        <f>(Sheet1!B144)</f>
        <v>PREMA HONDA - RING ROAD</v>
      </c>
      <c r="C144" s="30" t="str">
        <f>Sheet1!BB144</f>
        <v>No</v>
      </c>
      <c r="D144" s="30" t="s">
        <v>13</v>
      </c>
      <c r="E144" s="34" t="s">
        <v>13</v>
      </c>
      <c r="F144" s="34" t="s">
        <v>3929</v>
      </c>
      <c r="G144" s="42" t="s">
        <v>3820</v>
      </c>
      <c r="H144" s="43">
        <v>460.0</v>
      </c>
      <c r="I144" s="42" t="s">
        <v>3853</v>
      </c>
      <c r="J144" s="43">
        <v>0.0</v>
      </c>
      <c r="K144" s="43">
        <v>100.0</v>
      </c>
      <c r="L144" s="43">
        <v>0.0</v>
      </c>
      <c r="M144" s="43">
        <v>0.0</v>
      </c>
      <c r="N144" s="33">
        <f>COUNTIFS('Data For Calculation - Insuranc'!A:A,A144,'Data For Calculation - Insuranc'!D:D,"Individual",'Data For Calculation - Insuranc'!E:E,"Bundled - 1 Year OD + 5 Year TP")</f>
        <v>0</v>
      </c>
      <c r="O144" s="34" t="s">
        <v>3930</v>
      </c>
      <c r="P144" s="42" t="s">
        <v>3820</v>
      </c>
      <c r="Q144" s="43">
        <v>460.0</v>
      </c>
      <c r="R144" s="42" t="s">
        <v>3853</v>
      </c>
      <c r="S144" s="43">
        <v>0.0</v>
      </c>
      <c r="T144" s="43">
        <v>100.0</v>
      </c>
      <c r="U144" s="43">
        <v>0.0</v>
      </c>
      <c r="V144" s="43">
        <v>0.0</v>
      </c>
      <c r="W144" s="33">
        <f>COUNTIFS('Data For Calculation - Insuranc'!A:A,A144,'Data For Calculation - Insuranc'!D:D,"Company",'Data For Calculation - Insuranc'!E:E,"Bundled - 1 Year OD + 5 Year TP")</f>
        <v>0</v>
      </c>
      <c r="X144" s="34" t="s">
        <v>3929</v>
      </c>
      <c r="Y144" s="42" t="s">
        <v>3820</v>
      </c>
      <c r="Z144" s="31">
        <v>290.0</v>
      </c>
      <c r="AA144" s="34" t="s">
        <v>3853</v>
      </c>
      <c r="AB144" s="34">
        <v>0.0</v>
      </c>
      <c r="AC144" s="34">
        <v>100.0</v>
      </c>
      <c r="AD144" s="34">
        <v>0.0</v>
      </c>
      <c r="AE144" s="34">
        <v>0.0</v>
      </c>
      <c r="AF144" s="33">
        <f>COUNTIFS('Data For Calculation - Insuranc'!A:A,A144,'Data For Calculation - Insuranc'!D:D,"Individual",'Data For Calculation - Insuranc'!E:E,"Rollover Comprehensive - 1 Year OD + 1 Year TP")</f>
        <v>0</v>
      </c>
      <c r="AG144" s="34" t="s">
        <v>3930</v>
      </c>
      <c r="AH144" s="42" t="s">
        <v>3820</v>
      </c>
      <c r="AI144" s="31">
        <v>290.0</v>
      </c>
      <c r="AJ144" s="34" t="s">
        <v>3853</v>
      </c>
      <c r="AK144" s="34">
        <v>0.0</v>
      </c>
      <c r="AL144" s="34">
        <v>100.0</v>
      </c>
      <c r="AM144" s="34">
        <v>0.0</v>
      </c>
      <c r="AN144" s="34">
        <v>0.0</v>
      </c>
      <c r="AO144" s="33">
        <f>COUNTIFS('Data For Calculation - Insuranc'!A:A,A144,'Data For Calculation - Insuranc'!D:D,"Company",'Data For Calculation - Insuranc'!E:E,"Rollover Comprehensive - 1 Year OD + 1 Year TP")</f>
        <v>0</v>
      </c>
      <c r="AP144" s="34" t="s">
        <v>3931</v>
      </c>
      <c r="AQ144" s="42" t="s">
        <v>3820</v>
      </c>
      <c r="AR144" s="31">
        <v>290.0</v>
      </c>
      <c r="AS144" s="34" t="s">
        <v>3853</v>
      </c>
      <c r="AT144" s="34">
        <v>0.0</v>
      </c>
      <c r="AU144" s="34">
        <v>100.0</v>
      </c>
      <c r="AV144" s="34">
        <v>0.0</v>
      </c>
      <c r="AW144" s="34">
        <v>0.0</v>
      </c>
      <c r="AX144" s="33">
        <f>COUNTIFS('Data For Calculation - Insuranc'!A:A,A144,'Data For Calculation - Insuranc'!D:D,"Individual",'Data For Calculation - Insuranc'!E:E,"Rollover - 1 Year OD Only")</f>
        <v>0</v>
      </c>
      <c r="AY144" s="34" t="s">
        <v>3932</v>
      </c>
      <c r="AZ144" s="42" t="s">
        <v>3820</v>
      </c>
      <c r="BA144" s="31">
        <v>290.0</v>
      </c>
      <c r="BB144" s="34" t="s">
        <v>3853</v>
      </c>
      <c r="BC144" s="34">
        <v>0.0</v>
      </c>
      <c r="BD144" s="34">
        <v>100.0</v>
      </c>
      <c r="BE144" s="34">
        <v>0.0</v>
      </c>
      <c r="BF144" s="34">
        <v>0.0</v>
      </c>
      <c r="BG144" s="33">
        <f>COUNTIFS('Data For Calculation - Insuranc'!A:A,A144,'Data For Calculation - Insuranc'!D:D,"Company",'Data For Calculation - Insuranc'!E:E,"Rollover - 1 Year OD Only")</f>
        <v>0</v>
      </c>
      <c r="BH144" s="34" t="s">
        <v>3931</v>
      </c>
      <c r="BI144" s="42" t="s">
        <v>3820</v>
      </c>
      <c r="BJ144" s="31">
        <v>290.0</v>
      </c>
      <c r="BK144" s="34" t="s">
        <v>3853</v>
      </c>
      <c r="BL144" s="34">
        <v>0.0</v>
      </c>
      <c r="BM144" s="34">
        <v>100.0</v>
      </c>
      <c r="BN144" s="34">
        <v>0.0</v>
      </c>
      <c r="BO144" s="34">
        <v>0.0</v>
      </c>
      <c r="BP144" s="33">
        <f>COUNTIFS('Data For Calculation - Insuranc'!A:A,A144,'Data For Calculation - Insuranc'!D:D,"Individual",'Data For Calculation - Insuranc'!E:E,"Rollover - 1 Year TP Only")</f>
        <v>0</v>
      </c>
      <c r="BQ144" s="34" t="s">
        <v>3932</v>
      </c>
      <c r="BR144" s="42" t="s">
        <v>3820</v>
      </c>
      <c r="BS144" s="31">
        <v>290.0</v>
      </c>
      <c r="BT144" s="34" t="s">
        <v>3853</v>
      </c>
      <c r="BU144" s="34">
        <v>0.0</v>
      </c>
      <c r="BV144" s="34">
        <v>100.0</v>
      </c>
      <c r="BW144" s="34">
        <v>0.0</v>
      </c>
      <c r="BX144" s="34">
        <v>0.0</v>
      </c>
      <c r="BY144" s="33">
        <f>COUNTIFS('Data For Calculation - Insuranc'!A:A,A144,'Data For Calculation - Insuranc'!D:D,"Company",'Data For Calculation - Insuranc'!E:E,"Rollover - 1 Year TP Only")</f>
        <v>0</v>
      </c>
      <c r="BZ144" s="31">
        <f t="shared" si="1"/>
        <v>0</v>
      </c>
      <c r="CA144" s="33">
        <f>SUMIFS('Data For Calculation - Insuranc'!I:I,'Data For Calculation - Insuranc'!$A:$A,$A144)</f>
        <v>0</v>
      </c>
      <c r="CB144" s="33">
        <f>SUMIFS('Data For Calculation - Insuranc'!J:J,'Data For Calculation - Insuranc'!$A:$A,$A144)</f>
        <v>0</v>
      </c>
      <c r="CC144" s="33">
        <f>SUMIFS('Data For Calculation - Insuranc'!K:K,'Data For Calculation - Insuranc'!$A:$A,$A144)</f>
        <v>0</v>
      </c>
      <c r="CD144" s="33">
        <f>IF($CK144 = "Dealer", SUMIFS('Data For Calculation - Insuranc'!I:I,'Data For Calculation - Insuranc'!$B:$B,$A144,'Data For Calculation - Insuranc'!$H:$H,"Master Dealer")) + SUMIFS('Data For Calculation - Insuranc'!I:I,'Data For Calculation - Insuranc'!$A:$A,$A144,'Data For Calculation - Insuranc'!$H:$H,"Self")</f>
        <v>0</v>
      </c>
      <c r="CE144" s="33">
        <f>IF($CK144 = "Dealer", SUMIFS('Data For Calculation - Insuranc'!J:J,'Data For Calculation - Insuranc'!$B:$B,$A144,'Data For Calculation - Insuranc'!$H:$H,"Master Dealer")) + SUMIFS('Data For Calculation - Insuranc'!J:J,'Data For Calculation - Insuranc'!$A:$A,$A144,'Data For Calculation - Insuranc'!$H:$H,"Self")</f>
        <v>0</v>
      </c>
      <c r="CF144" s="33">
        <f>IF($CK144 = "Dealer", SUMIFS('Data For Calculation - Insuranc'!K:K,'Data For Calculation - Insuranc'!$B:$B,$A144,'Data For Calculation - Insuranc'!$H:$H,"Master Dealer")) + SUMIFS('Data For Calculation - Insuranc'!K:K,'Data For Calculation - Insuranc'!$A:$A,$A144,'Data For Calculation - Insuranc'!$H:$H,"Self")</f>
        <v>0</v>
      </c>
      <c r="CG144" s="25" t="str">
        <f>(Sheet1!N144)</f>
        <v>PREMA HONDA - RING ROAD</v>
      </c>
      <c r="CH144" s="25" t="str">
        <f>(Sheet1!O144)</f>
        <v>1Y6CS_YCls02UZ2FEArdhqIm2nzY7mjD6osbZ1wBxDHc</v>
      </c>
      <c r="CI144" s="25" t="str">
        <f>(Sheet1!AV144)</f>
        <v/>
      </c>
      <c r="CJ144" s="25" t="str">
        <f>(Sheet1!AW144)</f>
        <v/>
      </c>
      <c r="CK144" s="26" t="str">
        <f>(Sheet1!P144)</f>
        <v>Dealer</v>
      </c>
    </row>
    <row r="145">
      <c r="A145" s="25" t="str">
        <f>(Sheet1!A145)</f>
        <v>192zKbFKanpgygP9G48DLmPDTTKNW3gODllZMh9lO2n4</v>
      </c>
      <c r="B145" s="25" t="str">
        <f>(Sheet1!B145)</f>
        <v>Jawahar Motors - Moradabad</v>
      </c>
      <c r="C145" s="30" t="str">
        <f>Sheet1!BB145</f>
        <v>No</v>
      </c>
      <c r="D145" s="30" t="s">
        <v>13</v>
      </c>
      <c r="E145" s="34" t="s">
        <v>13</v>
      </c>
      <c r="F145" s="34" t="s">
        <v>3929</v>
      </c>
      <c r="G145" s="42" t="s">
        <v>3820</v>
      </c>
      <c r="H145" s="43">
        <v>460.0</v>
      </c>
      <c r="I145" s="42" t="s">
        <v>3853</v>
      </c>
      <c r="J145" s="43">
        <v>0.0</v>
      </c>
      <c r="K145" s="43">
        <v>100.0</v>
      </c>
      <c r="L145" s="43">
        <v>0.0</v>
      </c>
      <c r="M145" s="43">
        <v>0.0</v>
      </c>
      <c r="N145" s="33">
        <f>COUNTIFS('Data For Calculation - Insuranc'!A:A,A145,'Data For Calculation - Insuranc'!D:D,"Individual",'Data For Calculation - Insuranc'!E:E,"Bundled - 1 Year OD + 5 Year TP")</f>
        <v>0</v>
      </c>
      <c r="O145" s="34" t="s">
        <v>3930</v>
      </c>
      <c r="P145" s="42" t="s">
        <v>3820</v>
      </c>
      <c r="Q145" s="43">
        <v>460.0</v>
      </c>
      <c r="R145" s="42" t="s">
        <v>3853</v>
      </c>
      <c r="S145" s="43">
        <v>0.0</v>
      </c>
      <c r="T145" s="43">
        <v>100.0</v>
      </c>
      <c r="U145" s="43">
        <v>0.0</v>
      </c>
      <c r="V145" s="43">
        <v>0.0</v>
      </c>
      <c r="W145" s="33">
        <f>COUNTIFS('Data For Calculation - Insuranc'!A:A,A145,'Data For Calculation - Insuranc'!D:D,"Company",'Data For Calculation - Insuranc'!E:E,"Bundled - 1 Year OD + 5 Year TP")</f>
        <v>0</v>
      </c>
      <c r="X145" s="34" t="s">
        <v>3929</v>
      </c>
      <c r="Y145" s="42" t="s">
        <v>3820</v>
      </c>
      <c r="Z145" s="31">
        <v>290.0</v>
      </c>
      <c r="AA145" s="34" t="s">
        <v>3853</v>
      </c>
      <c r="AB145" s="34">
        <v>0.0</v>
      </c>
      <c r="AC145" s="34">
        <v>100.0</v>
      </c>
      <c r="AD145" s="34">
        <v>0.0</v>
      </c>
      <c r="AE145" s="34">
        <v>0.0</v>
      </c>
      <c r="AF145" s="33">
        <f>COUNTIFS('Data For Calculation - Insuranc'!A:A,A145,'Data For Calculation - Insuranc'!D:D,"Individual",'Data For Calculation - Insuranc'!E:E,"Rollover Comprehensive - 1 Year OD + 1 Year TP")</f>
        <v>0</v>
      </c>
      <c r="AG145" s="34" t="s">
        <v>3930</v>
      </c>
      <c r="AH145" s="42" t="s">
        <v>3820</v>
      </c>
      <c r="AI145" s="31">
        <v>290.0</v>
      </c>
      <c r="AJ145" s="34" t="s">
        <v>3853</v>
      </c>
      <c r="AK145" s="34">
        <v>0.0</v>
      </c>
      <c r="AL145" s="34">
        <v>100.0</v>
      </c>
      <c r="AM145" s="34">
        <v>0.0</v>
      </c>
      <c r="AN145" s="34">
        <v>0.0</v>
      </c>
      <c r="AO145" s="33">
        <f>COUNTIFS('Data For Calculation - Insuranc'!A:A,A145,'Data For Calculation - Insuranc'!D:D,"Company",'Data For Calculation - Insuranc'!E:E,"Rollover Comprehensive - 1 Year OD + 1 Year TP")</f>
        <v>0</v>
      </c>
      <c r="AP145" s="34" t="s">
        <v>3931</v>
      </c>
      <c r="AQ145" s="42" t="s">
        <v>3820</v>
      </c>
      <c r="AR145" s="31">
        <v>290.0</v>
      </c>
      <c r="AS145" s="34" t="s">
        <v>3853</v>
      </c>
      <c r="AT145" s="34">
        <v>0.0</v>
      </c>
      <c r="AU145" s="34">
        <v>100.0</v>
      </c>
      <c r="AV145" s="34">
        <v>0.0</v>
      </c>
      <c r="AW145" s="34">
        <v>0.0</v>
      </c>
      <c r="AX145" s="33">
        <f>COUNTIFS('Data For Calculation - Insuranc'!A:A,A145,'Data For Calculation - Insuranc'!D:D,"Individual",'Data For Calculation - Insuranc'!E:E,"Rollover - 1 Year OD Only")</f>
        <v>0</v>
      </c>
      <c r="AY145" s="34" t="s">
        <v>3932</v>
      </c>
      <c r="AZ145" s="42" t="s">
        <v>3820</v>
      </c>
      <c r="BA145" s="31">
        <v>290.0</v>
      </c>
      <c r="BB145" s="34" t="s">
        <v>3853</v>
      </c>
      <c r="BC145" s="34">
        <v>0.0</v>
      </c>
      <c r="BD145" s="34">
        <v>100.0</v>
      </c>
      <c r="BE145" s="34">
        <v>0.0</v>
      </c>
      <c r="BF145" s="34">
        <v>0.0</v>
      </c>
      <c r="BG145" s="33">
        <f>COUNTIFS('Data For Calculation - Insuranc'!A:A,A145,'Data For Calculation - Insuranc'!D:D,"Company",'Data For Calculation - Insuranc'!E:E,"Rollover - 1 Year OD Only")</f>
        <v>0</v>
      </c>
      <c r="BH145" s="34" t="s">
        <v>3931</v>
      </c>
      <c r="BI145" s="42" t="s">
        <v>3820</v>
      </c>
      <c r="BJ145" s="31">
        <v>290.0</v>
      </c>
      <c r="BK145" s="34" t="s">
        <v>3853</v>
      </c>
      <c r="BL145" s="34">
        <v>0.0</v>
      </c>
      <c r="BM145" s="34">
        <v>100.0</v>
      </c>
      <c r="BN145" s="34">
        <v>0.0</v>
      </c>
      <c r="BO145" s="34">
        <v>0.0</v>
      </c>
      <c r="BP145" s="33">
        <f>COUNTIFS('Data For Calculation - Insuranc'!A:A,A145,'Data For Calculation - Insuranc'!D:D,"Individual",'Data For Calculation - Insuranc'!E:E,"Rollover - 1 Year TP Only")</f>
        <v>0</v>
      </c>
      <c r="BQ145" s="34" t="s">
        <v>3932</v>
      </c>
      <c r="BR145" s="42" t="s">
        <v>3820</v>
      </c>
      <c r="BS145" s="31">
        <v>290.0</v>
      </c>
      <c r="BT145" s="34" t="s">
        <v>3853</v>
      </c>
      <c r="BU145" s="34">
        <v>0.0</v>
      </c>
      <c r="BV145" s="34">
        <v>100.0</v>
      </c>
      <c r="BW145" s="34">
        <v>0.0</v>
      </c>
      <c r="BX145" s="34">
        <v>0.0</v>
      </c>
      <c r="BY145" s="33">
        <f>COUNTIFS('Data For Calculation - Insuranc'!A:A,A145,'Data For Calculation - Insuranc'!D:D,"Company",'Data For Calculation - Insuranc'!E:E,"Rollover - 1 Year TP Only")</f>
        <v>0</v>
      </c>
      <c r="BZ145" s="31">
        <f t="shared" si="1"/>
        <v>0</v>
      </c>
      <c r="CA145" s="33">
        <f>SUMIFS('Data For Calculation - Insuranc'!I:I,'Data For Calculation - Insuranc'!$A:$A,$A145)</f>
        <v>0</v>
      </c>
      <c r="CB145" s="33">
        <f>SUMIFS('Data For Calculation - Insuranc'!J:J,'Data For Calculation - Insuranc'!$A:$A,$A145)</f>
        <v>0</v>
      </c>
      <c r="CC145" s="33">
        <f>SUMIFS('Data For Calculation - Insuranc'!K:K,'Data For Calculation - Insuranc'!$A:$A,$A145)</f>
        <v>0</v>
      </c>
      <c r="CD145" s="33">
        <f>IF($CK145 = "Dealer", SUMIFS('Data For Calculation - Insuranc'!I:I,'Data For Calculation - Insuranc'!$B:$B,$A145,'Data For Calculation - Insuranc'!$H:$H,"Master Dealer")) + SUMIFS('Data For Calculation - Insuranc'!I:I,'Data For Calculation - Insuranc'!$A:$A,$A145,'Data For Calculation - Insuranc'!$H:$H,"Self")</f>
        <v>0</v>
      </c>
      <c r="CE145" s="33">
        <f>IF($CK145 = "Dealer", SUMIFS('Data For Calculation - Insuranc'!J:J,'Data For Calculation - Insuranc'!$B:$B,$A145,'Data For Calculation - Insuranc'!$H:$H,"Master Dealer")) + SUMIFS('Data For Calculation - Insuranc'!J:J,'Data For Calculation - Insuranc'!$A:$A,$A145,'Data For Calculation - Insuranc'!$H:$H,"Self")</f>
        <v>0</v>
      </c>
      <c r="CF145" s="33">
        <f>IF($CK145 = "Dealer", SUMIFS('Data For Calculation - Insuranc'!K:K,'Data For Calculation - Insuranc'!$B:$B,$A145,'Data For Calculation - Insuranc'!$H:$H,"Master Dealer")) + SUMIFS('Data For Calculation - Insuranc'!K:K,'Data For Calculation - Insuranc'!$A:$A,$A145,'Data For Calculation - Insuranc'!$H:$H,"Self")</f>
        <v>0</v>
      </c>
      <c r="CG145" s="25" t="str">
        <f>(Sheet1!N145)</f>
        <v>Jawahar Motors - Moradabad</v>
      </c>
      <c r="CH145" s="25" t="str">
        <f>(Sheet1!O145)</f>
        <v>192zKbFKanpgygP9G48DLmPDTTKNW3gODllZMh9lO2n4</v>
      </c>
      <c r="CI145" s="25" t="str">
        <f>(Sheet1!AV145)</f>
        <v/>
      </c>
      <c r="CJ145" s="25" t="str">
        <f>(Sheet1!AW145)</f>
        <v/>
      </c>
      <c r="CK145" s="26" t="str">
        <f>(Sheet1!P145)</f>
        <v>Dealer</v>
      </c>
    </row>
    <row r="146">
      <c r="A146" s="25" t="str">
        <f>(Sheet1!A146)</f>
        <v>1qQZx2rIu3czgGT-jqqGQhriwwhiT40cPvlLtgeF1YSg</v>
      </c>
      <c r="B146" s="25" t="str">
        <f>(Sheet1!B146)</f>
        <v>Balaji Motors - Hardoi</v>
      </c>
      <c r="C146" s="30" t="str">
        <f>Sheet1!BB146</f>
        <v>No</v>
      </c>
      <c r="D146" s="30" t="s">
        <v>13</v>
      </c>
      <c r="E146" s="34" t="s">
        <v>13</v>
      </c>
      <c r="F146" s="34" t="s">
        <v>3929</v>
      </c>
      <c r="G146" s="42" t="s">
        <v>3820</v>
      </c>
      <c r="H146" s="43">
        <v>460.0</v>
      </c>
      <c r="I146" s="42" t="s">
        <v>3853</v>
      </c>
      <c r="J146" s="43">
        <v>0.0</v>
      </c>
      <c r="K146" s="43">
        <v>100.0</v>
      </c>
      <c r="L146" s="43">
        <v>0.0</v>
      </c>
      <c r="M146" s="43">
        <v>0.0</v>
      </c>
      <c r="N146" s="33">
        <f>COUNTIFS('Data For Calculation - Insuranc'!A:A,A146,'Data For Calculation - Insuranc'!D:D,"Individual",'Data For Calculation - Insuranc'!E:E,"Bundled - 1 Year OD + 5 Year TP")</f>
        <v>0</v>
      </c>
      <c r="O146" s="34" t="s">
        <v>3930</v>
      </c>
      <c r="P146" s="42" t="s">
        <v>3820</v>
      </c>
      <c r="Q146" s="43">
        <v>460.0</v>
      </c>
      <c r="R146" s="42" t="s">
        <v>3853</v>
      </c>
      <c r="S146" s="43">
        <v>0.0</v>
      </c>
      <c r="T146" s="43">
        <v>100.0</v>
      </c>
      <c r="U146" s="43">
        <v>0.0</v>
      </c>
      <c r="V146" s="43">
        <v>0.0</v>
      </c>
      <c r="W146" s="33">
        <f>COUNTIFS('Data For Calculation - Insuranc'!A:A,A146,'Data For Calculation - Insuranc'!D:D,"Company",'Data For Calculation - Insuranc'!E:E,"Bundled - 1 Year OD + 5 Year TP")</f>
        <v>0</v>
      </c>
      <c r="X146" s="34" t="s">
        <v>3929</v>
      </c>
      <c r="Y146" s="42" t="s">
        <v>3820</v>
      </c>
      <c r="Z146" s="31">
        <v>290.0</v>
      </c>
      <c r="AA146" s="34" t="s">
        <v>3853</v>
      </c>
      <c r="AB146" s="34">
        <v>0.0</v>
      </c>
      <c r="AC146" s="34">
        <v>100.0</v>
      </c>
      <c r="AD146" s="34">
        <v>0.0</v>
      </c>
      <c r="AE146" s="34">
        <v>0.0</v>
      </c>
      <c r="AF146" s="33">
        <f>COUNTIFS('Data For Calculation - Insuranc'!A:A,A146,'Data For Calculation - Insuranc'!D:D,"Individual",'Data For Calculation - Insuranc'!E:E,"Rollover Comprehensive - 1 Year OD + 1 Year TP")</f>
        <v>0</v>
      </c>
      <c r="AG146" s="34" t="s">
        <v>3930</v>
      </c>
      <c r="AH146" s="42" t="s">
        <v>3820</v>
      </c>
      <c r="AI146" s="31">
        <v>290.0</v>
      </c>
      <c r="AJ146" s="34" t="s">
        <v>3853</v>
      </c>
      <c r="AK146" s="34">
        <v>0.0</v>
      </c>
      <c r="AL146" s="34">
        <v>100.0</v>
      </c>
      <c r="AM146" s="34">
        <v>0.0</v>
      </c>
      <c r="AN146" s="34">
        <v>0.0</v>
      </c>
      <c r="AO146" s="33">
        <f>COUNTIFS('Data For Calculation - Insuranc'!A:A,A146,'Data For Calculation - Insuranc'!D:D,"Company",'Data For Calculation - Insuranc'!E:E,"Rollover Comprehensive - 1 Year OD + 1 Year TP")</f>
        <v>0</v>
      </c>
      <c r="AP146" s="34" t="s">
        <v>3931</v>
      </c>
      <c r="AQ146" s="42" t="s">
        <v>3820</v>
      </c>
      <c r="AR146" s="31">
        <v>290.0</v>
      </c>
      <c r="AS146" s="34" t="s">
        <v>3853</v>
      </c>
      <c r="AT146" s="34">
        <v>0.0</v>
      </c>
      <c r="AU146" s="34">
        <v>100.0</v>
      </c>
      <c r="AV146" s="34">
        <v>0.0</v>
      </c>
      <c r="AW146" s="34">
        <v>0.0</v>
      </c>
      <c r="AX146" s="33">
        <f>COUNTIFS('Data For Calculation - Insuranc'!A:A,A146,'Data For Calculation - Insuranc'!D:D,"Individual",'Data For Calculation - Insuranc'!E:E,"Rollover - 1 Year OD Only")</f>
        <v>0</v>
      </c>
      <c r="AY146" s="34" t="s">
        <v>3932</v>
      </c>
      <c r="AZ146" s="42" t="s">
        <v>3820</v>
      </c>
      <c r="BA146" s="31">
        <v>290.0</v>
      </c>
      <c r="BB146" s="34" t="s">
        <v>3853</v>
      </c>
      <c r="BC146" s="34">
        <v>0.0</v>
      </c>
      <c r="BD146" s="34">
        <v>100.0</v>
      </c>
      <c r="BE146" s="34">
        <v>0.0</v>
      </c>
      <c r="BF146" s="34">
        <v>0.0</v>
      </c>
      <c r="BG146" s="33">
        <f>COUNTIFS('Data For Calculation - Insuranc'!A:A,A146,'Data For Calculation - Insuranc'!D:D,"Company",'Data For Calculation - Insuranc'!E:E,"Rollover - 1 Year OD Only")</f>
        <v>0</v>
      </c>
      <c r="BH146" s="34" t="s">
        <v>3931</v>
      </c>
      <c r="BI146" s="42" t="s">
        <v>3820</v>
      </c>
      <c r="BJ146" s="31">
        <v>290.0</v>
      </c>
      <c r="BK146" s="34" t="s">
        <v>3853</v>
      </c>
      <c r="BL146" s="34">
        <v>0.0</v>
      </c>
      <c r="BM146" s="34">
        <v>100.0</v>
      </c>
      <c r="BN146" s="34">
        <v>0.0</v>
      </c>
      <c r="BO146" s="34">
        <v>0.0</v>
      </c>
      <c r="BP146" s="33">
        <f>COUNTIFS('Data For Calculation - Insuranc'!A:A,A146,'Data For Calculation - Insuranc'!D:D,"Individual",'Data For Calculation - Insuranc'!E:E,"Rollover - 1 Year TP Only")</f>
        <v>0</v>
      </c>
      <c r="BQ146" s="34" t="s">
        <v>3932</v>
      </c>
      <c r="BR146" s="42" t="s">
        <v>3820</v>
      </c>
      <c r="BS146" s="31">
        <v>290.0</v>
      </c>
      <c r="BT146" s="34" t="s">
        <v>3853</v>
      </c>
      <c r="BU146" s="34">
        <v>0.0</v>
      </c>
      <c r="BV146" s="34">
        <v>100.0</v>
      </c>
      <c r="BW146" s="34">
        <v>0.0</v>
      </c>
      <c r="BX146" s="34">
        <v>0.0</v>
      </c>
      <c r="BY146" s="33">
        <f>COUNTIFS('Data For Calculation - Insuranc'!A:A,A146,'Data For Calculation - Insuranc'!D:D,"Company",'Data For Calculation - Insuranc'!E:E,"Rollover - 1 Year TP Only")</f>
        <v>0</v>
      </c>
      <c r="BZ146" s="31">
        <f t="shared" si="1"/>
        <v>0</v>
      </c>
      <c r="CA146" s="33">
        <f>SUMIFS('Data For Calculation - Insuranc'!I:I,'Data For Calculation - Insuranc'!$A:$A,$A146)</f>
        <v>0</v>
      </c>
      <c r="CB146" s="33">
        <f>SUMIFS('Data For Calculation - Insuranc'!J:J,'Data For Calculation - Insuranc'!$A:$A,$A146)</f>
        <v>0</v>
      </c>
      <c r="CC146" s="33">
        <f>SUMIFS('Data For Calculation - Insuranc'!K:K,'Data For Calculation - Insuranc'!$A:$A,$A146)</f>
        <v>0</v>
      </c>
      <c r="CD146" s="33">
        <f>IF($CK146 = "Dealer", SUMIFS('Data For Calculation - Insuranc'!I:I,'Data For Calculation - Insuranc'!$B:$B,$A146,'Data For Calculation - Insuranc'!$H:$H,"Master Dealer")) + SUMIFS('Data For Calculation - Insuranc'!I:I,'Data For Calculation - Insuranc'!$A:$A,$A146,'Data For Calculation - Insuranc'!$H:$H,"Self")</f>
        <v>0</v>
      </c>
      <c r="CE146" s="33">
        <f>IF($CK146 = "Dealer", SUMIFS('Data For Calculation - Insuranc'!J:J,'Data For Calculation - Insuranc'!$B:$B,$A146,'Data For Calculation - Insuranc'!$H:$H,"Master Dealer")) + SUMIFS('Data For Calculation - Insuranc'!J:J,'Data For Calculation - Insuranc'!$A:$A,$A146,'Data For Calculation - Insuranc'!$H:$H,"Self")</f>
        <v>0</v>
      </c>
      <c r="CF146" s="33">
        <f>IF($CK146 = "Dealer", SUMIFS('Data For Calculation - Insuranc'!K:K,'Data For Calculation - Insuranc'!$B:$B,$A146,'Data For Calculation - Insuranc'!$H:$H,"Master Dealer")) + SUMIFS('Data For Calculation - Insuranc'!K:K,'Data For Calculation - Insuranc'!$A:$A,$A146,'Data For Calculation - Insuranc'!$H:$H,"Self")</f>
        <v>0</v>
      </c>
      <c r="CG146" s="25" t="str">
        <f>(Sheet1!N146)</f>
        <v>Balaji Motors - Hardoi</v>
      </c>
      <c r="CH146" s="25" t="str">
        <f>(Sheet1!O146)</f>
        <v>1qQZx2rIu3czgGT-jqqGQhriwwhiT40cPvlLtgeF1YSg</v>
      </c>
      <c r="CI146" s="25" t="str">
        <f>(Sheet1!AV146)</f>
        <v/>
      </c>
      <c r="CJ146" s="25" t="str">
        <f>(Sheet1!AW146)</f>
        <v/>
      </c>
      <c r="CK146" s="26" t="str">
        <f>(Sheet1!P146)</f>
        <v>Dealer</v>
      </c>
    </row>
    <row r="147">
      <c r="A147" s="25" t="str">
        <f>(Sheet1!A147)</f>
        <v>1S2YNz2hsIyDIwT68EF1VR8O-D7oanl9HQJpcApwJPG4</v>
      </c>
      <c r="B147" s="25" t="str">
        <f>(Sheet1!B147)</f>
        <v>Vanshadi Motors - Faizabad</v>
      </c>
      <c r="C147" s="30" t="str">
        <f>Sheet1!BB147</f>
        <v>No</v>
      </c>
      <c r="D147" s="30" t="s">
        <v>13</v>
      </c>
      <c r="E147" s="34" t="s">
        <v>13</v>
      </c>
      <c r="F147" s="34" t="s">
        <v>3929</v>
      </c>
      <c r="G147" s="42" t="s">
        <v>3820</v>
      </c>
      <c r="H147" s="43">
        <v>375.0</v>
      </c>
      <c r="I147" s="42" t="s">
        <v>3853</v>
      </c>
      <c r="J147" s="43">
        <v>0.0</v>
      </c>
      <c r="K147" s="43">
        <v>100.0</v>
      </c>
      <c r="L147" s="43">
        <v>0.0</v>
      </c>
      <c r="M147" s="43">
        <v>0.0</v>
      </c>
      <c r="N147" s="33">
        <f>COUNTIFS('Data For Calculation - Insuranc'!A:A,A147,'Data For Calculation - Insuranc'!D:D,"Individual",'Data For Calculation - Insuranc'!E:E,"Bundled - 1 Year OD + 5 Year TP")</f>
        <v>0</v>
      </c>
      <c r="O147" s="34" t="s">
        <v>3930</v>
      </c>
      <c r="P147" s="42" t="s">
        <v>3820</v>
      </c>
      <c r="Q147" s="43">
        <v>375.0</v>
      </c>
      <c r="R147" s="42" t="s">
        <v>3853</v>
      </c>
      <c r="S147" s="43">
        <v>0.0</v>
      </c>
      <c r="T147" s="43">
        <v>100.0</v>
      </c>
      <c r="U147" s="43">
        <v>0.0</v>
      </c>
      <c r="V147" s="43">
        <v>0.0</v>
      </c>
      <c r="W147" s="33">
        <f>COUNTIFS('Data For Calculation - Insuranc'!A:A,A147,'Data For Calculation - Insuranc'!D:D,"Company",'Data For Calculation - Insuranc'!E:E,"Bundled - 1 Year OD + 5 Year TP")</f>
        <v>0</v>
      </c>
      <c r="X147" s="34" t="s">
        <v>3929</v>
      </c>
      <c r="Y147" s="42" t="s">
        <v>3820</v>
      </c>
      <c r="Z147" s="31">
        <v>290.0</v>
      </c>
      <c r="AA147" s="34" t="s">
        <v>3853</v>
      </c>
      <c r="AB147" s="34">
        <v>0.0</v>
      </c>
      <c r="AC147" s="34">
        <v>100.0</v>
      </c>
      <c r="AD147" s="34">
        <v>0.0</v>
      </c>
      <c r="AE147" s="34">
        <v>0.0</v>
      </c>
      <c r="AF147" s="33">
        <f>COUNTIFS('Data For Calculation - Insuranc'!A:A,A147,'Data For Calculation - Insuranc'!D:D,"Individual",'Data For Calculation - Insuranc'!E:E,"Rollover Comprehensive - 1 Year OD + 1 Year TP")</f>
        <v>0</v>
      </c>
      <c r="AG147" s="34" t="s">
        <v>3930</v>
      </c>
      <c r="AH147" s="42" t="s">
        <v>3820</v>
      </c>
      <c r="AI147" s="31">
        <v>290.0</v>
      </c>
      <c r="AJ147" s="34" t="s">
        <v>3853</v>
      </c>
      <c r="AK147" s="34">
        <v>0.0</v>
      </c>
      <c r="AL147" s="34">
        <v>100.0</v>
      </c>
      <c r="AM147" s="34">
        <v>0.0</v>
      </c>
      <c r="AN147" s="34">
        <v>0.0</v>
      </c>
      <c r="AO147" s="33">
        <f>COUNTIFS('Data For Calculation - Insuranc'!A:A,A147,'Data For Calculation - Insuranc'!D:D,"Company",'Data For Calculation - Insuranc'!E:E,"Rollover Comprehensive - 1 Year OD + 1 Year TP")</f>
        <v>0</v>
      </c>
      <c r="AP147" s="34" t="s">
        <v>3931</v>
      </c>
      <c r="AQ147" s="42" t="s">
        <v>3820</v>
      </c>
      <c r="AR147" s="31">
        <v>290.0</v>
      </c>
      <c r="AS147" s="34" t="s">
        <v>3853</v>
      </c>
      <c r="AT147" s="34">
        <v>0.0</v>
      </c>
      <c r="AU147" s="34">
        <v>100.0</v>
      </c>
      <c r="AV147" s="34">
        <v>0.0</v>
      </c>
      <c r="AW147" s="34">
        <v>0.0</v>
      </c>
      <c r="AX147" s="33">
        <f>COUNTIFS('Data For Calculation - Insuranc'!A:A,A147,'Data For Calculation - Insuranc'!D:D,"Individual",'Data For Calculation - Insuranc'!E:E,"Rollover - 1 Year OD Only")</f>
        <v>0</v>
      </c>
      <c r="AY147" s="34" t="s">
        <v>3932</v>
      </c>
      <c r="AZ147" s="42" t="s">
        <v>3820</v>
      </c>
      <c r="BA147" s="31">
        <v>290.0</v>
      </c>
      <c r="BB147" s="34" t="s">
        <v>3853</v>
      </c>
      <c r="BC147" s="34">
        <v>0.0</v>
      </c>
      <c r="BD147" s="34">
        <v>100.0</v>
      </c>
      <c r="BE147" s="34">
        <v>0.0</v>
      </c>
      <c r="BF147" s="34">
        <v>0.0</v>
      </c>
      <c r="BG147" s="33">
        <f>COUNTIFS('Data For Calculation - Insuranc'!A:A,A147,'Data For Calculation - Insuranc'!D:D,"Company",'Data For Calculation - Insuranc'!E:E,"Rollover - 1 Year OD Only")</f>
        <v>0</v>
      </c>
      <c r="BH147" s="34" t="s">
        <v>3931</v>
      </c>
      <c r="BI147" s="42" t="s">
        <v>3820</v>
      </c>
      <c r="BJ147" s="31">
        <v>290.0</v>
      </c>
      <c r="BK147" s="34" t="s">
        <v>3853</v>
      </c>
      <c r="BL147" s="34">
        <v>0.0</v>
      </c>
      <c r="BM147" s="34">
        <v>100.0</v>
      </c>
      <c r="BN147" s="34">
        <v>0.0</v>
      </c>
      <c r="BO147" s="34">
        <v>0.0</v>
      </c>
      <c r="BP147" s="33">
        <f>COUNTIFS('Data For Calculation - Insuranc'!A:A,A147,'Data For Calculation - Insuranc'!D:D,"Individual",'Data For Calculation - Insuranc'!E:E,"Rollover - 1 Year TP Only")</f>
        <v>0</v>
      </c>
      <c r="BQ147" s="34" t="s">
        <v>3932</v>
      </c>
      <c r="BR147" s="42" t="s">
        <v>3820</v>
      </c>
      <c r="BS147" s="31">
        <v>290.0</v>
      </c>
      <c r="BT147" s="34" t="s">
        <v>3853</v>
      </c>
      <c r="BU147" s="34">
        <v>0.0</v>
      </c>
      <c r="BV147" s="34">
        <v>100.0</v>
      </c>
      <c r="BW147" s="34">
        <v>0.0</v>
      </c>
      <c r="BX147" s="34">
        <v>0.0</v>
      </c>
      <c r="BY147" s="33">
        <f>COUNTIFS('Data For Calculation - Insuranc'!A:A,A147,'Data For Calculation - Insuranc'!D:D,"Company",'Data For Calculation - Insuranc'!E:E,"Rollover - 1 Year TP Only")</f>
        <v>0</v>
      </c>
      <c r="BZ147" s="31">
        <f t="shared" si="1"/>
        <v>0</v>
      </c>
      <c r="CA147" s="33">
        <f>SUMIFS('Data For Calculation - Insuranc'!I:I,'Data For Calculation - Insuranc'!$A:$A,$A147)</f>
        <v>0</v>
      </c>
      <c r="CB147" s="33">
        <f>SUMIFS('Data For Calculation - Insuranc'!J:J,'Data For Calculation - Insuranc'!$A:$A,$A147)</f>
        <v>0</v>
      </c>
      <c r="CC147" s="33">
        <f>SUMIFS('Data For Calculation - Insuranc'!K:K,'Data For Calculation - Insuranc'!$A:$A,$A147)</f>
        <v>0</v>
      </c>
      <c r="CD147" s="33">
        <f>IF($CK147 = "Dealer", SUMIFS('Data For Calculation - Insuranc'!I:I,'Data For Calculation - Insuranc'!$B:$B,$A147,'Data For Calculation - Insuranc'!$H:$H,"Master Dealer")) + SUMIFS('Data For Calculation - Insuranc'!I:I,'Data For Calculation - Insuranc'!$A:$A,$A147,'Data For Calculation - Insuranc'!$H:$H,"Self")</f>
        <v>0</v>
      </c>
      <c r="CE147" s="33">
        <f>IF($CK147 = "Dealer", SUMIFS('Data For Calculation - Insuranc'!J:J,'Data For Calculation - Insuranc'!$B:$B,$A147,'Data For Calculation - Insuranc'!$H:$H,"Master Dealer")) + SUMIFS('Data For Calculation - Insuranc'!J:J,'Data For Calculation - Insuranc'!$A:$A,$A147,'Data For Calculation - Insuranc'!$H:$H,"Self")</f>
        <v>0</v>
      </c>
      <c r="CF147" s="33">
        <f>IF($CK147 = "Dealer", SUMIFS('Data For Calculation - Insuranc'!K:K,'Data For Calculation - Insuranc'!$B:$B,$A147,'Data For Calculation - Insuranc'!$H:$H,"Master Dealer")) + SUMIFS('Data For Calculation - Insuranc'!K:K,'Data For Calculation - Insuranc'!$A:$A,$A147,'Data For Calculation - Insuranc'!$H:$H,"Self")</f>
        <v>0</v>
      </c>
      <c r="CG147" s="25" t="str">
        <f>(Sheet1!N147)</f>
        <v>Vanshadi Motors - Faizabad</v>
      </c>
      <c r="CH147" s="25" t="str">
        <f>(Sheet1!O147)</f>
        <v>1S2YNz2hsIyDIwT68EF1VR8O-D7oanl9HQJpcApwJPG4</v>
      </c>
      <c r="CI147" s="25" t="str">
        <f>(Sheet1!AV147)</f>
        <v/>
      </c>
      <c r="CJ147" s="25" t="str">
        <f>(Sheet1!AW147)</f>
        <v/>
      </c>
      <c r="CK147" s="26" t="str">
        <f>(Sheet1!P147)</f>
        <v>Dealer</v>
      </c>
    </row>
    <row r="148">
      <c r="A148" s="25" t="str">
        <f>(Sheet1!A148)</f>
        <v>1BwcIzZvh2T5Ujlh5jkvkSeatvF-YbuitkQwoRkKGAHU</v>
      </c>
      <c r="B148" s="25" t="str">
        <f>(Sheet1!B148)</f>
        <v>Shree Shyam ji Hero- Meerut</v>
      </c>
      <c r="C148" s="30" t="str">
        <f>Sheet1!BB148</f>
        <v>No</v>
      </c>
      <c r="D148" s="30" t="s">
        <v>13</v>
      </c>
      <c r="E148" s="34" t="s">
        <v>13</v>
      </c>
      <c r="F148" s="34" t="s">
        <v>3929</v>
      </c>
      <c r="G148" s="42" t="s">
        <v>3820</v>
      </c>
      <c r="H148" s="43">
        <v>375.0</v>
      </c>
      <c r="I148" s="42" t="s">
        <v>3853</v>
      </c>
      <c r="J148" s="43">
        <v>0.0</v>
      </c>
      <c r="K148" s="43">
        <v>100.0</v>
      </c>
      <c r="L148" s="43">
        <v>0.0</v>
      </c>
      <c r="M148" s="43">
        <v>0.0</v>
      </c>
      <c r="N148" s="33">
        <f>COUNTIFS('Data For Calculation - Insuranc'!A:A,A148,'Data For Calculation - Insuranc'!D:D,"Individual",'Data For Calculation - Insuranc'!E:E,"Bundled - 1 Year OD + 5 Year TP")</f>
        <v>0</v>
      </c>
      <c r="O148" s="34" t="s">
        <v>3930</v>
      </c>
      <c r="P148" s="42" t="s">
        <v>3820</v>
      </c>
      <c r="Q148" s="43">
        <v>375.0</v>
      </c>
      <c r="R148" s="42" t="s">
        <v>3853</v>
      </c>
      <c r="S148" s="43">
        <v>0.0</v>
      </c>
      <c r="T148" s="43">
        <v>100.0</v>
      </c>
      <c r="U148" s="43">
        <v>0.0</v>
      </c>
      <c r="V148" s="43">
        <v>0.0</v>
      </c>
      <c r="W148" s="33">
        <f>COUNTIFS('Data For Calculation - Insuranc'!A:A,A148,'Data For Calculation - Insuranc'!D:D,"Company",'Data For Calculation - Insuranc'!E:E,"Bundled - 1 Year OD + 5 Year TP")</f>
        <v>0</v>
      </c>
      <c r="X148" s="34" t="s">
        <v>3929</v>
      </c>
      <c r="Y148" s="42" t="s">
        <v>3820</v>
      </c>
      <c r="Z148" s="31">
        <v>290.0</v>
      </c>
      <c r="AA148" s="34" t="s">
        <v>3853</v>
      </c>
      <c r="AB148" s="34">
        <v>0.0</v>
      </c>
      <c r="AC148" s="34">
        <v>100.0</v>
      </c>
      <c r="AD148" s="34">
        <v>0.0</v>
      </c>
      <c r="AE148" s="34">
        <v>0.0</v>
      </c>
      <c r="AF148" s="33">
        <f>COUNTIFS('Data For Calculation - Insuranc'!A:A,A148,'Data For Calculation - Insuranc'!D:D,"Individual",'Data For Calculation - Insuranc'!E:E,"Rollover Comprehensive - 1 Year OD + 1 Year TP")</f>
        <v>0</v>
      </c>
      <c r="AG148" s="34" t="s">
        <v>3930</v>
      </c>
      <c r="AH148" s="42" t="s">
        <v>3820</v>
      </c>
      <c r="AI148" s="31">
        <v>290.0</v>
      </c>
      <c r="AJ148" s="34" t="s">
        <v>3853</v>
      </c>
      <c r="AK148" s="34">
        <v>0.0</v>
      </c>
      <c r="AL148" s="34">
        <v>100.0</v>
      </c>
      <c r="AM148" s="34">
        <v>0.0</v>
      </c>
      <c r="AN148" s="34">
        <v>0.0</v>
      </c>
      <c r="AO148" s="33">
        <f>COUNTIFS('Data For Calculation - Insuranc'!A:A,A148,'Data For Calculation - Insuranc'!D:D,"Company",'Data For Calculation - Insuranc'!E:E,"Rollover Comprehensive - 1 Year OD + 1 Year TP")</f>
        <v>0</v>
      </c>
      <c r="AP148" s="34" t="s">
        <v>3931</v>
      </c>
      <c r="AQ148" s="42" t="s">
        <v>3820</v>
      </c>
      <c r="AR148" s="31">
        <v>290.0</v>
      </c>
      <c r="AS148" s="34" t="s">
        <v>3853</v>
      </c>
      <c r="AT148" s="34">
        <v>0.0</v>
      </c>
      <c r="AU148" s="34">
        <v>100.0</v>
      </c>
      <c r="AV148" s="34">
        <v>0.0</v>
      </c>
      <c r="AW148" s="34">
        <v>0.0</v>
      </c>
      <c r="AX148" s="33">
        <f>COUNTIFS('Data For Calculation - Insuranc'!A:A,A148,'Data For Calculation - Insuranc'!D:D,"Individual",'Data For Calculation - Insuranc'!E:E,"Rollover - 1 Year OD Only")</f>
        <v>0</v>
      </c>
      <c r="AY148" s="34" t="s">
        <v>3932</v>
      </c>
      <c r="AZ148" s="42" t="s">
        <v>3820</v>
      </c>
      <c r="BA148" s="31">
        <v>290.0</v>
      </c>
      <c r="BB148" s="34" t="s">
        <v>3853</v>
      </c>
      <c r="BC148" s="34">
        <v>0.0</v>
      </c>
      <c r="BD148" s="34">
        <v>100.0</v>
      </c>
      <c r="BE148" s="34">
        <v>0.0</v>
      </c>
      <c r="BF148" s="34">
        <v>0.0</v>
      </c>
      <c r="BG148" s="33">
        <f>COUNTIFS('Data For Calculation - Insuranc'!A:A,A148,'Data For Calculation - Insuranc'!D:D,"Company",'Data For Calculation - Insuranc'!E:E,"Rollover - 1 Year OD Only")</f>
        <v>0</v>
      </c>
      <c r="BH148" s="34" t="s">
        <v>3931</v>
      </c>
      <c r="BI148" s="42" t="s">
        <v>3820</v>
      </c>
      <c r="BJ148" s="31">
        <v>290.0</v>
      </c>
      <c r="BK148" s="34" t="s">
        <v>3853</v>
      </c>
      <c r="BL148" s="34">
        <v>0.0</v>
      </c>
      <c r="BM148" s="34">
        <v>100.0</v>
      </c>
      <c r="BN148" s="34">
        <v>0.0</v>
      </c>
      <c r="BO148" s="34">
        <v>0.0</v>
      </c>
      <c r="BP148" s="33">
        <f>COUNTIFS('Data For Calculation - Insuranc'!A:A,A148,'Data For Calculation - Insuranc'!D:D,"Individual",'Data For Calculation - Insuranc'!E:E,"Rollover - 1 Year TP Only")</f>
        <v>0</v>
      </c>
      <c r="BQ148" s="34" t="s">
        <v>3932</v>
      </c>
      <c r="BR148" s="42" t="s">
        <v>3820</v>
      </c>
      <c r="BS148" s="31">
        <v>290.0</v>
      </c>
      <c r="BT148" s="34" t="s">
        <v>3853</v>
      </c>
      <c r="BU148" s="34">
        <v>0.0</v>
      </c>
      <c r="BV148" s="34">
        <v>100.0</v>
      </c>
      <c r="BW148" s="34">
        <v>0.0</v>
      </c>
      <c r="BX148" s="34">
        <v>0.0</v>
      </c>
      <c r="BY148" s="33">
        <f>COUNTIFS('Data For Calculation - Insuranc'!A:A,A148,'Data For Calculation - Insuranc'!D:D,"Company",'Data For Calculation - Insuranc'!E:E,"Rollover - 1 Year TP Only")</f>
        <v>0</v>
      </c>
      <c r="BZ148" s="31">
        <f t="shared" si="1"/>
        <v>0</v>
      </c>
      <c r="CA148" s="33">
        <f>SUMIFS('Data For Calculation - Insuranc'!I:I,'Data For Calculation - Insuranc'!$A:$A,$A148)</f>
        <v>0</v>
      </c>
      <c r="CB148" s="33">
        <f>SUMIFS('Data For Calculation - Insuranc'!J:J,'Data For Calculation - Insuranc'!$A:$A,$A148)</f>
        <v>0</v>
      </c>
      <c r="CC148" s="33">
        <f>SUMIFS('Data For Calculation - Insuranc'!K:K,'Data For Calculation - Insuranc'!$A:$A,$A148)</f>
        <v>0</v>
      </c>
      <c r="CD148" s="33">
        <f>IF($CK148 = "Dealer", SUMIFS('Data For Calculation - Insuranc'!I:I,'Data For Calculation - Insuranc'!$B:$B,$A148,'Data For Calculation - Insuranc'!$H:$H,"Master Dealer")) + SUMIFS('Data For Calculation - Insuranc'!I:I,'Data For Calculation - Insuranc'!$A:$A,$A148,'Data For Calculation - Insuranc'!$H:$H,"Self")</f>
        <v>0</v>
      </c>
      <c r="CE148" s="33">
        <f>IF($CK148 = "Dealer", SUMIFS('Data For Calculation - Insuranc'!J:J,'Data For Calculation - Insuranc'!$B:$B,$A148,'Data For Calculation - Insuranc'!$H:$H,"Master Dealer")) + SUMIFS('Data For Calculation - Insuranc'!J:J,'Data For Calculation - Insuranc'!$A:$A,$A148,'Data For Calculation - Insuranc'!$H:$H,"Self")</f>
        <v>0</v>
      </c>
      <c r="CF148" s="33">
        <f>IF($CK148 = "Dealer", SUMIFS('Data For Calculation - Insuranc'!K:K,'Data For Calculation - Insuranc'!$B:$B,$A148,'Data For Calculation - Insuranc'!$H:$H,"Master Dealer")) + SUMIFS('Data For Calculation - Insuranc'!K:K,'Data For Calculation - Insuranc'!$A:$A,$A148,'Data For Calculation - Insuranc'!$H:$H,"Self")</f>
        <v>0</v>
      </c>
      <c r="CG148" s="25" t="str">
        <f>(Sheet1!N148)</f>
        <v>Shree Shyam ji Hero- Meerut</v>
      </c>
      <c r="CH148" s="25" t="str">
        <f>(Sheet1!O148)</f>
        <v>1BwcIzZvh2T5Ujlh5jkvkSeatvF-YbuitkQwoRkKGAHU</v>
      </c>
      <c r="CI148" s="25" t="str">
        <f>(Sheet1!AV148)</f>
        <v/>
      </c>
      <c r="CJ148" s="25" t="str">
        <f>(Sheet1!AW148)</f>
        <v/>
      </c>
      <c r="CK148" s="26" t="str">
        <f>(Sheet1!P148)</f>
        <v>Dealer</v>
      </c>
    </row>
    <row r="149">
      <c r="A149" s="25" t="str">
        <f>(Sheet1!A149)</f>
        <v>1-RGBeKDN73oqOmm6wKvrYGgPoHhF6AoBWbXbAsegR_M</v>
      </c>
      <c r="B149" s="25" t="str">
        <f>(Sheet1!B149)</f>
        <v>HANSAUTOMOBILE- SHAHJHANPUR(SP)</v>
      </c>
      <c r="C149" s="30" t="str">
        <f>Sheet1!BB149</f>
        <v>No</v>
      </c>
      <c r="D149" s="30" t="s">
        <v>13</v>
      </c>
      <c r="E149" s="34" t="s">
        <v>13</v>
      </c>
      <c r="F149" s="34" t="s">
        <v>3929</v>
      </c>
      <c r="G149" s="42" t="s">
        <v>3817</v>
      </c>
      <c r="H149" s="43">
        <v>460.0</v>
      </c>
      <c r="I149" s="42" t="s">
        <v>3853</v>
      </c>
      <c r="J149" s="43">
        <v>0.0</v>
      </c>
      <c r="K149" s="43">
        <v>100.0</v>
      </c>
      <c r="L149" s="43">
        <v>0.0</v>
      </c>
      <c r="M149" s="43">
        <v>0.0</v>
      </c>
      <c r="N149" s="33">
        <f>COUNTIFS('Data For Calculation - Insuranc'!A:A,A149,'Data For Calculation - Insuranc'!D:D,"Individual",'Data For Calculation - Insuranc'!E:E,"Bundled - 1 Year OD + 5 Year TP")</f>
        <v>0</v>
      </c>
      <c r="O149" s="34" t="s">
        <v>3930</v>
      </c>
      <c r="P149" s="42" t="s">
        <v>3817</v>
      </c>
      <c r="Q149" s="43">
        <v>460.0</v>
      </c>
      <c r="R149" s="42" t="s">
        <v>3853</v>
      </c>
      <c r="S149" s="43">
        <v>0.0</v>
      </c>
      <c r="T149" s="43">
        <v>100.0</v>
      </c>
      <c r="U149" s="43">
        <v>0.0</v>
      </c>
      <c r="V149" s="43">
        <v>0.0</v>
      </c>
      <c r="W149" s="33">
        <f>COUNTIFS('Data For Calculation - Insuranc'!A:A,A149,'Data For Calculation - Insuranc'!D:D,"Company",'Data For Calculation - Insuranc'!E:E,"Bundled - 1 Year OD + 5 Year TP")</f>
        <v>0</v>
      </c>
      <c r="X149" s="34" t="s">
        <v>3929</v>
      </c>
      <c r="Y149" s="42" t="s">
        <v>3817</v>
      </c>
      <c r="Z149" s="31">
        <v>290.0</v>
      </c>
      <c r="AA149" s="34" t="s">
        <v>3853</v>
      </c>
      <c r="AB149" s="34">
        <v>0.0</v>
      </c>
      <c r="AC149" s="34">
        <v>100.0</v>
      </c>
      <c r="AD149" s="34">
        <v>0.0</v>
      </c>
      <c r="AE149" s="34">
        <v>0.0</v>
      </c>
      <c r="AF149" s="33">
        <f>COUNTIFS('Data For Calculation - Insuranc'!A:A,A149,'Data For Calculation - Insuranc'!D:D,"Individual",'Data For Calculation - Insuranc'!E:E,"Rollover Comprehensive - 1 Year OD + 1 Year TP")</f>
        <v>0</v>
      </c>
      <c r="AG149" s="34" t="s">
        <v>3930</v>
      </c>
      <c r="AH149" s="42" t="s">
        <v>3817</v>
      </c>
      <c r="AI149" s="31">
        <v>290.0</v>
      </c>
      <c r="AJ149" s="34" t="s">
        <v>3853</v>
      </c>
      <c r="AK149" s="34">
        <v>0.0</v>
      </c>
      <c r="AL149" s="34">
        <v>100.0</v>
      </c>
      <c r="AM149" s="34">
        <v>0.0</v>
      </c>
      <c r="AN149" s="34">
        <v>0.0</v>
      </c>
      <c r="AO149" s="33">
        <f>COUNTIFS('Data For Calculation - Insuranc'!A:A,A149,'Data For Calculation - Insuranc'!D:D,"Company",'Data For Calculation - Insuranc'!E:E,"Rollover Comprehensive - 1 Year OD + 1 Year TP")</f>
        <v>0</v>
      </c>
      <c r="AP149" s="34" t="s">
        <v>3931</v>
      </c>
      <c r="AQ149" s="42" t="s">
        <v>3817</v>
      </c>
      <c r="AR149" s="31">
        <v>290.0</v>
      </c>
      <c r="AS149" s="34" t="s">
        <v>3853</v>
      </c>
      <c r="AT149" s="34">
        <v>0.0</v>
      </c>
      <c r="AU149" s="34">
        <v>100.0</v>
      </c>
      <c r="AV149" s="34">
        <v>0.0</v>
      </c>
      <c r="AW149" s="34">
        <v>0.0</v>
      </c>
      <c r="AX149" s="33">
        <f>COUNTIFS('Data For Calculation - Insuranc'!A:A,A149,'Data For Calculation - Insuranc'!D:D,"Individual",'Data For Calculation - Insuranc'!E:E,"Rollover - 1 Year OD Only")</f>
        <v>0</v>
      </c>
      <c r="AY149" s="34" t="s">
        <v>3932</v>
      </c>
      <c r="AZ149" s="42" t="s">
        <v>3817</v>
      </c>
      <c r="BA149" s="31">
        <v>290.0</v>
      </c>
      <c r="BB149" s="34" t="s">
        <v>3853</v>
      </c>
      <c r="BC149" s="34">
        <v>0.0</v>
      </c>
      <c r="BD149" s="34">
        <v>100.0</v>
      </c>
      <c r="BE149" s="34">
        <v>0.0</v>
      </c>
      <c r="BF149" s="34">
        <v>0.0</v>
      </c>
      <c r="BG149" s="33">
        <f>COUNTIFS('Data For Calculation - Insuranc'!A:A,A149,'Data For Calculation - Insuranc'!D:D,"Company",'Data For Calculation - Insuranc'!E:E,"Rollover - 1 Year OD Only")</f>
        <v>0</v>
      </c>
      <c r="BH149" s="34" t="s">
        <v>3931</v>
      </c>
      <c r="BI149" s="42" t="s">
        <v>3817</v>
      </c>
      <c r="BJ149" s="31">
        <v>290.0</v>
      </c>
      <c r="BK149" s="34" t="s">
        <v>3853</v>
      </c>
      <c r="BL149" s="34">
        <v>0.0</v>
      </c>
      <c r="BM149" s="34">
        <v>100.0</v>
      </c>
      <c r="BN149" s="34">
        <v>0.0</v>
      </c>
      <c r="BO149" s="34">
        <v>0.0</v>
      </c>
      <c r="BP149" s="33">
        <f>COUNTIFS('Data For Calculation - Insuranc'!A:A,A149,'Data For Calculation - Insuranc'!D:D,"Individual",'Data For Calculation - Insuranc'!E:E,"Rollover - 1 Year TP Only")</f>
        <v>0</v>
      </c>
      <c r="BQ149" s="34" t="s">
        <v>3932</v>
      </c>
      <c r="BR149" s="42" t="s">
        <v>3817</v>
      </c>
      <c r="BS149" s="31">
        <v>290.0</v>
      </c>
      <c r="BT149" s="34" t="s">
        <v>3853</v>
      </c>
      <c r="BU149" s="34">
        <v>0.0</v>
      </c>
      <c r="BV149" s="34">
        <v>100.0</v>
      </c>
      <c r="BW149" s="34">
        <v>0.0</v>
      </c>
      <c r="BX149" s="34">
        <v>0.0</v>
      </c>
      <c r="BY149" s="33">
        <f>COUNTIFS('Data For Calculation - Insuranc'!A:A,A149,'Data For Calculation - Insuranc'!D:D,"Company",'Data For Calculation - Insuranc'!E:E,"Rollover - 1 Year TP Only")</f>
        <v>0</v>
      </c>
      <c r="BZ149" s="31">
        <f t="shared" si="1"/>
        <v>0</v>
      </c>
      <c r="CA149" s="33">
        <f>SUMIFS('Data For Calculation - Insuranc'!I:I,'Data For Calculation - Insuranc'!$A:$A,$A149)</f>
        <v>0</v>
      </c>
      <c r="CB149" s="33">
        <f>SUMIFS('Data For Calculation - Insuranc'!J:J,'Data For Calculation - Insuranc'!$A:$A,$A149)</f>
        <v>0</v>
      </c>
      <c r="CC149" s="33">
        <f>SUMIFS('Data For Calculation - Insuranc'!K:K,'Data For Calculation - Insuranc'!$A:$A,$A149)</f>
        <v>0</v>
      </c>
      <c r="CD149" s="33">
        <f>IF($CK149 = "Dealer", SUMIFS('Data For Calculation - Insuranc'!I:I,'Data For Calculation - Insuranc'!$B:$B,$A149,'Data For Calculation - Insuranc'!$H:$H,"Master Dealer")) + SUMIFS('Data For Calculation - Insuranc'!I:I,'Data For Calculation - Insuranc'!$A:$A,$A149,'Data For Calculation - Insuranc'!$H:$H,"Self")</f>
        <v>0</v>
      </c>
      <c r="CE149" s="33">
        <f>IF($CK149 = "Dealer", SUMIFS('Data For Calculation - Insuranc'!J:J,'Data For Calculation - Insuranc'!$B:$B,$A149,'Data For Calculation - Insuranc'!$H:$H,"Master Dealer")) + SUMIFS('Data For Calculation - Insuranc'!J:J,'Data For Calculation - Insuranc'!$A:$A,$A149,'Data For Calculation - Insuranc'!$H:$H,"Self")</f>
        <v>0</v>
      </c>
      <c r="CF149" s="33">
        <f>IF($CK149 = "Dealer", SUMIFS('Data For Calculation - Insuranc'!K:K,'Data For Calculation - Insuranc'!$B:$B,$A149,'Data For Calculation - Insuranc'!$H:$H,"Master Dealer")) + SUMIFS('Data For Calculation - Insuranc'!K:K,'Data For Calculation - Insuranc'!$A:$A,$A149,'Data For Calculation - Insuranc'!$H:$H,"Self")</f>
        <v>0</v>
      </c>
      <c r="CG149" s="25" t="str">
        <f>(Sheet1!N149)</f>
        <v>HANSAUTOMOBILE- SHAHJHANPUR(SP)</v>
      </c>
      <c r="CH149" s="25" t="str">
        <f>(Sheet1!O149)</f>
        <v>1-RGBeKDN73oqOmm6wKvrYGgPoHhF6AoBWbXbAsegR_M</v>
      </c>
      <c r="CI149" s="25" t="str">
        <f>(Sheet1!AV149)</f>
        <v/>
      </c>
      <c r="CJ149" s="25" t="str">
        <f>(Sheet1!AW149)</f>
        <v/>
      </c>
      <c r="CK149" s="26" t="str">
        <f>(Sheet1!P149)</f>
        <v>Dealer</v>
      </c>
    </row>
    <row r="150">
      <c r="A150" s="25" t="str">
        <f>(Sheet1!A150)</f>
        <v>1nNUUalGOlMWDdYbk6V0hbfrM7YklXBY-gP0UjcjGIBo</v>
      </c>
      <c r="B150" s="25" t="str">
        <f>(Sheet1!B150)</f>
        <v>GSM BAJAJ- KHANDSA GURGAON-(SP)</v>
      </c>
      <c r="C150" s="30" t="str">
        <f>Sheet1!BB150</f>
        <v>No</v>
      </c>
      <c r="D150" s="30" t="s">
        <v>13</v>
      </c>
      <c r="E150" s="34" t="s">
        <v>13</v>
      </c>
      <c r="F150" s="34" t="s">
        <v>3929</v>
      </c>
      <c r="G150" s="42" t="s">
        <v>3820</v>
      </c>
      <c r="H150" s="43">
        <v>460.0</v>
      </c>
      <c r="I150" s="42" t="s">
        <v>3853</v>
      </c>
      <c r="J150" s="43">
        <v>0.0</v>
      </c>
      <c r="K150" s="43">
        <v>100.0</v>
      </c>
      <c r="L150" s="43">
        <v>0.0</v>
      </c>
      <c r="M150" s="43">
        <v>0.0</v>
      </c>
      <c r="N150" s="33">
        <f>COUNTIFS('Data For Calculation - Insuranc'!A:A,A150,'Data For Calculation - Insuranc'!D:D,"Individual",'Data For Calculation - Insuranc'!E:E,"Bundled - 1 Year OD + 5 Year TP")</f>
        <v>0</v>
      </c>
      <c r="O150" s="34" t="s">
        <v>3930</v>
      </c>
      <c r="P150" s="42" t="s">
        <v>3820</v>
      </c>
      <c r="Q150" s="43">
        <v>460.0</v>
      </c>
      <c r="R150" s="42" t="s">
        <v>3853</v>
      </c>
      <c r="S150" s="43">
        <v>0.0</v>
      </c>
      <c r="T150" s="43">
        <v>100.0</v>
      </c>
      <c r="U150" s="43">
        <v>0.0</v>
      </c>
      <c r="V150" s="43">
        <v>0.0</v>
      </c>
      <c r="W150" s="33">
        <f>COUNTIFS('Data For Calculation - Insuranc'!A:A,A150,'Data For Calculation - Insuranc'!D:D,"Company",'Data For Calculation - Insuranc'!E:E,"Bundled - 1 Year OD + 5 Year TP")</f>
        <v>0</v>
      </c>
      <c r="X150" s="34" t="s">
        <v>3929</v>
      </c>
      <c r="Y150" s="42" t="s">
        <v>3820</v>
      </c>
      <c r="Z150" s="31">
        <v>290.0</v>
      </c>
      <c r="AA150" s="34" t="s">
        <v>3853</v>
      </c>
      <c r="AB150" s="34">
        <v>0.0</v>
      </c>
      <c r="AC150" s="34">
        <v>100.0</v>
      </c>
      <c r="AD150" s="34">
        <v>0.0</v>
      </c>
      <c r="AE150" s="34">
        <v>0.0</v>
      </c>
      <c r="AF150" s="33">
        <f>COUNTIFS('Data For Calculation - Insuranc'!A:A,A150,'Data For Calculation - Insuranc'!D:D,"Individual",'Data For Calculation - Insuranc'!E:E,"Rollover Comprehensive - 1 Year OD + 1 Year TP")</f>
        <v>0</v>
      </c>
      <c r="AG150" s="34" t="s">
        <v>3930</v>
      </c>
      <c r="AH150" s="42" t="s">
        <v>3820</v>
      </c>
      <c r="AI150" s="31">
        <v>290.0</v>
      </c>
      <c r="AJ150" s="34" t="s">
        <v>3853</v>
      </c>
      <c r="AK150" s="34">
        <v>0.0</v>
      </c>
      <c r="AL150" s="34">
        <v>100.0</v>
      </c>
      <c r="AM150" s="34">
        <v>0.0</v>
      </c>
      <c r="AN150" s="34">
        <v>0.0</v>
      </c>
      <c r="AO150" s="33">
        <f>COUNTIFS('Data For Calculation - Insuranc'!A:A,A150,'Data For Calculation - Insuranc'!D:D,"Company",'Data For Calculation - Insuranc'!E:E,"Rollover Comprehensive - 1 Year OD + 1 Year TP")</f>
        <v>0</v>
      </c>
      <c r="AP150" s="34" t="s">
        <v>3931</v>
      </c>
      <c r="AQ150" s="42" t="s">
        <v>3820</v>
      </c>
      <c r="AR150" s="31">
        <v>290.0</v>
      </c>
      <c r="AS150" s="34" t="s">
        <v>3853</v>
      </c>
      <c r="AT150" s="34">
        <v>0.0</v>
      </c>
      <c r="AU150" s="34">
        <v>100.0</v>
      </c>
      <c r="AV150" s="34">
        <v>0.0</v>
      </c>
      <c r="AW150" s="34">
        <v>0.0</v>
      </c>
      <c r="AX150" s="33">
        <f>COUNTIFS('Data For Calculation - Insuranc'!A:A,A150,'Data For Calculation - Insuranc'!D:D,"Individual",'Data For Calculation - Insuranc'!E:E,"Rollover - 1 Year OD Only")</f>
        <v>0</v>
      </c>
      <c r="AY150" s="34" t="s">
        <v>3932</v>
      </c>
      <c r="AZ150" s="42" t="s">
        <v>3820</v>
      </c>
      <c r="BA150" s="31">
        <v>290.0</v>
      </c>
      <c r="BB150" s="34" t="s">
        <v>3853</v>
      </c>
      <c r="BC150" s="34">
        <v>0.0</v>
      </c>
      <c r="BD150" s="34">
        <v>100.0</v>
      </c>
      <c r="BE150" s="34">
        <v>0.0</v>
      </c>
      <c r="BF150" s="34">
        <v>0.0</v>
      </c>
      <c r="BG150" s="33">
        <f>COUNTIFS('Data For Calculation - Insuranc'!A:A,A150,'Data For Calculation - Insuranc'!D:D,"Company",'Data For Calculation - Insuranc'!E:E,"Rollover - 1 Year OD Only")</f>
        <v>0</v>
      </c>
      <c r="BH150" s="34" t="s">
        <v>3931</v>
      </c>
      <c r="BI150" s="42" t="s">
        <v>3820</v>
      </c>
      <c r="BJ150" s="31">
        <v>290.0</v>
      </c>
      <c r="BK150" s="34" t="s">
        <v>3853</v>
      </c>
      <c r="BL150" s="34">
        <v>0.0</v>
      </c>
      <c r="BM150" s="34">
        <v>100.0</v>
      </c>
      <c r="BN150" s="34">
        <v>0.0</v>
      </c>
      <c r="BO150" s="34">
        <v>0.0</v>
      </c>
      <c r="BP150" s="33">
        <f>COUNTIFS('Data For Calculation - Insuranc'!A:A,A150,'Data For Calculation - Insuranc'!D:D,"Individual",'Data For Calculation - Insuranc'!E:E,"Rollover - 1 Year TP Only")</f>
        <v>0</v>
      </c>
      <c r="BQ150" s="34" t="s">
        <v>3932</v>
      </c>
      <c r="BR150" s="42" t="s">
        <v>3820</v>
      </c>
      <c r="BS150" s="31">
        <v>290.0</v>
      </c>
      <c r="BT150" s="34" t="s">
        <v>3853</v>
      </c>
      <c r="BU150" s="34">
        <v>0.0</v>
      </c>
      <c r="BV150" s="34">
        <v>100.0</v>
      </c>
      <c r="BW150" s="34">
        <v>0.0</v>
      </c>
      <c r="BX150" s="34">
        <v>0.0</v>
      </c>
      <c r="BY150" s="33">
        <f>COUNTIFS('Data For Calculation - Insuranc'!A:A,A150,'Data For Calculation - Insuranc'!D:D,"Company",'Data For Calculation - Insuranc'!E:E,"Rollover - 1 Year TP Only")</f>
        <v>0</v>
      </c>
      <c r="BZ150" s="31">
        <f t="shared" si="1"/>
        <v>0</v>
      </c>
      <c r="CA150" s="33">
        <f>SUMIFS('Data For Calculation - Insuranc'!I:I,'Data For Calculation - Insuranc'!$A:$A,$A150)</f>
        <v>0</v>
      </c>
      <c r="CB150" s="33">
        <f>SUMIFS('Data For Calculation - Insuranc'!J:J,'Data For Calculation - Insuranc'!$A:$A,$A150)</f>
        <v>0</v>
      </c>
      <c r="CC150" s="33">
        <f>SUMIFS('Data For Calculation - Insuranc'!K:K,'Data For Calculation - Insuranc'!$A:$A,$A150)</f>
        <v>0</v>
      </c>
      <c r="CD150" s="33">
        <f>IF($CK150 = "Dealer", SUMIFS('Data For Calculation - Insuranc'!I:I,'Data For Calculation - Insuranc'!$B:$B,$A150,'Data For Calculation - Insuranc'!$H:$H,"Master Dealer")) + SUMIFS('Data For Calculation - Insuranc'!I:I,'Data For Calculation - Insuranc'!$A:$A,$A150,'Data For Calculation - Insuranc'!$H:$H,"Self")</f>
        <v>0</v>
      </c>
      <c r="CE150" s="33">
        <f>IF($CK150 = "Dealer", SUMIFS('Data For Calculation - Insuranc'!J:J,'Data For Calculation - Insuranc'!$B:$B,$A150,'Data For Calculation - Insuranc'!$H:$H,"Master Dealer")) + SUMIFS('Data For Calculation - Insuranc'!J:J,'Data For Calculation - Insuranc'!$A:$A,$A150,'Data For Calculation - Insuranc'!$H:$H,"Self")</f>
        <v>0</v>
      </c>
      <c r="CF150" s="33">
        <f>IF($CK150 = "Dealer", SUMIFS('Data For Calculation - Insuranc'!K:K,'Data For Calculation - Insuranc'!$B:$B,$A150,'Data For Calculation - Insuranc'!$H:$H,"Master Dealer")) + SUMIFS('Data For Calculation - Insuranc'!K:K,'Data For Calculation - Insuranc'!$A:$A,$A150,'Data For Calculation - Insuranc'!$H:$H,"Self")</f>
        <v>0</v>
      </c>
      <c r="CG150" s="25" t="str">
        <f>(Sheet1!N150)</f>
        <v>GSM BAJAJ- KHANDSA GURGAON-(SP)</v>
      </c>
      <c r="CH150" s="25" t="str">
        <f>(Sheet1!O150)</f>
        <v>1nNUUalGOlMWDdYbk6V0hbfrM7YklXBY-gP0UjcjGIBo</v>
      </c>
      <c r="CI150" s="25" t="str">
        <f>(Sheet1!AV150)</f>
        <v/>
      </c>
      <c r="CJ150" s="25" t="str">
        <f>(Sheet1!AW150)</f>
        <v/>
      </c>
      <c r="CK150" s="26" t="str">
        <f>(Sheet1!P150)</f>
        <v>Dealer</v>
      </c>
    </row>
    <row r="151">
      <c r="A151" s="25" t="str">
        <f>(Sheet1!A151)</f>
        <v>1Gr4Dqm3VC_aFirTVGJtSHZmd3Y6Hkd8pWAN1HsALU_o</v>
      </c>
      <c r="B151" s="25" t="str">
        <f>(Sheet1!B151)</f>
        <v>Jay Kumar Arun Kumar Hero - Meerut</v>
      </c>
      <c r="C151" s="30" t="str">
        <f>Sheet1!BB151</f>
        <v>No</v>
      </c>
      <c r="D151" s="30" t="s">
        <v>13</v>
      </c>
      <c r="E151" s="34" t="s">
        <v>13</v>
      </c>
      <c r="F151" s="34" t="s">
        <v>3929</v>
      </c>
      <c r="G151" s="42" t="s">
        <v>3820</v>
      </c>
      <c r="H151" s="43">
        <v>460.0</v>
      </c>
      <c r="I151" s="42" t="s">
        <v>3853</v>
      </c>
      <c r="J151" s="43">
        <v>0.0</v>
      </c>
      <c r="K151" s="43">
        <v>100.0</v>
      </c>
      <c r="L151" s="43">
        <v>0.0</v>
      </c>
      <c r="M151" s="43">
        <v>0.0</v>
      </c>
      <c r="N151" s="33">
        <f>COUNTIFS('Data For Calculation - Insuranc'!A:A,A151,'Data For Calculation - Insuranc'!D:D,"Individual",'Data For Calculation - Insuranc'!E:E,"Bundled - 1 Year OD + 5 Year TP")</f>
        <v>0</v>
      </c>
      <c r="O151" s="34" t="s">
        <v>3930</v>
      </c>
      <c r="P151" s="42" t="s">
        <v>3820</v>
      </c>
      <c r="Q151" s="43">
        <v>460.0</v>
      </c>
      <c r="R151" s="42" t="s">
        <v>3853</v>
      </c>
      <c r="S151" s="43">
        <v>0.0</v>
      </c>
      <c r="T151" s="43">
        <v>100.0</v>
      </c>
      <c r="U151" s="43">
        <v>0.0</v>
      </c>
      <c r="V151" s="43">
        <v>0.0</v>
      </c>
      <c r="W151" s="33">
        <f>COUNTIFS('Data For Calculation - Insuranc'!A:A,A151,'Data For Calculation - Insuranc'!D:D,"Company",'Data For Calculation - Insuranc'!E:E,"Bundled - 1 Year OD + 5 Year TP")</f>
        <v>0</v>
      </c>
      <c r="X151" s="34" t="s">
        <v>3929</v>
      </c>
      <c r="Y151" s="42" t="s">
        <v>3820</v>
      </c>
      <c r="Z151" s="31">
        <v>290.0</v>
      </c>
      <c r="AA151" s="34" t="s">
        <v>3853</v>
      </c>
      <c r="AB151" s="34">
        <v>0.0</v>
      </c>
      <c r="AC151" s="34">
        <v>100.0</v>
      </c>
      <c r="AD151" s="34">
        <v>0.0</v>
      </c>
      <c r="AE151" s="34">
        <v>0.0</v>
      </c>
      <c r="AF151" s="33">
        <f>COUNTIFS('Data For Calculation - Insuranc'!A:A,A151,'Data For Calculation - Insuranc'!D:D,"Individual",'Data For Calculation - Insuranc'!E:E,"Rollover Comprehensive - 1 Year OD + 1 Year TP")</f>
        <v>0</v>
      </c>
      <c r="AG151" s="34" t="s">
        <v>3930</v>
      </c>
      <c r="AH151" s="42" t="s">
        <v>3820</v>
      </c>
      <c r="AI151" s="31">
        <v>290.0</v>
      </c>
      <c r="AJ151" s="34" t="s">
        <v>3853</v>
      </c>
      <c r="AK151" s="34">
        <v>0.0</v>
      </c>
      <c r="AL151" s="34">
        <v>100.0</v>
      </c>
      <c r="AM151" s="34">
        <v>0.0</v>
      </c>
      <c r="AN151" s="34">
        <v>0.0</v>
      </c>
      <c r="AO151" s="33">
        <f>COUNTIFS('Data For Calculation - Insuranc'!A:A,A151,'Data For Calculation - Insuranc'!D:D,"Company",'Data For Calculation - Insuranc'!E:E,"Rollover Comprehensive - 1 Year OD + 1 Year TP")</f>
        <v>0</v>
      </c>
      <c r="AP151" s="34" t="s">
        <v>3931</v>
      </c>
      <c r="AQ151" s="42" t="s">
        <v>3820</v>
      </c>
      <c r="AR151" s="31">
        <v>290.0</v>
      </c>
      <c r="AS151" s="34" t="s">
        <v>3853</v>
      </c>
      <c r="AT151" s="34">
        <v>0.0</v>
      </c>
      <c r="AU151" s="34">
        <v>100.0</v>
      </c>
      <c r="AV151" s="34">
        <v>0.0</v>
      </c>
      <c r="AW151" s="34">
        <v>0.0</v>
      </c>
      <c r="AX151" s="33">
        <f>COUNTIFS('Data For Calculation - Insuranc'!A:A,A151,'Data For Calculation - Insuranc'!D:D,"Individual",'Data For Calculation - Insuranc'!E:E,"Rollover - 1 Year OD Only")</f>
        <v>0</v>
      </c>
      <c r="AY151" s="34" t="s">
        <v>3932</v>
      </c>
      <c r="AZ151" s="42" t="s">
        <v>3820</v>
      </c>
      <c r="BA151" s="31">
        <v>290.0</v>
      </c>
      <c r="BB151" s="34" t="s">
        <v>3853</v>
      </c>
      <c r="BC151" s="34">
        <v>0.0</v>
      </c>
      <c r="BD151" s="34">
        <v>100.0</v>
      </c>
      <c r="BE151" s="34">
        <v>0.0</v>
      </c>
      <c r="BF151" s="34">
        <v>0.0</v>
      </c>
      <c r="BG151" s="33">
        <f>COUNTIFS('Data For Calculation - Insuranc'!A:A,A151,'Data For Calculation - Insuranc'!D:D,"Company",'Data For Calculation - Insuranc'!E:E,"Rollover - 1 Year OD Only")</f>
        <v>0</v>
      </c>
      <c r="BH151" s="34" t="s">
        <v>3931</v>
      </c>
      <c r="BI151" s="42" t="s">
        <v>3820</v>
      </c>
      <c r="BJ151" s="31">
        <v>290.0</v>
      </c>
      <c r="BK151" s="34" t="s">
        <v>3853</v>
      </c>
      <c r="BL151" s="34">
        <v>0.0</v>
      </c>
      <c r="BM151" s="34">
        <v>100.0</v>
      </c>
      <c r="BN151" s="34">
        <v>0.0</v>
      </c>
      <c r="BO151" s="34">
        <v>0.0</v>
      </c>
      <c r="BP151" s="33">
        <f>COUNTIFS('Data For Calculation - Insuranc'!A:A,A151,'Data For Calculation - Insuranc'!D:D,"Individual",'Data For Calculation - Insuranc'!E:E,"Rollover - 1 Year TP Only")</f>
        <v>0</v>
      </c>
      <c r="BQ151" s="34" t="s">
        <v>3932</v>
      </c>
      <c r="BR151" s="42" t="s">
        <v>3820</v>
      </c>
      <c r="BS151" s="31">
        <v>290.0</v>
      </c>
      <c r="BT151" s="34" t="s">
        <v>3853</v>
      </c>
      <c r="BU151" s="34">
        <v>0.0</v>
      </c>
      <c r="BV151" s="34">
        <v>100.0</v>
      </c>
      <c r="BW151" s="34">
        <v>0.0</v>
      </c>
      <c r="BX151" s="34">
        <v>0.0</v>
      </c>
      <c r="BY151" s="33">
        <f>COUNTIFS('Data For Calculation - Insuranc'!A:A,A151,'Data For Calculation - Insuranc'!D:D,"Company",'Data For Calculation - Insuranc'!E:E,"Rollover - 1 Year TP Only")</f>
        <v>0</v>
      </c>
      <c r="BZ151" s="31">
        <f t="shared" si="1"/>
        <v>0</v>
      </c>
      <c r="CA151" s="33">
        <f>SUMIFS('Data For Calculation - Insuranc'!I:I,'Data For Calculation - Insuranc'!$A:$A,$A151)</f>
        <v>0</v>
      </c>
      <c r="CB151" s="33">
        <f>SUMIFS('Data For Calculation - Insuranc'!J:J,'Data For Calculation - Insuranc'!$A:$A,$A151)</f>
        <v>0</v>
      </c>
      <c r="CC151" s="33">
        <f>SUMIFS('Data For Calculation - Insuranc'!K:K,'Data For Calculation - Insuranc'!$A:$A,$A151)</f>
        <v>0</v>
      </c>
      <c r="CD151" s="33">
        <f>IF($CK151 = "Dealer", SUMIFS('Data For Calculation - Insuranc'!I:I,'Data For Calculation - Insuranc'!$B:$B,$A151,'Data For Calculation - Insuranc'!$H:$H,"Master Dealer")) + SUMIFS('Data For Calculation - Insuranc'!I:I,'Data For Calculation - Insuranc'!$A:$A,$A151,'Data For Calculation - Insuranc'!$H:$H,"Self")</f>
        <v>0</v>
      </c>
      <c r="CE151" s="33">
        <f>IF($CK151 = "Dealer", SUMIFS('Data For Calculation - Insuranc'!J:J,'Data For Calculation - Insuranc'!$B:$B,$A151,'Data For Calculation - Insuranc'!$H:$H,"Master Dealer")) + SUMIFS('Data For Calculation - Insuranc'!J:J,'Data For Calculation - Insuranc'!$A:$A,$A151,'Data For Calculation - Insuranc'!$H:$H,"Self")</f>
        <v>0</v>
      </c>
      <c r="CF151" s="33">
        <f>IF($CK151 = "Dealer", SUMIFS('Data For Calculation - Insuranc'!K:K,'Data For Calculation - Insuranc'!$B:$B,$A151,'Data For Calculation - Insuranc'!$H:$H,"Master Dealer")) + SUMIFS('Data For Calculation - Insuranc'!K:K,'Data For Calculation - Insuranc'!$A:$A,$A151,'Data For Calculation - Insuranc'!$H:$H,"Self")</f>
        <v>0</v>
      </c>
      <c r="CG151" s="25" t="str">
        <f>(Sheet1!N151)</f>
        <v>Jay Kumar Arun Kumar Hero - Meerut</v>
      </c>
      <c r="CH151" s="25" t="str">
        <f>(Sheet1!O151)</f>
        <v>1Gr4Dqm3VC_aFirTVGJtSHZmd3Y6Hkd8pWAN1HsALU_o</v>
      </c>
      <c r="CI151" s="25" t="str">
        <f>(Sheet1!AV151)</f>
        <v/>
      </c>
      <c r="CJ151" s="25" t="str">
        <f>(Sheet1!AW151)</f>
        <v/>
      </c>
      <c r="CK151" s="26" t="str">
        <f>(Sheet1!P151)</f>
        <v>Dealer</v>
      </c>
    </row>
    <row r="152">
      <c r="A152" s="25" t="str">
        <f>(Sheet1!A152)</f>
        <v>1lgZm4ATdvS3q8SH9cQmTsfbYjc0IuVfsbWILI4aQOtw</v>
      </c>
      <c r="B152" s="25" t="str">
        <f>(Sheet1!B152)</f>
        <v>CHAUDHARY MOTORS- KHURJA</v>
      </c>
      <c r="C152" s="30" t="str">
        <f>Sheet1!BB152</f>
        <v>No</v>
      </c>
      <c r="D152" s="30" t="s">
        <v>13</v>
      </c>
      <c r="E152" s="34" t="s">
        <v>13</v>
      </c>
      <c r="F152" s="34" t="s">
        <v>3929</v>
      </c>
      <c r="G152" s="42" t="s">
        <v>3820</v>
      </c>
      <c r="H152" s="43">
        <v>460.0</v>
      </c>
      <c r="I152" s="42" t="s">
        <v>3853</v>
      </c>
      <c r="J152" s="43">
        <v>0.0</v>
      </c>
      <c r="K152" s="43">
        <v>100.0</v>
      </c>
      <c r="L152" s="43">
        <v>0.0</v>
      </c>
      <c r="M152" s="43">
        <v>0.0</v>
      </c>
      <c r="N152" s="33">
        <f>COUNTIFS('Data For Calculation - Insuranc'!A:A,A152,'Data For Calculation - Insuranc'!D:D,"Individual",'Data For Calculation - Insuranc'!E:E,"Bundled - 1 Year OD + 5 Year TP")</f>
        <v>0</v>
      </c>
      <c r="O152" s="34" t="s">
        <v>3930</v>
      </c>
      <c r="P152" s="42" t="s">
        <v>3820</v>
      </c>
      <c r="Q152" s="43">
        <v>460.0</v>
      </c>
      <c r="R152" s="42" t="s">
        <v>3853</v>
      </c>
      <c r="S152" s="43">
        <v>0.0</v>
      </c>
      <c r="T152" s="43">
        <v>100.0</v>
      </c>
      <c r="U152" s="43">
        <v>0.0</v>
      </c>
      <c r="V152" s="43">
        <v>0.0</v>
      </c>
      <c r="W152" s="33">
        <f>COUNTIFS('Data For Calculation - Insuranc'!A:A,A152,'Data For Calculation - Insuranc'!D:D,"Company",'Data For Calculation - Insuranc'!E:E,"Bundled - 1 Year OD + 5 Year TP")</f>
        <v>0</v>
      </c>
      <c r="X152" s="34" t="s">
        <v>3929</v>
      </c>
      <c r="Y152" s="42" t="s">
        <v>3820</v>
      </c>
      <c r="Z152" s="31">
        <v>290.0</v>
      </c>
      <c r="AA152" s="34" t="s">
        <v>3853</v>
      </c>
      <c r="AB152" s="34">
        <v>0.0</v>
      </c>
      <c r="AC152" s="34">
        <v>100.0</v>
      </c>
      <c r="AD152" s="34">
        <v>0.0</v>
      </c>
      <c r="AE152" s="34">
        <v>0.0</v>
      </c>
      <c r="AF152" s="33">
        <f>COUNTIFS('Data For Calculation - Insuranc'!A:A,A152,'Data For Calculation - Insuranc'!D:D,"Individual",'Data For Calculation - Insuranc'!E:E,"Rollover Comprehensive - 1 Year OD + 1 Year TP")</f>
        <v>0</v>
      </c>
      <c r="AG152" s="34" t="s">
        <v>3930</v>
      </c>
      <c r="AH152" s="42" t="s">
        <v>3820</v>
      </c>
      <c r="AI152" s="31">
        <v>290.0</v>
      </c>
      <c r="AJ152" s="34" t="s">
        <v>3853</v>
      </c>
      <c r="AK152" s="34">
        <v>0.0</v>
      </c>
      <c r="AL152" s="34">
        <v>100.0</v>
      </c>
      <c r="AM152" s="34">
        <v>0.0</v>
      </c>
      <c r="AN152" s="34">
        <v>0.0</v>
      </c>
      <c r="AO152" s="33">
        <f>COUNTIFS('Data For Calculation - Insuranc'!A:A,A152,'Data For Calculation - Insuranc'!D:D,"Company",'Data For Calculation - Insuranc'!E:E,"Rollover Comprehensive - 1 Year OD + 1 Year TP")</f>
        <v>0</v>
      </c>
      <c r="AP152" s="34" t="s">
        <v>3931</v>
      </c>
      <c r="AQ152" s="42" t="s">
        <v>3820</v>
      </c>
      <c r="AR152" s="31">
        <v>290.0</v>
      </c>
      <c r="AS152" s="34" t="s">
        <v>3853</v>
      </c>
      <c r="AT152" s="34">
        <v>0.0</v>
      </c>
      <c r="AU152" s="34">
        <v>100.0</v>
      </c>
      <c r="AV152" s="34">
        <v>0.0</v>
      </c>
      <c r="AW152" s="34">
        <v>0.0</v>
      </c>
      <c r="AX152" s="33">
        <f>COUNTIFS('Data For Calculation - Insuranc'!A:A,A152,'Data For Calculation - Insuranc'!D:D,"Individual",'Data For Calculation - Insuranc'!E:E,"Rollover - 1 Year OD Only")</f>
        <v>0</v>
      </c>
      <c r="AY152" s="34" t="s">
        <v>3932</v>
      </c>
      <c r="AZ152" s="42" t="s">
        <v>3820</v>
      </c>
      <c r="BA152" s="31">
        <v>290.0</v>
      </c>
      <c r="BB152" s="34" t="s">
        <v>3853</v>
      </c>
      <c r="BC152" s="34">
        <v>0.0</v>
      </c>
      <c r="BD152" s="34">
        <v>100.0</v>
      </c>
      <c r="BE152" s="34">
        <v>0.0</v>
      </c>
      <c r="BF152" s="34">
        <v>0.0</v>
      </c>
      <c r="BG152" s="33">
        <f>COUNTIFS('Data For Calculation - Insuranc'!A:A,A152,'Data For Calculation - Insuranc'!D:D,"Company",'Data For Calculation - Insuranc'!E:E,"Rollover - 1 Year OD Only")</f>
        <v>0</v>
      </c>
      <c r="BH152" s="34" t="s">
        <v>3931</v>
      </c>
      <c r="BI152" s="42" t="s">
        <v>3820</v>
      </c>
      <c r="BJ152" s="31">
        <v>290.0</v>
      </c>
      <c r="BK152" s="34" t="s">
        <v>3853</v>
      </c>
      <c r="BL152" s="34">
        <v>0.0</v>
      </c>
      <c r="BM152" s="34">
        <v>100.0</v>
      </c>
      <c r="BN152" s="34">
        <v>0.0</v>
      </c>
      <c r="BO152" s="34">
        <v>0.0</v>
      </c>
      <c r="BP152" s="33">
        <f>COUNTIFS('Data For Calculation - Insuranc'!A:A,A152,'Data For Calculation - Insuranc'!D:D,"Individual",'Data For Calculation - Insuranc'!E:E,"Rollover - 1 Year TP Only")</f>
        <v>0</v>
      </c>
      <c r="BQ152" s="34" t="s">
        <v>3932</v>
      </c>
      <c r="BR152" s="42" t="s">
        <v>3820</v>
      </c>
      <c r="BS152" s="31">
        <v>290.0</v>
      </c>
      <c r="BT152" s="34" t="s">
        <v>3853</v>
      </c>
      <c r="BU152" s="34">
        <v>0.0</v>
      </c>
      <c r="BV152" s="34">
        <v>100.0</v>
      </c>
      <c r="BW152" s="34">
        <v>0.0</v>
      </c>
      <c r="BX152" s="34">
        <v>0.0</v>
      </c>
      <c r="BY152" s="33">
        <f>COUNTIFS('Data For Calculation - Insuranc'!A:A,A152,'Data For Calculation - Insuranc'!D:D,"Company",'Data For Calculation - Insuranc'!E:E,"Rollover - 1 Year TP Only")</f>
        <v>0</v>
      </c>
      <c r="BZ152" s="31">
        <f t="shared" si="1"/>
        <v>0</v>
      </c>
      <c r="CA152" s="33">
        <f>SUMIFS('Data For Calculation - Insuranc'!I:I,'Data For Calculation - Insuranc'!$A:$A,$A152)</f>
        <v>0</v>
      </c>
      <c r="CB152" s="33">
        <f>SUMIFS('Data For Calculation - Insuranc'!J:J,'Data For Calculation - Insuranc'!$A:$A,$A152)</f>
        <v>0</v>
      </c>
      <c r="CC152" s="33">
        <f>SUMIFS('Data For Calculation - Insuranc'!K:K,'Data For Calculation - Insuranc'!$A:$A,$A152)</f>
        <v>0</v>
      </c>
      <c r="CD152" s="33">
        <f>IF($CK152 = "Dealer", SUMIFS('Data For Calculation - Insuranc'!I:I,'Data For Calculation - Insuranc'!$B:$B,$A152,'Data For Calculation - Insuranc'!$H:$H,"Master Dealer")) + SUMIFS('Data For Calculation - Insuranc'!I:I,'Data For Calculation - Insuranc'!$A:$A,$A152,'Data For Calculation - Insuranc'!$H:$H,"Self")</f>
        <v>0</v>
      </c>
      <c r="CE152" s="33">
        <f>IF($CK152 = "Dealer", SUMIFS('Data For Calculation - Insuranc'!J:J,'Data For Calculation - Insuranc'!$B:$B,$A152,'Data For Calculation - Insuranc'!$H:$H,"Master Dealer")) + SUMIFS('Data For Calculation - Insuranc'!J:J,'Data For Calculation - Insuranc'!$A:$A,$A152,'Data For Calculation - Insuranc'!$H:$H,"Self")</f>
        <v>0</v>
      </c>
      <c r="CF152" s="33">
        <f>IF($CK152 = "Dealer", SUMIFS('Data For Calculation - Insuranc'!K:K,'Data For Calculation - Insuranc'!$B:$B,$A152,'Data For Calculation - Insuranc'!$H:$H,"Master Dealer")) + SUMIFS('Data For Calculation - Insuranc'!K:K,'Data For Calculation - Insuranc'!$A:$A,$A152,'Data For Calculation - Insuranc'!$H:$H,"Self")</f>
        <v>0</v>
      </c>
      <c r="CG152" s="25" t="str">
        <f>(Sheet1!N152)</f>
        <v>CHAUDHARY MOTORS- KHURJA</v>
      </c>
      <c r="CH152" s="25" t="str">
        <f>(Sheet1!O152)</f>
        <v>1lgZm4ATdvS3q8SH9cQmTsfbYjc0IuVfsbWILI4aQOtw</v>
      </c>
      <c r="CI152" s="25" t="str">
        <f>(Sheet1!AV152)</f>
        <v/>
      </c>
      <c r="CJ152" s="25" t="str">
        <f>(Sheet1!AW152)</f>
        <v/>
      </c>
      <c r="CK152" s="26" t="str">
        <f>(Sheet1!P152)</f>
        <v>Dealer</v>
      </c>
    </row>
    <row r="153">
      <c r="A153" s="25" t="str">
        <f>(Sheet1!A153)</f>
        <v>1pWj6JXfCN2O_M_9nR2upI3ud3_mfmIWPPdWUgAgAe9Y</v>
      </c>
      <c r="B153" s="25" t="str">
        <f>(Sheet1!B153)</f>
        <v>KUNDAN HERO- PUNE</v>
      </c>
      <c r="C153" s="30" t="str">
        <f>Sheet1!BB153</f>
        <v>No</v>
      </c>
      <c r="D153" s="30" t="s">
        <v>13</v>
      </c>
      <c r="E153" s="34" t="s">
        <v>13</v>
      </c>
      <c r="F153" s="34" t="s">
        <v>3929</v>
      </c>
      <c r="G153" s="42" t="s">
        <v>3856</v>
      </c>
      <c r="H153" s="43">
        <v>460.0</v>
      </c>
      <c r="I153" s="42" t="s">
        <v>3853</v>
      </c>
      <c r="J153" s="43">
        <v>0.0</v>
      </c>
      <c r="K153" s="43">
        <v>100.0</v>
      </c>
      <c r="L153" s="43">
        <v>0.0</v>
      </c>
      <c r="M153" s="43">
        <v>0.0</v>
      </c>
      <c r="N153" s="33">
        <f>COUNTIFS('Data For Calculation - Insuranc'!A:A,A153,'Data For Calculation - Insuranc'!D:D,"Individual",'Data For Calculation - Insuranc'!E:E,"Bundled - 1 Year OD + 5 Year TP")</f>
        <v>0</v>
      </c>
      <c r="O153" s="34" t="s">
        <v>3930</v>
      </c>
      <c r="P153" s="42" t="s">
        <v>3856</v>
      </c>
      <c r="Q153" s="43">
        <v>460.0</v>
      </c>
      <c r="R153" s="42" t="s">
        <v>3853</v>
      </c>
      <c r="S153" s="43">
        <v>0.0</v>
      </c>
      <c r="T153" s="43">
        <v>100.0</v>
      </c>
      <c r="U153" s="43">
        <v>0.0</v>
      </c>
      <c r="V153" s="43">
        <v>0.0</v>
      </c>
      <c r="W153" s="33">
        <f>COUNTIFS('Data For Calculation - Insuranc'!A:A,A153,'Data For Calculation - Insuranc'!D:D,"Company",'Data For Calculation - Insuranc'!E:E,"Bundled - 1 Year OD + 5 Year TP")</f>
        <v>0</v>
      </c>
      <c r="X153" s="34" t="s">
        <v>3929</v>
      </c>
      <c r="Y153" s="42" t="s">
        <v>3856</v>
      </c>
      <c r="Z153" s="31">
        <v>290.0</v>
      </c>
      <c r="AA153" s="34" t="s">
        <v>3853</v>
      </c>
      <c r="AB153" s="34">
        <v>0.0</v>
      </c>
      <c r="AC153" s="34">
        <v>100.0</v>
      </c>
      <c r="AD153" s="34">
        <v>0.0</v>
      </c>
      <c r="AE153" s="34">
        <v>0.0</v>
      </c>
      <c r="AF153" s="33">
        <f>COUNTIFS('Data For Calculation - Insuranc'!A:A,A153,'Data For Calculation - Insuranc'!D:D,"Individual",'Data For Calculation - Insuranc'!E:E,"Rollover Comprehensive - 1 Year OD + 1 Year TP")</f>
        <v>0</v>
      </c>
      <c r="AG153" s="34" t="s">
        <v>3930</v>
      </c>
      <c r="AH153" s="42" t="s">
        <v>3856</v>
      </c>
      <c r="AI153" s="31">
        <v>290.0</v>
      </c>
      <c r="AJ153" s="34" t="s">
        <v>3853</v>
      </c>
      <c r="AK153" s="34">
        <v>0.0</v>
      </c>
      <c r="AL153" s="34">
        <v>100.0</v>
      </c>
      <c r="AM153" s="34">
        <v>0.0</v>
      </c>
      <c r="AN153" s="34">
        <v>0.0</v>
      </c>
      <c r="AO153" s="33">
        <f>COUNTIFS('Data For Calculation - Insuranc'!A:A,A153,'Data For Calculation - Insuranc'!D:D,"Company",'Data For Calculation - Insuranc'!E:E,"Rollover Comprehensive - 1 Year OD + 1 Year TP")</f>
        <v>0</v>
      </c>
      <c r="AP153" s="34" t="s">
        <v>3931</v>
      </c>
      <c r="AQ153" s="42" t="s">
        <v>3856</v>
      </c>
      <c r="AR153" s="31">
        <v>290.0</v>
      </c>
      <c r="AS153" s="34" t="s">
        <v>3853</v>
      </c>
      <c r="AT153" s="34">
        <v>0.0</v>
      </c>
      <c r="AU153" s="34">
        <v>100.0</v>
      </c>
      <c r="AV153" s="34">
        <v>0.0</v>
      </c>
      <c r="AW153" s="34">
        <v>0.0</v>
      </c>
      <c r="AX153" s="33">
        <f>COUNTIFS('Data For Calculation - Insuranc'!A:A,A153,'Data For Calculation - Insuranc'!D:D,"Individual",'Data For Calculation - Insuranc'!E:E,"Rollover - 1 Year OD Only")</f>
        <v>0</v>
      </c>
      <c r="AY153" s="34" t="s">
        <v>3932</v>
      </c>
      <c r="AZ153" s="42" t="s">
        <v>3856</v>
      </c>
      <c r="BA153" s="31">
        <v>290.0</v>
      </c>
      <c r="BB153" s="34" t="s">
        <v>3853</v>
      </c>
      <c r="BC153" s="34">
        <v>0.0</v>
      </c>
      <c r="BD153" s="34">
        <v>100.0</v>
      </c>
      <c r="BE153" s="34">
        <v>0.0</v>
      </c>
      <c r="BF153" s="34">
        <v>0.0</v>
      </c>
      <c r="BG153" s="33">
        <f>COUNTIFS('Data For Calculation - Insuranc'!A:A,A153,'Data For Calculation - Insuranc'!D:D,"Company",'Data For Calculation - Insuranc'!E:E,"Rollover - 1 Year OD Only")</f>
        <v>0</v>
      </c>
      <c r="BH153" s="34" t="s">
        <v>3931</v>
      </c>
      <c r="BI153" s="42" t="s">
        <v>3856</v>
      </c>
      <c r="BJ153" s="31">
        <v>290.0</v>
      </c>
      <c r="BK153" s="34" t="s">
        <v>3853</v>
      </c>
      <c r="BL153" s="34">
        <v>0.0</v>
      </c>
      <c r="BM153" s="34">
        <v>100.0</v>
      </c>
      <c r="BN153" s="34">
        <v>0.0</v>
      </c>
      <c r="BO153" s="34">
        <v>0.0</v>
      </c>
      <c r="BP153" s="33">
        <f>COUNTIFS('Data For Calculation - Insuranc'!A:A,A153,'Data For Calculation - Insuranc'!D:D,"Individual",'Data For Calculation - Insuranc'!E:E,"Rollover - 1 Year TP Only")</f>
        <v>0</v>
      </c>
      <c r="BQ153" s="34" t="s">
        <v>3932</v>
      </c>
      <c r="BR153" s="42" t="s">
        <v>3856</v>
      </c>
      <c r="BS153" s="31">
        <v>290.0</v>
      </c>
      <c r="BT153" s="34" t="s">
        <v>3853</v>
      </c>
      <c r="BU153" s="34">
        <v>0.0</v>
      </c>
      <c r="BV153" s="34">
        <v>100.0</v>
      </c>
      <c r="BW153" s="34">
        <v>0.0</v>
      </c>
      <c r="BX153" s="34">
        <v>0.0</v>
      </c>
      <c r="BY153" s="33">
        <f>COUNTIFS('Data For Calculation - Insuranc'!A:A,A153,'Data For Calculation - Insuranc'!D:D,"Company",'Data For Calculation - Insuranc'!E:E,"Rollover - 1 Year TP Only")</f>
        <v>0</v>
      </c>
      <c r="BZ153" s="31">
        <f t="shared" si="1"/>
        <v>0</v>
      </c>
      <c r="CA153" s="33">
        <f>SUMIFS('Data For Calculation - Insuranc'!I:I,'Data For Calculation - Insuranc'!$A:$A,$A153)</f>
        <v>0</v>
      </c>
      <c r="CB153" s="33">
        <f>SUMIFS('Data For Calculation - Insuranc'!J:J,'Data For Calculation - Insuranc'!$A:$A,$A153)</f>
        <v>0</v>
      </c>
      <c r="CC153" s="33">
        <f>SUMIFS('Data For Calculation - Insuranc'!K:K,'Data For Calculation - Insuranc'!$A:$A,$A153)</f>
        <v>0</v>
      </c>
      <c r="CD153" s="33">
        <f>IF($CK153 = "Dealer", SUMIFS('Data For Calculation - Insuranc'!I:I,'Data For Calculation - Insuranc'!$B:$B,$A153,'Data For Calculation - Insuranc'!$H:$H,"Master Dealer")) + SUMIFS('Data For Calculation - Insuranc'!I:I,'Data For Calculation - Insuranc'!$A:$A,$A153,'Data For Calculation - Insuranc'!$H:$H,"Self")</f>
        <v>0</v>
      </c>
      <c r="CE153" s="33">
        <f>IF($CK153 = "Dealer", SUMIFS('Data For Calculation - Insuranc'!J:J,'Data For Calculation - Insuranc'!$B:$B,$A153,'Data For Calculation - Insuranc'!$H:$H,"Master Dealer")) + SUMIFS('Data For Calculation - Insuranc'!J:J,'Data For Calculation - Insuranc'!$A:$A,$A153,'Data For Calculation - Insuranc'!$H:$H,"Self")</f>
        <v>0</v>
      </c>
      <c r="CF153" s="33">
        <f>IF($CK153 = "Dealer", SUMIFS('Data For Calculation - Insuranc'!K:K,'Data For Calculation - Insuranc'!$B:$B,$A153,'Data For Calculation - Insuranc'!$H:$H,"Master Dealer")) + SUMIFS('Data For Calculation - Insuranc'!K:K,'Data For Calculation - Insuranc'!$A:$A,$A153,'Data For Calculation - Insuranc'!$H:$H,"Self")</f>
        <v>0</v>
      </c>
      <c r="CG153" s="25" t="str">
        <f>(Sheet1!N153)</f>
        <v>KUNDAN HERO- PUNE</v>
      </c>
      <c r="CH153" s="25" t="str">
        <f>(Sheet1!O153)</f>
        <v>1pWj6JXfCN2O_M_9nR2upI3ud3_mfmIWPPdWUgAgAe9Y</v>
      </c>
      <c r="CI153" s="25" t="str">
        <f>(Sheet1!AV153)</f>
        <v/>
      </c>
      <c r="CJ153" s="25" t="str">
        <f>(Sheet1!AW153)</f>
        <v/>
      </c>
      <c r="CK153" s="26" t="str">
        <f>(Sheet1!P153)</f>
        <v>Dealer</v>
      </c>
    </row>
    <row r="154">
      <c r="A154" s="25" t="str">
        <f>(Sheet1!A154)</f>
        <v>12HJShHGOf09kSf0pLTPVE9xJIZSZJH5W8y2DhvGtYRU</v>
      </c>
      <c r="B154" s="25" t="str">
        <f>(Sheet1!B154)</f>
        <v>Badar Motors - Sambhal</v>
      </c>
      <c r="C154" s="30" t="str">
        <f>Sheet1!BB154</f>
        <v>No</v>
      </c>
      <c r="D154" s="30" t="s">
        <v>13</v>
      </c>
      <c r="E154" s="34" t="s">
        <v>13</v>
      </c>
      <c r="F154" s="34" t="s">
        <v>3929</v>
      </c>
      <c r="G154" s="42" t="s">
        <v>3817</v>
      </c>
      <c r="H154" s="43">
        <v>460.0</v>
      </c>
      <c r="I154" s="42" t="s">
        <v>3853</v>
      </c>
      <c r="J154" s="43">
        <v>0.0</v>
      </c>
      <c r="K154" s="43">
        <v>100.0</v>
      </c>
      <c r="L154" s="43">
        <v>0.0</v>
      </c>
      <c r="M154" s="43">
        <v>0.0</v>
      </c>
      <c r="N154" s="33">
        <f>COUNTIFS('Data For Calculation - Insuranc'!A:A,A154,'Data For Calculation - Insuranc'!D:D,"Individual",'Data For Calculation - Insuranc'!E:E,"Bundled - 1 Year OD + 5 Year TP")</f>
        <v>0</v>
      </c>
      <c r="O154" s="34" t="s">
        <v>3930</v>
      </c>
      <c r="P154" s="42" t="s">
        <v>3817</v>
      </c>
      <c r="Q154" s="43">
        <v>460.0</v>
      </c>
      <c r="R154" s="42" t="s">
        <v>3853</v>
      </c>
      <c r="S154" s="43">
        <v>0.0</v>
      </c>
      <c r="T154" s="43">
        <v>100.0</v>
      </c>
      <c r="U154" s="43">
        <v>0.0</v>
      </c>
      <c r="V154" s="43">
        <v>0.0</v>
      </c>
      <c r="W154" s="33">
        <f>COUNTIFS('Data For Calculation - Insuranc'!A:A,A154,'Data For Calculation - Insuranc'!D:D,"Company",'Data For Calculation - Insuranc'!E:E,"Bundled - 1 Year OD + 5 Year TP")</f>
        <v>0</v>
      </c>
      <c r="X154" s="34" t="s">
        <v>3929</v>
      </c>
      <c r="Y154" s="42" t="s">
        <v>3817</v>
      </c>
      <c r="Z154" s="31">
        <v>290.0</v>
      </c>
      <c r="AA154" s="34" t="s">
        <v>3853</v>
      </c>
      <c r="AB154" s="34">
        <v>0.0</v>
      </c>
      <c r="AC154" s="34">
        <v>100.0</v>
      </c>
      <c r="AD154" s="34">
        <v>0.0</v>
      </c>
      <c r="AE154" s="34">
        <v>0.0</v>
      </c>
      <c r="AF154" s="33">
        <f>COUNTIFS('Data For Calculation - Insuranc'!A:A,A154,'Data For Calculation - Insuranc'!D:D,"Individual",'Data For Calculation - Insuranc'!E:E,"Rollover Comprehensive - 1 Year OD + 1 Year TP")</f>
        <v>0</v>
      </c>
      <c r="AG154" s="34" t="s">
        <v>3930</v>
      </c>
      <c r="AH154" s="42" t="s">
        <v>3817</v>
      </c>
      <c r="AI154" s="31">
        <v>290.0</v>
      </c>
      <c r="AJ154" s="34" t="s">
        <v>3853</v>
      </c>
      <c r="AK154" s="34">
        <v>0.0</v>
      </c>
      <c r="AL154" s="34">
        <v>100.0</v>
      </c>
      <c r="AM154" s="34">
        <v>0.0</v>
      </c>
      <c r="AN154" s="34">
        <v>0.0</v>
      </c>
      <c r="AO154" s="33">
        <f>COUNTIFS('Data For Calculation - Insuranc'!A:A,A154,'Data For Calculation - Insuranc'!D:D,"Company",'Data For Calculation - Insuranc'!E:E,"Rollover Comprehensive - 1 Year OD + 1 Year TP")</f>
        <v>0</v>
      </c>
      <c r="AP154" s="34" t="s">
        <v>3931</v>
      </c>
      <c r="AQ154" s="42" t="s">
        <v>3817</v>
      </c>
      <c r="AR154" s="31">
        <v>290.0</v>
      </c>
      <c r="AS154" s="34" t="s">
        <v>3853</v>
      </c>
      <c r="AT154" s="34">
        <v>0.0</v>
      </c>
      <c r="AU154" s="34">
        <v>100.0</v>
      </c>
      <c r="AV154" s="34">
        <v>0.0</v>
      </c>
      <c r="AW154" s="34">
        <v>0.0</v>
      </c>
      <c r="AX154" s="33">
        <f>COUNTIFS('Data For Calculation - Insuranc'!A:A,A154,'Data For Calculation - Insuranc'!D:D,"Individual",'Data For Calculation - Insuranc'!E:E,"Rollover - 1 Year OD Only")</f>
        <v>0</v>
      </c>
      <c r="AY154" s="34" t="s">
        <v>3932</v>
      </c>
      <c r="AZ154" s="42" t="s">
        <v>3817</v>
      </c>
      <c r="BA154" s="31">
        <v>290.0</v>
      </c>
      <c r="BB154" s="34" t="s">
        <v>3853</v>
      </c>
      <c r="BC154" s="34">
        <v>0.0</v>
      </c>
      <c r="BD154" s="34">
        <v>100.0</v>
      </c>
      <c r="BE154" s="34">
        <v>0.0</v>
      </c>
      <c r="BF154" s="34">
        <v>0.0</v>
      </c>
      <c r="BG154" s="33">
        <f>COUNTIFS('Data For Calculation - Insuranc'!A:A,A154,'Data For Calculation - Insuranc'!D:D,"Company",'Data For Calculation - Insuranc'!E:E,"Rollover - 1 Year OD Only")</f>
        <v>0</v>
      </c>
      <c r="BH154" s="34" t="s">
        <v>3931</v>
      </c>
      <c r="BI154" s="42" t="s">
        <v>3817</v>
      </c>
      <c r="BJ154" s="31">
        <v>290.0</v>
      </c>
      <c r="BK154" s="34" t="s">
        <v>3853</v>
      </c>
      <c r="BL154" s="34">
        <v>0.0</v>
      </c>
      <c r="BM154" s="34">
        <v>100.0</v>
      </c>
      <c r="BN154" s="34">
        <v>0.0</v>
      </c>
      <c r="BO154" s="34">
        <v>0.0</v>
      </c>
      <c r="BP154" s="33">
        <f>COUNTIFS('Data For Calculation - Insuranc'!A:A,A154,'Data For Calculation - Insuranc'!D:D,"Individual",'Data For Calculation - Insuranc'!E:E,"Rollover - 1 Year TP Only")</f>
        <v>0</v>
      </c>
      <c r="BQ154" s="34" t="s">
        <v>3932</v>
      </c>
      <c r="BR154" s="42" t="s">
        <v>3817</v>
      </c>
      <c r="BS154" s="31">
        <v>290.0</v>
      </c>
      <c r="BT154" s="34" t="s">
        <v>3853</v>
      </c>
      <c r="BU154" s="34">
        <v>0.0</v>
      </c>
      <c r="BV154" s="34">
        <v>100.0</v>
      </c>
      <c r="BW154" s="34">
        <v>0.0</v>
      </c>
      <c r="BX154" s="34">
        <v>0.0</v>
      </c>
      <c r="BY154" s="33">
        <f>COUNTIFS('Data For Calculation - Insuranc'!A:A,A154,'Data For Calculation - Insuranc'!D:D,"Company",'Data For Calculation - Insuranc'!E:E,"Rollover - 1 Year TP Only")</f>
        <v>0</v>
      </c>
      <c r="BZ154" s="31">
        <f t="shared" si="1"/>
        <v>0</v>
      </c>
      <c r="CA154" s="33">
        <f>SUMIFS('Data For Calculation - Insuranc'!I:I,'Data For Calculation - Insuranc'!$A:$A,$A154)</f>
        <v>0</v>
      </c>
      <c r="CB154" s="33">
        <f>SUMIFS('Data For Calculation - Insuranc'!J:J,'Data For Calculation - Insuranc'!$A:$A,$A154)</f>
        <v>0</v>
      </c>
      <c r="CC154" s="33">
        <f>SUMIFS('Data For Calculation - Insuranc'!K:K,'Data For Calculation - Insuranc'!$A:$A,$A154)</f>
        <v>0</v>
      </c>
      <c r="CD154" s="33">
        <f>IF($CK154 = "Dealer", SUMIFS('Data For Calculation - Insuranc'!I:I,'Data For Calculation - Insuranc'!$B:$B,$A154,'Data For Calculation - Insuranc'!$H:$H,"Master Dealer")) + SUMIFS('Data For Calculation - Insuranc'!I:I,'Data For Calculation - Insuranc'!$A:$A,$A154,'Data For Calculation - Insuranc'!$H:$H,"Self")</f>
        <v>0</v>
      </c>
      <c r="CE154" s="33">
        <f>IF($CK154 = "Dealer", SUMIFS('Data For Calculation - Insuranc'!J:J,'Data For Calculation - Insuranc'!$B:$B,$A154,'Data For Calculation - Insuranc'!$H:$H,"Master Dealer")) + SUMIFS('Data For Calculation - Insuranc'!J:J,'Data For Calculation - Insuranc'!$A:$A,$A154,'Data For Calculation - Insuranc'!$H:$H,"Self")</f>
        <v>0</v>
      </c>
      <c r="CF154" s="33">
        <f>IF($CK154 = "Dealer", SUMIFS('Data For Calculation - Insuranc'!K:K,'Data For Calculation - Insuranc'!$B:$B,$A154,'Data For Calculation - Insuranc'!$H:$H,"Master Dealer")) + SUMIFS('Data For Calculation - Insuranc'!K:K,'Data For Calculation - Insuranc'!$A:$A,$A154,'Data For Calculation - Insuranc'!$H:$H,"Self")</f>
        <v>0</v>
      </c>
      <c r="CG154" s="25" t="str">
        <f>(Sheet1!N154)</f>
        <v>Badar Motors - Sambhal</v>
      </c>
      <c r="CH154" s="25" t="str">
        <f>(Sheet1!O154)</f>
        <v>12HJShHGOf09kSf0pLTPVE9xJIZSZJH5W8y2DhvGtYRU</v>
      </c>
      <c r="CI154" s="25" t="str">
        <f>(Sheet1!AV154)</f>
        <v/>
      </c>
      <c r="CJ154" s="25" t="str">
        <f>(Sheet1!AW154)</f>
        <v/>
      </c>
      <c r="CK154" s="26" t="str">
        <f>(Sheet1!P154)</f>
        <v>Dealer</v>
      </c>
    </row>
    <row r="155">
      <c r="A155" s="25" t="str">
        <f>(Sheet1!A155)</f>
        <v>1TMTMDBTSLXzi0POas5HDprui-sp3TCVvRYWE8buap-0</v>
      </c>
      <c r="B155" s="25" t="str">
        <f>(Sheet1!B155)</f>
        <v>Chandra Automobiles - Faizabad</v>
      </c>
      <c r="C155" s="30" t="str">
        <f>Sheet1!BB155</f>
        <v>No</v>
      </c>
      <c r="D155" s="30" t="s">
        <v>13</v>
      </c>
      <c r="E155" s="34" t="s">
        <v>13</v>
      </c>
      <c r="F155" s="34" t="s">
        <v>3929</v>
      </c>
      <c r="G155" s="42" t="s">
        <v>3820</v>
      </c>
      <c r="H155" s="43">
        <v>375.0</v>
      </c>
      <c r="I155" s="42" t="s">
        <v>3853</v>
      </c>
      <c r="J155" s="43">
        <v>0.0</v>
      </c>
      <c r="K155" s="43">
        <v>100.0</v>
      </c>
      <c r="L155" s="43">
        <v>0.0</v>
      </c>
      <c r="M155" s="43">
        <v>0.0</v>
      </c>
      <c r="N155" s="33">
        <f>COUNTIFS('Data For Calculation - Insuranc'!A:A,A155,'Data For Calculation - Insuranc'!D:D,"Individual",'Data For Calculation - Insuranc'!E:E,"Bundled - 1 Year OD + 5 Year TP")</f>
        <v>0</v>
      </c>
      <c r="O155" s="34" t="s">
        <v>3930</v>
      </c>
      <c r="P155" s="42" t="s">
        <v>3820</v>
      </c>
      <c r="Q155" s="43">
        <v>375.0</v>
      </c>
      <c r="R155" s="42" t="s">
        <v>3853</v>
      </c>
      <c r="S155" s="43">
        <v>0.0</v>
      </c>
      <c r="T155" s="43">
        <v>100.0</v>
      </c>
      <c r="U155" s="43">
        <v>0.0</v>
      </c>
      <c r="V155" s="43">
        <v>0.0</v>
      </c>
      <c r="W155" s="33">
        <f>COUNTIFS('Data For Calculation - Insuranc'!A:A,A155,'Data For Calculation - Insuranc'!D:D,"Company",'Data For Calculation - Insuranc'!E:E,"Bundled - 1 Year OD + 5 Year TP")</f>
        <v>0</v>
      </c>
      <c r="X155" s="34" t="s">
        <v>3929</v>
      </c>
      <c r="Y155" s="42" t="s">
        <v>3820</v>
      </c>
      <c r="Z155" s="31">
        <v>290.0</v>
      </c>
      <c r="AA155" s="34" t="s">
        <v>3853</v>
      </c>
      <c r="AB155" s="34">
        <v>0.0</v>
      </c>
      <c r="AC155" s="34">
        <v>100.0</v>
      </c>
      <c r="AD155" s="34">
        <v>0.0</v>
      </c>
      <c r="AE155" s="34">
        <v>0.0</v>
      </c>
      <c r="AF155" s="33">
        <f>COUNTIFS('Data For Calculation - Insuranc'!A:A,A155,'Data For Calculation - Insuranc'!D:D,"Individual",'Data For Calculation - Insuranc'!E:E,"Rollover Comprehensive - 1 Year OD + 1 Year TP")</f>
        <v>0</v>
      </c>
      <c r="AG155" s="34" t="s">
        <v>3930</v>
      </c>
      <c r="AH155" s="42" t="s">
        <v>3820</v>
      </c>
      <c r="AI155" s="31">
        <v>290.0</v>
      </c>
      <c r="AJ155" s="34" t="s">
        <v>3853</v>
      </c>
      <c r="AK155" s="34">
        <v>0.0</v>
      </c>
      <c r="AL155" s="34">
        <v>100.0</v>
      </c>
      <c r="AM155" s="34">
        <v>0.0</v>
      </c>
      <c r="AN155" s="34">
        <v>0.0</v>
      </c>
      <c r="AO155" s="33">
        <f>COUNTIFS('Data For Calculation - Insuranc'!A:A,A155,'Data For Calculation - Insuranc'!D:D,"Company",'Data For Calculation - Insuranc'!E:E,"Rollover Comprehensive - 1 Year OD + 1 Year TP")</f>
        <v>0</v>
      </c>
      <c r="AP155" s="34" t="s">
        <v>3931</v>
      </c>
      <c r="AQ155" s="42" t="s">
        <v>3820</v>
      </c>
      <c r="AR155" s="31">
        <v>290.0</v>
      </c>
      <c r="AS155" s="34" t="s">
        <v>3853</v>
      </c>
      <c r="AT155" s="34">
        <v>0.0</v>
      </c>
      <c r="AU155" s="34">
        <v>100.0</v>
      </c>
      <c r="AV155" s="34">
        <v>0.0</v>
      </c>
      <c r="AW155" s="34">
        <v>0.0</v>
      </c>
      <c r="AX155" s="33">
        <f>COUNTIFS('Data For Calculation - Insuranc'!A:A,A155,'Data For Calculation - Insuranc'!D:D,"Individual",'Data For Calculation - Insuranc'!E:E,"Rollover - 1 Year OD Only")</f>
        <v>0</v>
      </c>
      <c r="AY155" s="34" t="s">
        <v>3932</v>
      </c>
      <c r="AZ155" s="42" t="s">
        <v>3820</v>
      </c>
      <c r="BA155" s="31">
        <v>290.0</v>
      </c>
      <c r="BB155" s="34" t="s">
        <v>3853</v>
      </c>
      <c r="BC155" s="34">
        <v>0.0</v>
      </c>
      <c r="BD155" s="34">
        <v>100.0</v>
      </c>
      <c r="BE155" s="34">
        <v>0.0</v>
      </c>
      <c r="BF155" s="34">
        <v>0.0</v>
      </c>
      <c r="BG155" s="33">
        <f>COUNTIFS('Data For Calculation - Insuranc'!A:A,A155,'Data For Calculation - Insuranc'!D:D,"Company",'Data For Calculation - Insuranc'!E:E,"Rollover - 1 Year OD Only")</f>
        <v>0</v>
      </c>
      <c r="BH155" s="34" t="s">
        <v>3931</v>
      </c>
      <c r="BI155" s="42" t="s">
        <v>3820</v>
      </c>
      <c r="BJ155" s="31">
        <v>290.0</v>
      </c>
      <c r="BK155" s="34" t="s">
        <v>3853</v>
      </c>
      <c r="BL155" s="34">
        <v>0.0</v>
      </c>
      <c r="BM155" s="34">
        <v>100.0</v>
      </c>
      <c r="BN155" s="34">
        <v>0.0</v>
      </c>
      <c r="BO155" s="34">
        <v>0.0</v>
      </c>
      <c r="BP155" s="33">
        <f>COUNTIFS('Data For Calculation - Insuranc'!A:A,A155,'Data For Calculation - Insuranc'!D:D,"Individual",'Data For Calculation - Insuranc'!E:E,"Rollover - 1 Year TP Only")</f>
        <v>0</v>
      </c>
      <c r="BQ155" s="34" t="s">
        <v>3932</v>
      </c>
      <c r="BR155" s="42" t="s">
        <v>3820</v>
      </c>
      <c r="BS155" s="31">
        <v>290.0</v>
      </c>
      <c r="BT155" s="34" t="s">
        <v>3853</v>
      </c>
      <c r="BU155" s="34">
        <v>0.0</v>
      </c>
      <c r="BV155" s="34">
        <v>100.0</v>
      </c>
      <c r="BW155" s="34">
        <v>0.0</v>
      </c>
      <c r="BX155" s="34">
        <v>0.0</v>
      </c>
      <c r="BY155" s="33">
        <f>COUNTIFS('Data For Calculation - Insuranc'!A:A,A155,'Data For Calculation - Insuranc'!D:D,"Company",'Data For Calculation - Insuranc'!E:E,"Rollover - 1 Year TP Only")</f>
        <v>0</v>
      </c>
      <c r="BZ155" s="31">
        <f t="shared" si="1"/>
        <v>0</v>
      </c>
      <c r="CA155" s="33">
        <f>SUMIFS('Data For Calculation - Insuranc'!I:I,'Data For Calculation - Insuranc'!$A:$A,$A155)</f>
        <v>0</v>
      </c>
      <c r="CB155" s="33">
        <f>SUMIFS('Data For Calculation - Insuranc'!J:J,'Data For Calculation - Insuranc'!$A:$A,$A155)</f>
        <v>0</v>
      </c>
      <c r="CC155" s="33">
        <f>SUMIFS('Data For Calculation - Insuranc'!K:K,'Data For Calculation - Insuranc'!$A:$A,$A155)</f>
        <v>0</v>
      </c>
      <c r="CD155" s="33">
        <f>IF($CK155 = "Dealer", SUMIFS('Data For Calculation - Insuranc'!I:I,'Data For Calculation - Insuranc'!$B:$B,$A155,'Data For Calculation - Insuranc'!$H:$H,"Master Dealer")) + SUMIFS('Data For Calculation - Insuranc'!I:I,'Data For Calculation - Insuranc'!$A:$A,$A155,'Data For Calculation - Insuranc'!$H:$H,"Self")</f>
        <v>0</v>
      </c>
      <c r="CE155" s="33">
        <f>IF($CK155 = "Dealer", SUMIFS('Data For Calculation - Insuranc'!J:J,'Data For Calculation - Insuranc'!$B:$B,$A155,'Data For Calculation - Insuranc'!$H:$H,"Master Dealer")) + SUMIFS('Data For Calculation - Insuranc'!J:J,'Data For Calculation - Insuranc'!$A:$A,$A155,'Data For Calculation - Insuranc'!$H:$H,"Self")</f>
        <v>0</v>
      </c>
      <c r="CF155" s="33">
        <f>IF($CK155 = "Dealer", SUMIFS('Data For Calculation - Insuranc'!K:K,'Data For Calculation - Insuranc'!$B:$B,$A155,'Data For Calculation - Insuranc'!$H:$H,"Master Dealer")) + SUMIFS('Data For Calculation - Insuranc'!K:K,'Data For Calculation - Insuranc'!$A:$A,$A155,'Data For Calculation - Insuranc'!$H:$H,"Self")</f>
        <v>0</v>
      </c>
      <c r="CG155" s="25" t="str">
        <f>(Sheet1!N155)</f>
        <v>Chandra Automobiles - Faizabad</v>
      </c>
      <c r="CH155" s="25" t="str">
        <f>(Sheet1!O155)</f>
        <v>1TMTMDBTSLXzi0POas5HDprui-sp3TCVvRYWE8buap-0</v>
      </c>
      <c r="CI155" s="25" t="str">
        <f>(Sheet1!AV155)</f>
        <v/>
      </c>
      <c r="CJ155" s="25" t="str">
        <f>(Sheet1!AW155)</f>
        <v/>
      </c>
      <c r="CK155" s="26" t="str">
        <f>(Sheet1!P155)</f>
        <v>Dealer</v>
      </c>
    </row>
    <row r="156">
      <c r="A156" s="25" t="str">
        <f>(Sheet1!A156)</f>
        <v>1yeu1sNSbb2j8YGtFyG1D4WLawBmqXJv51bLIGiQ9gJs</v>
      </c>
      <c r="B156" s="25" t="str">
        <f>(Sheet1!B156)</f>
        <v>GANPATI AUTOMOBILE-DEORIA</v>
      </c>
      <c r="C156" s="30" t="str">
        <f>Sheet1!BB156</f>
        <v>No</v>
      </c>
      <c r="D156" s="30" t="s">
        <v>13</v>
      </c>
      <c r="E156" s="34" t="s">
        <v>13</v>
      </c>
      <c r="F156" s="34" t="s">
        <v>3929</v>
      </c>
      <c r="G156" s="42" t="s">
        <v>3820</v>
      </c>
      <c r="H156" s="43">
        <v>375.0</v>
      </c>
      <c r="I156" s="42" t="s">
        <v>3853</v>
      </c>
      <c r="J156" s="43">
        <v>0.0</v>
      </c>
      <c r="K156" s="43">
        <v>100.0</v>
      </c>
      <c r="L156" s="43">
        <v>0.0</v>
      </c>
      <c r="M156" s="43">
        <v>0.0</v>
      </c>
      <c r="N156" s="33">
        <f>COUNTIFS('Data For Calculation - Insuranc'!A:A,A156,'Data For Calculation - Insuranc'!D:D,"Individual",'Data For Calculation - Insuranc'!E:E,"Bundled - 1 Year OD + 5 Year TP")</f>
        <v>0</v>
      </c>
      <c r="O156" s="34" t="s">
        <v>3930</v>
      </c>
      <c r="P156" s="42" t="s">
        <v>3820</v>
      </c>
      <c r="Q156" s="43">
        <v>375.0</v>
      </c>
      <c r="R156" s="42" t="s">
        <v>3853</v>
      </c>
      <c r="S156" s="43">
        <v>0.0</v>
      </c>
      <c r="T156" s="43">
        <v>100.0</v>
      </c>
      <c r="U156" s="43">
        <v>0.0</v>
      </c>
      <c r="V156" s="43">
        <v>0.0</v>
      </c>
      <c r="W156" s="33">
        <f>COUNTIFS('Data For Calculation - Insuranc'!A:A,A156,'Data For Calculation - Insuranc'!D:D,"Company",'Data For Calculation - Insuranc'!E:E,"Bundled - 1 Year OD + 5 Year TP")</f>
        <v>0</v>
      </c>
      <c r="X156" s="34" t="s">
        <v>3929</v>
      </c>
      <c r="Y156" s="42" t="s">
        <v>3820</v>
      </c>
      <c r="Z156" s="31">
        <v>290.0</v>
      </c>
      <c r="AA156" s="34" t="s">
        <v>3853</v>
      </c>
      <c r="AB156" s="34">
        <v>0.0</v>
      </c>
      <c r="AC156" s="34">
        <v>100.0</v>
      </c>
      <c r="AD156" s="34">
        <v>0.0</v>
      </c>
      <c r="AE156" s="34">
        <v>0.0</v>
      </c>
      <c r="AF156" s="33">
        <f>COUNTIFS('Data For Calculation - Insuranc'!A:A,A156,'Data For Calculation - Insuranc'!D:D,"Individual",'Data For Calculation - Insuranc'!E:E,"Rollover Comprehensive - 1 Year OD + 1 Year TP")</f>
        <v>0</v>
      </c>
      <c r="AG156" s="34" t="s">
        <v>3930</v>
      </c>
      <c r="AH156" s="42" t="s">
        <v>3820</v>
      </c>
      <c r="AI156" s="31">
        <v>290.0</v>
      </c>
      <c r="AJ156" s="34" t="s">
        <v>3853</v>
      </c>
      <c r="AK156" s="34">
        <v>0.0</v>
      </c>
      <c r="AL156" s="34">
        <v>100.0</v>
      </c>
      <c r="AM156" s="34">
        <v>0.0</v>
      </c>
      <c r="AN156" s="34">
        <v>0.0</v>
      </c>
      <c r="AO156" s="33">
        <f>COUNTIFS('Data For Calculation - Insuranc'!A:A,A156,'Data For Calculation - Insuranc'!D:D,"Company",'Data For Calculation - Insuranc'!E:E,"Rollover Comprehensive - 1 Year OD + 1 Year TP")</f>
        <v>0</v>
      </c>
      <c r="AP156" s="34" t="s">
        <v>3931</v>
      </c>
      <c r="AQ156" s="42" t="s">
        <v>3820</v>
      </c>
      <c r="AR156" s="31">
        <v>290.0</v>
      </c>
      <c r="AS156" s="34" t="s">
        <v>3853</v>
      </c>
      <c r="AT156" s="34">
        <v>0.0</v>
      </c>
      <c r="AU156" s="34">
        <v>100.0</v>
      </c>
      <c r="AV156" s="34">
        <v>0.0</v>
      </c>
      <c r="AW156" s="34">
        <v>0.0</v>
      </c>
      <c r="AX156" s="33">
        <f>COUNTIFS('Data For Calculation - Insuranc'!A:A,A156,'Data For Calculation - Insuranc'!D:D,"Individual",'Data For Calculation - Insuranc'!E:E,"Rollover - 1 Year OD Only")</f>
        <v>0</v>
      </c>
      <c r="AY156" s="34" t="s">
        <v>3932</v>
      </c>
      <c r="AZ156" s="42" t="s">
        <v>3820</v>
      </c>
      <c r="BA156" s="31">
        <v>290.0</v>
      </c>
      <c r="BB156" s="34" t="s">
        <v>3853</v>
      </c>
      <c r="BC156" s="34">
        <v>0.0</v>
      </c>
      <c r="BD156" s="34">
        <v>100.0</v>
      </c>
      <c r="BE156" s="34">
        <v>0.0</v>
      </c>
      <c r="BF156" s="34">
        <v>0.0</v>
      </c>
      <c r="BG156" s="33">
        <f>COUNTIFS('Data For Calculation - Insuranc'!A:A,A156,'Data For Calculation - Insuranc'!D:D,"Company",'Data For Calculation - Insuranc'!E:E,"Rollover - 1 Year OD Only")</f>
        <v>0</v>
      </c>
      <c r="BH156" s="34" t="s">
        <v>3931</v>
      </c>
      <c r="BI156" s="42" t="s">
        <v>3820</v>
      </c>
      <c r="BJ156" s="31">
        <v>290.0</v>
      </c>
      <c r="BK156" s="34" t="s">
        <v>3853</v>
      </c>
      <c r="BL156" s="34">
        <v>0.0</v>
      </c>
      <c r="BM156" s="34">
        <v>100.0</v>
      </c>
      <c r="BN156" s="34">
        <v>0.0</v>
      </c>
      <c r="BO156" s="34">
        <v>0.0</v>
      </c>
      <c r="BP156" s="33">
        <f>COUNTIFS('Data For Calculation - Insuranc'!A:A,A156,'Data For Calculation - Insuranc'!D:D,"Individual",'Data For Calculation - Insuranc'!E:E,"Rollover - 1 Year TP Only")</f>
        <v>0</v>
      </c>
      <c r="BQ156" s="34" t="s">
        <v>3932</v>
      </c>
      <c r="BR156" s="42" t="s">
        <v>3820</v>
      </c>
      <c r="BS156" s="31">
        <v>290.0</v>
      </c>
      <c r="BT156" s="34" t="s">
        <v>3853</v>
      </c>
      <c r="BU156" s="34">
        <v>0.0</v>
      </c>
      <c r="BV156" s="34">
        <v>100.0</v>
      </c>
      <c r="BW156" s="34">
        <v>0.0</v>
      </c>
      <c r="BX156" s="34">
        <v>0.0</v>
      </c>
      <c r="BY156" s="33">
        <f>COUNTIFS('Data For Calculation - Insuranc'!A:A,A156,'Data For Calculation - Insuranc'!D:D,"Company",'Data For Calculation - Insuranc'!E:E,"Rollover - 1 Year TP Only")</f>
        <v>0</v>
      </c>
      <c r="BZ156" s="31">
        <f t="shared" si="1"/>
        <v>0</v>
      </c>
      <c r="CA156" s="33">
        <f>SUMIFS('Data For Calculation - Insuranc'!I:I,'Data For Calculation - Insuranc'!$A:$A,$A156)</f>
        <v>0</v>
      </c>
      <c r="CB156" s="33">
        <f>SUMIFS('Data For Calculation - Insuranc'!J:J,'Data For Calculation - Insuranc'!$A:$A,$A156)</f>
        <v>0</v>
      </c>
      <c r="CC156" s="33">
        <f>SUMIFS('Data For Calculation - Insuranc'!K:K,'Data For Calculation - Insuranc'!$A:$A,$A156)</f>
        <v>0</v>
      </c>
      <c r="CD156" s="33">
        <f>IF($CK156 = "Dealer", SUMIFS('Data For Calculation - Insuranc'!I:I,'Data For Calculation - Insuranc'!$B:$B,$A156,'Data For Calculation - Insuranc'!$H:$H,"Master Dealer")) + SUMIFS('Data For Calculation - Insuranc'!I:I,'Data For Calculation - Insuranc'!$A:$A,$A156,'Data For Calculation - Insuranc'!$H:$H,"Self")</f>
        <v>0</v>
      </c>
      <c r="CE156" s="33">
        <f>IF($CK156 = "Dealer", SUMIFS('Data For Calculation - Insuranc'!J:J,'Data For Calculation - Insuranc'!$B:$B,$A156,'Data For Calculation - Insuranc'!$H:$H,"Master Dealer")) + SUMIFS('Data For Calculation - Insuranc'!J:J,'Data For Calculation - Insuranc'!$A:$A,$A156,'Data For Calculation - Insuranc'!$H:$H,"Self")</f>
        <v>0</v>
      </c>
      <c r="CF156" s="33">
        <f>IF($CK156 = "Dealer", SUMIFS('Data For Calculation - Insuranc'!K:K,'Data For Calculation - Insuranc'!$B:$B,$A156,'Data For Calculation - Insuranc'!$H:$H,"Master Dealer")) + SUMIFS('Data For Calculation - Insuranc'!K:K,'Data For Calculation - Insuranc'!$A:$A,$A156,'Data For Calculation - Insuranc'!$H:$H,"Self")</f>
        <v>0</v>
      </c>
      <c r="CG156" s="25" t="str">
        <f>(Sheet1!N156)</f>
        <v>GANPATI AUTOMOBILE-DEORIA</v>
      </c>
      <c r="CH156" s="25" t="str">
        <f>(Sheet1!O156)</f>
        <v>1yeu1sNSbb2j8YGtFyG1D4WLawBmqXJv51bLIGiQ9gJs</v>
      </c>
      <c r="CI156" s="25" t="str">
        <f>(Sheet1!AV156)</f>
        <v/>
      </c>
      <c r="CJ156" s="25" t="str">
        <f>(Sheet1!AW156)</f>
        <v/>
      </c>
      <c r="CK156" s="26" t="str">
        <f>(Sheet1!P156)</f>
        <v>Dealer</v>
      </c>
    </row>
    <row r="157">
      <c r="A157" s="25" t="str">
        <f>(Sheet1!A157)</f>
        <v>1ujz4e03ajQcNujiybbh9kWwlqBz9h70rMo6I6wAh-WI</v>
      </c>
      <c r="B157" s="25" t="str">
        <f>(Sheet1!B157)</f>
        <v>Golden Enterprises - Shikohabad</v>
      </c>
      <c r="C157" s="30" t="str">
        <f>Sheet1!BB157</f>
        <v>No</v>
      </c>
      <c r="D157" s="30" t="s">
        <v>13</v>
      </c>
      <c r="E157" s="34" t="s">
        <v>13</v>
      </c>
      <c r="F157" s="34" t="s">
        <v>3929</v>
      </c>
      <c r="G157" s="42" t="s">
        <v>3820</v>
      </c>
      <c r="H157" s="43">
        <v>460.0</v>
      </c>
      <c r="I157" s="42" t="s">
        <v>3853</v>
      </c>
      <c r="J157" s="43">
        <v>0.0</v>
      </c>
      <c r="K157" s="43">
        <v>100.0</v>
      </c>
      <c r="L157" s="43">
        <v>0.0</v>
      </c>
      <c r="M157" s="43">
        <v>0.0</v>
      </c>
      <c r="N157" s="33">
        <f>COUNTIFS('Data For Calculation - Insuranc'!A:A,A157,'Data For Calculation - Insuranc'!D:D,"Individual",'Data For Calculation - Insuranc'!E:E,"Bundled - 1 Year OD + 5 Year TP")</f>
        <v>0</v>
      </c>
      <c r="O157" s="34" t="s">
        <v>3930</v>
      </c>
      <c r="P157" s="42" t="s">
        <v>3820</v>
      </c>
      <c r="Q157" s="43">
        <v>460.0</v>
      </c>
      <c r="R157" s="42" t="s">
        <v>3853</v>
      </c>
      <c r="S157" s="43">
        <v>0.0</v>
      </c>
      <c r="T157" s="43">
        <v>100.0</v>
      </c>
      <c r="U157" s="43">
        <v>0.0</v>
      </c>
      <c r="V157" s="43">
        <v>0.0</v>
      </c>
      <c r="W157" s="33">
        <f>COUNTIFS('Data For Calculation - Insuranc'!A:A,A157,'Data For Calculation - Insuranc'!D:D,"Company",'Data For Calculation - Insuranc'!E:E,"Bundled - 1 Year OD + 5 Year TP")</f>
        <v>0</v>
      </c>
      <c r="X157" s="34" t="s">
        <v>3929</v>
      </c>
      <c r="Y157" s="42" t="s">
        <v>3820</v>
      </c>
      <c r="Z157" s="31">
        <v>290.0</v>
      </c>
      <c r="AA157" s="34" t="s">
        <v>3853</v>
      </c>
      <c r="AB157" s="34">
        <v>0.0</v>
      </c>
      <c r="AC157" s="34">
        <v>100.0</v>
      </c>
      <c r="AD157" s="34">
        <v>0.0</v>
      </c>
      <c r="AE157" s="34">
        <v>0.0</v>
      </c>
      <c r="AF157" s="33">
        <f>COUNTIFS('Data For Calculation - Insuranc'!A:A,A157,'Data For Calculation - Insuranc'!D:D,"Individual",'Data For Calculation - Insuranc'!E:E,"Rollover Comprehensive - 1 Year OD + 1 Year TP")</f>
        <v>0</v>
      </c>
      <c r="AG157" s="34" t="s">
        <v>3930</v>
      </c>
      <c r="AH157" s="42" t="s">
        <v>3820</v>
      </c>
      <c r="AI157" s="31">
        <v>290.0</v>
      </c>
      <c r="AJ157" s="34" t="s">
        <v>3853</v>
      </c>
      <c r="AK157" s="34">
        <v>0.0</v>
      </c>
      <c r="AL157" s="34">
        <v>100.0</v>
      </c>
      <c r="AM157" s="34">
        <v>0.0</v>
      </c>
      <c r="AN157" s="34">
        <v>0.0</v>
      </c>
      <c r="AO157" s="33">
        <f>COUNTIFS('Data For Calculation - Insuranc'!A:A,A157,'Data For Calculation - Insuranc'!D:D,"Company",'Data For Calculation - Insuranc'!E:E,"Rollover Comprehensive - 1 Year OD + 1 Year TP")</f>
        <v>0</v>
      </c>
      <c r="AP157" s="34" t="s">
        <v>3931</v>
      </c>
      <c r="AQ157" s="42" t="s">
        <v>3820</v>
      </c>
      <c r="AR157" s="31">
        <v>290.0</v>
      </c>
      <c r="AS157" s="34" t="s">
        <v>3853</v>
      </c>
      <c r="AT157" s="34">
        <v>0.0</v>
      </c>
      <c r="AU157" s="34">
        <v>100.0</v>
      </c>
      <c r="AV157" s="34">
        <v>0.0</v>
      </c>
      <c r="AW157" s="34">
        <v>0.0</v>
      </c>
      <c r="AX157" s="33">
        <f>COUNTIFS('Data For Calculation - Insuranc'!A:A,A157,'Data For Calculation - Insuranc'!D:D,"Individual",'Data For Calculation - Insuranc'!E:E,"Rollover - 1 Year OD Only")</f>
        <v>0</v>
      </c>
      <c r="AY157" s="34" t="s">
        <v>3932</v>
      </c>
      <c r="AZ157" s="42" t="s">
        <v>3820</v>
      </c>
      <c r="BA157" s="31">
        <v>290.0</v>
      </c>
      <c r="BB157" s="34" t="s">
        <v>3853</v>
      </c>
      <c r="BC157" s="34">
        <v>0.0</v>
      </c>
      <c r="BD157" s="34">
        <v>100.0</v>
      </c>
      <c r="BE157" s="34">
        <v>0.0</v>
      </c>
      <c r="BF157" s="34">
        <v>0.0</v>
      </c>
      <c r="BG157" s="33">
        <f>COUNTIFS('Data For Calculation - Insuranc'!A:A,A157,'Data For Calculation - Insuranc'!D:D,"Company",'Data For Calculation - Insuranc'!E:E,"Rollover - 1 Year OD Only")</f>
        <v>0</v>
      </c>
      <c r="BH157" s="34" t="s">
        <v>3931</v>
      </c>
      <c r="BI157" s="42" t="s">
        <v>3820</v>
      </c>
      <c r="BJ157" s="31">
        <v>290.0</v>
      </c>
      <c r="BK157" s="34" t="s">
        <v>3853</v>
      </c>
      <c r="BL157" s="34">
        <v>0.0</v>
      </c>
      <c r="BM157" s="34">
        <v>100.0</v>
      </c>
      <c r="BN157" s="34">
        <v>0.0</v>
      </c>
      <c r="BO157" s="34">
        <v>0.0</v>
      </c>
      <c r="BP157" s="33">
        <f>COUNTIFS('Data For Calculation - Insuranc'!A:A,A157,'Data For Calculation - Insuranc'!D:D,"Individual",'Data For Calculation - Insuranc'!E:E,"Rollover - 1 Year TP Only")</f>
        <v>0</v>
      </c>
      <c r="BQ157" s="34" t="s">
        <v>3932</v>
      </c>
      <c r="BR157" s="42" t="s">
        <v>3820</v>
      </c>
      <c r="BS157" s="31">
        <v>290.0</v>
      </c>
      <c r="BT157" s="34" t="s">
        <v>3853</v>
      </c>
      <c r="BU157" s="34">
        <v>0.0</v>
      </c>
      <c r="BV157" s="34">
        <v>100.0</v>
      </c>
      <c r="BW157" s="34">
        <v>0.0</v>
      </c>
      <c r="BX157" s="34">
        <v>0.0</v>
      </c>
      <c r="BY157" s="33">
        <f>COUNTIFS('Data For Calculation - Insuranc'!A:A,A157,'Data For Calculation - Insuranc'!D:D,"Company",'Data For Calculation - Insuranc'!E:E,"Rollover - 1 Year TP Only")</f>
        <v>0</v>
      </c>
      <c r="BZ157" s="31">
        <f t="shared" si="1"/>
        <v>0</v>
      </c>
      <c r="CA157" s="33">
        <f>SUMIFS('Data For Calculation - Insuranc'!I:I,'Data For Calculation - Insuranc'!$A:$A,$A157)</f>
        <v>0</v>
      </c>
      <c r="CB157" s="33">
        <f>SUMIFS('Data For Calculation - Insuranc'!J:J,'Data For Calculation - Insuranc'!$A:$A,$A157)</f>
        <v>0</v>
      </c>
      <c r="CC157" s="33">
        <f>SUMIFS('Data For Calculation - Insuranc'!K:K,'Data For Calculation - Insuranc'!$A:$A,$A157)</f>
        <v>0</v>
      </c>
      <c r="CD157" s="33">
        <f>IF($CK157 = "Dealer", SUMIFS('Data For Calculation - Insuranc'!I:I,'Data For Calculation - Insuranc'!$B:$B,$A157,'Data For Calculation - Insuranc'!$H:$H,"Master Dealer")) + SUMIFS('Data For Calculation - Insuranc'!I:I,'Data For Calculation - Insuranc'!$A:$A,$A157,'Data For Calculation - Insuranc'!$H:$H,"Self")</f>
        <v>0</v>
      </c>
      <c r="CE157" s="33">
        <f>IF($CK157 = "Dealer", SUMIFS('Data For Calculation - Insuranc'!J:J,'Data For Calculation - Insuranc'!$B:$B,$A157,'Data For Calculation - Insuranc'!$H:$H,"Master Dealer")) + SUMIFS('Data For Calculation - Insuranc'!J:J,'Data For Calculation - Insuranc'!$A:$A,$A157,'Data For Calculation - Insuranc'!$H:$H,"Self")</f>
        <v>0</v>
      </c>
      <c r="CF157" s="33">
        <f>IF($CK157 = "Dealer", SUMIFS('Data For Calculation - Insuranc'!K:K,'Data For Calculation - Insuranc'!$B:$B,$A157,'Data For Calculation - Insuranc'!$H:$H,"Master Dealer")) + SUMIFS('Data For Calculation - Insuranc'!K:K,'Data For Calculation - Insuranc'!$A:$A,$A157,'Data For Calculation - Insuranc'!$H:$H,"Self")</f>
        <v>0</v>
      </c>
      <c r="CG157" s="25" t="str">
        <f>(Sheet1!N157)</f>
        <v>Golden Enterprises - Shikohabad</v>
      </c>
      <c r="CH157" s="25" t="str">
        <f>(Sheet1!O157)</f>
        <v>1ujz4e03ajQcNujiybbh9kWwlqBz9h70rMo6I6wAh-WI</v>
      </c>
      <c r="CI157" s="25" t="str">
        <f>(Sheet1!AV157)</f>
        <v/>
      </c>
      <c r="CJ157" s="25" t="str">
        <f>(Sheet1!AW157)</f>
        <v/>
      </c>
      <c r="CK157" s="26" t="str">
        <f>(Sheet1!P157)</f>
        <v>Dealer</v>
      </c>
    </row>
    <row r="158">
      <c r="A158" s="25" t="str">
        <f>(Sheet1!A158)</f>
        <v>1L9RtM1bzB4DA93tD_IGwUFHY3tNGdFYoNpultJI5GgQ</v>
      </c>
      <c r="B158" s="25" t="str">
        <f>(Sheet1!B158)</f>
        <v>Sushil automobiles - Basti</v>
      </c>
      <c r="C158" s="30" t="str">
        <f>Sheet1!BB158</f>
        <v>No</v>
      </c>
      <c r="D158" s="30" t="s">
        <v>13</v>
      </c>
      <c r="E158" s="34" t="s">
        <v>13</v>
      </c>
      <c r="F158" s="34" t="s">
        <v>3929</v>
      </c>
      <c r="G158" s="42" t="s">
        <v>3820</v>
      </c>
      <c r="H158" s="43">
        <v>460.0</v>
      </c>
      <c r="I158" s="42" t="s">
        <v>3853</v>
      </c>
      <c r="J158" s="43">
        <v>0.0</v>
      </c>
      <c r="K158" s="43">
        <v>100.0</v>
      </c>
      <c r="L158" s="43">
        <v>0.0</v>
      </c>
      <c r="M158" s="43">
        <v>0.0</v>
      </c>
      <c r="N158" s="33">
        <f>COUNTIFS('Data For Calculation - Insuranc'!A:A,A158,'Data For Calculation - Insuranc'!D:D,"Individual",'Data For Calculation - Insuranc'!E:E,"Bundled - 1 Year OD + 5 Year TP")</f>
        <v>0</v>
      </c>
      <c r="O158" s="34" t="s">
        <v>3930</v>
      </c>
      <c r="P158" s="42" t="s">
        <v>3820</v>
      </c>
      <c r="Q158" s="43">
        <v>460.0</v>
      </c>
      <c r="R158" s="42" t="s">
        <v>3853</v>
      </c>
      <c r="S158" s="43">
        <v>0.0</v>
      </c>
      <c r="T158" s="43">
        <v>100.0</v>
      </c>
      <c r="U158" s="43">
        <v>0.0</v>
      </c>
      <c r="V158" s="43">
        <v>0.0</v>
      </c>
      <c r="W158" s="33">
        <f>COUNTIFS('Data For Calculation - Insuranc'!A:A,A158,'Data For Calculation - Insuranc'!D:D,"Company",'Data For Calculation - Insuranc'!E:E,"Bundled - 1 Year OD + 5 Year TP")</f>
        <v>0</v>
      </c>
      <c r="X158" s="34" t="s">
        <v>3929</v>
      </c>
      <c r="Y158" s="42" t="s">
        <v>3820</v>
      </c>
      <c r="Z158" s="31">
        <v>290.0</v>
      </c>
      <c r="AA158" s="34" t="s">
        <v>3853</v>
      </c>
      <c r="AB158" s="34">
        <v>0.0</v>
      </c>
      <c r="AC158" s="34">
        <v>100.0</v>
      </c>
      <c r="AD158" s="34">
        <v>0.0</v>
      </c>
      <c r="AE158" s="34">
        <v>0.0</v>
      </c>
      <c r="AF158" s="33">
        <f>COUNTIFS('Data For Calculation - Insuranc'!A:A,A158,'Data For Calculation - Insuranc'!D:D,"Individual",'Data For Calculation - Insuranc'!E:E,"Rollover Comprehensive - 1 Year OD + 1 Year TP")</f>
        <v>0</v>
      </c>
      <c r="AG158" s="34" t="s">
        <v>3930</v>
      </c>
      <c r="AH158" s="42" t="s">
        <v>3820</v>
      </c>
      <c r="AI158" s="31">
        <v>290.0</v>
      </c>
      <c r="AJ158" s="34" t="s">
        <v>3853</v>
      </c>
      <c r="AK158" s="34">
        <v>0.0</v>
      </c>
      <c r="AL158" s="34">
        <v>100.0</v>
      </c>
      <c r="AM158" s="34">
        <v>0.0</v>
      </c>
      <c r="AN158" s="34">
        <v>0.0</v>
      </c>
      <c r="AO158" s="33">
        <f>COUNTIFS('Data For Calculation - Insuranc'!A:A,A158,'Data For Calculation - Insuranc'!D:D,"Company",'Data For Calculation - Insuranc'!E:E,"Rollover Comprehensive - 1 Year OD + 1 Year TP")</f>
        <v>0</v>
      </c>
      <c r="AP158" s="34" t="s">
        <v>3931</v>
      </c>
      <c r="AQ158" s="42" t="s">
        <v>3820</v>
      </c>
      <c r="AR158" s="31">
        <v>290.0</v>
      </c>
      <c r="AS158" s="34" t="s">
        <v>3853</v>
      </c>
      <c r="AT158" s="34">
        <v>0.0</v>
      </c>
      <c r="AU158" s="34">
        <v>100.0</v>
      </c>
      <c r="AV158" s="34">
        <v>0.0</v>
      </c>
      <c r="AW158" s="34">
        <v>0.0</v>
      </c>
      <c r="AX158" s="33">
        <f>COUNTIFS('Data For Calculation - Insuranc'!A:A,A158,'Data For Calculation - Insuranc'!D:D,"Individual",'Data For Calculation - Insuranc'!E:E,"Rollover - 1 Year OD Only")</f>
        <v>0</v>
      </c>
      <c r="AY158" s="34" t="s">
        <v>3932</v>
      </c>
      <c r="AZ158" s="42" t="s">
        <v>3820</v>
      </c>
      <c r="BA158" s="31">
        <v>290.0</v>
      </c>
      <c r="BB158" s="34" t="s">
        <v>3853</v>
      </c>
      <c r="BC158" s="34">
        <v>0.0</v>
      </c>
      <c r="BD158" s="34">
        <v>100.0</v>
      </c>
      <c r="BE158" s="34">
        <v>0.0</v>
      </c>
      <c r="BF158" s="34">
        <v>0.0</v>
      </c>
      <c r="BG158" s="33">
        <f>COUNTIFS('Data For Calculation - Insuranc'!A:A,A158,'Data For Calculation - Insuranc'!D:D,"Company",'Data For Calculation - Insuranc'!E:E,"Rollover - 1 Year OD Only")</f>
        <v>0</v>
      </c>
      <c r="BH158" s="34" t="s">
        <v>3931</v>
      </c>
      <c r="BI158" s="42" t="s">
        <v>3820</v>
      </c>
      <c r="BJ158" s="31">
        <v>290.0</v>
      </c>
      <c r="BK158" s="34" t="s">
        <v>3853</v>
      </c>
      <c r="BL158" s="34">
        <v>0.0</v>
      </c>
      <c r="BM158" s="34">
        <v>100.0</v>
      </c>
      <c r="BN158" s="34">
        <v>0.0</v>
      </c>
      <c r="BO158" s="34">
        <v>0.0</v>
      </c>
      <c r="BP158" s="33">
        <f>COUNTIFS('Data For Calculation - Insuranc'!A:A,A158,'Data For Calculation - Insuranc'!D:D,"Individual",'Data For Calculation - Insuranc'!E:E,"Rollover - 1 Year TP Only")</f>
        <v>0</v>
      </c>
      <c r="BQ158" s="34" t="s">
        <v>3932</v>
      </c>
      <c r="BR158" s="42" t="s">
        <v>3820</v>
      </c>
      <c r="BS158" s="31">
        <v>290.0</v>
      </c>
      <c r="BT158" s="34" t="s">
        <v>3853</v>
      </c>
      <c r="BU158" s="34">
        <v>0.0</v>
      </c>
      <c r="BV158" s="34">
        <v>100.0</v>
      </c>
      <c r="BW158" s="34">
        <v>0.0</v>
      </c>
      <c r="BX158" s="34">
        <v>0.0</v>
      </c>
      <c r="BY158" s="33">
        <f>COUNTIFS('Data For Calculation - Insuranc'!A:A,A158,'Data For Calculation - Insuranc'!D:D,"Company",'Data For Calculation - Insuranc'!E:E,"Rollover - 1 Year TP Only")</f>
        <v>0</v>
      </c>
      <c r="BZ158" s="31">
        <f t="shared" si="1"/>
        <v>0</v>
      </c>
      <c r="CA158" s="33">
        <f>SUMIFS('Data For Calculation - Insuranc'!I:I,'Data For Calculation - Insuranc'!$A:$A,$A158)</f>
        <v>0</v>
      </c>
      <c r="CB158" s="33">
        <f>SUMIFS('Data For Calculation - Insuranc'!J:J,'Data For Calculation - Insuranc'!$A:$A,$A158)</f>
        <v>0</v>
      </c>
      <c r="CC158" s="33">
        <f>SUMIFS('Data For Calculation - Insuranc'!K:K,'Data For Calculation - Insuranc'!$A:$A,$A158)</f>
        <v>0</v>
      </c>
      <c r="CD158" s="33">
        <f>IF($CK158 = "Dealer", SUMIFS('Data For Calculation - Insuranc'!I:I,'Data For Calculation - Insuranc'!$B:$B,$A158,'Data For Calculation - Insuranc'!$H:$H,"Master Dealer")) + SUMIFS('Data For Calculation - Insuranc'!I:I,'Data For Calculation - Insuranc'!$A:$A,$A158,'Data For Calculation - Insuranc'!$H:$H,"Self")</f>
        <v>0</v>
      </c>
      <c r="CE158" s="33">
        <f>IF($CK158 = "Dealer", SUMIFS('Data For Calculation - Insuranc'!J:J,'Data For Calculation - Insuranc'!$B:$B,$A158,'Data For Calculation - Insuranc'!$H:$H,"Master Dealer")) + SUMIFS('Data For Calculation - Insuranc'!J:J,'Data For Calculation - Insuranc'!$A:$A,$A158,'Data For Calculation - Insuranc'!$H:$H,"Self")</f>
        <v>0</v>
      </c>
      <c r="CF158" s="33">
        <f>IF($CK158 = "Dealer", SUMIFS('Data For Calculation - Insuranc'!K:K,'Data For Calculation - Insuranc'!$B:$B,$A158,'Data For Calculation - Insuranc'!$H:$H,"Master Dealer")) + SUMIFS('Data For Calculation - Insuranc'!K:K,'Data For Calculation - Insuranc'!$A:$A,$A158,'Data For Calculation - Insuranc'!$H:$H,"Self")</f>
        <v>0</v>
      </c>
      <c r="CG158" s="25" t="str">
        <f>(Sheet1!N158)</f>
        <v>Sushil automobiles - Basti</v>
      </c>
      <c r="CH158" s="25" t="str">
        <f>(Sheet1!O158)</f>
        <v>1L9RtM1bzB4DA93tD_IGwUFHY3tNGdFYoNpultJI5GgQ</v>
      </c>
      <c r="CI158" s="25" t="str">
        <f>(Sheet1!AV158)</f>
        <v/>
      </c>
      <c r="CJ158" s="25" t="str">
        <f>(Sheet1!AW158)</f>
        <v/>
      </c>
      <c r="CK158" s="26" t="str">
        <f>(Sheet1!P158)</f>
        <v>Dealer</v>
      </c>
    </row>
    <row r="159">
      <c r="A159" s="25" t="str">
        <f>(Sheet1!A159)</f>
        <v>1BqR_Ok1XKiMbwmdK26aLR_BYoeEJpv9mAZfv_Tb9vx4</v>
      </c>
      <c r="B159" s="25" t="str">
        <f>(Sheet1!B159)</f>
        <v>Concept Automobile - Hardoi</v>
      </c>
      <c r="C159" s="30" t="str">
        <f>Sheet1!BB159</f>
        <v>No</v>
      </c>
      <c r="D159" s="30" t="s">
        <v>13</v>
      </c>
      <c r="E159" s="34" t="s">
        <v>13</v>
      </c>
      <c r="F159" s="34" t="s">
        <v>3929</v>
      </c>
      <c r="G159" s="42" t="s">
        <v>3820</v>
      </c>
      <c r="H159" s="43">
        <v>460.0</v>
      </c>
      <c r="I159" s="42" t="s">
        <v>3853</v>
      </c>
      <c r="J159" s="43">
        <v>0.0</v>
      </c>
      <c r="K159" s="43">
        <v>100.0</v>
      </c>
      <c r="L159" s="43">
        <v>0.0</v>
      </c>
      <c r="M159" s="43">
        <v>0.0</v>
      </c>
      <c r="N159" s="33">
        <f>COUNTIFS('Data For Calculation - Insuranc'!A:A,A159,'Data For Calculation - Insuranc'!D:D,"Individual",'Data For Calculation - Insuranc'!E:E,"Bundled - 1 Year OD + 5 Year TP")</f>
        <v>0</v>
      </c>
      <c r="O159" s="34" t="s">
        <v>3930</v>
      </c>
      <c r="P159" s="42" t="s">
        <v>3820</v>
      </c>
      <c r="Q159" s="43">
        <v>460.0</v>
      </c>
      <c r="R159" s="42" t="s">
        <v>3853</v>
      </c>
      <c r="S159" s="43">
        <v>0.0</v>
      </c>
      <c r="T159" s="43">
        <v>100.0</v>
      </c>
      <c r="U159" s="43">
        <v>0.0</v>
      </c>
      <c r="V159" s="43">
        <v>0.0</v>
      </c>
      <c r="W159" s="33">
        <f>COUNTIFS('Data For Calculation - Insuranc'!A:A,A159,'Data For Calculation - Insuranc'!D:D,"Company",'Data For Calculation - Insuranc'!E:E,"Bundled - 1 Year OD + 5 Year TP")</f>
        <v>0</v>
      </c>
      <c r="X159" s="34" t="s">
        <v>3929</v>
      </c>
      <c r="Y159" s="42" t="s">
        <v>3820</v>
      </c>
      <c r="Z159" s="31">
        <v>205.0</v>
      </c>
      <c r="AA159" s="34" t="s">
        <v>3853</v>
      </c>
      <c r="AB159" s="34">
        <v>0.0</v>
      </c>
      <c r="AC159" s="34">
        <v>100.0</v>
      </c>
      <c r="AD159" s="34">
        <v>0.0</v>
      </c>
      <c r="AE159" s="34">
        <v>0.0</v>
      </c>
      <c r="AF159" s="33">
        <f>COUNTIFS('Data For Calculation - Insuranc'!A:A,A159,'Data For Calculation - Insuranc'!D:D,"Individual",'Data For Calculation - Insuranc'!E:E,"Rollover Comprehensive - 1 Year OD + 1 Year TP")</f>
        <v>0</v>
      </c>
      <c r="AG159" s="34" t="s">
        <v>3930</v>
      </c>
      <c r="AH159" s="42" t="s">
        <v>3820</v>
      </c>
      <c r="AI159" s="31">
        <v>205.0</v>
      </c>
      <c r="AJ159" s="34" t="s">
        <v>3853</v>
      </c>
      <c r="AK159" s="34">
        <v>0.0</v>
      </c>
      <c r="AL159" s="34">
        <v>100.0</v>
      </c>
      <c r="AM159" s="34">
        <v>0.0</v>
      </c>
      <c r="AN159" s="34">
        <v>0.0</v>
      </c>
      <c r="AO159" s="33">
        <f>COUNTIFS('Data For Calculation - Insuranc'!A:A,A159,'Data For Calculation - Insuranc'!D:D,"Company",'Data For Calculation - Insuranc'!E:E,"Rollover Comprehensive - 1 Year OD + 1 Year TP")</f>
        <v>0</v>
      </c>
      <c r="AP159" s="34" t="s">
        <v>3931</v>
      </c>
      <c r="AQ159" s="42" t="s">
        <v>3820</v>
      </c>
      <c r="AR159" s="31">
        <v>205.0</v>
      </c>
      <c r="AS159" s="34" t="s">
        <v>3853</v>
      </c>
      <c r="AT159" s="34">
        <v>0.0</v>
      </c>
      <c r="AU159" s="34">
        <v>100.0</v>
      </c>
      <c r="AV159" s="34">
        <v>0.0</v>
      </c>
      <c r="AW159" s="34">
        <v>0.0</v>
      </c>
      <c r="AX159" s="33">
        <f>COUNTIFS('Data For Calculation - Insuranc'!A:A,A159,'Data For Calculation - Insuranc'!D:D,"Individual",'Data For Calculation - Insuranc'!E:E,"Rollover - 1 Year OD Only")</f>
        <v>0</v>
      </c>
      <c r="AY159" s="34" t="s">
        <v>3932</v>
      </c>
      <c r="AZ159" s="42" t="s">
        <v>3820</v>
      </c>
      <c r="BA159" s="31">
        <v>205.0</v>
      </c>
      <c r="BB159" s="34" t="s">
        <v>3853</v>
      </c>
      <c r="BC159" s="34">
        <v>0.0</v>
      </c>
      <c r="BD159" s="34">
        <v>100.0</v>
      </c>
      <c r="BE159" s="34">
        <v>0.0</v>
      </c>
      <c r="BF159" s="34">
        <v>0.0</v>
      </c>
      <c r="BG159" s="33">
        <f>COUNTIFS('Data For Calculation - Insuranc'!A:A,A159,'Data For Calculation - Insuranc'!D:D,"Company",'Data For Calculation - Insuranc'!E:E,"Rollover - 1 Year OD Only")</f>
        <v>0</v>
      </c>
      <c r="BH159" s="34" t="s">
        <v>3931</v>
      </c>
      <c r="BI159" s="42" t="s">
        <v>3820</v>
      </c>
      <c r="BJ159" s="31">
        <v>205.0</v>
      </c>
      <c r="BK159" s="34" t="s">
        <v>3853</v>
      </c>
      <c r="BL159" s="34">
        <v>0.0</v>
      </c>
      <c r="BM159" s="34">
        <v>100.0</v>
      </c>
      <c r="BN159" s="34">
        <v>0.0</v>
      </c>
      <c r="BO159" s="34">
        <v>0.0</v>
      </c>
      <c r="BP159" s="33">
        <f>COUNTIFS('Data For Calculation - Insuranc'!A:A,A159,'Data For Calculation - Insuranc'!D:D,"Individual",'Data For Calculation - Insuranc'!E:E,"Rollover - 1 Year TP Only")</f>
        <v>0</v>
      </c>
      <c r="BQ159" s="34" t="s">
        <v>3932</v>
      </c>
      <c r="BR159" s="42" t="s">
        <v>3820</v>
      </c>
      <c r="BS159" s="31">
        <v>205.0</v>
      </c>
      <c r="BT159" s="34" t="s">
        <v>3853</v>
      </c>
      <c r="BU159" s="34">
        <v>0.0</v>
      </c>
      <c r="BV159" s="34">
        <v>100.0</v>
      </c>
      <c r="BW159" s="34">
        <v>0.0</v>
      </c>
      <c r="BX159" s="34">
        <v>0.0</v>
      </c>
      <c r="BY159" s="33">
        <f>COUNTIFS('Data For Calculation - Insuranc'!A:A,A159,'Data For Calculation - Insuranc'!D:D,"Company",'Data For Calculation - Insuranc'!E:E,"Rollover - 1 Year TP Only")</f>
        <v>0</v>
      </c>
      <c r="BZ159" s="31">
        <f t="shared" si="1"/>
        <v>0</v>
      </c>
      <c r="CA159" s="33">
        <f>SUMIFS('Data For Calculation - Insuranc'!I:I,'Data For Calculation - Insuranc'!$A:$A,$A159)</f>
        <v>0</v>
      </c>
      <c r="CB159" s="33">
        <f>SUMIFS('Data For Calculation - Insuranc'!J:J,'Data For Calculation - Insuranc'!$A:$A,$A159)</f>
        <v>0</v>
      </c>
      <c r="CC159" s="33">
        <f>SUMIFS('Data For Calculation - Insuranc'!K:K,'Data For Calculation - Insuranc'!$A:$A,$A159)</f>
        <v>0</v>
      </c>
      <c r="CD159" s="33">
        <f>IF($CK159 = "Dealer", SUMIFS('Data For Calculation - Insuranc'!I:I,'Data For Calculation - Insuranc'!$B:$B,$A159,'Data For Calculation - Insuranc'!$H:$H,"Master Dealer")) + SUMIFS('Data For Calculation - Insuranc'!I:I,'Data For Calculation - Insuranc'!$A:$A,$A159,'Data For Calculation - Insuranc'!$H:$H,"Self")</f>
        <v>0</v>
      </c>
      <c r="CE159" s="33">
        <f>IF($CK159 = "Dealer", SUMIFS('Data For Calculation - Insuranc'!J:J,'Data For Calculation - Insuranc'!$B:$B,$A159,'Data For Calculation - Insuranc'!$H:$H,"Master Dealer")) + SUMIFS('Data For Calculation - Insuranc'!J:J,'Data For Calculation - Insuranc'!$A:$A,$A159,'Data For Calculation - Insuranc'!$H:$H,"Self")</f>
        <v>0</v>
      </c>
      <c r="CF159" s="33">
        <f>IF($CK159 = "Dealer", SUMIFS('Data For Calculation - Insuranc'!K:K,'Data For Calculation - Insuranc'!$B:$B,$A159,'Data For Calculation - Insuranc'!$H:$H,"Master Dealer")) + SUMIFS('Data For Calculation - Insuranc'!K:K,'Data For Calculation - Insuranc'!$A:$A,$A159,'Data For Calculation - Insuranc'!$H:$H,"Self")</f>
        <v>0</v>
      </c>
      <c r="CG159" s="25" t="str">
        <f>(Sheet1!N159)</f>
        <v>Concept Automobile - Hardoi</v>
      </c>
      <c r="CH159" s="25" t="str">
        <f>(Sheet1!O159)</f>
        <v>1BqR_Ok1XKiMbwmdK26aLR_BYoeEJpv9mAZfv_Tb9vx4</v>
      </c>
      <c r="CI159" s="25" t="str">
        <f>(Sheet1!AV159)</f>
        <v/>
      </c>
      <c r="CJ159" s="25" t="str">
        <f>(Sheet1!AW159)</f>
        <v/>
      </c>
      <c r="CK159" s="26" t="str">
        <f>(Sheet1!P159)</f>
        <v>Dealer</v>
      </c>
    </row>
    <row r="160">
      <c r="A160" s="25" t="str">
        <f>(Sheet1!A160)</f>
        <v>1Pe7FzdsQsobTnfMtw8AFR97wsuAbRapZxNXhDErhL0Q</v>
      </c>
      <c r="B160" s="25" t="str">
        <f>(Sheet1!B160)</f>
        <v>OCEANIC TVS - Ahmedabad</v>
      </c>
      <c r="C160" s="30" t="str">
        <f>Sheet1!BB160</f>
        <v>No</v>
      </c>
      <c r="D160" s="30" t="s">
        <v>13</v>
      </c>
      <c r="E160" s="34" t="s">
        <v>13</v>
      </c>
      <c r="F160" s="34" t="s">
        <v>3929</v>
      </c>
      <c r="G160" s="42" t="s">
        <v>3820</v>
      </c>
      <c r="H160" s="43">
        <v>460.0</v>
      </c>
      <c r="I160" s="42" t="s">
        <v>3853</v>
      </c>
      <c r="J160" s="43">
        <v>0.0</v>
      </c>
      <c r="K160" s="43">
        <v>100.0</v>
      </c>
      <c r="L160" s="43">
        <v>0.0</v>
      </c>
      <c r="M160" s="43">
        <v>0.0</v>
      </c>
      <c r="N160" s="33">
        <f>COUNTIFS('Data For Calculation - Insuranc'!A:A,A160,'Data For Calculation - Insuranc'!D:D,"Individual",'Data For Calculation - Insuranc'!E:E,"Bundled - 1 Year OD + 5 Year TP")</f>
        <v>0</v>
      </c>
      <c r="O160" s="34" t="s">
        <v>3930</v>
      </c>
      <c r="P160" s="42" t="s">
        <v>3820</v>
      </c>
      <c r="Q160" s="43">
        <v>460.0</v>
      </c>
      <c r="R160" s="42" t="s">
        <v>3853</v>
      </c>
      <c r="S160" s="43">
        <v>0.0</v>
      </c>
      <c r="T160" s="43">
        <v>100.0</v>
      </c>
      <c r="U160" s="43">
        <v>0.0</v>
      </c>
      <c r="V160" s="43">
        <v>0.0</v>
      </c>
      <c r="W160" s="33">
        <f>COUNTIFS('Data For Calculation - Insuranc'!A:A,A160,'Data For Calculation - Insuranc'!D:D,"Company",'Data For Calculation - Insuranc'!E:E,"Bundled - 1 Year OD + 5 Year TP")</f>
        <v>0</v>
      </c>
      <c r="X160" s="34" t="s">
        <v>3929</v>
      </c>
      <c r="Y160" s="42" t="s">
        <v>3820</v>
      </c>
      <c r="Z160" s="31">
        <v>290.0</v>
      </c>
      <c r="AA160" s="34" t="s">
        <v>3853</v>
      </c>
      <c r="AB160" s="34">
        <v>0.0</v>
      </c>
      <c r="AC160" s="34">
        <v>100.0</v>
      </c>
      <c r="AD160" s="34">
        <v>0.0</v>
      </c>
      <c r="AE160" s="34">
        <v>0.0</v>
      </c>
      <c r="AF160" s="33">
        <f>COUNTIFS('Data For Calculation - Insuranc'!A:A,A160,'Data For Calculation - Insuranc'!D:D,"Individual",'Data For Calculation - Insuranc'!E:E,"Rollover Comprehensive - 1 Year OD + 1 Year TP")</f>
        <v>0</v>
      </c>
      <c r="AG160" s="34" t="s">
        <v>3930</v>
      </c>
      <c r="AH160" s="42" t="s">
        <v>3820</v>
      </c>
      <c r="AI160" s="31">
        <v>290.0</v>
      </c>
      <c r="AJ160" s="34" t="s">
        <v>3853</v>
      </c>
      <c r="AK160" s="34">
        <v>0.0</v>
      </c>
      <c r="AL160" s="34">
        <v>100.0</v>
      </c>
      <c r="AM160" s="34">
        <v>0.0</v>
      </c>
      <c r="AN160" s="34">
        <v>0.0</v>
      </c>
      <c r="AO160" s="33">
        <f>COUNTIFS('Data For Calculation - Insuranc'!A:A,A160,'Data For Calculation - Insuranc'!D:D,"Company",'Data For Calculation - Insuranc'!E:E,"Rollover Comprehensive - 1 Year OD + 1 Year TP")</f>
        <v>0</v>
      </c>
      <c r="AP160" s="34" t="s">
        <v>3931</v>
      </c>
      <c r="AQ160" s="42" t="s">
        <v>3820</v>
      </c>
      <c r="AR160" s="31">
        <v>290.0</v>
      </c>
      <c r="AS160" s="34" t="s">
        <v>3853</v>
      </c>
      <c r="AT160" s="34">
        <v>0.0</v>
      </c>
      <c r="AU160" s="34">
        <v>100.0</v>
      </c>
      <c r="AV160" s="34">
        <v>0.0</v>
      </c>
      <c r="AW160" s="34">
        <v>0.0</v>
      </c>
      <c r="AX160" s="33">
        <f>COUNTIFS('Data For Calculation - Insuranc'!A:A,A160,'Data For Calculation - Insuranc'!D:D,"Individual",'Data For Calculation - Insuranc'!E:E,"Rollover - 1 Year OD Only")</f>
        <v>0</v>
      </c>
      <c r="AY160" s="34" t="s">
        <v>3932</v>
      </c>
      <c r="AZ160" s="42" t="s">
        <v>3820</v>
      </c>
      <c r="BA160" s="31">
        <v>290.0</v>
      </c>
      <c r="BB160" s="34" t="s">
        <v>3853</v>
      </c>
      <c r="BC160" s="34">
        <v>0.0</v>
      </c>
      <c r="BD160" s="34">
        <v>100.0</v>
      </c>
      <c r="BE160" s="34">
        <v>0.0</v>
      </c>
      <c r="BF160" s="34">
        <v>0.0</v>
      </c>
      <c r="BG160" s="33">
        <f>COUNTIFS('Data For Calculation - Insuranc'!A:A,A160,'Data For Calculation - Insuranc'!D:D,"Company",'Data For Calculation - Insuranc'!E:E,"Rollover - 1 Year OD Only")</f>
        <v>0</v>
      </c>
      <c r="BH160" s="34" t="s">
        <v>3931</v>
      </c>
      <c r="BI160" s="42" t="s">
        <v>3820</v>
      </c>
      <c r="BJ160" s="31">
        <v>290.0</v>
      </c>
      <c r="BK160" s="34" t="s">
        <v>3853</v>
      </c>
      <c r="BL160" s="34">
        <v>0.0</v>
      </c>
      <c r="BM160" s="34">
        <v>100.0</v>
      </c>
      <c r="BN160" s="34">
        <v>0.0</v>
      </c>
      <c r="BO160" s="34">
        <v>0.0</v>
      </c>
      <c r="BP160" s="33">
        <f>COUNTIFS('Data For Calculation - Insuranc'!A:A,A160,'Data For Calculation - Insuranc'!D:D,"Individual",'Data For Calculation - Insuranc'!E:E,"Rollover - 1 Year TP Only")</f>
        <v>0</v>
      </c>
      <c r="BQ160" s="34" t="s">
        <v>3932</v>
      </c>
      <c r="BR160" s="42" t="s">
        <v>3820</v>
      </c>
      <c r="BS160" s="31">
        <v>290.0</v>
      </c>
      <c r="BT160" s="34" t="s">
        <v>3853</v>
      </c>
      <c r="BU160" s="34">
        <v>0.0</v>
      </c>
      <c r="BV160" s="34">
        <v>100.0</v>
      </c>
      <c r="BW160" s="34">
        <v>0.0</v>
      </c>
      <c r="BX160" s="34">
        <v>0.0</v>
      </c>
      <c r="BY160" s="33">
        <f>COUNTIFS('Data For Calculation - Insuranc'!A:A,A160,'Data For Calculation - Insuranc'!D:D,"Company",'Data For Calculation - Insuranc'!E:E,"Rollover - 1 Year TP Only")</f>
        <v>0</v>
      </c>
      <c r="BZ160" s="31">
        <f t="shared" si="1"/>
        <v>0</v>
      </c>
      <c r="CA160" s="33">
        <f>SUMIFS('Data For Calculation - Insuranc'!I:I,'Data For Calculation - Insuranc'!$A:$A,$A160)</f>
        <v>0</v>
      </c>
      <c r="CB160" s="33">
        <f>SUMIFS('Data For Calculation - Insuranc'!J:J,'Data For Calculation - Insuranc'!$A:$A,$A160)</f>
        <v>0</v>
      </c>
      <c r="CC160" s="33">
        <f>SUMIFS('Data For Calculation - Insuranc'!K:K,'Data For Calculation - Insuranc'!$A:$A,$A160)</f>
        <v>0</v>
      </c>
      <c r="CD160" s="33">
        <f>IF($CK160 = "Dealer", SUMIFS('Data For Calculation - Insuranc'!I:I,'Data For Calculation - Insuranc'!$B:$B,$A160,'Data For Calculation - Insuranc'!$H:$H,"Master Dealer")) + SUMIFS('Data For Calculation - Insuranc'!I:I,'Data For Calculation - Insuranc'!$A:$A,$A160,'Data For Calculation - Insuranc'!$H:$H,"Self")</f>
        <v>0</v>
      </c>
      <c r="CE160" s="33">
        <f>IF($CK160 = "Dealer", SUMIFS('Data For Calculation - Insuranc'!J:J,'Data For Calculation - Insuranc'!$B:$B,$A160,'Data For Calculation - Insuranc'!$H:$H,"Master Dealer")) + SUMIFS('Data For Calculation - Insuranc'!J:J,'Data For Calculation - Insuranc'!$A:$A,$A160,'Data For Calculation - Insuranc'!$H:$H,"Self")</f>
        <v>0</v>
      </c>
      <c r="CF160" s="33">
        <f>IF($CK160 = "Dealer", SUMIFS('Data For Calculation - Insuranc'!K:K,'Data For Calculation - Insuranc'!$B:$B,$A160,'Data For Calculation - Insuranc'!$H:$H,"Master Dealer")) + SUMIFS('Data For Calculation - Insuranc'!K:K,'Data For Calculation - Insuranc'!$A:$A,$A160,'Data For Calculation - Insuranc'!$H:$H,"Self")</f>
        <v>0</v>
      </c>
      <c r="CG160" s="25" t="str">
        <f>(Sheet1!N160)</f>
        <v>OCEANIC TVS - Ahmedabad</v>
      </c>
      <c r="CH160" s="25" t="str">
        <f>(Sheet1!O160)</f>
        <v>1Pe7FzdsQsobTnfMtw8AFR97wsuAbRapZxNXhDErhL0Q</v>
      </c>
      <c r="CI160" s="25" t="str">
        <f>(Sheet1!AV160)</f>
        <v/>
      </c>
      <c r="CJ160" s="25" t="str">
        <f>(Sheet1!AW160)</f>
        <v/>
      </c>
      <c r="CK160" s="26" t="str">
        <f>(Sheet1!P160)</f>
        <v>Dealer</v>
      </c>
    </row>
    <row r="161">
      <c r="A161" s="25" t="str">
        <f>(Sheet1!A161)</f>
        <v>1424BF0G1OZasQ2pfFa99AWqhw7W1Y3ykkj8Wf5aSWWc</v>
      </c>
      <c r="B161" s="25" t="str">
        <f>(Sheet1!B161)</f>
        <v>GOKULAUTOWORLD - AHMEDABAD</v>
      </c>
      <c r="C161" s="30" t="str">
        <f>Sheet1!BB161</f>
        <v>No</v>
      </c>
      <c r="D161" s="30" t="s">
        <v>13</v>
      </c>
      <c r="E161" s="34" t="s">
        <v>13</v>
      </c>
      <c r="F161" s="34" t="s">
        <v>3929</v>
      </c>
      <c r="G161" s="42" t="s">
        <v>3817</v>
      </c>
      <c r="H161" s="43">
        <v>460.0</v>
      </c>
      <c r="I161" s="42" t="s">
        <v>3853</v>
      </c>
      <c r="J161" s="43">
        <v>0.0</v>
      </c>
      <c r="K161" s="43">
        <v>100.0</v>
      </c>
      <c r="L161" s="43">
        <v>0.0</v>
      </c>
      <c r="M161" s="43">
        <v>0.0</v>
      </c>
      <c r="N161" s="33">
        <f>COUNTIFS('Data For Calculation - Insuranc'!A:A,A161,'Data For Calculation - Insuranc'!D:D,"Individual",'Data For Calculation - Insuranc'!E:E,"Bundled - 1 Year OD + 5 Year TP")</f>
        <v>0</v>
      </c>
      <c r="O161" s="34" t="s">
        <v>3930</v>
      </c>
      <c r="P161" s="42" t="s">
        <v>3817</v>
      </c>
      <c r="Q161" s="43">
        <v>460.0</v>
      </c>
      <c r="R161" s="42" t="s">
        <v>3853</v>
      </c>
      <c r="S161" s="43">
        <v>0.0</v>
      </c>
      <c r="T161" s="43">
        <v>100.0</v>
      </c>
      <c r="U161" s="43">
        <v>0.0</v>
      </c>
      <c r="V161" s="43">
        <v>0.0</v>
      </c>
      <c r="W161" s="33">
        <f>COUNTIFS('Data For Calculation - Insuranc'!A:A,A161,'Data For Calculation - Insuranc'!D:D,"Company",'Data For Calculation - Insuranc'!E:E,"Bundled - 1 Year OD + 5 Year TP")</f>
        <v>0</v>
      </c>
      <c r="X161" s="34" t="s">
        <v>3929</v>
      </c>
      <c r="Y161" s="42" t="s">
        <v>3817</v>
      </c>
      <c r="Z161" s="31">
        <v>235.0</v>
      </c>
      <c r="AA161" s="34" t="s">
        <v>3853</v>
      </c>
      <c r="AB161" s="34">
        <v>0.0</v>
      </c>
      <c r="AC161" s="34">
        <v>100.0</v>
      </c>
      <c r="AD161" s="34">
        <v>0.0</v>
      </c>
      <c r="AE161" s="34">
        <v>0.0</v>
      </c>
      <c r="AF161" s="33">
        <f>COUNTIFS('Data For Calculation - Insuranc'!A:A,A161,'Data For Calculation - Insuranc'!D:D,"Individual",'Data For Calculation - Insuranc'!E:E,"Rollover Comprehensive - 1 Year OD + 1 Year TP")</f>
        <v>0</v>
      </c>
      <c r="AG161" s="34" t="s">
        <v>3930</v>
      </c>
      <c r="AH161" s="42" t="s">
        <v>3817</v>
      </c>
      <c r="AI161" s="31">
        <v>235.0</v>
      </c>
      <c r="AJ161" s="34" t="s">
        <v>3853</v>
      </c>
      <c r="AK161" s="34">
        <v>0.0</v>
      </c>
      <c r="AL161" s="34">
        <v>100.0</v>
      </c>
      <c r="AM161" s="34">
        <v>0.0</v>
      </c>
      <c r="AN161" s="34">
        <v>0.0</v>
      </c>
      <c r="AO161" s="33">
        <f>COUNTIFS('Data For Calculation - Insuranc'!A:A,A161,'Data For Calculation - Insuranc'!D:D,"Company",'Data For Calculation - Insuranc'!E:E,"Rollover Comprehensive - 1 Year OD + 1 Year TP")</f>
        <v>0</v>
      </c>
      <c r="AP161" s="34" t="s">
        <v>3931</v>
      </c>
      <c r="AQ161" s="42" t="s">
        <v>3817</v>
      </c>
      <c r="AR161" s="31">
        <v>235.0</v>
      </c>
      <c r="AS161" s="34" t="s">
        <v>3853</v>
      </c>
      <c r="AT161" s="34">
        <v>0.0</v>
      </c>
      <c r="AU161" s="34">
        <v>100.0</v>
      </c>
      <c r="AV161" s="34">
        <v>0.0</v>
      </c>
      <c r="AW161" s="34">
        <v>0.0</v>
      </c>
      <c r="AX161" s="33">
        <f>COUNTIFS('Data For Calculation - Insuranc'!A:A,A161,'Data For Calculation - Insuranc'!D:D,"Individual",'Data For Calculation - Insuranc'!E:E,"Rollover - 1 Year OD Only")</f>
        <v>0</v>
      </c>
      <c r="AY161" s="34" t="s">
        <v>3932</v>
      </c>
      <c r="AZ161" s="42" t="s">
        <v>3817</v>
      </c>
      <c r="BA161" s="31">
        <v>235.0</v>
      </c>
      <c r="BB161" s="34" t="s">
        <v>3853</v>
      </c>
      <c r="BC161" s="34">
        <v>0.0</v>
      </c>
      <c r="BD161" s="34">
        <v>100.0</v>
      </c>
      <c r="BE161" s="34">
        <v>0.0</v>
      </c>
      <c r="BF161" s="34">
        <v>0.0</v>
      </c>
      <c r="BG161" s="33">
        <f>COUNTIFS('Data For Calculation - Insuranc'!A:A,A161,'Data For Calculation - Insuranc'!D:D,"Company",'Data For Calculation - Insuranc'!E:E,"Rollover - 1 Year OD Only")</f>
        <v>0</v>
      </c>
      <c r="BH161" s="34" t="s">
        <v>3931</v>
      </c>
      <c r="BI161" s="42" t="s">
        <v>3817</v>
      </c>
      <c r="BJ161" s="31">
        <v>235.0</v>
      </c>
      <c r="BK161" s="34" t="s">
        <v>3853</v>
      </c>
      <c r="BL161" s="34">
        <v>0.0</v>
      </c>
      <c r="BM161" s="34">
        <v>100.0</v>
      </c>
      <c r="BN161" s="34">
        <v>0.0</v>
      </c>
      <c r="BO161" s="34">
        <v>0.0</v>
      </c>
      <c r="BP161" s="33">
        <f>COUNTIFS('Data For Calculation - Insuranc'!A:A,A161,'Data For Calculation - Insuranc'!D:D,"Individual",'Data For Calculation - Insuranc'!E:E,"Rollover - 1 Year TP Only")</f>
        <v>0</v>
      </c>
      <c r="BQ161" s="34" t="s">
        <v>3932</v>
      </c>
      <c r="BR161" s="42" t="s">
        <v>3817</v>
      </c>
      <c r="BS161" s="31">
        <v>235.0</v>
      </c>
      <c r="BT161" s="34" t="s">
        <v>3853</v>
      </c>
      <c r="BU161" s="34">
        <v>0.0</v>
      </c>
      <c r="BV161" s="34">
        <v>100.0</v>
      </c>
      <c r="BW161" s="34">
        <v>0.0</v>
      </c>
      <c r="BX161" s="34">
        <v>0.0</v>
      </c>
      <c r="BY161" s="33">
        <f>COUNTIFS('Data For Calculation - Insuranc'!A:A,A161,'Data For Calculation - Insuranc'!D:D,"Company",'Data For Calculation - Insuranc'!E:E,"Rollover - 1 Year TP Only")</f>
        <v>0</v>
      </c>
      <c r="BZ161" s="31">
        <f t="shared" si="1"/>
        <v>0</v>
      </c>
      <c r="CA161" s="33">
        <f>SUMIFS('Data For Calculation - Insuranc'!I:I,'Data For Calculation - Insuranc'!$A:$A,$A161)</f>
        <v>0</v>
      </c>
      <c r="CB161" s="33">
        <f>SUMIFS('Data For Calculation - Insuranc'!J:J,'Data For Calculation - Insuranc'!$A:$A,$A161)</f>
        <v>0</v>
      </c>
      <c r="CC161" s="33">
        <f>SUMIFS('Data For Calculation - Insuranc'!K:K,'Data For Calculation - Insuranc'!$A:$A,$A161)</f>
        <v>0</v>
      </c>
      <c r="CD161" s="33">
        <f>IF($CK161 = "Dealer", SUMIFS('Data For Calculation - Insuranc'!I:I,'Data For Calculation - Insuranc'!$B:$B,$A161,'Data For Calculation - Insuranc'!$H:$H,"Master Dealer")) + SUMIFS('Data For Calculation - Insuranc'!I:I,'Data For Calculation - Insuranc'!$A:$A,$A161,'Data For Calculation - Insuranc'!$H:$H,"Self")</f>
        <v>0</v>
      </c>
      <c r="CE161" s="33">
        <f>IF($CK161 = "Dealer", SUMIFS('Data For Calculation - Insuranc'!J:J,'Data For Calculation - Insuranc'!$B:$B,$A161,'Data For Calculation - Insuranc'!$H:$H,"Master Dealer")) + SUMIFS('Data For Calculation - Insuranc'!J:J,'Data For Calculation - Insuranc'!$A:$A,$A161,'Data For Calculation - Insuranc'!$H:$H,"Self")</f>
        <v>0</v>
      </c>
      <c r="CF161" s="33">
        <f>IF($CK161 = "Dealer", SUMIFS('Data For Calculation - Insuranc'!K:K,'Data For Calculation - Insuranc'!$B:$B,$A161,'Data For Calculation - Insuranc'!$H:$H,"Master Dealer")) + SUMIFS('Data For Calculation - Insuranc'!K:K,'Data For Calculation - Insuranc'!$A:$A,$A161,'Data For Calculation - Insuranc'!$H:$H,"Self")</f>
        <v>0</v>
      </c>
      <c r="CG161" s="25" t="str">
        <f>(Sheet1!N161)</f>
        <v>GOKULAUTOWORLD - AHMEDABAD</v>
      </c>
      <c r="CH161" s="25" t="str">
        <f>(Sheet1!O161)</f>
        <v>1424BF0G1OZasQ2pfFa99AWqhw7W1Y3ykkj8Wf5aSWWc</v>
      </c>
      <c r="CI161" s="25" t="str">
        <f>(Sheet1!AV161)</f>
        <v/>
      </c>
      <c r="CJ161" s="25" t="str">
        <f>(Sheet1!AW161)</f>
        <v/>
      </c>
      <c r="CK161" s="26" t="str">
        <f>(Sheet1!P161)</f>
        <v>Dealer</v>
      </c>
    </row>
    <row r="162">
      <c r="A162" s="25" t="str">
        <f>(Sheet1!A162)</f>
        <v>1TMacegY-Sk7pr6CF_YiZtnxppf8kQ29DX8ZSzN8Nba0</v>
      </c>
      <c r="B162" s="25" t="str">
        <f>(Sheet1!B162)</f>
        <v>YASH AUTOMOBILES-PUNE</v>
      </c>
      <c r="C162" s="30" t="str">
        <f>Sheet1!BB162</f>
        <v>No</v>
      </c>
      <c r="D162" s="30" t="s">
        <v>13</v>
      </c>
      <c r="E162" s="34" t="s">
        <v>13</v>
      </c>
      <c r="F162" s="34" t="s">
        <v>3929</v>
      </c>
      <c r="G162" s="42" t="s">
        <v>3856</v>
      </c>
      <c r="H162" s="43">
        <v>460.0</v>
      </c>
      <c r="I162" s="42" t="s">
        <v>3853</v>
      </c>
      <c r="J162" s="43">
        <v>0.0</v>
      </c>
      <c r="K162" s="43">
        <v>100.0</v>
      </c>
      <c r="L162" s="43">
        <v>0.0</v>
      </c>
      <c r="M162" s="43">
        <v>0.0</v>
      </c>
      <c r="N162" s="33">
        <f>COUNTIFS('Data For Calculation - Insuranc'!A:A,A162,'Data For Calculation - Insuranc'!D:D,"Individual",'Data For Calculation - Insuranc'!E:E,"Bundled - 1 Year OD + 5 Year TP")</f>
        <v>0</v>
      </c>
      <c r="O162" s="34" t="s">
        <v>3930</v>
      </c>
      <c r="P162" s="42" t="s">
        <v>3856</v>
      </c>
      <c r="Q162" s="43">
        <v>460.0</v>
      </c>
      <c r="R162" s="42" t="s">
        <v>3853</v>
      </c>
      <c r="S162" s="43">
        <v>0.0</v>
      </c>
      <c r="T162" s="43">
        <v>100.0</v>
      </c>
      <c r="U162" s="43">
        <v>0.0</v>
      </c>
      <c r="V162" s="43">
        <v>0.0</v>
      </c>
      <c r="W162" s="33">
        <f>COUNTIFS('Data For Calculation - Insuranc'!A:A,A162,'Data For Calculation - Insuranc'!D:D,"Company",'Data For Calculation - Insuranc'!E:E,"Bundled - 1 Year OD + 5 Year TP")</f>
        <v>0</v>
      </c>
      <c r="X162" s="34" t="s">
        <v>3929</v>
      </c>
      <c r="Y162" s="42" t="s">
        <v>3856</v>
      </c>
      <c r="Z162" s="31">
        <v>290.0</v>
      </c>
      <c r="AA162" s="34" t="s">
        <v>3853</v>
      </c>
      <c r="AB162" s="34">
        <v>0.0</v>
      </c>
      <c r="AC162" s="34">
        <v>100.0</v>
      </c>
      <c r="AD162" s="34">
        <v>0.0</v>
      </c>
      <c r="AE162" s="34">
        <v>0.0</v>
      </c>
      <c r="AF162" s="33">
        <f>COUNTIFS('Data For Calculation - Insuranc'!A:A,A162,'Data For Calculation - Insuranc'!D:D,"Individual",'Data For Calculation - Insuranc'!E:E,"Rollover Comprehensive - 1 Year OD + 1 Year TP")</f>
        <v>0</v>
      </c>
      <c r="AG162" s="34" t="s">
        <v>3930</v>
      </c>
      <c r="AH162" s="42" t="s">
        <v>3856</v>
      </c>
      <c r="AI162" s="31">
        <v>290.0</v>
      </c>
      <c r="AJ162" s="34" t="s">
        <v>3853</v>
      </c>
      <c r="AK162" s="34">
        <v>0.0</v>
      </c>
      <c r="AL162" s="34">
        <v>100.0</v>
      </c>
      <c r="AM162" s="34">
        <v>0.0</v>
      </c>
      <c r="AN162" s="34">
        <v>0.0</v>
      </c>
      <c r="AO162" s="33">
        <f>COUNTIFS('Data For Calculation - Insuranc'!A:A,A162,'Data For Calculation - Insuranc'!D:D,"Company",'Data For Calculation - Insuranc'!E:E,"Rollover Comprehensive - 1 Year OD + 1 Year TP")</f>
        <v>0</v>
      </c>
      <c r="AP162" s="34" t="s">
        <v>3931</v>
      </c>
      <c r="AQ162" s="42" t="s">
        <v>3856</v>
      </c>
      <c r="AR162" s="31">
        <v>290.0</v>
      </c>
      <c r="AS162" s="34" t="s">
        <v>3853</v>
      </c>
      <c r="AT162" s="34">
        <v>0.0</v>
      </c>
      <c r="AU162" s="34">
        <v>100.0</v>
      </c>
      <c r="AV162" s="34">
        <v>0.0</v>
      </c>
      <c r="AW162" s="34">
        <v>0.0</v>
      </c>
      <c r="AX162" s="33">
        <f>COUNTIFS('Data For Calculation - Insuranc'!A:A,A162,'Data For Calculation - Insuranc'!D:D,"Individual",'Data For Calculation - Insuranc'!E:E,"Rollover - 1 Year OD Only")</f>
        <v>0</v>
      </c>
      <c r="AY162" s="34" t="s">
        <v>3932</v>
      </c>
      <c r="AZ162" s="42" t="s">
        <v>3856</v>
      </c>
      <c r="BA162" s="31">
        <v>290.0</v>
      </c>
      <c r="BB162" s="34" t="s">
        <v>3853</v>
      </c>
      <c r="BC162" s="34">
        <v>0.0</v>
      </c>
      <c r="BD162" s="34">
        <v>100.0</v>
      </c>
      <c r="BE162" s="34">
        <v>0.0</v>
      </c>
      <c r="BF162" s="34">
        <v>0.0</v>
      </c>
      <c r="BG162" s="33">
        <f>COUNTIFS('Data For Calculation - Insuranc'!A:A,A162,'Data For Calculation - Insuranc'!D:D,"Company",'Data For Calculation - Insuranc'!E:E,"Rollover - 1 Year OD Only")</f>
        <v>0</v>
      </c>
      <c r="BH162" s="34" t="s">
        <v>3931</v>
      </c>
      <c r="BI162" s="42" t="s">
        <v>3856</v>
      </c>
      <c r="BJ162" s="31">
        <v>290.0</v>
      </c>
      <c r="BK162" s="34" t="s">
        <v>3853</v>
      </c>
      <c r="BL162" s="34">
        <v>0.0</v>
      </c>
      <c r="BM162" s="34">
        <v>100.0</v>
      </c>
      <c r="BN162" s="34">
        <v>0.0</v>
      </c>
      <c r="BO162" s="34">
        <v>0.0</v>
      </c>
      <c r="BP162" s="33">
        <f>COUNTIFS('Data For Calculation - Insuranc'!A:A,A162,'Data For Calculation - Insuranc'!D:D,"Individual",'Data For Calculation - Insuranc'!E:E,"Rollover - 1 Year TP Only")</f>
        <v>0</v>
      </c>
      <c r="BQ162" s="34" t="s">
        <v>3932</v>
      </c>
      <c r="BR162" s="42" t="s">
        <v>3856</v>
      </c>
      <c r="BS162" s="31">
        <v>290.0</v>
      </c>
      <c r="BT162" s="34" t="s">
        <v>3853</v>
      </c>
      <c r="BU162" s="34">
        <v>0.0</v>
      </c>
      <c r="BV162" s="34">
        <v>100.0</v>
      </c>
      <c r="BW162" s="34">
        <v>0.0</v>
      </c>
      <c r="BX162" s="34">
        <v>0.0</v>
      </c>
      <c r="BY162" s="33">
        <f>COUNTIFS('Data For Calculation - Insuranc'!A:A,A162,'Data For Calculation - Insuranc'!D:D,"Company",'Data For Calculation - Insuranc'!E:E,"Rollover - 1 Year TP Only")</f>
        <v>0</v>
      </c>
      <c r="BZ162" s="31">
        <f t="shared" si="1"/>
        <v>0</v>
      </c>
      <c r="CA162" s="33">
        <f>SUMIFS('Data For Calculation - Insuranc'!I:I,'Data For Calculation - Insuranc'!$A:$A,$A162)</f>
        <v>0</v>
      </c>
      <c r="CB162" s="33">
        <f>SUMIFS('Data For Calculation - Insuranc'!J:J,'Data For Calculation - Insuranc'!$A:$A,$A162)</f>
        <v>0</v>
      </c>
      <c r="CC162" s="33">
        <f>SUMIFS('Data For Calculation - Insuranc'!K:K,'Data For Calculation - Insuranc'!$A:$A,$A162)</f>
        <v>0</v>
      </c>
      <c r="CD162" s="33">
        <f>IF($CK162 = "Dealer", SUMIFS('Data For Calculation - Insuranc'!I:I,'Data For Calculation - Insuranc'!$B:$B,$A162,'Data For Calculation - Insuranc'!$H:$H,"Master Dealer")) + SUMIFS('Data For Calculation - Insuranc'!I:I,'Data For Calculation - Insuranc'!$A:$A,$A162,'Data For Calculation - Insuranc'!$H:$H,"Self")</f>
        <v>0</v>
      </c>
      <c r="CE162" s="33">
        <f>IF($CK162 = "Dealer", SUMIFS('Data For Calculation - Insuranc'!J:J,'Data For Calculation - Insuranc'!$B:$B,$A162,'Data For Calculation - Insuranc'!$H:$H,"Master Dealer")) + SUMIFS('Data For Calculation - Insuranc'!J:J,'Data For Calculation - Insuranc'!$A:$A,$A162,'Data For Calculation - Insuranc'!$H:$H,"Self")</f>
        <v>0</v>
      </c>
      <c r="CF162" s="33">
        <f>IF($CK162 = "Dealer", SUMIFS('Data For Calculation - Insuranc'!K:K,'Data For Calculation - Insuranc'!$B:$B,$A162,'Data For Calculation - Insuranc'!$H:$H,"Master Dealer")) + SUMIFS('Data For Calculation - Insuranc'!K:K,'Data For Calculation - Insuranc'!$A:$A,$A162,'Data For Calculation - Insuranc'!$H:$H,"Self")</f>
        <v>0</v>
      </c>
      <c r="CG162" s="25" t="str">
        <f>(Sheet1!N162)</f>
        <v>YASH AUTOMOBILES-PUNE</v>
      </c>
      <c r="CH162" s="25" t="str">
        <f>(Sheet1!O162)</f>
        <v>1TMacegY-Sk7pr6CF_YiZtnxppf8kQ29DX8ZSzN8Nba0</v>
      </c>
      <c r="CI162" s="25" t="str">
        <f>(Sheet1!AV162)</f>
        <v/>
      </c>
      <c r="CJ162" s="25" t="str">
        <f>(Sheet1!AW162)</f>
        <v/>
      </c>
      <c r="CK162" s="26" t="str">
        <f>(Sheet1!P162)</f>
        <v>Dealer</v>
      </c>
    </row>
    <row r="163">
      <c r="A163" s="25" t="str">
        <f>(Sheet1!A163)</f>
        <v>1kMvgnwSkK4p35wcMsguAxORW1vQe7W1vnlmFj46sMCo</v>
      </c>
      <c r="B163" s="25" t="str">
        <f>(Sheet1!B163)</f>
        <v>KOTHARI WHEEL- PUNE</v>
      </c>
      <c r="C163" s="30" t="str">
        <f>Sheet1!BB163</f>
        <v>No</v>
      </c>
      <c r="D163" s="30" t="s">
        <v>13</v>
      </c>
      <c r="E163" s="34" t="s">
        <v>13</v>
      </c>
      <c r="F163" s="34" t="s">
        <v>3929</v>
      </c>
      <c r="G163" s="42" t="s">
        <v>3820</v>
      </c>
      <c r="H163" s="43">
        <v>460.0</v>
      </c>
      <c r="I163" s="42" t="s">
        <v>3853</v>
      </c>
      <c r="J163" s="43">
        <v>0.0</v>
      </c>
      <c r="K163" s="43">
        <v>100.0</v>
      </c>
      <c r="L163" s="43">
        <v>0.0</v>
      </c>
      <c r="M163" s="43">
        <v>0.0</v>
      </c>
      <c r="N163" s="33">
        <f>COUNTIFS('Data For Calculation - Insuranc'!A:A,A163,'Data For Calculation - Insuranc'!D:D,"Individual",'Data For Calculation - Insuranc'!E:E,"Bundled - 1 Year OD + 5 Year TP")</f>
        <v>0</v>
      </c>
      <c r="O163" s="34" t="s">
        <v>3930</v>
      </c>
      <c r="P163" s="42" t="s">
        <v>3820</v>
      </c>
      <c r="Q163" s="43">
        <v>460.0</v>
      </c>
      <c r="R163" s="42" t="s">
        <v>3853</v>
      </c>
      <c r="S163" s="43">
        <v>0.0</v>
      </c>
      <c r="T163" s="43">
        <v>100.0</v>
      </c>
      <c r="U163" s="43">
        <v>0.0</v>
      </c>
      <c r="V163" s="43">
        <v>0.0</v>
      </c>
      <c r="W163" s="33">
        <f>COUNTIFS('Data For Calculation - Insuranc'!A:A,A163,'Data For Calculation - Insuranc'!D:D,"Company",'Data For Calculation - Insuranc'!E:E,"Bundled - 1 Year OD + 5 Year TP")</f>
        <v>0</v>
      </c>
      <c r="X163" s="34" t="s">
        <v>3929</v>
      </c>
      <c r="Y163" s="42" t="s">
        <v>3820</v>
      </c>
      <c r="Z163" s="31">
        <v>290.0</v>
      </c>
      <c r="AA163" s="34" t="s">
        <v>3853</v>
      </c>
      <c r="AB163" s="34">
        <v>0.0</v>
      </c>
      <c r="AC163" s="34">
        <v>100.0</v>
      </c>
      <c r="AD163" s="34">
        <v>0.0</v>
      </c>
      <c r="AE163" s="34">
        <v>0.0</v>
      </c>
      <c r="AF163" s="33">
        <f>COUNTIFS('Data For Calculation - Insuranc'!A:A,A163,'Data For Calculation - Insuranc'!D:D,"Individual",'Data For Calculation - Insuranc'!E:E,"Rollover Comprehensive - 1 Year OD + 1 Year TP")</f>
        <v>0</v>
      </c>
      <c r="AG163" s="34" t="s">
        <v>3930</v>
      </c>
      <c r="AH163" s="42" t="s">
        <v>3820</v>
      </c>
      <c r="AI163" s="31">
        <v>290.0</v>
      </c>
      <c r="AJ163" s="34" t="s">
        <v>3853</v>
      </c>
      <c r="AK163" s="34">
        <v>0.0</v>
      </c>
      <c r="AL163" s="34">
        <v>100.0</v>
      </c>
      <c r="AM163" s="34">
        <v>0.0</v>
      </c>
      <c r="AN163" s="34">
        <v>0.0</v>
      </c>
      <c r="AO163" s="33">
        <f>COUNTIFS('Data For Calculation - Insuranc'!A:A,A163,'Data For Calculation - Insuranc'!D:D,"Company",'Data For Calculation - Insuranc'!E:E,"Rollover Comprehensive - 1 Year OD + 1 Year TP")</f>
        <v>0</v>
      </c>
      <c r="AP163" s="34" t="s">
        <v>3931</v>
      </c>
      <c r="AQ163" s="42" t="s">
        <v>3820</v>
      </c>
      <c r="AR163" s="31">
        <v>290.0</v>
      </c>
      <c r="AS163" s="34" t="s">
        <v>3853</v>
      </c>
      <c r="AT163" s="34">
        <v>0.0</v>
      </c>
      <c r="AU163" s="34">
        <v>100.0</v>
      </c>
      <c r="AV163" s="34">
        <v>0.0</v>
      </c>
      <c r="AW163" s="34">
        <v>0.0</v>
      </c>
      <c r="AX163" s="33">
        <f>COUNTIFS('Data For Calculation - Insuranc'!A:A,A163,'Data For Calculation - Insuranc'!D:D,"Individual",'Data For Calculation - Insuranc'!E:E,"Rollover - 1 Year OD Only")</f>
        <v>0</v>
      </c>
      <c r="AY163" s="34" t="s">
        <v>3932</v>
      </c>
      <c r="AZ163" s="42" t="s">
        <v>3820</v>
      </c>
      <c r="BA163" s="31">
        <v>290.0</v>
      </c>
      <c r="BB163" s="34" t="s">
        <v>3853</v>
      </c>
      <c r="BC163" s="34">
        <v>0.0</v>
      </c>
      <c r="BD163" s="34">
        <v>100.0</v>
      </c>
      <c r="BE163" s="34">
        <v>0.0</v>
      </c>
      <c r="BF163" s="34">
        <v>0.0</v>
      </c>
      <c r="BG163" s="33">
        <f>COUNTIFS('Data For Calculation - Insuranc'!A:A,A163,'Data For Calculation - Insuranc'!D:D,"Company",'Data For Calculation - Insuranc'!E:E,"Rollover - 1 Year OD Only")</f>
        <v>0</v>
      </c>
      <c r="BH163" s="34" t="s">
        <v>3931</v>
      </c>
      <c r="BI163" s="42" t="s">
        <v>3820</v>
      </c>
      <c r="BJ163" s="31">
        <v>290.0</v>
      </c>
      <c r="BK163" s="34" t="s">
        <v>3853</v>
      </c>
      <c r="BL163" s="34">
        <v>0.0</v>
      </c>
      <c r="BM163" s="34">
        <v>100.0</v>
      </c>
      <c r="BN163" s="34">
        <v>0.0</v>
      </c>
      <c r="BO163" s="34">
        <v>0.0</v>
      </c>
      <c r="BP163" s="33">
        <f>COUNTIFS('Data For Calculation - Insuranc'!A:A,A163,'Data For Calculation - Insuranc'!D:D,"Individual",'Data For Calculation - Insuranc'!E:E,"Rollover - 1 Year TP Only")</f>
        <v>0</v>
      </c>
      <c r="BQ163" s="34" t="s">
        <v>3932</v>
      </c>
      <c r="BR163" s="42" t="s">
        <v>3820</v>
      </c>
      <c r="BS163" s="31">
        <v>290.0</v>
      </c>
      <c r="BT163" s="34" t="s">
        <v>3853</v>
      </c>
      <c r="BU163" s="34">
        <v>0.0</v>
      </c>
      <c r="BV163" s="34">
        <v>100.0</v>
      </c>
      <c r="BW163" s="34">
        <v>0.0</v>
      </c>
      <c r="BX163" s="34">
        <v>0.0</v>
      </c>
      <c r="BY163" s="33">
        <f>COUNTIFS('Data For Calculation - Insuranc'!A:A,A163,'Data For Calculation - Insuranc'!D:D,"Company",'Data For Calculation - Insuranc'!E:E,"Rollover - 1 Year TP Only")</f>
        <v>0</v>
      </c>
      <c r="BZ163" s="31">
        <f t="shared" si="1"/>
        <v>0</v>
      </c>
      <c r="CA163" s="33">
        <f>SUMIFS('Data For Calculation - Insuranc'!I:I,'Data For Calculation - Insuranc'!$A:$A,$A163)</f>
        <v>0</v>
      </c>
      <c r="CB163" s="33">
        <f>SUMIFS('Data For Calculation - Insuranc'!J:J,'Data For Calculation - Insuranc'!$A:$A,$A163)</f>
        <v>0</v>
      </c>
      <c r="CC163" s="33">
        <f>SUMIFS('Data For Calculation - Insuranc'!K:K,'Data For Calculation - Insuranc'!$A:$A,$A163)</f>
        <v>0</v>
      </c>
      <c r="CD163" s="33">
        <f>IF($CK163 = "Dealer", SUMIFS('Data For Calculation - Insuranc'!I:I,'Data For Calculation - Insuranc'!$B:$B,$A163,'Data For Calculation - Insuranc'!$H:$H,"Master Dealer")) + SUMIFS('Data For Calculation - Insuranc'!I:I,'Data For Calculation - Insuranc'!$A:$A,$A163,'Data For Calculation - Insuranc'!$H:$H,"Self")</f>
        <v>0</v>
      </c>
      <c r="CE163" s="33">
        <f>IF($CK163 = "Dealer", SUMIFS('Data For Calculation - Insuranc'!J:J,'Data For Calculation - Insuranc'!$B:$B,$A163,'Data For Calculation - Insuranc'!$H:$H,"Master Dealer")) + SUMIFS('Data For Calculation - Insuranc'!J:J,'Data For Calculation - Insuranc'!$A:$A,$A163,'Data For Calculation - Insuranc'!$H:$H,"Self")</f>
        <v>0</v>
      </c>
      <c r="CF163" s="33">
        <f>IF($CK163 = "Dealer", SUMIFS('Data For Calculation - Insuranc'!K:K,'Data For Calculation - Insuranc'!$B:$B,$A163,'Data For Calculation - Insuranc'!$H:$H,"Master Dealer")) + SUMIFS('Data For Calculation - Insuranc'!K:K,'Data For Calculation - Insuranc'!$A:$A,$A163,'Data For Calculation - Insuranc'!$H:$H,"Self")</f>
        <v>0</v>
      </c>
      <c r="CG163" s="25" t="str">
        <f>(Sheet1!N163)</f>
        <v>KOTHARI WHEEL- PUNE</v>
      </c>
      <c r="CH163" s="25" t="str">
        <f>(Sheet1!O163)</f>
        <v>1kMvgnwSkK4p35wcMsguAxORW1vQe7W1vnlmFj46sMCo</v>
      </c>
      <c r="CI163" s="25" t="str">
        <f>(Sheet1!AV163)</f>
        <v/>
      </c>
      <c r="CJ163" s="25" t="str">
        <f>(Sheet1!AW163)</f>
        <v/>
      </c>
      <c r="CK163" s="26" t="str">
        <f>(Sheet1!P163)</f>
        <v>Dealer</v>
      </c>
    </row>
    <row r="164">
      <c r="A164" s="25" t="str">
        <f>(Sheet1!A164)</f>
        <v>1876RfsSjY4efSikG9YDGUWajbPv924bhaJa0AJLdD8E</v>
      </c>
      <c r="B164" s="25" t="str">
        <f>(Sheet1!B164)</f>
        <v>Shree Durga Motors Counter 1 - Sikandrabad</v>
      </c>
      <c r="C164" s="30" t="str">
        <f>Sheet1!BB164</f>
        <v>No</v>
      </c>
      <c r="D164" s="30" t="s">
        <v>13</v>
      </c>
      <c r="E164" s="34" t="s">
        <v>13</v>
      </c>
      <c r="F164" s="34" t="s">
        <v>3929</v>
      </c>
      <c r="G164" s="42" t="s">
        <v>3820</v>
      </c>
      <c r="H164" s="43">
        <v>460.0</v>
      </c>
      <c r="I164" s="42" t="s">
        <v>3853</v>
      </c>
      <c r="J164" s="43">
        <v>0.0</v>
      </c>
      <c r="K164" s="43">
        <v>100.0</v>
      </c>
      <c r="L164" s="43">
        <v>0.0</v>
      </c>
      <c r="M164" s="43">
        <v>0.0</v>
      </c>
      <c r="N164" s="33">
        <f>COUNTIFS('Data For Calculation - Insuranc'!A:A,A164,'Data For Calculation - Insuranc'!D:D,"Individual",'Data For Calculation - Insuranc'!E:E,"Bundled - 1 Year OD + 5 Year TP")</f>
        <v>0</v>
      </c>
      <c r="O164" s="34" t="s">
        <v>3930</v>
      </c>
      <c r="P164" s="42" t="s">
        <v>3820</v>
      </c>
      <c r="Q164" s="43">
        <v>460.0</v>
      </c>
      <c r="R164" s="42" t="s">
        <v>3853</v>
      </c>
      <c r="S164" s="43">
        <v>0.0</v>
      </c>
      <c r="T164" s="43">
        <v>100.0</v>
      </c>
      <c r="U164" s="43">
        <v>0.0</v>
      </c>
      <c r="V164" s="43">
        <v>0.0</v>
      </c>
      <c r="W164" s="33">
        <f>COUNTIFS('Data For Calculation - Insuranc'!A:A,A164,'Data For Calculation - Insuranc'!D:D,"Company",'Data For Calculation - Insuranc'!E:E,"Bundled - 1 Year OD + 5 Year TP")</f>
        <v>0</v>
      </c>
      <c r="X164" s="34" t="s">
        <v>3929</v>
      </c>
      <c r="Y164" s="42" t="s">
        <v>3820</v>
      </c>
      <c r="Z164" s="31">
        <v>290.0</v>
      </c>
      <c r="AA164" s="34" t="s">
        <v>3853</v>
      </c>
      <c r="AB164" s="34">
        <v>0.0</v>
      </c>
      <c r="AC164" s="34">
        <v>100.0</v>
      </c>
      <c r="AD164" s="34">
        <v>0.0</v>
      </c>
      <c r="AE164" s="34">
        <v>0.0</v>
      </c>
      <c r="AF164" s="33">
        <f>COUNTIFS('Data For Calculation - Insuranc'!A:A,A164,'Data For Calculation - Insuranc'!D:D,"Individual",'Data For Calculation - Insuranc'!E:E,"Rollover Comprehensive - 1 Year OD + 1 Year TP")</f>
        <v>0</v>
      </c>
      <c r="AG164" s="34" t="s">
        <v>3930</v>
      </c>
      <c r="AH164" s="42" t="s">
        <v>3820</v>
      </c>
      <c r="AI164" s="31">
        <v>290.0</v>
      </c>
      <c r="AJ164" s="34" t="s">
        <v>3853</v>
      </c>
      <c r="AK164" s="34">
        <v>0.0</v>
      </c>
      <c r="AL164" s="34">
        <v>100.0</v>
      </c>
      <c r="AM164" s="34">
        <v>0.0</v>
      </c>
      <c r="AN164" s="34">
        <v>0.0</v>
      </c>
      <c r="AO164" s="33">
        <f>COUNTIFS('Data For Calculation - Insuranc'!A:A,A164,'Data For Calculation - Insuranc'!D:D,"Company",'Data For Calculation - Insuranc'!E:E,"Rollover Comprehensive - 1 Year OD + 1 Year TP")</f>
        <v>0</v>
      </c>
      <c r="AP164" s="34" t="s">
        <v>3931</v>
      </c>
      <c r="AQ164" s="42" t="s">
        <v>3820</v>
      </c>
      <c r="AR164" s="31">
        <v>290.0</v>
      </c>
      <c r="AS164" s="34" t="s">
        <v>3853</v>
      </c>
      <c r="AT164" s="34">
        <v>0.0</v>
      </c>
      <c r="AU164" s="34">
        <v>100.0</v>
      </c>
      <c r="AV164" s="34">
        <v>0.0</v>
      </c>
      <c r="AW164" s="34">
        <v>0.0</v>
      </c>
      <c r="AX164" s="33">
        <f>COUNTIFS('Data For Calculation - Insuranc'!A:A,A164,'Data For Calculation - Insuranc'!D:D,"Individual",'Data For Calculation - Insuranc'!E:E,"Rollover - 1 Year OD Only")</f>
        <v>0</v>
      </c>
      <c r="AY164" s="34" t="s">
        <v>3932</v>
      </c>
      <c r="AZ164" s="42" t="s">
        <v>3820</v>
      </c>
      <c r="BA164" s="31">
        <v>290.0</v>
      </c>
      <c r="BB164" s="34" t="s">
        <v>3853</v>
      </c>
      <c r="BC164" s="34">
        <v>0.0</v>
      </c>
      <c r="BD164" s="34">
        <v>100.0</v>
      </c>
      <c r="BE164" s="34">
        <v>0.0</v>
      </c>
      <c r="BF164" s="34">
        <v>0.0</v>
      </c>
      <c r="BG164" s="33">
        <f>COUNTIFS('Data For Calculation - Insuranc'!A:A,A164,'Data For Calculation - Insuranc'!D:D,"Company",'Data For Calculation - Insuranc'!E:E,"Rollover - 1 Year OD Only")</f>
        <v>0</v>
      </c>
      <c r="BH164" s="34" t="s">
        <v>3931</v>
      </c>
      <c r="BI164" s="42" t="s">
        <v>3820</v>
      </c>
      <c r="BJ164" s="31">
        <v>290.0</v>
      </c>
      <c r="BK164" s="34" t="s">
        <v>3853</v>
      </c>
      <c r="BL164" s="34">
        <v>0.0</v>
      </c>
      <c r="BM164" s="34">
        <v>100.0</v>
      </c>
      <c r="BN164" s="34">
        <v>0.0</v>
      </c>
      <c r="BO164" s="34">
        <v>0.0</v>
      </c>
      <c r="BP164" s="33">
        <f>COUNTIFS('Data For Calculation - Insuranc'!A:A,A164,'Data For Calculation - Insuranc'!D:D,"Individual",'Data For Calculation - Insuranc'!E:E,"Rollover - 1 Year TP Only")</f>
        <v>0</v>
      </c>
      <c r="BQ164" s="34" t="s">
        <v>3932</v>
      </c>
      <c r="BR164" s="42" t="s">
        <v>3820</v>
      </c>
      <c r="BS164" s="31">
        <v>290.0</v>
      </c>
      <c r="BT164" s="34" t="s">
        <v>3853</v>
      </c>
      <c r="BU164" s="34">
        <v>0.0</v>
      </c>
      <c r="BV164" s="34">
        <v>100.0</v>
      </c>
      <c r="BW164" s="34">
        <v>0.0</v>
      </c>
      <c r="BX164" s="34">
        <v>0.0</v>
      </c>
      <c r="BY164" s="33">
        <f>COUNTIFS('Data For Calculation - Insuranc'!A:A,A164,'Data For Calculation - Insuranc'!D:D,"Company",'Data For Calculation - Insuranc'!E:E,"Rollover - 1 Year TP Only")</f>
        <v>0</v>
      </c>
      <c r="BZ164" s="31">
        <f t="shared" si="1"/>
        <v>0</v>
      </c>
      <c r="CA164" s="33">
        <f>SUMIFS('Data For Calculation - Insuranc'!I:I,'Data For Calculation - Insuranc'!$A:$A,$A164)</f>
        <v>0</v>
      </c>
      <c r="CB164" s="33">
        <f>SUMIFS('Data For Calculation - Insuranc'!J:J,'Data For Calculation - Insuranc'!$A:$A,$A164)</f>
        <v>0</v>
      </c>
      <c r="CC164" s="33">
        <f>SUMIFS('Data For Calculation - Insuranc'!K:K,'Data For Calculation - Insuranc'!$A:$A,$A164)</f>
        <v>0</v>
      </c>
      <c r="CD164" s="33">
        <f>IF($CK164 = "Dealer", SUMIFS('Data For Calculation - Insuranc'!I:I,'Data For Calculation - Insuranc'!$B:$B,$A164,'Data For Calculation - Insuranc'!$H:$H,"Master Dealer")) + SUMIFS('Data For Calculation - Insuranc'!I:I,'Data For Calculation - Insuranc'!$A:$A,$A164,'Data For Calculation - Insuranc'!$H:$H,"Self")</f>
        <v>0</v>
      </c>
      <c r="CE164" s="33">
        <f>IF($CK164 = "Dealer", SUMIFS('Data For Calculation - Insuranc'!J:J,'Data For Calculation - Insuranc'!$B:$B,$A164,'Data For Calculation - Insuranc'!$H:$H,"Master Dealer")) + SUMIFS('Data For Calculation - Insuranc'!J:J,'Data For Calculation - Insuranc'!$A:$A,$A164,'Data For Calculation - Insuranc'!$H:$H,"Self")</f>
        <v>0</v>
      </c>
      <c r="CF164" s="33">
        <f>IF($CK164 = "Dealer", SUMIFS('Data For Calculation - Insuranc'!K:K,'Data For Calculation - Insuranc'!$B:$B,$A164,'Data For Calculation - Insuranc'!$H:$H,"Master Dealer")) + SUMIFS('Data For Calculation - Insuranc'!K:K,'Data For Calculation - Insuranc'!$A:$A,$A164,'Data For Calculation - Insuranc'!$H:$H,"Self")</f>
        <v>0</v>
      </c>
      <c r="CG164" s="25" t="str">
        <f>(Sheet1!N164)</f>
        <v>Shri Durga Motors</v>
      </c>
      <c r="CH164" s="25" t="str">
        <f>(Sheet1!O164)</f>
        <v>1LnxzSZR-Hn1GFJEM91CqSDi8yQ1-11OqyVT04QUkFAM</v>
      </c>
      <c r="CI164" s="25" t="str">
        <f>(Sheet1!AV164)</f>
        <v/>
      </c>
      <c r="CJ164" s="25" t="str">
        <f>(Sheet1!AW164)</f>
        <v/>
      </c>
      <c r="CK164" s="26" t="str">
        <f>(Sheet1!P164)</f>
        <v>Sub Dealer</v>
      </c>
    </row>
    <row r="165">
      <c r="A165" s="25" t="str">
        <f>(Sheet1!A165)</f>
        <v>1U0Ayati-OdaXS_d4dcZK-B_eN6wBy_dqoN1Vmk0t45Y</v>
      </c>
      <c r="B165" s="25" t="str">
        <f>(Sheet1!B165)</f>
        <v>Umar Nisar Automobiles - Gulaothi</v>
      </c>
      <c r="C165" s="30" t="str">
        <f>Sheet1!BB165</f>
        <v>No</v>
      </c>
      <c r="D165" s="30" t="s">
        <v>13</v>
      </c>
      <c r="E165" s="34" t="s">
        <v>13</v>
      </c>
      <c r="F165" s="34" t="s">
        <v>3929</v>
      </c>
      <c r="G165" s="42" t="s">
        <v>3820</v>
      </c>
      <c r="H165" s="43">
        <v>460.0</v>
      </c>
      <c r="I165" s="42" t="s">
        <v>3853</v>
      </c>
      <c r="J165" s="43">
        <v>0.0</v>
      </c>
      <c r="K165" s="43">
        <v>100.0</v>
      </c>
      <c r="L165" s="43">
        <v>0.0</v>
      </c>
      <c r="M165" s="43">
        <v>0.0</v>
      </c>
      <c r="N165" s="33">
        <f>COUNTIFS('Data For Calculation - Insuranc'!A:A,A165,'Data For Calculation - Insuranc'!D:D,"Individual",'Data For Calculation - Insuranc'!E:E,"Bundled - 1 Year OD + 5 Year TP")</f>
        <v>0</v>
      </c>
      <c r="O165" s="34" t="s">
        <v>3930</v>
      </c>
      <c r="P165" s="42" t="s">
        <v>3820</v>
      </c>
      <c r="Q165" s="43">
        <v>460.0</v>
      </c>
      <c r="R165" s="42" t="s">
        <v>3853</v>
      </c>
      <c r="S165" s="43">
        <v>0.0</v>
      </c>
      <c r="T165" s="43">
        <v>100.0</v>
      </c>
      <c r="U165" s="43">
        <v>0.0</v>
      </c>
      <c r="V165" s="43">
        <v>0.0</v>
      </c>
      <c r="W165" s="33">
        <f>COUNTIFS('Data For Calculation - Insuranc'!A:A,A165,'Data For Calculation - Insuranc'!D:D,"Company",'Data For Calculation - Insuranc'!E:E,"Bundled - 1 Year OD + 5 Year TP")</f>
        <v>0</v>
      </c>
      <c r="X165" s="34" t="s">
        <v>3929</v>
      </c>
      <c r="Y165" s="42" t="s">
        <v>3820</v>
      </c>
      <c r="Z165" s="31">
        <v>290.0</v>
      </c>
      <c r="AA165" s="34" t="s">
        <v>3853</v>
      </c>
      <c r="AB165" s="34">
        <v>0.0</v>
      </c>
      <c r="AC165" s="34">
        <v>100.0</v>
      </c>
      <c r="AD165" s="34">
        <v>0.0</v>
      </c>
      <c r="AE165" s="34">
        <v>0.0</v>
      </c>
      <c r="AF165" s="33">
        <f>COUNTIFS('Data For Calculation - Insuranc'!A:A,A165,'Data For Calculation - Insuranc'!D:D,"Individual",'Data For Calculation - Insuranc'!E:E,"Rollover Comprehensive - 1 Year OD + 1 Year TP")</f>
        <v>0</v>
      </c>
      <c r="AG165" s="34" t="s">
        <v>3930</v>
      </c>
      <c r="AH165" s="42" t="s">
        <v>3820</v>
      </c>
      <c r="AI165" s="31">
        <v>290.0</v>
      </c>
      <c r="AJ165" s="34" t="s">
        <v>3853</v>
      </c>
      <c r="AK165" s="34">
        <v>0.0</v>
      </c>
      <c r="AL165" s="34">
        <v>100.0</v>
      </c>
      <c r="AM165" s="34">
        <v>0.0</v>
      </c>
      <c r="AN165" s="34">
        <v>0.0</v>
      </c>
      <c r="AO165" s="33">
        <f>COUNTIFS('Data For Calculation - Insuranc'!A:A,A165,'Data For Calculation - Insuranc'!D:D,"Company",'Data For Calculation - Insuranc'!E:E,"Rollover Comprehensive - 1 Year OD + 1 Year TP")</f>
        <v>0</v>
      </c>
      <c r="AP165" s="34" t="s">
        <v>3931</v>
      </c>
      <c r="AQ165" s="42" t="s">
        <v>3820</v>
      </c>
      <c r="AR165" s="31">
        <v>290.0</v>
      </c>
      <c r="AS165" s="34" t="s">
        <v>3853</v>
      </c>
      <c r="AT165" s="34">
        <v>0.0</v>
      </c>
      <c r="AU165" s="34">
        <v>100.0</v>
      </c>
      <c r="AV165" s="34">
        <v>0.0</v>
      </c>
      <c r="AW165" s="34">
        <v>0.0</v>
      </c>
      <c r="AX165" s="33">
        <f>COUNTIFS('Data For Calculation - Insuranc'!A:A,A165,'Data For Calculation - Insuranc'!D:D,"Individual",'Data For Calculation - Insuranc'!E:E,"Rollover - 1 Year OD Only")</f>
        <v>0</v>
      </c>
      <c r="AY165" s="34" t="s">
        <v>3932</v>
      </c>
      <c r="AZ165" s="42" t="s">
        <v>3820</v>
      </c>
      <c r="BA165" s="31">
        <v>290.0</v>
      </c>
      <c r="BB165" s="34" t="s">
        <v>3853</v>
      </c>
      <c r="BC165" s="34">
        <v>0.0</v>
      </c>
      <c r="BD165" s="34">
        <v>100.0</v>
      </c>
      <c r="BE165" s="34">
        <v>0.0</v>
      </c>
      <c r="BF165" s="34">
        <v>0.0</v>
      </c>
      <c r="BG165" s="33">
        <f>COUNTIFS('Data For Calculation - Insuranc'!A:A,A165,'Data For Calculation - Insuranc'!D:D,"Company",'Data For Calculation - Insuranc'!E:E,"Rollover - 1 Year OD Only")</f>
        <v>0</v>
      </c>
      <c r="BH165" s="34" t="s">
        <v>3931</v>
      </c>
      <c r="BI165" s="42" t="s">
        <v>3820</v>
      </c>
      <c r="BJ165" s="31">
        <v>290.0</v>
      </c>
      <c r="BK165" s="34" t="s">
        <v>3853</v>
      </c>
      <c r="BL165" s="34">
        <v>0.0</v>
      </c>
      <c r="BM165" s="34">
        <v>100.0</v>
      </c>
      <c r="BN165" s="34">
        <v>0.0</v>
      </c>
      <c r="BO165" s="34">
        <v>0.0</v>
      </c>
      <c r="BP165" s="33">
        <f>COUNTIFS('Data For Calculation - Insuranc'!A:A,A165,'Data For Calculation - Insuranc'!D:D,"Individual",'Data For Calculation - Insuranc'!E:E,"Rollover - 1 Year TP Only")</f>
        <v>0</v>
      </c>
      <c r="BQ165" s="34" t="s">
        <v>3932</v>
      </c>
      <c r="BR165" s="42" t="s">
        <v>3820</v>
      </c>
      <c r="BS165" s="31">
        <v>290.0</v>
      </c>
      <c r="BT165" s="34" t="s">
        <v>3853</v>
      </c>
      <c r="BU165" s="34">
        <v>0.0</v>
      </c>
      <c r="BV165" s="34">
        <v>100.0</v>
      </c>
      <c r="BW165" s="34">
        <v>0.0</v>
      </c>
      <c r="BX165" s="34">
        <v>0.0</v>
      </c>
      <c r="BY165" s="33">
        <f>COUNTIFS('Data For Calculation - Insuranc'!A:A,A165,'Data For Calculation - Insuranc'!D:D,"Company",'Data For Calculation - Insuranc'!E:E,"Rollover - 1 Year TP Only")</f>
        <v>0</v>
      </c>
      <c r="BZ165" s="31">
        <f t="shared" si="1"/>
        <v>0</v>
      </c>
      <c r="CA165" s="33">
        <f>SUMIFS('Data For Calculation - Insuranc'!I:I,'Data For Calculation - Insuranc'!$A:$A,$A165)</f>
        <v>0</v>
      </c>
      <c r="CB165" s="33">
        <f>SUMIFS('Data For Calculation - Insuranc'!J:J,'Data For Calculation - Insuranc'!$A:$A,$A165)</f>
        <v>0</v>
      </c>
      <c r="CC165" s="33">
        <f>SUMIFS('Data For Calculation - Insuranc'!K:K,'Data For Calculation - Insuranc'!$A:$A,$A165)</f>
        <v>0</v>
      </c>
      <c r="CD165" s="33">
        <f>IF($CK165 = "Dealer", SUMIFS('Data For Calculation - Insuranc'!I:I,'Data For Calculation - Insuranc'!$B:$B,$A165,'Data For Calculation - Insuranc'!$H:$H,"Master Dealer")) + SUMIFS('Data For Calculation - Insuranc'!I:I,'Data For Calculation - Insuranc'!$A:$A,$A165,'Data For Calculation - Insuranc'!$H:$H,"Self")</f>
        <v>0</v>
      </c>
      <c r="CE165" s="33">
        <f>IF($CK165 = "Dealer", SUMIFS('Data For Calculation - Insuranc'!J:J,'Data For Calculation - Insuranc'!$B:$B,$A165,'Data For Calculation - Insuranc'!$H:$H,"Master Dealer")) + SUMIFS('Data For Calculation - Insuranc'!J:J,'Data For Calculation - Insuranc'!$A:$A,$A165,'Data For Calculation - Insuranc'!$H:$H,"Self")</f>
        <v>0</v>
      </c>
      <c r="CF165" s="33">
        <f>IF($CK165 = "Dealer", SUMIFS('Data For Calculation - Insuranc'!K:K,'Data For Calculation - Insuranc'!$B:$B,$A165,'Data For Calculation - Insuranc'!$H:$H,"Master Dealer")) + SUMIFS('Data For Calculation - Insuranc'!K:K,'Data For Calculation - Insuranc'!$A:$A,$A165,'Data For Calculation - Insuranc'!$H:$H,"Self")</f>
        <v>0</v>
      </c>
      <c r="CG165" s="25" t="str">
        <f>(Sheet1!N165)</f>
        <v>Shri Durga Motors</v>
      </c>
      <c r="CH165" s="25" t="str">
        <f>(Sheet1!O165)</f>
        <v>1LnxzSZR-Hn1GFJEM91CqSDi8yQ1-11OqyVT04QUkFAM</v>
      </c>
      <c r="CI165" s="25" t="str">
        <f>(Sheet1!AV165)</f>
        <v/>
      </c>
      <c r="CJ165" s="25" t="str">
        <f>(Sheet1!AW165)</f>
        <v/>
      </c>
      <c r="CK165" s="26" t="str">
        <f>(Sheet1!P165)</f>
        <v>Sub Dealer</v>
      </c>
    </row>
    <row r="166">
      <c r="A166" s="25" t="str">
        <f>(Sheet1!A166)</f>
        <v>1zei1ne3QpSt186ff-L2PaKoV0maqqSe-91NIiwTBSko</v>
      </c>
      <c r="B166" s="25" t="str">
        <f>(Sheet1!B166)</f>
        <v>Agrawal Motors (SDM) - Siyana</v>
      </c>
      <c r="C166" s="30" t="str">
        <f>Sheet1!BB166</f>
        <v>No</v>
      </c>
      <c r="D166" s="30" t="s">
        <v>13</v>
      </c>
      <c r="E166" s="34" t="s">
        <v>13</v>
      </c>
      <c r="F166" s="34" t="s">
        <v>3929</v>
      </c>
      <c r="G166" s="42" t="s">
        <v>3820</v>
      </c>
      <c r="H166" s="43">
        <v>460.0</v>
      </c>
      <c r="I166" s="42" t="s">
        <v>3853</v>
      </c>
      <c r="J166" s="43">
        <v>0.0</v>
      </c>
      <c r="K166" s="43">
        <v>100.0</v>
      </c>
      <c r="L166" s="43">
        <v>0.0</v>
      </c>
      <c r="M166" s="43">
        <v>0.0</v>
      </c>
      <c r="N166" s="33">
        <f>COUNTIFS('Data For Calculation - Insuranc'!A:A,A166,'Data For Calculation - Insuranc'!D:D,"Individual",'Data For Calculation - Insuranc'!E:E,"Bundled - 1 Year OD + 5 Year TP")</f>
        <v>0</v>
      </c>
      <c r="O166" s="34" t="s">
        <v>3930</v>
      </c>
      <c r="P166" s="42" t="s">
        <v>3820</v>
      </c>
      <c r="Q166" s="43">
        <v>460.0</v>
      </c>
      <c r="R166" s="42" t="s">
        <v>3853</v>
      </c>
      <c r="S166" s="43">
        <v>0.0</v>
      </c>
      <c r="T166" s="43">
        <v>100.0</v>
      </c>
      <c r="U166" s="43">
        <v>0.0</v>
      </c>
      <c r="V166" s="43">
        <v>0.0</v>
      </c>
      <c r="W166" s="33">
        <f>COUNTIFS('Data For Calculation - Insuranc'!A:A,A166,'Data For Calculation - Insuranc'!D:D,"Company",'Data For Calculation - Insuranc'!E:E,"Bundled - 1 Year OD + 5 Year TP")</f>
        <v>0</v>
      </c>
      <c r="X166" s="34" t="s">
        <v>3929</v>
      </c>
      <c r="Y166" s="42" t="s">
        <v>3820</v>
      </c>
      <c r="Z166" s="31">
        <v>290.0</v>
      </c>
      <c r="AA166" s="34" t="s">
        <v>3853</v>
      </c>
      <c r="AB166" s="34">
        <v>0.0</v>
      </c>
      <c r="AC166" s="34">
        <v>100.0</v>
      </c>
      <c r="AD166" s="34">
        <v>0.0</v>
      </c>
      <c r="AE166" s="34">
        <v>0.0</v>
      </c>
      <c r="AF166" s="33">
        <f>COUNTIFS('Data For Calculation - Insuranc'!A:A,A166,'Data For Calculation - Insuranc'!D:D,"Individual",'Data For Calculation - Insuranc'!E:E,"Rollover Comprehensive - 1 Year OD + 1 Year TP")</f>
        <v>0</v>
      </c>
      <c r="AG166" s="34" t="s">
        <v>3930</v>
      </c>
      <c r="AH166" s="42" t="s">
        <v>3820</v>
      </c>
      <c r="AI166" s="31">
        <v>290.0</v>
      </c>
      <c r="AJ166" s="34" t="s">
        <v>3853</v>
      </c>
      <c r="AK166" s="34">
        <v>0.0</v>
      </c>
      <c r="AL166" s="34">
        <v>100.0</v>
      </c>
      <c r="AM166" s="34">
        <v>0.0</v>
      </c>
      <c r="AN166" s="34">
        <v>0.0</v>
      </c>
      <c r="AO166" s="33">
        <f>COUNTIFS('Data For Calculation - Insuranc'!A:A,A166,'Data For Calculation - Insuranc'!D:D,"Company",'Data For Calculation - Insuranc'!E:E,"Rollover Comprehensive - 1 Year OD + 1 Year TP")</f>
        <v>0</v>
      </c>
      <c r="AP166" s="34" t="s">
        <v>3931</v>
      </c>
      <c r="AQ166" s="42" t="s">
        <v>3820</v>
      </c>
      <c r="AR166" s="31">
        <v>290.0</v>
      </c>
      <c r="AS166" s="34" t="s">
        <v>3853</v>
      </c>
      <c r="AT166" s="34">
        <v>0.0</v>
      </c>
      <c r="AU166" s="34">
        <v>100.0</v>
      </c>
      <c r="AV166" s="34">
        <v>0.0</v>
      </c>
      <c r="AW166" s="34">
        <v>0.0</v>
      </c>
      <c r="AX166" s="33">
        <f>COUNTIFS('Data For Calculation - Insuranc'!A:A,A166,'Data For Calculation - Insuranc'!D:D,"Individual",'Data For Calculation - Insuranc'!E:E,"Rollover - 1 Year OD Only")</f>
        <v>0</v>
      </c>
      <c r="AY166" s="34" t="s">
        <v>3932</v>
      </c>
      <c r="AZ166" s="42" t="s">
        <v>3820</v>
      </c>
      <c r="BA166" s="31">
        <v>290.0</v>
      </c>
      <c r="BB166" s="34" t="s">
        <v>3853</v>
      </c>
      <c r="BC166" s="34">
        <v>0.0</v>
      </c>
      <c r="BD166" s="34">
        <v>100.0</v>
      </c>
      <c r="BE166" s="34">
        <v>0.0</v>
      </c>
      <c r="BF166" s="34">
        <v>0.0</v>
      </c>
      <c r="BG166" s="33">
        <f>COUNTIFS('Data For Calculation - Insuranc'!A:A,A166,'Data For Calculation - Insuranc'!D:D,"Company",'Data For Calculation - Insuranc'!E:E,"Rollover - 1 Year OD Only")</f>
        <v>0</v>
      </c>
      <c r="BH166" s="34" t="s">
        <v>3931</v>
      </c>
      <c r="BI166" s="42" t="s">
        <v>3820</v>
      </c>
      <c r="BJ166" s="31">
        <v>290.0</v>
      </c>
      <c r="BK166" s="34" t="s">
        <v>3853</v>
      </c>
      <c r="BL166" s="34">
        <v>0.0</v>
      </c>
      <c r="BM166" s="34">
        <v>100.0</v>
      </c>
      <c r="BN166" s="34">
        <v>0.0</v>
      </c>
      <c r="BO166" s="34">
        <v>0.0</v>
      </c>
      <c r="BP166" s="33">
        <f>COUNTIFS('Data For Calculation - Insuranc'!A:A,A166,'Data For Calculation - Insuranc'!D:D,"Individual",'Data For Calculation - Insuranc'!E:E,"Rollover - 1 Year TP Only")</f>
        <v>0</v>
      </c>
      <c r="BQ166" s="34" t="s">
        <v>3932</v>
      </c>
      <c r="BR166" s="42" t="s">
        <v>3820</v>
      </c>
      <c r="BS166" s="31">
        <v>290.0</v>
      </c>
      <c r="BT166" s="34" t="s">
        <v>3853</v>
      </c>
      <c r="BU166" s="34">
        <v>0.0</v>
      </c>
      <c r="BV166" s="34">
        <v>100.0</v>
      </c>
      <c r="BW166" s="34">
        <v>0.0</v>
      </c>
      <c r="BX166" s="34">
        <v>0.0</v>
      </c>
      <c r="BY166" s="33">
        <f>COUNTIFS('Data For Calculation - Insuranc'!A:A,A166,'Data For Calculation - Insuranc'!D:D,"Company",'Data For Calculation - Insuranc'!E:E,"Rollover - 1 Year TP Only")</f>
        <v>0</v>
      </c>
      <c r="BZ166" s="31">
        <f t="shared" si="1"/>
        <v>0</v>
      </c>
      <c r="CA166" s="33">
        <f>SUMIFS('Data For Calculation - Insuranc'!I:I,'Data For Calculation - Insuranc'!$A:$A,$A166)</f>
        <v>0</v>
      </c>
      <c r="CB166" s="33">
        <f>SUMIFS('Data For Calculation - Insuranc'!J:J,'Data For Calculation - Insuranc'!$A:$A,$A166)</f>
        <v>0</v>
      </c>
      <c r="CC166" s="33">
        <f>SUMIFS('Data For Calculation - Insuranc'!K:K,'Data For Calculation - Insuranc'!$A:$A,$A166)</f>
        <v>0</v>
      </c>
      <c r="CD166" s="33">
        <f>IF($CK166 = "Dealer", SUMIFS('Data For Calculation - Insuranc'!I:I,'Data For Calculation - Insuranc'!$B:$B,$A166,'Data For Calculation - Insuranc'!$H:$H,"Master Dealer")) + SUMIFS('Data For Calculation - Insuranc'!I:I,'Data For Calculation - Insuranc'!$A:$A,$A166,'Data For Calculation - Insuranc'!$H:$H,"Self")</f>
        <v>0</v>
      </c>
      <c r="CE166" s="33">
        <f>IF($CK166 = "Dealer", SUMIFS('Data For Calculation - Insuranc'!J:J,'Data For Calculation - Insuranc'!$B:$B,$A166,'Data For Calculation - Insuranc'!$H:$H,"Master Dealer")) + SUMIFS('Data For Calculation - Insuranc'!J:J,'Data For Calculation - Insuranc'!$A:$A,$A166,'Data For Calculation - Insuranc'!$H:$H,"Self")</f>
        <v>0</v>
      </c>
      <c r="CF166" s="33">
        <f>IF($CK166 = "Dealer", SUMIFS('Data For Calculation - Insuranc'!K:K,'Data For Calculation - Insuranc'!$B:$B,$A166,'Data For Calculation - Insuranc'!$H:$H,"Master Dealer")) + SUMIFS('Data For Calculation - Insuranc'!K:K,'Data For Calculation - Insuranc'!$A:$A,$A166,'Data For Calculation - Insuranc'!$H:$H,"Self")</f>
        <v>0</v>
      </c>
      <c r="CG166" s="25" t="str">
        <f>(Sheet1!N166)</f>
        <v>Shri Durga Motors</v>
      </c>
      <c r="CH166" s="25" t="str">
        <f>(Sheet1!O166)</f>
        <v>1LnxzSZR-Hn1GFJEM91CqSDi8yQ1-11OqyVT04QUkFAM</v>
      </c>
      <c r="CI166" s="25" t="str">
        <f>(Sheet1!AV166)</f>
        <v/>
      </c>
      <c r="CJ166" s="25" t="str">
        <f>(Sheet1!AW166)</f>
        <v/>
      </c>
      <c r="CK166" s="26" t="str">
        <f>(Sheet1!P166)</f>
        <v>Sub Dealer</v>
      </c>
    </row>
    <row r="167">
      <c r="A167" s="25" t="str">
        <f>(Sheet1!A167)</f>
        <v>1EqLBGhhw88ePbxTSdniMo_of3cuMUNJduNtdzPonF7w</v>
      </c>
      <c r="B167" s="25" t="str">
        <f>(Sheet1!B167)</f>
        <v>SHREE SAI AUTOMOBILE</v>
      </c>
      <c r="C167" s="30" t="str">
        <f>Sheet1!BB167</f>
        <v>No</v>
      </c>
      <c r="D167" s="30" t="s">
        <v>13</v>
      </c>
      <c r="E167" s="34" t="s">
        <v>13</v>
      </c>
      <c r="F167" s="34" t="s">
        <v>3929</v>
      </c>
      <c r="G167" s="42" t="s">
        <v>3856</v>
      </c>
      <c r="H167" s="43">
        <v>460.0</v>
      </c>
      <c r="I167" s="42" t="s">
        <v>3853</v>
      </c>
      <c r="J167" s="43">
        <v>0.0</v>
      </c>
      <c r="K167" s="43">
        <v>100.0</v>
      </c>
      <c r="L167" s="43">
        <v>0.0</v>
      </c>
      <c r="M167" s="43">
        <v>0.0</v>
      </c>
      <c r="N167" s="33">
        <f>COUNTIFS('Data For Calculation - Insuranc'!A:A,A167,'Data For Calculation - Insuranc'!D:D,"Individual",'Data For Calculation - Insuranc'!E:E,"Bundled - 1 Year OD + 5 Year TP")</f>
        <v>0</v>
      </c>
      <c r="O167" s="34" t="s">
        <v>3930</v>
      </c>
      <c r="P167" s="42" t="s">
        <v>3856</v>
      </c>
      <c r="Q167" s="43">
        <v>460.0</v>
      </c>
      <c r="R167" s="42" t="s">
        <v>3853</v>
      </c>
      <c r="S167" s="43">
        <v>0.0</v>
      </c>
      <c r="T167" s="43">
        <v>100.0</v>
      </c>
      <c r="U167" s="43">
        <v>0.0</v>
      </c>
      <c r="V167" s="43">
        <v>0.0</v>
      </c>
      <c r="W167" s="33">
        <f>COUNTIFS('Data For Calculation - Insuranc'!A:A,A167,'Data For Calculation - Insuranc'!D:D,"Company",'Data For Calculation - Insuranc'!E:E,"Bundled - 1 Year OD + 5 Year TP")</f>
        <v>0</v>
      </c>
      <c r="X167" s="34" t="s">
        <v>3929</v>
      </c>
      <c r="Y167" s="42" t="s">
        <v>3856</v>
      </c>
      <c r="Z167" s="31">
        <v>290.0</v>
      </c>
      <c r="AA167" s="34" t="s">
        <v>3853</v>
      </c>
      <c r="AB167" s="34">
        <v>0.0</v>
      </c>
      <c r="AC167" s="34">
        <v>100.0</v>
      </c>
      <c r="AD167" s="34">
        <v>0.0</v>
      </c>
      <c r="AE167" s="34">
        <v>0.0</v>
      </c>
      <c r="AF167" s="33">
        <f>COUNTIFS('Data For Calculation - Insuranc'!A:A,A167,'Data For Calculation - Insuranc'!D:D,"Individual",'Data For Calculation - Insuranc'!E:E,"Rollover Comprehensive - 1 Year OD + 1 Year TP")</f>
        <v>0</v>
      </c>
      <c r="AG167" s="34" t="s">
        <v>3930</v>
      </c>
      <c r="AH167" s="42" t="s">
        <v>3856</v>
      </c>
      <c r="AI167" s="31">
        <v>290.0</v>
      </c>
      <c r="AJ167" s="34" t="s">
        <v>3853</v>
      </c>
      <c r="AK167" s="34">
        <v>0.0</v>
      </c>
      <c r="AL167" s="34">
        <v>100.0</v>
      </c>
      <c r="AM167" s="34">
        <v>0.0</v>
      </c>
      <c r="AN167" s="34">
        <v>0.0</v>
      </c>
      <c r="AO167" s="33">
        <f>COUNTIFS('Data For Calculation - Insuranc'!A:A,A167,'Data For Calculation - Insuranc'!D:D,"Company",'Data For Calculation - Insuranc'!E:E,"Rollover Comprehensive - 1 Year OD + 1 Year TP")</f>
        <v>0</v>
      </c>
      <c r="AP167" s="34" t="s">
        <v>3931</v>
      </c>
      <c r="AQ167" s="42" t="s">
        <v>3856</v>
      </c>
      <c r="AR167" s="31">
        <v>290.0</v>
      </c>
      <c r="AS167" s="34" t="s">
        <v>3853</v>
      </c>
      <c r="AT167" s="34">
        <v>0.0</v>
      </c>
      <c r="AU167" s="34">
        <v>100.0</v>
      </c>
      <c r="AV167" s="34">
        <v>0.0</v>
      </c>
      <c r="AW167" s="34">
        <v>0.0</v>
      </c>
      <c r="AX167" s="33">
        <f>COUNTIFS('Data For Calculation - Insuranc'!A:A,A167,'Data For Calculation - Insuranc'!D:D,"Individual",'Data For Calculation - Insuranc'!E:E,"Rollover - 1 Year OD Only")</f>
        <v>0</v>
      </c>
      <c r="AY167" s="34" t="s">
        <v>3932</v>
      </c>
      <c r="AZ167" s="42" t="s">
        <v>3856</v>
      </c>
      <c r="BA167" s="31">
        <v>290.0</v>
      </c>
      <c r="BB167" s="34" t="s">
        <v>3853</v>
      </c>
      <c r="BC167" s="34">
        <v>0.0</v>
      </c>
      <c r="BD167" s="34">
        <v>100.0</v>
      </c>
      <c r="BE167" s="34">
        <v>0.0</v>
      </c>
      <c r="BF167" s="34">
        <v>0.0</v>
      </c>
      <c r="BG167" s="33">
        <f>COUNTIFS('Data For Calculation - Insuranc'!A:A,A167,'Data For Calculation - Insuranc'!D:D,"Company",'Data For Calculation - Insuranc'!E:E,"Rollover - 1 Year OD Only")</f>
        <v>0</v>
      </c>
      <c r="BH167" s="34" t="s">
        <v>3931</v>
      </c>
      <c r="BI167" s="42" t="s">
        <v>3856</v>
      </c>
      <c r="BJ167" s="31">
        <v>290.0</v>
      </c>
      <c r="BK167" s="34" t="s">
        <v>3853</v>
      </c>
      <c r="BL167" s="34">
        <v>0.0</v>
      </c>
      <c r="BM167" s="34">
        <v>100.0</v>
      </c>
      <c r="BN167" s="34">
        <v>0.0</v>
      </c>
      <c r="BO167" s="34">
        <v>0.0</v>
      </c>
      <c r="BP167" s="33">
        <f>COUNTIFS('Data For Calculation - Insuranc'!A:A,A167,'Data For Calculation - Insuranc'!D:D,"Individual",'Data For Calculation - Insuranc'!E:E,"Rollover - 1 Year TP Only")</f>
        <v>0</v>
      </c>
      <c r="BQ167" s="34" t="s">
        <v>3932</v>
      </c>
      <c r="BR167" s="42" t="s">
        <v>3856</v>
      </c>
      <c r="BS167" s="31">
        <v>290.0</v>
      </c>
      <c r="BT167" s="34" t="s">
        <v>3853</v>
      </c>
      <c r="BU167" s="34">
        <v>0.0</v>
      </c>
      <c r="BV167" s="34">
        <v>100.0</v>
      </c>
      <c r="BW167" s="34">
        <v>0.0</v>
      </c>
      <c r="BX167" s="34">
        <v>0.0</v>
      </c>
      <c r="BY167" s="33">
        <f>COUNTIFS('Data For Calculation - Insuranc'!A:A,A167,'Data For Calculation - Insuranc'!D:D,"Company",'Data For Calculation - Insuranc'!E:E,"Rollover - 1 Year TP Only")</f>
        <v>0</v>
      </c>
      <c r="BZ167" s="31">
        <f t="shared" si="1"/>
        <v>0</v>
      </c>
      <c r="CA167" s="33">
        <f>SUMIFS('Data For Calculation - Insuranc'!I:I,'Data For Calculation - Insuranc'!$A:$A,$A167)</f>
        <v>0</v>
      </c>
      <c r="CB167" s="33">
        <f>SUMIFS('Data For Calculation - Insuranc'!J:J,'Data For Calculation - Insuranc'!$A:$A,$A167)</f>
        <v>0</v>
      </c>
      <c r="CC167" s="33">
        <f>SUMIFS('Data For Calculation - Insuranc'!K:K,'Data For Calculation - Insuranc'!$A:$A,$A167)</f>
        <v>0</v>
      </c>
      <c r="CD167" s="33">
        <f>IF($CK167 = "Dealer", SUMIFS('Data For Calculation - Insuranc'!I:I,'Data For Calculation - Insuranc'!$B:$B,$A167,'Data For Calculation - Insuranc'!$H:$H,"Master Dealer")) + SUMIFS('Data For Calculation - Insuranc'!I:I,'Data For Calculation - Insuranc'!$A:$A,$A167,'Data For Calculation - Insuranc'!$H:$H,"Self")</f>
        <v>0</v>
      </c>
      <c r="CE167" s="33">
        <f>IF($CK167 = "Dealer", SUMIFS('Data For Calculation - Insuranc'!J:J,'Data For Calculation - Insuranc'!$B:$B,$A167,'Data For Calculation - Insuranc'!$H:$H,"Master Dealer")) + SUMIFS('Data For Calculation - Insuranc'!J:J,'Data For Calculation - Insuranc'!$A:$A,$A167,'Data For Calculation - Insuranc'!$H:$H,"Self")</f>
        <v>0</v>
      </c>
      <c r="CF167" s="33">
        <f>IF($CK167 = "Dealer", SUMIFS('Data For Calculation - Insuranc'!K:K,'Data For Calculation - Insuranc'!$B:$B,$A167,'Data For Calculation - Insuranc'!$H:$H,"Master Dealer")) + SUMIFS('Data For Calculation - Insuranc'!K:K,'Data For Calculation - Insuranc'!$A:$A,$A167,'Data For Calculation - Insuranc'!$H:$H,"Self")</f>
        <v>0</v>
      </c>
      <c r="CG167" s="25" t="str">
        <f>(Sheet1!N167)</f>
        <v>SHREE SAI AUTOMOBILE</v>
      </c>
      <c r="CH167" s="25" t="str">
        <f>(Sheet1!O167)</f>
        <v>1EqLBGhhw88ePbxTSdniMo_of3cuMUNJduNtdzPonF7w</v>
      </c>
      <c r="CI167" s="25" t="str">
        <f>(Sheet1!AV167)</f>
        <v/>
      </c>
      <c r="CJ167" s="25" t="str">
        <f>(Sheet1!AW167)</f>
        <v/>
      </c>
      <c r="CK167" s="26" t="str">
        <f>(Sheet1!P167)</f>
        <v>Dealer</v>
      </c>
    </row>
    <row r="168">
      <c r="A168" s="25" t="str">
        <f>(Sheet1!A168)</f>
        <v>1O_YH7HeoRy08ymR5SENYSag175TzKlknDTuYKpt1BUk</v>
      </c>
      <c r="B168" s="25" t="str">
        <f>(Sheet1!B168)</f>
        <v>Aditya Kapil</v>
      </c>
      <c r="C168" s="30" t="str">
        <f>Sheet1!BB168</f>
        <v>No</v>
      </c>
      <c r="D168" s="30" t="s">
        <v>13</v>
      </c>
      <c r="E168" s="34" t="s">
        <v>13</v>
      </c>
      <c r="F168" s="34" t="s">
        <v>3929</v>
      </c>
      <c r="G168" s="42" t="s">
        <v>3817</v>
      </c>
      <c r="H168" s="43">
        <v>460.0</v>
      </c>
      <c r="I168" s="42" t="s">
        <v>3853</v>
      </c>
      <c r="J168" s="43">
        <v>0.0</v>
      </c>
      <c r="K168" s="43">
        <v>100.0</v>
      </c>
      <c r="L168" s="43">
        <v>0.0</v>
      </c>
      <c r="M168" s="43">
        <v>0.0</v>
      </c>
      <c r="N168" s="33">
        <f>COUNTIFS('Data For Calculation - Insuranc'!A:A,A168,'Data For Calculation - Insuranc'!D:D,"Individual",'Data For Calculation - Insuranc'!E:E,"Bundled - 1 Year OD + 5 Year TP")</f>
        <v>0</v>
      </c>
      <c r="O168" s="34" t="s">
        <v>3930</v>
      </c>
      <c r="P168" s="42" t="s">
        <v>3817</v>
      </c>
      <c r="Q168" s="43">
        <v>460.0</v>
      </c>
      <c r="R168" s="42" t="s">
        <v>3853</v>
      </c>
      <c r="S168" s="43">
        <v>0.0</v>
      </c>
      <c r="T168" s="43">
        <v>100.0</v>
      </c>
      <c r="U168" s="43">
        <v>0.0</v>
      </c>
      <c r="V168" s="43">
        <v>0.0</v>
      </c>
      <c r="W168" s="33">
        <f>COUNTIFS('Data For Calculation - Insuranc'!A:A,A168,'Data For Calculation - Insuranc'!D:D,"Company",'Data For Calculation - Insuranc'!E:E,"Bundled - 1 Year OD + 5 Year TP")</f>
        <v>0</v>
      </c>
      <c r="X168" s="34" t="s">
        <v>3929</v>
      </c>
      <c r="Y168" s="42" t="s">
        <v>3817</v>
      </c>
      <c r="Z168" s="31">
        <v>290.0</v>
      </c>
      <c r="AA168" s="34" t="s">
        <v>3853</v>
      </c>
      <c r="AB168" s="34">
        <v>0.0</v>
      </c>
      <c r="AC168" s="34">
        <v>100.0</v>
      </c>
      <c r="AD168" s="34">
        <v>0.0</v>
      </c>
      <c r="AE168" s="34">
        <v>0.0</v>
      </c>
      <c r="AF168" s="33">
        <f>COUNTIFS('Data For Calculation - Insuranc'!A:A,A168,'Data For Calculation - Insuranc'!D:D,"Individual",'Data For Calculation - Insuranc'!E:E,"Rollover Comprehensive - 1 Year OD + 1 Year TP")</f>
        <v>0</v>
      </c>
      <c r="AG168" s="34" t="s">
        <v>3930</v>
      </c>
      <c r="AH168" s="42" t="s">
        <v>3817</v>
      </c>
      <c r="AI168" s="31">
        <v>290.0</v>
      </c>
      <c r="AJ168" s="34" t="s">
        <v>3853</v>
      </c>
      <c r="AK168" s="34">
        <v>0.0</v>
      </c>
      <c r="AL168" s="34">
        <v>100.0</v>
      </c>
      <c r="AM168" s="34">
        <v>0.0</v>
      </c>
      <c r="AN168" s="34">
        <v>0.0</v>
      </c>
      <c r="AO168" s="33">
        <f>COUNTIFS('Data For Calculation - Insuranc'!A:A,A168,'Data For Calculation - Insuranc'!D:D,"Company",'Data For Calculation - Insuranc'!E:E,"Rollover Comprehensive - 1 Year OD + 1 Year TP")</f>
        <v>0</v>
      </c>
      <c r="AP168" s="34" t="s">
        <v>3931</v>
      </c>
      <c r="AQ168" s="42" t="s">
        <v>3817</v>
      </c>
      <c r="AR168" s="31">
        <v>290.0</v>
      </c>
      <c r="AS168" s="34" t="s">
        <v>3853</v>
      </c>
      <c r="AT168" s="34">
        <v>0.0</v>
      </c>
      <c r="AU168" s="34">
        <v>100.0</v>
      </c>
      <c r="AV168" s="34">
        <v>0.0</v>
      </c>
      <c r="AW168" s="34">
        <v>0.0</v>
      </c>
      <c r="AX168" s="33">
        <f>COUNTIFS('Data For Calculation - Insuranc'!A:A,A168,'Data For Calculation - Insuranc'!D:D,"Individual",'Data For Calculation - Insuranc'!E:E,"Rollover - 1 Year OD Only")</f>
        <v>0</v>
      </c>
      <c r="AY168" s="34" t="s">
        <v>3932</v>
      </c>
      <c r="AZ168" s="42" t="s">
        <v>3817</v>
      </c>
      <c r="BA168" s="31">
        <v>290.0</v>
      </c>
      <c r="BB168" s="34" t="s">
        <v>3853</v>
      </c>
      <c r="BC168" s="34">
        <v>0.0</v>
      </c>
      <c r="BD168" s="34">
        <v>100.0</v>
      </c>
      <c r="BE168" s="34">
        <v>0.0</v>
      </c>
      <c r="BF168" s="34">
        <v>0.0</v>
      </c>
      <c r="BG168" s="33">
        <f>COUNTIFS('Data For Calculation - Insuranc'!A:A,A168,'Data For Calculation - Insuranc'!D:D,"Company",'Data For Calculation - Insuranc'!E:E,"Rollover - 1 Year OD Only")</f>
        <v>0</v>
      </c>
      <c r="BH168" s="34" t="s">
        <v>3931</v>
      </c>
      <c r="BI168" s="42" t="s">
        <v>3817</v>
      </c>
      <c r="BJ168" s="31">
        <v>290.0</v>
      </c>
      <c r="BK168" s="34" t="s">
        <v>3853</v>
      </c>
      <c r="BL168" s="34">
        <v>0.0</v>
      </c>
      <c r="BM168" s="34">
        <v>100.0</v>
      </c>
      <c r="BN168" s="34">
        <v>0.0</v>
      </c>
      <c r="BO168" s="34">
        <v>0.0</v>
      </c>
      <c r="BP168" s="33">
        <f>COUNTIFS('Data For Calculation - Insuranc'!A:A,A168,'Data For Calculation - Insuranc'!D:D,"Individual",'Data For Calculation - Insuranc'!E:E,"Rollover - 1 Year TP Only")</f>
        <v>0</v>
      </c>
      <c r="BQ168" s="34" t="s">
        <v>3932</v>
      </c>
      <c r="BR168" s="42" t="s">
        <v>3817</v>
      </c>
      <c r="BS168" s="31">
        <v>290.0</v>
      </c>
      <c r="BT168" s="34" t="s">
        <v>3853</v>
      </c>
      <c r="BU168" s="34">
        <v>0.0</v>
      </c>
      <c r="BV168" s="34">
        <v>100.0</v>
      </c>
      <c r="BW168" s="34">
        <v>0.0</v>
      </c>
      <c r="BX168" s="34">
        <v>0.0</v>
      </c>
      <c r="BY168" s="33">
        <f>COUNTIFS('Data For Calculation - Insuranc'!A:A,A168,'Data For Calculation - Insuranc'!D:D,"Company",'Data For Calculation - Insuranc'!E:E,"Rollover - 1 Year TP Only")</f>
        <v>0</v>
      </c>
      <c r="BZ168" s="31">
        <f t="shared" si="1"/>
        <v>0</v>
      </c>
      <c r="CA168" s="33">
        <f>SUMIFS('Data For Calculation - Insuranc'!I:I,'Data For Calculation - Insuranc'!$A:$A,$A168)</f>
        <v>0</v>
      </c>
      <c r="CB168" s="33">
        <f>SUMIFS('Data For Calculation - Insuranc'!J:J,'Data For Calculation - Insuranc'!$A:$A,$A168)</f>
        <v>0</v>
      </c>
      <c r="CC168" s="33">
        <f>SUMIFS('Data For Calculation - Insuranc'!K:K,'Data For Calculation - Insuranc'!$A:$A,$A168)</f>
        <v>0</v>
      </c>
      <c r="CD168" s="33">
        <f>IF($CK168 = "Dealer", SUMIFS('Data For Calculation - Insuranc'!I:I,'Data For Calculation - Insuranc'!$B:$B,$A168,'Data For Calculation - Insuranc'!$H:$H,"Master Dealer")) + SUMIFS('Data For Calculation - Insuranc'!I:I,'Data For Calculation - Insuranc'!$A:$A,$A168,'Data For Calculation - Insuranc'!$H:$H,"Self")</f>
        <v>0</v>
      </c>
      <c r="CE168" s="33">
        <f>IF($CK168 = "Dealer", SUMIFS('Data For Calculation - Insuranc'!J:J,'Data For Calculation - Insuranc'!$B:$B,$A168,'Data For Calculation - Insuranc'!$H:$H,"Master Dealer")) + SUMIFS('Data For Calculation - Insuranc'!J:J,'Data For Calculation - Insuranc'!$A:$A,$A168,'Data For Calculation - Insuranc'!$H:$H,"Self")</f>
        <v>0</v>
      </c>
      <c r="CF168" s="33">
        <f>IF($CK168 = "Dealer", SUMIFS('Data For Calculation - Insuranc'!K:K,'Data For Calculation - Insuranc'!$B:$B,$A168,'Data For Calculation - Insuranc'!$H:$H,"Master Dealer")) + SUMIFS('Data For Calculation - Insuranc'!K:K,'Data For Calculation - Insuranc'!$A:$A,$A168,'Data For Calculation - Insuranc'!$H:$H,"Self")</f>
        <v>0</v>
      </c>
      <c r="CG168" s="25" t="str">
        <f>(Sheet1!N168)</f>
        <v>Aditya Kapil</v>
      </c>
      <c r="CH168" s="25" t="str">
        <f>(Sheet1!O168)</f>
        <v>1O_YH7HeoRy08ymR5SENYSag175TzKlknDTuYKpt1BUk</v>
      </c>
      <c r="CI168" s="25" t="str">
        <f>(Sheet1!AV168)</f>
        <v/>
      </c>
      <c r="CJ168" s="25" t="str">
        <f>(Sheet1!AW168)</f>
        <v/>
      </c>
      <c r="CK168" s="26" t="str">
        <f>(Sheet1!P168)</f>
        <v>Dealer</v>
      </c>
    </row>
    <row r="169">
      <c r="A169" s="25" t="str">
        <f>(Sheet1!A169)</f>
        <v>1B-m4X6iF3jRLf0ddVMd8f7C-8pwyVJ8yhSFcm_mYOvk</v>
      </c>
      <c r="B169" s="25" t="str">
        <f>(Sheet1!B169)</f>
        <v>LAXMI MOTORS- DEORIA(GAD)</v>
      </c>
      <c r="C169" s="30" t="str">
        <f>Sheet1!BB169</f>
        <v>No</v>
      </c>
      <c r="D169" s="30" t="s">
        <v>13</v>
      </c>
      <c r="E169" s="34" t="s">
        <v>13</v>
      </c>
      <c r="F169" s="34" t="s">
        <v>3929</v>
      </c>
      <c r="G169" s="42" t="s">
        <v>3820</v>
      </c>
      <c r="H169" s="43">
        <v>460.0</v>
      </c>
      <c r="I169" s="42" t="s">
        <v>3853</v>
      </c>
      <c r="J169" s="43">
        <v>0.0</v>
      </c>
      <c r="K169" s="43">
        <v>100.0</v>
      </c>
      <c r="L169" s="43">
        <v>0.0</v>
      </c>
      <c r="M169" s="43">
        <v>0.0</v>
      </c>
      <c r="N169" s="33">
        <f>COUNTIFS('Data For Calculation - Insuranc'!A:A,A169,'Data For Calculation - Insuranc'!D:D,"Individual",'Data For Calculation - Insuranc'!E:E,"Bundled - 1 Year OD + 5 Year TP")</f>
        <v>0</v>
      </c>
      <c r="O169" s="34" t="s">
        <v>3930</v>
      </c>
      <c r="P169" s="42" t="s">
        <v>3820</v>
      </c>
      <c r="Q169" s="43">
        <v>460.0</v>
      </c>
      <c r="R169" s="42" t="s">
        <v>3853</v>
      </c>
      <c r="S169" s="43">
        <v>0.0</v>
      </c>
      <c r="T169" s="43">
        <v>100.0</v>
      </c>
      <c r="U169" s="43">
        <v>0.0</v>
      </c>
      <c r="V169" s="43">
        <v>0.0</v>
      </c>
      <c r="W169" s="33">
        <f>COUNTIFS('Data For Calculation - Insuranc'!A:A,A169,'Data For Calculation - Insuranc'!D:D,"Company",'Data For Calculation - Insuranc'!E:E,"Bundled - 1 Year OD + 5 Year TP")</f>
        <v>0</v>
      </c>
      <c r="X169" s="34" t="s">
        <v>3929</v>
      </c>
      <c r="Y169" s="42" t="s">
        <v>3820</v>
      </c>
      <c r="Z169" s="31">
        <v>290.0</v>
      </c>
      <c r="AA169" s="34" t="s">
        <v>3853</v>
      </c>
      <c r="AB169" s="34">
        <v>0.0</v>
      </c>
      <c r="AC169" s="34">
        <v>100.0</v>
      </c>
      <c r="AD169" s="34">
        <v>0.0</v>
      </c>
      <c r="AE169" s="34">
        <v>0.0</v>
      </c>
      <c r="AF169" s="33">
        <f>COUNTIFS('Data For Calculation - Insuranc'!A:A,A169,'Data For Calculation - Insuranc'!D:D,"Individual",'Data For Calculation - Insuranc'!E:E,"Rollover Comprehensive - 1 Year OD + 1 Year TP")</f>
        <v>0</v>
      </c>
      <c r="AG169" s="34" t="s">
        <v>3930</v>
      </c>
      <c r="AH169" s="42" t="s">
        <v>3820</v>
      </c>
      <c r="AI169" s="31">
        <v>290.0</v>
      </c>
      <c r="AJ169" s="34" t="s">
        <v>3853</v>
      </c>
      <c r="AK169" s="34">
        <v>0.0</v>
      </c>
      <c r="AL169" s="34">
        <v>100.0</v>
      </c>
      <c r="AM169" s="34">
        <v>0.0</v>
      </c>
      <c r="AN169" s="34">
        <v>0.0</v>
      </c>
      <c r="AO169" s="33">
        <f>COUNTIFS('Data For Calculation - Insuranc'!A:A,A169,'Data For Calculation - Insuranc'!D:D,"Company",'Data For Calculation - Insuranc'!E:E,"Rollover Comprehensive - 1 Year OD + 1 Year TP")</f>
        <v>0</v>
      </c>
      <c r="AP169" s="34" t="s">
        <v>3931</v>
      </c>
      <c r="AQ169" s="42" t="s">
        <v>3820</v>
      </c>
      <c r="AR169" s="31">
        <v>290.0</v>
      </c>
      <c r="AS169" s="34" t="s">
        <v>3853</v>
      </c>
      <c r="AT169" s="34">
        <v>0.0</v>
      </c>
      <c r="AU169" s="34">
        <v>100.0</v>
      </c>
      <c r="AV169" s="34">
        <v>0.0</v>
      </c>
      <c r="AW169" s="34">
        <v>0.0</v>
      </c>
      <c r="AX169" s="33">
        <f>COUNTIFS('Data For Calculation - Insuranc'!A:A,A169,'Data For Calculation - Insuranc'!D:D,"Individual",'Data For Calculation - Insuranc'!E:E,"Rollover - 1 Year OD Only")</f>
        <v>0</v>
      </c>
      <c r="AY169" s="34" t="s">
        <v>3932</v>
      </c>
      <c r="AZ169" s="42" t="s">
        <v>3820</v>
      </c>
      <c r="BA169" s="31">
        <v>290.0</v>
      </c>
      <c r="BB169" s="34" t="s">
        <v>3853</v>
      </c>
      <c r="BC169" s="34">
        <v>0.0</v>
      </c>
      <c r="BD169" s="34">
        <v>100.0</v>
      </c>
      <c r="BE169" s="34">
        <v>0.0</v>
      </c>
      <c r="BF169" s="34">
        <v>0.0</v>
      </c>
      <c r="BG169" s="33">
        <f>COUNTIFS('Data For Calculation - Insuranc'!A:A,A169,'Data For Calculation - Insuranc'!D:D,"Company",'Data For Calculation - Insuranc'!E:E,"Rollover - 1 Year OD Only")</f>
        <v>0</v>
      </c>
      <c r="BH169" s="34" t="s">
        <v>3931</v>
      </c>
      <c r="BI169" s="42" t="s">
        <v>3820</v>
      </c>
      <c r="BJ169" s="31">
        <v>290.0</v>
      </c>
      <c r="BK169" s="34" t="s">
        <v>3853</v>
      </c>
      <c r="BL169" s="34">
        <v>0.0</v>
      </c>
      <c r="BM169" s="34">
        <v>100.0</v>
      </c>
      <c r="BN169" s="34">
        <v>0.0</v>
      </c>
      <c r="BO169" s="34">
        <v>0.0</v>
      </c>
      <c r="BP169" s="33">
        <f>COUNTIFS('Data For Calculation - Insuranc'!A:A,A169,'Data For Calculation - Insuranc'!D:D,"Individual",'Data For Calculation - Insuranc'!E:E,"Rollover - 1 Year TP Only")</f>
        <v>0</v>
      </c>
      <c r="BQ169" s="34" t="s">
        <v>3932</v>
      </c>
      <c r="BR169" s="42" t="s">
        <v>3820</v>
      </c>
      <c r="BS169" s="31">
        <v>290.0</v>
      </c>
      <c r="BT169" s="34" t="s">
        <v>3853</v>
      </c>
      <c r="BU169" s="34">
        <v>0.0</v>
      </c>
      <c r="BV169" s="34">
        <v>100.0</v>
      </c>
      <c r="BW169" s="34">
        <v>0.0</v>
      </c>
      <c r="BX169" s="34">
        <v>0.0</v>
      </c>
      <c r="BY169" s="33">
        <f>COUNTIFS('Data For Calculation - Insuranc'!A:A,A169,'Data For Calculation - Insuranc'!D:D,"Company",'Data For Calculation - Insuranc'!E:E,"Rollover - 1 Year TP Only")</f>
        <v>0</v>
      </c>
      <c r="BZ169" s="31">
        <f t="shared" si="1"/>
        <v>0</v>
      </c>
      <c r="CA169" s="33">
        <f>SUMIFS('Data For Calculation - Insuranc'!I:I,'Data For Calculation - Insuranc'!$A:$A,$A169)</f>
        <v>0</v>
      </c>
      <c r="CB169" s="33">
        <f>SUMIFS('Data For Calculation - Insuranc'!J:J,'Data For Calculation - Insuranc'!$A:$A,$A169)</f>
        <v>0</v>
      </c>
      <c r="CC169" s="33">
        <f>SUMIFS('Data For Calculation - Insuranc'!K:K,'Data For Calculation - Insuranc'!$A:$A,$A169)</f>
        <v>0</v>
      </c>
      <c r="CD169" s="33">
        <f>IF($CK169 = "Dealer", SUMIFS('Data For Calculation - Insuranc'!I:I,'Data For Calculation - Insuranc'!$B:$B,$A169,'Data For Calculation - Insuranc'!$H:$H,"Master Dealer")) + SUMIFS('Data For Calculation - Insuranc'!I:I,'Data For Calculation - Insuranc'!$A:$A,$A169,'Data For Calculation - Insuranc'!$H:$H,"Self")</f>
        <v>0</v>
      </c>
      <c r="CE169" s="33">
        <f>IF($CK169 = "Dealer", SUMIFS('Data For Calculation - Insuranc'!J:J,'Data For Calculation - Insuranc'!$B:$B,$A169,'Data For Calculation - Insuranc'!$H:$H,"Master Dealer")) + SUMIFS('Data For Calculation - Insuranc'!J:J,'Data For Calculation - Insuranc'!$A:$A,$A169,'Data For Calculation - Insuranc'!$H:$H,"Self")</f>
        <v>0</v>
      </c>
      <c r="CF169" s="33">
        <f>IF($CK169 = "Dealer", SUMIFS('Data For Calculation - Insuranc'!K:K,'Data For Calculation - Insuranc'!$B:$B,$A169,'Data For Calculation - Insuranc'!$H:$H,"Master Dealer")) + SUMIFS('Data For Calculation - Insuranc'!K:K,'Data For Calculation - Insuranc'!$A:$A,$A169,'Data For Calculation - Insuranc'!$H:$H,"Self")</f>
        <v>0</v>
      </c>
      <c r="CG169" s="25" t="str">
        <f>(Sheet1!N169)</f>
        <v>LAXMI MOTORS- DEORIA(GAD)</v>
      </c>
      <c r="CH169" s="25" t="str">
        <f>(Sheet1!O169)</f>
        <v>1B-m4X6iF3jRLf0ddVMd8f7C-8pwyVJ8yhSFcm_mYOvk</v>
      </c>
      <c r="CI169" s="25" t="str">
        <f>(Sheet1!AV169)</f>
        <v/>
      </c>
      <c r="CJ169" s="25" t="str">
        <f>(Sheet1!AW169)</f>
        <v/>
      </c>
      <c r="CK169" s="26" t="str">
        <f>(Sheet1!P169)</f>
        <v>Dealer</v>
      </c>
    </row>
    <row r="170">
      <c r="A170" s="25" t="str">
        <f>(Sheet1!A170)</f>
        <v>13Q6lXJAgG-rKIYYEKfXUKjvucEdoR4-WM0JvV0evp2A</v>
      </c>
      <c r="B170" s="25" t="str">
        <f>(Sheet1!B170)</f>
        <v>PREMA HONDA-MAHENDRU</v>
      </c>
      <c r="C170" s="30" t="str">
        <f>Sheet1!BB170</f>
        <v>No</v>
      </c>
      <c r="D170" s="30" t="s">
        <v>13</v>
      </c>
      <c r="E170" s="34" t="s">
        <v>13</v>
      </c>
      <c r="F170" s="34" t="s">
        <v>3929</v>
      </c>
      <c r="G170" s="42" t="s">
        <v>3820</v>
      </c>
      <c r="H170" s="43">
        <v>460.0</v>
      </c>
      <c r="I170" s="42" t="s">
        <v>3853</v>
      </c>
      <c r="J170" s="43">
        <v>0.0</v>
      </c>
      <c r="K170" s="43">
        <v>100.0</v>
      </c>
      <c r="L170" s="43">
        <v>0.0</v>
      </c>
      <c r="M170" s="43">
        <v>0.0</v>
      </c>
      <c r="N170" s="33">
        <f>COUNTIFS('Data For Calculation - Insuranc'!A:A,A170,'Data For Calculation - Insuranc'!D:D,"Individual",'Data For Calculation - Insuranc'!E:E,"Bundled - 1 Year OD + 5 Year TP")</f>
        <v>0</v>
      </c>
      <c r="O170" s="34" t="s">
        <v>3930</v>
      </c>
      <c r="P170" s="42" t="s">
        <v>3820</v>
      </c>
      <c r="Q170" s="43">
        <v>460.0</v>
      </c>
      <c r="R170" s="42" t="s">
        <v>3853</v>
      </c>
      <c r="S170" s="43">
        <v>0.0</v>
      </c>
      <c r="T170" s="43">
        <v>100.0</v>
      </c>
      <c r="U170" s="43">
        <v>0.0</v>
      </c>
      <c r="V170" s="43">
        <v>0.0</v>
      </c>
      <c r="W170" s="33">
        <f>COUNTIFS('Data For Calculation - Insuranc'!A:A,A170,'Data For Calculation - Insuranc'!D:D,"Company",'Data For Calculation - Insuranc'!E:E,"Bundled - 1 Year OD + 5 Year TP")</f>
        <v>0</v>
      </c>
      <c r="X170" s="34" t="s">
        <v>3929</v>
      </c>
      <c r="Y170" s="42" t="s">
        <v>3820</v>
      </c>
      <c r="Z170" s="31">
        <v>290.0</v>
      </c>
      <c r="AA170" s="34" t="s">
        <v>3853</v>
      </c>
      <c r="AB170" s="34">
        <v>0.0</v>
      </c>
      <c r="AC170" s="34">
        <v>100.0</v>
      </c>
      <c r="AD170" s="34">
        <v>0.0</v>
      </c>
      <c r="AE170" s="34">
        <v>0.0</v>
      </c>
      <c r="AF170" s="33">
        <f>COUNTIFS('Data For Calculation - Insuranc'!A:A,A170,'Data For Calculation - Insuranc'!D:D,"Individual",'Data For Calculation - Insuranc'!E:E,"Rollover Comprehensive - 1 Year OD + 1 Year TP")</f>
        <v>0</v>
      </c>
      <c r="AG170" s="34" t="s">
        <v>3930</v>
      </c>
      <c r="AH170" s="42" t="s">
        <v>3820</v>
      </c>
      <c r="AI170" s="31">
        <v>290.0</v>
      </c>
      <c r="AJ170" s="34" t="s">
        <v>3853</v>
      </c>
      <c r="AK170" s="34">
        <v>0.0</v>
      </c>
      <c r="AL170" s="34">
        <v>100.0</v>
      </c>
      <c r="AM170" s="34">
        <v>0.0</v>
      </c>
      <c r="AN170" s="34">
        <v>0.0</v>
      </c>
      <c r="AO170" s="33">
        <f>COUNTIFS('Data For Calculation - Insuranc'!A:A,A170,'Data For Calculation - Insuranc'!D:D,"Company",'Data For Calculation - Insuranc'!E:E,"Rollover Comprehensive - 1 Year OD + 1 Year TP")</f>
        <v>0</v>
      </c>
      <c r="AP170" s="34" t="s">
        <v>3931</v>
      </c>
      <c r="AQ170" s="42" t="s">
        <v>3820</v>
      </c>
      <c r="AR170" s="31">
        <v>290.0</v>
      </c>
      <c r="AS170" s="34" t="s">
        <v>3853</v>
      </c>
      <c r="AT170" s="34">
        <v>0.0</v>
      </c>
      <c r="AU170" s="34">
        <v>100.0</v>
      </c>
      <c r="AV170" s="34">
        <v>0.0</v>
      </c>
      <c r="AW170" s="34">
        <v>0.0</v>
      </c>
      <c r="AX170" s="33">
        <f>COUNTIFS('Data For Calculation - Insuranc'!A:A,A170,'Data For Calculation - Insuranc'!D:D,"Individual",'Data For Calculation - Insuranc'!E:E,"Rollover - 1 Year OD Only")</f>
        <v>0</v>
      </c>
      <c r="AY170" s="34" t="s">
        <v>3932</v>
      </c>
      <c r="AZ170" s="42" t="s">
        <v>3820</v>
      </c>
      <c r="BA170" s="31">
        <v>290.0</v>
      </c>
      <c r="BB170" s="34" t="s">
        <v>3853</v>
      </c>
      <c r="BC170" s="34">
        <v>0.0</v>
      </c>
      <c r="BD170" s="34">
        <v>100.0</v>
      </c>
      <c r="BE170" s="34">
        <v>0.0</v>
      </c>
      <c r="BF170" s="34">
        <v>0.0</v>
      </c>
      <c r="BG170" s="33">
        <f>COUNTIFS('Data For Calculation - Insuranc'!A:A,A170,'Data For Calculation - Insuranc'!D:D,"Company",'Data For Calculation - Insuranc'!E:E,"Rollover - 1 Year OD Only")</f>
        <v>0</v>
      </c>
      <c r="BH170" s="34" t="s">
        <v>3931</v>
      </c>
      <c r="BI170" s="42" t="s">
        <v>3820</v>
      </c>
      <c r="BJ170" s="31">
        <v>290.0</v>
      </c>
      <c r="BK170" s="34" t="s">
        <v>3853</v>
      </c>
      <c r="BL170" s="34">
        <v>0.0</v>
      </c>
      <c r="BM170" s="34">
        <v>100.0</v>
      </c>
      <c r="BN170" s="34">
        <v>0.0</v>
      </c>
      <c r="BO170" s="34">
        <v>0.0</v>
      </c>
      <c r="BP170" s="33">
        <f>COUNTIFS('Data For Calculation - Insuranc'!A:A,A170,'Data For Calculation - Insuranc'!D:D,"Individual",'Data For Calculation - Insuranc'!E:E,"Rollover - 1 Year TP Only")</f>
        <v>0</v>
      </c>
      <c r="BQ170" s="34" t="s">
        <v>3932</v>
      </c>
      <c r="BR170" s="42" t="s">
        <v>3820</v>
      </c>
      <c r="BS170" s="31">
        <v>290.0</v>
      </c>
      <c r="BT170" s="34" t="s">
        <v>3853</v>
      </c>
      <c r="BU170" s="34">
        <v>0.0</v>
      </c>
      <c r="BV170" s="34">
        <v>100.0</v>
      </c>
      <c r="BW170" s="34">
        <v>0.0</v>
      </c>
      <c r="BX170" s="34">
        <v>0.0</v>
      </c>
      <c r="BY170" s="33">
        <f>COUNTIFS('Data For Calculation - Insuranc'!A:A,A170,'Data For Calculation - Insuranc'!D:D,"Company",'Data For Calculation - Insuranc'!E:E,"Rollover - 1 Year TP Only")</f>
        <v>0</v>
      </c>
      <c r="BZ170" s="31">
        <f t="shared" si="1"/>
        <v>0</v>
      </c>
      <c r="CA170" s="33">
        <f>SUMIFS('Data For Calculation - Insuranc'!I:I,'Data For Calculation - Insuranc'!$A:$A,$A170)</f>
        <v>0</v>
      </c>
      <c r="CB170" s="33">
        <f>SUMIFS('Data For Calculation - Insuranc'!J:J,'Data For Calculation - Insuranc'!$A:$A,$A170)</f>
        <v>0</v>
      </c>
      <c r="CC170" s="33">
        <f>SUMIFS('Data For Calculation - Insuranc'!K:K,'Data For Calculation - Insuranc'!$A:$A,$A170)</f>
        <v>0</v>
      </c>
      <c r="CD170" s="33">
        <f>IF($CK170 = "Dealer", SUMIFS('Data For Calculation - Insuranc'!I:I,'Data For Calculation - Insuranc'!$B:$B,$A170,'Data For Calculation - Insuranc'!$H:$H,"Master Dealer")) + SUMIFS('Data For Calculation - Insuranc'!I:I,'Data For Calculation - Insuranc'!$A:$A,$A170,'Data For Calculation - Insuranc'!$H:$H,"Self")</f>
        <v>0</v>
      </c>
      <c r="CE170" s="33">
        <f>IF($CK170 = "Dealer", SUMIFS('Data For Calculation - Insuranc'!J:J,'Data For Calculation - Insuranc'!$B:$B,$A170,'Data For Calculation - Insuranc'!$H:$H,"Master Dealer")) + SUMIFS('Data For Calculation - Insuranc'!J:J,'Data For Calculation - Insuranc'!$A:$A,$A170,'Data For Calculation - Insuranc'!$H:$H,"Self")</f>
        <v>0</v>
      </c>
      <c r="CF170" s="33">
        <f>IF($CK170 = "Dealer", SUMIFS('Data For Calculation - Insuranc'!K:K,'Data For Calculation - Insuranc'!$B:$B,$A170,'Data For Calculation - Insuranc'!$H:$H,"Master Dealer")) + SUMIFS('Data For Calculation - Insuranc'!K:K,'Data For Calculation - Insuranc'!$A:$A,$A170,'Data For Calculation - Insuranc'!$H:$H,"Self")</f>
        <v>0</v>
      </c>
      <c r="CG170" s="25" t="str">
        <f>(Sheet1!N170)</f>
        <v>PREMA HONDA- BIHAR(SN)</v>
      </c>
      <c r="CH170" s="25" t="str">
        <f>(Sheet1!O170)</f>
        <v>1eWL9qs4gF2hDOrao950bttsqaQjvqYNOwOArak2wAWY</v>
      </c>
      <c r="CI170" s="25" t="str">
        <f>(Sheet1!AV170)</f>
        <v/>
      </c>
      <c r="CJ170" s="25" t="str">
        <f>(Sheet1!AW170)</f>
        <v/>
      </c>
      <c r="CK170" s="26" t="str">
        <f>(Sheet1!P170)</f>
        <v>Sub Dealer</v>
      </c>
    </row>
    <row r="171">
      <c r="A171" s="25" t="str">
        <f>(Sheet1!A171)</f>
        <v>1kKJQREB-gMUjjfvkNJBZGf8b6FppISEs2byO4uZriFc</v>
      </c>
      <c r="B171" s="25" t="str">
        <f>(Sheet1!B171)</f>
        <v>Navya Motors - Gorakhpur</v>
      </c>
      <c r="C171" s="30" t="str">
        <f>Sheet1!BB171</f>
        <v>No</v>
      </c>
      <c r="D171" s="30" t="s">
        <v>13</v>
      </c>
      <c r="E171" s="34" t="s">
        <v>13</v>
      </c>
      <c r="F171" s="34" t="s">
        <v>3929</v>
      </c>
      <c r="G171" s="42" t="s">
        <v>3820</v>
      </c>
      <c r="H171" s="43">
        <v>460.0</v>
      </c>
      <c r="I171" s="42" t="s">
        <v>3853</v>
      </c>
      <c r="J171" s="43">
        <v>0.0</v>
      </c>
      <c r="K171" s="43">
        <v>100.0</v>
      </c>
      <c r="L171" s="43">
        <v>0.0</v>
      </c>
      <c r="M171" s="43">
        <v>0.0</v>
      </c>
      <c r="N171" s="33">
        <f>COUNTIFS('Data For Calculation - Insuranc'!A:A,A171,'Data For Calculation - Insuranc'!D:D,"Individual",'Data For Calculation - Insuranc'!E:E,"Bundled - 1 Year OD + 5 Year TP")</f>
        <v>0</v>
      </c>
      <c r="O171" s="34" t="s">
        <v>3930</v>
      </c>
      <c r="P171" s="42" t="s">
        <v>3820</v>
      </c>
      <c r="Q171" s="43">
        <v>460.0</v>
      </c>
      <c r="R171" s="42" t="s">
        <v>3853</v>
      </c>
      <c r="S171" s="43">
        <v>0.0</v>
      </c>
      <c r="T171" s="43">
        <v>100.0</v>
      </c>
      <c r="U171" s="43">
        <v>0.0</v>
      </c>
      <c r="V171" s="43">
        <v>0.0</v>
      </c>
      <c r="W171" s="33">
        <f>COUNTIFS('Data For Calculation - Insuranc'!A:A,A171,'Data For Calculation - Insuranc'!D:D,"Company",'Data For Calculation - Insuranc'!E:E,"Bundled - 1 Year OD + 5 Year TP")</f>
        <v>0</v>
      </c>
      <c r="X171" s="34" t="s">
        <v>3929</v>
      </c>
      <c r="Y171" s="42" t="s">
        <v>3820</v>
      </c>
      <c r="Z171" s="31">
        <v>290.0</v>
      </c>
      <c r="AA171" s="34" t="s">
        <v>3853</v>
      </c>
      <c r="AB171" s="34">
        <v>0.0</v>
      </c>
      <c r="AC171" s="34">
        <v>100.0</v>
      </c>
      <c r="AD171" s="34">
        <v>0.0</v>
      </c>
      <c r="AE171" s="34">
        <v>0.0</v>
      </c>
      <c r="AF171" s="33">
        <f>COUNTIFS('Data For Calculation - Insuranc'!A:A,A171,'Data For Calculation - Insuranc'!D:D,"Individual",'Data For Calculation - Insuranc'!E:E,"Rollover Comprehensive - 1 Year OD + 1 Year TP")</f>
        <v>0</v>
      </c>
      <c r="AG171" s="34" t="s">
        <v>3930</v>
      </c>
      <c r="AH171" s="42" t="s">
        <v>3820</v>
      </c>
      <c r="AI171" s="31">
        <v>290.0</v>
      </c>
      <c r="AJ171" s="34" t="s">
        <v>3853</v>
      </c>
      <c r="AK171" s="34">
        <v>0.0</v>
      </c>
      <c r="AL171" s="34">
        <v>100.0</v>
      </c>
      <c r="AM171" s="34">
        <v>0.0</v>
      </c>
      <c r="AN171" s="34">
        <v>0.0</v>
      </c>
      <c r="AO171" s="33">
        <f>COUNTIFS('Data For Calculation - Insuranc'!A:A,A171,'Data For Calculation - Insuranc'!D:D,"Company",'Data For Calculation - Insuranc'!E:E,"Rollover Comprehensive - 1 Year OD + 1 Year TP")</f>
        <v>0</v>
      </c>
      <c r="AP171" s="34" t="s">
        <v>3931</v>
      </c>
      <c r="AQ171" s="42" t="s">
        <v>3820</v>
      </c>
      <c r="AR171" s="31">
        <v>290.0</v>
      </c>
      <c r="AS171" s="34" t="s">
        <v>3853</v>
      </c>
      <c r="AT171" s="34">
        <v>0.0</v>
      </c>
      <c r="AU171" s="34">
        <v>100.0</v>
      </c>
      <c r="AV171" s="34">
        <v>0.0</v>
      </c>
      <c r="AW171" s="34">
        <v>0.0</v>
      </c>
      <c r="AX171" s="33">
        <f>COUNTIFS('Data For Calculation - Insuranc'!A:A,A171,'Data For Calculation - Insuranc'!D:D,"Individual",'Data For Calculation - Insuranc'!E:E,"Rollover - 1 Year OD Only")</f>
        <v>0</v>
      </c>
      <c r="AY171" s="34" t="s">
        <v>3932</v>
      </c>
      <c r="AZ171" s="42" t="s">
        <v>3820</v>
      </c>
      <c r="BA171" s="31">
        <v>290.0</v>
      </c>
      <c r="BB171" s="34" t="s">
        <v>3853</v>
      </c>
      <c r="BC171" s="34">
        <v>0.0</v>
      </c>
      <c r="BD171" s="34">
        <v>100.0</v>
      </c>
      <c r="BE171" s="34">
        <v>0.0</v>
      </c>
      <c r="BF171" s="34">
        <v>0.0</v>
      </c>
      <c r="BG171" s="33">
        <f>COUNTIFS('Data For Calculation - Insuranc'!A:A,A171,'Data For Calculation - Insuranc'!D:D,"Company",'Data For Calculation - Insuranc'!E:E,"Rollover - 1 Year OD Only")</f>
        <v>0</v>
      </c>
      <c r="BH171" s="34" t="s">
        <v>3931</v>
      </c>
      <c r="BI171" s="42" t="s">
        <v>3820</v>
      </c>
      <c r="BJ171" s="31">
        <v>290.0</v>
      </c>
      <c r="BK171" s="34" t="s">
        <v>3853</v>
      </c>
      <c r="BL171" s="34">
        <v>0.0</v>
      </c>
      <c r="BM171" s="34">
        <v>100.0</v>
      </c>
      <c r="BN171" s="34">
        <v>0.0</v>
      </c>
      <c r="BO171" s="34">
        <v>0.0</v>
      </c>
      <c r="BP171" s="33">
        <f>COUNTIFS('Data For Calculation - Insuranc'!A:A,A171,'Data For Calculation - Insuranc'!D:D,"Individual",'Data For Calculation - Insuranc'!E:E,"Rollover - 1 Year TP Only")</f>
        <v>0</v>
      </c>
      <c r="BQ171" s="34" t="s">
        <v>3932</v>
      </c>
      <c r="BR171" s="42" t="s">
        <v>3820</v>
      </c>
      <c r="BS171" s="31">
        <v>290.0</v>
      </c>
      <c r="BT171" s="34" t="s">
        <v>3853</v>
      </c>
      <c r="BU171" s="34">
        <v>0.0</v>
      </c>
      <c r="BV171" s="34">
        <v>100.0</v>
      </c>
      <c r="BW171" s="34">
        <v>0.0</v>
      </c>
      <c r="BX171" s="34">
        <v>0.0</v>
      </c>
      <c r="BY171" s="33">
        <f>COUNTIFS('Data For Calculation - Insuranc'!A:A,A171,'Data For Calculation - Insuranc'!D:D,"Company",'Data For Calculation - Insuranc'!E:E,"Rollover - 1 Year TP Only")</f>
        <v>0</v>
      </c>
      <c r="BZ171" s="31">
        <f t="shared" si="1"/>
        <v>0</v>
      </c>
      <c r="CA171" s="33">
        <f>SUMIFS('Data For Calculation - Insuranc'!I:I,'Data For Calculation - Insuranc'!$A:$A,$A171)</f>
        <v>0</v>
      </c>
      <c r="CB171" s="33">
        <f>SUMIFS('Data For Calculation - Insuranc'!J:J,'Data For Calculation - Insuranc'!$A:$A,$A171)</f>
        <v>0</v>
      </c>
      <c r="CC171" s="33">
        <f>SUMIFS('Data For Calculation - Insuranc'!K:K,'Data For Calculation - Insuranc'!$A:$A,$A171)</f>
        <v>0</v>
      </c>
      <c r="CD171" s="33">
        <f>IF($CK171 = "Dealer", SUMIFS('Data For Calculation - Insuranc'!I:I,'Data For Calculation - Insuranc'!$B:$B,$A171,'Data For Calculation - Insuranc'!$H:$H,"Master Dealer")) + SUMIFS('Data For Calculation - Insuranc'!I:I,'Data For Calculation - Insuranc'!$A:$A,$A171,'Data For Calculation - Insuranc'!$H:$H,"Self")</f>
        <v>0</v>
      </c>
      <c r="CE171" s="33">
        <f>IF($CK171 = "Dealer", SUMIFS('Data For Calculation - Insuranc'!J:J,'Data For Calculation - Insuranc'!$B:$B,$A171,'Data For Calculation - Insuranc'!$H:$H,"Master Dealer")) + SUMIFS('Data For Calculation - Insuranc'!J:J,'Data For Calculation - Insuranc'!$A:$A,$A171,'Data For Calculation - Insuranc'!$H:$H,"Self")</f>
        <v>0</v>
      </c>
      <c r="CF171" s="33">
        <f>IF($CK171 = "Dealer", SUMIFS('Data For Calculation - Insuranc'!K:K,'Data For Calculation - Insuranc'!$B:$B,$A171,'Data For Calculation - Insuranc'!$H:$H,"Master Dealer")) + SUMIFS('Data For Calculation - Insuranc'!K:K,'Data For Calculation - Insuranc'!$A:$A,$A171,'Data For Calculation - Insuranc'!$H:$H,"Self")</f>
        <v>0</v>
      </c>
      <c r="CG171" s="25" t="str">
        <f>(Sheet1!N171)</f>
        <v>Navya Motors - Gorakhpur</v>
      </c>
      <c r="CH171" s="25" t="str">
        <f>(Sheet1!O171)</f>
        <v>1kKJQREB-gMUjjfvkNJBZGf8b6FppISEs2byO4uZriFc</v>
      </c>
      <c r="CI171" s="25" t="str">
        <f>(Sheet1!AV171)</f>
        <v/>
      </c>
      <c r="CJ171" s="25" t="str">
        <f>(Sheet1!AW171)</f>
        <v/>
      </c>
      <c r="CK171" s="26" t="str">
        <f>(Sheet1!P171)</f>
        <v>Dealer</v>
      </c>
    </row>
    <row r="172">
      <c r="A172" s="25" t="str">
        <f>(Sheet1!A172)</f>
        <v>1unvzt24PL_Fl_Wbl-5lHzYEhCzCxGGtlN9oHLIhnpPw</v>
      </c>
      <c r="B172" s="25" t="str">
        <f>(Sheet1!B172)</f>
        <v>Srivastava Automobiles - Lalitpur</v>
      </c>
      <c r="C172" s="30" t="str">
        <f>Sheet1!BB172</f>
        <v>No</v>
      </c>
      <c r="D172" s="30" t="s">
        <v>13</v>
      </c>
      <c r="E172" s="34" t="s">
        <v>13</v>
      </c>
      <c r="F172" s="34" t="s">
        <v>3929</v>
      </c>
      <c r="G172" s="42" t="s">
        <v>3820</v>
      </c>
      <c r="H172" s="43">
        <v>460.0</v>
      </c>
      <c r="I172" s="42" t="s">
        <v>3853</v>
      </c>
      <c r="J172" s="43">
        <v>0.0</v>
      </c>
      <c r="K172" s="43">
        <v>100.0</v>
      </c>
      <c r="L172" s="43">
        <v>0.0</v>
      </c>
      <c r="M172" s="43">
        <v>0.0</v>
      </c>
      <c r="N172" s="33">
        <f>COUNTIFS('Data For Calculation - Insuranc'!A:A,A172,'Data For Calculation - Insuranc'!D:D,"Individual",'Data For Calculation - Insuranc'!E:E,"Bundled - 1 Year OD + 5 Year TP")</f>
        <v>0</v>
      </c>
      <c r="O172" s="34" t="s">
        <v>3930</v>
      </c>
      <c r="P172" s="42" t="s">
        <v>3820</v>
      </c>
      <c r="Q172" s="43">
        <v>460.0</v>
      </c>
      <c r="R172" s="42" t="s">
        <v>3853</v>
      </c>
      <c r="S172" s="43">
        <v>0.0</v>
      </c>
      <c r="T172" s="43">
        <v>100.0</v>
      </c>
      <c r="U172" s="43">
        <v>0.0</v>
      </c>
      <c r="V172" s="43">
        <v>0.0</v>
      </c>
      <c r="W172" s="33">
        <f>COUNTIFS('Data For Calculation - Insuranc'!A:A,A172,'Data For Calculation - Insuranc'!D:D,"Company",'Data For Calculation - Insuranc'!E:E,"Bundled - 1 Year OD + 5 Year TP")</f>
        <v>0</v>
      </c>
      <c r="X172" s="34" t="s">
        <v>3929</v>
      </c>
      <c r="Y172" s="42" t="s">
        <v>3820</v>
      </c>
      <c r="Z172" s="31">
        <v>290.0</v>
      </c>
      <c r="AA172" s="34" t="s">
        <v>3853</v>
      </c>
      <c r="AB172" s="34">
        <v>0.0</v>
      </c>
      <c r="AC172" s="34">
        <v>100.0</v>
      </c>
      <c r="AD172" s="34">
        <v>0.0</v>
      </c>
      <c r="AE172" s="34">
        <v>0.0</v>
      </c>
      <c r="AF172" s="33">
        <f>COUNTIFS('Data For Calculation - Insuranc'!A:A,A172,'Data For Calculation - Insuranc'!D:D,"Individual",'Data For Calculation - Insuranc'!E:E,"Rollover Comprehensive - 1 Year OD + 1 Year TP")</f>
        <v>0</v>
      </c>
      <c r="AG172" s="34" t="s">
        <v>3930</v>
      </c>
      <c r="AH172" s="42" t="s">
        <v>3820</v>
      </c>
      <c r="AI172" s="31">
        <v>290.0</v>
      </c>
      <c r="AJ172" s="34" t="s">
        <v>3853</v>
      </c>
      <c r="AK172" s="34">
        <v>0.0</v>
      </c>
      <c r="AL172" s="34">
        <v>100.0</v>
      </c>
      <c r="AM172" s="34">
        <v>0.0</v>
      </c>
      <c r="AN172" s="34">
        <v>0.0</v>
      </c>
      <c r="AO172" s="33">
        <f>COUNTIFS('Data For Calculation - Insuranc'!A:A,A172,'Data For Calculation - Insuranc'!D:D,"Company",'Data For Calculation - Insuranc'!E:E,"Rollover Comprehensive - 1 Year OD + 1 Year TP")</f>
        <v>0</v>
      </c>
      <c r="AP172" s="34" t="s">
        <v>3931</v>
      </c>
      <c r="AQ172" s="42" t="s">
        <v>3820</v>
      </c>
      <c r="AR172" s="31">
        <v>290.0</v>
      </c>
      <c r="AS172" s="34" t="s">
        <v>3853</v>
      </c>
      <c r="AT172" s="34">
        <v>0.0</v>
      </c>
      <c r="AU172" s="34">
        <v>100.0</v>
      </c>
      <c r="AV172" s="34">
        <v>0.0</v>
      </c>
      <c r="AW172" s="34">
        <v>0.0</v>
      </c>
      <c r="AX172" s="33">
        <f>COUNTIFS('Data For Calculation - Insuranc'!A:A,A172,'Data For Calculation - Insuranc'!D:D,"Individual",'Data For Calculation - Insuranc'!E:E,"Rollover - 1 Year OD Only")</f>
        <v>0</v>
      </c>
      <c r="AY172" s="34" t="s">
        <v>3932</v>
      </c>
      <c r="AZ172" s="42" t="s">
        <v>3820</v>
      </c>
      <c r="BA172" s="31">
        <v>290.0</v>
      </c>
      <c r="BB172" s="34" t="s">
        <v>3853</v>
      </c>
      <c r="BC172" s="34">
        <v>0.0</v>
      </c>
      <c r="BD172" s="34">
        <v>100.0</v>
      </c>
      <c r="BE172" s="34">
        <v>0.0</v>
      </c>
      <c r="BF172" s="34">
        <v>0.0</v>
      </c>
      <c r="BG172" s="33">
        <f>COUNTIFS('Data For Calculation - Insuranc'!A:A,A172,'Data For Calculation - Insuranc'!D:D,"Company",'Data For Calculation - Insuranc'!E:E,"Rollover - 1 Year OD Only")</f>
        <v>0</v>
      </c>
      <c r="BH172" s="34" t="s">
        <v>3931</v>
      </c>
      <c r="BI172" s="42" t="s">
        <v>3820</v>
      </c>
      <c r="BJ172" s="31">
        <v>290.0</v>
      </c>
      <c r="BK172" s="34" t="s">
        <v>3853</v>
      </c>
      <c r="BL172" s="34">
        <v>0.0</v>
      </c>
      <c r="BM172" s="34">
        <v>100.0</v>
      </c>
      <c r="BN172" s="34">
        <v>0.0</v>
      </c>
      <c r="BO172" s="34">
        <v>0.0</v>
      </c>
      <c r="BP172" s="33">
        <f>COUNTIFS('Data For Calculation - Insuranc'!A:A,A172,'Data For Calculation - Insuranc'!D:D,"Individual",'Data For Calculation - Insuranc'!E:E,"Rollover - 1 Year TP Only")</f>
        <v>0</v>
      </c>
      <c r="BQ172" s="34" t="s">
        <v>3932</v>
      </c>
      <c r="BR172" s="42" t="s">
        <v>3820</v>
      </c>
      <c r="BS172" s="31">
        <v>290.0</v>
      </c>
      <c r="BT172" s="34" t="s">
        <v>3853</v>
      </c>
      <c r="BU172" s="34">
        <v>0.0</v>
      </c>
      <c r="BV172" s="34">
        <v>100.0</v>
      </c>
      <c r="BW172" s="34">
        <v>0.0</v>
      </c>
      <c r="BX172" s="34">
        <v>0.0</v>
      </c>
      <c r="BY172" s="33">
        <f>COUNTIFS('Data For Calculation - Insuranc'!A:A,A172,'Data For Calculation - Insuranc'!D:D,"Company",'Data For Calculation - Insuranc'!E:E,"Rollover - 1 Year TP Only")</f>
        <v>0</v>
      </c>
      <c r="BZ172" s="31">
        <f t="shared" si="1"/>
        <v>0</v>
      </c>
      <c r="CA172" s="33">
        <f>SUMIFS('Data For Calculation - Insuranc'!I:I,'Data For Calculation - Insuranc'!$A:$A,$A172)</f>
        <v>0</v>
      </c>
      <c r="CB172" s="33">
        <f>SUMIFS('Data For Calculation - Insuranc'!J:J,'Data For Calculation - Insuranc'!$A:$A,$A172)</f>
        <v>0</v>
      </c>
      <c r="CC172" s="33">
        <f>SUMIFS('Data For Calculation - Insuranc'!K:K,'Data For Calculation - Insuranc'!$A:$A,$A172)</f>
        <v>0</v>
      </c>
      <c r="CD172" s="33">
        <f>IF($CK172 = "Dealer", SUMIFS('Data For Calculation - Insuranc'!I:I,'Data For Calculation - Insuranc'!$B:$B,$A172,'Data For Calculation - Insuranc'!$H:$H,"Master Dealer")) + SUMIFS('Data For Calculation - Insuranc'!I:I,'Data For Calculation - Insuranc'!$A:$A,$A172,'Data For Calculation - Insuranc'!$H:$H,"Self")</f>
        <v>0</v>
      </c>
      <c r="CE172" s="33">
        <f>IF($CK172 = "Dealer", SUMIFS('Data For Calculation - Insuranc'!J:J,'Data For Calculation - Insuranc'!$B:$B,$A172,'Data For Calculation - Insuranc'!$H:$H,"Master Dealer")) + SUMIFS('Data For Calculation - Insuranc'!J:J,'Data For Calculation - Insuranc'!$A:$A,$A172,'Data For Calculation - Insuranc'!$H:$H,"Self")</f>
        <v>0</v>
      </c>
      <c r="CF172" s="33">
        <f>IF($CK172 = "Dealer", SUMIFS('Data For Calculation - Insuranc'!K:K,'Data For Calculation - Insuranc'!$B:$B,$A172,'Data For Calculation - Insuranc'!$H:$H,"Master Dealer")) + SUMIFS('Data For Calculation - Insuranc'!K:K,'Data For Calculation - Insuranc'!$A:$A,$A172,'Data For Calculation - Insuranc'!$H:$H,"Self")</f>
        <v>0</v>
      </c>
      <c r="CG172" s="25" t="str">
        <f>(Sheet1!N172)</f>
        <v>Srivastava Automobiles - Lalitpur</v>
      </c>
      <c r="CH172" s="25" t="str">
        <f>(Sheet1!O172)</f>
        <v>1unvzt24PL_Fl_Wbl-5lHzYEhCzCxGGtlN9oHLIhnpPw</v>
      </c>
      <c r="CI172" s="25" t="str">
        <f>(Sheet1!AV172)</f>
        <v/>
      </c>
      <c r="CJ172" s="25" t="str">
        <f>(Sheet1!AW172)</f>
        <v/>
      </c>
      <c r="CK172" s="26" t="str">
        <f>(Sheet1!P172)</f>
        <v>Dealer</v>
      </c>
    </row>
    <row r="173">
      <c r="A173" s="25" t="str">
        <f>(Sheet1!A173)</f>
        <v>1_UtGSoyOsljQXvmry7gfXGYwjwEjQbghQQGZebnq45M</v>
      </c>
      <c r="B173" s="25" t="str">
        <f>(Sheet1!B173)</f>
        <v>Modern Auto Agency - Bettiah</v>
      </c>
      <c r="C173" s="30" t="str">
        <f>Sheet1!BB173</f>
        <v>No</v>
      </c>
      <c r="D173" s="30" t="s">
        <v>13</v>
      </c>
      <c r="E173" s="34" t="s">
        <v>13</v>
      </c>
      <c r="F173" s="34" t="s">
        <v>3929</v>
      </c>
      <c r="G173" s="42" t="s">
        <v>3820</v>
      </c>
      <c r="H173" s="43">
        <v>460.0</v>
      </c>
      <c r="I173" s="42" t="s">
        <v>3853</v>
      </c>
      <c r="J173" s="43">
        <v>0.0</v>
      </c>
      <c r="K173" s="43">
        <v>100.0</v>
      </c>
      <c r="L173" s="43">
        <v>0.0</v>
      </c>
      <c r="M173" s="43">
        <v>0.0</v>
      </c>
      <c r="N173" s="33">
        <f>COUNTIFS('Data For Calculation - Insuranc'!A:A,A173,'Data For Calculation - Insuranc'!D:D,"Individual",'Data For Calculation - Insuranc'!E:E,"Bundled - 1 Year OD + 5 Year TP")</f>
        <v>0</v>
      </c>
      <c r="O173" s="34" t="s">
        <v>3930</v>
      </c>
      <c r="P173" s="42" t="s">
        <v>3820</v>
      </c>
      <c r="Q173" s="43">
        <v>460.0</v>
      </c>
      <c r="R173" s="42" t="s">
        <v>3853</v>
      </c>
      <c r="S173" s="43">
        <v>0.0</v>
      </c>
      <c r="T173" s="43">
        <v>100.0</v>
      </c>
      <c r="U173" s="43">
        <v>0.0</v>
      </c>
      <c r="V173" s="43">
        <v>0.0</v>
      </c>
      <c r="W173" s="33">
        <f>COUNTIFS('Data For Calculation - Insuranc'!A:A,A173,'Data For Calculation - Insuranc'!D:D,"Company",'Data For Calculation - Insuranc'!E:E,"Bundled - 1 Year OD + 5 Year TP")</f>
        <v>0</v>
      </c>
      <c r="X173" s="34" t="s">
        <v>3929</v>
      </c>
      <c r="Y173" s="42" t="s">
        <v>3820</v>
      </c>
      <c r="Z173" s="31">
        <v>290.0</v>
      </c>
      <c r="AA173" s="34" t="s">
        <v>3853</v>
      </c>
      <c r="AB173" s="34">
        <v>0.0</v>
      </c>
      <c r="AC173" s="34">
        <v>100.0</v>
      </c>
      <c r="AD173" s="34">
        <v>0.0</v>
      </c>
      <c r="AE173" s="34">
        <v>0.0</v>
      </c>
      <c r="AF173" s="33">
        <f>COUNTIFS('Data For Calculation - Insuranc'!A:A,A173,'Data For Calculation - Insuranc'!D:D,"Individual",'Data For Calculation - Insuranc'!E:E,"Rollover Comprehensive - 1 Year OD + 1 Year TP")</f>
        <v>0</v>
      </c>
      <c r="AG173" s="34" t="s">
        <v>3930</v>
      </c>
      <c r="AH173" s="42" t="s">
        <v>3820</v>
      </c>
      <c r="AI173" s="31">
        <v>290.0</v>
      </c>
      <c r="AJ173" s="34" t="s">
        <v>3853</v>
      </c>
      <c r="AK173" s="34">
        <v>0.0</v>
      </c>
      <c r="AL173" s="34">
        <v>100.0</v>
      </c>
      <c r="AM173" s="34">
        <v>0.0</v>
      </c>
      <c r="AN173" s="34">
        <v>0.0</v>
      </c>
      <c r="AO173" s="33">
        <f>COUNTIFS('Data For Calculation - Insuranc'!A:A,A173,'Data For Calculation - Insuranc'!D:D,"Company",'Data For Calculation - Insuranc'!E:E,"Rollover Comprehensive - 1 Year OD + 1 Year TP")</f>
        <v>0</v>
      </c>
      <c r="AP173" s="34" t="s">
        <v>3931</v>
      </c>
      <c r="AQ173" s="42" t="s">
        <v>3820</v>
      </c>
      <c r="AR173" s="31">
        <v>290.0</v>
      </c>
      <c r="AS173" s="34" t="s">
        <v>3853</v>
      </c>
      <c r="AT173" s="34">
        <v>0.0</v>
      </c>
      <c r="AU173" s="34">
        <v>100.0</v>
      </c>
      <c r="AV173" s="34">
        <v>0.0</v>
      </c>
      <c r="AW173" s="34">
        <v>0.0</v>
      </c>
      <c r="AX173" s="33">
        <f>COUNTIFS('Data For Calculation - Insuranc'!A:A,A173,'Data For Calculation - Insuranc'!D:D,"Individual",'Data For Calculation - Insuranc'!E:E,"Rollover - 1 Year OD Only")</f>
        <v>0</v>
      </c>
      <c r="AY173" s="34" t="s">
        <v>3932</v>
      </c>
      <c r="AZ173" s="42" t="s">
        <v>3820</v>
      </c>
      <c r="BA173" s="31">
        <v>290.0</v>
      </c>
      <c r="BB173" s="34" t="s">
        <v>3853</v>
      </c>
      <c r="BC173" s="34">
        <v>0.0</v>
      </c>
      <c r="BD173" s="34">
        <v>100.0</v>
      </c>
      <c r="BE173" s="34">
        <v>0.0</v>
      </c>
      <c r="BF173" s="34">
        <v>0.0</v>
      </c>
      <c r="BG173" s="33">
        <f>COUNTIFS('Data For Calculation - Insuranc'!A:A,A173,'Data For Calculation - Insuranc'!D:D,"Company",'Data For Calculation - Insuranc'!E:E,"Rollover - 1 Year OD Only")</f>
        <v>0</v>
      </c>
      <c r="BH173" s="34" t="s">
        <v>3931</v>
      </c>
      <c r="BI173" s="42" t="s">
        <v>3820</v>
      </c>
      <c r="BJ173" s="31">
        <v>290.0</v>
      </c>
      <c r="BK173" s="34" t="s">
        <v>3853</v>
      </c>
      <c r="BL173" s="34">
        <v>0.0</v>
      </c>
      <c r="BM173" s="34">
        <v>100.0</v>
      </c>
      <c r="BN173" s="34">
        <v>0.0</v>
      </c>
      <c r="BO173" s="34">
        <v>0.0</v>
      </c>
      <c r="BP173" s="33">
        <f>COUNTIFS('Data For Calculation - Insuranc'!A:A,A173,'Data For Calculation - Insuranc'!D:D,"Individual",'Data For Calculation - Insuranc'!E:E,"Rollover - 1 Year TP Only")</f>
        <v>0</v>
      </c>
      <c r="BQ173" s="34" t="s">
        <v>3932</v>
      </c>
      <c r="BR173" s="42" t="s">
        <v>3820</v>
      </c>
      <c r="BS173" s="31">
        <v>290.0</v>
      </c>
      <c r="BT173" s="34" t="s">
        <v>3853</v>
      </c>
      <c r="BU173" s="34">
        <v>0.0</v>
      </c>
      <c r="BV173" s="34">
        <v>100.0</v>
      </c>
      <c r="BW173" s="34">
        <v>0.0</v>
      </c>
      <c r="BX173" s="34">
        <v>0.0</v>
      </c>
      <c r="BY173" s="33">
        <f>COUNTIFS('Data For Calculation - Insuranc'!A:A,A173,'Data For Calculation - Insuranc'!D:D,"Company",'Data For Calculation - Insuranc'!E:E,"Rollover - 1 Year TP Only")</f>
        <v>0</v>
      </c>
      <c r="BZ173" s="31">
        <f t="shared" si="1"/>
        <v>0</v>
      </c>
      <c r="CA173" s="33">
        <f>SUMIFS('Data For Calculation - Insuranc'!I:I,'Data For Calculation - Insuranc'!$A:$A,$A173)</f>
        <v>0</v>
      </c>
      <c r="CB173" s="33">
        <f>SUMIFS('Data For Calculation - Insuranc'!J:J,'Data For Calculation - Insuranc'!$A:$A,$A173)</f>
        <v>0</v>
      </c>
      <c r="CC173" s="33">
        <f>SUMIFS('Data For Calculation - Insuranc'!K:K,'Data For Calculation - Insuranc'!$A:$A,$A173)</f>
        <v>0</v>
      </c>
      <c r="CD173" s="33">
        <f>IF($CK173 = "Dealer", SUMIFS('Data For Calculation - Insuranc'!I:I,'Data For Calculation - Insuranc'!$B:$B,$A173,'Data For Calculation - Insuranc'!$H:$H,"Master Dealer")) + SUMIFS('Data For Calculation - Insuranc'!I:I,'Data For Calculation - Insuranc'!$A:$A,$A173,'Data For Calculation - Insuranc'!$H:$H,"Self")</f>
        <v>0</v>
      </c>
      <c r="CE173" s="33">
        <f>IF($CK173 = "Dealer", SUMIFS('Data For Calculation - Insuranc'!J:J,'Data For Calculation - Insuranc'!$B:$B,$A173,'Data For Calculation - Insuranc'!$H:$H,"Master Dealer")) + SUMIFS('Data For Calculation - Insuranc'!J:J,'Data For Calculation - Insuranc'!$A:$A,$A173,'Data For Calculation - Insuranc'!$H:$H,"Self")</f>
        <v>0</v>
      </c>
      <c r="CF173" s="33">
        <f>IF($CK173 = "Dealer", SUMIFS('Data For Calculation - Insuranc'!K:K,'Data For Calculation - Insuranc'!$B:$B,$A173,'Data For Calculation - Insuranc'!$H:$H,"Master Dealer")) + SUMIFS('Data For Calculation - Insuranc'!K:K,'Data For Calculation - Insuranc'!$A:$A,$A173,'Data For Calculation - Insuranc'!$H:$H,"Self")</f>
        <v>0</v>
      </c>
      <c r="CG173" s="25" t="str">
        <f>(Sheet1!N173)</f>
        <v>Modern Auto Agency - Bettiah</v>
      </c>
      <c r="CH173" s="25" t="str">
        <f>(Sheet1!O173)</f>
        <v>1_UtGSoyOsljQXvmry7gfXGYwjwEjQbghQQGZebnq45M</v>
      </c>
      <c r="CI173" s="25" t="str">
        <f>(Sheet1!AV173)</f>
        <v/>
      </c>
      <c r="CJ173" s="25" t="str">
        <f>(Sheet1!AW173)</f>
        <v/>
      </c>
      <c r="CK173" s="26" t="str">
        <f>(Sheet1!P173)</f>
        <v>Dealer</v>
      </c>
    </row>
    <row r="174">
      <c r="A174" s="25" t="str">
        <f>(Sheet1!A174)</f>
        <v>1NEcDRVp7-BhxvyRG6JkeAHZpznEr-vKt291CED4WZPk</v>
      </c>
      <c r="B174" s="25" t="str">
        <f>(Sheet1!B174)</f>
        <v>Bal Mukund Hero - Etah</v>
      </c>
      <c r="C174" s="30" t="str">
        <f>Sheet1!BB174</f>
        <v>No</v>
      </c>
      <c r="D174" s="30" t="s">
        <v>13</v>
      </c>
      <c r="E174" s="34" t="s">
        <v>13</v>
      </c>
      <c r="F174" s="34" t="s">
        <v>3929</v>
      </c>
      <c r="G174" s="42" t="s">
        <v>3820</v>
      </c>
      <c r="H174" s="43">
        <v>460.0</v>
      </c>
      <c r="I174" s="42" t="s">
        <v>3853</v>
      </c>
      <c r="J174" s="43">
        <v>0.0</v>
      </c>
      <c r="K174" s="43">
        <v>100.0</v>
      </c>
      <c r="L174" s="43">
        <v>0.0</v>
      </c>
      <c r="M174" s="43">
        <v>0.0</v>
      </c>
      <c r="N174" s="33">
        <f>COUNTIFS('Data For Calculation - Insuranc'!A:A,A174,'Data For Calculation - Insuranc'!D:D,"Individual",'Data For Calculation - Insuranc'!E:E,"Bundled - 1 Year OD + 5 Year TP")</f>
        <v>0</v>
      </c>
      <c r="O174" s="34" t="s">
        <v>3930</v>
      </c>
      <c r="P174" s="42" t="s">
        <v>3820</v>
      </c>
      <c r="Q174" s="43">
        <v>460.0</v>
      </c>
      <c r="R174" s="42" t="s">
        <v>3853</v>
      </c>
      <c r="S174" s="43">
        <v>0.0</v>
      </c>
      <c r="T174" s="43">
        <v>100.0</v>
      </c>
      <c r="U174" s="43">
        <v>0.0</v>
      </c>
      <c r="V174" s="43">
        <v>0.0</v>
      </c>
      <c r="W174" s="33">
        <f>COUNTIFS('Data For Calculation - Insuranc'!A:A,A174,'Data For Calculation - Insuranc'!D:D,"Company",'Data For Calculation - Insuranc'!E:E,"Bundled - 1 Year OD + 5 Year TP")</f>
        <v>0</v>
      </c>
      <c r="X174" s="34" t="s">
        <v>3929</v>
      </c>
      <c r="Y174" s="42" t="s">
        <v>3820</v>
      </c>
      <c r="Z174" s="31">
        <v>290.0</v>
      </c>
      <c r="AA174" s="34" t="s">
        <v>3853</v>
      </c>
      <c r="AB174" s="34">
        <v>0.0</v>
      </c>
      <c r="AC174" s="34">
        <v>100.0</v>
      </c>
      <c r="AD174" s="34">
        <v>0.0</v>
      </c>
      <c r="AE174" s="34">
        <v>0.0</v>
      </c>
      <c r="AF174" s="33">
        <f>COUNTIFS('Data For Calculation - Insuranc'!A:A,A174,'Data For Calculation - Insuranc'!D:D,"Individual",'Data For Calculation - Insuranc'!E:E,"Rollover Comprehensive - 1 Year OD + 1 Year TP")</f>
        <v>0</v>
      </c>
      <c r="AG174" s="34" t="s">
        <v>3930</v>
      </c>
      <c r="AH174" s="42" t="s">
        <v>3820</v>
      </c>
      <c r="AI174" s="31">
        <v>290.0</v>
      </c>
      <c r="AJ174" s="34" t="s">
        <v>3853</v>
      </c>
      <c r="AK174" s="34">
        <v>0.0</v>
      </c>
      <c r="AL174" s="34">
        <v>100.0</v>
      </c>
      <c r="AM174" s="34">
        <v>0.0</v>
      </c>
      <c r="AN174" s="34">
        <v>0.0</v>
      </c>
      <c r="AO174" s="33">
        <f>COUNTIFS('Data For Calculation - Insuranc'!A:A,A174,'Data For Calculation - Insuranc'!D:D,"Company",'Data For Calculation - Insuranc'!E:E,"Rollover Comprehensive - 1 Year OD + 1 Year TP")</f>
        <v>0</v>
      </c>
      <c r="AP174" s="34" t="s">
        <v>3931</v>
      </c>
      <c r="AQ174" s="42" t="s">
        <v>3820</v>
      </c>
      <c r="AR174" s="31">
        <v>290.0</v>
      </c>
      <c r="AS174" s="34" t="s">
        <v>3853</v>
      </c>
      <c r="AT174" s="34">
        <v>0.0</v>
      </c>
      <c r="AU174" s="34">
        <v>100.0</v>
      </c>
      <c r="AV174" s="34">
        <v>0.0</v>
      </c>
      <c r="AW174" s="34">
        <v>0.0</v>
      </c>
      <c r="AX174" s="33">
        <f>COUNTIFS('Data For Calculation - Insuranc'!A:A,A174,'Data For Calculation - Insuranc'!D:D,"Individual",'Data For Calculation - Insuranc'!E:E,"Rollover - 1 Year OD Only")</f>
        <v>0</v>
      </c>
      <c r="AY174" s="34" t="s">
        <v>3932</v>
      </c>
      <c r="AZ174" s="42" t="s">
        <v>3820</v>
      </c>
      <c r="BA174" s="31">
        <v>290.0</v>
      </c>
      <c r="BB174" s="34" t="s">
        <v>3853</v>
      </c>
      <c r="BC174" s="34">
        <v>0.0</v>
      </c>
      <c r="BD174" s="34">
        <v>100.0</v>
      </c>
      <c r="BE174" s="34">
        <v>0.0</v>
      </c>
      <c r="BF174" s="34">
        <v>0.0</v>
      </c>
      <c r="BG174" s="33">
        <f>COUNTIFS('Data For Calculation - Insuranc'!A:A,A174,'Data For Calculation - Insuranc'!D:D,"Company",'Data For Calculation - Insuranc'!E:E,"Rollover - 1 Year OD Only")</f>
        <v>0</v>
      </c>
      <c r="BH174" s="34" t="s">
        <v>3931</v>
      </c>
      <c r="BI174" s="42" t="s">
        <v>3820</v>
      </c>
      <c r="BJ174" s="31">
        <v>290.0</v>
      </c>
      <c r="BK174" s="34" t="s">
        <v>3853</v>
      </c>
      <c r="BL174" s="34">
        <v>0.0</v>
      </c>
      <c r="BM174" s="34">
        <v>100.0</v>
      </c>
      <c r="BN174" s="34">
        <v>0.0</v>
      </c>
      <c r="BO174" s="34">
        <v>0.0</v>
      </c>
      <c r="BP174" s="33">
        <f>COUNTIFS('Data For Calculation - Insuranc'!A:A,A174,'Data For Calculation - Insuranc'!D:D,"Individual",'Data For Calculation - Insuranc'!E:E,"Rollover - 1 Year TP Only")</f>
        <v>0</v>
      </c>
      <c r="BQ174" s="34" t="s">
        <v>3932</v>
      </c>
      <c r="BR174" s="42" t="s">
        <v>3820</v>
      </c>
      <c r="BS174" s="31">
        <v>290.0</v>
      </c>
      <c r="BT174" s="34" t="s">
        <v>3853</v>
      </c>
      <c r="BU174" s="34">
        <v>0.0</v>
      </c>
      <c r="BV174" s="34">
        <v>100.0</v>
      </c>
      <c r="BW174" s="34">
        <v>0.0</v>
      </c>
      <c r="BX174" s="34">
        <v>0.0</v>
      </c>
      <c r="BY174" s="33">
        <f>COUNTIFS('Data For Calculation - Insuranc'!A:A,A174,'Data For Calculation - Insuranc'!D:D,"Company",'Data For Calculation - Insuranc'!E:E,"Rollover - 1 Year TP Only")</f>
        <v>0</v>
      </c>
      <c r="BZ174" s="31">
        <f t="shared" si="1"/>
        <v>0</v>
      </c>
      <c r="CA174" s="33">
        <f>SUMIFS('Data For Calculation - Insuranc'!I:I,'Data For Calculation - Insuranc'!$A:$A,$A174)</f>
        <v>0</v>
      </c>
      <c r="CB174" s="33">
        <f>SUMIFS('Data For Calculation - Insuranc'!J:J,'Data For Calculation - Insuranc'!$A:$A,$A174)</f>
        <v>0</v>
      </c>
      <c r="CC174" s="33">
        <f>SUMIFS('Data For Calculation - Insuranc'!K:K,'Data For Calculation - Insuranc'!$A:$A,$A174)</f>
        <v>0</v>
      </c>
      <c r="CD174" s="33">
        <f>IF($CK174 = "Dealer", SUMIFS('Data For Calculation - Insuranc'!I:I,'Data For Calculation - Insuranc'!$B:$B,$A174,'Data For Calculation - Insuranc'!$H:$H,"Master Dealer")) + SUMIFS('Data For Calculation - Insuranc'!I:I,'Data For Calculation - Insuranc'!$A:$A,$A174,'Data For Calculation - Insuranc'!$H:$H,"Self")</f>
        <v>0</v>
      </c>
      <c r="CE174" s="33">
        <f>IF($CK174 = "Dealer", SUMIFS('Data For Calculation - Insuranc'!J:J,'Data For Calculation - Insuranc'!$B:$B,$A174,'Data For Calculation - Insuranc'!$H:$H,"Master Dealer")) + SUMIFS('Data For Calculation - Insuranc'!J:J,'Data For Calculation - Insuranc'!$A:$A,$A174,'Data For Calculation - Insuranc'!$H:$H,"Self")</f>
        <v>0</v>
      </c>
      <c r="CF174" s="33">
        <f>IF($CK174 = "Dealer", SUMIFS('Data For Calculation - Insuranc'!K:K,'Data For Calculation - Insuranc'!$B:$B,$A174,'Data For Calculation - Insuranc'!$H:$H,"Master Dealer")) + SUMIFS('Data For Calculation - Insuranc'!K:K,'Data For Calculation - Insuranc'!$A:$A,$A174,'Data For Calculation - Insuranc'!$H:$H,"Self")</f>
        <v>0</v>
      </c>
      <c r="CG174" s="25" t="str">
        <f>(Sheet1!N174)</f>
        <v>Bal Mukund Hero - Etah</v>
      </c>
      <c r="CH174" s="25" t="str">
        <f>(Sheet1!O174)</f>
        <v>1NEcDRVp7-BhxvyRG6JkeAHZpznEr-vKt291CED4WZPk</v>
      </c>
      <c r="CI174" s="25" t="str">
        <f>(Sheet1!AV174)</f>
        <v/>
      </c>
      <c r="CJ174" s="25" t="str">
        <f>(Sheet1!AW174)</f>
        <v/>
      </c>
      <c r="CK174" s="26" t="str">
        <f>(Sheet1!P174)</f>
        <v>Dealer</v>
      </c>
    </row>
    <row r="175">
      <c r="A175" s="25" t="str">
        <f>(Sheet1!A175)</f>
        <v>1DVpSm5a7kKqZxFgDUdJBRIcgAuTZosRKDnkmPEIdEG4</v>
      </c>
      <c r="B175" s="25" t="str">
        <f>(Sheet1!B175)</f>
        <v>MAHESH MOTORS - DINAJPUR</v>
      </c>
      <c r="C175" s="30" t="str">
        <f>Sheet1!BB175</f>
        <v>No</v>
      </c>
      <c r="D175" s="30" t="s">
        <v>13</v>
      </c>
      <c r="E175" s="34" t="s">
        <v>13</v>
      </c>
      <c r="F175" s="34" t="s">
        <v>3929</v>
      </c>
      <c r="G175" s="42" t="s">
        <v>3817</v>
      </c>
      <c r="H175" s="43">
        <v>460.0</v>
      </c>
      <c r="I175" s="42" t="s">
        <v>3853</v>
      </c>
      <c r="J175" s="43">
        <v>0.0</v>
      </c>
      <c r="K175" s="43">
        <v>100.0</v>
      </c>
      <c r="L175" s="43">
        <v>0.0</v>
      </c>
      <c r="M175" s="43">
        <v>0.0</v>
      </c>
      <c r="N175" s="33">
        <f>COUNTIFS('Data For Calculation - Insuranc'!A:A,A175,'Data For Calculation - Insuranc'!D:D,"Individual",'Data For Calculation - Insuranc'!E:E,"Bundled - 1 Year OD + 5 Year TP")</f>
        <v>0</v>
      </c>
      <c r="O175" s="34" t="s">
        <v>3930</v>
      </c>
      <c r="P175" s="42" t="s">
        <v>3817</v>
      </c>
      <c r="Q175" s="43">
        <v>460.0</v>
      </c>
      <c r="R175" s="42" t="s">
        <v>3853</v>
      </c>
      <c r="S175" s="43">
        <v>0.0</v>
      </c>
      <c r="T175" s="43">
        <v>100.0</v>
      </c>
      <c r="U175" s="43">
        <v>0.0</v>
      </c>
      <c r="V175" s="43">
        <v>0.0</v>
      </c>
      <c r="W175" s="33">
        <f>COUNTIFS('Data For Calculation - Insuranc'!A:A,A175,'Data For Calculation - Insuranc'!D:D,"Company",'Data For Calculation - Insuranc'!E:E,"Bundled - 1 Year OD + 5 Year TP")</f>
        <v>0</v>
      </c>
      <c r="X175" s="34" t="s">
        <v>3929</v>
      </c>
      <c r="Y175" s="42" t="s">
        <v>3817</v>
      </c>
      <c r="Z175" s="31">
        <v>245.0</v>
      </c>
      <c r="AA175" s="34" t="s">
        <v>3853</v>
      </c>
      <c r="AB175" s="34">
        <v>0.0</v>
      </c>
      <c r="AC175" s="34">
        <v>100.0</v>
      </c>
      <c r="AD175" s="34">
        <v>0.0</v>
      </c>
      <c r="AE175" s="34">
        <v>0.0</v>
      </c>
      <c r="AF175" s="33">
        <f>COUNTIFS('Data For Calculation - Insuranc'!A:A,A175,'Data For Calculation - Insuranc'!D:D,"Individual",'Data For Calculation - Insuranc'!E:E,"Rollover Comprehensive - 1 Year OD + 1 Year TP")</f>
        <v>0</v>
      </c>
      <c r="AG175" s="34" t="s">
        <v>3930</v>
      </c>
      <c r="AH175" s="42" t="s">
        <v>3817</v>
      </c>
      <c r="AI175" s="31">
        <v>245.0</v>
      </c>
      <c r="AJ175" s="34" t="s">
        <v>3853</v>
      </c>
      <c r="AK175" s="34">
        <v>0.0</v>
      </c>
      <c r="AL175" s="34">
        <v>100.0</v>
      </c>
      <c r="AM175" s="34">
        <v>0.0</v>
      </c>
      <c r="AN175" s="34">
        <v>0.0</v>
      </c>
      <c r="AO175" s="33">
        <f>COUNTIFS('Data For Calculation - Insuranc'!A:A,A175,'Data For Calculation - Insuranc'!D:D,"Company",'Data For Calculation - Insuranc'!E:E,"Rollover Comprehensive - 1 Year OD + 1 Year TP")</f>
        <v>0</v>
      </c>
      <c r="AP175" s="34" t="s">
        <v>3931</v>
      </c>
      <c r="AQ175" s="42" t="s">
        <v>3817</v>
      </c>
      <c r="AR175" s="31">
        <v>245.0</v>
      </c>
      <c r="AS175" s="34" t="s">
        <v>3853</v>
      </c>
      <c r="AT175" s="34">
        <v>0.0</v>
      </c>
      <c r="AU175" s="34">
        <v>100.0</v>
      </c>
      <c r="AV175" s="34">
        <v>0.0</v>
      </c>
      <c r="AW175" s="34">
        <v>0.0</v>
      </c>
      <c r="AX175" s="33">
        <f>COUNTIFS('Data For Calculation - Insuranc'!A:A,A175,'Data For Calculation - Insuranc'!D:D,"Individual",'Data For Calculation - Insuranc'!E:E,"Rollover - 1 Year OD Only")</f>
        <v>0</v>
      </c>
      <c r="AY175" s="34" t="s">
        <v>3932</v>
      </c>
      <c r="AZ175" s="42" t="s">
        <v>3817</v>
      </c>
      <c r="BA175" s="31">
        <v>245.0</v>
      </c>
      <c r="BB175" s="34" t="s">
        <v>3853</v>
      </c>
      <c r="BC175" s="34">
        <v>0.0</v>
      </c>
      <c r="BD175" s="34">
        <v>100.0</v>
      </c>
      <c r="BE175" s="34">
        <v>0.0</v>
      </c>
      <c r="BF175" s="34">
        <v>0.0</v>
      </c>
      <c r="BG175" s="33">
        <f>COUNTIFS('Data For Calculation - Insuranc'!A:A,A175,'Data For Calculation - Insuranc'!D:D,"Company",'Data For Calculation - Insuranc'!E:E,"Rollover - 1 Year OD Only")</f>
        <v>0</v>
      </c>
      <c r="BH175" s="34" t="s">
        <v>3931</v>
      </c>
      <c r="BI175" s="42" t="s">
        <v>3817</v>
      </c>
      <c r="BJ175" s="31">
        <v>245.0</v>
      </c>
      <c r="BK175" s="34" t="s">
        <v>3853</v>
      </c>
      <c r="BL175" s="34">
        <v>0.0</v>
      </c>
      <c r="BM175" s="34">
        <v>100.0</v>
      </c>
      <c r="BN175" s="34">
        <v>0.0</v>
      </c>
      <c r="BO175" s="34">
        <v>0.0</v>
      </c>
      <c r="BP175" s="33">
        <f>COUNTIFS('Data For Calculation - Insuranc'!A:A,A175,'Data For Calculation - Insuranc'!D:D,"Individual",'Data For Calculation - Insuranc'!E:E,"Rollover - 1 Year TP Only")</f>
        <v>0</v>
      </c>
      <c r="BQ175" s="34" t="s">
        <v>3932</v>
      </c>
      <c r="BR175" s="42" t="s">
        <v>3817</v>
      </c>
      <c r="BS175" s="31">
        <v>245.0</v>
      </c>
      <c r="BT175" s="34" t="s">
        <v>3853</v>
      </c>
      <c r="BU175" s="34">
        <v>0.0</v>
      </c>
      <c r="BV175" s="34">
        <v>100.0</v>
      </c>
      <c r="BW175" s="34">
        <v>0.0</v>
      </c>
      <c r="BX175" s="34">
        <v>0.0</v>
      </c>
      <c r="BY175" s="33">
        <f>COUNTIFS('Data For Calculation - Insuranc'!A:A,A175,'Data For Calculation - Insuranc'!D:D,"Company",'Data For Calculation - Insuranc'!E:E,"Rollover - 1 Year TP Only")</f>
        <v>0</v>
      </c>
      <c r="BZ175" s="31">
        <f t="shared" si="1"/>
        <v>0</v>
      </c>
      <c r="CA175" s="33">
        <f>SUMIFS('Data For Calculation - Insuranc'!I:I,'Data For Calculation - Insuranc'!$A:$A,$A175)</f>
        <v>0</v>
      </c>
      <c r="CB175" s="33">
        <f>SUMIFS('Data For Calculation - Insuranc'!J:J,'Data For Calculation - Insuranc'!$A:$A,$A175)</f>
        <v>0</v>
      </c>
      <c r="CC175" s="33">
        <f>SUMIFS('Data For Calculation - Insuranc'!K:K,'Data For Calculation - Insuranc'!$A:$A,$A175)</f>
        <v>0</v>
      </c>
      <c r="CD175" s="33">
        <f>IF($CK175 = "Dealer", SUMIFS('Data For Calculation - Insuranc'!I:I,'Data For Calculation - Insuranc'!$B:$B,$A175,'Data For Calculation - Insuranc'!$H:$H,"Master Dealer")) + SUMIFS('Data For Calculation - Insuranc'!I:I,'Data For Calculation - Insuranc'!$A:$A,$A175,'Data For Calculation - Insuranc'!$H:$H,"Self")</f>
        <v>0</v>
      </c>
      <c r="CE175" s="33">
        <f>IF($CK175 = "Dealer", SUMIFS('Data For Calculation - Insuranc'!J:J,'Data For Calculation - Insuranc'!$B:$B,$A175,'Data For Calculation - Insuranc'!$H:$H,"Master Dealer")) + SUMIFS('Data For Calculation - Insuranc'!J:J,'Data For Calculation - Insuranc'!$A:$A,$A175,'Data For Calculation - Insuranc'!$H:$H,"Self")</f>
        <v>0</v>
      </c>
      <c r="CF175" s="33">
        <f>IF($CK175 = "Dealer", SUMIFS('Data For Calculation - Insuranc'!K:K,'Data For Calculation - Insuranc'!$B:$B,$A175,'Data For Calculation - Insuranc'!$H:$H,"Master Dealer")) + SUMIFS('Data For Calculation - Insuranc'!K:K,'Data For Calculation - Insuranc'!$A:$A,$A175,'Data For Calculation - Insuranc'!$H:$H,"Self")</f>
        <v>0</v>
      </c>
      <c r="CG175" s="25" t="str">
        <f>(Sheet1!N175)</f>
        <v>MAHESH MOTORS - DINAJPUR</v>
      </c>
      <c r="CH175" s="25" t="str">
        <f>(Sheet1!O175)</f>
        <v>1DVpSm5a7kKqZxFgDUdJBRIcgAuTZosRKDnkmPEIdEG4</v>
      </c>
      <c r="CI175" s="25" t="str">
        <f>(Sheet1!AV175)</f>
        <v/>
      </c>
      <c r="CJ175" s="25" t="str">
        <f>(Sheet1!AW175)</f>
        <v/>
      </c>
      <c r="CK175" s="26" t="str">
        <f>(Sheet1!P175)</f>
        <v>Dealer</v>
      </c>
    </row>
    <row r="176">
      <c r="A176" s="25" t="str">
        <f>(Sheet1!A176)</f>
        <v>1oQVPfd8k9NkVTkQGOHRAq_y-oNhBZ1Ssb0pUJIc1AnM</v>
      </c>
      <c r="B176" s="25" t="str">
        <f>(Sheet1!B176)</f>
        <v>Standard Auto Agency - Bahraich</v>
      </c>
      <c r="C176" s="30" t="str">
        <f>Sheet1!BB176</f>
        <v>No</v>
      </c>
      <c r="D176" s="30" t="s">
        <v>13</v>
      </c>
      <c r="E176" s="34" t="s">
        <v>13</v>
      </c>
      <c r="F176" s="34" t="s">
        <v>3929</v>
      </c>
      <c r="G176" s="25" t="s">
        <v>3820</v>
      </c>
      <c r="H176" s="33">
        <v>460.0</v>
      </c>
      <c r="I176" s="42" t="s">
        <v>3853</v>
      </c>
      <c r="J176" s="43">
        <v>0.0</v>
      </c>
      <c r="K176" s="43">
        <v>100.0</v>
      </c>
      <c r="L176" s="43">
        <v>0.0</v>
      </c>
      <c r="M176" s="43">
        <v>0.0</v>
      </c>
      <c r="N176" s="33">
        <f>COUNTIFS('Data For Calculation - Insuranc'!A:A,A176,'Data For Calculation - Insuranc'!D:D,"Individual",'Data For Calculation - Insuranc'!E:E,"Bundled - 1 Year OD + 5 Year TP")</f>
        <v>0</v>
      </c>
      <c r="O176" s="34" t="s">
        <v>3930</v>
      </c>
      <c r="P176" s="25" t="s">
        <v>3820</v>
      </c>
      <c r="Q176" s="33">
        <v>460.0</v>
      </c>
      <c r="R176" s="42" t="s">
        <v>3853</v>
      </c>
      <c r="S176" s="43">
        <v>0.0</v>
      </c>
      <c r="T176" s="43">
        <v>100.0</v>
      </c>
      <c r="U176" s="43">
        <v>0.0</v>
      </c>
      <c r="V176" s="43">
        <v>0.0</v>
      </c>
      <c r="W176" s="33">
        <f>COUNTIFS('Data For Calculation - Insuranc'!A:A,A176,'Data For Calculation - Insuranc'!D:D,"Company",'Data For Calculation - Insuranc'!E:E,"Bundled - 1 Year OD + 5 Year TP")</f>
        <v>0</v>
      </c>
      <c r="X176" s="34" t="s">
        <v>3929</v>
      </c>
      <c r="Y176" s="25" t="s">
        <v>3820</v>
      </c>
      <c r="Z176" s="33">
        <v>290.0</v>
      </c>
      <c r="AA176" s="34" t="s">
        <v>3853</v>
      </c>
      <c r="AB176" s="34">
        <v>0.0</v>
      </c>
      <c r="AC176" s="34">
        <v>100.0</v>
      </c>
      <c r="AD176" s="34">
        <v>0.0</v>
      </c>
      <c r="AE176" s="34">
        <v>0.0</v>
      </c>
      <c r="AF176" s="33">
        <f>COUNTIFS('Data For Calculation - Insuranc'!A:A,A176,'Data For Calculation - Insuranc'!D:D,"Individual",'Data For Calculation - Insuranc'!E:E,"Rollover Comprehensive - 1 Year OD + 1 Year TP")</f>
        <v>0</v>
      </c>
      <c r="AG176" s="34" t="s">
        <v>3930</v>
      </c>
      <c r="AH176" s="25" t="s">
        <v>3820</v>
      </c>
      <c r="AI176" s="33">
        <v>290.0</v>
      </c>
      <c r="AJ176" s="34" t="s">
        <v>3853</v>
      </c>
      <c r="AK176" s="34">
        <v>0.0</v>
      </c>
      <c r="AL176" s="34">
        <v>100.0</v>
      </c>
      <c r="AM176" s="34">
        <v>0.0</v>
      </c>
      <c r="AN176" s="34">
        <v>0.0</v>
      </c>
      <c r="AO176" s="33">
        <f>COUNTIFS('Data For Calculation - Insuranc'!A:A,A176,'Data For Calculation - Insuranc'!D:D,"Company",'Data For Calculation - Insuranc'!E:E,"Rollover Comprehensive - 1 Year OD + 1 Year TP")</f>
        <v>0</v>
      </c>
      <c r="AP176" s="34" t="s">
        <v>3931</v>
      </c>
      <c r="AQ176" s="25" t="s">
        <v>3820</v>
      </c>
      <c r="AR176" s="33">
        <v>290.0</v>
      </c>
      <c r="AS176" s="34" t="s">
        <v>3853</v>
      </c>
      <c r="AT176" s="34">
        <v>0.0</v>
      </c>
      <c r="AU176" s="34">
        <v>100.0</v>
      </c>
      <c r="AV176" s="34">
        <v>0.0</v>
      </c>
      <c r="AW176" s="34">
        <v>0.0</v>
      </c>
      <c r="AX176" s="33">
        <f>COUNTIFS('Data For Calculation - Insuranc'!A:A,A176,'Data For Calculation - Insuranc'!D:D,"Individual",'Data For Calculation - Insuranc'!E:E,"Rollover - 1 Year OD Only")</f>
        <v>0</v>
      </c>
      <c r="AY176" s="34" t="s">
        <v>3932</v>
      </c>
      <c r="AZ176" s="25" t="s">
        <v>3820</v>
      </c>
      <c r="BA176" s="33">
        <v>290.0</v>
      </c>
      <c r="BB176" s="34" t="s">
        <v>3853</v>
      </c>
      <c r="BC176" s="34">
        <v>0.0</v>
      </c>
      <c r="BD176" s="34">
        <v>100.0</v>
      </c>
      <c r="BE176" s="34">
        <v>0.0</v>
      </c>
      <c r="BF176" s="34">
        <v>0.0</v>
      </c>
      <c r="BG176" s="33">
        <f>COUNTIFS('Data For Calculation - Insuranc'!A:A,A176,'Data For Calculation - Insuranc'!D:D,"Company",'Data For Calculation - Insuranc'!E:E,"Rollover - 1 Year OD Only")</f>
        <v>0</v>
      </c>
      <c r="BH176" s="34" t="s">
        <v>3931</v>
      </c>
      <c r="BI176" s="25" t="s">
        <v>3820</v>
      </c>
      <c r="BJ176" s="33">
        <v>290.0</v>
      </c>
      <c r="BK176" s="34" t="s">
        <v>3853</v>
      </c>
      <c r="BL176" s="34">
        <v>0.0</v>
      </c>
      <c r="BM176" s="34">
        <v>100.0</v>
      </c>
      <c r="BN176" s="34">
        <v>0.0</v>
      </c>
      <c r="BO176" s="34">
        <v>0.0</v>
      </c>
      <c r="BP176" s="33">
        <f>COUNTIFS('Data For Calculation - Insuranc'!A:A,A176,'Data For Calculation - Insuranc'!D:D,"Individual",'Data For Calculation - Insuranc'!E:E,"Rollover - 1 Year TP Only")</f>
        <v>0</v>
      </c>
      <c r="BQ176" s="34" t="s">
        <v>3932</v>
      </c>
      <c r="BR176" s="25" t="s">
        <v>3820</v>
      </c>
      <c r="BS176" s="33">
        <v>290.0</v>
      </c>
      <c r="BT176" s="34" t="s">
        <v>3853</v>
      </c>
      <c r="BU176" s="34">
        <v>0.0</v>
      </c>
      <c r="BV176" s="34">
        <v>100.0</v>
      </c>
      <c r="BW176" s="34">
        <v>0.0</v>
      </c>
      <c r="BX176" s="34">
        <v>0.0</v>
      </c>
      <c r="BY176" s="33">
        <f>COUNTIFS('Data For Calculation - Insuranc'!A:A,A176,'Data For Calculation - Insuranc'!D:D,"Company",'Data For Calculation - Insuranc'!E:E,"Rollover - 1 Year TP Only")</f>
        <v>0</v>
      </c>
      <c r="BZ176" s="31">
        <f t="shared" si="1"/>
        <v>0</v>
      </c>
      <c r="CA176" s="33">
        <f>SUMIFS('Data For Calculation - Insuranc'!I:I,'Data For Calculation - Insuranc'!$A:$A,$A176)</f>
        <v>0</v>
      </c>
      <c r="CB176" s="33">
        <f>SUMIFS('Data For Calculation - Insuranc'!J:J,'Data For Calculation - Insuranc'!$A:$A,$A176)</f>
        <v>0</v>
      </c>
      <c r="CC176" s="33">
        <f>SUMIFS('Data For Calculation - Insuranc'!K:K,'Data For Calculation - Insuranc'!$A:$A,$A176)</f>
        <v>0</v>
      </c>
      <c r="CD176" s="33">
        <f>IF($CK176 = "Dealer", SUMIFS('Data For Calculation - Insuranc'!I:I,'Data For Calculation - Insuranc'!$B:$B,$A176,'Data For Calculation - Insuranc'!$H:$H,"Master Dealer")) + SUMIFS('Data For Calculation - Insuranc'!I:I,'Data For Calculation - Insuranc'!$A:$A,$A176,'Data For Calculation - Insuranc'!$H:$H,"Self")</f>
        <v>0</v>
      </c>
      <c r="CE176" s="33">
        <f>IF($CK176 = "Dealer", SUMIFS('Data For Calculation - Insuranc'!J:J,'Data For Calculation - Insuranc'!$B:$B,$A176,'Data For Calculation - Insuranc'!$H:$H,"Master Dealer")) + SUMIFS('Data For Calculation - Insuranc'!J:J,'Data For Calculation - Insuranc'!$A:$A,$A176,'Data For Calculation - Insuranc'!$H:$H,"Self")</f>
        <v>0</v>
      </c>
      <c r="CF176" s="33">
        <f>IF($CK176 = "Dealer", SUMIFS('Data For Calculation - Insuranc'!K:K,'Data For Calculation - Insuranc'!$B:$B,$A176,'Data For Calculation - Insuranc'!$H:$H,"Master Dealer")) + SUMIFS('Data For Calculation - Insuranc'!K:K,'Data For Calculation - Insuranc'!$A:$A,$A176,'Data For Calculation - Insuranc'!$H:$H,"Self")</f>
        <v>0</v>
      </c>
      <c r="CG176" s="25" t="str">
        <f>(Sheet1!N176)</f>
        <v>Standard Auto Agency - Bahraich</v>
      </c>
      <c r="CH176" s="25" t="str">
        <f>(Sheet1!O176)</f>
        <v>1oQVPfd8k9NkVTkQGOHRAq_y-oNhBZ1Ssb0pUJIc1AnM</v>
      </c>
      <c r="CI176" s="25" t="str">
        <f>(Sheet1!AV176)</f>
        <v/>
      </c>
      <c r="CJ176" s="25" t="str">
        <f>(Sheet1!AW176)</f>
        <v/>
      </c>
      <c r="CK176" s="25" t="str">
        <f>(Sheet1!P176)</f>
        <v>Dealer</v>
      </c>
    </row>
    <row r="177">
      <c r="A177" s="25" t="str">
        <f>(Sheet1!A177)</f>
        <v>1MZSuDBhj6MvXnyvchodYUa5X-Tmx0AyJTkxlHAAvtro</v>
      </c>
      <c r="B177" s="25" t="str">
        <f>(Sheet1!B177)</f>
        <v>Krishna &amp; Company - Bahraich</v>
      </c>
      <c r="C177" s="30" t="str">
        <f>Sheet1!BB177</f>
        <v>No</v>
      </c>
      <c r="D177" s="30" t="s">
        <v>13</v>
      </c>
      <c r="E177" s="34" t="s">
        <v>13</v>
      </c>
      <c r="F177" s="34" t="s">
        <v>3929</v>
      </c>
      <c r="G177" s="25" t="s">
        <v>3820</v>
      </c>
      <c r="H177" s="43">
        <v>460.0</v>
      </c>
      <c r="I177" s="42" t="s">
        <v>3853</v>
      </c>
      <c r="J177" s="43">
        <v>0.0</v>
      </c>
      <c r="K177" s="43">
        <v>100.0</v>
      </c>
      <c r="L177" s="43">
        <v>0.0</v>
      </c>
      <c r="M177" s="43">
        <v>0.0</v>
      </c>
      <c r="N177" s="33">
        <f>COUNTIFS('Data For Calculation - Insuranc'!A:A,A177,'Data For Calculation - Insuranc'!D:D,"Individual",'Data For Calculation - Insuranc'!E:E,"Bundled - 1 Year OD + 5 Year TP")</f>
        <v>0</v>
      </c>
      <c r="O177" s="34" t="s">
        <v>3930</v>
      </c>
      <c r="P177" s="25" t="s">
        <v>3820</v>
      </c>
      <c r="Q177" s="43">
        <v>460.0</v>
      </c>
      <c r="R177" s="42" t="s">
        <v>3853</v>
      </c>
      <c r="S177" s="43">
        <v>0.0</v>
      </c>
      <c r="T177" s="43">
        <v>100.0</v>
      </c>
      <c r="U177" s="43">
        <v>0.0</v>
      </c>
      <c r="V177" s="43">
        <v>0.0</v>
      </c>
      <c r="W177" s="33">
        <f>COUNTIFS('Data For Calculation - Insuranc'!A:A,A177,'Data For Calculation - Insuranc'!D:D,"Company",'Data For Calculation - Insuranc'!E:E,"Bundled - 1 Year OD + 5 Year TP")</f>
        <v>0</v>
      </c>
      <c r="X177" s="34" t="s">
        <v>3929</v>
      </c>
      <c r="Y177" s="25" t="s">
        <v>3820</v>
      </c>
      <c r="Z177" s="31">
        <v>290.0</v>
      </c>
      <c r="AA177" s="34" t="s">
        <v>3853</v>
      </c>
      <c r="AB177" s="34">
        <v>0.0</v>
      </c>
      <c r="AC177" s="34">
        <v>100.0</v>
      </c>
      <c r="AD177" s="34">
        <v>0.0</v>
      </c>
      <c r="AE177" s="34">
        <v>0.0</v>
      </c>
      <c r="AF177" s="33">
        <f>COUNTIFS('Data For Calculation - Insuranc'!A:A,A177,'Data For Calculation - Insuranc'!D:D,"Individual",'Data For Calculation - Insuranc'!E:E,"Rollover Comprehensive - 1 Year OD + 1 Year TP")</f>
        <v>0</v>
      </c>
      <c r="AG177" s="34" t="s">
        <v>3930</v>
      </c>
      <c r="AH177" s="25" t="s">
        <v>3820</v>
      </c>
      <c r="AI177" s="31">
        <v>290.0</v>
      </c>
      <c r="AJ177" s="34" t="s">
        <v>3853</v>
      </c>
      <c r="AK177" s="34">
        <v>0.0</v>
      </c>
      <c r="AL177" s="34">
        <v>100.0</v>
      </c>
      <c r="AM177" s="34">
        <v>0.0</v>
      </c>
      <c r="AN177" s="34">
        <v>0.0</v>
      </c>
      <c r="AO177" s="33">
        <f>COUNTIFS('Data For Calculation - Insuranc'!A:A,A177,'Data For Calculation - Insuranc'!D:D,"Company",'Data For Calculation - Insuranc'!E:E,"Rollover Comprehensive - 1 Year OD + 1 Year TP")</f>
        <v>0</v>
      </c>
      <c r="AP177" s="34" t="s">
        <v>3931</v>
      </c>
      <c r="AQ177" s="25" t="s">
        <v>3820</v>
      </c>
      <c r="AR177" s="31">
        <v>290.0</v>
      </c>
      <c r="AS177" s="34" t="s">
        <v>3853</v>
      </c>
      <c r="AT177" s="34">
        <v>0.0</v>
      </c>
      <c r="AU177" s="34">
        <v>100.0</v>
      </c>
      <c r="AV177" s="34">
        <v>0.0</v>
      </c>
      <c r="AW177" s="34">
        <v>0.0</v>
      </c>
      <c r="AX177" s="33">
        <f>COUNTIFS('Data For Calculation - Insuranc'!A:A,A177,'Data For Calculation - Insuranc'!D:D,"Individual",'Data For Calculation - Insuranc'!E:E,"Rollover - 1 Year OD Only")</f>
        <v>0</v>
      </c>
      <c r="AY177" s="34" t="s">
        <v>3932</v>
      </c>
      <c r="AZ177" s="25" t="s">
        <v>3820</v>
      </c>
      <c r="BA177" s="31">
        <v>290.0</v>
      </c>
      <c r="BB177" s="34" t="s">
        <v>3853</v>
      </c>
      <c r="BC177" s="34">
        <v>0.0</v>
      </c>
      <c r="BD177" s="34">
        <v>100.0</v>
      </c>
      <c r="BE177" s="34">
        <v>0.0</v>
      </c>
      <c r="BF177" s="34">
        <v>0.0</v>
      </c>
      <c r="BG177" s="33">
        <f>COUNTIFS('Data For Calculation - Insuranc'!A:A,A177,'Data For Calculation - Insuranc'!D:D,"Company",'Data For Calculation - Insuranc'!E:E,"Rollover - 1 Year OD Only")</f>
        <v>0</v>
      </c>
      <c r="BH177" s="34" t="s">
        <v>3931</v>
      </c>
      <c r="BI177" s="25" t="s">
        <v>3820</v>
      </c>
      <c r="BJ177" s="31">
        <v>290.0</v>
      </c>
      <c r="BK177" s="34" t="s">
        <v>3853</v>
      </c>
      <c r="BL177" s="34">
        <v>0.0</v>
      </c>
      <c r="BM177" s="34">
        <v>100.0</v>
      </c>
      <c r="BN177" s="34">
        <v>0.0</v>
      </c>
      <c r="BO177" s="34">
        <v>0.0</v>
      </c>
      <c r="BP177" s="33">
        <f>COUNTIFS('Data For Calculation - Insuranc'!A:A,A177,'Data For Calculation - Insuranc'!D:D,"Individual",'Data For Calculation - Insuranc'!E:E,"Rollover - 1 Year TP Only")</f>
        <v>0</v>
      </c>
      <c r="BQ177" s="34" t="s">
        <v>3932</v>
      </c>
      <c r="BR177" s="25" t="s">
        <v>3820</v>
      </c>
      <c r="BS177" s="31">
        <v>290.0</v>
      </c>
      <c r="BT177" s="34" t="s">
        <v>3853</v>
      </c>
      <c r="BU177" s="34">
        <v>0.0</v>
      </c>
      <c r="BV177" s="34">
        <v>100.0</v>
      </c>
      <c r="BW177" s="34">
        <v>0.0</v>
      </c>
      <c r="BX177" s="34">
        <v>0.0</v>
      </c>
      <c r="BY177" s="33">
        <f>COUNTIFS('Data For Calculation - Insuranc'!A:A,A177,'Data For Calculation - Insuranc'!D:D,"Company",'Data For Calculation - Insuranc'!E:E,"Rollover - 1 Year TP Only")</f>
        <v>0</v>
      </c>
      <c r="BZ177" s="31">
        <f t="shared" si="1"/>
        <v>0</v>
      </c>
      <c r="CA177" s="33">
        <f>SUMIFS('Data For Calculation - Insuranc'!I:I,'Data For Calculation - Insuranc'!$A:$A,$A177)</f>
        <v>0</v>
      </c>
      <c r="CB177" s="33">
        <f>SUMIFS('Data For Calculation - Insuranc'!J:J,'Data For Calculation - Insuranc'!$A:$A,$A177)</f>
        <v>0</v>
      </c>
      <c r="CC177" s="33">
        <f>SUMIFS('Data For Calculation - Insuranc'!K:K,'Data For Calculation - Insuranc'!$A:$A,$A177)</f>
        <v>0</v>
      </c>
      <c r="CD177" s="33">
        <f>IF($CK177 = "Dealer", SUMIFS('Data For Calculation - Insuranc'!I:I,'Data For Calculation - Insuranc'!$B:$B,$A177,'Data For Calculation - Insuranc'!$H:$H,"Master Dealer")) + SUMIFS('Data For Calculation - Insuranc'!I:I,'Data For Calculation - Insuranc'!$A:$A,$A177,'Data For Calculation - Insuranc'!$H:$H,"Self")</f>
        <v>0</v>
      </c>
      <c r="CE177" s="33">
        <f>IF($CK177 = "Dealer", SUMIFS('Data For Calculation - Insuranc'!J:J,'Data For Calculation - Insuranc'!$B:$B,$A177,'Data For Calculation - Insuranc'!$H:$H,"Master Dealer")) + SUMIFS('Data For Calculation - Insuranc'!J:J,'Data For Calculation - Insuranc'!$A:$A,$A177,'Data For Calculation - Insuranc'!$H:$H,"Self")</f>
        <v>0</v>
      </c>
      <c r="CF177" s="33">
        <f>IF($CK177 = "Dealer", SUMIFS('Data For Calculation - Insuranc'!K:K,'Data For Calculation - Insuranc'!$B:$B,$A177,'Data For Calculation - Insuranc'!$H:$H,"Master Dealer")) + SUMIFS('Data For Calculation - Insuranc'!K:K,'Data For Calculation - Insuranc'!$A:$A,$A177,'Data For Calculation - Insuranc'!$H:$H,"Self")</f>
        <v>0</v>
      </c>
      <c r="CG177" s="25" t="str">
        <f>(Sheet1!N177)</f>
        <v>Krishna &amp; Company - Bahraich</v>
      </c>
      <c r="CH177" s="25" t="str">
        <f>(Sheet1!O177)</f>
        <v>1MZSuDBhj6MvXnyvchodYUa5X-Tmx0AyJTkxlHAAvtro</v>
      </c>
      <c r="CI177" s="25" t="str">
        <f>(Sheet1!AV177)</f>
        <v/>
      </c>
      <c r="CJ177" s="25" t="str">
        <f>(Sheet1!AW177)</f>
        <v/>
      </c>
      <c r="CK177" s="25" t="str">
        <f>(Sheet1!P177)</f>
        <v>Dealer</v>
      </c>
    </row>
    <row r="178">
      <c r="A178" s="25" t="str">
        <f>(Sheet1!A178)</f>
        <v>1F-qgo65nyduysDsu4OiPqLBtjm1sTnysGmg4Ke93FbU</v>
      </c>
      <c r="B178" s="25" t="str">
        <f>(Sheet1!B178)</f>
        <v>Shri Narain auto</v>
      </c>
      <c r="C178" s="30" t="str">
        <f>Sheet1!BB178</f>
        <v>No</v>
      </c>
      <c r="D178" s="30" t="s">
        <v>13</v>
      </c>
      <c r="E178" s="34" t="s">
        <v>13</v>
      </c>
      <c r="F178" s="34" t="s">
        <v>3929</v>
      </c>
      <c r="G178" s="42" t="s">
        <v>3817</v>
      </c>
      <c r="H178" s="43">
        <v>460.0</v>
      </c>
      <c r="I178" s="42" t="s">
        <v>3853</v>
      </c>
      <c r="J178" s="43">
        <v>0.0</v>
      </c>
      <c r="K178" s="43">
        <v>100.0</v>
      </c>
      <c r="L178" s="43">
        <v>0.0</v>
      </c>
      <c r="M178" s="43">
        <v>0.0</v>
      </c>
      <c r="N178" s="33">
        <f>COUNTIFS('Data For Calculation - Insuranc'!A:A,A178,'Data For Calculation - Insuranc'!D:D,"Individual",'Data For Calculation - Insuranc'!E:E,"Bundled - 1 Year OD + 5 Year TP")</f>
        <v>0</v>
      </c>
      <c r="O178" s="34" t="s">
        <v>3930</v>
      </c>
      <c r="P178" s="42" t="s">
        <v>3817</v>
      </c>
      <c r="Q178" s="43">
        <v>460.0</v>
      </c>
      <c r="R178" s="42" t="s">
        <v>3853</v>
      </c>
      <c r="S178" s="43">
        <v>0.0</v>
      </c>
      <c r="T178" s="43">
        <v>100.0</v>
      </c>
      <c r="U178" s="43">
        <v>0.0</v>
      </c>
      <c r="V178" s="43">
        <v>0.0</v>
      </c>
      <c r="W178" s="33">
        <f>COUNTIFS('Data For Calculation - Insuranc'!A:A,A178,'Data For Calculation - Insuranc'!D:D,"Company",'Data For Calculation - Insuranc'!E:E,"Bundled - 1 Year OD + 5 Year TP")</f>
        <v>0</v>
      </c>
      <c r="X178" s="34" t="s">
        <v>3929</v>
      </c>
      <c r="Y178" s="42" t="s">
        <v>3817</v>
      </c>
      <c r="Z178" s="31">
        <v>290.0</v>
      </c>
      <c r="AA178" s="34" t="s">
        <v>3853</v>
      </c>
      <c r="AB178" s="34">
        <v>0.0</v>
      </c>
      <c r="AC178" s="34">
        <v>100.0</v>
      </c>
      <c r="AD178" s="34">
        <v>0.0</v>
      </c>
      <c r="AE178" s="34">
        <v>0.0</v>
      </c>
      <c r="AF178" s="33">
        <f>COUNTIFS('Data For Calculation - Insuranc'!A:A,A178,'Data For Calculation - Insuranc'!D:D,"Individual",'Data For Calculation - Insuranc'!E:E,"Rollover Comprehensive - 1 Year OD + 1 Year TP")</f>
        <v>0</v>
      </c>
      <c r="AG178" s="34" t="s">
        <v>3930</v>
      </c>
      <c r="AH178" s="42" t="s">
        <v>3817</v>
      </c>
      <c r="AI178" s="31">
        <v>290.0</v>
      </c>
      <c r="AJ178" s="34" t="s">
        <v>3853</v>
      </c>
      <c r="AK178" s="34">
        <v>0.0</v>
      </c>
      <c r="AL178" s="34">
        <v>100.0</v>
      </c>
      <c r="AM178" s="34">
        <v>0.0</v>
      </c>
      <c r="AN178" s="34">
        <v>0.0</v>
      </c>
      <c r="AO178" s="33">
        <f>COUNTIFS('Data For Calculation - Insuranc'!A:A,A178,'Data For Calculation - Insuranc'!D:D,"Company",'Data For Calculation - Insuranc'!E:E,"Rollover Comprehensive - 1 Year OD + 1 Year TP")</f>
        <v>0</v>
      </c>
      <c r="AP178" s="34" t="s">
        <v>3931</v>
      </c>
      <c r="AQ178" s="42" t="s">
        <v>3817</v>
      </c>
      <c r="AR178" s="31">
        <v>290.0</v>
      </c>
      <c r="AS178" s="34" t="s">
        <v>3853</v>
      </c>
      <c r="AT178" s="34">
        <v>0.0</v>
      </c>
      <c r="AU178" s="34">
        <v>100.0</v>
      </c>
      <c r="AV178" s="34">
        <v>0.0</v>
      </c>
      <c r="AW178" s="34">
        <v>0.0</v>
      </c>
      <c r="AX178" s="33">
        <f>COUNTIFS('Data For Calculation - Insuranc'!A:A,A178,'Data For Calculation - Insuranc'!D:D,"Individual",'Data For Calculation - Insuranc'!E:E,"Rollover - 1 Year OD Only")</f>
        <v>0</v>
      </c>
      <c r="AY178" s="34" t="s">
        <v>3932</v>
      </c>
      <c r="AZ178" s="42" t="s">
        <v>3817</v>
      </c>
      <c r="BA178" s="31">
        <v>290.0</v>
      </c>
      <c r="BB178" s="34" t="s">
        <v>3853</v>
      </c>
      <c r="BC178" s="34">
        <v>0.0</v>
      </c>
      <c r="BD178" s="34">
        <v>100.0</v>
      </c>
      <c r="BE178" s="34">
        <v>0.0</v>
      </c>
      <c r="BF178" s="34">
        <v>0.0</v>
      </c>
      <c r="BG178" s="33">
        <f>COUNTIFS('Data For Calculation - Insuranc'!A:A,A178,'Data For Calculation - Insuranc'!D:D,"Company",'Data For Calculation - Insuranc'!E:E,"Rollover - 1 Year OD Only")</f>
        <v>0</v>
      </c>
      <c r="BH178" s="34" t="s">
        <v>3931</v>
      </c>
      <c r="BI178" s="42" t="s">
        <v>3817</v>
      </c>
      <c r="BJ178" s="31">
        <v>290.0</v>
      </c>
      <c r="BK178" s="34" t="s">
        <v>3853</v>
      </c>
      <c r="BL178" s="34">
        <v>0.0</v>
      </c>
      <c r="BM178" s="34">
        <v>100.0</v>
      </c>
      <c r="BN178" s="34">
        <v>0.0</v>
      </c>
      <c r="BO178" s="34">
        <v>0.0</v>
      </c>
      <c r="BP178" s="33">
        <f>COUNTIFS('Data For Calculation - Insuranc'!A:A,A178,'Data For Calculation - Insuranc'!D:D,"Individual",'Data For Calculation - Insuranc'!E:E,"Rollover - 1 Year TP Only")</f>
        <v>0</v>
      </c>
      <c r="BQ178" s="34" t="s">
        <v>3932</v>
      </c>
      <c r="BR178" s="42" t="s">
        <v>3817</v>
      </c>
      <c r="BS178" s="31">
        <v>290.0</v>
      </c>
      <c r="BT178" s="34" t="s">
        <v>3853</v>
      </c>
      <c r="BU178" s="34">
        <v>0.0</v>
      </c>
      <c r="BV178" s="34">
        <v>100.0</v>
      </c>
      <c r="BW178" s="34">
        <v>0.0</v>
      </c>
      <c r="BX178" s="34">
        <v>0.0</v>
      </c>
      <c r="BY178" s="33">
        <f>COUNTIFS('Data For Calculation - Insuranc'!A:A,A178,'Data For Calculation - Insuranc'!D:D,"Company",'Data For Calculation - Insuranc'!E:E,"Rollover - 1 Year TP Only")</f>
        <v>0</v>
      </c>
      <c r="BZ178" s="31">
        <f t="shared" si="1"/>
        <v>0</v>
      </c>
      <c r="CA178" s="33">
        <f>SUMIFS('Data For Calculation - Insuranc'!I:I,'Data For Calculation - Insuranc'!$A:$A,$A178)</f>
        <v>0</v>
      </c>
      <c r="CB178" s="33">
        <f>SUMIFS('Data For Calculation - Insuranc'!J:J,'Data For Calculation - Insuranc'!$A:$A,$A178)</f>
        <v>0</v>
      </c>
      <c r="CC178" s="33">
        <f>SUMIFS('Data For Calculation - Insuranc'!K:K,'Data For Calculation - Insuranc'!$A:$A,$A178)</f>
        <v>0</v>
      </c>
      <c r="CD178" s="33">
        <f>IF($CK178 = "Dealer", SUMIFS('Data For Calculation - Insuranc'!I:I,'Data For Calculation - Insuranc'!$B:$B,$A178,'Data For Calculation - Insuranc'!$H:$H,"Master Dealer")) + SUMIFS('Data For Calculation - Insuranc'!I:I,'Data For Calculation - Insuranc'!$A:$A,$A178,'Data For Calculation - Insuranc'!$H:$H,"Self")</f>
        <v>0</v>
      </c>
      <c r="CE178" s="33">
        <f>IF($CK178 = "Dealer", SUMIFS('Data For Calculation - Insuranc'!J:J,'Data For Calculation - Insuranc'!$B:$B,$A178,'Data For Calculation - Insuranc'!$H:$H,"Master Dealer")) + SUMIFS('Data For Calculation - Insuranc'!J:J,'Data For Calculation - Insuranc'!$A:$A,$A178,'Data For Calculation - Insuranc'!$H:$H,"Self")</f>
        <v>0</v>
      </c>
      <c r="CF178" s="33">
        <f>IF($CK178 = "Dealer", SUMIFS('Data For Calculation - Insuranc'!K:K,'Data For Calculation - Insuranc'!$B:$B,$A178,'Data For Calculation - Insuranc'!$H:$H,"Master Dealer")) + SUMIFS('Data For Calculation - Insuranc'!K:K,'Data For Calculation - Insuranc'!$A:$A,$A178,'Data For Calculation - Insuranc'!$H:$H,"Self")</f>
        <v>0</v>
      </c>
      <c r="CG178" s="25" t="str">
        <f>(Sheet1!N178)</f>
        <v>Shri Narain auto</v>
      </c>
      <c r="CH178" s="25" t="str">
        <f>(Sheet1!O178)</f>
        <v>1F-qgo65nyduysDsu4OiPqLBtjm1sTnysGmg4Ke93FbU</v>
      </c>
      <c r="CI178" s="25" t="str">
        <f>(Sheet1!AV178)</f>
        <v/>
      </c>
      <c r="CJ178" s="25" t="str">
        <f>(Sheet1!AW178)</f>
        <v/>
      </c>
      <c r="CK178" s="26" t="str">
        <f>(Sheet1!P178)</f>
        <v>Dealer</v>
      </c>
    </row>
    <row r="179">
      <c r="A179" s="25" t="str">
        <f>(Sheet1!A179)</f>
        <v>1rHOrl-RR_wmvN1hR6qvRLwO5p4_e081st6veS3SDnKk</v>
      </c>
      <c r="B179" s="25" t="str">
        <f>(Sheet1!B179)</f>
        <v>AGARWAL HERO SITAPUR</v>
      </c>
      <c r="C179" s="30" t="str">
        <f>Sheet1!BB179</f>
        <v>No</v>
      </c>
      <c r="D179" s="30" t="s">
        <v>13</v>
      </c>
      <c r="E179" s="34" t="s">
        <v>13</v>
      </c>
      <c r="F179" s="34" t="s">
        <v>3929</v>
      </c>
      <c r="G179" s="42" t="s">
        <v>3817</v>
      </c>
      <c r="H179" s="43">
        <v>460.0</v>
      </c>
      <c r="I179" s="42" t="s">
        <v>3853</v>
      </c>
      <c r="J179" s="43">
        <v>0.0</v>
      </c>
      <c r="K179" s="43">
        <v>100.0</v>
      </c>
      <c r="L179" s="43">
        <v>0.0</v>
      </c>
      <c r="M179" s="43">
        <v>0.0</v>
      </c>
      <c r="N179" s="33">
        <f>COUNTIFS('Data For Calculation - Insuranc'!A:A,A179,'Data For Calculation - Insuranc'!D:D,"Individual",'Data For Calculation - Insuranc'!E:E,"Bundled - 1 Year OD + 5 Year TP")</f>
        <v>0</v>
      </c>
      <c r="O179" s="34" t="s">
        <v>3930</v>
      </c>
      <c r="P179" s="42" t="s">
        <v>3817</v>
      </c>
      <c r="Q179" s="43">
        <v>460.0</v>
      </c>
      <c r="R179" s="42" t="s">
        <v>3853</v>
      </c>
      <c r="S179" s="43">
        <v>0.0</v>
      </c>
      <c r="T179" s="43">
        <v>100.0</v>
      </c>
      <c r="U179" s="43">
        <v>0.0</v>
      </c>
      <c r="V179" s="43">
        <v>0.0</v>
      </c>
      <c r="W179" s="33">
        <f>COUNTIFS('Data For Calculation - Insuranc'!A:A,A179,'Data For Calculation - Insuranc'!D:D,"Company",'Data For Calculation - Insuranc'!E:E,"Bundled - 1 Year OD + 5 Year TP")</f>
        <v>0</v>
      </c>
      <c r="X179" s="34" t="s">
        <v>3929</v>
      </c>
      <c r="Y179" s="42" t="s">
        <v>3817</v>
      </c>
      <c r="Z179" s="31">
        <v>290.0</v>
      </c>
      <c r="AA179" s="34" t="s">
        <v>3853</v>
      </c>
      <c r="AB179" s="34">
        <v>0.0</v>
      </c>
      <c r="AC179" s="34">
        <v>100.0</v>
      </c>
      <c r="AD179" s="34">
        <v>0.0</v>
      </c>
      <c r="AE179" s="34">
        <v>0.0</v>
      </c>
      <c r="AF179" s="33">
        <f>COUNTIFS('Data For Calculation - Insuranc'!A:A,A179,'Data For Calculation - Insuranc'!D:D,"Individual",'Data For Calculation - Insuranc'!E:E,"Rollover Comprehensive - 1 Year OD + 1 Year TP")</f>
        <v>0</v>
      </c>
      <c r="AG179" s="34" t="s">
        <v>3930</v>
      </c>
      <c r="AH179" s="42" t="s">
        <v>3817</v>
      </c>
      <c r="AI179" s="31">
        <v>290.0</v>
      </c>
      <c r="AJ179" s="34" t="s">
        <v>3853</v>
      </c>
      <c r="AK179" s="34">
        <v>0.0</v>
      </c>
      <c r="AL179" s="34">
        <v>100.0</v>
      </c>
      <c r="AM179" s="34">
        <v>0.0</v>
      </c>
      <c r="AN179" s="34">
        <v>0.0</v>
      </c>
      <c r="AO179" s="33">
        <f>COUNTIFS('Data For Calculation - Insuranc'!A:A,A179,'Data For Calculation - Insuranc'!D:D,"Company",'Data For Calculation - Insuranc'!E:E,"Rollover Comprehensive - 1 Year OD + 1 Year TP")</f>
        <v>0</v>
      </c>
      <c r="AP179" s="34" t="s">
        <v>3931</v>
      </c>
      <c r="AQ179" s="42" t="s">
        <v>3817</v>
      </c>
      <c r="AR179" s="31">
        <v>290.0</v>
      </c>
      <c r="AS179" s="34" t="s">
        <v>3853</v>
      </c>
      <c r="AT179" s="34">
        <v>0.0</v>
      </c>
      <c r="AU179" s="34">
        <v>100.0</v>
      </c>
      <c r="AV179" s="34">
        <v>0.0</v>
      </c>
      <c r="AW179" s="34">
        <v>0.0</v>
      </c>
      <c r="AX179" s="33">
        <f>COUNTIFS('Data For Calculation - Insuranc'!A:A,A179,'Data For Calculation - Insuranc'!D:D,"Individual",'Data For Calculation - Insuranc'!E:E,"Rollover - 1 Year OD Only")</f>
        <v>0</v>
      </c>
      <c r="AY179" s="34" t="s">
        <v>3932</v>
      </c>
      <c r="AZ179" s="42" t="s">
        <v>3817</v>
      </c>
      <c r="BA179" s="31">
        <v>290.0</v>
      </c>
      <c r="BB179" s="34" t="s">
        <v>3853</v>
      </c>
      <c r="BC179" s="34">
        <v>0.0</v>
      </c>
      <c r="BD179" s="34">
        <v>100.0</v>
      </c>
      <c r="BE179" s="34">
        <v>0.0</v>
      </c>
      <c r="BF179" s="34">
        <v>0.0</v>
      </c>
      <c r="BG179" s="33">
        <f>COUNTIFS('Data For Calculation - Insuranc'!A:A,A179,'Data For Calculation - Insuranc'!D:D,"Company",'Data For Calculation - Insuranc'!E:E,"Rollover - 1 Year OD Only")</f>
        <v>0</v>
      </c>
      <c r="BH179" s="34" t="s">
        <v>3931</v>
      </c>
      <c r="BI179" s="42" t="s">
        <v>3817</v>
      </c>
      <c r="BJ179" s="31">
        <v>290.0</v>
      </c>
      <c r="BK179" s="34" t="s">
        <v>3853</v>
      </c>
      <c r="BL179" s="34">
        <v>0.0</v>
      </c>
      <c r="BM179" s="34">
        <v>100.0</v>
      </c>
      <c r="BN179" s="34">
        <v>0.0</v>
      </c>
      <c r="BO179" s="34">
        <v>0.0</v>
      </c>
      <c r="BP179" s="33">
        <f>COUNTIFS('Data For Calculation - Insuranc'!A:A,A179,'Data For Calculation - Insuranc'!D:D,"Individual",'Data For Calculation - Insuranc'!E:E,"Rollover - 1 Year TP Only")</f>
        <v>0</v>
      </c>
      <c r="BQ179" s="34" t="s">
        <v>3932</v>
      </c>
      <c r="BR179" s="42" t="s">
        <v>3817</v>
      </c>
      <c r="BS179" s="31">
        <v>290.0</v>
      </c>
      <c r="BT179" s="34" t="s">
        <v>3853</v>
      </c>
      <c r="BU179" s="34">
        <v>0.0</v>
      </c>
      <c r="BV179" s="34">
        <v>100.0</v>
      </c>
      <c r="BW179" s="34">
        <v>0.0</v>
      </c>
      <c r="BX179" s="34">
        <v>0.0</v>
      </c>
      <c r="BY179" s="33">
        <f>COUNTIFS('Data For Calculation - Insuranc'!A:A,A179,'Data For Calculation - Insuranc'!D:D,"Company",'Data For Calculation - Insuranc'!E:E,"Rollover - 1 Year TP Only")</f>
        <v>0</v>
      </c>
      <c r="BZ179" s="31">
        <f t="shared" si="1"/>
        <v>0</v>
      </c>
      <c r="CA179" s="33">
        <f>SUMIFS('Data For Calculation - Insuranc'!I:I,'Data For Calculation - Insuranc'!$A:$A,$A179)</f>
        <v>0</v>
      </c>
      <c r="CB179" s="33">
        <f>SUMIFS('Data For Calculation - Insuranc'!J:J,'Data For Calculation - Insuranc'!$A:$A,$A179)</f>
        <v>0</v>
      </c>
      <c r="CC179" s="33">
        <f>SUMIFS('Data For Calculation - Insuranc'!K:K,'Data For Calculation - Insuranc'!$A:$A,$A179)</f>
        <v>0</v>
      </c>
      <c r="CD179" s="33">
        <f>IF($CK179 = "Dealer", SUMIFS('Data For Calculation - Insuranc'!I:I,'Data For Calculation - Insuranc'!$B:$B,$A179,'Data For Calculation - Insuranc'!$H:$H,"Master Dealer")) + SUMIFS('Data For Calculation - Insuranc'!I:I,'Data For Calculation - Insuranc'!$A:$A,$A179,'Data For Calculation - Insuranc'!$H:$H,"Self")</f>
        <v>0</v>
      </c>
      <c r="CE179" s="33">
        <f>IF($CK179 = "Dealer", SUMIFS('Data For Calculation - Insuranc'!J:J,'Data For Calculation - Insuranc'!$B:$B,$A179,'Data For Calculation - Insuranc'!$H:$H,"Master Dealer")) + SUMIFS('Data For Calculation - Insuranc'!J:J,'Data For Calculation - Insuranc'!$A:$A,$A179,'Data For Calculation - Insuranc'!$H:$H,"Self")</f>
        <v>0</v>
      </c>
      <c r="CF179" s="33">
        <f>IF($CK179 = "Dealer", SUMIFS('Data For Calculation - Insuranc'!K:K,'Data For Calculation - Insuranc'!$B:$B,$A179,'Data For Calculation - Insuranc'!$H:$H,"Master Dealer")) + SUMIFS('Data For Calculation - Insuranc'!K:K,'Data For Calculation - Insuranc'!$A:$A,$A179,'Data For Calculation - Insuranc'!$H:$H,"Self")</f>
        <v>0</v>
      </c>
      <c r="CG179" s="25" t="str">
        <f>(Sheet1!N179)</f>
        <v>AGARWAL HERO SITAPUR</v>
      </c>
      <c r="CH179" s="25" t="str">
        <f>(Sheet1!O179)</f>
        <v>1rHOrl-RR_wmvN1hR6qvRLwO5p4_e081st6veS3SDnKk</v>
      </c>
      <c r="CI179" s="25" t="str">
        <f>(Sheet1!AV179)</f>
        <v/>
      </c>
      <c r="CJ179" s="25" t="str">
        <f>(Sheet1!AW179)</f>
        <v/>
      </c>
      <c r="CK179" s="26" t="str">
        <f>(Sheet1!P179)</f>
        <v>Dealer</v>
      </c>
    </row>
    <row r="180">
      <c r="A180" s="25" t="str">
        <f>(Sheet1!A180)</f>
        <v>15if03Q4YLoDcHi2HznX5QBpY6yQHJPDyifJKxRYKV-8</v>
      </c>
      <c r="B180" s="25" t="str">
        <f>(Sheet1!B180)</f>
        <v>SATKAR HONDA - RUDRAPUR</v>
      </c>
      <c r="C180" s="30" t="str">
        <f>Sheet1!BB180</f>
        <v>No</v>
      </c>
      <c r="D180" s="30" t="s">
        <v>13</v>
      </c>
      <c r="E180" s="34" t="s">
        <v>13</v>
      </c>
      <c r="F180" s="34" t="s">
        <v>3929</v>
      </c>
      <c r="G180" s="25" t="s">
        <v>3820</v>
      </c>
      <c r="H180" s="33">
        <v>460.0</v>
      </c>
      <c r="I180" s="42" t="s">
        <v>3853</v>
      </c>
      <c r="J180" s="43">
        <v>0.0</v>
      </c>
      <c r="K180" s="43">
        <v>100.0</v>
      </c>
      <c r="L180" s="43">
        <v>0.0</v>
      </c>
      <c r="M180" s="43">
        <v>0.0</v>
      </c>
      <c r="N180" s="33">
        <f>COUNTIFS('Data For Calculation - Insuranc'!A:A,A180,'Data For Calculation - Insuranc'!D:D,"Individual",'Data For Calculation - Insuranc'!E:E,"Bundled - 1 Year OD + 5 Year TP")</f>
        <v>0</v>
      </c>
      <c r="O180" s="34" t="s">
        <v>3930</v>
      </c>
      <c r="P180" s="25" t="s">
        <v>3820</v>
      </c>
      <c r="Q180" s="33">
        <v>460.0</v>
      </c>
      <c r="R180" s="42" t="s">
        <v>3853</v>
      </c>
      <c r="S180" s="43">
        <v>0.0</v>
      </c>
      <c r="T180" s="43">
        <v>100.0</v>
      </c>
      <c r="U180" s="43">
        <v>0.0</v>
      </c>
      <c r="V180" s="43">
        <v>0.0</v>
      </c>
      <c r="W180" s="33">
        <f>COUNTIFS('Data For Calculation - Insuranc'!A:A,A180,'Data For Calculation - Insuranc'!D:D,"Company",'Data For Calculation - Insuranc'!E:E,"Bundled - 1 Year OD + 5 Year TP")</f>
        <v>0</v>
      </c>
      <c r="X180" s="34" t="s">
        <v>3929</v>
      </c>
      <c r="Y180" s="25" t="s">
        <v>3820</v>
      </c>
      <c r="Z180" s="33">
        <v>290.0</v>
      </c>
      <c r="AA180" s="34" t="s">
        <v>3853</v>
      </c>
      <c r="AB180" s="34">
        <v>0.0</v>
      </c>
      <c r="AC180" s="34">
        <v>100.0</v>
      </c>
      <c r="AD180" s="34">
        <v>0.0</v>
      </c>
      <c r="AE180" s="34">
        <v>0.0</v>
      </c>
      <c r="AF180" s="33">
        <f>COUNTIFS('Data For Calculation - Insuranc'!A:A,A180,'Data For Calculation - Insuranc'!D:D,"Individual",'Data For Calculation - Insuranc'!E:E,"Rollover Comprehensive - 1 Year OD + 1 Year TP")</f>
        <v>0</v>
      </c>
      <c r="AG180" s="34" t="s">
        <v>3930</v>
      </c>
      <c r="AH180" s="25" t="s">
        <v>3820</v>
      </c>
      <c r="AI180" s="33">
        <v>290.0</v>
      </c>
      <c r="AJ180" s="34" t="s">
        <v>3853</v>
      </c>
      <c r="AK180" s="34">
        <v>0.0</v>
      </c>
      <c r="AL180" s="34">
        <v>100.0</v>
      </c>
      <c r="AM180" s="34">
        <v>0.0</v>
      </c>
      <c r="AN180" s="34">
        <v>0.0</v>
      </c>
      <c r="AO180" s="33">
        <f>COUNTIFS('Data For Calculation - Insuranc'!A:A,A180,'Data For Calculation - Insuranc'!D:D,"Company",'Data For Calculation - Insuranc'!E:E,"Rollover Comprehensive - 1 Year OD + 1 Year TP")</f>
        <v>0</v>
      </c>
      <c r="AP180" s="34" t="s">
        <v>3931</v>
      </c>
      <c r="AQ180" s="25" t="s">
        <v>3820</v>
      </c>
      <c r="AR180" s="33">
        <v>290.0</v>
      </c>
      <c r="AS180" s="34" t="s">
        <v>3853</v>
      </c>
      <c r="AT180" s="34">
        <v>0.0</v>
      </c>
      <c r="AU180" s="34">
        <v>100.0</v>
      </c>
      <c r="AV180" s="34">
        <v>0.0</v>
      </c>
      <c r="AW180" s="34">
        <v>0.0</v>
      </c>
      <c r="AX180" s="33">
        <f>COUNTIFS('Data For Calculation - Insuranc'!A:A,A180,'Data For Calculation - Insuranc'!D:D,"Individual",'Data For Calculation - Insuranc'!E:E,"Rollover - 1 Year OD Only")</f>
        <v>0</v>
      </c>
      <c r="AY180" s="34" t="s">
        <v>3932</v>
      </c>
      <c r="AZ180" s="25" t="s">
        <v>3820</v>
      </c>
      <c r="BA180" s="33">
        <v>290.0</v>
      </c>
      <c r="BB180" s="34" t="s">
        <v>3853</v>
      </c>
      <c r="BC180" s="34">
        <v>0.0</v>
      </c>
      <c r="BD180" s="34">
        <v>100.0</v>
      </c>
      <c r="BE180" s="34">
        <v>0.0</v>
      </c>
      <c r="BF180" s="34">
        <v>0.0</v>
      </c>
      <c r="BG180" s="33">
        <f>COUNTIFS('Data For Calculation - Insuranc'!A:A,A180,'Data For Calculation - Insuranc'!D:D,"Company",'Data For Calculation - Insuranc'!E:E,"Rollover - 1 Year OD Only")</f>
        <v>0</v>
      </c>
      <c r="BH180" s="34" t="s">
        <v>3931</v>
      </c>
      <c r="BI180" s="25" t="s">
        <v>3820</v>
      </c>
      <c r="BJ180" s="33">
        <v>290.0</v>
      </c>
      <c r="BK180" s="34" t="s">
        <v>3853</v>
      </c>
      <c r="BL180" s="34">
        <v>0.0</v>
      </c>
      <c r="BM180" s="34">
        <v>100.0</v>
      </c>
      <c r="BN180" s="34">
        <v>0.0</v>
      </c>
      <c r="BO180" s="34">
        <v>0.0</v>
      </c>
      <c r="BP180" s="33">
        <f>COUNTIFS('Data For Calculation - Insuranc'!A:A,A180,'Data For Calculation - Insuranc'!D:D,"Individual",'Data For Calculation - Insuranc'!E:E,"Rollover - 1 Year TP Only")</f>
        <v>0</v>
      </c>
      <c r="BQ180" s="34" t="s">
        <v>3932</v>
      </c>
      <c r="BR180" s="25" t="s">
        <v>3820</v>
      </c>
      <c r="BS180" s="33">
        <v>290.0</v>
      </c>
      <c r="BT180" s="34" t="s">
        <v>3853</v>
      </c>
      <c r="BU180" s="34">
        <v>0.0</v>
      </c>
      <c r="BV180" s="34">
        <v>100.0</v>
      </c>
      <c r="BW180" s="34">
        <v>0.0</v>
      </c>
      <c r="BX180" s="34">
        <v>0.0</v>
      </c>
      <c r="BY180" s="33">
        <f>COUNTIFS('Data For Calculation - Insuranc'!A:A,A180,'Data For Calculation - Insuranc'!D:D,"Company",'Data For Calculation - Insuranc'!E:E,"Rollover - 1 Year TP Only")</f>
        <v>0</v>
      </c>
      <c r="BZ180" s="31">
        <f t="shared" si="1"/>
        <v>0</v>
      </c>
      <c r="CA180" s="33">
        <f>SUMIFS('Data For Calculation - Insuranc'!I:I,'Data For Calculation - Insuranc'!$A:$A,$A180)</f>
        <v>0</v>
      </c>
      <c r="CB180" s="33">
        <f>SUMIFS('Data For Calculation - Insuranc'!J:J,'Data For Calculation - Insuranc'!$A:$A,$A180)</f>
        <v>0</v>
      </c>
      <c r="CC180" s="33">
        <f>SUMIFS('Data For Calculation - Insuranc'!K:K,'Data For Calculation - Insuranc'!$A:$A,$A180)</f>
        <v>0</v>
      </c>
      <c r="CD180" s="33">
        <f>IF($CK180 = "Dealer", SUMIFS('Data For Calculation - Insuranc'!I:I,'Data For Calculation - Insuranc'!$B:$B,$A180,'Data For Calculation - Insuranc'!$H:$H,"Master Dealer")) + SUMIFS('Data For Calculation - Insuranc'!I:I,'Data For Calculation - Insuranc'!$A:$A,$A180,'Data For Calculation - Insuranc'!$H:$H,"Self")</f>
        <v>0</v>
      </c>
      <c r="CE180" s="33">
        <f>IF($CK180 = "Dealer", SUMIFS('Data For Calculation - Insuranc'!J:J,'Data For Calculation - Insuranc'!$B:$B,$A180,'Data For Calculation - Insuranc'!$H:$H,"Master Dealer")) + SUMIFS('Data For Calculation - Insuranc'!J:J,'Data For Calculation - Insuranc'!$A:$A,$A180,'Data For Calculation - Insuranc'!$H:$H,"Self")</f>
        <v>0</v>
      </c>
      <c r="CF180" s="33">
        <f>IF($CK180 = "Dealer", SUMIFS('Data For Calculation - Insuranc'!K:K,'Data For Calculation - Insuranc'!$B:$B,$A180,'Data For Calculation - Insuranc'!$H:$H,"Master Dealer")) + SUMIFS('Data For Calculation - Insuranc'!K:K,'Data For Calculation - Insuranc'!$A:$A,$A180,'Data For Calculation - Insuranc'!$H:$H,"Self")</f>
        <v>0</v>
      </c>
      <c r="CG180" s="25" t="str">
        <f>(Sheet1!N180)</f>
        <v>SATKAR HONDA - RUDRAPUR</v>
      </c>
      <c r="CH180" s="25" t="str">
        <f>(Sheet1!O180)</f>
        <v>15if03Q4YLoDcHi2HznX5QBpY6yQHJPDyifJKxRYKV-8</v>
      </c>
      <c r="CI180" s="25" t="str">
        <f>(Sheet1!AV180)</f>
        <v/>
      </c>
      <c r="CJ180" s="25" t="str">
        <f>(Sheet1!AW180)</f>
        <v/>
      </c>
      <c r="CK180" s="25" t="str">
        <f>(Sheet1!P180)</f>
        <v>Dealer</v>
      </c>
    </row>
    <row r="181">
      <c r="A181" s="25" t="str">
        <f>(Sheet1!A181)</f>
        <v>1Bn0dgc_QYbF664LnJPJT-IEcqhx5gMA1AtzkRyd3ZGA</v>
      </c>
      <c r="B181" s="25" t="str">
        <f>(Sheet1!B181)</f>
        <v>Jai Automobiles - Akbarpur</v>
      </c>
      <c r="C181" s="30" t="str">
        <f>Sheet1!BB181</f>
        <v>No</v>
      </c>
      <c r="D181" s="30" t="s">
        <v>13</v>
      </c>
      <c r="E181" s="34" t="s">
        <v>13</v>
      </c>
      <c r="F181" s="34" t="s">
        <v>3929</v>
      </c>
      <c r="G181" s="25" t="s">
        <v>3820</v>
      </c>
      <c r="H181" s="43">
        <v>460.0</v>
      </c>
      <c r="I181" s="42" t="s">
        <v>3853</v>
      </c>
      <c r="J181" s="43">
        <v>0.0</v>
      </c>
      <c r="K181" s="43">
        <v>100.0</v>
      </c>
      <c r="L181" s="43">
        <v>0.0</v>
      </c>
      <c r="M181" s="43">
        <v>0.0</v>
      </c>
      <c r="N181" s="33">
        <f>COUNTIFS('Data For Calculation - Insuranc'!A:A,A181,'Data For Calculation - Insuranc'!D:D,"Individual",'Data For Calculation - Insuranc'!E:E,"Bundled - 1 Year OD + 5 Year TP")</f>
        <v>0</v>
      </c>
      <c r="O181" s="34" t="s">
        <v>3930</v>
      </c>
      <c r="P181" s="25" t="s">
        <v>3820</v>
      </c>
      <c r="Q181" s="43">
        <v>460.0</v>
      </c>
      <c r="R181" s="42" t="s">
        <v>3853</v>
      </c>
      <c r="S181" s="43">
        <v>0.0</v>
      </c>
      <c r="T181" s="43">
        <v>100.0</v>
      </c>
      <c r="U181" s="43">
        <v>0.0</v>
      </c>
      <c r="V181" s="43">
        <v>0.0</v>
      </c>
      <c r="W181" s="33">
        <f>COUNTIFS('Data For Calculation - Insuranc'!A:A,A181,'Data For Calculation - Insuranc'!D:D,"Company",'Data For Calculation - Insuranc'!E:E,"Bundled - 1 Year OD + 5 Year TP")</f>
        <v>0</v>
      </c>
      <c r="X181" s="34" t="s">
        <v>3929</v>
      </c>
      <c r="Y181" s="25" t="s">
        <v>3820</v>
      </c>
      <c r="Z181" s="31">
        <v>205.0</v>
      </c>
      <c r="AA181" s="34" t="s">
        <v>3853</v>
      </c>
      <c r="AB181" s="34">
        <v>0.0</v>
      </c>
      <c r="AC181" s="34">
        <v>100.0</v>
      </c>
      <c r="AD181" s="34">
        <v>0.0</v>
      </c>
      <c r="AE181" s="34">
        <v>0.0</v>
      </c>
      <c r="AF181" s="33">
        <f>COUNTIFS('Data For Calculation - Insuranc'!A:A,A181,'Data For Calculation - Insuranc'!D:D,"Individual",'Data For Calculation - Insuranc'!E:E,"Rollover Comprehensive - 1 Year OD + 1 Year TP")</f>
        <v>0</v>
      </c>
      <c r="AG181" s="34" t="s">
        <v>3930</v>
      </c>
      <c r="AH181" s="25" t="s">
        <v>3820</v>
      </c>
      <c r="AI181" s="31">
        <v>205.0</v>
      </c>
      <c r="AJ181" s="34" t="s">
        <v>3853</v>
      </c>
      <c r="AK181" s="34">
        <v>0.0</v>
      </c>
      <c r="AL181" s="34">
        <v>100.0</v>
      </c>
      <c r="AM181" s="34">
        <v>0.0</v>
      </c>
      <c r="AN181" s="34">
        <v>0.0</v>
      </c>
      <c r="AO181" s="33">
        <f>COUNTIFS('Data For Calculation - Insuranc'!A:A,A181,'Data For Calculation - Insuranc'!D:D,"Company",'Data For Calculation - Insuranc'!E:E,"Rollover Comprehensive - 1 Year OD + 1 Year TP")</f>
        <v>0</v>
      </c>
      <c r="AP181" s="34" t="s">
        <v>3931</v>
      </c>
      <c r="AQ181" s="25" t="s">
        <v>3820</v>
      </c>
      <c r="AR181" s="31">
        <v>205.0</v>
      </c>
      <c r="AS181" s="34" t="s">
        <v>3853</v>
      </c>
      <c r="AT181" s="34">
        <v>0.0</v>
      </c>
      <c r="AU181" s="34">
        <v>100.0</v>
      </c>
      <c r="AV181" s="34">
        <v>0.0</v>
      </c>
      <c r="AW181" s="34">
        <v>0.0</v>
      </c>
      <c r="AX181" s="33">
        <f>COUNTIFS('Data For Calculation - Insuranc'!A:A,A181,'Data For Calculation - Insuranc'!D:D,"Individual",'Data For Calculation - Insuranc'!E:E,"Rollover - 1 Year OD Only")</f>
        <v>0</v>
      </c>
      <c r="AY181" s="34" t="s">
        <v>3932</v>
      </c>
      <c r="AZ181" s="25" t="s">
        <v>3820</v>
      </c>
      <c r="BA181" s="31">
        <v>205.0</v>
      </c>
      <c r="BB181" s="34" t="s">
        <v>3853</v>
      </c>
      <c r="BC181" s="34">
        <v>0.0</v>
      </c>
      <c r="BD181" s="34">
        <v>100.0</v>
      </c>
      <c r="BE181" s="34">
        <v>0.0</v>
      </c>
      <c r="BF181" s="34">
        <v>0.0</v>
      </c>
      <c r="BG181" s="33">
        <f>COUNTIFS('Data For Calculation - Insuranc'!A:A,A181,'Data For Calculation - Insuranc'!D:D,"Company",'Data For Calculation - Insuranc'!E:E,"Rollover - 1 Year OD Only")</f>
        <v>0</v>
      </c>
      <c r="BH181" s="34" t="s">
        <v>3931</v>
      </c>
      <c r="BI181" s="25" t="s">
        <v>3820</v>
      </c>
      <c r="BJ181" s="31">
        <v>205.0</v>
      </c>
      <c r="BK181" s="34" t="s">
        <v>3853</v>
      </c>
      <c r="BL181" s="34">
        <v>0.0</v>
      </c>
      <c r="BM181" s="34">
        <v>100.0</v>
      </c>
      <c r="BN181" s="34">
        <v>0.0</v>
      </c>
      <c r="BO181" s="34">
        <v>0.0</v>
      </c>
      <c r="BP181" s="33">
        <f>COUNTIFS('Data For Calculation - Insuranc'!A:A,A181,'Data For Calculation - Insuranc'!D:D,"Individual",'Data For Calculation - Insuranc'!E:E,"Rollover - 1 Year TP Only")</f>
        <v>0</v>
      </c>
      <c r="BQ181" s="34" t="s">
        <v>3932</v>
      </c>
      <c r="BR181" s="25" t="s">
        <v>3820</v>
      </c>
      <c r="BS181" s="31">
        <v>205.0</v>
      </c>
      <c r="BT181" s="34" t="s">
        <v>3853</v>
      </c>
      <c r="BU181" s="34">
        <v>0.0</v>
      </c>
      <c r="BV181" s="34">
        <v>100.0</v>
      </c>
      <c r="BW181" s="34">
        <v>0.0</v>
      </c>
      <c r="BX181" s="34">
        <v>0.0</v>
      </c>
      <c r="BY181" s="33">
        <f>COUNTIFS('Data For Calculation - Insuranc'!A:A,A181,'Data For Calculation - Insuranc'!D:D,"Company",'Data For Calculation - Insuranc'!E:E,"Rollover - 1 Year TP Only")</f>
        <v>0</v>
      </c>
      <c r="BZ181" s="31">
        <f t="shared" si="1"/>
        <v>0</v>
      </c>
      <c r="CA181" s="33">
        <f>SUMIFS('Data For Calculation - Insuranc'!I:I,'Data For Calculation - Insuranc'!$A:$A,$A181)</f>
        <v>0</v>
      </c>
      <c r="CB181" s="33">
        <f>SUMIFS('Data For Calculation - Insuranc'!J:J,'Data For Calculation - Insuranc'!$A:$A,$A181)</f>
        <v>0</v>
      </c>
      <c r="CC181" s="33">
        <f>SUMIFS('Data For Calculation - Insuranc'!K:K,'Data For Calculation - Insuranc'!$A:$A,$A181)</f>
        <v>0</v>
      </c>
      <c r="CD181" s="33">
        <f>IF($CK181 = "Dealer", SUMIFS('Data For Calculation - Insuranc'!I:I,'Data For Calculation - Insuranc'!$B:$B,$A181,'Data For Calculation - Insuranc'!$H:$H,"Master Dealer")) + SUMIFS('Data For Calculation - Insuranc'!I:I,'Data For Calculation - Insuranc'!$A:$A,$A181,'Data For Calculation - Insuranc'!$H:$H,"Self")</f>
        <v>0</v>
      </c>
      <c r="CE181" s="33">
        <f>IF($CK181 = "Dealer", SUMIFS('Data For Calculation - Insuranc'!J:J,'Data For Calculation - Insuranc'!$B:$B,$A181,'Data For Calculation - Insuranc'!$H:$H,"Master Dealer")) + SUMIFS('Data For Calculation - Insuranc'!J:J,'Data For Calculation - Insuranc'!$A:$A,$A181,'Data For Calculation - Insuranc'!$H:$H,"Self")</f>
        <v>0</v>
      </c>
      <c r="CF181" s="33">
        <f>IF($CK181 = "Dealer", SUMIFS('Data For Calculation - Insuranc'!K:K,'Data For Calculation - Insuranc'!$B:$B,$A181,'Data For Calculation - Insuranc'!$H:$H,"Master Dealer")) + SUMIFS('Data For Calculation - Insuranc'!K:K,'Data For Calculation - Insuranc'!$A:$A,$A181,'Data For Calculation - Insuranc'!$H:$H,"Self")</f>
        <v>0</v>
      </c>
      <c r="CG181" s="25" t="str">
        <f>(Sheet1!N181)</f>
        <v>Jai Automobiles - Akbarpur</v>
      </c>
      <c r="CH181" s="25" t="str">
        <f>(Sheet1!O181)</f>
        <v>1Bn0dgc_QYbF664LnJPJT-IEcqhx5gMA1AtzkRyd3ZGA</v>
      </c>
      <c r="CI181" s="25" t="str">
        <f>(Sheet1!AV181)</f>
        <v/>
      </c>
      <c r="CJ181" s="25" t="str">
        <f>(Sheet1!AW181)</f>
        <v/>
      </c>
      <c r="CK181" s="25" t="str">
        <f>(Sheet1!P181)</f>
        <v>Dealer</v>
      </c>
    </row>
    <row r="182">
      <c r="A182" s="25" t="str">
        <f>(Sheet1!A182)</f>
        <v>1VIUqOp_UXFVjhTtvQswmqJ7NEi8nkGyfHAoJPy-wvSA</v>
      </c>
      <c r="B182" s="25" t="str">
        <f>(Sheet1!B182)</f>
        <v>Kamal Hero - Gonda</v>
      </c>
      <c r="C182" s="30" t="str">
        <f>Sheet1!BB182</f>
        <v>No</v>
      </c>
      <c r="D182" s="30" t="s">
        <v>13</v>
      </c>
      <c r="E182" s="34" t="s">
        <v>13</v>
      </c>
      <c r="F182" s="34" t="s">
        <v>3929</v>
      </c>
      <c r="G182" s="25" t="s">
        <v>3820</v>
      </c>
      <c r="H182" s="43">
        <v>460.0</v>
      </c>
      <c r="I182" s="42" t="s">
        <v>3853</v>
      </c>
      <c r="J182" s="43">
        <v>0.0</v>
      </c>
      <c r="K182" s="43">
        <v>100.0</v>
      </c>
      <c r="L182" s="43">
        <v>0.0</v>
      </c>
      <c r="M182" s="43">
        <v>0.0</v>
      </c>
      <c r="N182" s="33">
        <f>COUNTIFS('Data For Calculation - Insuranc'!A:A,A182,'Data For Calculation - Insuranc'!D:D,"Individual",'Data For Calculation - Insuranc'!E:E,"Bundled - 1 Year OD + 5 Year TP")</f>
        <v>0</v>
      </c>
      <c r="O182" s="34" t="s">
        <v>3930</v>
      </c>
      <c r="P182" s="25" t="s">
        <v>3820</v>
      </c>
      <c r="Q182" s="43">
        <v>460.0</v>
      </c>
      <c r="R182" s="42" t="s">
        <v>3853</v>
      </c>
      <c r="S182" s="43">
        <v>0.0</v>
      </c>
      <c r="T182" s="43">
        <v>100.0</v>
      </c>
      <c r="U182" s="43">
        <v>0.0</v>
      </c>
      <c r="V182" s="43">
        <v>0.0</v>
      </c>
      <c r="W182" s="33">
        <f>COUNTIFS('Data For Calculation - Insuranc'!A:A,A182,'Data For Calculation - Insuranc'!D:D,"Company",'Data For Calculation - Insuranc'!E:E,"Bundled - 1 Year OD + 5 Year TP")</f>
        <v>0</v>
      </c>
      <c r="X182" s="34" t="s">
        <v>3929</v>
      </c>
      <c r="Y182" s="25" t="s">
        <v>3820</v>
      </c>
      <c r="Z182" s="31">
        <v>205.0</v>
      </c>
      <c r="AA182" s="34" t="s">
        <v>3853</v>
      </c>
      <c r="AB182" s="34">
        <v>0.0</v>
      </c>
      <c r="AC182" s="34">
        <v>100.0</v>
      </c>
      <c r="AD182" s="34">
        <v>0.0</v>
      </c>
      <c r="AE182" s="34">
        <v>0.0</v>
      </c>
      <c r="AF182" s="33">
        <f>COUNTIFS('Data For Calculation - Insuranc'!A:A,A182,'Data For Calculation - Insuranc'!D:D,"Individual",'Data For Calculation - Insuranc'!E:E,"Rollover Comprehensive - 1 Year OD + 1 Year TP")</f>
        <v>0</v>
      </c>
      <c r="AG182" s="34" t="s">
        <v>3930</v>
      </c>
      <c r="AH182" s="25" t="s">
        <v>3820</v>
      </c>
      <c r="AI182" s="31">
        <v>205.0</v>
      </c>
      <c r="AJ182" s="34" t="s">
        <v>3853</v>
      </c>
      <c r="AK182" s="34">
        <v>0.0</v>
      </c>
      <c r="AL182" s="34">
        <v>100.0</v>
      </c>
      <c r="AM182" s="34">
        <v>0.0</v>
      </c>
      <c r="AN182" s="34">
        <v>0.0</v>
      </c>
      <c r="AO182" s="33">
        <f>COUNTIFS('Data For Calculation - Insuranc'!A:A,A182,'Data For Calculation - Insuranc'!D:D,"Company",'Data For Calculation - Insuranc'!E:E,"Rollover Comprehensive - 1 Year OD + 1 Year TP")</f>
        <v>0</v>
      </c>
      <c r="AP182" s="34" t="s">
        <v>3931</v>
      </c>
      <c r="AQ182" s="25" t="s">
        <v>3820</v>
      </c>
      <c r="AR182" s="31">
        <v>205.0</v>
      </c>
      <c r="AS182" s="34" t="s">
        <v>3853</v>
      </c>
      <c r="AT182" s="34">
        <v>0.0</v>
      </c>
      <c r="AU182" s="34">
        <v>100.0</v>
      </c>
      <c r="AV182" s="34">
        <v>0.0</v>
      </c>
      <c r="AW182" s="34">
        <v>0.0</v>
      </c>
      <c r="AX182" s="33">
        <f>COUNTIFS('Data For Calculation - Insuranc'!A:A,A182,'Data For Calculation - Insuranc'!D:D,"Individual",'Data For Calculation - Insuranc'!E:E,"Rollover - 1 Year OD Only")</f>
        <v>0</v>
      </c>
      <c r="AY182" s="34" t="s">
        <v>3932</v>
      </c>
      <c r="AZ182" s="25" t="s">
        <v>3820</v>
      </c>
      <c r="BA182" s="31">
        <v>205.0</v>
      </c>
      <c r="BB182" s="34" t="s">
        <v>3853</v>
      </c>
      <c r="BC182" s="34">
        <v>0.0</v>
      </c>
      <c r="BD182" s="34">
        <v>100.0</v>
      </c>
      <c r="BE182" s="34">
        <v>0.0</v>
      </c>
      <c r="BF182" s="34">
        <v>0.0</v>
      </c>
      <c r="BG182" s="33">
        <f>COUNTIFS('Data For Calculation - Insuranc'!A:A,A182,'Data For Calculation - Insuranc'!D:D,"Company",'Data For Calculation - Insuranc'!E:E,"Rollover - 1 Year OD Only")</f>
        <v>0</v>
      </c>
      <c r="BH182" s="34" t="s">
        <v>3931</v>
      </c>
      <c r="BI182" s="25" t="s">
        <v>3820</v>
      </c>
      <c r="BJ182" s="31">
        <v>205.0</v>
      </c>
      <c r="BK182" s="34" t="s">
        <v>3853</v>
      </c>
      <c r="BL182" s="34">
        <v>0.0</v>
      </c>
      <c r="BM182" s="34">
        <v>100.0</v>
      </c>
      <c r="BN182" s="34">
        <v>0.0</v>
      </c>
      <c r="BO182" s="34">
        <v>0.0</v>
      </c>
      <c r="BP182" s="33">
        <f>COUNTIFS('Data For Calculation - Insuranc'!A:A,A182,'Data For Calculation - Insuranc'!D:D,"Individual",'Data For Calculation - Insuranc'!E:E,"Rollover - 1 Year TP Only")</f>
        <v>0</v>
      </c>
      <c r="BQ182" s="34" t="s">
        <v>3932</v>
      </c>
      <c r="BR182" s="25" t="s">
        <v>3820</v>
      </c>
      <c r="BS182" s="31">
        <v>205.0</v>
      </c>
      <c r="BT182" s="34" t="s">
        <v>3853</v>
      </c>
      <c r="BU182" s="34">
        <v>0.0</v>
      </c>
      <c r="BV182" s="34">
        <v>100.0</v>
      </c>
      <c r="BW182" s="34">
        <v>0.0</v>
      </c>
      <c r="BX182" s="34">
        <v>0.0</v>
      </c>
      <c r="BY182" s="33">
        <f>COUNTIFS('Data For Calculation - Insuranc'!A:A,A182,'Data For Calculation - Insuranc'!D:D,"Company",'Data For Calculation - Insuranc'!E:E,"Rollover - 1 Year TP Only")</f>
        <v>0</v>
      </c>
      <c r="BZ182" s="31">
        <f t="shared" si="1"/>
        <v>0</v>
      </c>
      <c r="CA182" s="33">
        <f>SUMIFS('Data For Calculation - Insuranc'!I:I,'Data For Calculation - Insuranc'!$A:$A,$A182)</f>
        <v>0</v>
      </c>
      <c r="CB182" s="33">
        <f>SUMIFS('Data For Calculation - Insuranc'!J:J,'Data For Calculation - Insuranc'!$A:$A,$A182)</f>
        <v>0</v>
      </c>
      <c r="CC182" s="33">
        <f>SUMIFS('Data For Calculation - Insuranc'!K:K,'Data For Calculation - Insuranc'!$A:$A,$A182)</f>
        <v>0</v>
      </c>
      <c r="CD182" s="33">
        <f>IF($CK182 = "Dealer", SUMIFS('Data For Calculation - Insuranc'!I:I,'Data For Calculation - Insuranc'!$B:$B,$A182,'Data For Calculation - Insuranc'!$H:$H,"Master Dealer")) + SUMIFS('Data For Calculation - Insuranc'!I:I,'Data For Calculation - Insuranc'!$A:$A,$A182,'Data For Calculation - Insuranc'!$H:$H,"Self")</f>
        <v>0</v>
      </c>
      <c r="CE182" s="33">
        <f>IF($CK182 = "Dealer", SUMIFS('Data For Calculation - Insuranc'!J:J,'Data For Calculation - Insuranc'!$B:$B,$A182,'Data For Calculation - Insuranc'!$H:$H,"Master Dealer")) + SUMIFS('Data For Calculation - Insuranc'!J:J,'Data For Calculation - Insuranc'!$A:$A,$A182,'Data For Calculation - Insuranc'!$H:$H,"Self")</f>
        <v>0</v>
      </c>
      <c r="CF182" s="33">
        <f>IF($CK182 = "Dealer", SUMIFS('Data For Calculation - Insuranc'!K:K,'Data For Calculation - Insuranc'!$B:$B,$A182,'Data For Calculation - Insuranc'!$H:$H,"Master Dealer")) + SUMIFS('Data For Calculation - Insuranc'!K:K,'Data For Calculation - Insuranc'!$A:$A,$A182,'Data For Calculation - Insuranc'!$H:$H,"Self")</f>
        <v>0</v>
      </c>
      <c r="CG182" s="25" t="str">
        <f>(Sheet1!N182)</f>
        <v>Kamal Hero - Gonda</v>
      </c>
      <c r="CH182" s="25" t="str">
        <f>(Sheet1!O182)</f>
        <v>1VIUqOp_UXFVjhTtvQswmqJ7NEi8nkGyfHAoJPy-wvSA</v>
      </c>
      <c r="CI182" s="25" t="str">
        <f>(Sheet1!AV182)</f>
        <v/>
      </c>
      <c r="CJ182" s="25" t="str">
        <f>(Sheet1!AW182)</f>
        <v/>
      </c>
      <c r="CK182" s="25" t="str">
        <f>(Sheet1!P182)</f>
        <v>Dealer</v>
      </c>
    </row>
    <row r="183">
      <c r="A183" s="25" t="str">
        <f>(Sheet1!A183)</f>
        <v>1n7-iUzN79cdRZqVwntVYXRPOJ2BUYBkTQu6jF4vKAdE</v>
      </c>
      <c r="B183" s="25" t="str">
        <f>(Sheet1!B183)</f>
        <v>D D S Motors - Gonda</v>
      </c>
      <c r="C183" s="30" t="str">
        <f>Sheet1!BB183</f>
        <v>No</v>
      </c>
      <c r="D183" s="30" t="s">
        <v>13</v>
      </c>
      <c r="E183" s="34" t="s">
        <v>13</v>
      </c>
      <c r="F183" s="34" t="s">
        <v>3929</v>
      </c>
      <c r="G183" s="25" t="s">
        <v>3820</v>
      </c>
      <c r="H183" s="43">
        <v>460.0</v>
      </c>
      <c r="I183" s="42" t="s">
        <v>3853</v>
      </c>
      <c r="J183" s="43">
        <v>0.0</v>
      </c>
      <c r="K183" s="43">
        <v>100.0</v>
      </c>
      <c r="L183" s="43">
        <v>0.0</v>
      </c>
      <c r="M183" s="43">
        <v>0.0</v>
      </c>
      <c r="N183" s="33">
        <f>COUNTIFS('Data For Calculation - Insuranc'!A:A,A183,'Data For Calculation - Insuranc'!D:D,"Individual",'Data For Calculation - Insuranc'!E:E,"Bundled - 1 Year OD + 5 Year TP")</f>
        <v>0</v>
      </c>
      <c r="O183" s="34" t="s">
        <v>3930</v>
      </c>
      <c r="P183" s="25" t="s">
        <v>3820</v>
      </c>
      <c r="Q183" s="43">
        <v>460.0</v>
      </c>
      <c r="R183" s="42" t="s">
        <v>3853</v>
      </c>
      <c r="S183" s="43">
        <v>0.0</v>
      </c>
      <c r="T183" s="43">
        <v>100.0</v>
      </c>
      <c r="U183" s="43">
        <v>0.0</v>
      </c>
      <c r="V183" s="43">
        <v>0.0</v>
      </c>
      <c r="W183" s="33">
        <f>COUNTIFS('Data For Calculation - Insuranc'!A:A,A183,'Data For Calculation - Insuranc'!D:D,"Company",'Data For Calculation - Insuranc'!E:E,"Bundled - 1 Year OD + 5 Year TP")</f>
        <v>0</v>
      </c>
      <c r="X183" s="34" t="s">
        <v>3929</v>
      </c>
      <c r="Y183" s="25" t="s">
        <v>3820</v>
      </c>
      <c r="Z183" s="31">
        <v>185.0</v>
      </c>
      <c r="AA183" s="34" t="s">
        <v>3853</v>
      </c>
      <c r="AB183" s="34">
        <v>0.0</v>
      </c>
      <c r="AC183" s="34">
        <v>100.0</v>
      </c>
      <c r="AD183" s="34">
        <v>0.0</v>
      </c>
      <c r="AE183" s="34">
        <v>0.0</v>
      </c>
      <c r="AF183" s="33">
        <f>COUNTIFS('Data For Calculation - Insuranc'!A:A,A183,'Data For Calculation - Insuranc'!D:D,"Individual",'Data For Calculation - Insuranc'!E:E,"Rollover Comprehensive - 1 Year OD + 1 Year TP")</f>
        <v>0</v>
      </c>
      <c r="AG183" s="34" t="s">
        <v>3930</v>
      </c>
      <c r="AH183" s="25" t="s">
        <v>3820</v>
      </c>
      <c r="AI183" s="31">
        <v>185.0</v>
      </c>
      <c r="AJ183" s="34" t="s">
        <v>3853</v>
      </c>
      <c r="AK183" s="34">
        <v>0.0</v>
      </c>
      <c r="AL183" s="34">
        <v>100.0</v>
      </c>
      <c r="AM183" s="34">
        <v>0.0</v>
      </c>
      <c r="AN183" s="34">
        <v>0.0</v>
      </c>
      <c r="AO183" s="33">
        <f>COUNTIFS('Data For Calculation - Insuranc'!A:A,A183,'Data For Calculation - Insuranc'!D:D,"Company",'Data For Calculation - Insuranc'!E:E,"Rollover Comprehensive - 1 Year OD + 1 Year TP")</f>
        <v>0</v>
      </c>
      <c r="AP183" s="34" t="s">
        <v>3931</v>
      </c>
      <c r="AQ183" s="25" t="s">
        <v>3820</v>
      </c>
      <c r="AR183" s="31">
        <v>185.0</v>
      </c>
      <c r="AS183" s="34" t="s">
        <v>3853</v>
      </c>
      <c r="AT183" s="34">
        <v>0.0</v>
      </c>
      <c r="AU183" s="34">
        <v>100.0</v>
      </c>
      <c r="AV183" s="34">
        <v>0.0</v>
      </c>
      <c r="AW183" s="34">
        <v>0.0</v>
      </c>
      <c r="AX183" s="33">
        <f>COUNTIFS('Data For Calculation - Insuranc'!A:A,A183,'Data For Calculation - Insuranc'!D:D,"Individual",'Data For Calculation - Insuranc'!E:E,"Rollover - 1 Year OD Only")</f>
        <v>0</v>
      </c>
      <c r="AY183" s="34" t="s">
        <v>3932</v>
      </c>
      <c r="AZ183" s="25" t="s">
        <v>3820</v>
      </c>
      <c r="BA183" s="31">
        <v>185.0</v>
      </c>
      <c r="BB183" s="34" t="s">
        <v>3853</v>
      </c>
      <c r="BC183" s="34">
        <v>0.0</v>
      </c>
      <c r="BD183" s="34">
        <v>100.0</v>
      </c>
      <c r="BE183" s="34">
        <v>0.0</v>
      </c>
      <c r="BF183" s="34">
        <v>0.0</v>
      </c>
      <c r="BG183" s="33">
        <f>COUNTIFS('Data For Calculation - Insuranc'!A:A,A183,'Data For Calculation - Insuranc'!D:D,"Company",'Data For Calculation - Insuranc'!E:E,"Rollover - 1 Year OD Only")</f>
        <v>0</v>
      </c>
      <c r="BH183" s="34" t="s">
        <v>3931</v>
      </c>
      <c r="BI183" s="25" t="s">
        <v>3820</v>
      </c>
      <c r="BJ183" s="31">
        <v>185.0</v>
      </c>
      <c r="BK183" s="34" t="s">
        <v>3853</v>
      </c>
      <c r="BL183" s="34">
        <v>0.0</v>
      </c>
      <c r="BM183" s="34">
        <v>100.0</v>
      </c>
      <c r="BN183" s="34">
        <v>0.0</v>
      </c>
      <c r="BO183" s="34">
        <v>0.0</v>
      </c>
      <c r="BP183" s="33">
        <f>COUNTIFS('Data For Calculation - Insuranc'!A:A,A183,'Data For Calculation - Insuranc'!D:D,"Individual",'Data For Calculation - Insuranc'!E:E,"Rollover - 1 Year TP Only")</f>
        <v>0</v>
      </c>
      <c r="BQ183" s="34" t="s">
        <v>3932</v>
      </c>
      <c r="BR183" s="25" t="s">
        <v>3820</v>
      </c>
      <c r="BS183" s="31">
        <v>185.0</v>
      </c>
      <c r="BT183" s="34" t="s">
        <v>3853</v>
      </c>
      <c r="BU183" s="34">
        <v>0.0</v>
      </c>
      <c r="BV183" s="34">
        <v>100.0</v>
      </c>
      <c r="BW183" s="34">
        <v>0.0</v>
      </c>
      <c r="BX183" s="34">
        <v>0.0</v>
      </c>
      <c r="BY183" s="33">
        <f>COUNTIFS('Data For Calculation - Insuranc'!A:A,A183,'Data For Calculation - Insuranc'!D:D,"Company",'Data For Calculation - Insuranc'!E:E,"Rollover - 1 Year TP Only")</f>
        <v>0</v>
      </c>
      <c r="BZ183" s="31">
        <f t="shared" si="1"/>
        <v>0</v>
      </c>
      <c r="CA183" s="33">
        <f>SUMIFS('Data For Calculation - Insuranc'!I:I,'Data For Calculation - Insuranc'!$A:$A,$A183)</f>
        <v>0</v>
      </c>
      <c r="CB183" s="33">
        <f>SUMIFS('Data For Calculation - Insuranc'!J:J,'Data For Calculation - Insuranc'!$A:$A,$A183)</f>
        <v>0</v>
      </c>
      <c r="CC183" s="33">
        <f>SUMIFS('Data For Calculation - Insuranc'!K:K,'Data For Calculation - Insuranc'!$A:$A,$A183)</f>
        <v>0</v>
      </c>
      <c r="CD183" s="33">
        <f>IF($CK183 = "Dealer", SUMIFS('Data For Calculation - Insuranc'!I:I,'Data For Calculation - Insuranc'!$B:$B,$A183,'Data For Calculation - Insuranc'!$H:$H,"Master Dealer")) + SUMIFS('Data For Calculation - Insuranc'!I:I,'Data For Calculation - Insuranc'!$A:$A,$A183,'Data For Calculation - Insuranc'!$H:$H,"Self")</f>
        <v>0</v>
      </c>
      <c r="CE183" s="33">
        <f>IF($CK183 = "Dealer", SUMIFS('Data For Calculation - Insuranc'!J:J,'Data For Calculation - Insuranc'!$B:$B,$A183,'Data For Calculation - Insuranc'!$H:$H,"Master Dealer")) + SUMIFS('Data For Calculation - Insuranc'!J:J,'Data For Calculation - Insuranc'!$A:$A,$A183,'Data For Calculation - Insuranc'!$H:$H,"Self")</f>
        <v>0</v>
      </c>
      <c r="CF183" s="33">
        <f>IF($CK183 = "Dealer", SUMIFS('Data For Calculation - Insuranc'!K:K,'Data For Calculation - Insuranc'!$B:$B,$A183,'Data For Calculation - Insuranc'!$H:$H,"Master Dealer")) + SUMIFS('Data For Calculation - Insuranc'!K:K,'Data For Calculation - Insuranc'!$A:$A,$A183,'Data For Calculation - Insuranc'!$H:$H,"Self")</f>
        <v>0</v>
      </c>
      <c r="CG183" s="25" t="str">
        <f>(Sheet1!N183)</f>
        <v>D D S Motors - Gonda</v>
      </c>
      <c r="CH183" s="25" t="str">
        <f>(Sheet1!O183)</f>
        <v>1n7-iUzN79cdRZqVwntVYXRPOJ2BUYBkTQu6jF4vKAdE</v>
      </c>
      <c r="CI183" s="25" t="str">
        <f>(Sheet1!AV183)</f>
        <v/>
      </c>
      <c r="CJ183" s="25" t="str">
        <f>(Sheet1!AW183)</f>
        <v/>
      </c>
      <c r="CK183" s="25" t="str">
        <f>(Sheet1!P183)</f>
        <v>Dealer</v>
      </c>
    </row>
    <row r="184">
      <c r="A184" s="25" t="str">
        <f>(Sheet1!A184)</f>
        <v>1hlnCiW64Y7uZNVOj2ewyfTULbWj1dUaXX2rUREx8W8o</v>
      </c>
      <c r="B184" s="25" t="str">
        <f>(Sheet1!B184)</f>
        <v>Asha Motor - Kannauj</v>
      </c>
      <c r="C184" s="30" t="str">
        <f>Sheet1!BB184</f>
        <v>No</v>
      </c>
      <c r="D184" s="30" t="s">
        <v>13</v>
      </c>
      <c r="E184" s="34" t="s">
        <v>13</v>
      </c>
      <c r="F184" s="34" t="s">
        <v>3929</v>
      </c>
      <c r="G184" s="25" t="s">
        <v>3820</v>
      </c>
      <c r="H184" s="43">
        <v>460.0</v>
      </c>
      <c r="I184" s="42" t="s">
        <v>3853</v>
      </c>
      <c r="J184" s="43">
        <v>0.0</v>
      </c>
      <c r="K184" s="43">
        <v>100.0</v>
      </c>
      <c r="L184" s="43">
        <v>0.0</v>
      </c>
      <c r="M184" s="43">
        <v>0.0</v>
      </c>
      <c r="N184" s="33">
        <f>COUNTIFS('Data For Calculation - Insuranc'!A:A,A184,'Data For Calculation - Insuranc'!D:D,"Individual",'Data For Calculation - Insuranc'!E:E,"Bundled - 1 Year OD + 5 Year TP")</f>
        <v>0</v>
      </c>
      <c r="O184" s="34" t="s">
        <v>3930</v>
      </c>
      <c r="P184" s="25" t="s">
        <v>3820</v>
      </c>
      <c r="Q184" s="43">
        <v>460.0</v>
      </c>
      <c r="R184" s="42" t="s">
        <v>3853</v>
      </c>
      <c r="S184" s="43">
        <v>0.0</v>
      </c>
      <c r="T184" s="43">
        <v>100.0</v>
      </c>
      <c r="U184" s="43">
        <v>0.0</v>
      </c>
      <c r="V184" s="43">
        <v>0.0</v>
      </c>
      <c r="W184" s="33">
        <f>COUNTIFS('Data For Calculation - Insuranc'!A:A,A184,'Data For Calculation - Insuranc'!D:D,"Company",'Data For Calculation - Insuranc'!E:E,"Bundled - 1 Year OD + 5 Year TP")</f>
        <v>0</v>
      </c>
      <c r="X184" s="34" t="s">
        <v>3929</v>
      </c>
      <c r="Y184" s="25" t="s">
        <v>3820</v>
      </c>
      <c r="Z184" s="31">
        <v>205.0</v>
      </c>
      <c r="AA184" s="34" t="s">
        <v>3853</v>
      </c>
      <c r="AB184" s="34">
        <v>0.0</v>
      </c>
      <c r="AC184" s="34">
        <v>100.0</v>
      </c>
      <c r="AD184" s="34">
        <v>0.0</v>
      </c>
      <c r="AE184" s="34">
        <v>0.0</v>
      </c>
      <c r="AF184" s="33">
        <f>COUNTIFS('Data For Calculation - Insuranc'!A:A,A184,'Data For Calculation - Insuranc'!D:D,"Individual",'Data For Calculation - Insuranc'!E:E,"Rollover Comprehensive - 1 Year OD + 1 Year TP")</f>
        <v>0</v>
      </c>
      <c r="AG184" s="34" t="s">
        <v>3930</v>
      </c>
      <c r="AH184" s="25" t="s">
        <v>3820</v>
      </c>
      <c r="AI184" s="31">
        <v>205.0</v>
      </c>
      <c r="AJ184" s="34" t="s">
        <v>3853</v>
      </c>
      <c r="AK184" s="34">
        <v>0.0</v>
      </c>
      <c r="AL184" s="34">
        <v>100.0</v>
      </c>
      <c r="AM184" s="34">
        <v>0.0</v>
      </c>
      <c r="AN184" s="34">
        <v>0.0</v>
      </c>
      <c r="AO184" s="33">
        <f>COUNTIFS('Data For Calculation - Insuranc'!A:A,A184,'Data For Calculation - Insuranc'!D:D,"Company",'Data For Calculation - Insuranc'!E:E,"Rollover Comprehensive - 1 Year OD + 1 Year TP")</f>
        <v>0</v>
      </c>
      <c r="AP184" s="34" t="s">
        <v>3931</v>
      </c>
      <c r="AQ184" s="25" t="s">
        <v>3820</v>
      </c>
      <c r="AR184" s="31">
        <v>205.0</v>
      </c>
      <c r="AS184" s="34" t="s">
        <v>3853</v>
      </c>
      <c r="AT184" s="34">
        <v>0.0</v>
      </c>
      <c r="AU184" s="34">
        <v>100.0</v>
      </c>
      <c r="AV184" s="34">
        <v>0.0</v>
      </c>
      <c r="AW184" s="34">
        <v>0.0</v>
      </c>
      <c r="AX184" s="33">
        <f>COUNTIFS('Data For Calculation - Insuranc'!A:A,A184,'Data For Calculation - Insuranc'!D:D,"Individual",'Data For Calculation - Insuranc'!E:E,"Rollover - 1 Year OD Only")</f>
        <v>0</v>
      </c>
      <c r="AY184" s="34" t="s">
        <v>3932</v>
      </c>
      <c r="AZ184" s="25" t="s">
        <v>3820</v>
      </c>
      <c r="BA184" s="31">
        <v>205.0</v>
      </c>
      <c r="BB184" s="34" t="s">
        <v>3853</v>
      </c>
      <c r="BC184" s="34">
        <v>0.0</v>
      </c>
      <c r="BD184" s="34">
        <v>100.0</v>
      </c>
      <c r="BE184" s="34">
        <v>0.0</v>
      </c>
      <c r="BF184" s="34">
        <v>0.0</v>
      </c>
      <c r="BG184" s="33">
        <f>COUNTIFS('Data For Calculation - Insuranc'!A:A,A184,'Data For Calculation - Insuranc'!D:D,"Company",'Data For Calculation - Insuranc'!E:E,"Rollover - 1 Year OD Only")</f>
        <v>0</v>
      </c>
      <c r="BH184" s="34" t="s">
        <v>3931</v>
      </c>
      <c r="BI184" s="25" t="s">
        <v>3820</v>
      </c>
      <c r="BJ184" s="31">
        <v>205.0</v>
      </c>
      <c r="BK184" s="34" t="s">
        <v>3853</v>
      </c>
      <c r="BL184" s="34">
        <v>0.0</v>
      </c>
      <c r="BM184" s="34">
        <v>100.0</v>
      </c>
      <c r="BN184" s="34">
        <v>0.0</v>
      </c>
      <c r="BO184" s="34">
        <v>0.0</v>
      </c>
      <c r="BP184" s="33">
        <f>COUNTIFS('Data For Calculation - Insuranc'!A:A,A184,'Data For Calculation - Insuranc'!D:D,"Individual",'Data For Calculation - Insuranc'!E:E,"Rollover - 1 Year TP Only")</f>
        <v>0</v>
      </c>
      <c r="BQ184" s="34" t="s">
        <v>3932</v>
      </c>
      <c r="BR184" s="25" t="s">
        <v>3820</v>
      </c>
      <c r="BS184" s="31">
        <v>205.0</v>
      </c>
      <c r="BT184" s="34" t="s">
        <v>3853</v>
      </c>
      <c r="BU184" s="34">
        <v>0.0</v>
      </c>
      <c r="BV184" s="34">
        <v>100.0</v>
      </c>
      <c r="BW184" s="34">
        <v>0.0</v>
      </c>
      <c r="BX184" s="34">
        <v>0.0</v>
      </c>
      <c r="BY184" s="33">
        <f>COUNTIFS('Data For Calculation - Insuranc'!A:A,A184,'Data For Calculation - Insuranc'!D:D,"Company",'Data For Calculation - Insuranc'!E:E,"Rollover - 1 Year TP Only")</f>
        <v>0</v>
      </c>
      <c r="BZ184" s="31">
        <f t="shared" si="1"/>
        <v>0</v>
      </c>
      <c r="CA184" s="33">
        <f>SUMIFS('Data For Calculation - Insuranc'!I:I,'Data For Calculation - Insuranc'!$A:$A,$A184)</f>
        <v>0</v>
      </c>
      <c r="CB184" s="33">
        <f>SUMIFS('Data For Calculation - Insuranc'!J:J,'Data For Calculation - Insuranc'!$A:$A,$A184)</f>
        <v>0</v>
      </c>
      <c r="CC184" s="33">
        <f>SUMIFS('Data For Calculation - Insuranc'!K:K,'Data For Calculation - Insuranc'!$A:$A,$A184)</f>
        <v>0</v>
      </c>
      <c r="CD184" s="33">
        <f>IF($CK184 = "Dealer", SUMIFS('Data For Calculation - Insuranc'!I:I,'Data For Calculation - Insuranc'!$B:$B,$A184,'Data For Calculation - Insuranc'!$H:$H,"Master Dealer")) + SUMIFS('Data For Calculation - Insuranc'!I:I,'Data For Calculation - Insuranc'!$A:$A,$A184,'Data For Calculation - Insuranc'!$H:$H,"Self")</f>
        <v>0</v>
      </c>
      <c r="CE184" s="33">
        <f>IF($CK184 = "Dealer", SUMIFS('Data For Calculation - Insuranc'!J:J,'Data For Calculation - Insuranc'!$B:$B,$A184,'Data For Calculation - Insuranc'!$H:$H,"Master Dealer")) + SUMIFS('Data For Calculation - Insuranc'!J:J,'Data For Calculation - Insuranc'!$A:$A,$A184,'Data For Calculation - Insuranc'!$H:$H,"Self")</f>
        <v>0</v>
      </c>
      <c r="CF184" s="33">
        <f>IF($CK184 = "Dealer", SUMIFS('Data For Calculation - Insuranc'!K:K,'Data For Calculation - Insuranc'!$B:$B,$A184,'Data For Calculation - Insuranc'!$H:$H,"Master Dealer")) + SUMIFS('Data For Calculation - Insuranc'!K:K,'Data For Calculation - Insuranc'!$A:$A,$A184,'Data For Calculation - Insuranc'!$H:$H,"Self")</f>
        <v>0</v>
      </c>
      <c r="CG184" s="25" t="str">
        <f>(Sheet1!N184)</f>
        <v>Asha Motor - Kannauj</v>
      </c>
      <c r="CH184" s="25" t="str">
        <f>(Sheet1!O184)</f>
        <v>1hlnCiW64Y7uZNVOj2ewyfTULbWj1dUaXX2rUREx8W8o</v>
      </c>
      <c r="CI184" s="25" t="str">
        <f>(Sheet1!AV184)</f>
        <v/>
      </c>
      <c r="CJ184" s="25" t="str">
        <f>(Sheet1!AW184)</f>
        <v/>
      </c>
      <c r="CK184" s="25" t="str">
        <f>(Sheet1!P184)</f>
        <v>Dealer</v>
      </c>
    </row>
    <row r="185">
      <c r="A185" s="25" t="str">
        <f>(Sheet1!A185)</f>
        <v>1qVCbO1-x1wvM0-NhcEVhkvWdoKy0Q9zezj6PELJNkXM</v>
      </c>
      <c r="B185" s="25" t="str">
        <f>(Sheet1!B185)</f>
        <v>NEELAM AUTOMOBILES (MAA) - NARKATIAGANJ</v>
      </c>
      <c r="C185" s="30" t="str">
        <f>Sheet1!BB185</f>
        <v>No</v>
      </c>
      <c r="D185" s="30" t="s">
        <v>13</v>
      </c>
      <c r="E185" s="34" t="s">
        <v>13</v>
      </c>
      <c r="F185" s="34" t="s">
        <v>3929</v>
      </c>
      <c r="G185" s="25" t="s">
        <v>3820</v>
      </c>
      <c r="H185" s="43">
        <v>460.0</v>
      </c>
      <c r="I185" s="42" t="s">
        <v>3853</v>
      </c>
      <c r="J185" s="43">
        <v>0.0</v>
      </c>
      <c r="K185" s="43">
        <v>100.0</v>
      </c>
      <c r="L185" s="43">
        <v>0.0</v>
      </c>
      <c r="M185" s="43">
        <v>0.0</v>
      </c>
      <c r="N185" s="33">
        <f>COUNTIFS('Data For Calculation - Insuranc'!A:A,A185,'Data For Calculation - Insuranc'!D:D,"Individual",'Data For Calculation - Insuranc'!E:E,"Bundled - 1 Year OD + 5 Year TP")</f>
        <v>0</v>
      </c>
      <c r="O185" s="34" t="s">
        <v>3930</v>
      </c>
      <c r="P185" s="25" t="s">
        <v>3820</v>
      </c>
      <c r="Q185" s="43">
        <v>460.0</v>
      </c>
      <c r="R185" s="42" t="s">
        <v>3853</v>
      </c>
      <c r="S185" s="43">
        <v>0.0</v>
      </c>
      <c r="T185" s="43">
        <v>100.0</v>
      </c>
      <c r="U185" s="43">
        <v>0.0</v>
      </c>
      <c r="V185" s="43">
        <v>0.0</v>
      </c>
      <c r="W185" s="33">
        <f>COUNTIFS('Data For Calculation - Insuranc'!A:A,A185,'Data For Calculation - Insuranc'!D:D,"Company",'Data For Calculation - Insuranc'!E:E,"Bundled - 1 Year OD + 5 Year TP")</f>
        <v>0</v>
      </c>
      <c r="X185" s="34" t="s">
        <v>3929</v>
      </c>
      <c r="Y185" s="25" t="s">
        <v>3820</v>
      </c>
      <c r="Z185" s="31">
        <v>205.0</v>
      </c>
      <c r="AA185" s="34" t="s">
        <v>3853</v>
      </c>
      <c r="AB185" s="34">
        <v>0.0</v>
      </c>
      <c r="AC185" s="34">
        <v>100.0</v>
      </c>
      <c r="AD185" s="34">
        <v>0.0</v>
      </c>
      <c r="AE185" s="34">
        <v>0.0</v>
      </c>
      <c r="AF185" s="33">
        <f>COUNTIFS('Data For Calculation - Insuranc'!A:A,A185,'Data For Calculation - Insuranc'!D:D,"Individual",'Data For Calculation - Insuranc'!E:E,"Rollover Comprehensive - 1 Year OD + 1 Year TP")</f>
        <v>0</v>
      </c>
      <c r="AG185" s="34" t="s">
        <v>3930</v>
      </c>
      <c r="AH185" s="25" t="s">
        <v>3820</v>
      </c>
      <c r="AI185" s="31">
        <v>205.0</v>
      </c>
      <c r="AJ185" s="34" t="s">
        <v>3853</v>
      </c>
      <c r="AK185" s="34">
        <v>0.0</v>
      </c>
      <c r="AL185" s="34">
        <v>100.0</v>
      </c>
      <c r="AM185" s="34">
        <v>0.0</v>
      </c>
      <c r="AN185" s="34">
        <v>0.0</v>
      </c>
      <c r="AO185" s="33">
        <f>COUNTIFS('Data For Calculation - Insuranc'!A:A,A185,'Data For Calculation - Insuranc'!D:D,"Company",'Data For Calculation - Insuranc'!E:E,"Rollover Comprehensive - 1 Year OD + 1 Year TP")</f>
        <v>0</v>
      </c>
      <c r="AP185" s="34" t="s">
        <v>3931</v>
      </c>
      <c r="AQ185" s="25" t="s">
        <v>3820</v>
      </c>
      <c r="AR185" s="31">
        <v>205.0</v>
      </c>
      <c r="AS185" s="34" t="s">
        <v>3853</v>
      </c>
      <c r="AT185" s="34">
        <v>0.0</v>
      </c>
      <c r="AU185" s="34">
        <v>100.0</v>
      </c>
      <c r="AV185" s="34">
        <v>0.0</v>
      </c>
      <c r="AW185" s="34">
        <v>0.0</v>
      </c>
      <c r="AX185" s="33">
        <f>COUNTIFS('Data For Calculation - Insuranc'!A:A,A185,'Data For Calculation - Insuranc'!D:D,"Individual",'Data For Calculation - Insuranc'!E:E,"Rollover - 1 Year OD Only")</f>
        <v>0</v>
      </c>
      <c r="AY185" s="34" t="s">
        <v>3932</v>
      </c>
      <c r="AZ185" s="25" t="s">
        <v>3820</v>
      </c>
      <c r="BA185" s="31">
        <v>205.0</v>
      </c>
      <c r="BB185" s="34" t="s">
        <v>3853</v>
      </c>
      <c r="BC185" s="34">
        <v>0.0</v>
      </c>
      <c r="BD185" s="34">
        <v>100.0</v>
      </c>
      <c r="BE185" s="34">
        <v>0.0</v>
      </c>
      <c r="BF185" s="34">
        <v>0.0</v>
      </c>
      <c r="BG185" s="33">
        <f>COUNTIFS('Data For Calculation - Insuranc'!A:A,A185,'Data For Calculation - Insuranc'!D:D,"Company",'Data For Calculation - Insuranc'!E:E,"Rollover - 1 Year OD Only")</f>
        <v>0</v>
      </c>
      <c r="BH185" s="34" t="s">
        <v>3931</v>
      </c>
      <c r="BI185" s="25" t="s">
        <v>3820</v>
      </c>
      <c r="BJ185" s="31">
        <v>205.0</v>
      </c>
      <c r="BK185" s="34" t="s">
        <v>3853</v>
      </c>
      <c r="BL185" s="34">
        <v>0.0</v>
      </c>
      <c r="BM185" s="34">
        <v>100.0</v>
      </c>
      <c r="BN185" s="34">
        <v>0.0</v>
      </c>
      <c r="BO185" s="34">
        <v>0.0</v>
      </c>
      <c r="BP185" s="33">
        <f>COUNTIFS('Data For Calculation - Insuranc'!A:A,A185,'Data For Calculation - Insuranc'!D:D,"Individual",'Data For Calculation - Insuranc'!E:E,"Rollover - 1 Year TP Only")</f>
        <v>0</v>
      </c>
      <c r="BQ185" s="34" t="s">
        <v>3932</v>
      </c>
      <c r="BR185" s="25" t="s">
        <v>3820</v>
      </c>
      <c r="BS185" s="31">
        <v>205.0</v>
      </c>
      <c r="BT185" s="34" t="s">
        <v>3853</v>
      </c>
      <c r="BU185" s="34">
        <v>0.0</v>
      </c>
      <c r="BV185" s="34">
        <v>100.0</v>
      </c>
      <c r="BW185" s="34">
        <v>0.0</v>
      </c>
      <c r="BX185" s="34">
        <v>0.0</v>
      </c>
      <c r="BY185" s="33">
        <f>COUNTIFS('Data For Calculation - Insuranc'!A:A,A185,'Data For Calculation - Insuranc'!D:D,"Company",'Data For Calculation - Insuranc'!E:E,"Rollover - 1 Year TP Only")</f>
        <v>0</v>
      </c>
      <c r="BZ185" s="31">
        <f t="shared" si="1"/>
        <v>0</v>
      </c>
      <c r="CA185" s="33">
        <f>SUMIFS('Data For Calculation - Insuranc'!I:I,'Data For Calculation - Insuranc'!$A:$A,$A185)</f>
        <v>0</v>
      </c>
      <c r="CB185" s="33">
        <f>SUMIFS('Data For Calculation - Insuranc'!J:J,'Data For Calculation - Insuranc'!$A:$A,$A185)</f>
        <v>0</v>
      </c>
      <c r="CC185" s="33">
        <f>SUMIFS('Data For Calculation - Insuranc'!K:K,'Data For Calculation - Insuranc'!$A:$A,$A185)</f>
        <v>0</v>
      </c>
      <c r="CD185" s="33">
        <f>IF($CK185 = "Dealer", SUMIFS('Data For Calculation - Insuranc'!I:I,'Data For Calculation - Insuranc'!$B:$B,$A185,'Data For Calculation - Insuranc'!$H:$H,"Master Dealer")) + SUMIFS('Data For Calculation - Insuranc'!I:I,'Data For Calculation - Insuranc'!$A:$A,$A185,'Data For Calculation - Insuranc'!$H:$H,"Self")</f>
        <v>0</v>
      </c>
      <c r="CE185" s="33">
        <f>IF($CK185 = "Dealer", SUMIFS('Data For Calculation - Insuranc'!J:J,'Data For Calculation - Insuranc'!$B:$B,$A185,'Data For Calculation - Insuranc'!$H:$H,"Master Dealer")) + SUMIFS('Data For Calculation - Insuranc'!J:J,'Data For Calculation - Insuranc'!$A:$A,$A185,'Data For Calculation - Insuranc'!$H:$H,"Self")</f>
        <v>0</v>
      </c>
      <c r="CF185" s="33">
        <f>IF($CK185 = "Dealer", SUMIFS('Data For Calculation - Insuranc'!K:K,'Data For Calculation - Insuranc'!$B:$B,$A185,'Data For Calculation - Insuranc'!$H:$H,"Master Dealer")) + SUMIFS('Data For Calculation - Insuranc'!K:K,'Data For Calculation - Insuranc'!$A:$A,$A185,'Data For Calculation - Insuranc'!$H:$H,"Self")</f>
        <v>0</v>
      </c>
      <c r="CG185" s="25" t="str">
        <f>(Sheet1!N185)</f>
        <v>Modern Auto Agency - Bettiah</v>
      </c>
      <c r="CH185" s="25" t="str">
        <f>(Sheet1!O185)</f>
        <v>1_UtGSoyOsljQXvmry7gfXGYwjwEjQbghQQGZebnq45M</v>
      </c>
      <c r="CI185" s="25" t="str">
        <f>(Sheet1!AV185)</f>
        <v/>
      </c>
      <c r="CJ185" s="25" t="str">
        <f>(Sheet1!AW185)</f>
        <v/>
      </c>
      <c r="CK185" s="25" t="str">
        <f>(Sheet1!P185)</f>
        <v>Sub Dealer</v>
      </c>
    </row>
    <row r="186">
      <c r="A186" s="25" t="str">
        <f>(Sheet1!A186)</f>
        <v>1UyyiO2ozt9UX5AJamlEvIX5j825tQ-SAIIQCdxpAP0Y</v>
      </c>
      <c r="B186" s="25" t="str">
        <f>(Sheet1!B186)</f>
        <v>VINAY AUTO AGENCY (MAA) - BAGAHA</v>
      </c>
      <c r="C186" s="30" t="str">
        <f>Sheet1!BB186</f>
        <v>No</v>
      </c>
      <c r="D186" s="30" t="s">
        <v>13</v>
      </c>
      <c r="E186" s="34" t="s">
        <v>13</v>
      </c>
      <c r="F186" s="34" t="s">
        <v>3929</v>
      </c>
      <c r="G186" s="25" t="s">
        <v>3820</v>
      </c>
      <c r="H186" s="43">
        <v>460.0</v>
      </c>
      <c r="I186" s="42" t="s">
        <v>3853</v>
      </c>
      <c r="J186" s="43">
        <v>0.0</v>
      </c>
      <c r="K186" s="43">
        <v>100.0</v>
      </c>
      <c r="L186" s="43">
        <v>0.0</v>
      </c>
      <c r="M186" s="43">
        <v>0.0</v>
      </c>
      <c r="N186" s="33">
        <f>COUNTIFS('Data For Calculation - Insuranc'!A:A,A186,'Data For Calculation - Insuranc'!D:D,"Individual",'Data For Calculation - Insuranc'!E:E,"Bundled - 1 Year OD + 5 Year TP")</f>
        <v>0</v>
      </c>
      <c r="O186" s="34" t="s">
        <v>3930</v>
      </c>
      <c r="P186" s="25" t="s">
        <v>3820</v>
      </c>
      <c r="Q186" s="43">
        <v>460.0</v>
      </c>
      <c r="R186" s="42" t="s">
        <v>3853</v>
      </c>
      <c r="S186" s="43">
        <v>0.0</v>
      </c>
      <c r="T186" s="43">
        <v>100.0</v>
      </c>
      <c r="U186" s="43">
        <v>0.0</v>
      </c>
      <c r="V186" s="43">
        <v>0.0</v>
      </c>
      <c r="W186" s="33">
        <f>COUNTIFS('Data For Calculation - Insuranc'!A:A,A186,'Data For Calculation - Insuranc'!D:D,"Company",'Data For Calculation - Insuranc'!E:E,"Bundled - 1 Year OD + 5 Year TP")</f>
        <v>0</v>
      </c>
      <c r="X186" s="34" t="s">
        <v>3929</v>
      </c>
      <c r="Y186" s="25" t="s">
        <v>3820</v>
      </c>
      <c r="Z186" s="31">
        <v>205.0</v>
      </c>
      <c r="AA186" s="34" t="s">
        <v>3853</v>
      </c>
      <c r="AB186" s="34">
        <v>0.0</v>
      </c>
      <c r="AC186" s="34">
        <v>100.0</v>
      </c>
      <c r="AD186" s="34">
        <v>0.0</v>
      </c>
      <c r="AE186" s="34">
        <v>0.0</v>
      </c>
      <c r="AF186" s="33">
        <f>COUNTIFS('Data For Calculation - Insuranc'!A:A,A186,'Data For Calculation - Insuranc'!D:D,"Individual",'Data For Calculation - Insuranc'!E:E,"Rollover Comprehensive - 1 Year OD + 1 Year TP")</f>
        <v>0</v>
      </c>
      <c r="AG186" s="34" t="s">
        <v>3930</v>
      </c>
      <c r="AH186" s="25" t="s">
        <v>3820</v>
      </c>
      <c r="AI186" s="31">
        <v>205.0</v>
      </c>
      <c r="AJ186" s="34" t="s">
        <v>3853</v>
      </c>
      <c r="AK186" s="34">
        <v>0.0</v>
      </c>
      <c r="AL186" s="34">
        <v>100.0</v>
      </c>
      <c r="AM186" s="34">
        <v>0.0</v>
      </c>
      <c r="AN186" s="34">
        <v>0.0</v>
      </c>
      <c r="AO186" s="33">
        <f>COUNTIFS('Data For Calculation - Insuranc'!A:A,A186,'Data For Calculation - Insuranc'!D:D,"Company",'Data For Calculation - Insuranc'!E:E,"Rollover Comprehensive - 1 Year OD + 1 Year TP")</f>
        <v>0</v>
      </c>
      <c r="AP186" s="34" t="s">
        <v>3931</v>
      </c>
      <c r="AQ186" s="25" t="s">
        <v>3820</v>
      </c>
      <c r="AR186" s="31">
        <v>205.0</v>
      </c>
      <c r="AS186" s="34" t="s">
        <v>3853</v>
      </c>
      <c r="AT186" s="34">
        <v>0.0</v>
      </c>
      <c r="AU186" s="34">
        <v>100.0</v>
      </c>
      <c r="AV186" s="34">
        <v>0.0</v>
      </c>
      <c r="AW186" s="34">
        <v>0.0</v>
      </c>
      <c r="AX186" s="33">
        <f>COUNTIFS('Data For Calculation - Insuranc'!A:A,A186,'Data For Calculation - Insuranc'!D:D,"Individual",'Data For Calculation - Insuranc'!E:E,"Rollover - 1 Year OD Only")</f>
        <v>0</v>
      </c>
      <c r="AY186" s="34" t="s">
        <v>3932</v>
      </c>
      <c r="AZ186" s="25" t="s">
        <v>3820</v>
      </c>
      <c r="BA186" s="31">
        <v>205.0</v>
      </c>
      <c r="BB186" s="34" t="s">
        <v>3853</v>
      </c>
      <c r="BC186" s="34">
        <v>0.0</v>
      </c>
      <c r="BD186" s="34">
        <v>100.0</v>
      </c>
      <c r="BE186" s="34">
        <v>0.0</v>
      </c>
      <c r="BF186" s="34">
        <v>0.0</v>
      </c>
      <c r="BG186" s="33">
        <f>COUNTIFS('Data For Calculation - Insuranc'!A:A,A186,'Data For Calculation - Insuranc'!D:D,"Company",'Data For Calculation - Insuranc'!E:E,"Rollover - 1 Year OD Only")</f>
        <v>0</v>
      </c>
      <c r="BH186" s="34" t="s">
        <v>3931</v>
      </c>
      <c r="BI186" s="25" t="s">
        <v>3820</v>
      </c>
      <c r="BJ186" s="31">
        <v>205.0</v>
      </c>
      <c r="BK186" s="34" t="s">
        <v>3853</v>
      </c>
      <c r="BL186" s="34">
        <v>0.0</v>
      </c>
      <c r="BM186" s="34">
        <v>100.0</v>
      </c>
      <c r="BN186" s="34">
        <v>0.0</v>
      </c>
      <c r="BO186" s="34">
        <v>0.0</v>
      </c>
      <c r="BP186" s="33">
        <f>COUNTIFS('Data For Calculation - Insuranc'!A:A,A186,'Data For Calculation - Insuranc'!D:D,"Individual",'Data For Calculation - Insuranc'!E:E,"Rollover - 1 Year TP Only")</f>
        <v>0</v>
      </c>
      <c r="BQ186" s="34" t="s">
        <v>3932</v>
      </c>
      <c r="BR186" s="25" t="s">
        <v>3820</v>
      </c>
      <c r="BS186" s="31">
        <v>205.0</v>
      </c>
      <c r="BT186" s="34" t="s">
        <v>3853</v>
      </c>
      <c r="BU186" s="34">
        <v>0.0</v>
      </c>
      <c r="BV186" s="34">
        <v>100.0</v>
      </c>
      <c r="BW186" s="34">
        <v>0.0</v>
      </c>
      <c r="BX186" s="34">
        <v>0.0</v>
      </c>
      <c r="BY186" s="33">
        <f>COUNTIFS('Data For Calculation - Insuranc'!A:A,A186,'Data For Calculation - Insuranc'!D:D,"Company",'Data For Calculation - Insuranc'!E:E,"Rollover - 1 Year TP Only")</f>
        <v>0</v>
      </c>
      <c r="BZ186" s="31">
        <f t="shared" si="1"/>
        <v>0</v>
      </c>
      <c r="CA186" s="33">
        <f>SUMIFS('Data For Calculation - Insuranc'!I:I,'Data For Calculation - Insuranc'!$A:$A,$A186)</f>
        <v>0</v>
      </c>
      <c r="CB186" s="33">
        <f>SUMIFS('Data For Calculation - Insuranc'!J:J,'Data For Calculation - Insuranc'!$A:$A,$A186)</f>
        <v>0</v>
      </c>
      <c r="CC186" s="33">
        <f>SUMIFS('Data For Calculation - Insuranc'!K:K,'Data For Calculation - Insuranc'!$A:$A,$A186)</f>
        <v>0</v>
      </c>
      <c r="CD186" s="33">
        <f>IF($CK186 = "Dealer", SUMIFS('Data For Calculation - Insuranc'!I:I,'Data For Calculation - Insuranc'!$B:$B,$A186,'Data For Calculation - Insuranc'!$H:$H,"Master Dealer")) + SUMIFS('Data For Calculation - Insuranc'!I:I,'Data For Calculation - Insuranc'!$A:$A,$A186,'Data For Calculation - Insuranc'!$H:$H,"Self")</f>
        <v>0</v>
      </c>
      <c r="CE186" s="33">
        <f>IF($CK186 = "Dealer", SUMIFS('Data For Calculation - Insuranc'!J:J,'Data For Calculation - Insuranc'!$B:$B,$A186,'Data For Calculation - Insuranc'!$H:$H,"Master Dealer")) + SUMIFS('Data For Calculation - Insuranc'!J:J,'Data For Calculation - Insuranc'!$A:$A,$A186,'Data For Calculation - Insuranc'!$H:$H,"Self")</f>
        <v>0</v>
      </c>
      <c r="CF186" s="33">
        <f>IF($CK186 = "Dealer", SUMIFS('Data For Calculation - Insuranc'!K:K,'Data For Calculation - Insuranc'!$B:$B,$A186,'Data For Calculation - Insuranc'!$H:$H,"Master Dealer")) + SUMIFS('Data For Calculation - Insuranc'!K:K,'Data For Calculation - Insuranc'!$A:$A,$A186,'Data For Calculation - Insuranc'!$H:$H,"Self")</f>
        <v>0</v>
      </c>
      <c r="CG186" s="25" t="str">
        <f>(Sheet1!N186)</f>
        <v>Modern Auto Agency - Bettiah</v>
      </c>
      <c r="CH186" s="25" t="str">
        <f>(Sheet1!O186)</f>
        <v>1_UtGSoyOsljQXvmry7gfXGYwjwEjQbghQQGZebnq45M</v>
      </c>
      <c r="CI186" s="25" t="str">
        <f>(Sheet1!AV186)</f>
        <v/>
      </c>
      <c r="CJ186" s="25" t="str">
        <f>(Sheet1!AW186)</f>
        <v/>
      </c>
      <c r="CK186" s="25" t="str">
        <f>(Sheet1!P186)</f>
        <v>Sub Dealer</v>
      </c>
    </row>
    <row r="187">
      <c r="A187" s="25" t="str">
        <f>(Sheet1!A187)</f>
        <v>18-Jt-1hSQWeUmfNImHZoIB1DJTVR1SDzcs7QHsFc8IQ</v>
      </c>
      <c r="B187" s="25" t="str">
        <f>(Sheet1!B187)</f>
        <v>MILAN AUTO AGENCY (MAA) - RAMNAGAR</v>
      </c>
      <c r="C187" s="30" t="str">
        <f>Sheet1!BB187</f>
        <v>No</v>
      </c>
      <c r="D187" s="30" t="s">
        <v>13</v>
      </c>
      <c r="E187" s="34" t="s">
        <v>13</v>
      </c>
      <c r="F187" s="34" t="s">
        <v>3929</v>
      </c>
      <c r="G187" s="25" t="s">
        <v>3820</v>
      </c>
      <c r="H187" s="43">
        <v>460.0</v>
      </c>
      <c r="I187" s="42" t="s">
        <v>3853</v>
      </c>
      <c r="J187" s="43">
        <v>0.0</v>
      </c>
      <c r="K187" s="43">
        <v>100.0</v>
      </c>
      <c r="L187" s="43">
        <v>0.0</v>
      </c>
      <c r="M187" s="43">
        <v>0.0</v>
      </c>
      <c r="N187" s="33">
        <f>COUNTIFS('Data For Calculation - Insuranc'!A:A,A187,'Data For Calculation - Insuranc'!D:D,"Individual",'Data For Calculation - Insuranc'!E:E,"Bundled - 1 Year OD + 5 Year TP")</f>
        <v>0</v>
      </c>
      <c r="O187" s="34" t="s">
        <v>3930</v>
      </c>
      <c r="P187" s="25" t="s">
        <v>3820</v>
      </c>
      <c r="Q187" s="43">
        <v>460.0</v>
      </c>
      <c r="R187" s="42" t="s">
        <v>3853</v>
      </c>
      <c r="S187" s="43">
        <v>0.0</v>
      </c>
      <c r="T187" s="43">
        <v>100.0</v>
      </c>
      <c r="U187" s="43">
        <v>0.0</v>
      </c>
      <c r="V187" s="43">
        <v>0.0</v>
      </c>
      <c r="W187" s="33">
        <f>COUNTIFS('Data For Calculation - Insuranc'!A:A,A187,'Data For Calculation - Insuranc'!D:D,"Company",'Data For Calculation - Insuranc'!E:E,"Bundled - 1 Year OD + 5 Year TP")</f>
        <v>0</v>
      </c>
      <c r="X187" s="34" t="s">
        <v>3929</v>
      </c>
      <c r="Y187" s="25" t="s">
        <v>3820</v>
      </c>
      <c r="Z187" s="31">
        <v>205.0</v>
      </c>
      <c r="AA187" s="34" t="s">
        <v>3853</v>
      </c>
      <c r="AB187" s="34">
        <v>0.0</v>
      </c>
      <c r="AC187" s="34">
        <v>100.0</v>
      </c>
      <c r="AD187" s="34">
        <v>0.0</v>
      </c>
      <c r="AE187" s="34">
        <v>0.0</v>
      </c>
      <c r="AF187" s="33">
        <f>COUNTIFS('Data For Calculation - Insuranc'!A:A,A187,'Data For Calculation - Insuranc'!D:D,"Individual",'Data For Calculation - Insuranc'!E:E,"Rollover Comprehensive - 1 Year OD + 1 Year TP")</f>
        <v>0</v>
      </c>
      <c r="AG187" s="34" t="s">
        <v>3930</v>
      </c>
      <c r="AH187" s="25" t="s">
        <v>3820</v>
      </c>
      <c r="AI187" s="31">
        <v>205.0</v>
      </c>
      <c r="AJ187" s="34" t="s">
        <v>3853</v>
      </c>
      <c r="AK187" s="34">
        <v>0.0</v>
      </c>
      <c r="AL187" s="34">
        <v>100.0</v>
      </c>
      <c r="AM187" s="34">
        <v>0.0</v>
      </c>
      <c r="AN187" s="34">
        <v>0.0</v>
      </c>
      <c r="AO187" s="33">
        <f>COUNTIFS('Data For Calculation - Insuranc'!A:A,A187,'Data For Calculation - Insuranc'!D:D,"Company",'Data For Calculation - Insuranc'!E:E,"Rollover Comprehensive - 1 Year OD + 1 Year TP")</f>
        <v>0</v>
      </c>
      <c r="AP187" s="34" t="s">
        <v>3931</v>
      </c>
      <c r="AQ187" s="25" t="s">
        <v>3820</v>
      </c>
      <c r="AR187" s="31">
        <v>205.0</v>
      </c>
      <c r="AS187" s="34" t="s">
        <v>3853</v>
      </c>
      <c r="AT187" s="34">
        <v>0.0</v>
      </c>
      <c r="AU187" s="34">
        <v>100.0</v>
      </c>
      <c r="AV187" s="34">
        <v>0.0</v>
      </c>
      <c r="AW187" s="34">
        <v>0.0</v>
      </c>
      <c r="AX187" s="33">
        <f>COUNTIFS('Data For Calculation - Insuranc'!A:A,A187,'Data For Calculation - Insuranc'!D:D,"Individual",'Data For Calculation - Insuranc'!E:E,"Rollover - 1 Year OD Only")</f>
        <v>0</v>
      </c>
      <c r="AY187" s="34" t="s">
        <v>3932</v>
      </c>
      <c r="AZ187" s="25" t="s">
        <v>3820</v>
      </c>
      <c r="BA187" s="31">
        <v>205.0</v>
      </c>
      <c r="BB187" s="34" t="s">
        <v>3853</v>
      </c>
      <c r="BC187" s="34">
        <v>0.0</v>
      </c>
      <c r="BD187" s="34">
        <v>100.0</v>
      </c>
      <c r="BE187" s="34">
        <v>0.0</v>
      </c>
      <c r="BF187" s="34">
        <v>0.0</v>
      </c>
      <c r="BG187" s="33">
        <f>COUNTIFS('Data For Calculation - Insuranc'!A:A,A187,'Data For Calculation - Insuranc'!D:D,"Company",'Data For Calculation - Insuranc'!E:E,"Rollover - 1 Year OD Only")</f>
        <v>0</v>
      </c>
      <c r="BH187" s="34" t="s">
        <v>3931</v>
      </c>
      <c r="BI187" s="25" t="s">
        <v>3820</v>
      </c>
      <c r="BJ187" s="31">
        <v>205.0</v>
      </c>
      <c r="BK187" s="34" t="s">
        <v>3853</v>
      </c>
      <c r="BL187" s="34">
        <v>0.0</v>
      </c>
      <c r="BM187" s="34">
        <v>100.0</v>
      </c>
      <c r="BN187" s="34">
        <v>0.0</v>
      </c>
      <c r="BO187" s="34">
        <v>0.0</v>
      </c>
      <c r="BP187" s="33">
        <f>COUNTIFS('Data For Calculation - Insuranc'!A:A,A187,'Data For Calculation - Insuranc'!D:D,"Individual",'Data For Calculation - Insuranc'!E:E,"Rollover - 1 Year TP Only")</f>
        <v>0</v>
      </c>
      <c r="BQ187" s="34" t="s">
        <v>3932</v>
      </c>
      <c r="BR187" s="25" t="s">
        <v>3820</v>
      </c>
      <c r="BS187" s="31">
        <v>205.0</v>
      </c>
      <c r="BT187" s="34" t="s">
        <v>3853</v>
      </c>
      <c r="BU187" s="34">
        <v>0.0</v>
      </c>
      <c r="BV187" s="34">
        <v>100.0</v>
      </c>
      <c r="BW187" s="34">
        <v>0.0</v>
      </c>
      <c r="BX187" s="34">
        <v>0.0</v>
      </c>
      <c r="BY187" s="33">
        <f>COUNTIFS('Data For Calculation - Insuranc'!A:A,A187,'Data For Calculation - Insuranc'!D:D,"Company",'Data For Calculation - Insuranc'!E:E,"Rollover - 1 Year TP Only")</f>
        <v>0</v>
      </c>
      <c r="BZ187" s="31">
        <f t="shared" si="1"/>
        <v>0</v>
      </c>
      <c r="CA187" s="33">
        <f>SUMIFS('Data For Calculation - Insuranc'!I:I,'Data For Calculation - Insuranc'!$A:$A,$A187)</f>
        <v>0</v>
      </c>
      <c r="CB187" s="33">
        <f>SUMIFS('Data For Calculation - Insuranc'!J:J,'Data For Calculation - Insuranc'!$A:$A,$A187)</f>
        <v>0</v>
      </c>
      <c r="CC187" s="33">
        <f>SUMIFS('Data For Calculation - Insuranc'!K:K,'Data For Calculation - Insuranc'!$A:$A,$A187)</f>
        <v>0</v>
      </c>
      <c r="CD187" s="33">
        <f>IF($CK187 = "Dealer", SUMIFS('Data For Calculation - Insuranc'!I:I,'Data For Calculation - Insuranc'!$B:$B,$A187,'Data For Calculation - Insuranc'!$H:$H,"Master Dealer")) + SUMIFS('Data For Calculation - Insuranc'!I:I,'Data For Calculation - Insuranc'!$A:$A,$A187,'Data For Calculation - Insuranc'!$H:$H,"Self")</f>
        <v>0</v>
      </c>
      <c r="CE187" s="33">
        <f>IF($CK187 = "Dealer", SUMIFS('Data For Calculation - Insuranc'!J:J,'Data For Calculation - Insuranc'!$B:$B,$A187,'Data For Calculation - Insuranc'!$H:$H,"Master Dealer")) + SUMIFS('Data For Calculation - Insuranc'!J:J,'Data For Calculation - Insuranc'!$A:$A,$A187,'Data For Calculation - Insuranc'!$H:$H,"Self")</f>
        <v>0</v>
      </c>
      <c r="CF187" s="33">
        <f>IF($CK187 = "Dealer", SUMIFS('Data For Calculation - Insuranc'!K:K,'Data For Calculation - Insuranc'!$B:$B,$A187,'Data For Calculation - Insuranc'!$H:$H,"Master Dealer")) + SUMIFS('Data For Calculation - Insuranc'!K:K,'Data For Calculation - Insuranc'!$A:$A,$A187,'Data For Calculation - Insuranc'!$H:$H,"Self")</f>
        <v>0</v>
      </c>
      <c r="CG187" s="25" t="str">
        <f>(Sheet1!N187)</f>
        <v>Modern Auto Agency - Bettiah</v>
      </c>
      <c r="CH187" s="25" t="str">
        <f>(Sheet1!O187)</f>
        <v>1_UtGSoyOsljQXvmry7gfXGYwjwEjQbghQQGZebnq45M</v>
      </c>
      <c r="CI187" s="25" t="str">
        <f>(Sheet1!AV187)</f>
        <v/>
      </c>
      <c r="CJ187" s="25" t="str">
        <f>(Sheet1!AW187)</f>
        <v/>
      </c>
      <c r="CK187" s="25" t="str">
        <f>(Sheet1!P187)</f>
        <v>Sub Dealer</v>
      </c>
    </row>
    <row r="188">
      <c r="A188" s="25" t="str">
        <f>(Sheet1!A188)</f>
        <v>1HM8WbBnHpHB3rDjfMfy58j7gi_pEy5b2nEqGnoGP7mk</v>
      </c>
      <c r="B188" s="25" t="str">
        <f>(Sheet1!B188)</f>
        <v>SHAKTI AUTOMOBILES (MAA) - JAGDISHPUR</v>
      </c>
      <c r="C188" s="30" t="str">
        <f>Sheet1!BB188</f>
        <v>No</v>
      </c>
      <c r="D188" s="30" t="s">
        <v>13</v>
      </c>
      <c r="E188" s="34" t="s">
        <v>13</v>
      </c>
      <c r="F188" s="34" t="s">
        <v>3929</v>
      </c>
      <c r="G188" s="25" t="s">
        <v>3820</v>
      </c>
      <c r="H188" s="43">
        <v>460.0</v>
      </c>
      <c r="I188" s="42" t="s">
        <v>3853</v>
      </c>
      <c r="J188" s="43">
        <v>0.0</v>
      </c>
      <c r="K188" s="43">
        <v>100.0</v>
      </c>
      <c r="L188" s="43">
        <v>0.0</v>
      </c>
      <c r="M188" s="43">
        <v>0.0</v>
      </c>
      <c r="N188" s="33">
        <f>COUNTIFS('Data For Calculation - Insuranc'!A:A,A188,'Data For Calculation - Insuranc'!D:D,"Individual",'Data For Calculation - Insuranc'!E:E,"Bundled - 1 Year OD + 5 Year TP")</f>
        <v>0</v>
      </c>
      <c r="O188" s="34" t="s">
        <v>3930</v>
      </c>
      <c r="P188" s="25" t="s">
        <v>3820</v>
      </c>
      <c r="Q188" s="43">
        <v>460.0</v>
      </c>
      <c r="R188" s="42" t="s">
        <v>3853</v>
      </c>
      <c r="S188" s="43">
        <v>0.0</v>
      </c>
      <c r="T188" s="43">
        <v>100.0</v>
      </c>
      <c r="U188" s="43">
        <v>0.0</v>
      </c>
      <c r="V188" s="43">
        <v>0.0</v>
      </c>
      <c r="W188" s="33">
        <f>COUNTIFS('Data For Calculation - Insuranc'!A:A,A188,'Data For Calculation - Insuranc'!D:D,"Company",'Data For Calculation - Insuranc'!E:E,"Bundled - 1 Year OD + 5 Year TP")</f>
        <v>0</v>
      </c>
      <c r="X188" s="34" t="s">
        <v>3929</v>
      </c>
      <c r="Y188" s="25" t="s">
        <v>3820</v>
      </c>
      <c r="Z188" s="31">
        <v>205.0</v>
      </c>
      <c r="AA188" s="34" t="s">
        <v>3853</v>
      </c>
      <c r="AB188" s="34">
        <v>0.0</v>
      </c>
      <c r="AC188" s="34">
        <v>100.0</v>
      </c>
      <c r="AD188" s="34">
        <v>0.0</v>
      </c>
      <c r="AE188" s="34">
        <v>0.0</v>
      </c>
      <c r="AF188" s="33">
        <f>COUNTIFS('Data For Calculation - Insuranc'!A:A,A188,'Data For Calculation - Insuranc'!D:D,"Individual",'Data For Calculation - Insuranc'!E:E,"Rollover Comprehensive - 1 Year OD + 1 Year TP")</f>
        <v>0</v>
      </c>
      <c r="AG188" s="34" t="s">
        <v>3930</v>
      </c>
      <c r="AH188" s="25" t="s">
        <v>3820</v>
      </c>
      <c r="AI188" s="31">
        <v>205.0</v>
      </c>
      <c r="AJ188" s="34" t="s">
        <v>3853</v>
      </c>
      <c r="AK188" s="34">
        <v>0.0</v>
      </c>
      <c r="AL188" s="34">
        <v>100.0</v>
      </c>
      <c r="AM188" s="34">
        <v>0.0</v>
      </c>
      <c r="AN188" s="34">
        <v>0.0</v>
      </c>
      <c r="AO188" s="33">
        <f>COUNTIFS('Data For Calculation - Insuranc'!A:A,A188,'Data For Calculation - Insuranc'!D:D,"Company",'Data For Calculation - Insuranc'!E:E,"Rollover Comprehensive - 1 Year OD + 1 Year TP")</f>
        <v>0</v>
      </c>
      <c r="AP188" s="34" t="s">
        <v>3931</v>
      </c>
      <c r="AQ188" s="25" t="s">
        <v>3820</v>
      </c>
      <c r="AR188" s="31">
        <v>205.0</v>
      </c>
      <c r="AS188" s="34" t="s">
        <v>3853</v>
      </c>
      <c r="AT188" s="34">
        <v>0.0</v>
      </c>
      <c r="AU188" s="34">
        <v>100.0</v>
      </c>
      <c r="AV188" s="34">
        <v>0.0</v>
      </c>
      <c r="AW188" s="34">
        <v>0.0</v>
      </c>
      <c r="AX188" s="33">
        <f>COUNTIFS('Data For Calculation - Insuranc'!A:A,A188,'Data For Calculation - Insuranc'!D:D,"Individual",'Data For Calculation - Insuranc'!E:E,"Rollover - 1 Year OD Only")</f>
        <v>0</v>
      </c>
      <c r="AY188" s="34" t="s">
        <v>3932</v>
      </c>
      <c r="AZ188" s="25" t="s">
        <v>3820</v>
      </c>
      <c r="BA188" s="31">
        <v>205.0</v>
      </c>
      <c r="BB188" s="34" t="s">
        <v>3853</v>
      </c>
      <c r="BC188" s="34">
        <v>0.0</v>
      </c>
      <c r="BD188" s="34">
        <v>100.0</v>
      </c>
      <c r="BE188" s="34">
        <v>0.0</v>
      </c>
      <c r="BF188" s="34">
        <v>0.0</v>
      </c>
      <c r="BG188" s="33">
        <f>COUNTIFS('Data For Calculation - Insuranc'!A:A,A188,'Data For Calculation - Insuranc'!D:D,"Company",'Data For Calculation - Insuranc'!E:E,"Rollover - 1 Year OD Only")</f>
        <v>0</v>
      </c>
      <c r="BH188" s="34" t="s">
        <v>3931</v>
      </c>
      <c r="BI188" s="25" t="s">
        <v>3820</v>
      </c>
      <c r="BJ188" s="31">
        <v>205.0</v>
      </c>
      <c r="BK188" s="34" t="s">
        <v>3853</v>
      </c>
      <c r="BL188" s="34">
        <v>0.0</v>
      </c>
      <c r="BM188" s="34">
        <v>100.0</v>
      </c>
      <c r="BN188" s="34">
        <v>0.0</v>
      </c>
      <c r="BO188" s="34">
        <v>0.0</v>
      </c>
      <c r="BP188" s="33">
        <f>COUNTIFS('Data For Calculation - Insuranc'!A:A,A188,'Data For Calculation - Insuranc'!D:D,"Individual",'Data For Calculation - Insuranc'!E:E,"Rollover - 1 Year TP Only")</f>
        <v>0</v>
      </c>
      <c r="BQ188" s="34" t="s">
        <v>3932</v>
      </c>
      <c r="BR188" s="25" t="s">
        <v>3820</v>
      </c>
      <c r="BS188" s="31">
        <v>205.0</v>
      </c>
      <c r="BT188" s="34" t="s">
        <v>3853</v>
      </c>
      <c r="BU188" s="34">
        <v>0.0</v>
      </c>
      <c r="BV188" s="34">
        <v>100.0</v>
      </c>
      <c r="BW188" s="34">
        <v>0.0</v>
      </c>
      <c r="BX188" s="34">
        <v>0.0</v>
      </c>
      <c r="BY188" s="33">
        <f>COUNTIFS('Data For Calculation - Insuranc'!A:A,A188,'Data For Calculation - Insuranc'!D:D,"Company",'Data For Calculation - Insuranc'!E:E,"Rollover - 1 Year TP Only")</f>
        <v>0</v>
      </c>
      <c r="BZ188" s="31">
        <f t="shared" si="1"/>
        <v>0</v>
      </c>
      <c r="CA188" s="33">
        <f>SUMIFS('Data For Calculation - Insuranc'!I:I,'Data For Calculation - Insuranc'!$A:$A,$A188)</f>
        <v>0</v>
      </c>
      <c r="CB188" s="33">
        <f>SUMIFS('Data For Calculation - Insuranc'!J:J,'Data For Calculation - Insuranc'!$A:$A,$A188)</f>
        <v>0</v>
      </c>
      <c r="CC188" s="33">
        <f>SUMIFS('Data For Calculation - Insuranc'!K:K,'Data For Calculation - Insuranc'!$A:$A,$A188)</f>
        <v>0</v>
      </c>
      <c r="CD188" s="33">
        <f>IF($CK188 = "Dealer", SUMIFS('Data For Calculation - Insuranc'!I:I,'Data For Calculation - Insuranc'!$B:$B,$A188,'Data For Calculation - Insuranc'!$H:$H,"Master Dealer")) + SUMIFS('Data For Calculation - Insuranc'!I:I,'Data For Calculation - Insuranc'!$A:$A,$A188,'Data For Calculation - Insuranc'!$H:$H,"Self")</f>
        <v>0</v>
      </c>
      <c r="CE188" s="33">
        <f>IF($CK188 = "Dealer", SUMIFS('Data For Calculation - Insuranc'!J:J,'Data For Calculation - Insuranc'!$B:$B,$A188,'Data For Calculation - Insuranc'!$H:$H,"Master Dealer")) + SUMIFS('Data For Calculation - Insuranc'!J:J,'Data For Calculation - Insuranc'!$A:$A,$A188,'Data For Calculation - Insuranc'!$H:$H,"Self")</f>
        <v>0</v>
      </c>
      <c r="CF188" s="33">
        <f>IF($CK188 = "Dealer", SUMIFS('Data For Calculation - Insuranc'!K:K,'Data For Calculation - Insuranc'!$B:$B,$A188,'Data For Calculation - Insuranc'!$H:$H,"Master Dealer")) + SUMIFS('Data For Calculation - Insuranc'!K:K,'Data For Calculation - Insuranc'!$A:$A,$A188,'Data For Calculation - Insuranc'!$H:$H,"Self")</f>
        <v>0</v>
      </c>
      <c r="CG188" s="25" t="str">
        <f>(Sheet1!N188)</f>
        <v>Modern Auto Agency - Bettiah</v>
      </c>
      <c r="CH188" s="25" t="str">
        <f>(Sheet1!O188)</f>
        <v>1_UtGSoyOsljQXvmry7gfXGYwjwEjQbghQQGZebnq45M</v>
      </c>
      <c r="CI188" s="25" t="str">
        <f>(Sheet1!AV188)</f>
        <v/>
      </c>
      <c r="CJ188" s="25" t="str">
        <f>(Sheet1!AW188)</f>
        <v/>
      </c>
      <c r="CK188" s="25" t="str">
        <f>(Sheet1!P188)</f>
        <v>Sub Dealer</v>
      </c>
    </row>
    <row r="189">
      <c r="A189" s="25" t="str">
        <f>(Sheet1!A189)</f>
        <v>1qxwsz8bKbkgF_CUEIo4wHtKWUOmG5XLVsTe2BNqwe-U</v>
      </c>
      <c r="B189" s="25" t="str">
        <f>(Sheet1!B189)</f>
        <v>OM HERO AGENCY (MAA) - LAURIYA</v>
      </c>
      <c r="C189" s="30" t="str">
        <f>Sheet1!BB189</f>
        <v>No</v>
      </c>
      <c r="D189" s="30" t="s">
        <v>13</v>
      </c>
      <c r="E189" s="34" t="s">
        <v>13</v>
      </c>
      <c r="F189" s="34" t="s">
        <v>3929</v>
      </c>
      <c r="G189" s="25" t="s">
        <v>3820</v>
      </c>
      <c r="H189" s="43">
        <v>460.0</v>
      </c>
      <c r="I189" s="42" t="s">
        <v>3853</v>
      </c>
      <c r="J189" s="43">
        <v>0.0</v>
      </c>
      <c r="K189" s="43">
        <v>100.0</v>
      </c>
      <c r="L189" s="43">
        <v>0.0</v>
      </c>
      <c r="M189" s="43">
        <v>0.0</v>
      </c>
      <c r="N189" s="33">
        <f>COUNTIFS('Data For Calculation - Insuranc'!A:A,A189,'Data For Calculation - Insuranc'!D:D,"Individual",'Data For Calculation - Insuranc'!E:E,"Bundled - 1 Year OD + 5 Year TP")</f>
        <v>0</v>
      </c>
      <c r="O189" s="34" t="s">
        <v>3930</v>
      </c>
      <c r="P189" s="25" t="s">
        <v>3820</v>
      </c>
      <c r="Q189" s="43">
        <v>460.0</v>
      </c>
      <c r="R189" s="42" t="s">
        <v>3853</v>
      </c>
      <c r="S189" s="43">
        <v>0.0</v>
      </c>
      <c r="T189" s="43">
        <v>100.0</v>
      </c>
      <c r="U189" s="43">
        <v>0.0</v>
      </c>
      <c r="V189" s="43">
        <v>0.0</v>
      </c>
      <c r="W189" s="33">
        <f>COUNTIFS('Data For Calculation - Insuranc'!A:A,A189,'Data For Calculation - Insuranc'!D:D,"Company",'Data For Calculation - Insuranc'!E:E,"Bundled - 1 Year OD + 5 Year TP")</f>
        <v>0</v>
      </c>
      <c r="X189" s="34" t="s">
        <v>3929</v>
      </c>
      <c r="Y189" s="25" t="s">
        <v>3820</v>
      </c>
      <c r="Z189" s="31">
        <v>205.0</v>
      </c>
      <c r="AA189" s="34" t="s">
        <v>3853</v>
      </c>
      <c r="AB189" s="34">
        <v>0.0</v>
      </c>
      <c r="AC189" s="34">
        <v>100.0</v>
      </c>
      <c r="AD189" s="34">
        <v>0.0</v>
      </c>
      <c r="AE189" s="34">
        <v>0.0</v>
      </c>
      <c r="AF189" s="33">
        <f>COUNTIFS('Data For Calculation - Insuranc'!A:A,A189,'Data For Calculation - Insuranc'!D:D,"Individual",'Data For Calculation - Insuranc'!E:E,"Rollover Comprehensive - 1 Year OD + 1 Year TP")</f>
        <v>0</v>
      </c>
      <c r="AG189" s="34" t="s">
        <v>3930</v>
      </c>
      <c r="AH189" s="25" t="s">
        <v>3820</v>
      </c>
      <c r="AI189" s="31">
        <v>205.0</v>
      </c>
      <c r="AJ189" s="34" t="s">
        <v>3853</v>
      </c>
      <c r="AK189" s="34">
        <v>0.0</v>
      </c>
      <c r="AL189" s="34">
        <v>100.0</v>
      </c>
      <c r="AM189" s="34">
        <v>0.0</v>
      </c>
      <c r="AN189" s="34">
        <v>0.0</v>
      </c>
      <c r="AO189" s="33">
        <f>COUNTIFS('Data For Calculation - Insuranc'!A:A,A189,'Data For Calculation - Insuranc'!D:D,"Company",'Data For Calculation - Insuranc'!E:E,"Rollover Comprehensive - 1 Year OD + 1 Year TP")</f>
        <v>0</v>
      </c>
      <c r="AP189" s="34" t="s">
        <v>3931</v>
      </c>
      <c r="AQ189" s="25" t="s">
        <v>3820</v>
      </c>
      <c r="AR189" s="31">
        <v>205.0</v>
      </c>
      <c r="AS189" s="34" t="s">
        <v>3853</v>
      </c>
      <c r="AT189" s="34">
        <v>0.0</v>
      </c>
      <c r="AU189" s="34">
        <v>100.0</v>
      </c>
      <c r="AV189" s="34">
        <v>0.0</v>
      </c>
      <c r="AW189" s="34">
        <v>0.0</v>
      </c>
      <c r="AX189" s="33">
        <f>COUNTIFS('Data For Calculation - Insuranc'!A:A,A189,'Data For Calculation - Insuranc'!D:D,"Individual",'Data For Calculation - Insuranc'!E:E,"Rollover - 1 Year OD Only")</f>
        <v>0</v>
      </c>
      <c r="AY189" s="34" t="s">
        <v>3932</v>
      </c>
      <c r="AZ189" s="25" t="s">
        <v>3820</v>
      </c>
      <c r="BA189" s="31">
        <v>205.0</v>
      </c>
      <c r="BB189" s="34" t="s">
        <v>3853</v>
      </c>
      <c r="BC189" s="34">
        <v>0.0</v>
      </c>
      <c r="BD189" s="34">
        <v>100.0</v>
      </c>
      <c r="BE189" s="34">
        <v>0.0</v>
      </c>
      <c r="BF189" s="34">
        <v>0.0</v>
      </c>
      <c r="BG189" s="33">
        <f>COUNTIFS('Data For Calculation - Insuranc'!A:A,A189,'Data For Calculation - Insuranc'!D:D,"Company",'Data For Calculation - Insuranc'!E:E,"Rollover - 1 Year OD Only")</f>
        <v>0</v>
      </c>
      <c r="BH189" s="34" t="s">
        <v>3931</v>
      </c>
      <c r="BI189" s="25" t="s">
        <v>3820</v>
      </c>
      <c r="BJ189" s="31">
        <v>205.0</v>
      </c>
      <c r="BK189" s="34" t="s">
        <v>3853</v>
      </c>
      <c r="BL189" s="34">
        <v>0.0</v>
      </c>
      <c r="BM189" s="34">
        <v>100.0</v>
      </c>
      <c r="BN189" s="34">
        <v>0.0</v>
      </c>
      <c r="BO189" s="34">
        <v>0.0</v>
      </c>
      <c r="BP189" s="33">
        <f>COUNTIFS('Data For Calculation - Insuranc'!A:A,A189,'Data For Calculation - Insuranc'!D:D,"Individual",'Data For Calculation - Insuranc'!E:E,"Rollover - 1 Year TP Only")</f>
        <v>0</v>
      </c>
      <c r="BQ189" s="34" t="s">
        <v>3932</v>
      </c>
      <c r="BR189" s="25" t="s">
        <v>3820</v>
      </c>
      <c r="BS189" s="31">
        <v>205.0</v>
      </c>
      <c r="BT189" s="34" t="s">
        <v>3853</v>
      </c>
      <c r="BU189" s="34">
        <v>0.0</v>
      </c>
      <c r="BV189" s="34">
        <v>100.0</v>
      </c>
      <c r="BW189" s="34">
        <v>0.0</v>
      </c>
      <c r="BX189" s="34">
        <v>0.0</v>
      </c>
      <c r="BY189" s="33">
        <f>COUNTIFS('Data For Calculation - Insuranc'!A:A,A189,'Data For Calculation - Insuranc'!D:D,"Company",'Data For Calculation - Insuranc'!E:E,"Rollover - 1 Year TP Only")</f>
        <v>0</v>
      </c>
      <c r="BZ189" s="31">
        <f t="shared" si="1"/>
        <v>0</v>
      </c>
      <c r="CA189" s="33">
        <f>SUMIFS('Data For Calculation - Insuranc'!I:I,'Data For Calculation - Insuranc'!$A:$A,$A189)</f>
        <v>0</v>
      </c>
      <c r="CB189" s="33">
        <f>SUMIFS('Data For Calculation - Insuranc'!J:J,'Data For Calculation - Insuranc'!$A:$A,$A189)</f>
        <v>0</v>
      </c>
      <c r="CC189" s="33">
        <f>SUMIFS('Data For Calculation - Insuranc'!K:K,'Data For Calculation - Insuranc'!$A:$A,$A189)</f>
        <v>0</v>
      </c>
      <c r="CD189" s="33">
        <f>IF($CK189 = "Dealer", SUMIFS('Data For Calculation - Insuranc'!I:I,'Data For Calculation - Insuranc'!$B:$B,$A189,'Data For Calculation - Insuranc'!$H:$H,"Master Dealer")) + SUMIFS('Data For Calculation - Insuranc'!I:I,'Data For Calculation - Insuranc'!$A:$A,$A189,'Data For Calculation - Insuranc'!$H:$H,"Self")</f>
        <v>0</v>
      </c>
      <c r="CE189" s="33">
        <f>IF($CK189 = "Dealer", SUMIFS('Data For Calculation - Insuranc'!J:J,'Data For Calculation - Insuranc'!$B:$B,$A189,'Data For Calculation - Insuranc'!$H:$H,"Master Dealer")) + SUMIFS('Data For Calculation - Insuranc'!J:J,'Data For Calculation - Insuranc'!$A:$A,$A189,'Data For Calculation - Insuranc'!$H:$H,"Self")</f>
        <v>0</v>
      </c>
      <c r="CF189" s="33">
        <f>IF($CK189 = "Dealer", SUMIFS('Data For Calculation - Insuranc'!K:K,'Data For Calculation - Insuranc'!$B:$B,$A189,'Data For Calculation - Insuranc'!$H:$H,"Master Dealer")) + SUMIFS('Data For Calculation - Insuranc'!K:K,'Data For Calculation - Insuranc'!$A:$A,$A189,'Data For Calculation - Insuranc'!$H:$H,"Self")</f>
        <v>0</v>
      </c>
      <c r="CG189" s="25" t="str">
        <f>(Sheet1!N189)</f>
        <v>Modern Auto Agency - Bettiah</v>
      </c>
      <c r="CH189" s="25" t="str">
        <f>(Sheet1!O189)</f>
        <v>1_UtGSoyOsljQXvmry7gfXGYwjwEjQbghQQGZebnq45M</v>
      </c>
      <c r="CI189" s="25" t="str">
        <f>(Sheet1!AV189)</f>
        <v/>
      </c>
      <c r="CJ189" s="25" t="str">
        <f>(Sheet1!AW189)</f>
        <v/>
      </c>
      <c r="CK189" s="25" t="str">
        <f>(Sheet1!P189)</f>
        <v>Sub Dealer</v>
      </c>
    </row>
    <row r="190">
      <c r="A190" s="25" t="str">
        <f>(Sheet1!A190)</f>
        <v>1Q8U3Jj55bW7tNWEEYKak-6r3JRnqYxwcO8TnGV4lF2I</v>
      </c>
      <c r="B190" s="25" t="str">
        <f>(Sheet1!B190)</f>
        <v>LAXMI ENTERPRISES (MAA) - HARNATAR</v>
      </c>
      <c r="C190" s="30" t="str">
        <f>Sheet1!BB190</f>
        <v>No</v>
      </c>
      <c r="D190" s="30" t="s">
        <v>13</v>
      </c>
      <c r="E190" s="34" t="s">
        <v>13</v>
      </c>
      <c r="F190" s="34" t="s">
        <v>3929</v>
      </c>
      <c r="G190" s="25" t="s">
        <v>3820</v>
      </c>
      <c r="H190" s="43">
        <v>460.0</v>
      </c>
      <c r="I190" s="42" t="s">
        <v>3853</v>
      </c>
      <c r="J190" s="43">
        <v>0.0</v>
      </c>
      <c r="K190" s="43">
        <v>100.0</v>
      </c>
      <c r="L190" s="43">
        <v>0.0</v>
      </c>
      <c r="M190" s="43">
        <v>0.0</v>
      </c>
      <c r="N190" s="33">
        <f>COUNTIFS('Data For Calculation - Insuranc'!A:A,A190,'Data For Calculation - Insuranc'!D:D,"Individual",'Data For Calculation - Insuranc'!E:E,"Bundled - 1 Year OD + 5 Year TP")</f>
        <v>0</v>
      </c>
      <c r="O190" s="34" t="s">
        <v>3930</v>
      </c>
      <c r="P190" s="25" t="s">
        <v>3820</v>
      </c>
      <c r="Q190" s="43">
        <v>460.0</v>
      </c>
      <c r="R190" s="42" t="s">
        <v>3853</v>
      </c>
      <c r="S190" s="43">
        <v>0.0</v>
      </c>
      <c r="T190" s="43">
        <v>100.0</v>
      </c>
      <c r="U190" s="43">
        <v>0.0</v>
      </c>
      <c r="V190" s="43">
        <v>0.0</v>
      </c>
      <c r="W190" s="33">
        <f>COUNTIFS('Data For Calculation - Insuranc'!A:A,A190,'Data For Calculation - Insuranc'!D:D,"Company",'Data For Calculation - Insuranc'!E:E,"Bundled - 1 Year OD + 5 Year TP")</f>
        <v>0</v>
      </c>
      <c r="X190" s="34" t="s">
        <v>3929</v>
      </c>
      <c r="Y190" s="25" t="s">
        <v>3820</v>
      </c>
      <c r="Z190" s="31">
        <v>205.0</v>
      </c>
      <c r="AA190" s="34" t="s">
        <v>3853</v>
      </c>
      <c r="AB190" s="34">
        <v>0.0</v>
      </c>
      <c r="AC190" s="34">
        <v>100.0</v>
      </c>
      <c r="AD190" s="34">
        <v>0.0</v>
      </c>
      <c r="AE190" s="34">
        <v>0.0</v>
      </c>
      <c r="AF190" s="33">
        <f>COUNTIFS('Data For Calculation - Insuranc'!A:A,A190,'Data For Calculation - Insuranc'!D:D,"Individual",'Data For Calculation - Insuranc'!E:E,"Rollover Comprehensive - 1 Year OD + 1 Year TP")</f>
        <v>0</v>
      </c>
      <c r="AG190" s="34" t="s">
        <v>3930</v>
      </c>
      <c r="AH190" s="25" t="s">
        <v>3820</v>
      </c>
      <c r="AI190" s="31">
        <v>205.0</v>
      </c>
      <c r="AJ190" s="34" t="s">
        <v>3853</v>
      </c>
      <c r="AK190" s="34">
        <v>0.0</v>
      </c>
      <c r="AL190" s="34">
        <v>100.0</v>
      </c>
      <c r="AM190" s="34">
        <v>0.0</v>
      </c>
      <c r="AN190" s="34">
        <v>0.0</v>
      </c>
      <c r="AO190" s="33">
        <f>COUNTIFS('Data For Calculation - Insuranc'!A:A,A190,'Data For Calculation - Insuranc'!D:D,"Company",'Data For Calculation - Insuranc'!E:E,"Rollover Comprehensive - 1 Year OD + 1 Year TP")</f>
        <v>0</v>
      </c>
      <c r="AP190" s="34" t="s">
        <v>3931</v>
      </c>
      <c r="AQ190" s="25" t="s">
        <v>3820</v>
      </c>
      <c r="AR190" s="31">
        <v>205.0</v>
      </c>
      <c r="AS190" s="34" t="s">
        <v>3853</v>
      </c>
      <c r="AT190" s="34">
        <v>0.0</v>
      </c>
      <c r="AU190" s="34">
        <v>100.0</v>
      </c>
      <c r="AV190" s="34">
        <v>0.0</v>
      </c>
      <c r="AW190" s="34">
        <v>0.0</v>
      </c>
      <c r="AX190" s="33">
        <f>COUNTIFS('Data For Calculation - Insuranc'!A:A,A190,'Data For Calculation - Insuranc'!D:D,"Individual",'Data For Calculation - Insuranc'!E:E,"Rollover - 1 Year OD Only")</f>
        <v>0</v>
      </c>
      <c r="AY190" s="34" t="s">
        <v>3932</v>
      </c>
      <c r="AZ190" s="25" t="s">
        <v>3820</v>
      </c>
      <c r="BA190" s="31">
        <v>205.0</v>
      </c>
      <c r="BB190" s="34" t="s">
        <v>3853</v>
      </c>
      <c r="BC190" s="34">
        <v>0.0</v>
      </c>
      <c r="BD190" s="34">
        <v>100.0</v>
      </c>
      <c r="BE190" s="34">
        <v>0.0</v>
      </c>
      <c r="BF190" s="34">
        <v>0.0</v>
      </c>
      <c r="BG190" s="33">
        <f>COUNTIFS('Data For Calculation - Insuranc'!A:A,A190,'Data For Calculation - Insuranc'!D:D,"Company",'Data For Calculation - Insuranc'!E:E,"Rollover - 1 Year OD Only")</f>
        <v>0</v>
      </c>
      <c r="BH190" s="34" t="s">
        <v>3931</v>
      </c>
      <c r="BI190" s="25" t="s">
        <v>3820</v>
      </c>
      <c r="BJ190" s="31">
        <v>205.0</v>
      </c>
      <c r="BK190" s="34" t="s">
        <v>3853</v>
      </c>
      <c r="BL190" s="34">
        <v>0.0</v>
      </c>
      <c r="BM190" s="34">
        <v>100.0</v>
      </c>
      <c r="BN190" s="34">
        <v>0.0</v>
      </c>
      <c r="BO190" s="34">
        <v>0.0</v>
      </c>
      <c r="BP190" s="33">
        <f>COUNTIFS('Data For Calculation - Insuranc'!A:A,A190,'Data For Calculation - Insuranc'!D:D,"Individual",'Data For Calculation - Insuranc'!E:E,"Rollover - 1 Year TP Only")</f>
        <v>0</v>
      </c>
      <c r="BQ190" s="34" t="s">
        <v>3932</v>
      </c>
      <c r="BR190" s="25" t="s">
        <v>3820</v>
      </c>
      <c r="BS190" s="31">
        <v>205.0</v>
      </c>
      <c r="BT190" s="34" t="s">
        <v>3853</v>
      </c>
      <c r="BU190" s="34">
        <v>0.0</v>
      </c>
      <c r="BV190" s="34">
        <v>100.0</v>
      </c>
      <c r="BW190" s="34">
        <v>0.0</v>
      </c>
      <c r="BX190" s="34">
        <v>0.0</v>
      </c>
      <c r="BY190" s="33">
        <f>COUNTIFS('Data For Calculation - Insuranc'!A:A,A190,'Data For Calculation - Insuranc'!D:D,"Company",'Data For Calculation - Insuranc'!E:E,"Rollover - 1 Year TP Only")</f>
        <v>0</v>
      </c>
      <c r="BZ190" s="31">
        <f t="shared" si="1"/>
        <v>0</v>
      </c>
      <c r="CA190" s="33">
        <f>SUMIFS('Data For Calculation - Insuranc'!I:I,'Data For Calculation - Insuranc'!$A:$A,$A190)</f>
        <v>0</v>
      </c>
      <c r="CB190" s="33">
        <f>SUMIFS('Data For Calculation - Insuranc'!J:J,'Data For Calculation - Insuranc'!$A:$A,$A190)</f>
        <v>0</v>
      </c>
      <c r="CC190" s="33">
        <f>SUMIFS('Data For Calculation - Insuranc'!K:K,'Data For Calculation - Insuranc'!$A:$A,$A190)</f>
        <v>0</v>
      </c>
      <c r="CD190" s="33">
        <f>IF($CK190 = "Dealer", SUMIFS('Data For Calculation - Insuranc'!I:I,'Data For Calculation - Insuranc'!$B:$B,$A190,'Data For Calculation - Insuranc'!$H:$H,"Master Dealer")) + SUMIFS('Data For Calculation - Insuranc'!I:I,'Data For Calculation - Insuranc'!$A:$A,$A190,'Data For Calculation - Insuranc'!$H:$H,"Self")</f>
        <v>0</v>
      </c>
      <c r="CE190" s="33">
        <f>IF($CK190 = "Dealer", SUMIFS('Data For Calculation - Insuranc'!J:J,'Data For Calculation - Insuranc'!$B:$B,$A190,'Data For Calculation - Insuranc'!$H:$H,"Master Dealer")) + SUMIFS('Data For Calculation - Insuranc'!J:J,'Data For Calculation - Insuranc'!$A:$A,$A190,'Data For Calculation - Insuranc'!$H:$H,"Self")</f>
        <v>0</v>
      </c>
      <c r="CF190" s="33">
        <f>IF($CK190 = "Dealer", SUMIFS('Data For Calculation - Insuranc'!K:K,'Data For Calculation - Insuranc'!$B:$B,$A190,'Data For Calculation - Insuranc'!$H:$H,"Master Dealer")) + SUMIFS('Data For Calculation - Insuranc'!K:K,'Data For Calculation - Insuranc'!$A:$A,$A190,'Data For Calculation - Insuranc'!$H:$H,"Self")</f>
        <v>0</v>
      </c>
      <c r="CG190" s="25" t="str">
        <f>(Sheet1!N190)</f>
        <v>Modern Auto Agency - Bettiah</v>
      </c>
      <c r="CH190" s="25" t="str">
        <f>(Sheet1!O190)</f>
        <v>1_UtGSoyOsljQXvmry7gfXGYwjwEjQbghQQGZebnq45M</v>
      </c>
      <c r="CI190" s="25" t="str">
        <f>(Sheet1!AV190)</f>
        <v/>
      </c>
      <c r="CJ190" s="25" t="str">
        <f>(Sheet1!AW190)</f>
        <v/>
      </c>
      <c r="CK190" s="25" t="str">
        <f>(Sheet1!P190)</f>
        <v>Sub Dealer</v>
      </c>
    </row>
    <row r="191">
      <c r="A191" s="25" t="str">
        <f>(Sheet1!A191)</f>
        <v>1DNYx1_npboOhtIjFO3-v0kReMiQ0lrIDMiGeLHlNEsA</v>
      </c>
      <c r="B191" s="25" t="str">
        <f>(Sheet1!B191)</f>
        <v>GUPTA AUTO AGENCY (MAA) - TAMKUHA</v>
      </c>
      <c r="C191" s="30" t="str">
        <f>Sheet1!BB191</f>
        <v>No</v>
      </c>
      <c r="D191" s="30" t="s">
        <v>13</v>
      </c>
      <c r="E191" s="34" t="s">
        <v>13</v>
      </c>
      <c r="F191" s="34" t="s">
        <v>3929</v>
      </c>
      <c r="G191" s="25" t="s">
        <v>3820</v>
      </c>
      <c r="H191" s="43">
        <v>460.0</v>
      </c>
      <c r="I191" s="42" t="s">
        <v>3853</v>
      </c>
      <c r="J191" s="43">
        <v>0.0</v>
      </c>
      <c r="K191" s="43">
        <v>100.0</v>
      </c>
      <c r="L191" s="43">
        <v>0.0</v>
      </c>
      <c r="M191" s="43">
        <v>0.0</v>
      </c>
      <c r="N191" s="33">
        <f>COUNTIFS('Data For Calculation - Insuranc'!A:A,A191,'Data For Calculation - Insuranc'!D:D,"Individual",'Data For Calculation - Insuranc'!E:E,"Bundled - 1 Year OD + 5 Year TP")</f>
        <v>0</v>
      </c>
      <c r="O191" s="34" t="s">
        <v>3930</v>
      </c>
      <c r="P191" s="25" t="s">
        <v>3820</v>
      </c>
      <c r="Q191" s="43">
        <v>460.0</v>
      </c>
      <c r="R191" s="42" t="s">
        <v>3853</v>
      </c>
      <c r="S191" s="43">
        <v>0.0</v>
      </c>
      <c r="T191" s="43">
        <v>100.0</v>
      </c>
      <c r="U191" s="43">
        <v>0.0</v>
      </c>
      <c r="V191" s="43">
        <v>0.0</v>
      </c>
      <c r="W191" s="33">
        <f>COUNTIFS('Data For Calculation - Insuranc'!A:A,A191,'Data For Calculation - Insuranc'!D:D,"Company",'Data For Calculation - Insuranc'!E:E,"Bundled - 1 Year OD + 5 Year TP")</f>
        <v>0</v>
      </c>
      <c r="X191" s="34" t="s">
        <v>3929</v>
      </c>
      <c r="Y191" s="25" t="s">
        <v>3820</v>
      </c>
      <c r="Z191" s="31">
        <v>205.0</v>
      </c>
      <c r="AA191" s="34" t="s">
        <v>3853</v>
      </c>
      <c r="AB191" s="34">
        <v>0.0</v>
      </c>
      <c r="AC191" s="34">
        <v>100.0</v>
      </c>
      <c r="AD191" s="34">
        <v>0.0</v>
      </c>
      <c r="AE191" s="34">
        <v>0.0</v>
      </c>
      <c r="AF191" s="33">
        <f>COUNTIFS('Data For Calculation - Insuranc'!A:A,A191,'Data For Calculation - Insuranc'!D:D,"Individual",'Data For Calculation - Insuranc'!E:E,"Rollover Comprehensive - 1 Year OD + 1 Year TP")</f>
        <v>0</v>
      </c>
      <c r="AG191" s="34" t="s">
        <v>3930</v>
      </c>
      <c r="AH191" s="25" t="s">
        <v>3820</v>
      </c>
      <c r="AI191" s="31">
        <v>205.0</v>
      </c>
      <c r="AJ191" s="34" t="s">
        <v>3853</v>
      </c>
      <c r="AK191" s="34">
        <v>0.0</v>
      </c>
      <c r="AL191" s="34">
        <v>100.0</v>
      </c>
      <c r="AM191" s="34">
        <v>0.0</v>
      </c>
      <c r="AN191" s="34">
        <v>0.0</v>
      </c>
      <c r="AO191" s="33">
        <f>COUNTIFS('Data For Calculation - Insuranc'!A:A,A191,'Data For Calculation - Insuranc'!D:D,"Company",'Data For Calculation - Insuranc'!E:E,"Rollover Comprehensive - 1 Year OD + 1 Year TP")</f>
        <v>0</v>
      </c>
      <c r="AP191" s="34" t="s">
        <v>3931</v>
      </c>
      <c r="AQ191" s="25" t="s">
        <v>3820</v>
      </c>
      <c r="AR191" s="31">
        <v>205.0</v>
      </c>
      <c r="AS191" s="34" t="s">
        <v>3853</v>
      </c>
      <c r="AT191" s="34">
        <v>0.0</v>
      </c>
      <c r="AU191" s="34">
        <v>100.0</v>
      </c>
      <c r="AV191" s="34">
        <v>0.0</v>
      </c>
      <c r="AW191" s="34">
        <v>0.0</v>
      </c>
      <c r="AX191" s="33">
        <f>COUNTIFS('Data For Calculation - Insuranc'!A:A,A191,'Data For Calculation - Insuranc'!D:D,"Individual",'Data For Calculation - Insuranc'!E:E,"Rollover - 1 Year OD Only")</f>
        <v>0</v>
      </c>
      <c r="AY191" s="34" t="s">
        <v>3932</v>
      </c>
      <c r="AZ191" s="25" t="s">
        <v>3820</v>
      </c>
      <c r="BA191" s="31">
        <v>205.0</v>
      </c>
      <c r="BB191" s="34" t="s">
        <v>3853</v>
      </c>
      <c r="BC191" s="34">
        <v>0.0</v>
      </c>
      <c r="BD191" s="34">
        <v>100.0</v>
      </c>
      <c r="BE191" s="34">
        <v>0.0</v>
      </c>
      <c r="BF191" s="34">
        <v>0.0</v>
      </c>
      <c r="BG191" s="33">
        <f>COUNTIFS('Data For Calculation - Insuranc'!A:A,A191,'Data For Calculation - Insuranc'!D:D,"Company",'Data For Calculation - Insuranc'!E:E,"Rollover - 1 Year OD Only")</f>
        <v>0</v>
      </c>
      <c r="BH191" s="34" t="s">
        <v>3931</v>
      </c>
      <c r="BI191" s="25" t="s">
        <v>3820</v>
      </c>
      <c r="BJ191" s="31">
        <v>205.0</v>
      </c>
      <c r="BK191" s="34" t="s">
        <v>3853</v>
      </c>
      <c r="BL191" s="34">
        <v>0.0</v>
      </c>
      <c r="BM191" s="34">
        <v>100.0</v>
      </c>
      <c r="BN191" s="34">
        <v>0.0</v>
      </c>
      <c r="BO191" s="34">
        <v>0.0</v>
      </c>
      <c r="BP191" s="33">
        <f>COUNTIFS('Data For Calculation - Insuranc'!A:A,A191,'Data For Calculation - Insuranc'!D:D,"Individual",'Data For Calculation - Insuranc'!E:E,"Rollover - 1 Year TP Only")</f>
        <v>0</v>
      </c>
      <c r="BQ191" s="34" t="s">
        <v>3932</v>
      </c>
      <c r="BR191" s="25" t="s">
        <v>3820</v>
      </c>
      <c r="BS191" s="31">
        <v>205.0</v>
      </c>
      <c r="BT191" s="34" t="s">
        <v>3853</v>
      </c>
      <c r="BU191" s="34">
        <v>0.0</v>
      </c>
      <c r="BV191" s="34">
        <v>100.0</v>
      </c>
      <c r="BW191" s="34">
        <v>0.0</v>
      </c>
      <c r="BX191" s="34">
        <v>0.0</v>
      </c>
      <c r="BY191" s="33">
        <f>COUNTIFS('Data For Calculation - Insuranc'!A:A,A191,'Data For Calculation - Insuranc'!D:D,"Company",'Data For Calculation - Insuranc'!E:E,"Rollover - 1 Year TP Only")</f>
        <v>0</v>
      </c>
      <c r="BZ191" s="31">
        <f t="shared" si="1"/>
        <v>0</v>
      </c>
      <c r="CA191" s="33">
        <f>SUMIFS('Data For Calculation - Insuranc'!I:I,'Data For Calculation - Insuranc'!$A:$A,$A191)</f>
        <v>0</v>
      </c>
      <c r="CB191" s="33">
        <f>SUMIFS('Data For Calculation - Insuranc'!J:J,'Data For Calculation - Insuranc'!$A:$A,$A191)</f>
        <v>0</v>
      </c>
      <c r="CC191" s="33">
        <f>SUMIFS('Data For Calculation - Insuranc'!K:K,'Data For Calculation - Insuranc'!$A:$A,$A191)</f>
        <v>0</v>
      </c>
      <c r="CD191" s="33">
        <f>IF($CK191 = "Dealer", SUMIFS('Data For Calculation - Insuranc'!I:I,'Data For Calculation - Insuranc'!$B:$B,$A191,'Data For Calculation - Insuranc'!$H:$H,"Master Dealer")) + SUMIFS('Data For Calculation - Insuranc'!I:I,'Data For Calculation - Insuranc'!$A:$A,$A191,'Data For Calculation - Insuranc'!$H:$H,"Self")</f>
        <v>0</v>
      </c>
      <c r="CE191" s="33">
        <f>IF($CK191 = "Dealer", SUMIFS('Data For Calculation - Insuranc'!J:J,'Data For Calculation - Insuranc'!$B:$B,$A191,'Data For Calculation - Insuranc'!$H:$H,"Master Dealer")) + SUMIFS('Data For Calculation - Insuranc'!J:J,'Data For Calculation - Insuranc'!$A:$A,$A191,'Data For Calculation - Insuranc'!$H:$H,"Self")</f>
        <v>0</v>
      </c>
      <c r="CF191" s="33">
        <f>IF($CK191 = "Dealer", SUMIFS('Data For Calculation - Insuranc'!K:K,'Data For Calculation - Insuranc'!$B:$B,$A191,'Data For Calculation - Insuranc'!$H:$H,"Master Dealer")) + SUMIFS('Data For Calculation - Insuranc'!K:K,'Data For Calculation - Insuranc'!$A:$A,$A191,'Data For Calculation - Insuranc'!$H:$H,"Self")</f>
        <v>0</v>
      </c>
      <c r="CG191" s="25" t="str">
        <f>(Sheet1!N191)</f>
        <v>Modern Auto Agency - Bettiah</v>
      </c>
      <c r="CH191" s="25" t="str">
        <f>(Sheet1!O191)</f>
        <v>1_UtGSoyOsljQXvmry7gfXGYwjwEjQbghQQGZebnq45M</v>
      </c>
      <c r="CI191" s="25" t="str">
        <f>(Sheet1!AV191)</f>
        <v/>
      </c>
      <c r="CJ191" s="25" t="str">
        <f>(Sheet1!AW191)</f>
        <v/>
      </c>
      <c r="CK191" s="25" t="str">
        <f>(Sheet1!P191)</f>
        <v>Sub Dealer</v>
      </c>
    </row>
    <row r="192">
      <c r="A192" s="25" t="str">
        <f>(Sheet1!A192)</f>
        <v>1U6sajfm4sKb9dpl7fnhhnc14-rNO99jD48Fg5iEe_MM</v>
      </c>
      <c r="B192" s="25" t="str">
        <f>(Sheet1!B192)</f>
        <v>SHIV HERO AGENCY (MAA) - JAMUNIA</v>
      </c>
      <c r="C192" s="30" t="str">
        <f>Sheet1!BB192</f>
        <v>No</v>
      </c>
      <c r="D192" s="30" t="s">
        <v>13</v>
      </c>
      <c r="E192" s="34" t="s">
        <v>13</v>
      </c>
      <c r="F192" s="34" t="s">
        <v>3929</v>
      </c>
      <c r="G192" s="25" t="s">
        <v>3820</v>
      </c>
      <c r="H192" s="43">
        <v>460.0</v>
      </c>
      <c r="I192" s="42" t="s">
        <v>3853</v>
      </c>
      <c r="J192" s="43">
        <v>0.0</v>
      </c>
      <c r="K192" s="43">
        <v>100.0</v>
      </c>
      <c r="L192" s="43">
        <v>0.0</v>
      </c>
      <c r="M192" s="43">
        <v>0.0</v>
      </c>
      <c r="N192" s="33">
        <f>COUNTIFS('Data For Calculation - Insuranc'!A:A,A192,'Data For Calculation - Insuranc'!D:D,"Individual",'Data For Calculation - Insuranc'!E:E,"Bundled - 1 Year OD + 5 Year TP")</f>
        <v>0</v>
      </c>
      <c r="O192" s="34" t="s">
        <v>3930</v>
      </c>
      <c r="P192" s="25" t="s">
        <v>3820</v>
      </c>
      <c r="Q192" s="43">
        <v>460.0</v>
      </c>
      <c r="R192" s="42" t="s">
        <v>3853</v>
      </c>
      <c r="S192" s="43">
        <v>0.0</v>
      </c>
      <c r="T192" s="43">
        <v>100.0</v>
      </c>
      <c r="U192" s="43">
        <v>0.0</v>
      </c>
      <c r="V192" s="43">
        <v>0.0</v>
      </c>
      <c r="W192" s="33">
        <f>COUNTIFS('Data For Calculation - Insuranc'!A:A,A192,'Data For Calculation - Insuranc'!D:D,"Company",'Data For Calculation - Insuranc'!E:E,"Bundled - 1 Year OD + 5 Year TP")</f>
        <v>0</v>
      </c>
      <c r="X192" s="34" t="s">
        <v>3929</v>
      </c>
      <c r="Y192" s="25" t="s">
        <v>3820</v>
      </c>
      <c r="Z192" s="31">
        <v>205.0</v>
      </c>
      <c r="AA192" s="34" t="s">
        <v>3853</v>
      </c>
      <c r="AB192" s="34">
        <v>0.0</v>
      </c>
      <c r="AC192" s="34">
        <v>100.0</v>
      </c>
      <c r="AD192" s="34">
        <v>0.0</v>
      </c>
      <c r="AE192" s="34">
        <v>0.0</v>
      </c>
      <c r="AF192" s="33">
        <f>COUNTIFS('Data For Calculation - Insuranc'!A:A,A192,'Data For Calculation - Insuranc'!D:D,"Individual",'Data For Calculation - Insuranc'!E:E,"Rollover Comprehensive - 1 Year OD + 1 Year TP")</f>
        <v>0</v>
      </c>
      <c r="AG192" s="34" t="s">
        <v>3930</v>
      </c>
      <c r="AH192" s="25" t="s">
        <v>3820</v>
      </c>
      <c r="AI192" s="31">
        <v>205.0</v>
      </c>
      <c r="AJ192" s="34" t="s">
        <v>3853</v>
      </c>
      <c r="AK192" s="34">
        <v>0.0</v>
      </c>
      <c r="AL192" s="34">
        <v>100.0</v>
      </c>
      <c r="AM192" s="34">
        <v>0.0</v>
      </c>
      <c r="AN192" s="34">
        <v>0.0</v>
      </c>
      <c r="AO192" s="33">
        <f>COUNTIFS('Data For Calculation - Insuranc'!A:A,A192,'Data For Calculation - Insuranc'!D:D,"Company",'Data For Calculation - Insuranc'!E:E,"Rollover Comprehensive - 1 Year OD + 1 Year TP")</f>
        <v>0</v>
      </c>
      <c r="AP192" s="34" t="s">
        <v>3931</v>
      </c>
      <c r="AQ192" s="25" t="s">
        <v>3820</v>
      </c>
      <c r="AR192" s="31">
        <v>205.0</v>
      </c>
      <c r="AS192" s="34" t="s">
        <v>3853</v>
      </c>
      <c r="AT192" s="34">
        <v>0.0</v>
      </c>
      <c r="AU192" s="34">
        <v>100.0</v>
      </c>
      <c r="AV192" s="34">
        <v>0.0</v>
      </c>
      <c r="AW192" s="34">
        <v>0.0</v>
      </c>
      <c r="AX192" s="33">
        <f>COUNTIFS('Data For Calculation - Insuranc'!A:A,A192,'Data For Calculation - Insuranc'!D:D,"Individual",'Data For Calculation - Insuranc'!E:E,"Rollover - 1 Year OD Only")</f>
        <v>0</v>
      </c>
      <c r="AY192" s="34" t="s">
        <v>3932</v>
      </c>
      <c r="AZ192" s="25" t="s">
        <v>3820</v>
      </c>
      <c r="BA192" s="31">
        <v>205.0</v>
      </c>
      <c r="BB192" s="34" t="s">
        <v>3853</v>
      </c>
      <c r="BC192" s="34">
        <v>0.0</v>
      </c>
      <c r="BD192" s="34">
        <v>100.0</v>
      </c>
      <c r="BE192" s="34">
        <v>0.0</v>
      </c>
      <c r="BF192" s="34">
        <v>0.0</v>
      </c>
      <c r="BG192" s="33">
        <f>COUNTIFS('Data For Calculation - Insuranc'!A:A,A192,'Data For Calculation - Insuranc'!D:D,"Company",'Data For Calculation - Insuranc'!E:E,"Rollover - 1 Year OD Only")</f>
        <v>0</v>
      </c>
      <c r="BH192" s="34" t="s">
        <v>3931</v>
      </c>
      <c r="BI192" s="25" t="s">
        <v>3820</v>
      </c>
      <c r="BJ192" s="31">
        <v>205.0</v>
      </c>
      <c r="BK192" s="34" t="s">
        <v>3853</v>
      </c>
      <c r="BL192" s="34">
        <v>0.0</v>
      </c>
      <c r="BM192" s="34">
        <v>100.0</v>
      </c>
      <c r="BN192" s="34">
        <v>0.0</v>
      </c>
      <c r="BO192" s="34">
        <v>0.0</v>
      </c>
      <c r="BP192" s="33">
        <f>COUNTIFS('Data For Calculation - Insuranc'!A:A,A192,'Data For Calculation - Insuranc'!D:D,"Individual",'Data For Calculation - Insuranc'!E:E,"Rollover - 1 Year TP Only")</f>
        <v>0</v>
      </c>
      <c r="BQ192" s="34" t="s">
        <v>3932</v>
      </c>
      <c r="BR192" s="25" t="s">
        <v>3820</v>
      </c>
      <c r="BS192" s="31">
        <v>205.0</v>
      </c>
      <c r="BT192" s="34" t="s">
        <v>3853</v>
      </c>
      <c r="BU192" s="34">
        <v>0.0</v>
      </c>
      <c r="BV192" s="34">
        <v>100.0</v>
      </c>
      <c r="BW192" s="34">
        <v>0.0</v>
      </c>
      <c r="BX192" s="34">
        <v>0.0</v>
      </c>
      <c r="BY192" s="33">
        <f>COUNTIFS('Data For Calculation - Insuranc'!A:A,A192,'Data For Calculation - Insuranc'!D:D,"Company",'Data For Calculation - Insuranc'!E:E,"Rollover - 1 Year TP Only")</f>
        <v>0</v>
      </c>
      <c r="BZ192" s="31">
        <f t="shared" si="1"/>
        <v>0</v>
      </c>
      <c r="CA192" s="33">
        <f>SUMIFS('Data For Calculation - Insuranc'!I:I,'Data For Calculation - Insuranc'!$A:$A,$A192)</f>
        <v>0</v>
      </c>
      <c r="CB192" s="33">
        <f>SUMIFS('Data For Calculation - Insuranc'!J:J,'Data For Calculation - Insuranc'!$A:$A,$A192)</f>
        <v>0</v>
      </c>
      <c r="CC192" s="33">
        <f>SUMIFS('Data For Calculation - Insuranc'!K:K,'Data For Calculation - Insuranc'!$A:$A,$A192)</f>
        <v>0</v>
      </c>
      <c r="CD192" s="33">
        <f>IF($CK192 = "Dealer", SUMIFS('Data For Calculation - Insuranc'!I:I,'Data For Calculation - Insuranc'!$B:$B,$A192,'Data For Calculation - Insuranc'!$H:$H,"Master Dealer")) + SUMIFS('Data For Calculation - Insuranc'!I:I,'Data For Calculation - Insuranc'!$A:$A,$A192,'Data For Calculation - Insuranc'!$H:$H,"Self")</f>
        <v>0</v>
      </c>
      <c r="CE192" s="33">
        <f>IF($CK192 = "Dealer", SUMIFS('Data For Calculation - Insuranc'!J:J,'Data For Calculation - Insuranc'!$B:$B,$A192,'Data For Calculation - Insuranc'!$H:$H,"Master Dealer")) + SUMIFS('Data For Calculation - Insuranc'!J:J,'Data For Calculation - Insuranc'!$A:$A,$A192,'Data For Calculation - Insuranc'!$H:$H,"Self")</f>
        <v>0</v>
      </c>
      <c r="CF192" s="33">
        <f>IF($CK192 = "Dealer", SUMIFS('Data For Calculation - Insuranc'!K:K,'Data For Calculation - Insuranc'!$B:$B,$A192,'Data For Calculation - Insuranc'!$H:$H,"Master Dealer")) + SUMIFS('Data For Calculation - Insuranc'!K:K,'Data For Calculation - Insuranc'!$A:$A,$A192,'Data For Calculation - Insuranc'!$H:$H,"Self")</f>
        <v>0</v>
      </c>
      <c r="CG192" s="25" t="str">
        <f>(Sheet1!N192)</f>
        <v>Modern Auto Agency - Bettiah</v>
      </c>
      <c r="CH192" s="25" t="str">
        <f>(Sheet1!O192)</f>
        <v>1_UtGSoyOsljQXvmry7gfXGYwjwEjQbghQQGZebnq45M</v>
      </c>
      <c r="CI192" s="25" t="str">
        <f>(Sheet1!AV192)</f>
        <v/>
      </c>
      <c r="CJ192" s="25" t="str">
        <f>(Sheet1!AW192)</f>
        <v/>
      </c>
      <c r="CK192" s="25" t="str">
        <f>(Sheet1!P192)</f>
        <v>Sub Dealer</v>
      </c>
    </row>
    <row r="193">
      <c r="A193" s="25" t="str">
        <f>(Sheet1!A193)</f>
        <v>1a9gtQ7HlAwL1VT97lzul59hlYqscXYdQ7Sg85wtHL40</v>
      </c>
      <c r="B193" s="25" t="str">
        <f>(Sheet1!B193)</f>
        <v>NEW LAXMI AUTOMOBILES (MAA) - MAINATAND</v>
      </c>
      <c r="C193" s="30" t="str">
        <f>Sheet1!BB193</f>
        <v>No</v>
      </c>
      <c r="D193" s="30" t="s">
        <v>13</v>
      </c>
      <c r="E193" s="34" t="s">
        <v>13</v>
      </c>
      <c r="F193" s="34" t="s">
        <v>3929</v>
      </c>
      <c r="G193" s="25" t="s">
        <v>3820</v>
      </c>
      <c r="H193" s="43">
        <v>460.0</v>
      </c>
      <c r="I193" s="42" t="s">
        <v>3853</v>
      </c>
      <c r="J193" s="43">
        <v>0.0</v>
      </c>
      <c r="K193" s="43">
        <v>100.0</v>
      </c>
      <c r="L193" s="43">
        <v>0.0</v>
      </c>
      <c r="M193" s="43">
        <v>0.0</v>
      </c>
      <c r="N193" s="33">
        <f>COUNTIFS('Data For Calculation - Insuranc'!A:A,A193,'Data For Calculation - Insuranc'!D:D,"Individual",'Data For Calculation - Insuranc'!E:E,"Bundled - 1 Year OD + 5 Year TP")</f>
        <v>0</v>
      </c>
      <c r="O193" s="34" t="s">
        <v>3930</v>
      </c>
      <c r="P193" s="25" t="s">
        <v>3820</v>
      </c>
      <c r="Q193" s="43">
        <v>460.0</v>
      </c>
      <c r="R193" s="42" t="s">
        <v>3853</v>
      </c>
      <c r="S193" s="43">
        <v>0.0</v>
      </c>
      <c r="T193" s="43">
        <v>100.0</v>
      </c>
      <c r="U193" s="43">
        <v>0.0</v>
      </c>
      <c r="V193" s="43">
        <v>0.0</v>
      </c>
      <c r="W193" s="33">
        <f>COUNTIFS('Data For Calculation - Insuranc'!A:A,A193,'Data For Calculation - Insuranc'!D:D,"Company",'Data For Calculation - Insuranc'!E:E,"Bundled - 1 Year OD + 5 Year TP")</f>
        <v>0</v>
      </c>
      <c r="X193" s="34" t="s">
        <v>3929</v>
      </c>
      <c r="Y193" s="25" t="s">
        <v>3820</v>
      </c>
      <c r="Z193" s="31">
        <v>205.0</v>
      </c>
      <c r="AA193" s="34" t="s">
        <v>3853</v>
      </c>
      <c r="AB193" s="34">
        <v>0.0</v>
      </c>
      <c r="AC193" s="34">
        <v>100.0</v>
      </c>
      <c r="AD193" s="34">
        <v>0.0</v>
      </c>
      <c r="AE193" s="34">
        <v>0.0</v>
      </c>
      <c r="AF193" s="33">
        <f>COUNTIFS('Data For Calculation - Insuranc'!A:A,A193,'Data For Calculation - Insuranc'!D:D,"Individual",'Data For Calculation - Insuranc'!E:E,"Rollover Comprehensive - 1 Year OD + 1 Year TP")</f>
        <v>0</v>
      </c>
      <c r="AG193" s="34" t="s">
        <v>3930</v>
      </c>
      <c r="AH193" s="25" t="s">
        <v>3820</v>
      </c>
      <c r="AI193" s="31">
        <v>205.0</v>
      </c>
      <c r="AJ193" s="34" t="s">
        <v>3853</v>
      </c>
      <c r="AK193" s="34">
        <v>0.0</v>
      </c>
      <c r="AL193" s="34">
        <v>100.0</v>
      </c>
      <c r="AM193" s="34">
        <v>0.0</v>
      </c>
      <c r="AN193" s="34">
        <v>0.0</v>
      </c>
      <c r="AO193" s="33">
        <f>COUNTIFS('Data For Calculation - Insuranc'!A:A,A193,'Data For Calculation - Insuranc'!D:D,"Company",'Data For Calculation - Insuranc'!E:E,"Rollover Comprehensive - 1 Year OD + 1 Year TP")</f>
        <v>0</v>
      </c>
      <c r="AP193" s="34" t="s">
        <v>3931</v>
      </c>
      <c r="AQ193" s="25" t="s">
        <v>3820</v>
      </c>
      <c r="AR193" s="31">
        <v>205.0</v>
      </c>
      <c r="AS193" s="34" t="s">
        <v>3853</v>
      </c>
      <c r="AT193" s="34">
        <v>0.0</v>
      </c>
      <c r="AU193" s="34">
        <v>100.0</v>
      </c>
      <c r="AV193" s="34">
        <v>0.0</v>
      </c>
      <c r="AW193" s="34">
        <v>0.0</v>
      </c>
      <c r="AX193" s="33">
        <f>COUNTIFS('Data For Calculation - Insuranc'!A:A,A193,'Data For Calculation - Insuranc'!D:D,"Individual",'Data For Calculation - Insuranc'!E:E,"Rollover - 1 Year OD Only")</f>
        <v>0</v>
      </c>
      <c r="AY193" s="34" t="s">
        <v>3932</v>
      </c>
      <c r="AZ193" s="25" t="s">
        <v>3820</v>
      </c>
      <c r="BA193" s="31">
        <v>205.0</v>
      </c>
      <c r="BB193" s="34" t="s">
        <v>3853</v>
      </c>
      <c r="BC193" s="34">
        <v>0.0</v>
      </c>
      <c r="BD193" s="34">
        <v>100.0</v>
      </c>
      <c r="BE193" s="34">
        <v>0.0</v>
      </c>
      <c r="BF193" s="34">
        <v>0.0</v>
      </c>
      <c r="BG193" s="33">
        <f>COUNTIFS('Data For Calculation - Insuranc'!A:A,A193,'Data For Calculation - Insuranc'!D:D,"Company",'Data For Calculation - Insuranc'!E:E,"Rollover - 1 Year OD Only")</f>
        <v>0</v>
      </c>
      <c r="BH193" s="34" t="s">
        <v>3931</v>
      </c>
      <c r="BI193" s="25" t="s">
        <v>3820</v>
      </c>
      <c r="BJ193" s="31">
        <v>205.0</v>
      </c>
      <c r="BK193" s="34" t="s">
        <v>3853</v>
      </c>
      <c r="BL193" s="34">
        <v>0.0</v>
      </c>
      <c r="BM193" s="34">
        <v>100.0</v>
      </c>
      <c r="BN193" s="34">
        <v>0.0</v>
      </c>
      <c r="BO193" s="34">
        <v>0.0</v>
      </c>
      <c r="BP193" s="33">
        <f>COUNTIFS('Data For Calculation - Insuranc'!A:A,A193,'Data For Calculation - Insuranc'!D:D,"Individual",'Data For Calculation - Insuranc'!E:E,"Rollover - 1 Year TP Only")</f>
        <v>0</v>
      </c>
      <c r="BQ193" s="34" t="s">
        <v>3932</v>
      </c>
      <c r="BR193" s="25" t="s">
        <v>3820</v>
      </c>
      <c r="BS193" s="31">
        <v>205.0</v>
      </c>
      <c r="BT193" s="34" t="s">
        <v>3853</v>
      </c>
      <c r="BU193" s="34">
        <v>0.0</v>
      </c>
      <c r="BV193" s="34">
        <v>100.0</v>
      </c>
      <c r="BW193" s="34">
        <v>0.0</v>
      </c>
      <c r="BX193" s="34">
        <v>0.0</v>
      </c>
      <c r="BY193" s="33">
        <f>COUNTIFS('Data For Calculation - Insuranc'!A:A,A193,'Data For Calculation - Insuranc'!D:D,"Company",'Data For Calculation - Insuranc'!E:E,"Rollover - 1 Year TP Only")</f>
        <v>0</v>
      </c>
      <c r="BZ193" s="31">
        <f t="shared" si="1"/>
        <v>0</v>
      </c>
      <c r="CA193" s="33">
        <f>SUMIFS('Data For Calculation - Insuranc'!I:I,'Data For Calculation - Insuranc'!$A:$A,$A193)</f>
        <v>0</v>
      </c>
      <c r="CB193" s="33">
        <f>SUMIFS('Data For Calculation - Insuranc'!J:J,'Data For Calculation - Insuranc'!$A:$A,$A193)</f>
        <v>0</v>
      </c>
      <c r="CC193" s="33">
        <f>SUMIFS('Data For Calculation - Insuranc'!K:K,'Data For Calculation - Insuranc'!$A:$A,$A193)</f>
        <v>0</v>
      </c>
      <c r="CD193" s="33">
        <f>IF($CK193 = "Dealer", SUMIFS('Data For Calculation - Insuranc'!I:I,'Data For Calculation - Insuranc'!$B:$B,$A193,'Data For Calculation - Insuranc'!$H:$H,"Master Dealer")) + SUMIFS('Data For Calculation - Insuranc'!I:I,'Data For Calculation - Insuranc'!$A:$A,$A193,'Data For Calculation - Insuranc'!$H:$H,"Self")</f>
        <v>0</v>
      </c>
      <c r="CE193" s="33">
        <f>IF($CK193 = "Dealer", SUMIFS('Data For Calculation - Insuranc'!J:J,'Data For Calculation - Insuranc'!$B:$B,$A193,'Data For Calculation - Insuranc'!$H:$H,"Master Dealer")) + SUMIFS('Data For Calculation - Insuranc'!J:J,'Data For Calculation - Insuranc'!$A:$A,$A193,'Data For Calculation - Insuranc'!$H:$H,"Self")</f>
        <v>0</v>
      </c>
      <c r="CF193" s="33">
        <f>IF($CK193 = "Dealer", SUMIFS('Data For Calculation - Insuranc'!K:K,'Data For Calculation - Insuranc'!$B:$B,$A193,'Data For Calculation - Insuranc'!$H:$H,"Master Dealer")) + SUMIFS('Data For Calculation - Insuranc'!K:K,'Data For Calculation - Insuranc'!$A:$A,$A193,'Data For Calculation - Insuranc'!$H:$H,"Self")</f>
        <v>0</v>
      </c>
      <c r="CG193" s="25" t="str">
        <f>(Sheet1!N193)</f>
        <v>Modern Auto Agency - Bettiah</v>
      </c>
      <c r="CH193" s="25" t="str">
        <f>(Sheet1!O193)</f>
        <v>1_UtGSoyOsljQXvmry7gfXGYwjwEjQbghQQGZebnq45M</v>
      </c>
      <c r="CI193" s="25" t="str">
        <f>(Sheet1!AV193)</f>
        <v/>
      </c>
      <c r="CJ193" s="25" t="str">
        <f>(Sheet1!AW193)</f>
        <v/>
      </c>
      <c r="CK193" s="25" t="str">
        <f>(Sheet1!P193)</f>
        <v>Sub Dealer</v>
      </c>
    </row>
    <row r="194">
      <c r="A194" s="25" t="str">
        <f>(Sheet1!A194)</f>
        <v>18hibfOdBkTwP70jRUUH2L7OgAiquBXCXX9EqLpop6DM</v>
      </c>
      <c r="B194" s="25" t="str">
        <f>(Sheet1!B194)</f>
        <v>BALAJI AUTOMOBILES (MAA) - CHANPATIA</v>
      </c>
      <c r="C194" s="30" t="str">
        <f>Sheet1!BB194</f>
        <v>No</v>
      </c>
      <c r="D194" s="30" t="s">
        <v>13</v>
      </c>
      <c r="E194" s="34" t="s">
        <v>13</v>
      </c>
      <c r="F194" s="34" t="s">
        <v>3929</v>
      </c>
      <c r="G194" s="25" t="s">
        <v>3820</v>
      </c>
      <c r="H194" s="43">
        <v>460.0</v>
      </c>
      <c r="I194" s="42" t="s">
        <v>3853</v>
      </c>
      <c r="J194" s="43">
        <v>0.0</v>
      </c>
      <c r="K194" s="43">
        <v>100.0</v>
      </c>
      <c r="L194" s="43">
        <v>0.0</v>
      </c>
      <c r="M194" s="43">
        <v>0.0</v>
      </c>
      <c r="N194" s="33">
        <f>COUNTIFS('Data For Calculation - Insuranc'!A:A,A194,'Data For Calculation - Insuranc'!D:D,"Individual",'Data For Calculation - Insuranc'!E:E,"Bundled - 1 Year OD + 5 Year TP")</f>
        <v>0</v>
      </c>
      <c r="O194" s="34" t="s">
        <v>3930</v>
      </c>
      <c r="P194" s="25" t="s">
        <v>3820</v>
      </c>
      <c r="Q194" s="43">
        <v>460.0</v>
      </c>
      <c r="R194" s="42" t="s">
        <v>3853</v>
      </c>
      <c r="S194" s="43">
        <v>0.0</v>
      </c>
      <c r="T194" s="43">
        <v>100.0</v>
      </c>
      <c r="U194" s="43">
        <v>0.0</v>
      </c>
      <c r="V194" s="43">
        <v>0.0</v>
      </c>
      <c r="W194" s="33">
        <f>COUNTIFS('Data For Calculation - Insuranc'!A:A,A194,'Data For Calculation - Insuranc'!D:D,"Company",'Data For Calculation - Insuranc'!E:E,"Bundled - 1 Year OD + 5 Year TP")</f>
        <v>0</v>
      </c>
      <c r="X194" s="34" t="s">
        <v>3929</v>
      </c>
      <c r="Y194" s="25" t="s">
        <v>3820</v>
      </c>
      <c r="Z194" s="31">
        <v>205.0</v>
      </c>
      <c r="AA194" s="34" t="s">
        <v>3853</v>
      </c>
      <c r="AB194" s="34">
        <v>0.0</v>
      </c>
      <c r="AC194" s="34">
        <v>100.0</v>
      </c>
      <c r="AD194" s="34">
        <v>0.0</v>
      </c>
      <c r="AE194" s="34">
        <v>0.0</v>
      </c>
      <c r="AF194" s="33">
        <f>COUNTIFS('Data For Calculation - Insuranc'!A:A,A194,'Data For Calculation - Insuranc'!D:D,"Individual",'Data For Calculation - Insuranc'!E:E,"Rollover Comprehensive - 1 Year OD + 1 Year TP")</f>
        <v>0</v>
      </c>
      <c r="AG194" s="34" t="s">
        <v>3930</v>
      </c>
      <c r="AH194" s="25" t="s">
        <v>3820</v>
      </c>
      <c r="AI194" s="31">
        <v>205.0</v>
      </c>
      <c r="AJ194" s="34" t="s">
        <v>3853</v>
      </c>
      <c r="AK194" s="34">
        <v>0.0</v>
      </c>
      <c r="AL194" s="34">
        <v>100.0</v>
      </c>
      <c r="AM194" s="34">
        <v>0.0</v>
      </c>
      <c r="AN194" s="34">
        <v>0.0</v>
      </c>
      <c r="AO194" s="33">
        <f>COUNTIFS('Data For Calculation - Insuranc'!A:A,A194,'Data For Calculation - Insuranc'!D:D,"Company",'Data For Calculation - Insuranc'!E:E,"Rollover Comprehensive - 1 Year OD + 1 Year TP")</f>
        <v>0</v>
      </c>
      <c r="AP194" s="34" t="s">
        <v>3931</v>
      </c>
      <c r="AQ194" s="25" t="s">
        <v>3820</v>
      </c>
      <c r="AR194" s="31">
        <v>205.0</v>
      </c>
      <c r="AS194" s="34" t="s">
        <v>3853</v>
      </c>
      <c r="AT194" s="34">
        <v>0.0</v>
      </c>
      <c r="AU194" s="34">
        <v>100.0</v>
      </c>
      <c r="AV194" s="34">
        <v>0.0</v>
      </c>
      <c r="AW194" s="34">
        <v>0.0</v>
      </c>
      <c r="AX194" s="33">
        <f>COUNTIFS('Data For Calculation - Insuranc'!A:A,A194,'Data For Calculation - Insuranc'!D:D,"Individual",'Data For Calculation - Insuranc'!E:E,"Rollover - 1 Year OD Only")</f>
        <v>0</v>
      </c>
      <c r="AY194" s="34" t="s">
        <v>3932</v>
      </c>
      <c r="AZ194" s="25" t="s">
        <v>3820</v>
      </c>
      <c r="BA194" s="31">
        <v>205.0</v>
      </c>
      <c r="BB194" s="34" t="s">
        <v>3853</v>
      </c>
      <c r="BC194" s="34">
        <v>0.0</v>
      </c>
      <c r="BD194" s="34">
        <v>100.0</v>
      </c>
      <c r="BE194" s="34">
        <v>0.0</v>
      </c>
      <c r="BF194" s="34">
        <v>0.0</v>
      </c>
      <c r="BG194" s="33">
        <f>COUNTIFS('Data For Calculation - Insuranc'!A:A,A194,'Data For Calculation - Insuranc'!D:D,"Company",'Data For Calculation - Insuranc'!E:E,"Rollover - 1 Year OD Only")</f>
        <v>0</v>
      </c>
      <c r="BH194" s="34" t="s">
        <v>3931</v>
      </c>
      <c r="BI194" s="25" t="s">
        <v>3820</v>
      </c>
      <c r="BJ194" s="31">
        <v>205.0</v>
      </c>
      <c r="BK194" s="34" t="s">
        <v>3853</v>
      </c>
      <c r="BL194" s="34">
        <v>0.0</v>
      </c>
      <c r="BM194" s="34">
        <v>100.0</v>
      </c>
      <c r="BN194" s="34">
        <v>0.0</v>
      </c>
      <c r="BO194" s="34">
        <v>0.0</v>
      </c>
      <c r="BP194" s="33">
        <f>COUNTIFS('Data For Calculation - Insuranc'!A:A,A194,'Data For Calculation - Insuranc'!D:D,"Individual",'Data For Calculation - Insuranc'!E:E,"Rollover - 1 Year TP Only")</f>
        <v>0</v>
      </c>
      <c r="BQ194" s="34" t="s">
        <v>3932</v>
      </c>
      <c r="BR194" s="25" t="s">
        <v>3820</v>
      </c>
      <c r="BS194" s="31">
        <v>205.0</v>
      </c>
      <c r="BT194" s="34" t="s">
        <v>3853</v>
      </c>
      <c r="BU194" s="34">
        <v>0.0</v>
      </c>
      <c r="BV194" s="34">
        <v>100.0</v>
      </c>
      <c r="BW194" s="34">
        <v>0.0</v>
      </c>
      <c r="BX194" s="34">
        <v>0.0</v>
      </c>
      <c r="BY194" s="33">
        <f>COUNTIFS('Data For Calculation - Insuranc'!A:A,A194,'Data For Calculation - Insuranc'!D:D,"Company",'Data For Calculation - Insuranc'!E:E,"Rollover - 1 Year TP Only")</f>
        <v>0</v>
      </c>
      <c r="BZ194" s="31">
        <f t="shared" si="1"/>
        <v>0</v>
      </c>
      <c r="CA194" s="33">
        <f>SUMIFS('Data For Calculation - Insuranc'!I:I,'Data For Calculation - Insuranc'!$A:$A,$A194)</f>
        <v>0</v>
      </c>
      <c r="CB194" s="33">
        <f>SUMIFS('Data For Calculation - Insuranc'!J:J,'Data For Calculation - Insuranc'!$A:$A,$A194)</f>
        <v>0</v>
      </c>
      <c r="CC194" s="33">
        <f>SUMIFS('Data For Calculation - Insuranc'!K:K,'Data For Calculation - Insuranc'!$A:$A,$A194)</f>
        <v>0</v>
      </c>
      <c r="CD194" s="33">
        <f>IF($CK194 = "Dealer", SUMIFS('Data For Calculation - Insuranc'!I:I,'Data For Calculation - Insuranc'!$B:$B,$A194,'Data For Calculation - Insuranc'!$H:$H,"Master Dealer")) + SUMIFS('Data For Calculation - Insuranc'!I:I,'Data For Calculation - Insuranc'!$A:$A,$A194,'Data For Calculation - Insuranc'!$H:$H,"Self")</f>
        <v>0</v>
      </c>
      <c r="CE194" s="33">
        <f>IF($CK194 = "Dealer", SUMIFS('Data For Calculation - Insuranc'!J:J,'Data For Calculation - Insuranc'!$B:$B,$A194,'Data For Calculation - Insuranc'!$H:$H,"Master Dealer")) + SUMIFS('Data For Calculation - Insuranc'!J:J,'Data For Calculation - Insuranc'!$A:$A,$A194,'Data For Calculation - Insuranc'!$H:$H,"Self")</f>
        <v>0</v>
      </c>
      <c r="CF194" s="33">
        <f>IF($CK194 = "Dealer", SUMIFS('Data For Calculation - Insuranc'!K:K,'Data For Calculation - Insuranc'!$B:$B,$A194,'Data For Calculation - Insuranc'!$H:$H,"Master Dealer")) + SUMIFS('Data For Calculation - Insuranc'!K:K,'Data For Calculation - Insuranc'!$A:$A,$A194,'Data For Calculation - Insuranc'!$H:$H,"Self")</f>
        <v>0</v>
      </c>
      <c r="CG194" s="25" t="str">
        <f>(Sheet1!N194)</f>
        <v>Modern Auto Agency - Bettiah</v>
      </c>
      <c r="CH194" s="25" t="str">
        <f>(Sheet1!O194)</f>
        <v>1_UtGSoyOsljQXvmry7gfXGYwjwEjQbghQQGZebnq45M</v>
      </c>
      <c r="CI194" s="25" t="str">
        <f>(Sheet1!AV194)</f>
        <v/>
      </c>
      <c r="CJ194" s="25" t="str">
        <f>(Sheet1!AW194)</f>
        <v/>
      </c>
      <c r="CK194" s="25" t="str">
        <f>(Sheet1!P194)</f>
        <v>Sub Dealer</v>
      </c>
    </row>
    <row r="195">
      <c r="A195" s="25" t="str">
        <f>(Sheet1!A195)</f>
        <v>1tv7cW1HkpPnyDwBqxX4e63ihXTxB7vNx36c1SO0c8cw</v>
      </c>
      <c r="B195" s="25" t="str">
        <f>(Sheet1!B195)</f>
        <v>MAA KALI AUTOMOBILES (MAA) - CHAUTARWA</v>
      </c>
      <c r="C195" s="30" t="str">
        <f>Sheet1!BB195</f>
        <v>No</v>
      </c>
      <c r="D195" s="30" t="s">
        <v>13</v>
      </c>
      <c r="E195" s="34" t="s">
        <v>13</v>
      </c>
      <c r="F195" s="34" t="s">
        <v>3929</v>
      </c>
      <c r="G195" s="25" t="s">
        <v>3820</v>
      </c>
      <c r="H195" s="43">
        <v>460.0</v>
      </c>
      <c r="I195" s="42" t="s">
        <v>3853</v>
      </c>
      <c r="J195" s="43">
        <v>0.0</v>
      </c>
      <c r="K195" s="43">
        <v>100.0</v>
      </c>
      <c r="L195" s="43">
        <v>0.0</v>
      </c>
      <c r="M195" s="43">
        <v>0.0</v>
      </c>
      <c r="N195" s="33">
        <f>COUNTIFS('Data For Calculation - Insuranc'!A:A,A195,'Data For Calculation - Insuranc'!D:D,"Individual",'Data For Calculation - Insuranc'!E:E,"Bundled - 1 Year OD + 5 Year TP")</f>
        <v>0</v>
      </c>
      <c r="O195" s="34" t="s">
        <v>3930</v>
      </c>
      <c r="P195" s="25" t="s">
        <v>3820</v>
      </c>
      <c r="Q195" s="43">
        <v>460.0</v>
      </c>
      <c r="R195" s="42" t="s">
        <v>3853</v>
      </c>
      <c r="S195" s="43">
        <v>0.0</v>
      </c>
      <c r="T195" s="43">
        <v>100.0</v>
      </c>
      <c r="U195" s="43">
        <v>0.0</v>
      </c>
      <c r="V195" s="43">
        <v>0.0</v>
      </c>
      <c r="W195" s="33">
        <f>COUNTIFS('Data For Calculation - Insuranc'!A:A,A195,'Data For Calculation - Insuranc'!D:D,"Company",'Data For Calculation - Insuranc'!E:E,"Bundled - 1 Year OD + 5 Year TP")</f>
        <v>0</v>
      </c>
      <c r="X195" s="34" t="s">
        <v>3929</v>
      </c>
      <c r="Y195" s="25" t="s">
        <v>3820</v>
      </c>
      <c r="Z195" s="31">
        <v>205.0</v>
      </c>
      <c r="AA195" s="34" t="s">
        <v>3853</v>
      </c>
      <c r="AB195" s="34">
        <v>0.0</v>
      </c>
      <c r="AC195" s="34">
        <v>100.0</v>
      </c>
      <c r="AD195" s="34">
        <v>0.0</v>
      </c>
      <c r="AE195" s="34">
        <v>0.0</v>
      </c>
      <c r="AF195" s="33">
        <f>COUNTIFS('Data For Calculation - Insuranc'!A:A,A195,'Data For Calculation - Insuranc'!D:D,"Individual",'Data For Calculation - Insuranc'!E:E,"Rollover Comprehensive - 1 Year OD + 1 Year TP")</f>
        <v>0</v>
      </c>
      <c r="AG195" s="34" t="s">
        <v>3930</v>
      </c>
      <c r="AH195" s="25" t="s">
        <v>3820</v>
      </c>
      <c r="AI195" s="31">
        <v>205.0</v>
      </c>
      <c r="AJ195" s="34" t="s">
        <v>3853</v>
      </c>
      <c r="AK195" s="34">
        <v>0.0</v>
      </c>
      <c r="AL195" s="34">
        <v>100.0</v>
      </c>
      <c r="AM195" s="34">
        <v>0.0</v>
      </c>
      <c r="AN195" s="34">
        <v>0.0</v>
      </c>
      <c r="AO195" s="33">
        <f>COUNTIFS('Data For Calculation - Insuranc'!A:A,A195,'Data For Calculation - Insuranc'!D:D,"Company",'Data For Calculation - Insuranc'!E:E,"Rollover Comprehensive - 1 Year OD + 1 Year TP")</f>
        <v>0</v>
      </c>
      <c r="AP195" s="34" t="s">
        <v>3931</v>
      </c>
      <c r="AQ195" s="25" t="s">
        <v>3820</v>
      </c>
      <c r="AR195" s="31">
        <v>205.0</v>
      </c>
      <c r="AS195" s="34" t="s">
        <v>3853</v>
      </c>
      <c r="AT195" s="34">
        <v>0.0</v>
      </c>
      <c r="AU195" s="34">
        <v>100.0</v>
      </c>
      <c r="AV195" s="34">
        <v>0.0</v>
      </c>
      <c r="AW195" s="34">
        <v>0.0</v>
      </c>
      <c r="AX195" s="33">
        <f>COUNTIFS('Data For Calculation - Insuranc'!A:A,A195,'Data For Calculation - Insuranc'!D:D,"Individual",'Data For Calculation - Insuranc'!E:E,"Rollover - 1 Year OD Only")</f>
        <v>0</v>
      </c>
      <c r="AY195" s="34" t="s">
        <v>3932</v>
      </c>
      <c r="AZ195" s="25" t="s">
        <v>3820</v>
      </c>
      <c r="BA195" s="31">
        <v>205.0</v>
      </c>
      <c r="BB195" s="34" t="s">
        <v>3853</v>
      </c>
      <c r="BC195" s="34">
        <v>0.0</v>
      </c>
      <c r="BD195" s="34">
        <v>100.0</v>
      </c>
      <c r="BE195" s="34">
        <v>0.0</v>
      </c>
      <c r="BF195" s="34">
        <v>0.0</v>
      </c>
      <c r="BG195" s="33">
        <f>COUNTIFS('Data For Calculation - Insuranc'!A:A,A195,'Data For Calculation - Insuranc'!D:D,"Company",'Data For Calculation - Insuranc'!E:E,"Rollover - 1 Year OD Only")</f>
        <v>0</v>
      </c>
      <c r="BH195" s="34" t="s">
        <v>3931</v>
      </c>
      <c r="BI195" s="25" t="s">
        <v>3820</v>
      </c>
      <c r="BJ195" s="31">
        <v>205.0</v>
      </c>
      <c r="BK195" s="34" t="s">
        <v>3853</v>
      </c>
      <c r="BL195" s="34">
        <v>0.0</v>
      </c>
      <c r="BM195" s="34">
        <v>100.0</v>
      </c>
      <c r="BN195" s="34">
        <v>0.0</v>
      </c>
      <c r="BO195" s="34">
        <v>0.0</v>
      </c>
      <c r="BP195" s="33">
        <f>COUNTIFS('Data For Calculation - Insuranc'!A:A,A195,'Data For Calculation - Insuranc'!D:D,"Individual",'Data For Calculation - Insuranc'!E:E,"Rollover - 1 Year TP Only")</f>
        <v>0</v>
      </c>
      <c r="BQ195" s="34" t="s">
        <v>3932</v>
      </c>
      <c r="BR195" s="25" t="s">
        <v>3820</v>
      </c>
      <c r="BS195" s="31">
        <v>205.0</v>
      </c>
      <c r="BT195" s="34" t="s">
        <v>3853</v>
      </c>
      <c r="BU195" s="34">
        <v>0.0</v>
      </c>
      <c r="BV195" s="34">
        <v>100.0</v>
      </c>
      <c r="BW195" s="34">
        <v>0.0</v>
      </c>
      <c r="BX195" s="34">
        <v>0.0</v>
      </c>
      <c r="BY195" s="33">
        <f>COUNTIFS('Data For Calculation - Insuranc'!A:A,A195,'Data For Calculation - Insuranc'!D:D,"Company",'Data For Calculation - Insuranc'!E:E,"Rollover - 1 Year TP Only")</f>
        <v>0</v>
      </c>
      <c r="BZ195" s="31">
        <f t="shared" si="1"/>
        <v>0</v>
      </c>
      <c r="CA195" s="33">
        <f>SUMIFS('Data For Calculation - Insuranc'!I:I,'Data For Calculation - Insuranc'!$A:$A,$A195)</f>
        <v>0</v>
      </c>
      <c r="CB195" s="33">
        <f>SUMIFS('Data For Calculation - Insuranc'!J:J,'Data For Calculation - Insuranc'!$A:$A,$A195)</f>
        <v>0</v>
      </c>
      <c r="CC195" s="33">
        <f>SUMIFS('Data For Calculation - Insuranc'!K:K,'Data For Calculation - Insuranc'!$A:$A,$A195)</f>
        <v>0</v>
      </c>
      <c r="CD195" s="33">
        <f>IF($CK195 = "Dealer", SUMIFS('Data For Calculation - Insuranc'!I:I,'Data For Calculation - Insuranc'!$B:$B,$A195,'Data For Calculation - Insuranc'!$H:$H,"Master Dealer")) + SUMIFS('Data For Calculation - Insuranc'!I:I,'Data For Calculation - Insuranc'!$A:$A,$A195,'Data For Calculation - Insuranc'!$H:$H,"Self")</f>
        <v>0</v>
      </c>
      <c r="CE195" s="33">
        <f>IF($CK195 = "Dealer", SUMIFS('Data For Calculation - Insuranc'!J:J,'Data For Calculation - Insuranc'!$B:$B,$A195,'Data For Calculation - Insuranc'!$H:$H,"Master Dealer")) + SUMIFS('Data For Calculation - Insuranc'!J:J,'Data For Calculation - Insuranc'!$A:$A,$A195,'Data For Calculation - Insuranc'!$H:$H,"Self")</f>
        <v>0</v>
      </c>
      <c r="CF195" s="33">
        <f>IF($CK195 = "Dealer", SUMIFS('Data For Calculation - Insuranc'!K:K,'Data For Calculation - Insuranc'!$B:$B,$A195,'Data For Calculation - Insuranc'!$H:$H,"Master Dealer")) + SUMIFS('Data For Calculation - Insuranc'!K:K,'Data For Calculation - Insuranc'!$A:$A,$A195,'Data For Calculation - Insuranc'!$H:$H,"Self")</f>
        <v>0</v>
      </c>
      <c r="CG195" s="25" t="str">
        <f>(Sheet1!N195)</f>
        <v>Modern Auto Agency - Bettiah</v>
      </c>
      <c r="CH195" s="25" t="str">
        <f>(Sheet1!O195)</f>
        <v>1_UtGSoyOsljQXvmry7gfXGYwjwEjQbghQQGZebnq45M</v>
      </c>
      <c r="CI195" s="25" t="str">
        <f>(Sheet1!AV195)</f>
        <v/>
      </c>
      <c r="CJ195" s="25" t="str">
        <f>(Sheet1!AW195)</f>
        <v/>
      </c>
      <c r="CK195" s="25" t="str">
        <f>(Sheet1!P195)</f>
        <v>Sub Dealer</v>
      </c>
    </row>
    <row r="196">
      <c r="A196" s="25" t="str">
        <f>(Sheet1!A196)</f>
        <v>1WQ0DX77J6m33SoaG5bV3EujIyD1Rwgu2cjhAGxkklkQ</v>
      </c>
      <c r="B196" s="25" t="str">
        <f>(Sheet1!B196)</f>
        <v>EMIRATES AUTO AGENCY (MAA) - SEMRA</v>
      </c>
      <c r="C196" s="30" t="str">
        <f>Sheet1!BB196</f>
        <v>No</v>
      </c>
      <c r="D196" s="30" t="s">
        <v>13</v>
      </c>
      <c r="E196" s="34" t="s">
        <v>13</v>
      </c>
      <c r="F196" s="34" t="s">
        <v>3929</v>
      </c>
      <c r="G196" s="25" t="s">
        <v>3820</v>
      </c>
      <c r="H196" s="43">
        <v>460.0</v>
      </c>
      <c r="I196" s="42" t="s">
        <v>3853</v>
      </c>
      <c r="J196" s="43">
        <v>0.0</v>
      </c>
      <c r="K196" s="43">
        <v>100.0</v>
      </c>
      <c r="L196" s="43">
        <v>0.0</v>
      </c>
      <c r="M196" s="43">
        <v>0.0</v>
      </c>
      <c r="N196" s="33">
        <f>COUNTIFS('Data For Calculation - Insuranc'!A:A,A196,'Data For Calculation - Insuranc'!D:D,"Individual",'Data For Calculation - Insuranc'!E:E,"Bundled - 1 Year OD + 5 Year TP")</f>
        <v>0</v>
      </c>
      <c r="O196" s="34" t="s">
        <v>3930</v>
      </c>
      <c r="P196" s="25" t="s">
        <v>3820</v>
      </c>
      <c r="Q196" s="43">
        <v>460.0</v>
      </c>
      <c r="R196" s="42" t="s">
        <v>3853</v>
      </c>
      <c r="S196" s="43">
        <v>0.0</v>
      </c>
      <c r="T196" s="43">
        <v>100.0</v>
      </c>
      <c r="U196" s="43">
        <v>0.0</v>
      </c>
      <c r="V196" s="43">
        <v>0.0</v>
      </c>
      <c r="W196" s="33">
        <f>COUNTIFS('Data For Calculation - Insuranc'!A:A,A196,'Data For Calculation - Insuranc'!D:D,"Company",'Data For Calculation - Insuranc'!E:E,"Bundled - 1 Year OD + 5 Year TP")</f>
        <v>0</v>
      </c>
      <c r="X196" s="34" t="s">
        <v>3929</v>
      </c>
      <c r="Y196" s="25" t="s">
        <v>3820</v>
      </c>
      <c r="Z196" s="31">
        <v>205.0</v>
      </c>
      <c r="AA196" s="34" t="s">
        <v>3853</v>
      </c>
      <c r="AB196" s="34">
        <v>0.0</v>
      </c>
      <c r="AC196" s="34">
        <v>100.0</v>
      </c>
      <c r="AD196" s="34">
        <v>0.0</v>
      </c>
      <c r="AE196" s="34">
        <v>0.0</v>
      </c>
      <c r="AF196" s="33">
        <f>COUNTIFS('Data For Calculation - Insuranc'!A:A,A196,'Data For Calculation - Insuranc'!D:D,"Individual",'Data For Calculation - Insuranc'!E:E,"Rollover Comprehensive - 1 Year OD + 1 Year TP")</f>
        <v>0</v>
      </c>
      <c r="AG196" s="34" t="s">
        <v>3930</v>
      </c>
      <c r="AH196" s="25" t="s">
        <v>3820</v>
      </c>
      <c r="AI196" s="31">
        <v>205.0</v>
      </c>
      <c r="AJ196" s="34" t="s">
        <v>3853</v>
      </c>
      <c r="AK196" s="34">
        <v>0.0</v>
      </c>
      <c r="AL196" s="34">
        <v>100.0</v>
      </c>
      <c r="AM196" s="34">
        <v>0.0</v>
      </c>
      <c r="AN196" s="34">
        <v>0.0</v>
      </c>
      <c r="AO196" s="33">
        <f>COUNTIFS('Data For Calculation - Insuranc'!A:A,A196,'Data For Calculation - Insuranc'!D:D,"Company",'Data For Calculation - Insuranc'!E:E,"Rollover Comprehensive - 1 Year OD + 1 Year TP")</f>
        <v>0</v>
      </c>
      <c r="AP196" s="34" t="s">
        <v>3931</v>
      </c>
      <c r="AQ196" s="25" t="s">
        <v>3820</v>
      </c>
      <c r="AR196" s="31">
        <v>205.0</v>
      </c>
      <c r="AS196" s="34" t="s">
        <v>3853</v>
      </c>
      <c r="AT196" s="34">
        <v>0.0</v>
      </c>
      <c r="AU196" s="34">
        <v>100.0</v>
      </c>
      <c r="AV196" s="34">
        <v>0.0</v>
      </c>
      <c r="AW196" s="34">
        <v>0.0</v>
      </c>
      <c r="AX196" s="33">
        <f>COUNTIFS('Data For Calculation - Insuranc'!A:A,A196,'Data For Calculation - Insuranc'!D:D,"Individual",'Data For Calculation - Insuranc'!E:E,"Rollover - 1 Year OD Only")</f>
        <v>0</v>
      </c>
      <c r="AY196" s="34" t="s">
        <v>3932</v>
      </c>
      <c r="AZ196" s="25" t="s">
        <v>3820</v>
      </c>
      <c r="BA196" s="31">
        <v>205.0</v>
      </c>
      <c r="BB196" s="34" t="s">
        <v>3853</v>
      </c>
      <c r="BC196" s="34">
        <v>0.0</v>
      </c>
      <c r="BD196" s="34">
        <v>100.0</v>
      </c>
      <c r="BE196" s="34">
        <v>0.0</v>
      </c>
      <c r="BF196" s="34">
        <v>0.0</v>
      </c>
      <c r="BG196" s="33">
        <f>COUNTIFS('Data For Calculation - Insuranc'!A:A,A196,'Data For Calculation - Insuranc'!D:D,"Company",'Data For Calculation - Insuranc'!E:E,"Rollover - 1 Year OD Only")</f>
        <v>0</v>
      </c>
      <c r="BH196" s="34" t="s">
        <v>3931</v>
      </c>
      <c r="BI196" s="25" t="s">
        <v>3820</v>
      </c>
      <c r="BJ196" s="31">
        <v>205.0</v>
      </c>
      <c r="BK196" s="34" t="s">
        <v>3853</v>
      </c>
      <c r="BL196" s="34">
        <v>0.0</v>
      </c>
      <c r="BM196" s="34">
        <v>100.0</v>
      </c>
      <c r="BN196" s="34">
        <v>0.0</v>
      </c>
      <c r="BO196" s="34">
        <v>0.0</v>
      </c>
      <c r="BP196" s="33">
        <f>COUNTIFS('Data For Calculation - Insuranc'!A:A,A196,'Data For Calculation - Insuranc'!D:D,"Individual",'Data For Calculation - Insuranc'!E:E,"Rollover - 1 Year TP Only")</f>
        <v>0</v>
      </c>
      <c r="BQ196" s="34" t="s">
        <v>3932</v>
      </c>
      <c r="BR196" s="25" t="s">
        <v>3820</v>
      </c>
      <c r="BS196" s="31">
        <v>205.0</v>
      </c>
      <c r="BT196" s="34" t="s">
        <v>3853</v>
      </c>
      <c r="BU196" s="34">
        <v>0.0</v>
      </c>
      <c r="BV196" s="34">
        <v>100.0</v>
      </c>
      <c r="BW196" s="34">
        <v>0.0</v>
      </c>
      <c r="BX196" s="34">
        <v>0.0</v>
      </c>
      <c r="BY196" s="33">
        <f>COUNTIFS('Data For Calculation - Insuranc'!A:A,A196,'Data For Calculation - Insuranc'!D:D,"Company",'Data For Calculation - Insuranc'!E:E,"Rollover - 1 Year TP Only")</f>
        <v>0</v>
      </c>
      <c r="BZ196" s="31">
        <f t="shared" si="1"/>
        <v>0</v>
      </c>
      <c r="CA196" s="33">
        <f>SUMIFS('Data For Calculation - Insuranc'!I:I,'Data For Calculation - Insuranc'!$A:$A,$A196)</f>
        <v>0</v>
      </c>
      <c r="CB196" s="33">
        <f>SUMIFS('Data For Calculation - Insuranc'!J:J,'Data For Calculation - Insuranc'!$A:$A,$A196)</f>
        <v>0</v>
      </c>
      <c r="CC196" s="33">
        <f>SUMIFS('Data For Calculation - Insuranc'!K:K,'Data For Calculation - Insuranc'!$A:$A,$A196)</f>
        <v>0</v>
      </c>
      <c r="CD196" s="33">
        <f>IF($CK196 = "Dealer", SUMIFS('Data For Calculation - Insuranc'!I:I,'Data For Calculation - Insuranc'!$B:$B,$A196,'Data For Calculation - Insuranc'!$H:$H,"Master Dealer")) + SUMIFS('Data For Calculation - Insuranc'!I:I,'Data For Calculation - Insuranc'!$A:$A,$A196,'Data For Calculation - Insuranc'!$H:$H,"Self")</f>
        <v>0</v>
      </c>
      <c r="CE196" s="33">
        <f>IF($CK196 = "Dealer", SUMIFS('Data For Calculation - Insuranc'!J:J,'Data For Calculation - Insuranc'!$B:$B,$A196,'Data For Calculation - Insuranc'!$H:$H,"Master Dealer")) + SUMIFS('Data For Calculation - Insuranc'!J:J,'Data For Calculation - Insuranc'!$A:$A,$A196,'Data For Calculation - Insuranc'!$H:$H,"Self")</f>
        <v>0</v>
      </c>
      <c r="CF196" s="33">
        <f>IF($CK196 = "Dealer", SUMIFS('Data For Calculation - Insuranc'!K:K,'Data For Calculation - Insuranc'!$B:$B,$A196,'Data For Calculation - Insuranc'!$H:$H,"Master Dealer")) + SUMIFS('Data For Calculation - Insuranc'!K:K,'Data For Calculation - Insuranc'!$A:$A,$A196,'Data For Calculation - Insuranc'!$H:$H,"Self")</f>
        <v>0</v>
      </c>
      <c r="CG196" s="25" t="str">
        <f>(Sheet1!N196)</f>
        <v>Modern Auto Agency - Bettiah</v>
      </c>
      <c r="CH196" s="25" t="str">
        <f>(Sheet1!O196)</f>
        <v>1_UtGSoyOsljQXvmry7gfXGYwjwEjQbghQQGZebnq45M</v>
      </c>
      <c r="CI196" s="25" t="str">
        <f>(Sheet1!AV196)</f>
        <v/>
      </c>
      <c r="CJ196" s="25" t="str">
        <f>(Sheet1!AW196)</f>
        <v/>
      </c>
      <c r="CK196" s="25" t="str">
        <f>(Sheet1!P196)</f>
        <v>Sub Dealer</v>
      </c>
    </row>
    <row r="197">
      <c r="A197" s="25" t="str">
        <f>(Sheet1!A197)</f>
        <v>10TnasMBGApJv5zXBkEcyf7wGKAliCEb2pmIfKVexScs</v>
      </c>
      <c r="B197" s="25" t="str">
        <f>(Sheet1!B197)</f>
        <v>Mayank Automobiles - Muzaffarpur</v>
      </c>
      <c r="C197" s="30" t="str">
        <f>Sheet1!BB197</f>
        <v>No</v>
      </c>
      <c r="D197" s="30" t="s">
        <v>13</v>
      </c>
      <c r="E197" s="34" t="s">
        <v>13</v>
      </c>
      <c r="F197" s="34" t="s">
        <v>3929</v>
      </c>
      <c r="G197" s="42" t="s">
        <v>3817</v>
      </c>
      <c r="H197" s="43">
        <v>460.0</v>
      </c>
      <c r="I197" s="42" t="s">
        <v>3853</v>
      </c>
      <c r="J197" s="43">
        <v>0.0</v>
      </c>
      <c r="K197" s="43">
        <v>100.0</v>
      </c>
      <c r="L197" s="43">
        <v>0.0</v>
      </c>
      <c r="M197" s="43">
        <v>0.0</v>
      </c>
      <c r="N197" s="33">
        <f>COUNTIFS('Data For Calculation - Insuranc'!A:A,A197,'Data For Calculation - Insuranc'!D:D,"Individual",'Data For Calculation - Insuranc'!E:E,"Bundled - 1 Year OD + 5 Year TP")</f>
        <v>0</v>
      </c>
      <c r="O197" s="34" t="s">
        <v>3930</v>
      </c>
      <c r="P197" s="42" t="s">
        <v>3817</v>
      </c>
      <c r="Q197" s="43">
        <v>460.0</v>
      </c>
      <c r="R197" s="42" t="s">
        <v>3853</v>
      </c>
      <c r="S197" s="43">
        <v>0.0</v>
      </c>
      <c r="T197" s="43">
        <v>100.0</v>
      </c>
      <c r="U197" s="43">
        <v>0.0</v>
      </c>
      <c r="V197" s="43">
        <v>0.0</v>
      </c>
      <c r="W197" s="33">
        <f>COUNTIFS('Data For Calculation - Insuranc'!A:A,A197,'Data For Calculation - Insuranc'!D:D,"Company",'Data For Calculation - Insuranc'!E:E,"Bundled - 1 Year OD + 5 Year TP")</f>
        <v>0</v>
      </c>
      <c r="X197" s="34" t="s">
        <v>3929</v>
      </c>
      <c r="Y197" s="42" t="s">
        <v>3817</v>
      </c>
      <c r="Z197" s="31">
        <v>290.0</v>
      </c>
      <c r="AA197" s="34" t="s">
        <v>3853</v>
      </c>
      <c r="AB197" s="34">
        <v>0.0</v>
      </c>
      <c r="AC197" s="34">
        <v>100.0</v>
      </c>
      <c r="AD197" s="34">
        <v>0.0</v>
      </c>
      <c r="AE197" s="34">
        <v>0.0</v>
      </c>
      <c r="AF197" s="33">
        <f>COUNTIFS('Data For Calculation - Insuranc'!A:A,A197,'Data For Calculation - Insuranc'!D:D,"Individual",'Data For Calculation - Insuranc'!E:E,"Rollover Comprehensive - 1 Year OD + 1 Year TP")</f>
        <v>0</v>
      </c>
      <c r="AG197" s="34" t="s">
        <v>3930</v>
      </c>
      <c r="AH197" s="42" t="s">
        <v>3817</v>
      </c>
      <c r="AI197" s="31">
        <v>290.0</v>
      </c>
      <c r="AJ197" s="34" t="s">
        <v>3853</v>
      </c>
      <c r="AK197" s="34">
        <v>0.0</v>
      </c>
      <c r="AL197" s="34">
        <v>100.0</v>
      </c>
      <c r="AM197" s="34">
        <v>0.0</v>
      </c>
      <c r="AN197" s="34">
        <v>0.0</v>
      </c>
      <c r="AO197" s="33">
        <f>COUNTIFS('Data For Calculation - Insuranc'!A:A,A197,'Data For Calculation - Insuranc'!D:D,"Company",'Data For Calculation - Insuranc'!E:E,"Rollover Comprehensive - 1 Year OD + 1 Year TP")</f>
        <v>0</v>
      </c>
      <c r="AP197" s="34" t="s">
        <v>3931</v>
      </c>
      <c r="AQ197" s="42" t="s">
        <v>3817</v>
      </c>
      <c r="AR197" s="31">
        <v>290.0</v>
      </c>
      <c r="AS197" s="34" t="s">
        <v>3853</v>
      </c>
      <c r="AT197" s="34">
        <v>0.0</v>
      </c>
      <c r="AU197" s="34">
        <v>100.0</v>
      </c>
      <c r="AV197" s="34">
        <v>0.0</v>
      </c>
      <c r="AW197" s="34">
        <v>0.0</v>
      </c>
      <c r="AX197" s="33">
        <f>COUNTIFS('Data For Calculation - Insuranc'!A:A,A197,'Data For Calculation - Insuranc'!D:D,"Individual",'Data For Calculation - Insuranc'!E:E,"Rollover - 1 Year OD Only")</f>
        <v>0</v>
      </c>
      <c r="AY197" s="34" t="s">
        <v>3932</v>
      </c>
      <c r="AZ197" s="42" t="s">
        <v>3817</v>
      </c>
      <c r="BA197" s="31">
        <v>290.0</v>
      </c>
      <c r="BB197" s="34" t="s">
        <v>3853</v>
      </c>
      <c r="BC197" s="34">
        <v>0.0</v>
      </c>
      <c r="BD197" s="34">
        <v>100.0</v>
      </c>
      <c r="BE197" s="34">
        <v>0.0</v>
      </c>
      <c r="BF197" s="34">
        <v>0.0</v>
      </c>
      <c r="BG197" s="33">
        <f>COUNTIFS('Data For Calculation - Insuranc'!A:A,A197,'Data For Calculation - Insuranc'!D:D,"Company",'Data For Calculation - Insuranc'!E:E,"Rollover - 1 Year OD Only")</f>
        <v>0</v>
      </c>
      <c r="BH197" s="34" t="s">
        <v>3931</v>
      </c>
      <c r="BI197" s="42" t="s">
        <v>3817</v>
      </c>
      <c r="BJ197" s="31">
        <v>290.0</v>
      </c>
      <c r="BK197" s="34" t="s">
        <v>3853</v>
      </c>
      <c r="BL197" s="34">
        <v>0.0</v>
      </c>
      <c r="BM197" s="34">
        <v>100.0</v>
      </c>
      <c r="BN197" s="34">
        <v>0.0</v>
      </c>
      <c r="BO197" s="34">
        <v>0.0</v>
      </c>
      <c r="BP197" s="33">
        <f>COUNTIFS('Data For Calculation - Insuranc'!A:A,A197,'Data For Calculation - Insuranc'!D:D,"Individual",'Data For Calculation - Insuranc'!E:E,"Rollover - 1 Year TP Only")</f>
        <v>0</v>
      </c>
      <c r="BQ197" s="34" t="s">
        <v>3932</v>
      </c>
      <c r="BR197" s="42" t="s">
        <v>3817</v>
      </c>
      <c r="BS197" s="31">
        <v>290.0</v>
      </c>
      <c r="BT197" s="34" t="s">
        <v>3853</v>
      </c>
      <c r="BU197" s="34">
        <v>0.0</v>
      </c>
      <c r="BV197" s="34">
        <v>100.0</v>
      </c>
      <c r="BW197" s="34">
        <v>0.0</v>
      </c>
      <c r="BX197" s="34">
        <v>0.0</v>
      </c>
      <c r="BY197" s="33">
        <f>COUNTIFS('Data For Calculation - Insuranc'!A:A,A197,'Data For Calculation - Insuranc'!D:D,"Company",'Data For Calculation - Insuranc'!E:E,"Rollover - 1 Year TP Only")</f>
        <v>0</v>
      </c>
      <c r="BZ197" s="31">
        <f t="shared" si="1"/>
        <v>0</v>
      </c>
      <c r="CA197" s="33">
        <f>SUMIFS('Data For Calculation - Insuranc'!I:I,'Data For Calculation - Insuranc'!$A:$A,$A197)</f>
        <v>0</v>
      </c>
      <c r="CB197" s="33">
        <f>SUMIFS('Data For Calculation - Insuranc'!J:J,'Data For Calculation - Insuranc'!$A:$A,$A197)</f>
        <v>0</v>
      </c>
      <c r="CC197" s="33">
        <f>SUMIFS('Data For Calculation - Insuranc'!K:K,'Data For Calculation - Insuranc'!$A:$A,$A197)</f>
        <v>0</v>
      </c>
      <c r="CD197" s="33">
        <f>IF($CK197 = "Dealer", SUMIFS('Data For Calculation - Insuranc'!I:I,'Data For Calculation - Insuranc'!$B:$B,$A197,'Data For Calculation - Insuranc'!$H:$H,"Master Dealer")) + SUMIFS('Data For Calculation - Insuranc'!I:I,'Data For Calculation - Insuranc'!$A:$A,$A197,'Data For Calculation - Insuranc'!$H:$H,"Self")</f>
        <v>0</v>
      </c>
      <c r="CE197" s="33">
        <f>IF($CK197 = "Dealer", SUMIFS('Data For Calculation - Insuranc'!J:J,'Data For Calculation - Insuranc'!$B:$B,$A197,'Data For Calculation - Insuranc'!$H:$H,"Master Dealer")) + SUMIFS('Data For Calculation - Insuranc'!J:J,'Data For Calculation - Insuranc'!$A:$A,$A197,'Data For Calculation - Insuranc'!$H:$H,"Self")</f>
        <v>0</v>
      </c>
      <c r="CF197" s="33">
        <f>IF($CK197 = "Dealer", SUMIFS('Data For Calculation - Insuranc'!K:K,'Data For Calculation - Insuranc'!$B:$B,$A197,'Data For Calculation - Insuranc'!$H:$H,"Master Dealer")) + SUMIFS('Data For Calculation - Insuranc'!K:K,'Data For Calculation - Insuranc'!$A:$A,$A197,'Data For Calculation - Insuranc'!$H:$H,"Self")</f>
        <v>0</v>
      </c>
      <c r="CG197" s="25" t="str">
        <f>(Sheet1!N197)</f>
        <v>Mayank Automobiles - Muzaffarpur</v>
      </c>
      <c r="CH197" s="25" t="str">
        <f>(Sheet1!O197)</f>
        <v>10TnasMBGApJv5zXBkEcyf7wGKAliCEb2pmIfKVexScs</v>
      </c>
      <c r="CI197" s="25" t="str">
        <f>(Sheet1!AV197)</f>
        <v/>
      </c>
      <c r="CJ197" s="25" t="str">
        <f>(Sheet1!AW197)</f>
        <v/>
      </c>
      <c r="CK197" s="26" t="str">
        <f>(Sheet1!P197)</f>
        <v>Dealer</v>
      </c>
    </row>
    <row r="198">
      <c r="A198" s="25" t="str">
        <f>(Sheet1!A198)</f>
        <v>1xdioECnPW5B9Jx1lGE6BzQBP3X2De1AEBtF29NVixH0</v>
      </c>
      <c r="B198" s="25" t="str">
        <f>(Sheet1!B198)</f>
        <v>Vishwakarma Automobiles - Muzaffarpur</v>
      </c>
      <c r="C198" s="30" t="str">
        <f>Sheet1!BB198</f>
        <v>No</v>
      </c>
      <c r="D198" s="30" t="s">
        <v>13</v>
      </c>
      <c r="E198" s="34" t="s">
        <v>13</v>
      </c>
      <c r="F198" s="34" t="s">
        <v>3929</v>
      </c>
      <c r="G198" s="42" t="s">
        <v>3817</v>
      </c>
      <c r="H198" s="43">
        <v>375.0</v>
      </c>
      <c r="I198" s="42" t="s">
        <v>3853</v>
      </c>
      <c r="J198" s="43">
        <v>0.0</v>
      </c>
      <c r="K198" s="43">
        <v>100.0</v>
      </c>
      <c r="L198" s="43">
        <v>0.0</v>
      </c>
      <c r="M198" s="43">
        <v>0.0</v>
      </c>
      <c r="N198" s="33">
        <f>COUNTIFS('Data For Calculation - Insuranc'!A:A,A198,'Data For Calculation - Insuranc'!D:D,"Individual",'Data For Calculation - Insuranc'!E:E,"Bundled - 1 Year OD + 5 Year TP")</f>
        <v>0</v>
      </c>
      <c r="O198" s="34" t="s">
        <v>3930</v>
      </c>
      <c r="P198" s="42" t="s">
        <v>3817</v>
      </c>
      <c r="Q198" s="43">
        <v>375.0</v>
      </c>
      <c r="R198" s="42" t="s">
        <v>3853</v>
      </c>
      <c r="S198" s="43">
        <v>0.0</v>
      </c>
      <c r="T198" s="43">
        <v>100.0</v>
      </c>
      <c r="U198" s="43">
        <v>0.0</v>
      </c>
      <c r="V198" s="43">
        <v>0.0</v>
      </c>
      <c r="W198" s="33">
        <f>COUNTIFS('Data For Calculation - Insuranc'!A:A,A198,'Data For Calculation - Insuranc'!D:D,"Company",'Data For Calculation - Insuranc'!E:E,"Bundled - 1 Year OD + 5 Year TP")</f>
        <v>0</v>
      </c>
      <c r="X198" s="34" t="s">
        <v>3929</v>
      </c>
      <c r="Y198" s="42" t="s">
        <v>3817</v>
      </c>
      <c r="Z198" s="31">
        <v>290.0</v>
      </c>
      <c r="AA198" s="34" t="s">
        <v>3853</v>
      </c>
      <c r="AB198" s="34">
        <v>0.0</v>
      </c>
      <c r="AC198" s="34">
        <v>100.0</v>
      </c>
      <c r="AD198" s="34">
        <v>0.0</v>
      </c>
      <c r="AE198" s="34">
        <v>0.0</v>
      </c>
      <c r="AF198" s="33">
        <f>COUNTIFS('Data For Calculation - Insuranc'!A:A,A198,'Data For Calculation - Insuranc'!D:D,"Individual",'Data For Calculation - Insuranc'!E:E,"Rollover Comprehensive - 1 Year OD + 1 Year TP")</f>
        <v>0</v>
      </c>
      <c r="AG198" s="34" t="s">
        <v>3930</v>
      </c>
      <c r="AH198" s="42" t="s">
        <v>3817</v>
      </c>
      <c r="AI198" s="31">
        <v>290.0</v>
      </c>
      <c r="AJ198" s="34" t="s">
        <v>3853</v>
      </c>
      <c r="AK198" s="34">
        <v>0.0</v>
      </c>
      <c r="AL198" s="34">
        <v>100.0</v>
      </c>
      <c r="AM198" s="34">
        <v>0.0</v>
      </c>
      <c r="AN198" s="34">
        <v>0.0</v>
      </c>
      <c r="AO198" s="33">
        <f>COUNTIFS('Data For Calculation - Insuranc'!A:A,A198,'Data For Calculation - Insuranc'!D:D,"Company",'Data For Calculation - Insuranc'!E:E,"Rollover Comprehensive - 1 Year OD + 1 Year TP")</f>
        <v>0</v>
      </c>
      <c r="AP198" s="34" t="s">
        <v>3931</v>
      </c>
      <c r="AQ198" s="42" t="s">
        <v>3817</v>
      </c>
      <c r="AR198" s="31">
        <v>290.0</v>
      </c>
      <c r="AS198" s="34" t="s">
        <v>3853</v>
      </c>
      <c r="AT198" s="34">
        <v>0.0</v>
      </c>
      <c r="AU198" s="34">
        <v>100.0</v>
      </c>
      <c r="AV198" s="34">
        <v>0.0</v>
      </c>
      <c r="AW198" s="34">
        <v>0.0</v>
      </c>
      <c r="AX198" s="33">
        <f>COUNTIFS('Data For Calculation - Insuranc'!A:A,A198,'Data For Calculation - Insuranc'!D:D,"Individual",'Data For Calculation - Insuranc'!E:E,"Rollover - 1 Year OD Only")</f>
        <v>0</v>
      </c>
      <c r="AY198" s="34" t="s">
        <v>3932</v>
      </c>
      <c r="AZ198" s="42" t="s">
        <v>3817</v>
      </c>
      <c r="BA198" s="31">
        <v>290.0</v>
      </c>
      <c r="BB198" s="34" t="s">
        <v>3853</v>
      </c>
      <c r="BC198" s="34">
        <v>0.0</v>
      </c>
      <c r="BD198" s="34">
        <v>100.0</v>
      </c>
      <c r="BE198" s="34">
        <v>0.0</v>
      </c>
      <c r="BF198" s="34">
        <v>0.0</v>
      </c>
      <c r="BG198" s="33">
        <f>COUNTIFS('Data For Calculation - Insuranc'!A:A,A198,'Data For Calculation - Insuranc'!D:D,"Company",'Data For Calculation - Insuranc'!E:E,"Rollover - 1 Year OD Only")</f>
        <v>0</v>
      </c>
      <c r="BH198" s="34" t="s">
        <v>3931</v>
      </c>
      <c r="BI198" s="42" t="s">
        <v>3817</v>
      </c>
      <c r="BJ198" s="31">
        <v>290.0</v>
      </c>
      <c r="BK198" s="34" t="s">
        <v>3853</v>
      </c>
      <c r="BL198" s="34">
        <v>0.0</v>
      </c>
      <c r="BM198" s="34">
        <v>100.0</v>
      </c>
      <c r="BN198" s="34">
        <v>0.0</v>
      </c>
      <c r="BO198" s="34">
        <v>0.0</v>
      </c>
      <c r="BP198" s="33">
        <f>COUNTIFS('Data For Calculation - Insuranc'!A:A,A198,'Data For Calculation - Insuranc'!D:D,"Individual",'Data For Calculation - Insuranc'!E:E,"Rollover - 1 Year TP Only")</f>
        <v>0</v>
      </c>
      <c r="BQ198" s="34" t="s">
        <v>3932</v>
      </c>
      <c r="BR198" s="42" t="s">
        <v>3817</v>
      </c>
      <c r="BS198" s="31">
        <v>290.0</v>
      </c>
      <c r="BT198" s="34" t="s">
        <v>3853</v>
      </c>
      <c r="BU198" s="34">
        <v>0.0</v>
      </c>
      <c r="BV198" s="34">
        <v>100.0</v>
      </c>
      <c r="BW198" s="34">
        <v>0.0</v>
      </c>
      <c r="BX198" s="34">
        <v>0.0</v>
      </c>
      <c r="BY198" s="33">
        <f>COUNTIFS('Data For Calculation - Insuranc'!A:A,A198,'Data For Calculation - Insuranc'!D:D,"Company",'Data For Calculation - Insuranc'!E:E,"Rollover - 1 Year TP Only")</f>
        <v>0</v>
      </c>
      <c r="BZ198" s="31">
        <f t="shared" si="1"/>
        <v>0</v>
      </c>
      <c r="CA198" s="33">
        <f>SUMIFS('Data For Calculation - Insuranc'!I:I,'Data For Calculation - Insuranc'!$A:$A,$A198)</f>
        <v>0</v>
      </c>
      <c r="CB198" s="33">
        <f>SUMIFS('Data For Calculation - Insuranc'!J:J,'Data For Calculation - Insuranc'!$A:$A,$A198)</f>
        <v>0</v>
      </c>
      <c r="CC198" s="33">
        <f>SUMIFS('Data For Calculation - Insuranc'!K:K,'Data For Calculation - Insuranc'!$A:$A,$A198)</f>
        <v>0</v>
      </c>
      <c r="CD198" s="33">
        <f>IF($CK198 = "Dealer", SUMIFS('Data For Calculation - Insuranc'!I:I,'Data For Calculation - Insuranc'!$B:$B,$A198,'Data For Calculation - Insuranc'!$H:$H,"Master Dealer")) + SUMIFS('Data For Calculation - Insuranc'!I:I,'Data For Calculation - Insuranc'!$A:$A,$A198,'Data For Calculation - Insuranc'!$H:$H,"Self")</f>
        <v>0</v>
      </c>
      <c r="CE198" s="33">
        <f>IF($CK198 = "Dealer", SUMIFS('Data For Calculation - Insuranc'!J:J,'Data For Calculation - Insuranc'!$B:$B,$A198,'Data For Calculation - Insuranc'!$H:$H,"Master Dealer")) + SUMIFS('Data For Calculation - Insuranc'!J:J,'Data For Calculation - Insuranc'!$A:$A,$A198,'Data For Calculation - Insuranc'!$H:$H,"Self")</f>
        <v>0</v>
      </c>
      <c r="CF198" s="33">
        <f>IF($CK198 = "Dealer", SUMIFS('Data For Calculation - Insuranc'!K:K,'Data For Calculation - Insuranc'!$B:$B,$A198,'Data For Calculation - Insuranc'!$H:$H,"Master Dealer")) + SUMIFS('Data For Calculation - Insuranc'!K:K,'Data For Calculation - Insuranc'!$A:$A,$A198,'Data For Calculation - Insuranc'!$H:$H,"Self")</f>
        <v>0</v>
      </c>
      <c r="CG198" s="25" t="str">
        <f>(Sheet1!N198)</f>
        <v>Vishwakarma Automobiles - Muzaffarpur</v>
      </c>
      <c r="CH198" s="25" t="str">
        <f>(Sheet1!O198)</f>
        <v>1xdioECnPW5B9Jx1lGE6BzQBP3X2De1AEBtF29NVixH0</v>
      </c>
      <c r="CI198" s="25" t="str">
        <f>(Sheet1!AV198)</f>
        <v/>
      </c>
      <c r="CJ198" s="25" t="str">
        <f>(Sheet1!AW198)</f>
        <v/>
      </c>
      <c r="CK198" s="26" t="str">
        <f>(Sheet1!P198)</f>
        <v>Dealer</v>
      </c>
    </row>
    <row r="199">
      <c r="A199" s="25" t="str">
        <f>(Sheet1!A199)</f>
        <v>1DoydwShLxFhj9cTyIaVm15blnPqnJh7zHTdoUs01LN8</v>
      </c>
      <c r="B199" s="25" t="str">
        <f>(Sheet1!B199)</f>
        <v>SVR MOTORS - RAICHUR</v>
      </c>
      <c r="C199" s="30" t="str">
        <f>Sheet1!BB199</f>
        <v>No</v>
      </c>
      <c r="D199" s="30" t="s">
        <v>3821</v>
      </c>
      <c r="E199" s="34" t="s">
        <v>13</v>
      </c>
      <c r="F199" s="34" t="s">
        <v>3929</v>
      </c>
      <c r="G199" s="42" t="s">
        <v>3856</v>
      </c>
      <c r="H199" s="43">
        <v>390.0</v>
      </c>
      <c r="I199" s="42" t="s">
        <v>3853</v>
      </c>
      <c r="J199" s="43">
        <v>0.0</v>
      </c>
      <c r="K199" s="43">
        <v>100.0</v>
      </c>
      <c r="L199" s="43">
        <v>0.0</v>
      </c>
      <c r="M199" s="43">
        <v>0.0</v>
      </c>
      <c r="N199" s="33">
        <f>COUNTIFS('Data For Calculation - Insuranc'!A:A,A199,'Data For Calculation - Insuranc'!D:D,"Individual",'Data For Calculation - Insuranc'!E:E,"Bundled - 1 Year OD + 5 Year TP")</f>
        <v>0</v>
      </c>
      <c r="O199" s="34" t="s">
        <v>3930</v>
      </c>
      <c r="P199" s="42" t="s">
        <v>3856</v>
      </c>
      <c r="Q199" s="43">
        <v>390.0</v>
      </c>
      <c r="R199" s="42" t="s">
        <v>3853</v>
      </c>
      <c r="S199" s="43">
        <v>0.0</v>
      </c>
      <c r="T199" s="43">
        <v>100.0</v>
      </c>
      <c r="U199" s="43">
        <v>0.0</v>
      </c>
      <c r="V199" s="43">
        <v>0.0</v>
      </c>
      <c r="W199" s="33">
        <f>COUNTIFS('Data For Calculation - Insuranc'!A:A,A199,'Data For Calculation - Insuranc'!D:D,"Company",'Data For Calculation - Insuranc'!E:E,"Bundled - 1 Year OD + 5 Year TP")</f>
        <v>0</v>
      </c>
      <c r="X199" s="34" t="s">
        <v>3929</v>
      </c>
      <c r="Y199" s="42" t="s">
        <v>3856</v>
      </c>
      <c r="Z199" s="31">
        <v>201.0</v>
      </c>
      <c r="AA199" s="34" t="s">
        <v>3853</v>
      </c>
      <c r="AB199" s="34">
        <v>0.0</v>
      </c>
      <c r="AC199" s="34">
        <v>100.0</v>
      </c>
      <c r="AD199" s="34">
        <v>0.0</v>
      </c>
      <c r="AE199" s="34">
        <v>0.0</v>
      </c>
      <c r="AF199" s="33">
        <f>COUNTIFS('Data For Calculation - Insuranc'!A:A,A199,'Data For Calculation - Insuranc'!D:D,"Individual",'Data For Calculation - Insuranc'!E:E,"Rollover Comprehensive - 1 Year OD + 1 Year TP")</f>
        <v>0</v>
      </c>
      <c r="AG199" s="34" t="s">
        <v>3930</v>
      </c>
      <c r="AH199" s="42" t="s">
        <v>3856</v>
      </c>
      <c r="AI199" s="31">
        <v>201.0</v>
      </c>
      <c r="AJ199" s="34" t="s">
        <v>3853</v>
      </c>
      <c r="AK199" s="34">
        <v>0.0</v>
      </c>
      <c r="AL199" s="34">
        <v>100.0</v>
      </c>
      <c r="AM199" s="34">
        <v>0.0</v>
      </c>
      <c r="AN199" s="34">
        <v>0.0</v>
      </c>
      <c r="AO199" s="33">
        <f>COUNTIFS('Data For Calculation - Insuranc'!A:A,A199,'Data For Calculation - Insuranc'!D:D,"Company",'Data For Calculation - Insuranc'!E:E,"Rollover Comprehensive - 1 Year OD + 1 Year TP")</f>
        <v>0</v>
      </c>
      <c r="AP199" s="34" t="s">
        <v>3931</v>
      </c>
      <c r="AQ199" s="42" t="s">
        <v>3856</v>
      </c>
      <c r="AR199" s="31">
        <v>201.0</v>
      </c>
      <c r="AS199" s="34" t="s">
        <v>3853</v>
      </c>
      <c r="AT199" s="34">
        <v>0.0</v>
      </c>
      <c r="AU199" s="34">
        <v>100.0</v>
      </c>
      <c r="AV199" s="34">
        <v>0.0</v>
      </c>
      <c r="AW199" s="34">
        <v>0.0</v>
      </c>
      <c r="AX199" s="33">
        <f>COUNTIFS('Data For Calculation - Insuranc'!A:A,A199,'Data For Calculation - Insuranc'!D:D,"Individual",'Data For Calculation - Insuranc'!E:E,"Rollover - 1 Year OD Only")</f>
        <v>0</v>
      </c>
      <c r="AY199" s="34" t="s">
        <v>3932</v>
      </c>
      <c r="AZ199" s="42" t="s">
        <v>3856</v>
      </c>
      <c r="BA199" s="31">
        <v>201.0</v>
      </c>
      <c r="BB199" s="34" t="s">
        <v>3853</v>
      </c>
      <c r="BC199" s="34">
        <v>0.0</v>
      </c>
      <c r="BD199" s="34">
        <v>100.0</v>
      </c>
      <c r="BE199" s="34">
        <v>0.0</v>
      </c>
      <c r="BF199" s="34">
        <v>0.0</v>
      </c>
      <c r="BG199" s="33">
        <f>COUNTIFS('Data For Calculation - Insuranc'!A:A,A199,'Data For Calculation - Insuranc'!D:D,"Company",'Data For Calculation - Insuranc'!E:E,"Rollover - 1 Year OD Only")</f>
        <v>0</v>
      </c>
      <c r="BH199" s="34" t="s">
        <v>3931</v>
      </c>
      <c r="BI199" s="42" t="s">
        <v>3856</v>
      </c>
      <c r="BJ199" s="31">
        <v>201.0</v>
      </c>
      <c r="BK199" s="34" t="s">
        <v>3853</v>
      </c>
      <c r="BL199" s="34">
        <v>0.0</v>
      </c>
      <c r="BM199" s="34">
        <v>100.0</v>
      </c>
      <c r="BN199" s="34">
        <v>0.0</v>
      </c>
      <c r="BO199" s="34">
        <v>0.0</v>
      </c>
      <c r="BP199" s="33">
        <f>COUNTIFS('Data For Calculation - Insuranc'!A:A,A199,'Data For Calculation - Insuranc'!D:D,"Individual",'Data For Calculation - Insuranc'!E:E,"Rollover - 1 Year TP Only")</f>
        <v>0</v>
      </c>
      <c r="BQ199" s="34" t="s">
        <v>3932</v>
      </c>
      <c r="BR199" s="42" t="s">
        <v>3856</v>
      </c>
      <c r="BS199" s="31">
        <v>201.0</v>
      </c>
      <c r="BT199" s="34" t="s">
        <v>3853</v>
      </c>
      <c r="BU199" s="34">
        <v>0.0</v>
      </c>
      <c r="BV199" s="34">
        <v>100.0</v>
      </c>
      <c r="BW199" s="34">
        <v>0.0</v>
      </c>
      <c r="BX199" s="34">
        <v>0.0</v>
      </c>
      <c r="BY199" s="33">
        <f>COUNTIFS('Data For Calculation - Insuranc'!A:A,A199,'Data For Calculation - Insuranc'!D:D,"Company",'Data For Calculation - Insuranc'!E:E,"Rollover - 1 Year TP Only")</f>
        <v>0</v>
      </c>
      <c r="BZ199" s="31">
        <f t="shared" si="1"/>
        <v>0</v>
      </c>
      <c r="CA199" s="33">
        <f>SUMIFS('Data For Calculation - Insuranc'!I:I,'Data For Calculation - Insuranc'!$A:$A,$A199)</f>
        <v>0</v>
      </c>
      <c r="CB199" s="33">
        <f>SUMIFS('Data For Calculation - Insuranc'!J:J,'Data For Calculation - Insuranc'!$A:$A,$A199)</f>
        <v>0</v>
      </c>
      <c r="CC199" s="33">
        <f>SUMIFS('Data For Calculation - Insuranc'!K:K,'Data For Calculation - Insuranc'!$A:$A,$A199)</f>
        <v>0</v>
      </c>
      <c r="CD199" s="33">
        <f>IF($CK199 = "Dealer", SUMIFS('Data For Calculation - Insuranc'!I:I,'Data For Calculation - Insuranc'!$B:$B,$A199,'Data For Calculation - Insuranc'!$H:$H,"Master Dealer")) + SUMIFS('Data For Calculation - Insuranc'!I:I,'Data For Calculation - Insuranc'!$A:$A,$A199,'Data For Calculation - Insuranc'!$H:$H,"Self")</f>
        <v>0</v>
      </c>
      <c r="CE199" s="33">
        <f>IF($CK199 = "Dealer", SUMIFS('Data For Calculation - Insuranc'!J:J,'Data For Calculation - Insuranc'!$B:$B,$A199,'Data For Calculation - Insuranc'!$H:$H,"Master Dealer")) + SUMIFS('Data For Calculation - Insuranc'!J:J,'Data For Calculation - Insuranc'!$A:$A,$A199,'Data For Calculation - Insuranc'!$H:$H,"Self")</f>
        <v>0</v>
      </c>
      <c r="CF199" s="33">
        <f>IF($CK199 = "Dealer", SUMIFS('Data For Calculation - Insuranc'!K:K,'Data For Calculation - Insuranc'!$B:$B,$A199,'Data For Calculation - Insuranc'!$H:$H,"Master Dealer")) + SUMIFS('Data For Calculation - Insuranc'!K:K,'Data For Calculation - Insuranc'!$A:$A,$A199,'Data For Calculation - Insuranc'!$H:$H,"Self")</f>
        <v>0</v>
      </c>
      <c r="CG199" s="25" t="str">
        <f>(Sheet1!N199)</f>
        <v>Vidhi Trading</v>
      </c>
      <c r="CH199" s="25" t="str">
        <f>(Sheet1!O199)</f>
        <v>1RYX1vfvY0jbK-8SlRPLYU11dr-HUe2ntxj5PumL7c0I</v>
      </c>
      <c r="CI199" s="25" t="str">
        <f>(Sheet1!AV199)</f>
        <v/>
      </c>
      <c r="CJ199" s="25" t="str">
        <f>(Sheet1!AW199)</f>
        <v/>
      </c>
      <c r="CK199" s="25" t="str">
        <f>(Sheet1!P199)</f>
        <v>Sub Dealer</v>
      </c>
    </row>
    <row r="200">
      <c r="A200" s="25" t="str">
        <f>(Sheet1!A200)</f>
        <v>1vLaBz74ueKQC05BDHxZbKK6goeX4KXIwd6Tvp-pl8Zg</v>
      </c>
      <c r="B200" s="25" t="str">
        <f>(Sheet1!B200)</f>
        <v>Mahesh Motor 1 - Dinajpur</v>
      </c>
      <c r="C200" s="30" t="str">
        <f>Sheet1!BB200</f>
        <v>No</v>
      </c>
      <c r="D200" s="30" t="s">
        <v>13</v>
      </c>
      <c r="E200" s="34" t="s">
        <v>13</v>
      </c>
      <c r="F200" s="34" t="s">
        <v>3929</v>
      </c>
      <c r="G200" s="42" t="s">
        <v>3817</v>
      </c>
      <c r="H200" s="43">
        <v>460.0</v>
      </c>
      <c r="I200" s="42" t="s">
        <v>3853</v>
      </c>
      <c r="J200" s="43">
        <v>0.0</v>
      </c>
      <c r="K200" s="43">
        <v>100.0</v>
      </c>
      <c r="L200" s="43">
        <v>0.0</v>
      </c>
      <c r="M200" s="43">
        <v>0.0</v>
      </c>
      <c r="N200" s="33">
        <f>COUNTIFS('Data For Calculation - Insuranc'!A:A,A200,'Data For Calculation - Insuranc'!D:D,"Individual",'Data For Calculation - Insuranc'!E:E,"Bundled - 1 Year OD + 5 Year TP")</f>
        <v>0</v>
      </c>
      <c r="O200" s="34" t="s">
        <v>3930</v>
      </c>
      <c r="P200" s="42" t="s">
        <v>3817</v>
      </c>
      <c r="Q200" s="43">
        <v>460.0</v>
      </c>
      <c r="R200" s="42" t="s">
        <v>3853</v>
      </c>
      <c r="S200" s="43">
        <v>0.0</v>
      </c>
      <c r="T200" s="43">
        <v>100.0</v>
      </c>
      <c r="U200" s="43">
        <v>0.0</v>
      </c>
      <c r="V200" s="43">
        <v>0.0</v>
      </c>
      <c r="W200" s="33">
        <f>COUNTIFS('Data For Calculation - Insuranc'!A:A,A200,'Data For Calculation - Insuranc'!D:D,"Company",'Data For Calculation - Insuranc'!E:E,"Bundled - 1 Year OD + 5 Year TP")</f>
        <v>0</v>
      </c>
      <c r="X200" s="34" t="s">
        <v>3929</v>
      </c>
      <c r="Y200" s="42" t="s">
        <v>3817</v>
      </c>
      <c r="Z200" s="31">
        <v>245.0</v>
      </c>
      <c r="AA200" s="34" t="s">
        <v>3853</v>
      </c>
      <c r="AB200" s="34">
        <v>0.0</v>
      </c>
      <c r="AC200" s="34">
        <v>100.0</v>
      </c>
      <c r="AD200" s="34">
        <v>0.0</v>
      </c>
      <c r="AE200" s="34">
        <v>0.0</v>
      </c>
      <c r="AF200" s="33">
        <f>COUNTIFS('Data For Calculation - Insuranc'!A:A,A200,'Data For Calculation - Insuranc'!D:D,"Individual",'Data For Calculation - Insuranc'!E:E,"Rollover Comprehensive - 1 Year OD + 1 Year TP")</f>
        <v>0</v>
      </c>
      <c r="AG200" s="34" t="s">
        <v>3930</v>
      </c>
      <c r="AH200" s="42" t="s">
        <v>3817</v>
      </c>
      <c r="AI200" s="31">
        <v>245.0</v>
      </c>
      <c r="AJ200" s="34" t="s">
        <v>3853</v>
      </c>
      <c r="AK200" s="34">
        <v>0.0</v>
      </c>
      <c r="AL200" s="34">
        <v>100.0</v>
      </c>
      <c r="AM200" s="34">
        <v>0.0</v>
      </c>
      <c r="AN200" s="34">
        <v>0.0</v>
      </c>
      <c r="AO200" s="33">
        <f>COUNTIFS('Data For Calculation - Insuranc'!A:A,A200,'Data For Calculation - Insuranc'!D:D,"Company",'Data For Calculation - Insuranc'!E:E,"Rollover Comprehensive - 1 Year OD + 1 Year TP")</f>
        <v>0</v>
      </c>
      <c r="AP200" s="34" t="s">
        <v>3931</v>
      </c>
      <c r="AQ200" s="42" t="s">
        <v>3817</v>
      </c>
      <c r="AR200" s="31">
        <v>245.0</v>
      </c>
      <c r="AS200" s="34" t="s">
        <v>3853</v>
      </c>
      <c r="AT200" s="34">
        <v>0.0</v>
      </c>
      <c r="AU200" s="34">
        <v>100.0</v>
      </c>
      <c r="AV200" s="34">
        <v>0.0</v>
      </c>
      <c r="AW200" s="34">
        <v>0.0</v>
      </c>
      <c r="AX200" s="33">
        <f>COUNTIFS('Data For Calculation - Insuranc'!A:A,A200,'Data For Calculation - Insuranc'!D:D,"Individual",'Data For Calculation - Insuranc'!E:E,"Rollover - 1 Year OD Only")</f>
        <v>0</v>
      </c>
      <c r="AY200" s="34" t="s">
        <v>3932</v>
      </c>
      <c r="AZ200" s="42" t="s">
        <v>3817</v>
      </c>
      <c r="BA200" s="31">
        <v>245.0</v>
      </c>
      <c r="BB200" s="34" t="s">
        <v>3853</v>
      </c>
      <c r="BC200" s="34">
        <v>0.0</v>
      </c>
      <c r="BD200" s="34">
        <v>100.0</v>
      </c>
      <c r="BE200" s="34">
        <v>0.0</v>
      </c>
      <c r="BF200" s="34">
        <v>0.0</v>
      </c>
      <c r="BG200" s="33">
        <f>COUNTIFS('Data For Calculation - Insuranc'!A:A,A200,'Data For Calculation - Insuranc'!D:D,"Company",'Data For Calculation - Insuranc'!E:E,"Rollover - 1 Year OD Only")</f>
        <v>0</v>
      </c>
      <c r="BH200" s="34" t="s">
        <v>3931</v>
      </c>
      <c r="BI200" s="42" t="s">
        <v>3817</v>
      </c>
      <c r="BJ200" s="31">
        <v>245.0</v>
      </c>
      <c r="BK200" s="34" t="s">
        <v>3853</v>
      </c>
      <c r="BL200" s="34">
        <v>0.0</v>
      </c>
      <c r="BM200" s="34">
        <v>100.0</v>
      </c>
      <c r="BN200" s="34">
        <v>0.0</v>
      </c>
      <c r="BO200" s="34">
        <v>0.0</v>
      </c>
      <c r="BP200" s="33">
        <f>COUNTIFS('Data For Calculation - Insuranc'!A:A,A200,'Data For Calculation - Insuranc'!D:D,"Individual",'Data For Calculation - Insuranc'!E:E,"Rollover - 1 Year TP Only")</f>
        <v>0</v>
      </c>
      <c r="BQ200" s="34" t="s">
        <v>3932</v>
      </c>
      <c r="BR200" s="42" t="s">
        <v>3817</v>
      </c>
      <c r="BS200" s="31">
        <v>245.0</v>
      </c>
      <c r="BT200" s="34" t="s">
        <v>3853</v>
      </c>
      <c r="BU200" s="34">
        <v>0.0</v>
      </c>
      <c r="BV200" s="34">
        <v>100.0</v>
      </c>
      <c r="BW200" s="34">
        <v>0.0</v>
      </c>
      <c r="BX200" s="34">
        <v>0.0</v>
      </c>
      <c r="BY200" s="33">
        <f>COUNTIFS('Data For Calculation - Insuranc'!A:A,A200,'Data For Calculation - Insuranc'!D:D,"Company",'Data For Calculation - Insuranc'!E:E,"Rollover - 1 Year TP Only")</f>
        <v>0</v>
      </c>
      <c r="BZ200" s="31">
        <f t="shared" si="1"/>
        <v>0</v>
      </c>
      <c r="CA200" s="33">
        <f>SUMIFS('Data For Calculation - Insuranc'!I:I,'Data For Calculation - Insuranc'!$A:$A,$A200)</f>
        <v>0</v>
      </c>
      <c r="CB200" s="33">
        <f>SUMIFS('Data For Calculation - Insuranc'!J:J,'Data For Calculation - Insuranc'!$A:$A,$A200)</f>
        <v>0</v>
      </c>
      <c r="CC200" s="33">
        <f>SUMIFS('Data For Calculation - Insuranc'!K:K,'Data For Calculation - Insuranc'!$A:$A,$A200)</f>
        <v>0</v>
      </c>
      <c r="CD200" s="33">
        <f>IF($CK200 = "Dealer", SUMIFS('Data For Calculation - Insuranc'!I:I,'Data For Calculation - Insuranc'!$B:$B,$A200,'Data For Calculation - Insuranc'!$H:$H,"Master Dealer")) + SUMIFS('Data For Calculation - Insuranc'!I:I,'Data For Calculation - Insuranc'!$A:$A,$A200,'Data For Calculation - Insuranc'!$H:$H,"Self")</f>
        <v>0</v>
      </c>
      <c r="CE200" s="33">
        <f>IF($CK200 = "Dealer", SUMIFS('Data For Calculation - Insuranc'!J:J,'Data For Calculation - Insuranc'!$B:$B,$A200,'Data For Calculation - Insuranc'!$H:$H,"Master Dealer")) + SUMIFS('Data For Calculation - Insuranc'!J:J,'Data For Calculation - Insuranc'!$A:$A,$A200,'Data For Calculation - Insuranc'!$H:$H,"Self")</f>
        <v>0</v>
      </c>
      <c r="CF200" s="33">
        <f>IF($CK200 = "Dealer", SUMIFS('Data For Calculation - Insuranc'!K:K,'Data For Calculation - Insuranc'!$B:$B,$A200,'Data For Calculation - Insuranc'!$H:$H,"Master Dealer")) + SUMIFS('Data For Calculation - Insuranc'!K:K,'Data For Calculation - Insuranc'!$A:$A,$A200,'Data For Calculation - Insuranc'!$H:$H,"Self")</f>
        <v>0</v>
      </c>
      <c r="CG200" s="25" t="str">
        <f>(Sheet1!N200)</f>
        <v>MAHESH MOTORS - DINAJPUR</v>
      </c>
      <c r="CH200" s="25" t="str">
        <f>(Sheet1!O200)</f>
        <v>1DVpSm5a7kKqZxFgDUdJBRIcgAuTZosRKDnkmPEIdEG4</v>
      </c>
      <c r="CI200" s="25" t="str">
        <f>(Sheet1!AV200)</f>
        <v/>
      </c>
      <c r="CJ200" s="25" t="str">
        <f>(Sheet1!AW200)</f>
        <v/>
      </c>
      <c r="CK200" s="26" t="str">
        <f>(Sheet1!P200)</f>
        <v>Sub Dealer</v>
      </c>
    </row>
    <row r="201">
      <c r="A201" s="25" t="str">
        <f>(Sheet1!A201)</f>
        <v>1rhJaBBEzbkggfETTk-DY2S-cRSFPRY-RoZp0bXmjg2U</v>
      </c>
      <c r="B201" s="25" t="str">
        <f>(Sheet1!B201)</f>
        <v>Mahesh Motor 2 - Dinajpur</v>
      </c>
      <c r="C201" s="30" t="str">
        <f>Sheet1!BB201</f>
        <v>No</v>
      </c>
      <c r="D201" s="30" t="s">
        <v>13</v>
      </c>
      <c r="E201" s="34" t="s">
        <v>13</v>
      </c>
      <c r="F201" s="34" t="s">
        <v>3929</v>
      </c>
      <c r="G201" s="42" t="s">
        <v>3817</v>
      </c>
      <c r="H201" s="43">
        <v>460.0</v>
      </c>
      <c r="I201" s="42" t="s">
        <v>3853</v>
      </c>
      <c r="J201" s="43">
        <v>0.0</v>
      </c>
      <c r="K201" s="43">
        <v>100.0</v>
      </c>
      <c r="L201" s="43">
        <v>0.0</v>
      </c>
      <c r="M201" s="43">
        <v>0.0</v>
      </c>
      <c r="N201" s="33">
        <f>COUNTIFS('Data For Calculation - Insuranc'!A:A,A201,'Data For Calculation - Insuranc'!D:D,"Individual",'Data For Calculation - Insuranc'!E:E,"Bundled - 1 Year OD + 5 Year TP")</f>
        <v>0</v>
      </c>
      <c r="O201" s="34" t="s">
        <v>3930</v>
      </c>
      <c r="P201" s="42" t="s">
        <v>3817</v>
      </c>
      <c r="Q201" s="43">
        <v>460.0</v>
      </c>
      <c r="R201" s="42" t="s">
        <v>3853</v>
      </c>
      <c r="S201" s="43">
        <v>0.0</v>
      </c>
      <c r="T201" s="43">
        <v>100.0</v>
      </c>
      <c r="U201" s="43">
        <v>0.0</v>
      </c>
      <c r="V201" s="43">
        <v>0.0</v>
      </c>
      <c r="W201" s="33">
        <f>COUNTIFS('Data For Calculation - Insuranc'!A:A,A201,'Data For Calculation - Insuranc'!D:D,"Company",'Data For Calculation - Insuranc'!E:E,"Bundled - 1 Year OD + 5 Year TP")</f>
        <v>0</v>
      </c>
      <c r="X201" s="34" t="s">
        <v>3929</v>
      </c>
      <c r="Y201" s="42" t="s">
        <v>3817</v>
      </c>
      <c r="Z201" s="31">
        <v>245.0</v>
      </c>
      <c r="AA201" s="34" t="s">
        <v>3853</v>
      </c>
      <c r="AB201" s="34">
        <v>0.0</v>
      </c>
      <c r="AC201" s="34">
        <v>100.0</v>
      </c>
      <c r="AD201" s="34">
        <v>0.0</v>
      </c>
      <c r="AE201" s="34">
        <v>0.0</v>
      </c>
      <c r="AF201" s="33">
        <f>COUNTIFS('Data For Calculation - Insuranc'!A:A,A201,'Data For Calculation - Insuranc'!D:D,"Individual",'Data For Calculation - Insuranc'!E:E,"Rollover Comprehensive - 1 Year OD + 1 Year TP")</f>
        <v>0</v>
      </c>
      <c r="AG201" s="34" t="s">
        <v>3930</v>
      </c>
      <c r="AH201" s="42" t="s">
        <v>3817</v>
      </c>
      <c r="AI201" s="31">
        <v>245.0</v>
      </c>
      <c r="AJ201" s="34" t="s">
        <v>3853</v>
      </c>
      <c r="AK201" s="34">
        <v>0.0</v>
      </c>
      <c r="AL201" s="34">
        <v>100.0</v>
      </c>
      <c r="AM201" s="34">
        <v>0.0</v>
      </c>
      <c r="AN201" s="34">
        <v>0.0</v>
      </c>
      <c r="AO201" s="33">
        <f>COUNTIFS('Data For Calculation - Insuranc'!A:A,A201,'Data For Calculation - Insuranc'!D:D,"Company",'Data For Calculation - Insuranc'!E:E,"Rollover Comprehensive - 1 Year OD + 1 Year TP")</f>
        <v>0</v>
      </c>
      <c r="AP201" s="34" t="s">
        <v>3931</v>
      </c>
      <c r="AQ201" s="42" t="s">
        <v>3817</v>
      </c>
      <c r="AR201" s="31">
        <v>245.0</v>
      </c>
      <c r="AS201" s="34" t="s">
        <v>3853</v>
      </c>
      <c r="AT201" s="34">
        <v>0.0</v>
      </c>
      <c r="AU201" s="34">
        <v>100.0</v>
      </c>
      <c r="AV201" s="34">
        <v>0.0</v>
      </c>
      <c r="AW201" s="34">
        <v>0.0</v>
      </c>
      <c r="AX201" s="33">
        <f>COUNTIFS('Data For Calculation - Insuranc'!A:A,A201,'Data For Calculation - Insuranc'!D:D,"Individual",'Data For Calculation - Insuranc'!E:E,"Rollover - 1 Year OD Only")</f>
        <v>0</v>
      </c>
      <c r="AY201" s="34" t="s">
        <v>3932</v>
      </c>
      <c r="AZ201" s="42" t="s">
        <v>3817</v>
      </c>
      <c r="BA201" s="31">
        <v>245.0</v>
      </c>
      <c r="BB201" s="34" t="s">
        <v>3853</v>
      </c>
      <c r="BC201" s="34">
        <v>0.0</v>
      </c>
      <c r="BD201" s="34">
        <v>100.0</v>
      </c>
      <c r="BE201" s="34">
        <v>0.0</v>
      </c>
      <c r="BF201" s="34">
        <v>0.0</v>
      </c>
      <c r="BG201" s="33">
        <f>COUNTIFS('Data For Calculation - Insuranc'!A:A,A201,'Data For Calculation - Insuranc'!D:D,"Company",'Data For Calculation - Insuranc'!E:E,"Rollover - 1 Year OD Only")</f>
        <v>0</v>
      </c>
      <c r="BH201" s="34" t="s">
        <v>3931</v>
      </c>
      <c r="BI201" s="42" t="s">
        <v>3817</v>
      </c>
      <c r="BJ201" s="31">
        <v>245.0</v>
      </c>
      <c r="BK201" s="34" t="s">
        <v>3853</v>
      </c>
      <c r="BL201" s="34">
        <v>0.0</v>
      </c>
      <c r="BM201" s="34">
        <v>100.0</v>
      </c>
      <c r="BN201" s="34">
        <v>0.0</v>
      </c>
      <c r="BO201" s="34">
        <v>0.0</v>
      </c>
      <c r="BP201" s="33">
        <f>COUNTIFS('Data For Calculation - Insuranc'!A:A,A201,'Data For Calculation - Insuranc'!D:D,"Individual",'Data For Calculation - Insuranc'!E:E,"Rollover - 1 Year TP Only")</f>
        <v>0</v>
      </c>
      <c r="BQ201" s="34" t="s">
        <v>3932</v>
      </c>
      <c r="BR201" s="42" t="s">
        <v>3817</v>
      </c>
      <c r="BS201" s="31">
        <v>245.0</v>
      </c>
      <c r="BT201" s="34" t="s">
        <v>3853</v>
      </c>
      <c r="BU201" s="34">
        <v>0.0</v>
      </c>
      <c r="BV201" s="34">
        <v>100.0</v>
      </c>
      <c r="BW201" s="34">
        <v>0.0</v>
      </c>
      <c r="BX201" s="34">
        <v>0.0</v>
      </c>
      <c r="BY201" s="33">
        <f>COUNTIFS('Data For Calculation - Insuranc'!A:A,A201,'Data For Calculation - Insuranc'!D:D,"Company",'Data For Calculation - Insuranc'!E:E,"Rollover - 1 Year TP Only")</f>
        <v>0</v>
      </c>
      <c r="BZ201" s="31">
        <f t="shared" si="1"/>
        <v>0</v>
      </c>
      <c r="CA201" s="33">
        <f>SUMIFS('Data For Calculation - Insuranc'!I:I,'Data For Calculation - Insuranc'!$A:$A,$A201)</f>
        <v>0</v>
      </c>
      <c r="CB201" s="33">
        <f>SUMIFS('Data For Calculation - Insuranc'!J:J,'Data For Calculation - Insuranc'!$A:$A,$A201)</f>
        <v>0</v>
      </c>
      <c r="CC201" s="33">
        <f>SUMIFS('Data For Calculation - Insuranc'!K:K,'Data For Calculation - Insuranc'!$A:$A,$A201)</f>
        <v>0</v>
      </c>
      <c r="CD201" s="33">
        <f>IF($CK201 = "Dealer", SUMIFS('Data For Calculation - Insuranc'!I:I,'Data For Calculation - Insuranc'!$B:$B,$A201,'Data For Calculation - Insuranc'!$H:$H,"Master Dealer")) + SUMIFS('Data For Calculation - Insuranc'!I:I,'Data For Calculation - Insuranc'!$A:$A,$A201,'Data For Calculation - Insuranc'!$H:$H,"Self")</f>
        <v>0</v>
      </c>
      <c r="CE201" s="33">
        <f>IF($CK201 = "Dealer", SUMIFS('Data For Calculation - Insuranc'!J:J,'Data For Calculation - Insuranc'!$B:$B,$A201,'Data For Calculation - Insuranc'!$H:$H,"Master Dealer")) + SUMIFS('Data For Calculation - Insuranc'!J:J,'Data For Calculation - Insuranc'!$A:$A,$A201,'Data For Calculation - Insuranc'!$H:$H,"Self")</f>
        <v>0</v>
      </c>
      <c r="CF201" s="33">
        <f>IF($CK201 = "Dealer", SUMIFS('Data For Calculation - Insuranc'!K:K,'Data For Calculation - Insuranc'!$B:$B,$A201,'Data For Calculation - Insuranc'!$H:$H,"Master Dealer")) + SUMIFS('Data For Calculation - Insuranc'!K:K,'Data For Calculation - Insuranc'!$A:$A,$A201,'Data For Calculation - Insuranc'!$H:$H,"Self")</f>
        <v>0</v>
      </c>
      <c r="CG201" s="25" t="str">
        <f>(Sheet1!N201)</f>
        <v>MAHESH MOTORS - DINAJPUR</v>
      </c>
      <c r="CH201" s="25" t="str">
        <f>(Sheet1!O201)</f>
        <v>1DVpSm5a7kKqZxFgDUdJBRIcgAuTZosRKDnkmPEIdEG4</v>
      </c>
      <c r="CI201" s="25" t="str">
        <f>(Sheet1!AV201)</f>
        <v/>
      </c>
      <c r="CJ201" s="25" t="str">
        <f>(Sheet1!AW201)</f>
        <v/>
      </c>
      <c r="CK201" s="26" t="str">
        <f>(Sheet1!P201)</f>
        <v>Sub Dealer</v>
      </c>
    </row>
    <row r="202">
      <c r="A202" s="25" t="str">
        <f>(Sheet1!A202)</f>
        <v>1HiDqUYA_MPU2cm2LpWmxJaCWOO7QBi_JoETCkTl7vPU</v>
      </c>
      <c r="B202" s="25" t="str">
        <f>(Sheet1!B202)</f>
        <v>Mahesh Motor 3 - Dinajpur</v>
      </c>
      <c r="C202" s="30" t="str">
        <f>Sheet1!BB202</f>
        <v>No</v>
      </c>
      <c r="D202" s="30" t="s">
        <v>13</v>
      </c>
      <c r="E202" s="34" t="s">
        <v>13</v>
      </c>
      <c r="F202" s="34" t="s">
        <v>3929</v>
      </c>
      <c r="G202" s="42" t="s">
        <v>3817</v>
      </c>
      <c r="H202" s="43">
        <v>460.0</v>
      </c>
      <c r="I202" s="42" t="s">
        <v>3853</v>
      </c>
      <c r="J202" s="43">
        <v>0.0</v>
      </c>
      <c r="K202" s="43">
        <v>100.0</v>
      </c>
      <c r="L202" s="43">
        <v>0.0</v>
      </c>
      <c r="M202" s="43">
        <v>0.0</v>
      </c>
      <c r="N202" s="33">
        <f>COUNTIFS('Data For Calculation - Insuranc'!A:A,A202,'Data For Calculation - Insuranc'!D:D,"Individual",'Data For Calculation - Insuranc'!E:E,"Bundled - 1 Year OD + 5 Year TP")</f>
        <v>0</v>
      </c>
      <c r="O202" s="34" t="s">
        <v>3930</v>
      </c>
      <c r="P202" s="42" t="s">
        <v>3817</v>
      </c>
      <c r="Q202" s="43">
        <v>460.0</v>
      </c>
      <c r="R202" s="42" t="s">
        <v>3853</v>
      </c>
      <c r="S202" s="43">
        <v>0.0</v>
      </c>
      <c r="T202" s="43">
        <v>100.0</v>
      </c>
      <c r="U202" s="43">
        <v>0.0</v>
      </c>
      <c r="V202" s="43">
        <v>0.0</v>
      </c>
      <c r="W202" s="33">
        <f>COUNTIFS('Data For Calculation - Insuranc'!A:A,A202,'Data For Calculation - Insuranc'!D:D,"Company",'Data For Calculation - Insuranc'!E:E,"Bundled - 1 Year OD + 5 Year TP")</f>
        <v>0</v>
      </c>
      <c r="X202" s="34" t="s">
        <v>3929</v>
      </c>
      <c r="Y202" s="42" t="s">
        <v>3817</v>
      </c>
      <c r="Z202" s="31">
        <v>245.0</v>
      </c>
      <c r="AA202" s="34" t="s">
        <v>3853</v>
      </c>
      <c r="AB202" s="34">
        <v>0.0</v>
      </c>
      <c r="AC202" s="34">
        <v>100.0</v>
      </c>
      <c r="AD202" s="34">
        <v>0.0</v>
      </c>
      <c r="AE202" s="34">
        <v>0.0</v>
      </c>
      <c r="AF202" s="33">
        <f>COUNTIFS('Data For Calculation - Insuranc'!A:A,A202,'Data For Calculation - Insuranc'!D:D,"Individual",'Data For Calculation - Insuranc'!E:E,"Rollover Comprehensive - 1 Year OD + 1 Year TP")</f>
        <v>0</v>
      </c>
      <c r="AG202" s="34" t="s">
        <v>3930</v>
      </c>
      <c r="AH202" s="42" t="s">
        <v>3817</v>
      </c>
      <c r="AI202" s="31">
        <v>245.0</v>
      </c>
      <c r="AJ202" s="34" t="s">
        <v>3853</v>
      </c>
      <c r="AK202" s="34">
        <v>0.0</v>
      </c>
      <c r="AL202" s="34">
        <v>100.0</v>
      </c>
      <c r="AM202" s="34">
        <v>0.0</v>
      </c>
      <c r="AN202" s="34">
        <v>0.0</v>
      </c>
      <c r="AO202" s="33">
        <f>COUNTIFS('Data For Calculation - Insuranc'!A:A,A202,'Data For Calculation - Insuranc'!D:D,"Company",'Data For Calculation - Insuranc'!E:E,"Rollover Comprehensive - 1 Year OD + 1 Year TP")</f>
        <v>0</v>
      </c>
      <c r="AP202" s="34" t="s">
        <v>3931</v>
      </c>
      <c r="AQ202" s="42" t="s">
        <v>3817</v>
      </c>
      <c r="AR202" s="31">
        <v>245.0</v>
      </c>
      <c r="AS202" s="34" t="s">
        <v>3853</v>
      </c>
      <c r="AT202" s="34">
        <v>0.0</v>
      </c>
      <c r="AU202" s="34">
        <v>100.0</v>
      </c>
      <c r="AV202" s="34">
        <v>0.0</v>
      </c>
      <c r="AW202" s="34">
        <v>0.0</v>
      </c>
      <c r="AX202" s="33">
        <f>COUNTIFS('Data For Calculation - Insuranc'!A:A,A202,'Data For Calculation - Insuranc'!D:D,"Individual",'Data For Calculation - Insuranc'!E:E,"Rollover - 1 Year OD Only")</f>
        <v>0</v>
      </c>
      <c r="AY202" s="34" t="s">
        <v>3932</v>
      </c>
      <c r="AZ202" s="42" t="s">
        <v>3817</v>
      </c>
      <c r="BA202" s="31">
        <v>245.0</v>
      </c>
      <c r="BB202" s="34" t="s">
        <v>3853</v>
      </c>
      <c r="BC202" s="34">
        <v>0.0</v>
      </c>
      <c r="BD202" s="34">
        <v>100.0</v>
      </c>
      <c r="BE202" s="34">
        <v>0.0</v>
      </c>
      <c r="BF202" s="34">
        <v>0.0</v>
      </c>
      <c r="BG202" s="33">
        <f>COUNTIFS('Data For Calculation - Insuranc'!A:A,A202,'Data For Calculation - Insuranc'!D:D,"Company",'Data For Calculation - Insuranc'!E:E,"Rollover - 1 Year OD Only")</f>
        <v>0</v>
      </c>
      <c r="BH202" s="34" t="s">
        <v>3931</v>
      </c>
      <c r="BI202" s="42" t="s">
        <v>3817</v>
      </c>
      <c r="BJ202" s="31">
        <v>245.0</v>
      </c>
      <c r="BK202" s="34" t="s">
        <v>3853</v>
      </c>
      <c r="BL202" s="34">
        <v>0.0</v>
      </c>
      <c r="BM202" s="34">
        <v>100.0</v>
      </c>
      <c r="BN202" s="34">
        <v>0.0</v>
      </c>
      <c r="BO202" s="34">
        <v>0.0</v>
      </c>
      <c r="BP202" s="33">
        <f>COUNTIFS('Data For Calculation - Insuranc'!A:A,A202,'Data For Calculation - Insuranc'!D:D,"Individual",'Data For Calculation - Insuranc'!E:E,"Rollover - 1 Year TP Only")</f>
        <v>0</v>
      </c>
      <c r="BQ202" s="34" t="s">
        <v>3932</v>
      </c>
      <c r="BR202" s="42" t="s">
        <v>3817</v>
      </c>
      <c r="BS202" s="31">
        <v>245.0</v>
      </c>
      <c r="BT202" s="34" t="s">
        <v>3853</v>
      </c>
      <c r="BU202" s="34">
        <v>0.0</v>
      </c>
      <c r="BV202" s="34">
        <v>100.0</v>
      </c>
      <c r="BW202" s="34">
        <v>0.0</v>
      </c>
      <c r="BX202" s="34">
        <v>0.0</v>
      </c>
      <c r="BY202" s="33">
        <f>COUNTIFS('Data For Calculation - Insuranc'!A:A,A202,'Data For Calculation - Insuranc'!D:D,"Company",'Data For Calculation - Insuranc'!E:E,"Rollover - 1 Year TP Only")</f>
        <v>0</v>
      </c>
      <c r="BZ202" s="31">
        <f t="shared" si="1"/>
        <v>0</v>
      </c>
      <c r="CA202" s="33">
        <f>SUMIFS('Data For Calculation - Insuranc'!I:I,'Data For Calculation - Insuranc'!$A:$A,$A202)</f>
        <v>0</v>
      </c>
      <c r="CB202" s="33">
        <f>SUMIFS('Data For Calculation - Insuranc'!J:J,'Data For Calculation - Insuranc'!$A:$A,$A202)</f>
        <v>0</v>
      </c>
      <c r="CC202" s="33">
        <f>SUMIFS('Data For Calculation - Insuranc'!K:K,'Data For Calculation - Insuranc'!$A:$A,$A202)</f>
        <v>0</v>
      </c>
      <c r="CD202" s="33">
        <f>IF($CK202 = "Dealer", SUMIFS('Data For Calculation - Insuranc'!I:I,'Data For Calculation - Insuranc'!$B:$B,$A202,'Data For Calculation - Insuranc'!$H:$H,"Master Dealer")) + SUMIFS('Data For Calculation - Insuranc'!I:I,'Data For Calculation - Insuranc'!$A:$A,$A202,'Data For Calculation - Insuranc'!$H:$H,"Self")</f>
        <v>0</v>
      </c>
      <c r="CE202" s="33">
        <f>IF($CK202 = "Dealer", SUMIFS('Data For Calculation - Insuranc'!J:J,'Data For Calculation - Insuranc'!$B:$B,$A202,'Data For Calculation - Insuranc'!$H:$H,"Master Dealer")) + SUMIFS('Data For Calculation - Insuranc'!J:J,'Data For Calculation - Insuranc'!$A:$A,$A202,'Data For Calculation - Insuranc'!$H:$H,"Self")</f>
        <v>0</v>
      </c>
      <c r="CF202" s="33">
        <f>IF($CK202 = "Dealer", SUMIFS('Data For Calculation - Insuranc'!K:K,'Data For Calculation - Insuranc'!$B:$B,$A202,'Data For Calculation - Insuranc'!$H:$H,"Master Dealer")) + SUMIFS('Data For Calculation - Insuranc'!K:K,'Data For Calculation - Insuranc'!$A:$A,$A202,'Data For Calculation - Insuranc'!$H:$H,"Self")</f>
        <v>0</v>
      </c>
      <c r="CG202" s="25" t="str">
        <f>(Sheet1!N202)</f>
        <v>MAHESH MOTORS - DINAJPUR</v>
      </c>
      <c r="CH202" s="25" t="str">
        <f>(Sheet1!O202)</f>
        <v>1DVpSm5a7kKqZxFgDUdJBRIcgAuTZosRKDnkmPEIdEG4</v>
      </c>
      <c r="CI202" s="25" t="str">
        <f>(Sheet1!AV202)</f>
        <v/>
      </c>
      <c r="CJ202" s="25" t="str">
        <f>(Sheet1!AW202)</f>
        <v/>
      </c>
      <c r="CK202" s="26" t="str">
        <f>(Sheet1!P202)</f>
        <v>Sub Dealer</v>
      </c>
    </row>
    <row r="203">
      <c r="A203" s="25" t="str">
        <f>(Sheet1!A203)</f>
        <v>1u5nlK89DUKbohumNTMcU9oOnhT7__c91_mu2iHHIxhk</v>
      </c>
      <c r="B203" s="25" t="str">
        <f>(Sheet1!B203)</f>
        <v>Tiwari Automobiles(AM) - Chhibramau</v>
      </c>
      <c r="C203" s="30" t="str">
        <f>Sheet1!BB203</f>
        <v>No</v>
      </c>
      <c r="D203" s="30" t="s">
        <v>13</v>
      </c>
      <c r="E203" s="34" t="s">
        <v>13</v>
      </c>
      <c r="F203" s="34" t="s">
        <v>3929</v>
      </c>
      <c r="G203" s="25" t="s">
        <v>3820</v>
      </c>
      <c r="H203" s="33">
        <v>460.0</v>
      </c>
      <c r="I203" s="42" t="s">
        <v>3853</v>
      </c>
      <c r="J203" s="43">
        <v>0.0</v>
      </c>
      <c r="K203" s="43">
        <v>100.0</v>
      </c>
      <c r="L203" s="43">
        <v>0.0</v>
      </c>
      <c r="M203" s="43">
        <v>0.0</v>
      </c>
      <c r="N203" s="33">
        <f>COUNTIFS('Data For Calculation - Insuranc'!A:A,A203,'Data For Calculation - Insuranc'!D:D,"Individual",'Data For Calculation - Insuranc'!E:E,"Bundled - 1 Year OD + 5 Year TP")</f>
        <v>0</v>
      </c>
      <c r="O203" s="34" t="s">
        <v>3930</v>
      </c>
      <c r="P203" s="25" t="s">
        <v>3820</v>
      </c>
      <c r="Q203" s="33">
        <v>460.0</v>
      </c>
      <c r="R203" s="42" t="s">
        <v>3853</v>
      </c>
      <c r="S203" s="43">
        <v>0.0</v>
      </c>
      <c r="T203" s="43">
        <v>100.0</v>
      </c>
      <c r="U203" s="43">
        <v>0.0</v>
      </c>
      <c r="V203" s="43">
        <v>0.0</v>
      </c>
      <c r="W203" s="33">
        <f>COUNTIFS('Data For Calculation - Insuranc'!A:A,A203,'Data For Calculation - Insuranc'!D:D,"Company",'Data For Calculation - Insuranc'!E:E,"Bundled - 1 Year OD + 5 Year TP")</f>
        <v>0</v>
      </c>
      <c r="X203" s="34" t="s">
        <v>3929</v>
      </c>
      <c r="Y203" s="25" t="s">
        <v>3820</v>
      </c>
      <c r="Z203" s="33">
        <v>205.0</v>
      </c>
      <c r="AA203" s="34" t="s">
        <v>3853</v>
      </c>
      <c r="AB203" s="34">
        <v>0.0</v>
      </c>
      <c r="AC203" s="34">
        <v>100.0</v>
      </c>
      <c r="AD203" s="34">
        <v>0.0</v>
      </c>
      <c r="AE203" s="34">
        <v>0.0</v>
      </c>
      <c r="AF203" s="33">
        <f>COUNTIFS('Data For Calculation - Insuranc'!A:A,A203,'Data For Calculation - Insuranc'!D:D,"Individual",'Data For Calculation - Insuranc'!E:E,"Rollover Comprehensive - 1 Year OD + 1 Year TP")</f>
        <v>0</v>
      </c>
      <c r="AG203" s="34" t="s">
        <v>3930</v>
      </c>
      <c r="AH203" s="25" t="s">
        <v>3820</v>
      </c>
      <c r="AI203" s="33">
        <v>205.0</v>
      </c>
      <c r="AJ203" s="34" t="s">
        <v>3853</v>
      </c>
      <c r="AK203" s="34">
        <v>0.0</v>
      </c>
      <c r="AL203" s="34">
        <v>100.0</v>
      </c>
      <c r="AM203" s="34">
        <v>0.0</v>
      </c>
      <c r="AN203" s="34">
        <v>0.0</v>
      </c>
      <c r="AO203" s="33">
        <f>COUNTIFS('Data For Calculation - Insuranc'!A:A,A203,'Data For Calculation - Insuranc'!D:D,"Company",'Data For Calculation - Insuranc'!E:E,"Rollover Comprehensive - 1 Year OD + 1 Year TP")</f>
        <v>0</v>
      </c>
      <c r="AP203" s="34" t="s">
        <v>3931</v>
      </c>
      <c r="AQ203" s="25" t="s">
        <v>3820</v>
      </c>
      <c r="AR203" s="33">
        <v>205.0</v>
      </c>
      <c r="AS203" s="34" t="s">
        <v>3853</v>
      </c>
      <c r="AT203" s="34">
        <v>0.0</v>
      </c>
      <c r="AU203" s="34">
        <v>100.0</v>
      </c>
      <c r="AV203" s="34">
        <v>0.0</v>
      </c>
      <c r="AW203" s="34">
        <v>0.0</v>
      </c>
      <c r="AX203" s="33">
        <f>COUNTIFS('Data For Calculation - Insuranc'!A:A,A203,'Data For Calculation - Insuranc'!D:D,"Individual",'Data For Calculation - Insuranc'!E:E,"Rollover - 1 Year OD Only")</f>
        <v>0</v>
      </c>
      <c r="AY203" s="34" t="s">
        <v>3932</v>
      </c>
      <c r="AZ203" s="25" t="s">
        <v>3820</v>
      </c>
      <c r="BA203" s="33">
        <v>205.0</v>
      </c>
      <c r="BB203" s="34" t="s">
        <v>3853</v>
      </c>
      <c r="BC203" s="34">
        <v>0.0</v>
      </c>
      <c r="BD203" s="34">
        <v>100.0</v>
      </c>
      <c r="BE203" s="34">
        <v>0.0</v>
      </c>
      <c r="BF203" s="34">
        <v>0.0</v>
      </c>
      <c r="BG203" s="33">
        <f>COUNTIFS('Data For Calculation - Insuranc'!A:A,A203,'Data For Calculation - Insuranc'!D:D,"Company",'Data For Calculation - Insuranc'!E:E,"Rollover - 1 Year OD Only")</f>
        <v>0</v>
      </c>
      <c r="BH203" s="34" t="s">
        <v>3931</v>
      </c>
      <c r="BI203" s="25" t="s">
        <v>3820</v>
      </c>
      <c r="BJ203" s="33">
        <v>205.0</v>
      </c>
      <c r="BK203" s="34" t="s">
        <v>3853</v>
      </c>
      <c r="BL203" s="34">
        <v>0.0</v>
      </c>
      <c r="BM203" s="34">
        <v>100.0</v>
      </c>
      <c r="BN203" s="34">
        <v>0.0</v>
      </c>
      <c r="BO203" s="34">
        <v>0.0</v>
      </c>
      <c r="BP203" s="33">
        <f>COUNTIFS('Data For Calculation - Insuranc'!A:A,A203,'Data For Calculation - Insuranc'!D:D,"Individual",'Data For Calculation - Insuranc'!E:E,"Rollover - 1 Year TP Only")</f>
        <v>0</v>
      </c>
      <c r="BQ203" s="34" t="s">
        <v>3932</v>
      </c>
      <c r="BR203" s="25" t="s">
        <v>3820</v>
      </c>
      <c r="BS203" s="33">
        <v>205.0</v>
      </c>
      <c r="BT203" s="34" t="s">
        <v>3853</v>
      </c>
      <c r="BU203" s="34">
        <v>0.0</v>
      </c>
      <c r="BV203" s="34">
        <v>100.0</v>
      </c>
      <c r="BW203" s="34">
        <v>0.0</v>
      </c>
      <c r="BX203" s="34">
        <v>0.0</v>
      </c>
      <c r="BY203" s="33">
        <f>COUNTIFS('Data For Calculation - Insuranc'!A:A,A203,'Data For Calculation - Insuranc'!D:D,"Company",'Data For Calculation - Insuranc'!E:E,"Rollover - 1 Year TP Only")</f>
        <v>0</v>
      </c>
      <c r="BZ203" s="31">
        <f t="shared" si="1"/>
        <v>0</v>
      </c>
      <c r="CA203" s="33">
        <f>SUMIFS('Data For Calculation - Insuranc'!I:I,'Data For Calculation - Insuranc'!$A:$A,$A203)</f>
        <v>0</v>
      </c>
      <c r="CB203" s="33">
        <f>SUMIFS('Data For Calculation - Insuranc'!J:J,'Data For Calculation - Insuranc'!$A:$A,$A203)</f>
        <v>0</v>
      </c>
      <c r="CC203" s="33">
        <f>SUMIFS('Data For Calculation - Insuranc'!K:K,'Data For Calculation - Insuranc'!$A:$A,$A203)</f>
        <v>0</v>
      </c>
      <c r="CD203" s="33">
        <f>IF($CK203 = "Dealer", SUMIFS('Data For Calculation - Insuranc'!I:I,'Data For Calculation - Insuranc'!$B:$B,$A203,'Data For Calculation - Insuranc'!$H:$H,"Master Dealer")) + SUMIFS('Data For Calculation - Insuranc'!I:I,'Data For Calculation - Insuranc'!$A:$A,$A203,'Data For Calculation - Insuranc'!$H:$H,"Self")</f>
        <v>0</v>
      </c>
      <c r="CE203" s="33">
        <f>IF($CK203 = "Dealer", SUMIFS('Data For Calculation - Insuranc'!J:J,'Data For Calculation - Insuranc'!$B:$B,$A203,'Data For Calculation - Insuranc'!$H:$H,"Master Dealer")) + SUMIFS('Data For Calculation - Insuranc'!J:J,'Data For Calculation - Insuranc'!$A:$A,$A203,'Data For Calculation - Insuranc'!$H:$H,"Self")</f>
        <v>0</v>
      </c>
      <c r="CF203" s="33">
        <f>IF($CK203 = "Dealer", SUMIFS('Data For Calculation - Insuranc'!K:K,'Data For Calculation - Insuranc'!$B:$B,$A203,'Data For Calculation - Insuranc'!$H:$H,"Master Dealer")) + SUMIFS('Data For Calculation - Insuranc'!K:K,'Data For Calculation - Insuranc'!$A:$A,$A203,'Data For Calculation - Insuranc'!$H:$H,"Self")</f>
        <v>0</v>
      </c>
      <c r="CG203" s="25" t="str">
        <f>(Sheet1!N203)</f>
        <v>Asha Motor - Kannauj</v>
      </c>
      <c r="CH203" s="25" t="str">
        <f>(Sheet1!O203)</f>
        <v>1hlnCiW64Y7uZNVOj2ewyfTULbWj1dUaXX2rUREx8W8o</v>
      </c>
      <c r="CI203" s="25" t="str">
        <f>(Sheet1!AV203)</f>
        <v/>
      </c>
      <c r="CJ203" s="25" t="str">
        <f>(Sheet1!AW203)</f>
        <v/>
      </c>
      <c r="CK203" s="25" t="str">
        <f>(Sheet1!P203)</f>
        <v>Sub Dealer</v>
      </c>
    </row>
    <row r="204">
      <c r="A204" s="25" t="str">
        <f>(Sheet1!A204)</f>
        <v>1Enun10TuqDjmYI19mcuHneCrMiJ9pWK970R1I3IYu50</v>
      </c>
      <c r="B204" s="25" t="str">
        <f>(Sheet1!B204)</f>
        <v>Shanu Motors(AM) - Saurikh</v>
      </c>
      <c r="C204" s="30" t="str">
        <f>Sheet1!BB204</f>
        <v>No</v>
      </c>
      <c r="D204" s="30" t="s">
        <v>13</v>
      </c>
      <c r="E204" s="34" t="s">
        <v>13</v>
      </c>
      <c r="F204" s="34" t="s">
        <v>3929</v>
      </c>
      <c r="G204" s="25" t="s">
        <v>3820</v>
      </c>
      <c r="H204" s="33">
        <v>460.0</v>
      </c>
      <c r="I204" s="42" t="s">
        <v>3853</v>
      </c>
      <c r="J204" s="43">
        <v>0.0</v>
      </c>
      <c r="K204" s="43">
        <v>100.0</v>
      </c>
      <c r="L204" s="43">
        <v>0.0</v>
      </c>
      <c r="M204" s="43">
        <v>0.0</v>
      </c>
      <c r="N204" s="33">
        <f>COUNTIFS('Data For Calculation - Insuranc'!A:A,A204,'Data For Calculation - Insuranc'!D:D,"Individual",'Data For Calculation - Insuranc'!E:E,"Bundled - 1 Year OD + 5 Year TP")</f>
        <v>0</v>
      </c>
      <c r="O204" s="34" t="s">
        <v>3930</v>
      </c>
      <c r="P204" s="25" t="s">
        <v>3820</v>
      </c>
      <c r="Q204" s="33">
        <v>460.0</v>
      </c>
      <c r="R204" s="42" t="s">
        <v>3853</v>
      </c>
      <c r="S204" s="43">
        <v>0.0</v>
      </c>
      <c r="T204" s="43">
        <v>100.0</v>
      </c>
      <c r="U204" s="43">
        <v>0.0</v>
      </c>
      <c r="V204" s="43">
        <v>0.0</v>
      </c>
      <c r="W204" s="33">
        <f>COUNTIFS('Data For Calculation - Insuranc'!A:A,A204,'Data For Calculation - Insuranc'!D:D,"Company",'Data For Calculation - Insuranc'!E:E,"Bundled - 1 Year OD + 5 Year TP")</f>
        <v>0</v>
      </c>
      <c r="X204" s="34" t="s">
        <v>3929</v>
      </c>
      <c r="Y204" s="25" t="s">
        <v>3820</v>
      </c>
      <c r="Z204" s="33">
        <v>205.0</v>
      </c>
      <c r="AA204" s="34" t="s">
        <v>3853</v>
      </c>
      <c r="AB204" s="34">
        <v>0.0</v>
      </c>
      <c r="AC204" s="34">
        <v>100.0</v>
      </c>
      <c r="AD204" s="34">
        <v>0.0</v>
      </c>
      <c r="AE204" s="34">
        <v>0.0</v>
      </c>
      <c r="AF204" s="33">
        <f>COUNTIFS('Data For Calculation - Insuranc'!A:A,A204,'Data For Calculation - Insuranc'!D:D,"Individual",'Data For Calculation - Insuranc'!E:E,"Rollover Comprehensive - 1 Year OD + 1 Year TP")</f>
        <v>0</v>
      </c>
      <c r="AG204" s="34" t="s">
        <v>3930</v>
      </c>
      <c r="AH204" s="25" t="s">
        <v>3820</v>
      </c>
      <c r="AI204" s="33">
        <v>205.0</v>
      </c>
      <c r="AJ204" s="34" t="s">
        <v>3853</v>
      </c>
      <c r="AK204" s="34">
        <v>0.0</v>
      </c>
      <c r="AL204" s="34">
        <v>100.0</v>
      </c>
      <c r="AM204" s="34">
        <v>0.0</v>
      </c>
      <c r="AN204" s="34">
        <v>0.0</v>
      </c>
      <c r="AO204" s="33">
        <f>COUNTIFS('Data For Calculation - Insuranc'!A:A,A204,'Data For Calculation - Insuranc'!D:D,"Company",'Data For Calculation - Insuranc'!E:E,"Rollover Comprehensive - 1 Year OD + 1 Year TP")</f>
        <v>0</v>
      </c>
      <c r="AP204" s="34" t="s">
        <v>3931</v>
      </c>
      <c r="AQ204" s="25" t="s">
        <v>3820</v>
      </c>
      <c r="AR204" s="33">
        <v>205.0</v>
      </c>
      <c r="AS204" s="34" t="s">
        <v>3853</v>
      </c>
      <c r="AT204" s="34">
        <v>0.0</v>
      </c>
      <c r="AU204" s="34">
        <v>100.0</v>
      </c>
      <c r="AV204" s="34">
        <v>0.0</v>
      </c>
      <c r="AW204" s="34">
        <v>0.0</v>
      </c>
      <c r="AX204" s="33">
        <f>COUNTIFS('Data For Calculation - Insuranc'!A:A,A204,'Data For Calculation - Insuranc'!D:D,"Individual",'Data For Calculation - Insuranc'!E:E,"Rollover - 1 Year OD Only")</f>
        <v>0</v>
      </c>
      <c r="AY204" s="34" t="s">
        <v>3932</v>
      </c>
      <c r="AZ204" s="25" t="s">
        <v>3820</v>
      </c>
      <c r="BA204" s="33">
        <v>205.0</v>
      </c>
      <c r="BB204" s="34" t="s">
        <v>3853</v>
      </c>
      <c r="BC204" s="34">
        <v>0.0</v>
      </c>
      <c r="BD204" s="34">
        <v>100.0</v>
      </c>
      <c r="BE204" s="34">
        <v>0.0</v>
      </c>
      <c r="BF204" s="34">
        <v>0.0</v>
      </c>
      <c r="BG204" s="33">
        <f>COUNTIFS('Data For Calculation - Insuranc'!A:A,A204,'Data For Calculation - Insuranc'!D:D,"Company",'Data For Calculation - Insuranc'!E:E,"Rollover - 1 Year OD Only")</f>
        <v>0</v>
      </c>
      <c r="BH204" s="34" t="s">
        <v>3931</v>
      </c>
      <c r="BI204" s="25" t="s">
        <v>3820</v>
      </c>
      <c r="BJ204" s="33">
        <v>205.0</v>
      </c>
      <c r="BK204" s="34" t="s">
        <v>3853</v>
      </c>
      <c r="BL204" s="34">
        <v>0.0</v>
      </c>
      <c r="BM204" s="34">
        <v>100.0</v>
      </c>
      <c r="BN204" s="34">
        <v>0.0</v>
      </c>
      <c r="BO204" s="34">
        <v>0.0</v>
      </c>
      <c r="BP204" s="33">
        <f>COUNTIFS('Data For Calculation - Insuranc'!A:A,A204,'Data For Calculation - Insuranc'!D:D,"Individual",'Data For Calculation - Insuranc'!E:E,"Rollover - 1 Year TP Only")</f>
        <v>0</v>
      </c>
      <c r="BQ204" s="34" t="s">
        <v>3932</v>
      </c>
      <c r="BR204" s="25" t="s">
        <v>3820</v>
      </c>
      <c r="BS204" s="33">
        <v>205.0</v>
      </c>
      <c r="BT204" s="34" t="s">
        <v>3853</v>
      </c>
      <c r="BU204" s="34">
        <v>0.0</v>
      </c>
      <c r="BV204" s="34">
        <v>100.0</v>
      </c>
      <c r="BW204" s="34">
        <v>0.0</v>
      </c>
      <c r="BX204" s="34">
        <v>0.0</v>
      </c>
      <c r="BY204" s="33">
        <f>COUNTIFS('Data For Calculation - Insuranc'!A:A,A204,'Data For Calculation - Insuranc'!D:D,"Company",'Data For Calculation - Insuranc'!E:E,"Rollover - 1 Year TP Only")</f>
        <v>0</v>
      </c>
      <c r="BZ204" s="31">
        <f t="shared" si="1"/>
        <v>0</v>
      </c>
      <c r="CA204" s="33">
        <f>SUMIFS('Data For Calculation - Insuranc'!I:I,'Data For Calculation - Insuranc'!$A:$A,$A204)</f>
        <v>0</v>
      </c>
      <c r="CB204" s="33">
        <f>SUMIFS('Data For Calculation - Insuranc'!J:J,'Data For Calculation - Insuranc'!$A:$A,$A204)</f>
        <v>0</v>
      </c>
      <c r="CC204" s="33">
        <f>SUMIFS('Data For Calculation - Insuranc'!K:K,'Data For Calculation - Insuranc'!$A:$A,$A204)</f>
        <v>0</v>
      </c>
      <c r="CD204" s="33">
        <f>IF($CK204 = "Dealer", SUMIFS('Data For Calculation - Insuranc'!I:I,'Data For Calculation - Insuranc'!$B:$B,$A204,'Data For Calculation - Insuranc'!$H:$H,"Master Dealer")) + SUMIFS('Data For Calculation - Insuranc'!I:I,'Data For Calculation - Insuranc'!$A:$A,$A204,'Data For Calculation - Insuranc'!$H:$H,"Self")</f>
        <v>0</v>
      </c>
      <c r="CE204" s="33">
        <f>IF($CK204 = "Dealer", SUMIFS('Data For Calculation - Insuranc'!J:J,'Data For Calculation - Insuranc'!$B:$B,$A204,'Data For Calculation - Insuranc'!$H:$H,"Master Dealer")) + SUMIFS('Data For Calculation - Insuranc'!J:J,'Data For Calculation - Insuranc'!$A:$A,$A204,'Data For Calculation - Insuranc'!$H:$H,"Self")</f>
        <v>0</v>
      </c>
      <c r="CF204" s="33">
        <f>IF($CK204 = "Dealer", SUMIFS('Data For Calculation - Insuranc'!K:K,'Data For Calculation - Insuranc'!$B:$B,$A204,'Data For Calculation - Insuranc'!$H:$H,"Master Dealer")) + SUMIFS('Data For Calculation - Insuranc'!K:K,'Data For Calculation - Insuranc'!$A:$A,$A204,'Data For Calculation - Insuranc'!$H:$H,"Self")</f>
        <v>0</v>
      </c>
      <c r="CG204" s="25" t="str">
        <f>(Sheet1!N204)</f>
        <v>Asha Motor - Kannauj</v>
      </c>
      <c r="CH204" s="25" t="str">
        <f>(Sheet1!O204)</f>
        <v>1hlnCiW64Y7uZNVOj2ewyfTULbWj1dUaXX2rUREx8W8o</v>
      </c>
      <c r="CI204" s="25" t="str">
        <f>(Sheet1!AV204)</f>
        <v/>
      </c>
      <c r="CJ204" s="25" t="str">
        <f>(Sheet1!AW204)</f>
        <v/>
      </c>
      <c r="CK204" s="25" t="str">
        <f>(Sheet1!P204)</f>
        <v>Sub Dealer</v>
      </c>
    </row>
    <row r="205">
      <c r="A205" s="25" t="str">
        <f>(Sheet1!A205)</f>
        <v>1t2jvG-avz320SBpAYKAjPj-BB8Kp974TQ1yfGetbst8</v>
      </c>
      <c r="B205" s="25" t="str">
        <f>(Sheet1!B205)</f>
        <v>Tirwa Motors(AM) - Tirwa</v>
      </c>
      <c r="C205" s="30" t="str">
        <f>Sheet1!BB205</f>
        <v>No</v>
      </c>
      <c r="D205" s="30" t="s">
        <v>13</v>
      </c>
      <c r="E205" s="34" t="s">
        <v>13</v>
      </c>
      <c r="F205" s="34" t="s">
        <v>3929</v>
      </c>
      <c r="G205" s="25" t="s">
        <v>3820</v>
      </c>
      <c r="H205" s="33">
        <v>460.0</v>
      </c>
      <c r="I205" s="42" t="s">
        <v>3853</v>
      </c>
      <c r="J205" s="43">
        <v>0.0</v>
      </c>
      <c r="K205" s="43">
        <v>100.0</v>
      </c>
      <c r="L205" s="43">
        <v>0.0</v>
      </c>
      <c r="M205" s="43">
        <v>0.0</v>
      </c>
      <c r="N205" s="33">
        <f>COUNTIFS('Data For Calculation - Insuranc'!A:A,A205,'Data For Calculation - Insuranc'!D:D,"Individual",'Data For Calculation - Insuranc'!E:E,"Bundled - 1 Year OD + 5 Year TP")</f>
        <v>0</v>
      </c>
      <c r="O205" s="34" t="s">
        <v>3930</v>
      </c>
      <c r="P205" s="25" t="s">
        <v>3820</v>
      </c>
      <c r="Q205" s="33">
        <v>460.0</v>
      </c>
      <c r="R205" s="42" t="s">
        <v>3853</v>
      </c>
      <c r="S205" s="43">
        <v>0.0</v>
      </c>
      <c r="T205" s="43">
        <v>100.0</v>
      </c>
      <c r="U205" s="43">
        <v>0.0</v>
      </c>
      <c r="V205" s="43">
        <v>0.0</v>
      </c>
      <c r="W205" s="33">
        <f>COUNTIFS('Data For Calculation - Insuranc'!A:A,A205,'Data For Calculation - Insuranc'!D:D,"Company",'Data For Calculation - Insuranc'!E:E,"Bundled - 1 Year OD + 5 Year TP")</f>
        <v>0</v>
      </c>
      <c r="X205" s="34" t="s">
        <v>3929</v>
      </c>
      <c r="Y205" s="25" t="s">
        <v>3820</v>
      </c>
      <c r="Z205" s="33">
        <v>205.0</v>
      </c>
      <c r="AA205" s="34" t="s">
        <v>3853</v>
      </c>
      <c r="AB205" s="34">
        <v>0.0</v>
      </c>
      <c r="AC205" s="34">
        <v>100.0</v>
      </c>
      <c r="AD205" s="34">
        <v>0.0</v>
      </c>
      <c r="AE205" s="34">
        <v>0.0</v>
      </c>
      <c r="AF205" s="33">
        <f>COUNTIFS('Data For Calculation - Insuranc'!A:A,A205,'Data For Calculation - Insuranc'!D:D,"Individual",'Data For Calculation - Insuranc'!E:E,"Rollover Comprehensive - 1 Year OD + 1 Year TP")</f>
        <v>0</v>
      </c>
      <c r="AG205" s="34" t="s">
        <v>3930</v>
      </c>
      <c r="AH205" s="25" t="s">
        <v>3820</v>
      </c>
      <c r="AI205" s="33">
        <v>205.0</v>
      </c>
      <c r="AJ205" s="34" t="s">
        <v>3853</v>
      </c>
      <c r="AK205" s="34">
        <v>0.0</v>
      </c>
      <c r="AL205" s="34">
        <v>100.0</v>
      </c>
      <c r="AM205" s="34">
        <v>0.0</v>
      </c>
      <c r="AN205" s="34">
        <v>0.0</v>
      </c>
      <c r="AO205" s="33">
        <f>COUNTIFS('Data For Calculation - Insuranc'!A:A,A205,'Data For Calculation - Insuranc'!D:D,"Company",'Data For Calculation - Insuranc'!E:E,"Rollover Comprehensive - 1 Year OD + 1 Year TP")</f>
        <v>0</v>
      </c>
      <c r="AP205" s="34" t="s">
        <v>3931</v>
      </c>
      <c r="AQ205" s="25" t="s">
        <v>3820</v>
      </c>
      <c r="AR205" s="33">
        <v>205.0</v>
      </c>
      <c r="AS205" s="34" t="s">
        <v>3853</v>
      </c>
      <c r="AT205" s="34">
        <v>0.0</v>
      </c>
      <c r="AU205" s="34">
        <v>100.0</v>
      </c>
      <c r="AV205" s="34">
        <v>0.0</v>
      </c>
      <c r="AW205" s="34">
        <v>0.0</v>
      </c>
      <c r="AX205" s="33">
        <f>COUNTIFS('Data For Calculation - Insuranc'!A:A,A205,'Data For Calculation - Insuranc'!D:D,"Individual",'Data For Calculation - Insuranc'!E:E,"Rollover - 1 Year OD Only")</f>
        <v>0</v>
      </c>
      <c r="AY205" s="34" t="s">
        <v>3932</v>
      </c>
      <c r="AZ205" s="25" t="s">
        <v>3820</v>
      </c>
      <c r="BA205" s="33">
        <v>205.0</v>
      </c>
      <c r="BB205" s="34" t="s">
        <v>3853</v>
      </c>
      <c r="BC205" s="34">
        <v>0.0</v>
      </c>
      <c r="BD205" s="34">
        <v>100.0</v>
      </c>
      <c r="BE205" s="34">
        <v>0.0</v>
      </c>
      <c r="BF205" s="34">
        <v>0.0</v>
      </c>
      <c r="BG205" s="33">
        <f>COUNTIFS('Data For Calculation - Insuranc'!A:A,A205,'Data For Calculation - Insuranc'!D:D,"Company",'Data For Calculation - Insuranc'!E:E,"Rollover - 1 Year OD Only")</f>
        <v>0</v>
      </c>
      <c r="BH205" s="34" t="s">
        <v>3931</v>
      </c>
      <c r="BI205" s="25" t="s">
        <v>3820</v>
      </c>
      <c r="BJ205" s="33">
        <v>205.0</v>
      </c>
      <c r="BK205" s="34" t="s">
        <v>3853</v>
      </c>
      <c r="BL205" s="34">
        <v>0.0</v>
      </c>
      <c r="BM205" s="34">
        <v>100.0</v>
      </c>
      <c r="BN205" s="34">
        <v>0.0</v>
      </c>
      <c r="BO205" s="34">
        <v>0.0</v>
      </c>
      <c r="BP205" s="33">
        <f>COUNTIFS('Data For Calculation - Insuranc'!A:A,A205,'Data For Calculation - Insuranc'!D:D,"Individual",'Data For Calculation - Insuranc'!E:E,"Rollover - 1 Year TP Only")</f>
        <v>0</v>
      </c>
      <c r="BQ205" s="34" t="s">
        <v>3932</v>
      </c>
      <c r="BR205" s="25" t="s">
        <v>3820</v>
      </c>
      <c r="BS205" s="33">
        <v>205.0</v>
      </c>
      <c r="BT205" s="34" t="s">
        <v>3853</v>
      </c>
      <c r="BU205" s="34">
        <v>0.0</v>
      </c>
      <c r="BV205" s="34">
        <v>100.0</v>
      </c>
      <c r="BW205" s="34">
        <v>0.0</v>
      </c>
      <c r="BX205" s="34">
        <v>0.0</v>
      </c>
      <c r="BY205" s="33">
        <f>COUNTIFS('Data For Calculation - Insuranc'!A:A,A205,'Data For Calculation - Insuranc'!D:D,"Company",'Data For Calculation - Insuranc'!E:E,"Rollover - 1 Year TP Only")</f>
        <v>0</v>
      </c>
      <c r="BZ205" s="31">
        <f t="shared" si="1"/>
        <v>0</v>
      </c>
      <c r="CA205" s="33">
        <f>SUMIFS('Data For Calculation - Insuranc'!I:I,'Data For Calculation - Insuranc'!$A:$A,$A205)</f>
        <v>0</v>
      </c>
      <c r="CB205" s="33">
        <f>SUMIFS('Data For Calculation - Insuranc'!J:J,'Data For Calculation - Insuranc'!$A:$A,$A205)</f>
        <v>0</v>
      </c>
      <c r="CC205" s="33">
        <f>SUMIFS('Data For Calculation - Insuranc'!K:K,'Data For Calculation - Insuranc'!$A:$A,$A205)</f>
        <v>0</v>
      </c>
      <c r="CD205" s="33">
        <f>IF($CK205 = "Dealer", SUMIFS('Data For Calculation - Insuranc'!I:I,'Data For Calculation - Insuranc'!$B:$B,$A205,'Data For Calculation - Insuranc'!$H:$H,"Master Dealer")) + SUMIFS('Data For Calculation - Insuranc'!I:I,'Data For Calculation - Insuranc'!$A:$A,$A205,'Data For Calculation - Insuranc'!$H:$H,"Self")</f>
        <v>0</v>
      </c>
      <c r="CE205" s="33">
        <f>IF($CK205 = "Dealer", SUMIFS('Data For Calculation - Insuranc'!J:J,'Data For Calculation - Insuranc'!$B:$B,$A205,'Data For Calculation - Insuranc'!$H:$H,"Master Dealer")) + SUMIFS('Data For Calculation - Insuranc'!J:J,'Data For Calculation - Insuranc'!$A:$A,$A205,'Data For Calculation - Insuranc'!$H:$H,"Self")</f>
        <v>0</v>
      </c>
      <c r="CF205" s="33">
        <f>IF($CK205 = "Dealer", SUMIFS('Data For Calculation - Insuranc'!K:K,'Data For Calculation - Insuranc'!$B:$B,$A205,'Data For Calculation - Insuranc'!$H:$H,"Master Dealer")) + SUMIFS('Data For Calculation - Insuranc'!K:K,'Data For Calculation - Insuranc'!$A:$A,$A205,'Data For Calculation - Insuranc'!$H:$H,"Self")</f>
        <v>0</v>
      </c>
      <c r="CG205" s="25" t="str">
        <f>(Sheet1!N205)</f>
        <v>Asha Motor - Kannauj</v>
      </c>
      <c r="CH205" s="25" t="str">
        <f>(Sheet1!O205)</f>
        <v>1hlnCiW64Y7uZNVOj2ewyfTULbWj1dUaXX2rUREx8W8o</v>
      </c>
      <c r="CI205" s="25" t="str">
        <f>(Sheet1!AV205)</f>
        <v/>
      </c>
      <c r="CJ205" s="25" t="str">
        <f>(Sheet1!AW205)</f>
        <v/>
      </c>
      <c r="CK205" s="25" t="str">
        <f>(Sheet1!P205)</f>
        <v>Sub Dealer</v>
      </c>
    </row>
    <row r="206">
      <c r="A206" s="25" t="str">
        <f>(Sheet1!A206)</f>
        <v>1bfmIig1fGVakKR5J49ypp9KG-WRhILBb521RabDqaq4</v>
      </c>
      <c r="B206" s="25" t="str">
        <f>(Sheet1!B206)</f>
        <v>Ganesh Motors(AM) - Thathiya</v>
      </c>
      <c r="C206" s="30" t="str">
        <f>Sheet1!BB206</f>
        <v>No</v>
      </c>
      <c r="D206" s="30" t="s">
        <v>13</v>
      </c>
      <c r="E206" s="34" t="s">
        <v>13</v>
      </c>
      <c r="F206" s="34" t="s">
        <v>3929</v>
      </c>
      <c r="G206" s="25" t="s">
        <v>3820</v>
      </c>
      <c r="H206" s="33">
        <v>460.0</v>
      </c>
      <c r="I206" s="42" t="s">
        <v>3853</v>
      </c>
      <c r="J206" s="43">
        <v>0.0</v>
      </c>
      <c r="K206" s="43">
        <v>100.0</v>
      </c>
      <c r="L206" s="43">
        <v>0.0</v>
      </c>
      <c r="M206" s="43">
        <v>0.0</v>
      </c>
      <c r="N206" s="33">
        <f>COUNTIFS('Data For Calculation - Insuranc'!A:A,A206,'Data For Calculation - Insuranc'!D:D,"Individual",'Data For Calculation - Insuranc'!E:E,"Bundled - 1 Year OD + 5 Year TP")</f>
        <v>0</v>
      </c>
      <c r="O206" s="34" t="s">
        <v>3930</v>
      </c>
      <c r="P206" s="25" t="s">
        <v>3820</v>
      </c>
      <c r="Q206" s="33">
        <v>460.0</v>
      </c>
      <c r="R206" s="42" t="s">
        <v>3853</v>
      </c>
      <c r="S206" s="43">
        <v>0.0</v>
      </c>
      <c r="T206" s="43">
        <v>100.0</v>
      </c>
      <c r="U206" s="43">
        <v>0.0</v>
      </c>
      <c r="V206" s="43">
        <v>0.0</v>
      </c>
      <c r="W206" s="33">
        <f>COUNTIFS('Data For Calculation - Insuranc'!A:A,A206,'Data For Calculation - Insuranc'!D:D,"Company",'Data For Calculation - Insuranc'!E:E,"Bundled - 1 Year OD + 5 Year TP")</f>
        <v>0</v>
      </c>
      <c r="X206" s="34" t="s">
        <v>3929</v>
      </c>
      <c r="Y206" s="25" t="s">
        <v>3820</v>
      </c>
      <c r="Z206" s="33">
        <v>205.0</v>
      </c>
      <c r="AA206" s="34" t="s">
        <v>3853</v>
      </c>
      <c r="AB206" s="34">
        <v>0.0</v>
      </c>
      <c r="AC206" s="34">
        <v>100.0</v>
      </c>
      <c r="AD206" s="34">
        <v>0.0</v>
      </c>
      <c r="AE206" s="34">
        <v>0.0</v>
      </c>
      <c r="AF206" s="33">
        <f>COUNTIFS('Data For Calculation - Insuranc'!A:A,A206,'Data For Calculation - Insuranc'!D:D,"Individual",'Data For Calculation - Insuranc'!E:E,"Rollover Comprehensive - 1 Year OD + 1 Year TP")</f>
        <v>0</v>
      </c>
      <c r="AG206" s="34" t="s">
        <v>3930</v>
      </c>
      <c r="AH206" s="25" t="s">
        <v>3820</v>
      </c>
      <c r="AI206" s="33">
        <v>205.0</v>
      </c>
      <c r="AJ206" s="34" t="s">
        <v>3853</v>
      </c>
      <c r="AK206" s="34">
        <v>0.0</v>
      </c>
      <c r="AL206" s="34">
        <v>100.0</v>
      </c>
      <c r="AM206" s="34">
        <v>0.0</v>
      </c>
      <c r="AN206" s="34">
        <v>0.0</v>
      </c>
      <c r="AO206" s="33">
        <f>COUNTIFS('Data For Calculation - Insuranc'!A:A,A206,'Data For Calculation - Insuranc'!D:D,"Company",'Data For Calculation - Insuranc'!E:E,"Rollover Comprehensive - 1 Year OD + 1 Year TP")</f>
        <v>0</v>
      </c>
      <c r="AP206" s="34" t="s">
        <v>3931</v>
      </c>
      <c r="AQ206" s="25" t="s">
        <v>3820</v>
      </c>
      <c r="AR206" s="33">
        <v>205.0</v>
      </c>
      <c r="AS206" s="34" t="s">
        <v>3853</v>
      </c>
      <c r="AT206" s="34">
        <v>0.0</v>
      </c>
      <c r="AU206" s="34">
        <v>100.0</v>
      </c>
      <c r="AV206" s="34">
        <v>0.0</v>
      </c>
      <c r="AW206" s="34">
        <v>0.0</v>
      </c>
      <c r="AX206" s="33">
        <f>COUNTIFS('Data For Calculation - Insuranc'!A:A,A206,'Data For Calculation - Insuranc'!D:D,"Individual",'Data For Calculation - Insuranc'!E:E,"Rollover - 1 Year OD Only")</f>
        <v>0</v>
      </c>
      <c r="AY206" s="34" t="s">
        <v>3932</v>
      </c>
      <c r="AZ206" s="25" t="s">
        <v>3820</v>
      </c>
      <c r="BA206" s="33">
        <v>205.0</v>
      </c>
      <c r="BB206" s="34" t="s">
        <v>3853</v>
      </c>
      <c r="BC206" s="34">
        <v>0.0</v>
      </c>
      <c r="BD206" s="34">
        <v>100.0</v>
      </c>
      <c r="BE206" s="34">
        <v>0.0</v>
      </c>
      <c r="BF206" s="34">
        <v>0.0</v>
      </c>
      <c r="BG206" s="33">
        <f>COUNTIFS('Data For Calculation - Insuranc'!A:A,A206,'Data For Calculation - Insuranc'!D:D,"Company",'Data For Calculation - Insuranc'!E:E,"Rollover - 1 Year OD Only")</f>
        <v>0</v>
      </c>
      <c r="BH206" s="34" t="s">
        <v>3931</v>
      </c>
      <c r="BI206" s="25" t="s">
        <v>3820</v>
      </c>
      <c r="BJ206" s="33">
        <v>205.0</v>
      </c>
      <c r="BK206" s="34" t="s">
        <v>3853</v>
      </c>
      <c r="BL206" s="34">
        <v>0.0</v>
      </c>
      <c r="BM206" s="34">
        <v>100.0</v>
      </c>
      <c r="BN206" s="34">
        <v>0.0</v>
      </c>
      <c r="BO206" s="34">
        <v>0.0</v>
      </c>
      <c r="BP206" s="33">
        <f>COUNTIFS('Data For Calculation - Insuranc'!A:A,A206,'Data For Calculation - Insuranc'!D:D,"Individual",'Data For Calculation - Insuranc'!E:E,"Rollover - 1 Year TP Only")</f>
        <v>0</v>
      </c>
      <c r="BQ206" s="34" t="s">
        <v>3932</v>
      </c>
      <c r="BR206" s="25" t="s">
        <v>3820</v>
      </c>
      <c r="BS206" s="33">
        <v>205.0</v>
      </c>
      <c r="BT206" s="34" t="s">
        <v>3853</v>
      </c>
      <c r="BU206" s="34">
        <v>0.0</v>
      </c>
      <c r="BV206" s="34">
        <v>100.0</v>
      </c>
      <c r="BW206" s="34">
        <v>0.0</v>
      </c>
      <c r="BX206" s="34">
        <v>0.0</v>
      </c>
      <c r="BY206" s="33">
        <f>COUNTIFS('Data For Calculation - Insuranc'!A:A,A206,'Data For Calculation - Insuranc'!D:D,"Company",'Data For Calculation - Insuranc'!E:E,"Rollover - 1 Year TP Only")</f>
        <v>0</v>
      </c>
      <c r="BZ206" s="31">
        <f t="shared" si="1"/>
        <v>0</v>
      </c>
      <c r="CA206" s="33">
        <f>SUMIFS('Data For Calculation - Insuranc'!I:I,'Data For Calculation - Insuranc'!$A:$A,$A206)</f>
        <v>0</v>
      </c>
      <c r="CB206" s="33">
        <f>SUMIFS('Data For Calculation - Insuranc'!J:J,'Data For Calculation - Insuranc'!$A:$A,$A206)</f>
        <v>0</v>
      </c>
      <c r="CC206" s="33">
        <f>SUMIFS('Data For Calculation - Insuranc'!K:K,'Data For Calculation - Insuranc'!$A:$A,$A206)</f>
        <v>0</v>
      </c>
      <c r="CD206" s="33">
        <f>IF($CK206 = "Dealer", SUMIFS('Data For Calculation - Insuranc'!I:I,'Data For Calculation - Insuranc'!$B:$B,$A206,'Data For Calculation - Insuranc'!$H:$H,"Master Dealer")) + SUMIFS('Data For Calculation - Insuranc'!I:I,'Data For Calculation - Insuranc'!$A:$A,$A206,'Data For Calculation - Insuranc'!$H:$H,"Self")</f>
        <v>0</v>
      </c>
      <c r="CE206" s="33">
        <f>IF($CK206 = "Dealer", SUMIFS('Data For Calculation - Insuranc'!J:J,'Data For Calculation - Insuranc'!$B:$B,$A206,'Data For Calculation - Insuranc'!$H:$H,"Master Dealer")) + SUMIFS('Data For Calculation - Insuranc'!J:J,'Data For Calculation - Insuranc'!$A:$A,$A206,'Data For Calculation - Insuranc'!$H:$H,"Self")</f>
        <v>0</v>
      </c>
      <c r="CF206" s="33">
        <f>IF($CK206 = "Dealer", SUMIFS('Data For Calculation - Insuranc'!K:K,'Data For Calculation - Insuranc'!$B:$B,$A206,'Data For Calculation - Insuranc'!$H:$H,"Master Dealer")) + SUMIFS('Data For Calculation - Insuranc'!K:K,'Data For Calculation - Insuranc'!$A:$A,$A206,'Data For Calculation - Insuranc'!$H:$H,"Self")</f>
        <v>0</v>
      </c>
      <c r="CG206" s="25" t="str">
        <f>(Sheet1!N206)</f>
        <v>Asha Motor - Kannauj</v>
      </c>
      <c r="CH206" s="25" t="str">
        <f>(Sheet1!O206)</f>
        <v>1hlnCiW64Y7uZNVOj2ewyfTULbWj1dUaXX2rUREx8W8o</v>
      </c>
      <c r="CI206" s="25" t="str">
        <f>(Sheet1!AV206)</f>
        <v/>
      </c>
      <c r="CJ206" s="25" t="str">
        <f>(Sheet1!AW206)</f>
        <v/>
      </c>
      <c r="CK206" s="25" t="str">
        <f>(Sheet1!P206)</f>
        <v>Sub Dealer</v>
      </c>
    </row>
    <row r="207">
      <c r="A207" s="25" t="str">
        <f>(Sheet1!A207)</f>
        <v>17IHK48lZbcBlgGAJSiVd_55rLbshhnkDVBqTU63zg3g</v>
      </c>
      <c r="B207" s="25" t="str">
        <f>(Sheet1!B207)</f>
        <v>Balaji Autowheels(AM) - Nademau</v>
      </c>
      <c r="C207" s="30" t="str">
        <f>Sheet1!BB207</f>
        <v>No</v>
      </c>
      <c r="D207" s="30" t="s">
        <v>13</v>
      </c>
      <c r="E207" s="34" t="s">
        <v>13</v>
      </c>
      <c r="F207" s="34" t="s">
        <v>3929</v>
      </c>
      <c r="G207" s="25" t="s">
        <v>3820</v>
      </c>
      <c r="H207" s="33">
        <v>460.0</v>
      </c>
      <c r="I207" s="42" t="s">
        <v>3853</v>
      </c>
      <c r="J207" s="43">
        <v>0.0</v>
      </c>
      <c r="K207" s="43">
        <v>100.0</v>
      </c>
      <c r="L207" s="43">
        <v>0.0</v>
      </c>
      <c r="M207" s="43">
        <v>0.0</v>
      </c>
      <c r="N207" s="33">
        <f>COUNTIFS('Data For Calculation - Insuranc'!A:A,A207,'Data For Calculation - Insuranc'!D:D,"Individual",'Data For Calculation - Insuranc'!E:E,"Bundled - 1 Year OD + 5 Year TP")</f>
        <v>0</v>
      </c>
      <c r="O207" s="34" t="s">
        <v>3930</v>
      </c>
      <c r="P207" s="25" t="s">
        <v>3820</v>
      </c>
      <c r="Q207" s="33">
        <v>460.0</v>
      </c>
      <c r="R207" s="42" t="s">
        <v>3853</v>
      </c>
      <c r="S207" s="43">
        <v>0.0</v>
      </c>
      <c r="T207" s="43">
        <v>100.0</v>
      </c>
      <c r="U207" s="43">
        <v>0.0</v>
      </c>
      <c r="V207" s="43">
        <v>0.0</v>
      </c>
      <c r="W207" s="33">
        <f>COUNTIFS('Data For Calculation - Insuranc'!A:A,A207,'Data For Calculation - Insuranc'!D:D,"Company",'Data For Calculation - Insuranc'!E:E,"Bundled - 1 Year OD + 5 Year TP")</f>
        <v>0</v>
      </c>
      <c r="X207" s="34" t="s">
        <v>3929</v>
      </c>
      <c r="Y207" s="25" t="s">
        <v>3820</v>
      </c>
      <c r="Z207" s="33">
        <v>205.0</v>
      </c>
      <c r="AA207" s="34" t="s">
        <v>3853</v>
      </c>
      <c r="AB207" s="34">
        <v>0.0</v>
      </c>
      <c r="AC207" s="34">
        <v>100.0</v>
      </c>
      <c r="AD207" s="34">
        <v>0.0</v>
      </c>
      <c r="AE207" s="34">
        <v>0.0</v>
      </c>
      <c r="AF207" s="33">
        <f>COUNTIFS('Data For Calculation - Insuranc'!A:A,A207,'Data For Calculation - Insuranc'!D:D,"Individual",'Data For Calculation - Insuranc'!E:E,"Rollover Comprehensive - 1 Year OD + 1 Year TP")</f>
        <v>0</v>
      </c>
      <c r="AG207" s="34" t="s">
        <v>3930</v>
      </c>
      <c r="AH207" s="25" t="s">
        <v>3820</v>
      </c>
      <c r="AI207" s="33">
        <v>205.0</v>
      </c>
      <c r="AJ207" s="34" t="s">
        <v>3853</v>
      </c>
      <c r="AK207" s="34">
        <v>0.0</v>
      </c>
      <c r="AL207" s="34">
        <v>100.0</v>
      </c>
      <c r="AM207" s="34">
        <v>0.0</v>
      </c>
      <c r="AN207" s="34">
        <v>0.0</v>
      </c>
      <c r="AO207" s="33">
        <f>COUNTIFS('Data For Calculation - Insuranc'!A:A,A207,'Data For Calculation - Insuranc'!D:D,"Company",'Data For Calculation - Insuranc'!E:E,"Rollover Comprehensive - 1 Year OD + 1 Year TP")</f>
        <v>0</v>
      </c>
      <c r="AP207" s="34" t="s">
        <v>3931</v>
      </c>
      <c r="AQ207" s="25" t="s">
        <v>3820</v>
      </c>
      <c r="AR207" s="33">
        <v>205.0</v>
      </c>
      <c r="AS207" s="34" t="s">
        <v>3853</v>
      </c>
      <c r="AT207" s="34">
        <v>0.0</v>
      </c>
      <c r="AU207" s="34">
        <v>100.0</v>
      </c>
      <c r="AV207" s="34">
        <v>0.0</v>
      </c>
      <c r="AW207" s="34">
        <v>0.0</v>
      </c>
      <c r="AX207" s="33">
        <f>COUNTIFS('Data For Calculation - Insuranc'!A:A,A207,'Data For Calculation - Insuranc'!D:D,"Individual",'Data For Calculation - Insuranc'!E:E,"Rollover - 1 Year OD Only")</f>
        <v>0</v>
      </c>
      <c r="AY207" s="34" t="s">
        <v>3932</v>
      </c>
      <c r="AZ207" s="25" t="s">
        <v>3820</v>
      </c>
      <c r="BA207" s="33">
        <v>205.0</v>
      </c>
      <c r="BB207" s="34" t="s">
        <v>3853</v>
      </c>
      <c r="BC207" s="34">
        <v>0.0</v>
      </c>
      <c r="BD207" s="34">
        <v>100.0</v>
      </c>
      <c r="BE207" s="34">
        <v>0.0</v>
      </c>
      <c r="BF207" s="34">
        <v>0.0</v>
      </c>
      <c r="BG207" s="33">
        <f>COUNTIFS('Data For Calculation - Insuranc'!A:A,A207,'Data For Calculation - Insuranc'!D:D,"Company",'Data For Calculation - Insuranc'!E:E,"Rollover - 1 Year OD Only")</f>
        <v>0</v>
      </c>
      <c r="BH207" s="34" t="s">
        <v>3931</v>
      </c>
      <c r="BI207" s="25" t="s">
        <v>3820</v>
      </c>
      <c r="BJ207" s="33">
        <v>205.0</v>
      </c>
      <c r="BK207" s="34" t="s">
        <v>3853</v>
      </c>
      <c r="BL207" s="34">
        <v>0.0</v>
      </c>
      <c r="BM207" s="34">
        <v>100.0</v>
      </c>
      <c r="BN207" s="34">
        <v>0.0</v>
      </c>
      <c r="BO207" s="34">
        <v>0.0</v>
      </c>
      <c r="BP207" s="33">
        <f>COUNTIFS('Data For Calculation - Insuranc'!A:A,A207,'Data For Calculation - Insuranc'!D:D,"Individual",'Data For Calculation - Insuranc'!E:E,"Rollover - 1 Year TP Only")</f>
        <v>0</v>
      </c>
      <c r="BQ207" s="34" t="s">
        <v>3932</v>
      </c>
      <c r="BR207" s="25" t="s">
        <v>3820</v>
      </c>
      <c r="BS207" s="33">
        <v>205.0</v>
      </c>
      <c r="BT207" s="34" t="s">
        <v>3853</v>
      </c>
      <c r="BU207" s="34">
        <v>0.0</v>
      </c>
      <c r="BV207" s="34">
        <v>100.0</v>
      </c>
      <c r="BW207" s="34">
        <v>0.0</v>
      </c>
      <c r="BX207" s="34">
        <v>0.0</v>
      </c>
      <c r="BY207" s="33">
        <f>COUNTIFS('Data For Calculation - Insuranc'!A:A,A207,'Data For Calculation - Insuranc'!D:D,"Company",'Data For Calculation - Insuranc'!E:E,"Rollover - 1 Year TP Only")</f>
        <v>0</v>
      </c>
      <c r="BZ207" s="31">
        <f t="shared" si="1"/>
        <v>0</v>
      </c>
      <c r="CA207" s="33">
        <f>SUMIFS('Data For Calculation - Insuranc'!I:I,'Data For Calculation - Insuranc'!$A:$A,$A207)</f>
        <v>0</v>
      </c>
      <c r="CB207" s="33">
        <f>SUMIFS('Data For Calculation - Insuranc'!J:J,'Data For Calculation - Insuranc'!$A:$A,$A207)</f>
        <v>0</v>
      </c>
      <c r="CC207" s="33">
        <f>SUMIFS('Data For Calculation - Insuranc'!K:K,'Data For Calculation - Insuranc'!$A:$A,$A207)</f>
        <v>0</v>
      </c>
      <c r="CD207" s="33">
        <f>IF($CK207 = "Dealer", SUMIFS('Data For Calculation - Insuranc'!I:I,'Data For Calculation - Insuranc'!$B:$B,$A207,'Data For Calculation - Insuranc'!$H:$H,"Master Dealer")) + SUMIFS('Data For Calculation - Insuranc'!I:I,'Data For Calculation - Insuranc'!$A:$A,$A207,'Data For Calculation - Insuranc'!$H:$H,"Self")</f>
        <v>0</v>
      </c>
      <c r="CE207" s="33">
        <f>IF($CK207 = "Dealer", SUMIFS('Data For Calculation - Insuranc'!J:J,'Data For Calculation - Insuranc'!$B:$B,$A207,'Data For Calculation - Insuranc'!$H:$H,"Master Dealer")) + SUMIFS('Data For Calculation - Insuranc'!J:J,'Data For Calculation - Insuranc'!$A:$A,$A207,'Data For Calculation - Insuranc'!$H:$H,"Self")</f>
        <v>0</v>
      </c>
      <c r="CF207" s="33">
        <f>IF($CK207 = "Dealer", SUMIFS('Data For Calculation - Insuranc'!K:K,'Data For Calculation - Insuranc'!$B:$B,$A207,'Data For Calculation - Insuranc'!$H:$H,"Master Dealer")) + SUMIFS('Data For Calculation - Insuranc'!K:K,'Data For Calculation - Insuranc'!$A:$A,$A207,'Data For Calculation - Insuranc'!$H:$H,"Self")</f>
        <v>0</v>
      </c>
      <c r="CG207" s="25" t="str">
        <f>(Sheet1!N207)</f>
        <v>Asha Motor - Kannauj</v>
      </c>
      <c r="CH207" s="25" t="str">
        <f>(Sheet1!O207)</f>
        <v>1hlnCiW64Y7uZNVOj2ewyfTULbWj1dUaXX2rUREx8W8o</v>
      </c>
      <c r="CI207" s="25" t="str">
        <f>(Sheet1!AV207)</f>
        <v/>
      </c>
      <c r="CJ207" s="25" t="str">
        <f>(Sheet1!AW207)</f>
        <v/>
      </c>
      <c r="CK207" s="25" t="str">
        <f>(Sheet1!P207)</f>
        <v>Sub Dealer</v>
      </c>
    </row>
    <row r="208">
      <c r="A208" s="25" t="str">
        <f>(Sheet1!A208)</f>
        <v>1brGGXYNO7p4ye7lOi0GBEPWtsN031lP69rhfRORc5eg</v>
      </c>
      <c r="B208" s="25" t="str">
        <f>(Sheet1!B208)</f>
        <v>Shubhi Motors(AM) - Umarda</v>
      </c>
      <c r="C208" s="30" t="str">
        <f>Sheet1!BB208</f>
        <v>No</v>
      </c>
      <c r="D208" s="30" t="s">
        <v>13</v>
      </c>
      <c r="E208" s="34" t="s">
        <v>13</v>
      </c>
      <c r="F208" s="34" t="s">
        <v>3929</v>
      </c>
      <c r="G208" s="25" t="s">
        <v>3820</v>
      </c>
      <c r="H208" s="33">
        <v>460.0</v>
      </c>
      <c r="I208" s="42" t="s">
        <v>3853</v>
      </c>
      <c r="J208" s="43">
        <v>0.0</v>
      </c>
      <c r="K208" s="43">
        <v>100.0</v>
      </c>
      <c r="L208" s="43">
        <v>0.0</v>
      </c>
      <c r="M208" s="43">
        <v>0.0</v>
      </c>
      <c r="N208" s="33">
        <f>COUNTIFS('Data For Calculation - Insuranc'!A:A,A208,'Data For Calculation - Insuranc'!D:D,"Individual",'Data For Calculation - Insuranc'!E:E,"Bundled - 1 Year OD + 5 Year TP")</f>
        <v>0</v>
      </c>
      <c r="O208" s="34" t="s">
        <v>3930</v>
      </c>
      <c r="P208" s="25" t="s">
        <v>3820</v>
      </c>
      <c r="Q208" s="33">
        <v>460.0</v>
      </c>
      <c r="R208" s="42" t="s">
        <v>3853</v>
      </c>
      <c r="S208" s="43">
        <v>0.0</v>
      </c>
      <c r="T208" s="43">
        <v>100.0</v>
      </c>
      <c r="U208" s="43">
        <v>0.0</v>
      </c>
      <c r="V208" s="43">
        <v>0.0</v>
      </c>
      <c r="W208" s="33">
        <f>COUNTIFS('Data For Calculation - Insuranc'!A:A,A208,'Data For Calculation - Insuranc'!D:D,"Company",'Data For Calculation - Insuranc'!E:E,"Bundled - 1 Year OD + 5 Year TP")</f>
        <v>0</v>
      </c>
      <c r="X208" s="34" t="s">
        <v>3929</v>
      </c>
      <c r="Y208" s="25" t="s">
        <v>3820</v>
      </c>
      <c r="Z208" s="33">
        <v>205.0</v>
      </c>
      <c r="AA208" s="34" t="s">
        <v>3853</v>
      </c>
      <c r="AB208" s="34">
        <v>0.0</v>
      </c>
      <c r="AC208" s="34">
        <v>100.0</v>
      </c>
      <c r="AD208" s="34">
        <v>0.0</v>
      </c>
      <c r="AE208" s="34">
        <v>0.0</v>
      </c>
      <c r="AF208" s="33">
        <f>COUNTIFS('Data For Calculation - Insuranc'!A:A,A208,'Data For Calculation - Insuranc'!D:D,"Individual",'Data For Calculation - Insuranc'!E:E,"Rollover Comprehensive - 1 Year OD + 1 Year TP")</f>
        <v>0</v>
      </c>
      <c r="AG208" s="34" t="s">
        <v>3930</v>
      </c>
      <c r="AH208" s="25" t="s">
        <v>3820</v>
      </c>
      <c r="AI208" s="33">
        <v>205.0</v>
      </c>
      <c r="AJ208" s="34" t="s">
        <v>3853</v>
      </c>
      <c r="AK208" s="34">
        <v>0.0</v>
      </c>
      <c r="AL208" s="34">
        <v>100.0</v>
      </c>
      <c r="AM208" s="34">
        <v>0.0</v>
      </c>
      <c r="AN208" s="34">
        <v>0.0</v>
      </c>
      <c r="AO208" s="33">
        <f>COUNTIFS('Data For Calculation - Insuranc'!A:A,A208,'Data For Calculation - Insuranc'!D:D,"Company",'Data For Calculation - Insuranc'!E:E,"Rollover Comprehensive - 1 Year OD + 1 Year TP")</f>
        <v>0</v>
      </c>
      <c r="AP208" s="34" t="s">
        <v>3931</v>
      </c>
      <c r="AQ208" s="25" t="s">
        <v>3820</v>
      </c>
      <c r="AR208" s="33">
        <v>205.0</v>
      </c>
      <c r="AS208" s="34" t="s">
        <v>3853</v>
      </c>
      <c r="AT208" s="34">
        <v>0.0</v>
      </c>
      <c r="AU208" s="34">
        <v>100.0</v>
      </c>
      <c r="AV208" s="34">
        <v>0.0</v>
      </c>
      <c r="AW208" s="34">
        <v>0.0</v>
      </c>
      <c r="AX208" s="33">
        <f>COUNTIFS('Data For Calculation - Insuranc'!A:A,A208,'Data For Calculation - Insuranc'!D:D,"Individual",'Data For Calculation - Insuranc'!E:E,"Rollover - 1 Year OD Only")</f>
        <v>0</v>
      </c>
      <c r="AY208" s="34" t="s">
        <v>3932</v>
      </c>
      <c r="AZ208" s="25" t="s">
        <v>3820</v>
      </c>
      <c r="BA208" s="33">
        <v>205.0</v>
      </c>
      <c r="BB208" s="34" t="s">
        <v>3853</v>
      </c>
      <c r="BC208" s="34">
        <v>0.0</v>
      </c>
      <c r="BD208" s="34">
        <v>100.0</v>
      </c>
      <c r="BE208" s="34">
        <v>0.0</v>
      </c>
      <c r="BF208" s="34">
        <v>0.0</v>
      </c>
      <c r="BG208" s="33">
        <f>COUNTIFS('Data For Calculation - Insuranc'!A:A,A208,'Data For Calculation - Insuranc'!D:D,"Company",'Data For Calculation - Insuranc'!E:E,"Rollover - 1 Year OD Only")</f>
        <v>0</v>
      </c>
      <c r="BH208" s="34" t="s">
        <v>3931</v>
      </c>
      <c r="BI208" s="25" t="s">
        <v>3820</v>
      </c>
      <c r="BJ208" s="33">
        <v>205.0</v>
      </c>
      <c r="BK208" s="34" t="s">
        <v>3853</v>
      </c>
      <c r="BL208" s="34">
        <v>0.0</v>
      </c>
      <c r="BM208" s="34">
        <v>100.0</v>
      </c>
      <c r="BN208" s="34">
        <v>0.0</v>
      </c>
      <c r="BO208" s="34">
        <v>0.0</v>
      </c>
      <c r="BP208" s="33">
        <f>COUNTIFS('Data For Calculation - Insuranc'!A:A,A208,'Data For Calculation - Insuranc'!D:D,"Individual",'Data For Calculation - Insuranc'!E:E,"Rollover - 1 Year TP Only")</f>
        <v>0</v>
      </c>
      <c r="BQ208" s="34" t="s">
        <v>3932</v>
      </c>
      <c r="BR208" s="25" t="s">
        <v>3820</v>
      </c>
      <c r="BS208" s="33">
        <v>205.0</v>
      </c>
      <c r="BT208" s="34" t="s">
        <v>3853</v>
      </c>
      <c r="BU208" s="34">
        <v>0.0</v>
      </c>
      <c r="BV208" s="34">
        <v>100.0</v>
      </c>
      <c r="BW208" s="34">
        <v>0.0</v>
      </c>
      <c r="BX208" s="34">
        <v>0.0</v>
      </c>
      <c r="BY208" s="33">
        <f>COUNTIFS('Data For Calculation - Insuranc'!A:A,A208,'Data For Calculation - Insuranc'!D:D,"Company",'Data For Calculation - Insuranc'!E:E,"Rollover - 1 Year TP Only")</f>
        <v>0</v>
      </c>
      <c r="BZ208" s="31">
        <f t="shared" si="1"/>
        <v>0</v>
      </c>
      <c r="CA208" s="33">
        <f>SUMIFS('Data For Calculation - Insuranc'!I:I,'Data For Calculation - Insuranc'!$A:$A,$A208)</f>
        <v>0</v>
      </c>
      <c r="CB208" s="33">
        <f>SUMIFS('Data For Calculation - Insuranc'!J:J,'Data For Calculation - Insuranc'!$A:$A,$A208)</f>
        <v>0</v>
      </c>
      <c r="CC208" s="33">
        <f>SUMIFS('Data For Calculation - Insuranc'!K:K,'Data For Calculation - Insuranc'!$A:$A,$A208)</f>
        <v>0</v>
      </c>
      <c r="CD208" s="33">
        <f>IF($CK208 = "Dealer", SUMIFS('Data For Calculation - Insuranc'!I:I,'Data For Calculation - Insuranc'!$B:$B,$A208,'Data For Calculation - Insuranc'!$H:$H,"Master Dealer")) + SUMIFS('Data For Calculation - Insuranc'!I:I,'Data For Calculation - Insuranc'!$A:$A,$A208,'Data For Calculation - Insuranc'!$H:$H,"Self")</f>
        <v>0</v>
      </c>
      <c r="CE208" s="33">
        <f>IF($CK208 = "Dealer", SUMIFS('Data For Calculation - Insuranc'!J:J,'Data For Calculation - Insuranc'!$B:$B,$A208,'Data For Calculation - Insuranc'!$H:$H,"Master Dealer")) + SUMIFS('Data For Calculation - Insuranc'!J:J,'Data For Calculation - Insuranc'!$A:$A,$A208,'Data For Calculation - Insuranc'!$H:$H,"Self")</f>
        <v>0</v>
      </c>
      <c r="CF208" s="33">
        <f>IF($CK208 = "Dealer", SUMIFS('Data For Calculation - Insuranc'!K:K,'Data For Calculation - Insuranc'!$B:$B,$A208,'Data For Calculation - Insuranc'!$H:$H,"Master Dealer")) + SUMIFS('Data For Calculation - Insuranc'!K:K,'Data For Calculation - Insuranc'!$A:$A,$A208,'Data For Calculation - Insuranc'!$H:$H,"Self")</f>
        <v>0</v>
      </c>
      <c r="CG208" s="25" t="str">
        <f>(Sheet1!N208)</f>
        <v>Asha Motor - Kannauj</v>
      </c>
      <c r="CH208" s="25" t="str">
        <f>(Sheet1!O208)</f>
        <v>1hlnCiW64Y7uZNVOj2ewyfTULbWj1dUaXX2rUREx8W8o</v>
      </c>
      <c r="CI208" s="25" t="str">
        <f>(Sheet1!AV208)</f>
        <v/>
      </c>
      <c r="CJ208" s="25" t="str">
        <f>(Sheet1!AW208)</f>
        <v/>
      </c>
      <c r="CK208" s="25" t="str">
        <f>(Sheet1!P208)</f>
        <v>Sub Dealer</v>
      </c>
    </row>
    <row r="209">
      <c r="A209" s="25" t="str">
        <f>(Sheet1!A209)</f>
        <v>1_xXDhPc2zYZ10fr1h3mfn-L73eXsLjI78QDoo4z-PJk</v>
      </c>
      <c r="B209" s="25" t="str">
        <f>(Sheet1!B209)</f>
        <v>SM Motors(AM) - Sakrawa</v>
      </c>
      <c r="C209" s="30" t="str">
        <f>Sheet1!BB209</f>
        <v>No</v>
      </c>
      <c r="D209" s="30" t="s">
        <v>13</v>
      </c>
      <c r="E209" s="34" t="s">
        <v>13</v>
      </c>
      <c r="F209" s="34" t="s">
        <v>3929</v>
      </c>
      <c r="G209" s="25" t="s">
        <v>3820</v>
      </c>
      <c r="H209" s="33">
        <v>460.0</v>
      </c>
      <c r="I209" s="42" t="s">
        <v>3853</v>
      </c>
      <c r="J209" s="43">
        <v>0.0</v>
      </c>
      <c r="K209" s="43">
        <v>100.0</v>
      </c>
      <c r="L209" s="43">
        <v>0.0</v>
      </c>
      <c r="M209" s="43">
        <v>0.0</v>
      </c>
      <c r="N209" s="33">
        <f>COUNTIFS('Data For Calculation - Insuranc'!A:A,A209,'Data For Calculation - Insuranc'!D:D,"Individual",'Data For Calculation - Insuranc'!E:E,"Bundled - 1 Year OD + 5 Year TP")</f>
        <v>0</v>
      </c>
      <c r="O209" s="34" t="s">
        <v>3930</v>
      </c>
      <c r="P209" s="25" t="s">
        <v>3820</v>
      </c>
      <c r="Q209" s="33">
        <v>460.0</v>
      </c>
      <c r="R209" s="42" t="s">
        <v>3853</v>
      </c>
      <c r="S209" s="43">
        <v>0.0</v>
      </c>
      <c r="T209" s="43">
        <v>100.0</v>
      </c>
      <c r="U209" s="43">
        <v>0.0</v>
      </c>
      <c r="V209" s="43">
        <v>0.0</v>
      </c>
      <c r="W209" s="33">
        <f>COUNTIFS('Data For Calculation - Insuranc'!A:A,A209,'Data For Calculation - Insuranc'!D:D,"Company",'Data For Calculation - Insuranc'!E:E,"Bundled - 1 Year OD + 5 Year TP")</f>
        <v>0</v>
      </c>
      <c r="X209" s="34" t="s">
        <v>3929</v>
      </c>
      <c r="Y209" s="25" t="s">
        <v>3820</v>
      </c>
      <c r="Z209" s="33">
        <v>205.0</v>
      </c>
      <c r="AA209" s="34" t="s">
        <v>3853</v>
      </c>
      <c r="AB209" s="34">
        <v>0.0</v>
      </c>
      <c r="AC209" s="34">
        <v>100.0</v>
      </c>
      <c r="AD209" s="34">
        <v>0.0</v>
      </c>
      <c r="AE209" s="34">
        <v>0.0</v>
      </c>
      <c r="AF209" s="33">
        <f>COUNTIFS('Data For Calculation - Insuranc'!A:A,A209,'Data For Calculation - Insuranc'!D:D,"Individual",'Data For Calculation - Insuranc'!E:E,"Rollover Comprehensive - 1 Year OD + 1 Year TP")</f>
        <v>0</v>
      </c>
      <c r="AG209" s="34" t="s">
        <v>3930</v>
      </c>
      <c r="AH209" s="25" t="s">
        <v>3820</v>
      </c>
      <c r="AI209" s="33">
        <v>205.0</v>
      </c>
      <c r="AJ209" s="34" t="s">
        <v>3853</v>
      </c>
      <c r="AK209" s="34">
        <v>0.0</v>
      </c>
      <c r="AL209" s="34">
        <v>100.0</v>
      </c>
      <c r="AM209" s="34">
        <v>0.0</v>
      </c>
      <c r="AN209" s="34">
        <v>0.0</v>
      </c>
      <c r="AO209" s="33">
        <f>COUNTIFS('Data For Calculation - Insuranc'!A:A,A209,'Data For Calculation - Insuranc'!D:D,"Company",'Data For Calculation - Insuranc'!E:E,"Rollover Comprehensive - 1 Year OD + 1 Year TP")</f>
        <v>0</v>
      </c>
      <c r="AP209" s="34" t="s">
        <v>3931</v>
      </c>
      <c r="AQ209" s="25" t="s">
        <v>3820</v>
      </c>
      <c r="AR209" s="33">
        <v>205.0</v>
      </c>
      <c r="AS209" s="34" t="s">
        <v>3853</v>
      </c>
      <c r="AT209" s="34">
        <v>0.0</v>
      </c>
      <c r="AU209" s="34">
        <v>100.0</v>
      </c>
      <c r="AV209" s="34">
        <v>0.0</v>
      </c>
      <c r="AW209" s="34">
        <v>0.0</v>
      </c>
      <c r="AX209" s="33">
        <f>COUNTIFS('Data For Calculation - Insuranc'!A:A,A209,'Data For Calculation - Insuranc'!D:D,"Individual",'Data For Calculation - Insuranc'!E:E,"Rollover - 1 Year OD Only")</f>
        <v>0</v>
      </c>
      <c r="AY209" s="34" t="s">
        <v>3932</v>
      </c>
      <c r="AZ209" s="25" t="s">
        <v>3820</v>
      </c>
      <c r="BA209" s="33">
        <v>205.0</v>
      </c>
      <c r="BB209" s="34" t="s">
        <v>3853</v>
      </c>
      <c r="BC209" s="34">
        <v>0.0</v>
      </c>
      <c r="BD209" s="34">
        <v>100.0</v>
      </c>
      <c r="BE209" s="34">
        <v>0.0</v>
      </c>
      <c r="BF209" s="34">
        <v>0.0</v>
      </c>
      <c r="BG209" s="33">
        <f>COUNTIFS('Data For Calculation - Insuranc'!A:A,A209,'Data For Calculation - Insuranc'!D:D,"Company",'Data For Calculation - Insuranc'!E:E,"Rollover - 1 Year OD Only")</f>
        <v>0</v>
      </c>
      <c r="BH209" s="34" t="s">
        <v>3931</v>
      </c>
      <c r="BI209" s="25" t="s">
        <v>3820</v>
      </c>
      <c r="BJ209" s="33">
        <v>205.0</v>
      </c>
      <c r="BK209" s="34" t="s">
        <v>3853</v>
      </c>
      <c r="BL209" s="34">
        <v>0.0</v>
      </c>
      <c r="BM209" s="34">
        <v>100.0</v>
      </c>
      <c r="BN209" s="34">
        <v>0.0</v>
      </c>
      <c r="BO209" s="34">
        <v>0.0</v>
      </c>
      <c r="BP209" s="33">
        <f>COUNTIFS('Data For Calculation - Insuranc'!A:A,A209,'Data For Calculation - Insuranc'!D:D,"Individual",'Data For Calculation - Insuranc'!E:E,"Rollover - 1 Year TP Only")</f>
        <v>0</v>
      </c>
      <c r="BQ209" s="34" t="s">
        <v>3932</v>
      </c>
      <c r="BR209" s="25" t="s">
        <v>3820</v>
      </c>
      <c r="BS209" s="33">
        <v>205.0</v>
      </c>
      <c r="BT209" s="34" t="s">
        <v>3853</v>
      </c>
      <c r="BU209" s="34">
        <v>0.0</v>
      </c>
      <c r="BV209" s="34">
        <v>100.0</v>
      </c>
      <c r="BW209" s="34">
        <v>0.0</v>
      </c>
      <c r="BX209" s="34">
        <v>0.0</v>
      </c>
      <c r="BY209" s="33">
        <f>COUNTIFS('Data For Calculation - Insuranc'!A:A,A209,'Data For Calculation - Insuranc'!D:D,"Company",'Data For Calculation - Insuranc'!E:E,"Rollover - 1 Year TP Only")</f>
        <v>0</v>
      </c>
      <c r="BZ209" s="31">
        <f t="shared" si="1"/>
        <v>0</v>
      </c>
      <c r="CA209" s="33">
        <f>SUMIFS('Data For Calculation - Insuranc'!I:I,'Data For Calculation - Insuranc'!$A:$A,$A209)</f>
        <v>0</v>
      </c>
      <c r="CB209" s="33">
        <f>SUMIFS('Data For Calculation - Insuranc'!J:J,'Data For Calculation - Insuranc'!$A:$A,$A209)</f>
        <v>0</v>
      </c>
      <c r="CC209" s="33">
        <f>SUMIFS('Data For Calculation - Insuranc'!K:K,'Data For Calculation - Insuranc'!$A:$A,$A209)</f>
        <v>0</v>
      </c>
      <c r="CD209" s="33">
        <f>IF($CK209 = "Dealer", SUMIFS('Data For Calculation - Insuranc'!I:I,'Data For Calculation - Insuranc'!$B:$B,$A209,'Data For Calculation - Insuranc'!$H:$H,"Master Dealer")) + SUMIFS('Data For Calculation - Insuranc'!I:I,'Data For Calculation - Insuranc'!$A:$A,$A209,'Data For Calculation - Insuranc'!$H:$H,"Self")</f>
        <v>0</v>
      </c>
      <c r="CE209" s="33">
        <f>IF($CK209 = "Dealer", SUMIFS('Data For Calculation - Insuranc'!J:J,'Data For Calculation - Insuranc'!$B:$B,$A209,'Data For Calculation - Insuranc'!$H:$H,"Master Dealer")) + SUMIFS('Data For Calculation - Insuranc'!J:J,'Data For Calculation - Insuranc'!$A:$A,$A209,'Data For Calculation - Insuranc'!$H:$H,"Self")</f>
        <v>0</v>
      </c>
      <c r="CF209" s="33">
        <f>IF($CK209 = "Dealer", SUMIFS('Data For Calculation - Insuranc'!K:K,'Data For Calculation - Insuranc'!$B:$B,$A209,'Data For Calculation - Insuranc'!$H:$H,"Master Dealer")) + SUMIFS('Data For Calculation - Insuranc'!K:K,'Data For Calculation - Insuranc'!$A:$A,$A209,'Data For Calculation - Insuranc'!$H:$H,"Self")</f>
        <v>0</v>
      </c>
      <c r="CG209" s="25" t="str">
        <f>(Sheet1!N209)</f>
        <v>Asha Motor - Kannauj</v>
      </c>
      <c r="CH209" s="25" t="str">
        <f>(Sheet1!O209)</f>
        <v>1hlnCiW64Y7uZNVOj2ewyfTULbWj1dUaXX2rUREx8W8o</v>
      </c>
      <c r="CI209" s="25" t="str">
        <f>(Sheet1!AV209)</f>
        <v/>
      </c>
      <c r="CJ209" s="25" t="str">
        <f>(Sheet1!AW209)</f>
        <v/>
      </c>
      <c r="CK209" s="25" t="str">
        <f>(Sheet1!P209)</f>
        <v>Sub Dealer</v>
      </c>
    </row>
    <row r="210">
      <c r="A210" s="25" t="str">
        <f>(Sheet1!A210)</f>
        <v>1OzQsznHYYDF5b9H7Egq-41PQKlWLvAn0FP2aFBNQa-s</v>
      </c>
      <c r="B210" s="25" t="str">
        <f>(Sheet1!B210)</f>
        <v>Sri Venkkateshwara(VT) - Raichur</v>
      </c>
      <c r="C210" s="30" t="str">
        <f>Sheet1!BB210</f>
        <v>No</v>
      </c>
      <c r="D210" s="30" t="s">
        <v>3821</v>
      </c>
      <c r="E210" s="34" t="s">
        <v>13</v>
      </c>
      <c r="F210" s="34" t="s">
        <v>3929</v>
      </c>
      <c r="G210" s="42" t="s">
        <v>3856</v>
      </c>
      <c r="H210" s="43">
        <v>390.0</v>
      </c>
      <c r="I210" s="42" t="s">
        <v>3853</v>
      </c>
      <c r="J210" s="43">
        <v>0.0</v>
      </c>
      <c r="K210" s="43">
        <v>100.0</v>
      </c>
      <c r="L210" s="43">
        <v>0.0</v>
      </c>
      <c r="M210" s="43">
        <v>0.0</v>
      </c>
      <c r="N210" s="33">
        <f>COUNTIFS('Data For Calculation - Insuranc'!A:A,A210,'Data For Calculation - Insuranc'!D:D,"Individual",'Data For Calculation - Insuranc'!E:E,"Bundled - 1 Year OD + 5 Year TP")</f>
        <v>0</v>
      </c>
      <c r="O210" s="34" t="s">
        <v>3930</v>
      </c>
      <c r="P210" s="42" t="s">
        <v>3856</v>
      </c>
      <c r="Q210" s="43">
        <v>390.0</v>
      </c>
      <c r="R210" s="42" t="s">
        <v>3853</v>
      </c>
      <c r="S210" s="43">
        <v>0.0</v>
      </c>
      <c r="T210" s="43">
        <v>100.0</v>
      </c>
      <c r="U210" s="43">
        <v>0.0</v>
      </c>
      <c r="V210" s="43">
        <v>0.0</v>
      </c>
      <c r="W210" s="33">
        <f>COUNTIFS('Data For Calculation - Insuranc'!A:A,A210,'Data For Calculation - Insuranc'!D:D,"Company",'Data For Calculation - Insuranc'!E:E,"Bundled - 1 Year OD + 5 Year TP")</f>
        <v>0</v>
      </c>
      <c r="X210" s="34" t="s">
        <v>3929</v>
      </c>
      <c r="Y210" s="42" t="s">
        <v>3856</v>
      </c>
      <c r="Z210" s="31">
        <v>201.0</v>
      </c>
      <c r="AA210" s="34" t="s">
        <v>3853</v>
      </c>
      <c r="AB210" s="34">
        <v>0.0</v>
      </c>
      <c r="AC210" s="34">
        <v>100.0</v>
      </c>
      <c r="AD210" s="34">
        <v>0.0</v>
      </c>
      <c r="AE210" s="34">
        <v>0.0</v>
      </c>
      <c r="AF210" s="33">
        <f>COUNTIFS('Data For Calculation - Insuranc'!A:A,A210,'Data For Calculation - Insuranc'!D:D,"Individual",'Data For Calculation - Insuranc'!E:E,"Rollover Comprehensive - 1 Year OD + 1 Year TP")</f>
        <v>0</v>
      </c>
      <c r="AG210" s="34" t="s">
        <v>3930</v>
      </c>
      <c r="AH210" s="42" t="s">
        <v>3856</v>
      </c>
      <c r="AI210" s="31">
        <v>201.0</v>
      </c>
      <c r="AJ210" s="34" t="s">
        <v>3853</v>
      </c>
      <c r="AK210" s="34">
        <v>0.0</v>
      </c>
      <c r="AL210" s="34">
        <v>100.0</v>
      </c>
      <c r="AM210" s="34">
        <v>0.0</v>
      </c>
      <c r="AN210" s="34">
        <v>0.0</v>
      </c>
      <c r="AO210" s="33">
        <f>COUNTIFS('Data For Calculation - Insuranc'!A:A,A210,'Data For Calculation - Insuranc'!D:D,"Company",'Data For Calculation - Insuranc'!E:E,"Rollover Comprehensive - 1 Year OD + 1 Year TP")</f>
        <v>0</v>
      </c>
      <c r="AP210" s="34" t="s">
        <v>3931</v>
      </c>
      <c r="AQ210" s="42" t="s">
        <v>3856</v>
      </c>
      <c r="AR210" s="31">
        <v>201.0</v>
      </c>
      <c r="AS210" s="34" t="s">
        <v>3853</v>
      </c>
      <c r="AT210" s="34">
        <v>0.0</v>
      </c>
      <c r="AU210" s="34">
        <v>100.0</v>
      </c>
      <c r="AV210" s="34">
        <v>0.0</v>
      </c>
      <c r="AW210" s="34">
        <v>0.0</v>
      </c>
      <c r="AX210" s="33">
        <f>COUNTIFS('Data For Calculation - Insuranc'!A:A,A210,'Data For Calculation - Insuranc'!D:D,"Individual",'Data For Calculation - Insuranc'!E:E,"Rollover - 1 Year OD Only")</f>
        <v>0</v>
      </c>
      <c r="AY210" s="34" t="s">
        <v>3932</v>
      </c>
      <c r="AZ210" s="42" t="s">
        <v>3856</v>
      </c>
      <c r="BA210" s="31">
        <v>201.0</v>
      </c>
      <c r="BB210" s="34" t="s">
        <v>3853</v>
      </c>
      <c r="BC210" s="34">
        <v>0.0</v>
      </c>
      <c r="BD210" s="34">
        <v>100.0</v>
      </c>
      <c r="BE210" s="34">
        <v>0.0</v>
      </c>
      <c r="BF210" s="34">
        <v>0.0</v>
      </c>
      <c r="BG210" s="33">
        <f>COUNTIFS('Data For Calculation - Insuranc'!A:A,A210,'Data For Calculation - Insuranc'!D:D,"Company",'Data For Calculation - Insuranc'!E:E,"Rollover - 1 Year OD Only")</f>
        <v>0</v>
      </c>
      <c r="BH210" s="34" t="s">
        <v>3931</v>
      </c>
      <c r="BI210" s="42" t="s">
        <v>3856</v>
      </c>
      <c r="BJ210" s="31">
        <v>201.0</v>
      </c>
      <c r="BK210" s="34" t="s">
        <v>3853</v>
      </c>
      <c r="BL210" s="34">
        <v>0.0</v>
      </c>
      <c r="BM210" s="34">
        <v>100.0</v>
      </c>
      <c r="BN210" s="34">
        <v>0.0</v>
      </c>
      <c r="BO210" s="34">
        <v>0.0</v>
      </c>
      <c r="BP210" s="33">
        <f>COUNTIFS('Data For Calculation - Insuranc'!A:A,A210,'Data For Calculation - Insuranc'!D:D,"Individual",'Data For Calculation - Insuranc'!E:E,"Rollover - 1 Year TP Only")</f>
        <v>0</v>
      </c>
      <c r="BQ210" s="34" t="s">
        <v>3932</v>
      </c>
      <c r="BR210" s="42" t="s">
        <v>3856</v>
      </c>
      <c r="BS210" s="31">
        <v>201.0</v>
      </c>
      <c r="BT210" s="34" t="s">
        <v>3853</v>
      </c>
      <c r="BU210" s="34">
        <v>0.0</v>
      </c>
      <c r="BV210" s="34">
        <v>100.0</v>
      </c>
      <c r="BW210" s="34">
        <v>0.0</v>
      </c>
      <c r="BX210" s="34">
        <v>0.0</v>
      </c>
      <c r="BY210" s="33">
        <f>COUNTIFS('Data For Calculation - Insuranc'!A:A,A210,'Data For Calculation - Insuranc'!D:D,"Company",'Data For Calculation - Insuranc'!E:E,"Rollover - 1 Year TP Only")</f>
        <v>0</v>
      </c>
      <c r="BZ210" s="31">
        <f t="shared" si="1"/>
        <v>0</v>
      </c>
      <c r="CA210" s="33">
        <f>SUMIFS('Data For Calculation - Insuranc'!I:I,'Data For Calculation - Insuranc'!$A:$A,$A210)</f>
        <v>0</v>
      </c>
      <c r="CB210" s="33">
        <f>SUMIFS('Data For Calculation - Insuranc'!J:J,'Data For Calculation - Insuranc'!$A:$A,$A210)</f>
        <v>0</v>
      </c>
      <c r="CC210" s="33">
        <f>SUMIFS('Data For Calculation - Insuranc'!K:K,'Data For Calculation - Insuranc'!$A:$A,$A210)</f>
        <v>0</v>
      </c>
      <c r="CD210" s="33">
        <f>IF($CK210 = "Dealer", SUMIFS('Data For Calculation - Insuranc'!I:I,'Data For Calculation - Insuranc'!$B:$B,$A210,'Data For Calculation - Insuranc'!$H:$H,"Master Dealer")) + SUMIFS('Data For Calculation - Insuranc'!I:I,'Data For Calculation - Insuranc'!$A:$A,$A210,'Data For Calculation - Insuranc'!$H:$H,"Self")</f>
        <v>0</v>
      </c>
      <c r="CE210" s="33">
        <f>IF($CK210 = "Dealer", SUMIFS('Data For Calculation - Insuranc'!J:J,'Data For Calculation - Insuranc'!$B:$B,$A210,'Data For Calculation - Insuranc'!$H:$H,"Master Dealer")) + SUMIFS('Data For Calculation - Insuranc'!J:J,'Data For Calculation - Insuranc'!$A:$A,$A210,'Data For Calculation - Insuranc'!$H:$H,"Self")</f>
        <v>0</v>
      </c>
      <c r="CF210" s="33">
        <f>IF($CK210 = "Dealer", SUMIFS('Data For Calculation - Insuranc'!K:K,'Data For Calculation - Insuranc'!$B:$B,$A210,'Data For Calculation - Insuranc'!$H:$H,"Master Dealer")) + SUMIFS('Data For Calculation - Insuranc'!K:K,'Data For Calculation - Insuranc'!$A:$A,$A210,'Data For Calculation - Insuranc'!$H:$H,"Self")</f>
        <v>0</v>
      </c>
      <c r="CG210" s="25" t="str">
        <f>(Sheet1!N210)</f>
        <v>Vidhi Trading</v>
      </c>
      <c r="CH210" s="25" t="str">
        <f>(Sheet1!O210)</f>
        <v>1RYX1vfvY0jbK-8SlRPLYU11dr-HUe2ntxj5PumL7c0I</v>
      </c>
      <c r="CI210" s="25" t="str">
        <f>(Sheet1!AV210)</f>
        <v/>
      </c>
      <c r="CJ210" s="25" t="str">
        <f>(Sheet1!AW210)</f>
        <v/>
      </c>
      <c r="CK210" s="25" t="str">
        <f>(Sheet1!P210)</f>
        <v>Sub Dealer</v>
      </c>
    </row>
    <row r="211">
      <c r="A211" s="25" t="str">
        <f>(Sheet1!A211)</f>
        <v>11KI2mOYZ4I9wDgZ2By8zUkmcvYLaWDOUT2Ivww0nVBM</v>
      </c>
      <c r="B211" s="25" t="str">
        <f>(Sheet1!B211)</f>
        <v>Shree Balaji Bajaj Showroom(VT) - Raichur</v>
      </c>
      <c r="C211" s="30" t="str">
        <f>Sheet1!BB211</f>
        <v>No</v>
      </c>
      <c r="D211" s="30" t="s">
        <v>3821</v>
      </c>
      <c r="E211" s="34" t="s">
        <v>13</v>
      </c>
      <c r="F211" s="34" t="s">
        <v>3929</v>
      </c>
      <c r="G211" s="42" t="s">
        <v>3856</v>
      </c>
      <c r="H211" s="43">
        <v>390.0</v>
      </c>
      <c r="I211" s="42" t="s">
        <v>3853</v>
      </c>
      <c r="J211" s="43">
        <v>0.0</v>
      </c>
      <c r="K211" s="43">
        <v>100.0</v>
      </c>
      <c r="L211" s="43">
        <v>0.0</v>
      </c>
      <c r="M211" s="43">
        <v>0.0</v>
      </c>
      <c r="N211" s="33">
        <f>COUNTIFS('Data For Calculation - Insuranc'!A:A,A211,'Data For Calculation - Insuranc'!D:D,"Individual",'Data For Calculation - Insuranc'!E:E,"Bundled - 1 Year OD + 5 Year TP")</f>
        <v>0</v>
      </c>
      <c r="O211" s="34" t="s">
        <v>3930</v>
      </c>
      <c r="P211" s="42" t="s">
        <v>3856</v>
      </c>
      <c r="Q211" s="43">
        <v>390.0</v>
      </c>
      <c r="R211" s="42" t="s">
        <v>3853</v>
      </c>
      <c r="S211" s="43">
        <v>0.0</v>
      </c>
      <c r="T211" s="43">
        <v>100.0</v>
      </c>
      <c r="U211" s="43">
        <v>0.0</v>
      </c>
      <c r="V211" s="43">
        <v>0.0</v>
      </c>
      <c r="W211" s="33">
        <f>COUNTIFS('Data For Calculation - Insuranc'!A:A,A211,'Data For Calculation - Insuranc'!D:D,"Company",'Data For Calculation - Insuranc'!E:E,"Bundled - 1 Year OD + 5 Year TP")</f>
        <v>0</v>
      </c>
      <c r="X211" s="34" t="s">
        <v>3929</v>
      </c>
      <c r="Y211" s="42" t="s">
        <v>3856</v>
      </c>
      <c r="Z211" s="31">
        <v>201.0</v>
      </c>
      <c r="AA211" s="34" t="s">
        <v>3853</v>
      </c>
      <c r="AB211" s="34">
        <v>0.0</v>
      </c>
      <c r="AC211" s="34">
        <v>100.0</v>
      </c>
      <c r="AD211" s="34">
        <v>0.0</v>
      </c>
      <c r="AE211" s="34">
        <v>0.0</v>
      </c>
      <c r="AF211" s="33">
        <f>COUNTIFS('Data For Calculation - Insuranc'!A:A,A211,'Data For Calculation - Insuranc'!D:D,"Individual",'Data For Calculation - Insuranc'!E:E,"Rollover Comprehensive - 1 Year OD + 1 Year TP")</f>
        <v>0</v>
      </c>
      <c r="AG211" s="34" t="s">
        <v>3930</v>
      </c>
      <c r="AH211" s="42" t="s">
        <v>3856</v>
      </c>
      <c r="AI211" s="31">
        <v>201.0</v>
      </c>
      <c r="AJ211" s="34" t="s">
        <v>3853</v>
      </c>
      <c r="AK211" s="34">
        <v>0.0</v>
      </c>
      <c r="AL211" s="34">
        <v>100.0</v>
      </c>
      <c r="AM211" s="34">
        <v>0.0</v>
      </c>
      <c r="AN211" s="34">
        <v>0.0</v>
      </c>
      <c r="AO211" s="33">
        <f>COUNTIFS('Data For Calculation - Insuranc'!A:A,A211,'Data For Calculation - Insuranc'!D:D,"Company",'Data For Calculation - Insuranc'!E:E,"Rollover Comprehensive - 1 Year OD + 1 Year TP")</f>
        <v>0</v>
      </c>
      <c r="AP211" s="34" t="s">
        <v>3931</v>
      </c>
      <c r="AQ211" s="42" t="s">
        <v>3856</v>
      </c>
      <c r="AR211" s="31">
        <v>201.0</v>
      </c>
      <c r="AS211" s="34" t="s">
        <v>3853</v>
      </c>
      <c r="AT211" s="34">
        <v>0.0</v>
      </c>
      <c r="AU211" s="34">
        <v>100.0</v>
      </c>
      <c r="AV211" s="34">
        <v>0.0</v>
      </c>
      <c r="AW211" s="34">
        <v>0.0</v>
      </c>
      <c r="AX211" s="33">
        <f>COUNTIFS('Data For Calculation - Insuranc'!A:A,A211,'Data For Calculation - Insuranc'!D:D,"Individual",'Data For Calculation - Insuranc'!E:E,"Rollover - 1 Year OD Only")</f>
        <v>0</v>
      </c>
      <c r="AY211" s="34" t="s">
        <v>3932</v>
      </c>
      <c r="AZ211" s="42" t="s">
        <v>3856</v>
      </c>
      <c r="BA211" s="31">
        <v>201.0</v>
      </c>
      <c r="BB211" s="34" t="s">
        <v>3853</v>
      </c>
      <c r="BC211" s="34">
        <v>0.0</v>
      </c>
      <c r="BD211" s="34">
        <v>100.0</v>
      </c>
      <c r="BE211" s="34">
        <v>0.0</v>
      </c>
      <c r="BF211" s="34">
        <v>0.0</v>
      </c>
      <c r="BG211" s="33">
        <f>COUNTIFS('Data For Calculation - Insuranc'!A:A,A211,'Data For Calculation - Insuranc'!D:D,"Company",'Data For Calculation - Insuranc'!E:E,"Rollover - 1 Year OD Only")</f>
        <v>0</v>
      </c>
      <c r="BH211" s="34" t="s">
        <v>3931</v>
      </c>
      <c r="BI211" s="42" t="s">
        <v>3856</v>
      </c>
      <c r="BJ211" s="31">
        <v>201.0</v>
      </c>
      <c r="BK211" s="34" t="s">
        <v>3853</v>
      </c>
      <c r="BL211" s="34">
        <v>0.0</v>
      </c>
      <c r="BM211" s="34">
        <v>100.0</v>
      </c>
      <c r="BN211" s="34">
        <v>0.0</v>
      </c>
      <c r="BO211" s="34">
        <v>0.0</v>
      </c>
      <c r="BP211" s="33">
        <f>COUNTIFS('Data For Calculation - Insuranc'!A:A,A211,'Data For Calculation - Insuranc'!D:D,"Individual",'Data For Calculation - Insuranc'!E:E,"Rollover - 1 Year TP Only")</f>
        <v>0</v>
      </c>
      <c r="BQ211" s="34" t="s">
        <v>3932</v>
      </c>
      <c r="BR211" s="42" t="s">
        <v>3856</v>
      </c>
      <c r="BS211" s="31">
        <v>201.0</v>
      </c>
      <c r="BT211" s="34" t="s">
        <v>3853</v>
      </c>
      <c r="BU211" s="34">
        <v>0.0</v>
      </c>
      <c r="BV211" s="34">
        <v>100.0</v>
      </c>
      <c r="BW211" s="34">
        <v>0.0</v>
      </c>
      <c r="BX211" s="34">
        <v>0.0</v>
      </c>
      <c r="BY211" s="33">
        <f>COUNTIFS('Data For Calculation - Insuranc'!A:A,A211,'Data For Calculation - Insuranc'!D:D,"Company",'Data For Calculation - Insuranc'!E:E,"Rollover - 1 Year TP Only")</f>
        <v>0</v>
      </c>
      <c r="BZ211" s="31">
        <f t="shared" si="1"/>
        <v>0</v>
      </c>
      <c r="CA211" s="33">
        <f>SUMIFS('Data For Calculation - Insuranc'!I:I,'Data For Calculation - Insuranc'!$A:$A,$A211)</f>
        <v>0</v>
      </c>
      <c r="CB211" s="33">
        <f>SUMIFS('Data For Calculation - Insuranc'!J:J,'Data For Calculation - Insuranc'!$A:$A,$A211)</f>
        <v>0</v>
      </c>
      <c r="CC211" s="33">
        <f>SUMIFS('Data For Calculation - Insuranc'!K:K,'Data For Calculation - Insuranc'!$A:$A,$A211)</f>
        <v>0</v>
      </c>
      <c r="CD211" s="33">
        <f>IF($CK211 = "Dealer", SUMIFS('Data For Calculation - Insuranc'!I:I,'Data For Calculation - Insuranc'!$B:$B,$A211,'Data For Calculation - Insuranc'!$H:$H,"Master Dealer")) + SUMIFS('Data For Calculation - Insuranc'!I:I,'Data For Calculation - Insuranc'!$A:$A,$A211,'Data For Calculation - Insuranc'!$H:$H,"Self")</f>
        <v>0</v>
      </c>
      <c r="CE211" s="33">
        <f>IF($CK211 = "Dealer", SUMIFS('Data For Calculation - Insuranc'!J:J,'Data For Calculation - Insuranc'!$B:$B,$A211,'Data For Calculation - Insuranc'!$H:$H,"Master Dealer")) + SUMIFS('Data For Calculation - Insuranc'!J:J,'Data For Calculation - Insuranc'!$A:$A,$A211,'Data For Calculation - Insuranc'!$H:$H,"Self")</f>
        <v>0</v>
      </c>
      <c r="CF211" s="33">
        <f>IF($CK211 = "Dealer", SUMIFS('Data For Calculation - Insuranc'!K:K,'Data For Calculation - Insuranc'!$B:$B,$A211,'Data For Calculation - Insuranc'!$H:$H,"Master Dealer")) + SUMIFS('Data For Calculation - Insuranc'!K:K,'Data For Calculation - Insuranc'!$A:$A,$A211,'Data For Calculation - Insuranc'!$H:$H,"Self")</f>
        <v>0</v>
      </c>
      <c r="CG211" s="25" t="str">
        <f>(Sheet1!N211)</f>
        <v>Vidhi Trading</v>
      </c>
      <c r="CH211" s="25" t="str">
        <f>(Sheet1!O211)</f>
        <v>1RYX1vfvY0jbK-8SlRPLYU11dr-HUe2ntxj5PumL7c0I</v>
      </c>
      <c r="CI211" s="25" t="str">
        <f>(Sheet1!AV211)</f>
        <v/>
      </c>
      <c r="CJ211" s="25" t="str">
        <f>(Sheet1!AW211)</f>
        <v/>
      </c>
      <c r="CK211" s="25" t="str">
        <f>(Sheet1!P211)</f>
        <v>Sub Dealer</v>
      </c>
    </row>
    <row r="212">
      <c r="A212" s="25" t="str">
        <f>(Sheet1!A212)</f>
        <v>1UEfgxxulqp3XdpHhzd5wSRwLxDHVUpADNPLxS1b2Hvo</v>
      </c>
      <c r="B212" s="25" t="str">
        <f>(Sheet1!B212)</f>
        <v>Mayank TEST</v>
      </c>
      <c r="C212" s="30" t="str">
        <f>Sheet1!BB212</f>
        <v>No</v>
      </c>
      <c r="D212" s="30" t="s">
        <v>13</v>
      </c>
      <c r="E212" s="34" t="s">
        <v>13</v>
      </c>
      <c r="F212" s="34" t="s">
        <v>3929</v>
      </c>
      <c r="G212" s="42" t="s">
        <v>3854</v>
      </c>
      <c r="H212" s="43">
        <v>460.0</v>
      </c>
      <c r="I212" s="42" t="s">
        <v>3853</v>
      </c>
      <c r="J212" s="43">
        <v>20.0</v>
      </c>
      <c r="K212" s="43">
        <v>60.0</v>
      </c>
      <c r="L212" s="43">
        <v>20.0</v>
      </c>
      <c r="M212" s="43">
        <v>20.0</v>
      </c>
      <c r="N212" s="33">
        <f>COUNTIFS('Data For Calculation - Insuranc'!A:A,A212,'Data For Calculation - Insuranc'!D:D,"Individual",'Data For Calculation - Insuranc'!E:E,"Bundled - 1 Year OD + 5 Year TP")</f>
        <v>0</v>
      </c>
      <c r="O212" s="34" t="s">
        <v>3930</v>
      </c>
      <c r="P212" s="42" t="s">
        <v>3854</v>
      </c>
      <c r="Q212" s="43">
        <v>460.0</v>
      </c>
      <c r="R212" s="42" t="s">
        <v>3853</v>
      </c>
      <c r="S212" s="43">
        <v>20.0</v>
      </c>
      <c r="T212" s="43">
        <v>60.0</v>
      </c>
      <c r="U212" s="43">
        <v>20.0</v>
      </c>
      <c r="V212" s="43">
        <v>20.0</v>
      </c>
      <c r="W212" s="33">
        <f>COUNTIFS('Data For Calculation - Insuranc'!A:A,A212,'Data For Calculation - Insuranc'!D:D,"Company",'Data For Calculation - Insuranc'!E:E,"Bundled - 1 Year OD + 5 Year TP")</f>
        <v>0</v>
      </c>
      <c r="X212" s="34" t="s">
        <v>3929</v>
      </c>
      <c r="Y212" s="42" t="s">
        <v>3854</v>
      </c>
      <c r="Z212" s="31">
        <v>290.0</v>
      </c>
      <c r="AA212" s="34" t="s">
        <v>3853</v>
      </c>
      <c r="AB212" s="34">
        <v>0.0</v>
      </c>
      <c r="AC212" s="34">
        <v>100.0</v>
      </c>
      <c r="AD212" s="34">
        <v>0.0</v>
      </c>
      <c r="AE212" s="34">
        <v>0.0</v>
      </c>
      <c r="AF212" s="33">
        <f>COUNTIFS('Data For Calculation - Insuranc'!A:A,A212,'Data For Calculation - Insuranc'!D:D,"Individual",'Data For Calculation - Insuranc'!E:E,"Rollover Comprehensive - 1 Year OD + 1 Year TP")</f>
        <v>0</v>
      </c>
      <c r="AG212" s="34" t="s">
        <v>3930</v>
      </c>
      <c r="AH212" s="42" t="s">
        <v>3854</v>
      </c>
      <c r="AI212" s="31">
        <v>290.0</v>
      </c>
      <c r="AJ212" s="34" t="s">
        <v>3853</v>
      </c>
      <c r="AK212" s="34">
        <v>0.0</v>
      </c>
      <c r="AL212" s="34">
        <v>100.0</v>
      </c>
      <c r="AM212" s="34">
        <v>0.0</v>
      </c>
      <c r="AN212" s="34">
        <v>0.0</v>
      </c>
      <c r="AO212" s="33">
        <f>COUNTIFS('Data For Calculation - Insuranc'!A:A,A212,'Data For Calculation - Insuranc'!D:D,"Company",'Data For Calculation - Insuranc'!E:E,"Rollover Comprehensive - 1 Year OD + 1 Year TP")</f>
        <v>0</v>
      </c>
      <c r="AP212" s="34" t="s">
        <v>3931</v>
      </c>
      <c r="AQ212" s="42" t="s">
        <v>3854</v>
      </c>
      <c r="AR212" s="31">
        <v>290.0</v>
      </c>
      <c r="AS212" s="34" t="s">
        <v>3853</v>
      </c>
      <c r="AT212" s="34">
        <v>0.0</v>
      </c>
      <c r="AU212" s="34">
        <v>100.0</v>
      </c>
      <c r="AV212" s="34">
        <v>0.0</v>
      </c>
      <c r="AW212" s="34">
        <v>0.0</v>
      </c>
      <c r="AX212" s="33">
        <f>COUNTIFS('Data For Calculation - Insuranc'!A:A,A212,'Data For Calculation - Insuranc'!D:D,"Individual",'Data For Calculation - Insuranc'!E:E,"Rollover - 1 Year OD Only")</f>
        <v>0</v>
      </c>
      <c r="AY212" s="34" t="s">
        <v>3932</v>
      </c>
      <c r="AZ212" s="42" t="s">
        <v>3854</v>
      </c>
      <c r="BA212" s="31">
        <v>290.0</v>
      </c>
      <c r="BB212" s="34" t="s">
        <v>3853</v>
      </c>
      <c r="BC212" s="34">
        <v>0.0</v>
      </c>
      <c r="BD212" s="34">
        <v>100.0</v>
      </c>
      <c r="BE212" s="34">
        <v>0.0</v>
      </c>
      <c r="BF212" s="34">
        <v>0.0</v>
      </c>
      <c r="BG212" s="33">
        <f>COUNTIFS('Data For Calculation - Insuranc'!A:A,A212,'Data For Calculation - Insuranc'!D:D,"Company",'Data For Calculation - Insuranc'!E:E,"Rollover - 1 Year OD Only")</f>
        <v>0</v>
      </c>
      <c r="BH212" s="34" t="s">
        <v>3931</v>
      </c>
      <c r="BI212" s="42" t="s">
        <v>3854</v>
      </c>
      <c r="BJ212" s="31">
        <v>290.0</v>
      </c>
      <c r="BK212" s="34" t="s">
        <v>3853</v>
      </c>
      <c r="BL212" s="34">
        <v>0.0</v>
      </c>
      <c r="BM212" s="34">
        <v>100.0</v>
      </c>
      <c r="BN212" s="34">
        <v>0.0</v>
      </c>
      <c r="BO212" s="34">
        <v>0.0</v>
      </c>
      <c r="BP212" s="33">
        <f>COUNTIFS('Data For Calculation - Insuranc'!A:A,A212,'Data For Calculation - Insuranc'!D:D,"Individual",'Data For Calculation - Insuranc'!E:E,"Rollover - 1 Year TP Only")</f>
        <v>0</v>
      </c>
      <c r="BQ212" s="34" t="s">
        <v>3932</v>
      </c>
      <c r="BR212" s="42" t="s">
        <v>3854</v>
      </c>
      <c r="BS212" s="31">
        <v>290.0</v>
      </c>
      <c r="BT212" s="34" t="s">
        <v>3853</v>
      </c>
      <c r="BU212" s="34">
        <v>0.0</v>
      </c>
      <c r="BV212" s="34">
        <v>100.0</v>
      </c>
      <c r="BW212" s="34">
        <v>0.0</v>
      </c>
      <c r="BX212" s="34">
        <v>0.0</v>
      </c>
      <c r="BY212" s="33">
        <f>COUNTIFS('Data For Calculation - Insuranc'!A:A,A212,'Data For Calculation - Insuranc'!D:D,"Company",'Data For Calculation - Insuranc'!E:E,"Rollover - 1 Year TP Only")</f>
        <v>0</v>
      </c>
      <c r="BZ212" s="31">
        <f t="shared" si="1"/>
        <v>0</v>
      </c>
      <c r="CA212" s="33">
        <f>SUMIFS('Data For Calculation - Insuranc'!I:I,'Data For Calculation - Insuranc'!$A:$A,$A212)</f>
        <v>0</v>
      </c>
      <c r="CB212" s="33">
        <f>SUMIFS('Data For Calculation - Insuranc'!J:J,'Data For Calculation - Insuranc'!$A:$A,$A212)</f>
        <v>0</v>
      </c>
      <c r="CC212" s="33">
        <f>SUMIFS('Data For Calculation - Insuranc'!K:K,'Data For Calculation - Insuranc'!$A:$A,$A212)</f>
        <v>0</v>
      </c>
      <c r="CD212" s="33">
        <f>IF($CK212 = "Dealer", SUMIFS('Data For Calculation - Insuranc'!I:I,'Data For Calculation - Insuranc'!$B:$B,$A212,'Data For Calculation - Insuranc'!$H:$H,"Master Dealer")) + SUMIFS('Data For Calculation - Insuranc'!I:I,'Data For Calculation - Insuranc'!$A:$A,$A212,'Data For Calculation - Insuranc'!$H:$H,"Self")</f>
        <v>0</v>
      </c>
      <c r="CE212" s="33">
        <f>IF($CK212 = "Dealer", SUMIFS('Data For Calculation - Insuranc'!J:J,'Data For Calculation - Insuranc'!$B:$B,$A212,'Data For Calculation - Insuranc'!$H:$H,"Master Dealer")) + SUMIFS('Data For Calculation - Insuranc'!J:J,'Data For Calculation - Insuranc'!$A:$A,$A212,'Data For Calculation - Insuranc'!$H:$H,"Self")</f>
        <v>0</v>
      </c>
      <c r="CF212" s="33">
        <f>IF($CK212 = "Dealer", SUMIFS('Data For Calculation - Insuranc'!K:K,'Data For Calculation - Insuranc'!$B:$B,$A212,'Data For Calculation - Insuranc'!$H:$H,"Master Dealer")) + SUMIFS('Data For Calculation - Insuranc'!K:K,'Data For Calculation - Insuranc'!$A:$A,$A212,'Data For Calculation - Insuranc'!$H:$H,"Self")</f>
        <v>0</v>
      </c>
      <c r="CG212" s="25" t="str">
        <f>(Sheet1!N212)</f>
        <v>MPS</v>
      </c>
      <c r="CH212" s="25" t="str">
        <f>(Sheet1!O212)</f>
        <v>1ClXh28BQwwGN7Q42xt0Dc8b_R_3jweBItLcbwVq3Rj0</v>
      </c>
      <c r="CI212" s="25" t="str">
        <f>(Sheet1!AV212)</f>
        <v/>
      </c>
      <c r="CJ212" s="25" t="str">
        <f>(Sheet1!AW212)</f>
        <v/>
      </c>
      <c r="CK212" s="26" t="str">
        <f>(Sheet1!P212)</f>
        <v>Sub Dealer</v>
      </c>
    </row>
    <row r="213">
      <c r="A213" s="25" t="str">
        <f>(Sheet1!A213)</f>
        <v>1GSsoBjWtxEEY9Oe4QB_zfBq2Y31JMCHYWDUPZcHZ4Is</v>
      </c>
      <c r="B213" s="25" t="str">
        <f>(Sheet1!B213)</f>
        <v>Begusarai Auto Agencies - Begusarai</v>
      </c>
      <c r="C213" s="30" t="str">
        <f>Sheet1!BB213</f>
        <v>No</v>
      </c>
      <c r="D213" s="30" t="s">
        <v>13</v>
      </c>
      <c r="E213" s="34" t="s">
        <v>13</v>
      </c>
      <c r="F213" s="34" t="s">
        <v>3929</v>
      </c>
      <c r="G213" s="25" t="s">
        <v>3817</v>
      </c>
      <c r="H213" s="43">
        <v>375.0</v>
      </c>
      <c r="I213" s="42" t="s">
        <v>3853</v>
      </c>
      <c r="J213" s="43">
        <v>0.0</v>
      </c>
      <c r="K213" s="43">
        <v>100.0</v>
      </c>
      <c r="L213" s="43">
        <v>0.0</v>
      </c>
      <c r="M213" s="43">
        <v>0.0</v>
      </c>
      <c r="N213" s="33">
        <f>COUNTIFS('Data For Calculation - Insuranc'!A:A,A213,'Data For Calculation - Insuranc'!D:D,"Individual",'Data For Calculation - Insuranc'!E:E,"Bundled - 1 Year OD + 5 Year TP")</f>
        <v>0</v>
      </c>
      <c r="O213" s="34" t="s">
        <v>3930</v>
      </c>
      <c r="P213" s="25" t="s">
        <v>3817</v>
      </c>
      <c r="Q213" s="43">
        <v>375.0</v>
      </c>
      <c r="R213" s="42" t="s">
        <v>3853</v>
      </c>
      <c r="S213" s="43">
        <v>0.0</v>
      </c>
      <c r="T213" s="43">
        <v>100.0</v>
      </c>
      <c r="U213" s="43">
        <v>0.0</v>
      </c>
      <c r="V213" s="43">
        <v>0.0</v>
      </c>
      <c r="W213" s="33">
        <f>COUNTIFS('Data For Calculation - Insuranc'!A:A,A213,'Data For Calculation - Insuranc'!D:D,"Company",'Data For Calculation - Insuranc'!E:E,"Bundled - 1 Year OD + 5 Year TP")</f>
        <v>0</v>
      </c>
      <c r="X213" s="34" t="s">
        <v>3929</v>
      </c>
      <c r="Y213" s="25" t="s">
        <v>3817</v>
      </c>
      <c r="Z213" s="40">
        <v>205.0</v>
      </c>
      <c r="AA213" s="34" t="s">
        <v>3853</v>
      </c>
      <c r="AB213" s="34">
        <v>0.0</v>
      </c>
      <c r="AC213" s="34">
        <v>100.0</v>
      </c>
      <c r="AD213" s="34">
        <v>0.0</v>
      </c>
      <c r="AE213" s="34">
        <v>0.0</v>
      </c>
      <c r="AF213" s="33">
        <f>COUNTIFS('Data For Calculation - Insuranc'!A:A,A213,'Data For Calculation - Insuranc'!D:D,"Individual",'Data For Calculation - Insuranc'!E:E,"Rollover Comprehensive - 1 Year OD + 1 Year TP")</f>
        <v>0</v>
      </c>
      <c r="AG213" s="34" t="s">
        <v>3930</v>
      </c>
      <c r="AH213" s="25" t="s">
        <v>3817</v>
      </c>
      <c r="AI213" s="40">
        <v>205.0</v>
      </c>
      <c r="AJ213" s="34" t="s">
        <v>3853</v>
      </c>
      <c r="AK213" s="34">
        <v>0.0</v>
      </c>
      <c r="AL213" s="34">
        <v>100.0</v>
      </c>
      <c r="AM213" s="34">
        <v>0.0</v>
      </c>
      <c r="AN213" s="34">
        <v>0.0</v>
      </c>
      <c r="AO213" s="33">
        <f>COUNTIFS('Data For Calculation - Insuranc'!A:A,A213,'Data For Calculation - Insuranc'!D:D,"Company",'Data For Calculation - Insuranc'!E:E,"Rollover Comprehensive - 1 Year OD + 1 Year TP")</f>
        <v>0</v>
      </c>
      <c r="AP213" s="34" t="s">
        <v>3931</v>
      </c>
      <c r="AQ213" s="25" t="s">
        <v>3817</v>
      </c>
      <c r="AR213" s="40">
        <v>205.0</v>
      </c>
      <c r="AS213" s="34" t="s">
        <v>3853</v>
      </c>
      <c r="AT213" s="34">
        <v>0.0</v>
      </c>
      <c r="AU213" s="34">
        <v>100.0</v>
      </c>
      <c r="AV213" s="34">
        <v>0.0</v>
      </c>
      <c r="AW213" s="34">
        <v>0.0</v>
      </c>
      <c r="AX213" s="33">
        <f>COUNTIFS('Data For Calculation - Insuranc'!A:A,A213,'Data For Calculation - Insuranc'!D:D,"Individual",'Data For Calculation - Insuranc'!E:E,"Rollover - 1 Year OD Only")</f>
        <v>0</v>
      </c>
      <c r="AY213" s="34" t="s">
        <v>3932</v>
      </c>
      <c r="AZ213" s="25" t="s">
        <v>3817</v>
      </c>
      <c r="BA213" s="40">
        <v>205.0</v>
      </c>
      <c r="BB213" s="34" t="s">
        <v>3853</v>
      </c>
      <c r="BC213" s="34">
        <v>0.0</v>
      </c>
      <c r="BD213" s="34">
        <v>100.0</v>
      </c>
      <c r="BE213" s="34">
        <v>0.0</v>
      </c>
      <c r="BF213" s="34">
        <v>0.0</v>
      </c>
      <c r="BG213" s="33">
        <f>COUNTIFS('Data For Calculation - Insuranc'!A:A,A213,'Data For Calculation - Insuranc'!D:D,"Company",'Data For Calculation - Insuranc'!E:E,"Rollover - 1 Year OD Only")</f>
        <v>0</v>
      </c>
      <c r="BH213" s="34" t="s">
        <v>3931</v>
      </c>
      <c r="BI213" s="25" t="s">
        <v>3817</v>
      </c>
      <c r="BJ213" s="40">
        <v>205.0</v>
      </c>
      <c r="BK213" s="34" t="s">
        <v>3853</v>
      </c>
      <c r="BL213" s="34">
        <v>0.0</v>
      </c>
      <c r="BM213" s="34">
        <v>100.0</v>
      </c>
      <c r="BN213" s="34">
        <v>0.0</v>
      </c>
      <c r="BO213" s="34">
        <v>0.0</v>
      </c>
      <c r="BP213" s="33">
        <f>COUNTIFS('Data For Calculation - Insuranc'!A:A,A213,'Data For Calculation - Insuranc'!D:D,"Individual",'Data For Calculation - Insuranc'!E:E,"Rollover - 1 Year TP Only")</f>
        <v>0</v>
      </c>
      <c r="BQ213" s="34" t="s">
        <v>3932</v>
      </c>
      <c r="BR213" s="25" t="s">
        <v>3817</v>
      </c>
      <c r="BS213" s="40">
        <v>205.0</v>
      </c>
      <c r="BT213" s="34" t="s">
        <v>3853</v>
      </c>
      <c r="BU213" s="34">
        <v>0.0</v>
      </c>
      <c r="BV213" s="34">
        <v>100.0</v>
      </c>
      <c r="BW213" s="34">
        <v>0.0</v>
      </c>
      <c r="BX213" s="34">
        <v>0.0</v>
      </c>
      <c r="BY213" s="33">
        <f>COUNTIFS('Data For Calculation - Insuranc'!A:A,A213,'Data For Calculation - Insuranc'!D:D,"Company",'Data For Calculation - Insuranc'!E:E,"Rollover - 1 Year TP Only")</f>
        <v>0</v>
      </c>
      <c r="BZ213" s="31">
        <f t="shared" si="1"/>
        <v>0</v>
      </c>
      <c r="CA213" s="33">
        <f>SUMIFS('Data For Calculation - Insuranc'!I:I,'Data For Calculation - Insuranc'!$A:$A,$A213)</f>
        <v>0</v>
      </c>
      <c r="CB213" s="33">
        <f>SUMIFS('Data For Calculation - Insuranc'!J:J,'Data For Calculation - Insuranc'!$A:$A,$A213)</f>
        <v>0</v>
      </c>
      <c r="CC213" s="33">
        <f>SUMIFS('Data For Calculation - Insuranc'!K:K,'Data For Calculation - Insuranc'!$A:$A,$A213)</f>
        <v>0</v>
      </c>
      <c r="CD213" s="33">
        <f>IF($CK213 = "Dealer", SUMIFS('Data For Calculation - Insuranc'!I:I,'Data For Calculation - Insuranc'!$B:$B,$A213,'Data For Calculation - Insuranc'!$H:$H,"Master Dealer")) + SUMIFS('Data For Calculation - Insuranc'!I:I,'Data For Calculation - Insuranc'!$A:$A,$A213,'Data For Calculation - Insuranc'!$H:$H,"Self")</f>
        <v>0</v>
      </c>
      <c r="CE213" s="33">
        <f>IF($CK213 = "Dealer", SUMIFS('Data For Calculation - Insuranc'!J:J,'Data For Calculation - Insuranc'!$B:$B,$A213,'Data For Calculation - Insuranc'!$H:$H,"Master Dealer")) + SUMIFS('Data For Calculation - Insuranc'!J:J,'Data For Calculation - Insuranc'!$A:$A,$A213,'Data For Calculation - Insuranc'!$H:$H,"Self")</f>
        <v>0</v>
      </c>
      <c r="CF213" s="33">
        <f>IF($CK213 = "Dealer", SUMIFS('Data For Calculation - Insuranc'!K:K,'Data For Calculation - Insuranc'!$B:$B,$A213,'Data For Calculation - Insuranc'!$H:$H,"Master Dealer")) + SUMIFS('Data For Calculation - Insuranc'!K:K,'Data For Calculation - Insuranc'!$A:$A,$A213,'Data For Calculation - Insuranc'!$H:$H,"Self")</f>
        <v>0</v>
      </c>
      <c r="CG213" s="25" t="str">
        <f>(Sheet1!N213)</f>
        <v>Begusarai Auto Agencies - Begusarai</v>
      </c>
      <c r="CH213" s="25" t="str">
        <f>(Sheet1!O213)</f>
        <v>1GSsoBjWtxEEY9Oe4QB_zfBq2Y31JMCHYWDUPZcHZ4Is</v>
      </c>
      <c r="CI213" s="25" t="str">
        <f>(Sheet1!AV213)</f>
        <v/>
      </c>
      <c r="CJ213" s="25" t="str">
        <f>(Sheet1!AW213)</f>
        <v/>
      </c>
      <c r="CK213" s="26" t="str">
        <f>(Sheet1!P213)</f>
        <v>Dealer</v>
      </c>
    </row>
    <row r="214">
      <c r="A214" s="25" t="str">
        <f>(Sheet1!A214)</f>
        <v>1cVGXbO2lp52NndvygvM_F7Cqcy0EMGxzT1ZUlpTQeiI</v>
      </c>
      <c r="B214" s="25" t="str">
        <f>(Sheet1!B214)</f>
        <v>BARABANKI MOTORS</v>
      </c>
      <c r="C214" s="30" t="str">
        <f>Sheet1!BB214</f>
        <v>No</v>
      </c>
      <c r="D214" s="30" t="s">
        <v>13</v>
      </c>
      <c r="E214" s="34" t="s">
        <v>13</v>
      </c>
      <c r="F214" s="34" t="s">
        <v>3929</v>
      </c>
      <c r="G214" s="25" t="s">
        <v>3820</v>
      </c>
      <c r="H214" s="43">
        <v>460.0</v>
      </c>
      <c r="I214" s="42" t="s">
        <v>3853</v>
      </c>
      <c r="J214" s="43">
        <v>0.0</v>
      </c>
      <c r="K214" s="43">
        <v>100.0</v>
      </c>
      <c r="L214" s="43">
        <v>0.0</v>
      </c>
      <c r="M214" s="43">
        <v>0.0</v>
      </c>
      <c r="N214" s="33">
        <f>COUNTIFS('Data For Calculation - Insuranc'!A:A,A214,'Data For Calculation - Insuranc'!D:D,"Individual",'Data For Calculation - Insuranc'!E:E,"Bundled - 1 Year OD + 5 Year TP")</f>
        <v>0</v>
      </c>
      <c r="O214" s="34" t="s">
        <v>3930</v>
      </c>
      <c r="P214" s="25" t="s">
        <v>3820</v>
      </c>
      <c r="Q214" s="43">
        <v>460.0</v>
      </c>
      <c r="R214" s="42" t="s">
        <v>3853</v>
      </c>
      <c r="S214" s="43">
        <v>0.0</v>
      </c>
      <c r="T214" s="43">
        <v>100.0</v>
      </c>
      <c r="U214" s="43">
        <v>0.0</v>
      </c>
      <c r="V214" s="43">
        <v>0.0</v>
      </c>
      <c r="W214" s="33">
        <f>COUNTIFS('Data For Calculation - Insuranc'!A:A,A214,'Data For Calculation - Insuranc'!D:D,"Company",'Data For Calculation - Insuranc'!E:E,"Bundled - 1 Year OD + 5 Year TP")</f>
        <v>0</v>
      </c>
      <c r="X214" s="34" t="s">
        <v>3929</v>
      </c>
      <c r="Y214" s="25" t="s">
        <v>3820</v>
      </c>
      <c r="Z214" s="31">
        <v>290.0</v>
      </c>
      <c r="AA214" s="34" t="s">
        <v>3853</v>
      </c>
      <c r="AB214" s="34">
        <v>0.0</v>
      </c>
      <c r="AC214" s="34">
        <v>100.0</v>
      </c>
      <c r="AD214" s="34">
        <v>0.0</v>
      </c>
      <c r="AE214" s="34">
        <v>0.0</v>
      </c>
      <c r="AF214" s="33">
        <f>COUNTIFS('Data For Calculation - Insuranc'!A:A,A214,'Data For Calculation - Insuranc'!D:D,"Individual",'Data For Calculation - Insuranc'!E:E,"Rollover Comprehensive - 1 Year OD + 1 Year TP")</f>
        <v>0</v>
      </c>
      <c r="AG214" s="34" t="s">
        <v>3930</v>
      </c>
      <c r="AH214" s="25" t="s">
        <v>3820</v>
      </c>
      <c r="AI214" s="31">
        <v>290.0</v>
      </c>
      <c r="AJ214" s="34" t="s">
        <v>3853</v>
      </c>
      <c r="AK214" s="34">
        <v>0.0</v>
      </c>
      <c r="AL214" s="34">
        <v>100.0</v>
      </c>
      <c r="AM214" s="34">
        <v>0.0</v>
      </c>
      <c r="AN214" s="34">
        <v>0.0</v>
      </c>
      <c r="AO214" s="33">
        <f>COUNTIFS('Data For Calculation - Insuranc'!A:A,A214,'Data For Calculation - Insuranc'!D:D,"Company",'Data For Calculation - Insuranc'!E:E,"Rollover Comprehensive - 1 Year OD + 1 Year TP")</f>
        <v>0</v>
      </c>
      <c r="AP214" s="34" t="s">
        <v>3931</v>
      </c>
      <c r="AQ214" s="25" t="s">
        <v>3820</v>
      </c>
      <c r="AR214" s="31">
        <v>290.0</v>
      </c>
      <c r="AS214" s="34" t="s">
        <v>3853</v>
      </c>
      <c r="AT214" s="34">
        <v>0.0</v>
      </c>
      <c r="AU214" s="34">
        <v>100.0</v>
      </c>
      <c r="AV214" s="34">
        <v>0.0</v>
      </c>
      <c r="AW214" s="34">
        <v>0.0</v>
      </c>
      <c r="AX214" s="33">
        <f>COUNTIFS('Data For Calculation - Insuranc'!A:A,A214,'Data For Calculation - Insuranc'!D:D,"Individual",'Data For Calculation - Insuranc'!E:E,"Rollover - 1 Year OD Only")</f>
        <v>0</v>
      </c>
      <c r="AY214" s="34" t="s">
        <v>3932</v>
      </c>
      <c r="AZ214" s="25" t="s">
        <v>3820</v>
      </c>
      <c r="BA214" s="31">
        <v>290.0</v>
      </c>
      <c r="BB214" s="34" t="s">
        <v>3853</v>
      </c>
      <c r="BC214" s="34">
        <v>0.0</v>
      </c>
      <c r="BD214" s="34">
        <v>100.0</v>
      </c>
      <c r="BE214" s="34">
        <v>0.0</v>
      </c>
      <c r="BF214" s="34">
        <v>0.0</v>
      </c>
      <c r="BG214" s="33">
        <f>COUNTIFS('Data For Calculation - Insuranc'!A:A,A214,'Data For Calculation - Insuranc'!D:D,"Company",'Data For Calculation - Insuranc'!E:E,"Rollover - 1 Year OD Only")</f>
        <v>0</v>
      </c>
      <c r="BH214" s="34" t="s">
        <v>3931</v>
      </c>
      <c r="BI214" s="25" t="s">
        <v>3820</v>
      </c>
      <c r="BJ214" s="31">
        <v>290.0</v>
      </c>
      <c r="BK214" s="34" t="s">
        <v>3853</v>
      </c>
      <c r="BL214" s="34">
        <v>0.0</v>
      </c>
      <c r="BM214" s="34">
        <v>100.0</v>
      </c>
      <c r="BN214" s="34">
        <v>0.0</v>
      </c>
      <c r="BO214" s="34">
        <v>0.0</v>
      </c>
      <c r="BP214" s="33">
        <f>COUNTIFS('Data For Calculation - Insuranc'!A:A,A214,'Data For Calculation - Insuranc'!D:D,"Individual",'Data For Calculation - Insuranc'!E:E,"Rollover - 1 Year TP Only")</f>
        <v>0</v>
      </c>
      <c r="BQ214" s="34" t="s">
        <v>3932</v>
      </c>
      <c r="BR214" s="25" t="s">
        <v>3820</v>
      </c>
      <c r="BS214" s="31">
        <v>290.0</v>
      </c>
      <c r="BT214" s="34" t="s">
        <v>3853</v>
      </c>
      <c r="BU214" s="34">
        <v>0.0</v>
      </c>
      <c r="BV214" s="34">
        <v>100.0</v>
      </c>
      <c r="BW214" s="34">
        <v>0.0</v>
      </c>
      <c r="BX214" s="34">
        <v>0.0</v>
      </c>
      <c r="BY214" s="33">
        <f>COUNTIFS('Data For Calculation - Insuranc'!A:A,A214,'Data For Calculation - Insuranc'!D:D,"Company",'Data For Calculation - Insuranc'!E:E,"Rollover - 1 Year TP Only")</f>
        <v>0</v>
      </c>
      <c r="BZ214" s="31">
        <f t="shared" si="1"/>
        <v>0</v>
      </c>
      <c r="CA214" s="33">
        <f>SUMIFS('Data For Calculation - Insuranc'!I:I,'Data For Calculation - Insuranc'!$A:$A,$A214)</f>
        <v>0</v>
      </c>
      <c r="CB214" s="33">
        <f>SUMIFS('Data For Calculation - Insuranc'!J:J,'Data For Calculation - Insuranc'!$A:$A,$A214)</f>
        <v>0</v>
      </c>
      <c r="CC214" s="33">
        <f>SUMIFS('Data For Calculation - Insuranc'!K:K,'Data For Calculation - Insuranc'!$A:$A,$A214)</f>
        <v>0</v>
      </c>
      <c r="CD214" s="33">
        <f>IF($CK214 = "Dealer", SUMIFS('Data For Calculation - Insuranc'!I:I,'Data For Calculation - Insuranc'!$B:$B,$A214,'Data For Calculation - Insuranc'!$H:$H,"Master Dealer")) + SUMIFS('Data For Calculation - Insuranc'!I:I,'Data For Calculation - Insuranc'!$A:$A,$A214,'Data For Calculation - Insuranc'!$H:$H,"Self")</f>
        <v>0</v>
      </c>
      <c r="CE214" s="33">
        <f>IF($CK214 = "Dealer", SUMIFS('Data For Calculation - Insuranc'!J:J,'Data For Calculation - Insuranc'!$B:$B,$A214,'Data For Calculation - Insuranc'!$H:$H,"Master Dealer")) + SUMIFS('Data For Calculation - Insuranc'!J:J,'Data For Calculation - Insuranc'!$A:$A,$A214,'Data For Calculation - Insuranc'!$H:$H,"Self")</f>
        <v>0</v>
      </c>
      <c r="CF214" s="33">
        <f>IF($CK214 = "Dealer", SUMIFS('Data For Calculation - Insuranc'!K:K,'Data For Calculation - Insuranc'!$B:$B,$A214,'Data For Calculation - Insuranc'!$H:$H,"Master Dealer")) + SUMIFS('Data For Calculation - Insuranc'!K:K,'Data For Calculation - Insuranc'!$A:$A,$A214,'Data For Calculation - Insuranc'!$H:$H,"Self")</f>
        <v>0</v>
      </c>
      <c r="CG214" s="25" t="str">
        <f>(Sheet1!N214)</f>
        <v>BARABANKI MOTORS</v>
      </c>
      <c r="CH214" s="25" t="str">
        <f>(Sheet1!O214)</f>
        <v>1cVGXbO2lp52NndvygvM_F7Cqcy0EMGxzT1ZUlpTQeiI</v>
      </c>
      <c r="CI214" s="25" t="str">
        <f>(Sheet1!AV214)</f>
        <v/>
      </c>
      <c r="CJ214" s="25" t="str">
        <f>(Sheet1!AW214)</f>
        <v/>
      </c>
      <c r="CK214" s="25" t="str">
        <f>(Sheet1!P214)</f>
        <v>Dealer</v>
      </c>
    </row>
    <row r="215">
      <c r="A215" s="25" t="str">
        <f>(Sheet1!A215)</f>
        <v>189IwjZKbhxdfpCM3_XZAiWsKnV1TiiKuwuI8GFe4AH0</v>
      </c>
      <c r="B215" s="25" t="str">
        <f>(Sheet1!B215)</f>
        <v>Bombay Automobiles- RAEBARELI</v>
      </c>
      <c r="C215" s="30" t="str">
        <f>Sheet1!BB215</f>
        <v>No</v>
      </c>
      <c r="D215" s="30" t="s">
        <v>13</v>
      </c>
      <c r="E215" s="34" t="s">
        <v>13</v>
      </c>
      <c r="F215" s="34" t="s">
        <v>3929</v>
      </c>
      <c r="G215" s="25" t="s">
        <v>3820</v>
      </c>
      <c r="H215" s="43">
        <v>460.0</v>
      </c>
      <c r="I215" s="42" t="s">
        <v>3853</v>
      </c>
      <c r="J215" s="43">
        <v>0.0</v>
      </c>
      <c r="K215" s="43">
        <v>100.0</v>
      </c>
      <c r="L215" s="43">
        <v>0.0</v>
      </c>
      <c r="M215" s="43">
        <v>0.0</v>
      </c>
      <c r="N215" s="33">
        <f>COUNTIFS('Data For Calculation - Insuranc'!A:A,A215,'Data For Calculation - Insuranc'!D:D,"Individual",'Data For Calculation - Insuranc'!E:E,"Bundled - 1 Year OD + 5 Year TP")</f>
        <v>0</v>
      </c>
      <c r="O215" s="34" t="s">
        <v>3930</v>
      </c>
      <c r="P215" s="25" t="s">
        <v>3820</v>
      </c>
      <c r="Q215" s="43">
        <v>460.0</v>
      </c>
      <c r="R215" s="42" t="s">
        <v>3853</v>
      </c>
      <c r="S215" s="43">
        <v>0.0</v>
      </c>
      <c r="T215" s="43">
        <v>100.0</v>
      </c>
      <c r="U215" s="43">
        <v>0.0</v>
      </c>
      <c r="V215" s="43">
        <v>0.0</v>
      </c>
      <c r="W215" s="33">
        <f>COUNTIFS('Data For Calculation - Insuranc'!A:A,A215,'Data For Calculation - Insuranc'!D:D,"Company",'Data For Calculation - Insuranc'!E:E,"Bundled - 1 Year OD + 5 Year TP")</f>
        <v>0</v>
      </c>
      <c r="X215" s="34" t="s">
        <v>3929</v>
      </c>
      <c r="Y215" s="25" t="s">
        <v>3820</v>
      </c>
      <c r="Z215" s="31">
        <v>290.0</v>
      </c>
      <c r="AA215" s="34" t="s">
        <v>3853</v>
      </c>
      <c r="AB215" s="34">
        <v>0.0</v>
      </c>
      <c r="AC215" s="34">
        <v>100.0</v>
      </c>
      <c r="AD215" s="34">
        <v>0.0</v>
      </c>
      <c r="AE215" s="34">
        <v>0.0</v>
      </c>
      <c r="AF215" s="33">
        <f>COUNTIFS('Data For Calculation - Insuranc'!A:A,A215,'Data For Calculation - Insuranc'!D:D,"Individual",'Data For Calculation - Insuranc'!E:E,"Rollover Comprehensive - 1 Year OD + 1 Year TP")</f>
        <v>0</v>
      </c>
      <c r="AG215" s="34" t="s">
        <v>3930</v>
      </c>
      <c r="AH215" s="25" t="s">
        <v>3820</v>
      </c>
      <c r="AI215" s="31">
        <v>290.0</v>
      </c>
      <c r="AJ215" s="34" t="s">
        <v>3853</v>
      </c>
      <c r="AK215" s="34">
        <v>0.0</v>
      </c>
      <c r="AL215" s="34">
        <v>100.0</v>
      </c>
      <c r="AM215" s="34">
        <v>0.0</v>
      </c>
      <c r="AN215" s="34">
        <v>0.0</v>
      </c>
      <c r="AO215" s="33">
        <f>COUNTIFS('Data For Calculation - Insuranc'!A:A,A215,'Data For Calculation - Insuranc'!D:D,"Company",'Data For Calculation - Insuranc'!E:E,"Rollover Comprehensive - 1 Year OD + 1 Year TP")</f>
        <v>0</v>
      </c>
      <c r="AP215" s="34" t="s">
        <v>3931</v>
      </c>
      <c r="AQ215" s="25" t="s">
        <v>3820</v>
      </c>
      <c r="AR215" s="31">
        <v>290.0</v>
      </c>
      <c r="AS215" s="34" t="s">
        <v>3853</v>
      </c>
      <c r="AT215" s="34">
        <v>0.0</v>
      </c>
      <c r="AU215" s="34">
        <v>100.0</v>
      </c>
      <c r="AV215" s="34">
        <v>0.0</v>
      </c>
      <c r="AW215" s="34">
        <v>0.0</v>
      </c>
      <c r="AX215" s="33">
        <f>COUNTIFS('Data For Calculation - Insuranc'!A:A,A215,'Data For Calculation - Insuranc'!D:D,"Individual",'Data For Calculation - Insuranc'!E:E,"Rollover - 1 Year OD Only")</f>
        <v>0</v>
      </c>
      <c r="AY215" s="34" t="s">
        <v>3932</v>
      </c>
      <c r="AZ215" s="25" t="s">
        <v>3820</v>
      </c>
      <c r="BA215" s="31">
        <v>290.0</v>
      </c>
      <c r="BB215" s="34" t="s">
        <v>3853</v>
      </c>
      <c r="BC215" s="34">
        <v>0.0</v>
      </c>
      <c r="BD215" s="34">
        <v>100.0</v>
      </c>
      <c r="BE215" s="34">
        <v>0.0</v>
      </c>
      <c r="BF215" s="34">
        <v>0.0</v>
      </c>
      <c r="BG215" s="33">
        <f>COUNTIFS('Data For Calculation - Insuranc'!A:A,A215,'Data For Calculation - Insuranc'!D:D,"Company",'Data For Calculation - Insuranc'!E:E,"Rollover - 1 Year OD Only")</f>
        <v>0</v>
      </c>
      <c r="BH215" s="34" t="s">
        <v>3931</v>
      </c>
      <c r="BI215" s="25" t="s">
        <v>3820</v>
      </c>
      <c r="BJ215" s="31">
        <v>290.0</v>
      </c>
      <c r="BK215" s="34" t="s">
        <v>3853</v>
      </c>
      <c r="BL215" s="34">
        <v>0.0</v>
      </c>
      <c r="BM215" s="34">
        <v>100.0</v>
      </c>
      <c r="BN215" s="34">
        <v>0.0</v>
      </c>
      <c r="BO215" s="34">
        <v>0.0</v>
      </c>
      <c r="BP215" s="33">
        <f>COUNTIFS('Data For Calculation - Insuranc'!A:A,A215,'Data For Calculation - Insuranc'!D:D,"Individual",'Data For Calculation - Insuranc'!E:E,"Rollover - 1 Year TP Only")</f>
        <v>0</v>
      </c>
      <c r="BQ215" s="34" t="s">
        <v>3932</v>
      </c>
      <c r="BR215" s="25" t="s">
        <v>3820</v>
      </c>
      <c r="BS215" s="31">
        <v>290.0</v>
      </c>
      <c r="BT215" s="34" t="s">
        <v>3853</v>
      </c>
      <c r="BU215" s="34">
        <v>0.0</v>
      </c>
      <c r="BV215" s="34">
        <v>100.0</v>
      </c>
      <c r="BW215" s="34">
        <v>0.0</v>
      </c>
      <c r="BX215" s="34">
        <v>0.0</v>
      </c>
      <c r="BY215" s="33">
        <f>COUNTIFS('Data For Calculation - Insuranc'!A:A,A215,'Data For Calculation - Insuranc'!D:D,"Company",'Data For Calculation - Insuranc'!E:E,"Rollover - 1 Year TP Only")</f>
        <v>0</v>
      </c>
      <c r="BZ215" s="31">
        <f t="shared" si="1"/>
        <v>0</v>
      </c>
      <c r="CA215" s="33">
        <f>SUMIFS('Data For Calculation - Insuranc'!I:I,'Data For Calculation - Insuranc'!$A:$A,$A215)</f>
        <v>0</v>
      </c>
      <c r="CB215" s="33">
        <f>SUMIFS('Data For Calculation - Insuranc'!J:J,'Data For Calculation - Insuranc'!$A:$A,$A215)</f>
        <v>0</v>
      </c>
      <c r="CC215" s="33">
        <f>SUMIFS('Data For Calculation - Insuranc'!K:K,'Data For Calculation - Insuranc'!$A:$A,$A215)</f>
        <v>0</v>
      </c>
      <c r="CD215" s="33">
        <f>IF($CK215 = "Dealer", SUMIFS('Data For Calculation - Insuranc'!I:I,'Data For Calculation - Insuranc'!$B:$B,$A215,'Data For Calculation - Insuranc'!$H:$H,"Master Dealer")) + SUMIFS('Data For Calculation - Insuranc'!I:I,'Data For Calculation - Insuranc'!$A:$A,$A215,'Data For Calculation - Insuranc'!$H:$H,"Self")</f>
        <v>0</v>
      </c>
      <c r="CE215" s="33">
        <f>IF($CK215 = "Dealer", SUMIFS('Data For Calculation - Insuranc'!J:J,'Data For Calculation - Insuranc'!$B:$B,$A215,'Data For Calculation - Insuranc'!$H:$H,"Master Dealer")) + SUMIFS('Data For Calculation - Insuranc'!J:J,'Data For Calculation - Insuranc'!$A:$A,$A215,'Data For Calculation - Insuranc'!$H:$H,"Self")</f>
        <v>0</v>
      </c>
      <c r="CF215" s="33">
        <f>IF($CK215 = "Dealer", SUMIFS('Data For Calculation - Insuranc'!K:K,'Data For Calculation - Insuranc'!$B:$B,$A215,'Data For Calculation - Insuranc'!$H:$H,"Master Dealer")) + SUMIFS('Data For Calculation - Insuranc'!K:K,'Data For Calculation - Insuranc'!$A:$A,$A215,'Data For Calculation - Insuranc'!$H:$H,"Self")</f>
        <v>0</v>
      </c>
      <c r="CG215" s="25" t="str">
        <f>(Sheet1!N215)</f>
        <v>Bombay Automobiles- RAEBARELI</v>
      </c>
      <c r="CH215" s="25" t="str">
        <f>(Sheet1!O215)</f>
        <v>189IwjZKbhxdfpCM3_XZAiWsKnV1TiiKuwuI8GFe4AH0</v>
      </c>
      <c r="CI215" s="25" t="str">
        <f>(Sheet1!AV215)</f>
        <v/>
      </c>
      <c r="CJ215" s="25" t="str">
        <f>(Sheet1!AW215)</f>
        <v/>
      </c>
      <c r="CK215" s="25" t="str">
        <f>(Sheet1!P215)</f>
        <v>Dealer</v>
      </c>
    </row>
    <row r="216">
      <c r="A216" s="25" t="str">
        <f>(Sheet1!A216)</f>
        <v>10FVvx9Av8wfEkk7tdoP2PF6PtATj8pRZnm-XwFei7iM</v>
      </c>
      <c r="B216" s="25" t="str">
        <f>(Sheet1!B216)</f>
        <v>A.K Automobile(AM) - Taligram</v>
      </c>
      <c r="C216" s="30" t="str">
        <f>Sheet1!BB216</f>
        <v>No</v>
      </c>
      <c r="D216" s="30" t="s">
        <v>13</v>
      </c>
      <c r="E216" s="34" t="s">
        <v>13</v>
      </c>
      <c r="F216" s="34" t="s">
        <v>3929</v>
      </c>
      <c r="G216" s="25" t="s">
        <v>3820</v>
      </c>
      <c r="H216" s="43">
        <v>460.0</v>
      </c>
      <c r="I216" s="42" t="s">
        <v>3853</v>
      </c>
      <c r="J216" s="43">
        <v>0.0</v>
      </c>
      <c r="K216" s="43">
        <v>100.0</v>
      </c>
      <c r="L216" s="43">
        <v>0.0</v>
      </c>
      <c r="M216" s="43">
        <v>0.0</v>
      </c>
      <c r="N216" s="33">
        <f>COUNTIFS('Data For Calculation - Insuranc'!A:A,A216,'Data For Calculation - Insuranc'!D:D,"Individual",'Data For Calculation - Insuranc'!E:E,"Bundled - 1 Year OD + 5 Year TP")</f>
        <v>0</v>
      </c>
      <c r="O216" s="34" t="s">
        <v>3930</v>
      </c>
      <c r="P216" s="25" t="s">
        <v>3820</v>
      </c>
      <c r="Q216" s="43">
        <v>460.0</v>
      </c>
      <c r="R216" s="42" t="s">
        <v>3853</v>
      </c>
      <c r="S216" s="43">
        <v>0.0</v>
      </c>
      <c r="T216" s="43">
        <v>100.0</v>
      </c>
      <c r="U216" s="43">
        <v>0.0</v>
      </c>
      <c r="V216" s="43">
        <v>0.0</v>
      </c>
      <c r="W216" s="33">
        <f>COUNTIFS('Data For Calculation - Insuranc'!A:A,A216,'Data For Calculation - Insuranc'!D:D,"Company",'Data For Calculation - Insuranc'!E:E,"Bundled - 1 Year OD + 5 Year TP")</f>
        <v>0</v>
      </c>
      <c r="X216" s="34" t="s">
        <v>3929</v>
      </c>
      <c r="Y216" s="25" t="s">
        <v>3820</v>
      </c>
      <c r="Z216" s="31">
        <v>205.0</v>
      </c>
      <c r="AA216" s="34" t="s">
        <v>3853</v>
      </c>
      <c r="AB216" s="34">
        <v>0.0</v>
      </c>
      <c r="AC216" s="34">
        <v>100.0</v>
      </c>
      <c r="AD216" s="34">
        <v>0.0</v>
      </c>
      <c r="AE216" s="34">
        <v>0.0</v>
      </c>
      <c r="AF216" s="33">
        <f>COUNTIFS('Data For Calculation - Insuranc'!A:A,A216,'Data For Calculation - Insuranc'!D:D,"Individual",'Data For Calculation - Insuranc'!E:E,"Rollover Comprehensive - 1 Year OD + 1 Year TP")</f>
        <v>0</v>
      </c>
      <c r="AG216" s="34" t="s">
        <v>3930</v>
      </c>
      <c r="AH216" s="25" t="s">
        <v>3820</v>
      </c>
      <c r="AI216" s="31">
        <v>205.0</v>
      </c>
      <c r="AJ216" s="34" t="s">
        <v>3853</v>
      </c>
      <c r="AK216" s="34">
        <v>0.0</v>
      </c>
      <c r="AL216" s="34">
        <v>100.0</v>
      </c>
      <c r="AM216" s="34">
        <v>0.0</v>
      </c>
      <c r="AN216" s="34">
        <v>0.0</v>
      </c>
      <c r="AO216" s="33">
        <f>COUNTIFS('Data For Calculation - Insuranc'!A:A,A216,'Data For Calculation - Insuranc'!D:D,"Company",'Data For Calculation - Insuranc'!E:E,"Rollover Comprehensive - 1 Year OD + 1 Year TP")</f>
        <v>0</v>
      </c>
      <c r="AP216" s="34" t="s">
        <v>3931</v>
      </c>
      <c r="AQ216" s="25" t="s">
        <v>3820</v>
      </c>
      <c r="AR216" s="31">
        <v>205.0</v>
      </c>
      <c r="AS216" s="34" t="s">
        <v>3853</v>
      </c>
      <c r="AT216" s="34">
        <v>0.0</v>
      </c>
      <c r="AU216" s="34">
        <v>100.0</v>
      </c>
      <c r="AV216" s="34">
        <v>0.0</v>
      </c>
      <c r="AW216" s="34">
        <v>0.0</v>
      </c>
      <c r="AX216" s="33">
        <f>COUNTIFS('Data For Calculation - Insuranc'!A:A,A216,'Data For Calculation - Insuranc'!D:D,"Individual",'Data For Calculation - Insuranc'!E:E,"Rollover - 1 Year OD Only")</f>
        <v>0</v>
      </c>
      <c r="AY216" s="34" t="s">
        <v>3932</v>
      </c>
      <c r="AZ216" s="25" t="s">
        <v>3820</v>
      </c>
      <c r="BA216" s="31">
        <v>205.0</v>
      </c>
      <c r="BB216" s="34" t="s">
        <v>3853</v>
      </c>
      <c r="BC216" s="34">
        <v>0.0</v>
      </c>
      <c r="BD216" s="34">
        <v>100.0</v>
      </c>
      <c r="BE216" s="34">
        <v>0.0</v>
      </c>
      <c r="BF216" s="34">
        <v>0.0</v>
      </c>
      <c r="BG216" s="33">
        <f>COUNTIFS('Data For Calculation - Insuranc'!A:A,A216,'Data For Calculation - Insuranc'!D:D,"Company",'Data For Calculation - Insuranc'!E:E,"Rollover - 1 Year OD Only")</f>
        <v>0</v>
      </c>
      <c r="BH216" s="34" t="s">
        <v>3931</v>
      </c>
      <c r="BI216" s="25" t="s">
        <v>3820</v>
      </c>
      <c r="BJ216" s="31">
        <v>205.0</v>
      </c>
      <c r="BK216" s="34" t="s">
        <v>3853</v>
      </c>
      <c r="BL216" s="34">
        <v>0.0</v>
      </c>
      <c r="BM216" s="34">
        <v>100.0</v>
      </c>
      <c r="BN216" s="34">
        <v>0.0</v>
      </c>
      <c r="BO216" s="34">
        <v>0.0</v>
      </c>
      <c r="BP216" s="33">
        <f>COUNTIFS('Data For Calculation - Insuranc'!A:A,A216,'Data For Calculation - Insuranc'!D:D,"Individual",'Data For Calculation - Insuranc'!E:E,"Rollover - 1 Year TP Only")</f>
        <v>0</v>
      </c>
      <c r="BQ216" s="34" t="s">
        <v>3932</v>
      </c>
      <c r="BR216" s="25" t="s">
        <v>3820</v>
      </c>
      <c r="BS216" s="31">
        <v>205.0</v>
      </c>
      <c r="BT216" s="34" t="s">
        <v>3853</v>
      </c>
      <c r="BU216" s="34">
        <v>0.0</v>
      </c>
      <c r="BV216" s="34">
        <v>100.0</v>
      </c>
      <c r="BW216" s="34">
        <v>0.0</v>
      </c>
      <c r="BX216" s="34">
        <v>0.0</v>
      </c>
      <c r="BY216" s="33">
        <f>COUNTIFS('Data For Calculation - Insuranc'!A:A,A216,'Data For Calculation - Insuranc'!D:D,"Company",'Data For Calculation - Insuranc'!E:E,"Rollover - 1 Year TP Only")</f>
        <v>0</v>
      </c>
      <c r="BZ216" s="31">
        <f t="shared" si="1"/>
        <v>0</v>
      </c>
      <c r="CA216" s="33">
        <f>SUMIFS('Data For Calculation - Insuranc'!I:I,'Data For Calculation - Insuranc'!$A:$A,$A216)</f>
        <v>0</v>
      </c>
      <c r="CB216" s="33">
        <f>SUMIFS('Data For Calculation - Insuranc'!J:J,'Data For Calculation - Insuranc'!$A:$A,$A216)</f>
        <v>0</v>
      </c>
      <c r="CC216" s="33">
        <f>SUMIFS('Data For Calculation - Insuranc'!K:K,'Data For Calculation - Insuranc'!$A:$A,$A216)</f>
        <v>0</v>
      </c>
      <c r="CD216" s="33">
        <f>IF($CK216 = "Dealer", SUMIFS('Data For Calculation - Insuranc'!I:I,'Data For Calculation - Insuranc'!$B:$B,$A216,'Data For Calculation - Insuranc'!$H:$H,"Master Dealer")) + SUMIFS('Data For Calculation - Insuranc'!I:I,'Data For Calculation - Insuranc'!$A:$A,$A216,'Data For Calculation - Insuranc'!$H:$H,"Self")</f>
        <v>0</v>
      </c>
      <c r="CE216" s="33">
        <f>IF($CK216 = "Dealer", SUMIFS('Data For Calculation - Insuranc'!J:J,'Data For Calculation - Insuranc'!$B:$B,$A216,'Data For Calculation - Insuranc'!$H:$H,"Master Dealer")) + SUMIFS('Data For Calculation - Insuranc'!J:J,'Data For Calculation - Insuranc'!$A:$A,$A216,'Data For Calculation - Insuranc'!$H:$H,"Self")</f>
        <v>0</v>
      </c>
      <c r="CF216" s="33">
        <f>IF($CK216 = "Dealer", SUMIFS('Data For Calculation - Insuranc'!K:K,'Data For Calculation - Insuranc'!$B:$B,$A216,'Data For Calculation - Insuranc'!$H:$H,"Master Dealer")) + SUMIFS('Data For Calculation - Insuranc'!K:K,'Data For Calculation - Insuranc'!$A:$A,$A216,'Data For Calculation - Insuranc'!$H:$H,"Self")</f>
        <v>0</v>
      </c>
      <c r="CG216" s="25" t="str">
        <f>(Sheet1!N216)</f>
        <v>Asha Motor - Kannauj</v>
      </c>
      <c r="CH216" s="25" t="str">
        <f>(Sheet1!O216)</f>
        <v>1hlnCiW64Y7uZNVOj2ewyfTULbWj1dUaXX2rUREx8W8o</v>
      </c>
      <c r="CI216" s="25" t="str">
        <f>(Sheet1!AV216)</f>
        <v/>
      </c>
      <c r="CJ216" s="25" t="str">
        <f>(Sheet1!AW216)</f>
        <v/>
      </c>
      <c r="CK216" s="25" t="str">
        <f>(Sheet1!P216)</f>
        <v>Sub Dealer</v>
      </c>
    </row>
    <row r="217">
      <c r="A217" s="25" t="str">
        <f>(Sheet1!A217)</f>
        <v>19J_y8BUN9RSe9TTg9cxKYBBv29Tfi7RwvKo8Va7MJRQ</v>
      </c>
      <c r="B217" s="25" t="str">
        <f>(Sheet1!B217)</f>
        <v>Kshitij Auto Wheelers - Mirzapur</v>
      </c>
      <c r="C217" s="30" t="str">
        <f>Sheet1!BB217</f>
        <v>No</v>
      </c>
      <c r="D217" s="30" t="s">
        <v>13</v>
      </c>
      <c r="E217" s="34" t="s">
        <v>13</v>
      </c>
      <c r="F217" s="34" t="s">
        <v>3929</v>
      </c>
      <c r="G217" s="25" t="s">
        <v>3820</v>
      </c>
      <c r="H217" s="43">
        <v>460.0</v>
      </c>
      <c r="I217" s="42" t="s">
        <v>3853</v>
      </c>
      <c r="J217" s="43">
        <v>0.0</v>
      </c>
      <c r="K217" s="43">
        <v>100.0</v>
      </c>
      <c r="L217" s="43">
        <v>0.0</v>
      </c>
      <c r="M217" s="43">
        <v>0.0</v>
      </c>
      <c r="N217" s="33">
        <f>COUNTIFS('Data For Calculation - Insuranc'!A:A,A217,'Data For Calculation - Insuranc'!D:D,"Individual",'Data For Calculation - Insuranc'!E:E,"Bundled - 1 Year OD + 5 Year TP")</f>
        <v>0</v>
      </c>
      <c r="O217" s="34" t="s">
        <v>3930</v>
      </c>
      <c r="P217" s="25" t="s">
        <v>3820</v>
      </c>
      <c r="Q217" s="43">
        <v>460.0</v>
      </c>
      <c r="R217" s="42" t="s">
        <v>3853</v>
      </c>
      <c r="S217" s="43">
        <v>0.0</v>
      </c>
      <c r="T217" s="43">
        <v>100.0</v>
      </c>
      <c r="U217" s="43">
        <v>0.0</v>
      </c>
      <c r="V217" s="43">
        <v>0.0</v>
      </c>
      <c r="W217" s="33">
        <f>COUNTIFS('Data For Calculation - Insuranc'!A:A,A217,'Data For Calculation - Insuranc'!D:D,"Company",'Data For Calculation - Insuranc'!E:E,"Bundled - 1 Year OD + 5 Year TP")</f>
        <v>0</v>
      </c>
      <c r="X217" s="34" t="s">
        <v>3929</v>
      </c>
      <c r="Y217" s="25" t="s">
        <v>3820</v>
      </c>
      <c r="Z217" s="31">
        <v>205.0</v>
      </c>
      <c r="AA217" s="34" t="s">
        <v>3853</v>
      </c>
      <c r="AB217" s="34">
        <v>0.0</v>
      </c>
      <c r="AC217" s="34">
        <v>100.0</v>
      </c>
      <c r="AD217" s="34">
        <v>0.0</v>
      </c>
      <c r="AE217" s="34">
        <v>0.0</v>
      </c>
      <c r="AF217" s="33">
        <f>COUNTIFS('Data For Calculation - Insuranc'!A:A,A217,'Data For Calculation - Insuranc'!D:D,"Individual",'Data For Calculation - Insuranc'!E:E,"Rollover Comprehensive - 1 Year OD + 1 Year TP")</f>
        <v>0</v>
      </c>
      <c r="AG217" s="34" t="s">
        <v>3930</v>
      </c>
      <c r="AH217" s="25" t="s">
        <v>3820</v>
      </c>
      <c r="AI217" s="31">
        <v>205.0</v>
      </c>
      <c r="AJ217" s="34" t="s">
        <v>3853</v>
      </c>
      <c r="AK217" s="34">
        <v>0.0</v>
      </c>
      <c r="AL217" s="34">
        <v>100.0</v>
      </c>
      <c r="AM217" s="34">
        <v>0.0</v>
      </c>
      <c r="AN217" s="34">
        <v>0.0</v>
      </c>
      <c r="AO217" s="33">
        <f>COUNTIFS('Data For Calculation - Insuranc'!A:A,A217,'Data For Calculation - Insuranc'!D:D,"Company",'Data For Calculation - Insuranc'!E:E,"Rollover Comprehensive - 1 Year OD + 1 Year TP")</f>
        <v>0</v>
      </c>
      <c r="AP217" s="34" t="s">
        <v>3931</v>
      </c>
      <c r="AQ217" s="25" t="s">
        <v>3820</v>
      </c>
      <c r="AR217" s="31">
        <v>205.0</v>
      </c>
      <c r="AS217" s="34" t="s">
        <v>3853</v>
      </c>
      <c r="AT217" s="34">
        <v>0.0</v>
      </c>
      <c r="AU217" s="34">
        <v>100.0</v>
      </c>
      <c r="AV217" s="34">
        <v>0.0</v>
      </c>
      <c r="AW217" s="34">
        <v>0.0</v>
      </c>
      <c r="AX217" s="33">
        <f>COUNTIFS('Data For Calculation - Insuranc'!A:A,A217,'Data For Calculation - Insuranc'!D:D,"Individual",'Data For Calculation - Insuranc'!E:E,"Rollover - 1 Year OD Only")</f>
        <v>0</v>
      </c>
      <c r="AY217" s="34" t="s">
        <v>3932</v>
      </c>
      <c r="AZ217" s="25" t="s">
        <v>3820</v>
      </c>
      <c r="BA217" s="31">
        <v>205.0</v>
      </c>
      <c r="BB217" s="34" t="s">
        <v>3853</v>
      </c>
      <c r="BC217" s="34">
        <v>0.0</v>
      </c>
      <c r="BD217" s="34">
        <v>100.0</v>
      </c>
      <c r="BE217" s="34">
        <v>0.0</v>
      </c>
      <c r="BF217" s="34">
        <v>0.0</v>
      </c>
      <c r="BG217" s="33">
        <f>COUNTIFS('Data For Calculation - Insuranc'!A:A,A217,'Data For Calculation - Insuranc'!D:D,"Company",'Data For Calculation - Insuranc'!E:E,"Rollover - 1 Year OD Only")</f>
        <v>0</v>
      </c>
      <c r="BH217" s="34" t="s">
        <v>3931</v>
      </c>
      <c r="BI217" s="25" t="s">
        <v>3820</v>
      </c>
      <c r="BJ217" s="31">
        <v>205.0</v>
      </c>
      <c r="BK217" s="34" t="s">
        <v>3853</v>
      </c>
      <c r="BL217" s="34">
        <v>0.0</v>
      </c>
      <c r="BM217" s="34">
        <v>100.0</v>
      </c>
      <c r="BN217" s="34">
        <v>0.0</v>
      </c>
      <c r="BO217" s="34">
        <v>0.0</v>
      </c>
      <c r="BP217" s="33">
        <f>COUNTIFS('Data For Calculation - Insuranc'!A:A,A217,'Data For Calculation - Insuranc'!D:D,"Individual",'Data For Calculation - Insuranc'!E:E,"Rollover - 1 Year TP Only")</f>
        <v>0</v>
      </c>
      <c r="BQ217" s="34" t="s">
        <v>3932</v>
      </c>
      <c r="BR217" s="25" t="s">
        <v>3820</v>
      </c>
      <c r="BS217" s="31">
        <v>205.0</v>
      </c>
      <c r="BT217" s="34" t="s">
        <v>3853</v>
      </c>
      <c r="BU217" s="34">
        <v>0.0</v>
      </c>
      <c r="BV217" s="34">
        <v>100.0</v>
      </c>
      <c r="BW217" s="34">
        <v>0.0</v>
      </c>
      <c r="BX217" s="34">
        <v>0.0</v>
      </c>
      <c r="BY217" s="33">
        <f>COUNTIFS('Data For Calculation - Insuranc'!A:A,A217,'Data For Calculation - Insuranc'!D:D,"Company",'Data For Calculation - Insuranc'!E:E,"Rollover - 1 Year TP Only")</f>
        <v>0</v>
      </c>
      <c r="BZ217" s="31">
        <f t="shared" si="1"/>
        <v>0</v>
      </c>
      <c r="CA217" s="33">
        <f>SUMIFS('Data For Calculation - Insuranc'!I:I,'Data For Calculation - Insuranc'!$A:$A,$A217)</f>
        <v>0</v>
      </c>
      <c r="CB217" s="33">
        <f>SUMIFS('Data For Calculation - Insuranc'!J:J,'Data For Calculation - Insuranc'!$A:$A,$A217)</f>
        <v>0</v>
      </c>
      <c r="CC217" s="33">
        <f>SUMIFS('Data For Calculation - Insuranc'!K:K,'Data For Calculation - Insuranc'!$A:$A,$A217)</f>
        <v>0</v>
      </c>
      <c r="CD217" s="33">
        <f>IF($CK217 = "Dealer", SUMIFS('Data For Calculation - Insuranc'!I:I,'Data For Calculation - Insuranc'!$B:$B,$A217,'Data For Calculation - Insuranc'!$H:$H,"Master Dealer")) + SUMIFS('Data For Calculation - Insuranc'!I:I,'Data For Calculation - Insuranc'!$A:$A,$A217,'Data For Calculation - Insuranc'!$H:$H,"Self")</f>
        <v>0</v>
      </c>
      <c r="CE217" s="33">
        <f>IF($CK217 = "Dealer", SUMIFS('Data For Calculation - Insuranc'!J:J,'Data For Calculation - Insuranc'!$B:$B,$A217,'Data For Calculation - Insuranc'!$H:$H,"Master Dealer")) + SUMIFS('Data For Calculation - Insuranc'!J:J,'Data For Calculation - Insuranc'!$A:$A,$A217,'Data For Calculation - Insuranc'!$H:$H,"Self")</f>
        <v>0</v>
      </c>
      <c r="CF217" s="33">
        <f>IF($CK217 = "Dealer", SUMIFS('Data For Calculation - Insuranc'!K:K,'Data For Calculation - Insuranc'!$B:$B,$A217,'Data For Calculation - Insuranc'!$H:$H,"Master Dealer")) + SUMIFS('Data For Calculation - Insuranc'!K:K,'Data For Calculation - Insuranc'!$A:$A,$A217,'Data For Calculation - Insuranc'!$H:$H,"Self")</f>
        <v>0</v>
      </c>
      <c r="CG217" s="25" t="str">
        <f>(Sheet1!N217)</f>
        <v>Kshitij Auto Wheelers - Mirzapur</v>
      </c>
      <c r="CH217" s="25" t="str">
        <f>(Sheet1!O217)</f>
        <v>19J_y8BUN9RSe9TTg9cxKYBBv29Tfi7RwvKo8Va7MJRQ</v>
      </c>
      <c r="CI217" s="25" t="str">
        <f>(Sheet1!AV217)</f>
        <v/>
      </c>
      <c r="CJ217" s="25" t="str">
        <f>(Sheet1!AW217)</f>
        <v/>
      </c>
      <c r="CK217" s="25" t="str">
        <f>(Sheet1!P217)</f>
        <v>Dealer</v>
      </c>
    </row>
    <row r="218">
      <c r="A218" s="25" t="str">
        <f>(Sheet1!A218)</f>
        <v>1pIkLTEq99ZID0V0k8H0hOFXZDJQMaAoy2fsIol-e81k</v>
      </c>
      <c r="B218" s="25" t="str">
        <f>(Sheet1!B218)</f>
        <v>NITIN MATANHELIA - GORAKHPUR</v>
      </c>
      <c r="C218" s="30" t="str">
        <f>Sheet1!BB218</f>
        <v>No</v>
      </c>
      <c r="D218" s="30" t="s">
        <v>13</v>
      </c>
      <c r="E218" s="34" t="s">
        <v>13</v>
      </c>
      <c r="F218" s="34" t="s">
        <v>3929</v>
      </c>
      <c r="G218" s="25" t="s">
        <v>3820</v>
      </c>
      <c r="H218" s="43">
        <v>460.0</v>
      </c>
      <c r="I218" s="42" t="s">
        <v>3853</v>
      </c>
      <c r="J218" s="43">
        <v>0.0</v>
      </c>
      <c r="K218" s="43">
        <v>100.0</v>
      </c>
      <c r="L218" s="43">
        <v>0.0</v>
      </c>
      <c r="M218" s="43">
        <v>0.0</v>
      </c>
      <c r="N218" s="33">
        <f>COUNTIFS('Data For Calculation - Insuranc'!A:A,A218,'Data For Calculation - Insuranc'!D:D,"Individual",'Data For Calculation - Insuranc'!E:E,"Bundled - 1 Year OD + 5 Year TP")</f>
        <v>0</v>
      </c>
      <c r="O218" s="34" t="s">
        <v>3930</v>
      </c>
      <c r="P218" s="25" t="s">
        <v>3820</v>
      </c>
      <c r="Q218" s="43">
        <v>460.0</v>
      </c>
      <c r="R218" s="42" t="s">
        <v>3853</v>
      </c>
      <c r="S218" s="43">
        <v>0.0</v>
      </c>
      <c r="T218" s="43">
        <v>100.0</v>
      </c>
      <c r="U218" s="43">
        <v>0.0</v>
      </c>
      <c r="V218" s="43">
        <v>0.0</v>
      </c>
      <c r="W218" s="33">
        <f>COUNTIFS('Data For Calculation - Insuranc'!A:A,A218,'Data For Calculation - Insuranc'!D:D,"Company",'Data For Calculation - Insuranc'!E:E,"Bundled - 1 Year OD + 5 Year TP")</f>
        <v>0</v>
      </c>
      <c r="X218" s="34" t="s">
        <v>3929</v>
      </c>
      <c r="Y218" s="25" t="s">
        <v>3820</v>
      </c>
      <c r="Z218" s="31">
        <v>205.0</v>
      </c>
      <c r="AA218" s="34" t="s">
        <v>3853</v>
      </c>
      <c r="AB218" s="34">
        <v>0.0</v>
      </c>
      <c r="AC218" s="34">
        <v>100.0</v>
      </c>
      <c r="AD218" s="34">
        <v>0.0</v>
      </c>
      <c r="AE218" s="34">
        <v>0.0</v>
      </c>
      <c r="AF218" s="33">
        <f>COUNTIFS('Data For Calculation - Insuranc'!A:A,A218,'Data For Calculation - Insuranc'!D:D,"Individual",'Data For Calculation - Insuranc'!E:E,"Rollover Comprehensive - 1 Year OD + 1 Year TP")</f>
        <v>0</v>
      </c>
      <c r="AG218" s="34" t="s">
        <v>3930</v>
      </c>
      <c r="AH218" s="25" t="s">
        <v>3820</v>
      </c>
      <c r="AI218" s="31">
        <v>205.0</v>
      </c>
      <c r="AJ218" s="34" t="s">
        <v>3853</v>
      </c>
      <c r="AK218" s="34">
        <v>0.0</v>
      </c>
      <c r="AL218" s="34">
        <v>100.0</v>
      </c>
      <c r="AM218" s="34">
        <v>0.0</v>
      </c>
      <c r="AN218" s="34">
        <v>0.0</v>
      </c>
      <c r="AO218" s="33">
        <f>COUNTIFS('Data For Calculation - Insuranc'!A:A,A218,'Data For Calculation - Insuranc'!D:D,"Company",'Data For Calculation - Insuranc'!E:E,"Rollover Comprehensive - 1 Year OD + 1 Year TP")</f>
        <v>0</v>
      </c>
      <c r="AP218" s="34" t="s">
        <v>3931</v>
      </c>
      <c r="AQ218" s="25" t="s">
        <v>3820</v>
      </c>
      <c r="AR218" s="31">
        <v>205.0</v>
      </c>
      <c r="AS218" s="34" t="s">
        <v>3853</v>
      </c>
      <c r="AT218" s="34">
        <v>0.0</v>
      </c>
      <c r="AU218" s="34">
        <v>100.0</v>
      </c>
      <c r="AV218" s="34">
        <v>0.0</v>
      </c>
      <c r="AW218" s="34">
        <v>0.0</v>
      </c>
      <c r="AX218" s="33">
        <f>COUNTIFS('Data For Calculation - Insuranc'!A:A,A218,'Data For Calculation - Insuranc'!D:D,"Individual",'Data For Calculation - Insuranc'!E:E,"Rollover - 1 Year OD Only")</f>
        <v>0</v>
      </c>
      <c r="AY218" s="34" t="s">
        <v>3932</v>
      </c>
      <c r="AZ218" s="25" t="s">
        <v>3820</v>
      </c>
      <c r="BA218" s="31">
        <v>205.0</v>
      </c>
      <c r="BB218" s="34" t="s">
        <v>3853</v>
      </c>
      <c r="BC218" s="34">
        <v>0.0</v>
      </c>
      <c r="BD218" s="34">
        <v>100.0</v>
      </c>
      <c r="BE218" s="34">
        <v>0.0</v>
      </c>
      <c r="BF218" s="34">
        <v>0.0</v>
      </c>
      <c r="BG218" s="33">
        <f>COUNTIFS('Data For Calculation - Insuranc'!A:A,A218,'Data For Calculation - Insuranc'!D:D,"Company",'Data For Calculation - Insuranc'!E:E,"Rollover - 1 Year OD Only")</f>
        <v>0</v>
      </c>
      <c r="BH218" s="34" t="s">
        <v>3931</v>
      </c>
      <c r="BI218" s="25" t="s">
        <v>3820</v>
      </c>
      <c r="BJ218" s="31">
        <v>205.0</v>
      </c>
      <c r="BK218" s="34" t="s">
        <v>3853</v>
      </c>
      <c r="BL218" s="34">
        <v>0.0</v>
      </c>
      <c r="BM218" s="34">
        <v>100.0</v>
      </c>
      <c r="BN218" s="34">
        <v>0.0</v>
      </c>
      <c r="BO218" s="34">
        <v>0.0</v>
      </c>
      <c r="BP218" s="33">
        <f>COUNTIFS('Data For Calculation - Insuranc'!A:A,A218,'Data For Calculation - Insuranc'!D:D,"Individual",'Data For Calculation - Insuranc'!E:E,"Rollover - 1 Year TP Only")</f>
        <v>0</v>
      </c>
      <c r="BQ218" s="34" t="s">
        <v>3932</v>
      </c>
      <c r="BR218" s="25" t="s">
        <v>3820</v>
      </c>
      <c r="BS218" s="31">
        <v>205.0</v>
      </c>
      <c r="BT218" s="34" t="s">
        <v>3853</v>
      </c>
      <c r="BU218" s="34">
        <v>0.0</v>
      </c>
      <c r="BV218" s="34">
        <v>100.0</v>
      </c>
      <c r="BW218" s="34">
        <v>0.0</v>
      </c>
      <c r="BX218" s="34">
        <v>0.0</v>
      </c>
      <c r="BY218" s="33">
        <f>COUNTIFS('Data For Calculation - Insuranc'!A:A,A218,'Data For Calculation - Insuranc'!D:D,"Company",'Data For Calculation - Insuranc'!E:E,"Rollover - 1 Year TP Only")</f>
        <v>0</v>
      </c>
      <c r="BZ218" s="31">
        <f t="shared" si="1"/>
        <v>0</v>
      </c>
      <c r="CA218" s="33">
        <f>SUMIFS('Data For Calculation - Insuranc'!I:I,'Data For Calculation - Insuranc'!$A:$A,$A218)</f>
        <v>0</v>
      </c>
      <c r="CB218" s="33">
        <f>SUMIFS('Data For Calculation - Insuranc'!J:J,'Data For Calculation - Insuranc'!$A:$A,$A218)</f>
        <v>0</v>
      </c>
      <c r="CC218" s="33">
        <f>SUMIFS('Data For Calculation - Insuranc'!K:K,'Data For Calculation - Insuranc'!$A:$A,$A218)</f>
        <v>0</v>
      </c>
      <c r="CD218" s="33">
        <f>IF($CK218 = "Dealer", SUMIFS('Data For Calculation - Insuranc'!I:I,'Data For Calculation - Insuranc'!$B:$B,$A218,'Data For Calculation - Insuranc'!$H:$H,"Master Dealer")) + SUMIFS('Data For Calculation - Insuranc'!I:I,'Data For Calculation - Insuranc'!$A:$A,$A218,'Data For Calculation - Insuranc'!$H:$H,"Self")</f>
        <v>0</v>
      </c>
      <c r="CE218" s="33">
        <f>IF($CK218 = "Dealer", SUMIFS('Data For Calculation - Insuranc'!J:J,'Data For Calculation - Insuranc'!$B:$B,$A218,'Data For Calculation - Insuranc'!$H:$H,"Master Dealer")) + SUMIFS('Data For Calculation - Insuranc'!J:J,'Data For Calculation - Insuranc'!$A:$A,$A218,'Data For Calculation - Insuranc'!$H:$H,"Self")</f>
        <v>0</v>
      </c>
      <c r="CF218" s="33">
        <f>IF($CK218 = "Dealer", SUMIFS('Data For Calculation - Insuranc'!K:K,'Data For Calculation - Insuranc'!$B:$B,$A218,'Data For Calculation - Insuranc'!$H:$H,"Master Dealer")) + SUMIFS('Data For Calculation - Insuranc'!K:K,'Data For Calculation - Insuranc'!$A:$A,$A218,'Data For Calculation - Insuranc'!$H:$H,"Self")</f>
        <v>0</v>
      </c>
      <c r="CG218" s="25" t="str">
        <f>(Sheet1!N218)</f>
        <v>NITIN MATANHELIA - GORAKHPUR</v>
      </c>
      <c r="CH218" s="25" t="str">
        <f>(Sheet1!O218)</f>
        <v>1pIkLTEq99ZID0V0k8H0hOFXZDJQMaAoy2fsIol-e81k</v>
      </c>
      <c r="CI218" s="25" t="str">
        <f>(Sheet1!AV218)</f>
        <v/>
      </c>
      <c r="CJ218" s="25" t="str">
        <f>(Sheet1!AW218)</f>
        <v/>
      </c>
      <c r="CK218" s="25" t="str">
        <f>(Sheet1!P218)</f>
        <v>Dealer</v>
      </c>
    </row>
    <row r="219">
      <c r="A219" s="25" t="str">
        <f>(Sheet1!A219)</f>
        <v>15TCKogSV6eLWZg1o0BLy9c__at_HGv_nwylQpiLk1k0</v>
      </c>
      <c r="B219" s="25" t="str">
        <f>(Sheet1!B219)</f>
        <v>Shivam Automobile - Chakia</v>
      </c>
      <c r="C219" s="30" t="str">
        <f>Sheet1!BB219</f>
        <v>No</v>
      </c>
      <c r="D219" s="30" t="s">
        <v>13</v>
      </c>
      <c r="E219" s="34" t="s">
        <v>13</v>
      </c>
      <c r="F219" s="34" t="s">
        <v>3929</v>
      </c>
      <c r="G219" s="42" t="s">
        <v>3817</v>
      </c>
      <c r="H219" s="43">
        <v>375.0</v>
      </c>
      <c r="I219" s="42" t="s">
        <v>3853</v>
      </c>
      <c r="J219" s="43">
        <v>0.0</v>
      </c>
      <c r="K219" s="43">
        <v>100.0</v>
      </c>
      <c r="L219" s="43">
        <v>0.0</v>
      </c>
      <c r="M219" s="43">
        <v>0.0</v>
      </c>
      <c r="N219" s="33">
        <f>COUNTIFS('Data For Calculation - Insuranc'!A:A,A219,'Data For Calculation - Insuranc'!D:D,"Individual",'Data For Calculation - Insuranc'!E:E,"Bundled - 1 Year OD + 5 Year TP")</f>
        <v>0</v>
      </c>
      <c r="O219" s="34" t="s">
        <v>3930</v>
      </c>
      <c r="P219" s="42" t="s">
        <v>3817</v>
      </c>
      <c r="Q219" s="43">
        <v>375.0</v>
      </c>
      <c r="R219" s="42" t="s">
        <v>3853</v>
      </c>
      <c r="S219" s="43">
        <v>0.0</v>
      </c>
      <c r="T219" s="43">
        <v>100.0</v>
      </c>
      <c r="U219" s="43">
        <v>0.0</v>
      </c>
      <c r="V219" s="43">
        <v>0.0</v>
      </c>
      <c r="W219" s="33">
        <f>COUNTIFS('Data For Calculation - Insuranc'!A:A,A219,'Data For Calculation - Insuranc'!D:D,"Company",'Data For Calculation - Insuranc'!E:E,"Bundled - 1 Year OD + 5 Year TP")</f>
        <v>0</v>
      </c>
      <c r="X219" s="34" t="s">
        <v>3929</v>
      </c>
      <c r="Y219" s="42" t="s">
        <v>3817</v>
      </c>
      <c r="Z219" s="31">
        <v>290.0</v>
      </c>
      <c r="AA219" s="34" t="s">
        <v>3853</v>
      </c>
      <c r="AB219" s="34">
        <v>0.0</v>
      </c>
      <c r="AC219" s="34">
        <v>100.0</v>
      </c>
      <c r="AD219" s="34">
        <v>0.0</v>
      </c>
      <c r="AE219" s="34">
        <v>0.0</v>
      </c>
      <c r="AF219" s="33">
        <f>COUNTIFS('Data For Calculation - Insuranc'!A:A,A219,'Data For Calculation - Insuranc'!D:D,"Individual",'Data For Calculation - Insuranc'!E:E,"Rollover Comprehensive - 1 Year OD + 1 Year TP")</f>
        <v>0</v>
      </c>
      <c r="AG219" s="34" t="s">
        <v>3930</v>
      </c>
      <c r="AH219" s="42" t="s">
        <v>3817</v>
      </c>
      <c r="AI219" s="31">
        <v>290.0</v>
      </c>
      <c r="AJ219" s="34" t="s">
        <v>3853</v>
      </c>
      <c r="AK219" s="34">
        <v>0.0</v>
      </c>
      <c r="AL219" s="34">
        <v>100.0</v>
      </c>
      <c r="AM219" s="34">
        <v>0.0</v>
      </c>
      <c r="AN219" s="34">
        <v>0.0</v>
      </c>
      <c r="AO219" s="33">
        <f>COUNTIFS('Data For Calculation - Insuranc'!A:A,A219,'Data For Calculation - Insuranc'!D:D,"Company",'Data For Calculation - Insuranc'!E:E,"Rollover Comprehensive - 1 Year OD + 1 Year TP")</f>
        <v>0</v>
      </c>
      <c r="AP219" s="34" t="s">
        <v>3931</v>
      </c>
      <c r="AQ219" s="42" t="s">
        <v>3817</v>
      </c>
      <c r="AR219" s="31">
        <v>290.0</v>
      </c>
      <c r="AS219" s="34" t="s">
        <v>3853</v>
      </c>
      <c r="AT219" s="34">
        <v>0.0</v>
      </c>
      <c r="AU219" s="34">
        <v>100.0</v>
      </c>
      <c r="AV219" s="34">
        <v>0.0</v>
      </c>
      <c r="AW219" s="34">
        <v>0.0</v>
      </c>
      <c r="AX219" s="33">
        <f>COUNTIFS('Data For Calculation - Insuranc'!A:A,A219,'Data For Calculation - Insuranc'!D:D,"Individual",'Data For Calculation - Insuranc'!E:E,"Rollover - 1 Year OD Only")</f>
        <v>0</v>
      </c>
      <c r="AY219" s="34" t="s">
        <v>3932</v>
      </c>
      <c r="AZ219" s="42" t="s">
        <v>3817</v>
      </c>
      <c r="BA219" s="31">
        <v>290.0</v>
      </c>
      <c r="BB219" s="34" t="s">
        <v>3853</v>
      </c>
      <c r="BC219" s="34">
        <v>0.0</v>
      </c>
      <c r="BD219" s="34">
        <v>100.0</v>
      </c>
      <c r="BE219" s="34">
        <v>0.0</v>
      </c>
      <c r="BF219" s="34">
        <v>0.0</v>
      </c>
      <c r="BG219" s="33">
        <f>COUNTIFS('Data For Calculation - Insuranc'!A:A,A219,'Data For Calculation - Insuranc'!D:D,"Company",'Data For Calculation - Insuranc'!E:E,"Rollover - 1 Year OD Only")</f>
        <v>0</v>
      </c>
      <c r="BH219" s="34" t="s">
        <v>3931</v>
      </c>
      <c r="BI219" s="42" t="s">
        <v>3817</v>
      </c>
      <c r="BJ219" s="31">
        <v>290.0</v>
      </c>
      <c r="BK219" s="34" t="s">
        <v>3853</v>
      </c>
      <c r="BL219" s="34">
        <v>0.0</v>
      </c>
      <c r="BM219" s="34">
        <v>100.0</v>
      </c>
      <c r="BN219" s="34">
        <v>0.0</v>
      </c>
      <c r="BO219" s="34">
        <v>0.0</v>
      </c>
      <c r="BP219" s="33">
        <f>COUNTIFS('Data For Calculation - Insuranc'!A:A,A219,'Data For Calculation - Insuranc'!D:D,"Individual",'Data For Calculation - Insuranc'!E:E,"Rollover - 1 Year TP Only")</f>
        <v>0</v>
      </c>
      <c r="BQ219" s="34" t="s">
        <v>3932</v>
      </c>
      <c r="BR219" s="42" t="s">
        <v>3817</v>
      </c>
      <c r="BS219" s="31">
        <v>290.0</v>
      </c>
      <c r="BT219" s="34" t="s">
        <v>3853</v>
      </c>
      <c r="BU219" s="34">
        <v>0.0</v>
      </c>
      <c r="BV219" s="34">
        <v>100.0</v>
      </c>
      <c r="BW219" s="34">
        <v>0.0</v>
      </c>
      <c r="BX219" s="34">
        <v>0.0</v>
      </c>
      <c r="BY219" s="33">
        <f>COUNTIFS('Data For Calculation - Insuranc'!A:A,A219,'Data For Calculation - Insuranc'!D:D,"Company",'Data For Calculation - Insuranc'!E:E,"Rollover - 1 Year TP Only")</f>
        <v>0</v>
      </c>
      <c r="BZ219" s="31">
        <f t="shared" si="1"/>
        <v>0</v>
      </c>
      <c r="CA219" s="33">
        <f>SUMIFS('Data For Calculation - Insuranc'!I:I,'Data For Calculation - Insuranc'!$A:$A,$A219)</f>
        <v>0</v>
      </c>
      <c r="CB219" s="33">
        <f>SUMIFS('Data For Calculation - Insuranc'!J:J,'Data For Calculation - Insuranc'!$A:$A,$A219)</f>
        <v>0</v>
      </c>
      <c r="CC219" s="33">
        <f>SUMIFS('Data For Calculation - Insuranc'!K:K,'Data For Calculation - Insuranc'!$A:$A,$A219)</f>
        <v>0</v>
      </c>
      <c r="CD219" s="33">
        <f>IF($CK219 = "Dealer", SUMIFS('Data For Calculation - Insuranc'!I:I,'Data For Calculation - Insuranc'!$B:$B,$A219,'Data For Calculation - Insuranc'!$H:$H,"Master Dealer")) + SUMIFS('Data For Calculation - Insuranc'!I:I,'Data For Calculation - Insuranc'!$A:$A,$A219,'Data For Calculation - Insuranc'!$H:$H,"Self")</f>
        <v>0</v>
      </c>
      <c r="CE219" s="33">
        <f>IF($CK219 = "Dealer", SUMIFS('Data For Calculation - Insuranc'!J:J,'Data For Calculation - Insuranc'!$B:$B,$A219,'Data For Calculation - Insuranc'!$H:$H,"Master Dealer")) + SUMIFS('Data For Calculation - Insuranc'!J:J,'Data For Calculation - Insuranc'!$A:$A,$A219,'Data For Calculation - Insuranc'!$H:$H,"Self")</f>
        <v>0</v>
      </c>
      <c r="CF219" s="33">
        <f>IF($CK219 = "Dealer", SUMIFS('Data For Calculation - Insuranc'!K:K,'Data For Calculation - Insuranc'!$B:$B,$A219,'Data For Calculation - Insuranc'!$H:$H,"Master Dealer")) + SUMIFS('Data For Calculation - Insuranc'!K:K,'Data For Calculation - Insuranc'!$A:$A,$A219,'Data For Calculation - Insuranc'!$H:$H,"Self")</f>
        <v>0</v>
      </c>
      <c r="CG219" s="25" t="str">
        <f>(Sheet1!N219)</f>
        <v>Shivam Automobile - Chakia</v>
      </c>
      <c r="CH219" s="25" t="str">
        <f>(Sheet1!O219)</f>
        <v>15TCKogSV6eLWZg1o0BLy9c__at_HGv_nwylQpiLk1k0</v>
      </c>
      <c r="CI219" s="25" t="str">
        <f>(Sheet1!AV219)</f>
        <v/>
      </c>
      <c r="CJ219" s="25" t="str">
        <f>(Sheet1!AW219)</f>
        <v/>
      </c>
      <c r="CK219" s="26" t="str">
        <f>(Sheet1!P219)</f>
        <v>Dealer</v>
      </c>
    </row>
    <row r="220">
      <c r="A220" s="25" t="str">
        <f>(Sheet1!A220)</f>
        <v>1IW00YIJovrtt6A8q0p0zoi4iwBPaPgOVnZqjzOz5yP0</v>
      </c>
      <c r="B220" s="25" t="str">
        <f>(Sheet1!B220)</f>
        <v>SHYAM MOTORS - FATEHPUR</v>
      </c>
      <c r="C220" s="30" t="str">
        <f>Sheet1!BB220</f>
        <v>No</v>
      </c>
      <c r="D220" s="30" t="s">
        <v>13</v>
      </c>
      <c r="E220" s="34" t="s">
        <v>13</v>
      </c>
      <c r="F220" s="34" t="s">
        <v>3929</v>
      </c>
      <c r="G220" s="25" t="s">
        <v>3820</v>
      </c>
      <c r="H220" s="43">
        <v>460.0</v>
      </c>
      <c r="I220" s="42" t="s">
        <v>3853</v>
      </c>
      <c r="J220" s="43">
        <v>0.0</v>
      </c>
      <c r="K220" s="43">
        <v>100.0</v>
      </c>
      <c r="L220" s="43">
        <v>0.0</v>
      </c>
      <c r="M220" s="43">
        <v>0.0</v>
      </c>
      <c r="N220" s="33">
        <f>COUNTIFS('Data For Calculation - Insuranc'!A:A,A220,'Data For Calculation - Insuranc'!D:D,"Individual",'Data For Calculation - Insuranc'!E:E,"Bundled - 1 Year OD + 5 Year TP")</f>
        <v>0</v>
      </c>
      <c r="O220" s="34" t="s">
        <v>3930</v>
      </c>
      <c r="P220" s="25" t="s">
        <v>3820</v>
      </c>
      <c r="Q220" s="43">
        <v>460.0</v>
      </c>
      <c r="R220" s="42" t="s">
        <v>3853</v>
      </c>
      <c r="S220" s="43">
        <v>0.0</v>
      </c>
      <c r="T220" s="43">
        <v>100.0</v>
      </c>
      <c r="U220" s="43">
        <v>0.0</v>
      </c>
      <c r="V220" s="43">
        <v>0.0</v>
      </c>
      <c r="W220" s="33">
        <f>COUNTIFS('Data For Calculation - Insuranc'!A:A,A220,'Data For Calculation - Insuranc'!D:D,"Company",'Data For Calculation - Insuranc'!E:E,"Bundled - 1 Year OD + 5 Year TP")</f>
        <v>0</v>
      </c>
      <c r="X220" s="34" t="s">
        <v>3929</v>
      </c>
      <c r="Y220" s="25" t="s">
        <v>3820</v>
      </c>
      <c r="Z220" s="31">
        <v>290.0</v>
      </c>
      <c r="AA220" s="34" t="s">
        <v>3853</v>
      </c>
      <c r="AB220" s="34">
        <v>0.0</v>
      </c>
      <c r="AC220" s="34">
        <v>100.0</v>
      </c>
      <c r="AD220" s="34">
        <v>0.0</v>
      </c>
      <c r="AE220" s="34">
        <v>0.0</v>
      </c>
      <c r="AF220" s="33">
        <f>COUNTIFS('Data For Calculation - Insuranc'!A:A,A220,'Data For Calculation - Insuranc'!D:D,"Individual",'Data For Calculation - Insuranc'!E:E,"Rollover Comprehensive - 1 Year OD + 1 Year TP")</f>
        <v>0</v>
      </c>
      <c r="AG220" s="34" t="s">
        <v>3930</v>
      </c>
      <c r="AH220" s="25" t="s">
        <v>3820</v>
      </c>
      <c r="AI220" s="31">
        <v>290.0</v>
      </c>
      <c r="AJ220" s="34" t="s">
        <v>3853</v>
      </c>
      <c r="AK220" s="34">
        <v>0.0</v>
      </c>
      <c r="AL220" s="34">
        <v>100.0</v>
      </c>
      <c r="AM220" s="34">
        <v>0.0</v>
      </c>
      <c r="AN220" s="34">
        <v>0.0</v>
      </c>
      <c r="AO220" s="33">
        <f>COUNTIFS('Data For Calculation - Insuranc'!A:A,A220,'Data For Calculation - Insuranc'!D:D,"Company",'Data For Calculation - Insuranc'!E:E,"Rollover Comprehensive - 1 Year OD + 1 Year TP")</f>
        <v>0</v>
      </c>
      <c r="AP220" s="34" t="s">
        <v>3931</v>
      </c>
      <c r="AQ220" s="25" t="s">
        <v>3820</v>
      </c>
      <c r="AR220" s="31">
        <v>290.0</v>
      </c>
      <c r="AS220" s="34" t="s">
        <v>3853</v>
      </c>
      <c r="AT220" s="34">
        <v>0.0</v>
      </c>
      <c r="AU220" s="34">
        <v>100.0</v>
      </c>
      <c r="AV220" s="34">
        <v>0.0</v>
      </c>
      <c r="AW220" s="34">
        <v>0.0</v>
      </c>
      <c r="AX220" s="33">
        <f>COUNTIFS('Data For Calculation - Insuranc'!A:A,A220,'Data For Calculation - Insuranc'!D:D,"Individual",'Data For Calculation - Insuranc'!E:E,"Rollover - 1 Year OD Only")</f>
        <v>0</v>
      </c>
      <c r="AY220" s="34" t="s">
        <v>3932</v>
      </c>
      <c r="AZ220" s="25" t="s">
        <v>3820</v>
      </c>
      <c r="BA220" s="31">
        <v>290.0</v>
      </c>
      <c r="BB220" s="34" t="s">
        <v>3853</v>
      </c>
      <c r="BC220" s="34">
        <v>0.0</v>
      </c>
      <c r="BD220" s="34">
        <v>100.0</v>
      </c>
      <c r="BE220" s="34">
        <v>0.0</v>
      </c>
      <c r="BF220" s="34">
        <v>0.0</v>
      </c>
      <c r="BG220" s="33">
        <f>COUNTIFS('Data For Calculation - Insuranc'!A:A,A220,'Data For Calculation - Insuranc'!D:D,"Company",'Data For Calculation - Insuranc'!E:E,"Rollover - 1 Year OD Only")</f>
        <v>0</v>
      </c>
      <c r="BH220" s="34" t="s">
        <v>3931</v>
      </c>
      <c r="BI220" s="25" t="s">
        <v>3820</v>
      </c>
      <c r="BJ220" s="31">
        <v>290.0</v>
      </c>
      <c r="BK220" s="34" t="s">
        <v>3853</v>
      </c>
      <c r="BL220" s="34">
        <v>0.0</v>
      </c>
      <c r="BM220" s="34">
        <v>100.0</v>
      </c>
      <c r="BN220" s="34">
        <v>0.0</v>
      </c>
      <c r="BO220" s="34">
        <v>0.0</v>
      </c>
      <c r="BP220" s="33">
        <f>COUNTIFS('Data For Calculation - Insuranc'!A:A,A220,'Data For Calculation - Insuranc'!D:D,"Individual",'Data For Calculation - Insuranc'!E:E,"Rollover - 1 Year TP Only")</f>
        <v>0</v>
      </c>
      <c r="BQ220" s="34" t="s">
        <v>3932</v>
      </c>
      <c r="BR220" s="25" t="s">
        <v>3820</v>
      </c>
      <c r="BS220" s="31">
        <v>290.0</v>
      </c>
      <c r="BT220" s="34" t="s">
        <v>3853</v>
      </c>
      <c r="BU220" s="34">
        <v>0.0</v>
      </c>
      <c r="BV220" s="34">
        <v>100.0</v>
      </c>
      <c r="BW220" s="34">
        <v>0.0</v>
      </c>
      <c r="BX220" s="34">
        <v>0.0</v>
      </c>
      <c r="BY220" s="33">
        <f>COUNTIFS('Data For Calculation - Insuranc'!A:A,A220,'Data For Calculation - Insuranc'!D:D,"Company",'Data For Calculation - Insuranc'!E:E,"Rollover - 1 Year TP Only")</f>
        <v>0</v>
      </c>
      <c r="BZ220" s="31">
        <f t="shared" si="1"/>
        <v>0</v>
      </c>
      <c r="CA220" s="33">
        <f>SUMIFS('Data For Calculation - Insuranc'!I:I,'Data For Calculation - Insuranc'!$A:$A,$A220)</f>
        <v>0</v>
      </c>
      <c r="CB220" s="33">
        <f>SUMIFS('Data For Calculation - Insuranc'!J:J,'Data For Calculation - Insuranc'!$A:$A,$A220)</f>
        <v>0</v>
      </c>
      <c r="CC220" s="33">
        <f>SUMIFS('Data For Calculation - Insuranc'!K:K,'Data For Calculation - Insuranc'!$A:$A,$A220)</f>
        <v>0</v>
      </c>
      <c r="CD220" s="33">
        <f>IF($CK220 = "Dealer", SUMIFS('Data For Calculation - Insuranc'!I:I,'Data For Calculation - Insuranc'!$B:$B,$A220,'Data For Calculation - Insuranc'!$H:$H,"Master Dealer")) + SUMIFS('Data For Calculation - Insuranc'!I:I,'Data For Calculation - Insuranc'!$A:$A,$A220,'Data For Calculation - Insuranc'!$H:$H,"Self")</f>
        <v>0</v>
      </c>
      <c r="CE220" s="33">
        <f>IF($CK220 = "Dealer", SUMIFS('Data For Calculation - Insuranc'!J:J,'Data For Calculation - Insuranc'!$B:$B,$A220,'Data For Calculation - Insuranc'!$H:$H,"Master Dealer")) + SUMIFS('Data For Calculation - Insuranc'!J:J,'Data For Calculation - Insuranc'!$A:$A,$A220,'Data For Calculation - Insuranc'!$H:$H,"Self")</f>
        <v>0</v>
      </c>
      <c r="CF220" s="33">
        <f>IF($CK220 = "Dealer", SUMIFS('Data For Calculation - Insuranc'!K:K,'Data For Calculation - Insuranc'!$B:$B,$A220,'Data For Calculation - Insuranc'!$H:$H,"Master Dealer")) + SUMIFS('Data For Calculation - Insuranc'!K:K,'Data For Calculation - Insuranc'!$A:$A,$A220,'Data For Calculation - Insuranc'!$H:$H,"Self")</f>
        <v>0</v>
      </c>
      <c r="CG220" s="25" t="str">
        <f>(Sheet1!N220)</f>
        <v>SHYAM MOTORS - FATEHPUR</v>
      </c>
      <c r="CH220" s="25" t="str">
        <f>(Sheet1!O220)</f>
        <v>1IW00YIJovrtt6A8q0p0zoi4iwBPaPgOVnZqjzOz5yP0</v>
      </c>
      <c r="CI220" s="25" t="str">
        <f>(Sheet1!AV220)</f>
        <v/>
      </c>
      <c r="CJ220" s="25" t="str">
        <f>(Sheet1!AW220)</f>
        <v/>
      </c>
      <c r="CK220" s="25" t="str">
        <f>(Sheet1!P220)</f>
        <v>Dealer</v>
      </c>
    </row>
    <row r="221">
      <c r="A221" s="25" t="str">
        <f>(Sheet1!A221)</f>
        <v>1WXvYHRsq58CQOMiTQW5jz_Rk7VXZzJwGsE9DYysdKio</v>
      </c>
      <c r="B221" s="25" t="str">
        <f>(Sheet1!B221)</f>
        <v>Goel Motors - Lucknow</v>
      </c>
      <c r="C221" s="30" t="str">
        <f>Sheet1!BB221</f>
        <v>No</v>
      </c>
      <c r="D221" s="30" t="s">
        <v>13</v>
      </c>
      <c r="E221" s="34" t="s">
        <v>13</v>
      </c>
      <c r="F221" s="34" t="s">
        <v>3929</v>
      </c>
      <c r="G221" s="25" t="s">
        <v>3820</v>
      </c>
      <c r="H221" s="43">
        <v>460.0</v>
      </c>
      <c r="I221" s="42" t="s">
        <v>3853</v>
      </c>
      <c r="J221" s="43">
        <v>0.0</v>
      </c>
      <c r="K221" s="43">
        <v>100.0</v>
      </c>
      <c r="L221" s="43">
        <v>0.0</v>
      </c>
      <c r="M221" s="43">
        <v>0.0</v>
      </c>
      <c r="N221" s="33">
        <f>COUNTIFS('Data For Calculation - Insuranc'!A:A,A221,'Data For Calculation - Insuranc'!D:D,"Individual",'Data For Calculation - Insuranc'!E:E,"Bundled - 1 Year OD + 5 Year TP")</f>
        <v>0</v>
      </c>
      <c r="O221" s="34" t="s">
        <v>3930</v>
      </c>
      <c r="P221" s="25" t="s">
        <v>3820</v>
      </c>
      <c r="Q221" s="43">
        <v>460.0</v>
      </c>
      <c r="R221" s="42" t="s">
        <v>3853</v>
      </c>
      <c r="S221" s="43">
        <v>0.0</v>
      </c>
      <c r="T221" s="43">
        <v>100.0</v>
      </c>
      <c r="U221" s="43">
        <v>0.0</v>
      </c>
      <c r="V221" s="43">
        <v>0.0</v>
      </c>
      <c r="W221" s="33">
        <f>COUNTIFS('Data For Calculation - Insuranc'!A:A,A221,'Data For Calculation - Insuranc'!D:D,"Company",'Data For Calculation - Insuranc'!E:E,"Bundled - 1 Year OD + 5 Year TP")</f>
        <v>0</v>
      </c>
      <c r="X221" s="34" t="s">
        <v>3929</v>
      </c>
      <c r="Y221" s="25" t="s">
        <v>3820</v>
      </c>
      <c r="Z221" s="31">
        <v>290.0</v>
      </c>
      <c r="AA221" s="34" t="s">
        <v>3853</v>
      </c>
      <c r="AB221" s="34">
        <v>0.0</v>
      </c>
      <c r="AC221" s="34">
        <v>100.0</v>
      </c>
      <c r="AD221" s="34">
        <v>0.0</v>
      </c>
      <c r="AE221" s="34">
        <v>0.0</v>
      </c>
      <c r="AF221" s="33">
        <f>COUNTIFS('Data For Calculation - Insuranc'!A:A,A221,'Data For Calculation - Insuranc'!D:D,"Individual",'Data For Calculation - Insuranc'!E:E,"Rollover Comprehensive - 1 Year OD + 1 Year TP")</f>
        <v>0</v>
      </c>
      <c r="AG221" s="34" t="s">
        <v>3930</v>
      </c>
      <c r="AH221" s="25" t="s">
        <v>3820</v>
      </c>
      <c r="AI221" s="31">
        <v>290.0</v>
      </c>
      <c r="AJ221" s="34" t="s">
        <v>3853</v>
      </c>
      <c r="AK221" s="34">
        <v>0.0</v>
      </c>
      <c r="AL221" s="34">
        <v>100.0</v>
      </c>
      <c r="AM221" s="34">
        <v>0.0</v>
      </c>
      <c r="AN221" s="34">
        <v>0.0</v>
      </c>
      <c r="AO221" s="33">
        <f>COUNTIFS('Data For Calculation - Insuranc'!A:A,A221,'Data For Calculation - Insuranc'!D:D,"Company",'Data For Calculation - Insuranc'!E:E,"Rollover Comprehensive - 1 Year OD + 1 Year TP")</f>
        <v>0</v>
      </c>
      <c r="AP221" s="34" t="s">
        <v>3931</v>
      </c>
      <c r="AQ221" s="25" t="s">
        <v>3820</v>
      </c>
      <c r="AR221" s="31">
        <v>290.0</v>
      </c>
      <c r="AS221" s="34" t="s">
        <v>3853</v>
      </c>
      <c r="AT221" s="34">
        <v>0.0</v>
      </c>
      <c r="AU221" s="34">
        <v>100.0</v>
      </c>
      <c r="AV221" s="34">
        <v>0.0</v>
      </c>
      <c r="AW221" s="34">
        <v>0.0</v>
      </c>
      <c r="AX221" s="33">
        <f>COUNTIFS('Data For Calculation - Insuranc'!A:A,A221,'Data For Calculation - Insuranc'!D:D,"Individual",'Data For Calculation - Insuranc'!E:E,"Rollover - 1 Year OD Only")</f>
        <v>0</v>
      </c>
      <c r="AY221" s="34" t="s">
        <v>3932</v>
      </c>
      <c r="AZ221" s="25" t="s">
        <v>3820</v>
      </c>
      <c r="BA221" s="31">
        <v>290.0</v>
      </c>
      <c r="BB221" s="34" t="s">
        <v>3853</v>
      </c>
      <c r="BC221" s="34">
        <v>0.0</v>
      </c>
      <c r="BD221" s="34">
        <v>100.0</v>
      </c>
      <c r="BE221" s="34">
        <v>0.0</v>
      </c>
      <c r="BF221" s="34">
        <v>0.0</v>
      </c>
      <c r="BG221" s="33">
        <f>COUNTIFS('Data For Calculation - Insuranc'!A:A,A221,'Data For Calculation - Insuranc'!D:D,"Company",'Data For Calculation - Insuranc'!E:E,"Rollover - 1 Year OD Only")</f>
        <v>0</v>
      </c>
      <c r="BH221" s="34" t="s">
        <v>3931</v>
      </c>
      <c r="BI221" s="25" t="s">
        <v>3820</v>
      </c>
      <c r="BJ221" s="31">
        <v>290.0</v>
      </c>
      <c r="BK221" s="34" t="s">
        <v>3853</v>
      </c>
      <c r="BL221" s="34">
        <v>0.0</v>
      </c>
      <c r="BM221" s="34">
        <v>100.0</v>
      </c>
      <c r="BN221" s="34">
        <v>0.0</v>
      </c>
      <c r="BO221" s="34">
        <v>0.0</v>
      </c>
      <c r="BP221" s="33">
        <f>COUNTIFS('Data For Calculation - Insuranc'!A:A,A221,'Data For Calculation - Insuranc'!D:D,"Individual",'Data For Calculation - Insuranc'!E:E,"Rollover - 1 Year TP Only")</f>
        <v>0</v>
      </c>
      <c r="BQ221" s="34" t="s">
        <v>3932</v>
      </c>
      <c r="BR221" s="25" t="s">
        <v>3820</v>
      </c>
      <c r="BS221" s="31">
        <v>290.0</v>
      </c>
      <c r="BT221" s="34" t="s">
        <v>3853</v>
      </c>
      <c r="BU221" s="34">
        <v>0.0</v>
      </c>
      <c r="BV221" s="34">
        <v>100.0</v>
      </c>
      <c r="BW221" s="34">
        <v>0.0</v>
      </c>
      <c r="BX221" s="34">
        <v>0.0</v>
      </c>
      <c r="BY221" s="33">
        <f>COUNTIFS('Data For Calculation - Insuranc'!A:A,A221,'Data For Calculation - Insuranc'!D:D,"Company",'Data For Calculation - Insuranc'!E:E,"Rollover - 1 Year TP Only")</f>
        <v>0</v>
      </c>
      <c r="BZ221" s="31">
        <f t="shared" si="1"/>
        <v>0</v>
      </c>
      <c r="CA221" s="33">
        <f>SUMIFS('Data For Calculation - Insuranc'!I:I,'Data For Calculation - Insuranc'!$A:$A,$A221)</f>
        <v>0</v>
      </c>
      <c r="CB221" s="33">
        <f>SUMIFS('Data For Calculation - Insuranc'!J:J,'Data For Calculation - Insuranc'!$A:$A,$A221)</f>
        <v>0</v>
      </c>
      <c r="CC221" s="33">
        <f>SUMIFS('Data For Calculation - Insuranc'!K:K,'Data For Calculation - Insuranc'!$A:$A,$A221)</f>
        <v>0</v>
      </c>
      <c r="CD221" s="33">
        <f>IF($CK221 = "Dealer", SUMIFS('Data For Calculation - Insuranc'!I:I,'Data For Calculation - Insuranc'!$B:$B,$A221,'Data For Calculation - Insuranc'!$H:$H,"Master Dealer")) + SUMIFS('Data For Calculation - Insuranc'!I:I,'Data For Calculation - Insuranc'!$A:$A,$A221,'Data For Calculation - Insuranc'!$H:$H,"Self")</f>
        <v>0</v>
      </c>
      <c r="CE221" s="33">
        <f>IF($CK221 = "Dealer", SUMIFS('Data For Calculation - Insuranc'!J:J,'Data For Calculation - Insuranc'!$B:$B,$A221,'Data For Calculation - Insuranc'!$H:$H,"Master Dealer")) + SUMIFS('Data For Calculation - Insuranc'!J:J,'Data For Calculation - Insuranc'!$A:$A,$A221,'Data For Calculation - Insuranc'!$H:$H,"Self")</f>
        <v>0</v>
      </c>
      <c r="CF221" s="33">
        <f>IF($CK221 = "Dealer", SUMIFS('Data For Calculation - Insuranc'!K:K,'Data For Calculation - Insuranc'!$B:$B,$A221,'Data For Calculation - Insuranc'!$H:$H,"Master Dealer")) + SUMIFS('Data For Calculation - Insuranc'!K:K,'Data For Calculation - Insuranc'!$A:$A,$A221,'Data For Calculation - Insuranc'!$H:$H,"Self")</f>
        <v>0</v>
      </c>
      <c r="CG221" s="25" t="str">
        <f>(Sheet1!N221)</f>
        <v>Goel Motors - Lucknow</v>
      </c>
      <c r="CH221" s="25" t="str">
        <f>(Sheet1!O221)</f>
        <v>1WXvYHRsq58CQOMiTQW5jz_Rk7VXZzJwGsE9DYysdKio</v>
      </c>
      <c r="CI221" s="25" t="str">
        <f>(Sheet1!AV221)</f>
        <v/>
      </c>
      <c r="CJ221" s="25" t="str">
        <f>(Sheet1!AW221)</f>
        <v/>
      </c>
      <c r="CK221" s="25" t="str">
        <f>(Sheet1!P221)</f>
        <v>Dealer</v>
      </c>
    </row>
    <row r="222">
      <c r="A222" s="25" t="str">
        <f>(Sheet1!A222)</f>
        <v>1Y48WevU4dZlpN_oRadqFSD4ED20x97CYUdeAzWdn3go</v>
      </c>
      <c r="B222" s="25" t="str">
        <f>(Sheet1!B222)</f>
        <v>Mahalaxmi TVS- AHEMDABAD</v>
      </c>
      <c r="C222" s="30" t="str">
        <f>Sheet1!BB222</f>
        <v>No</v>
      </c>
      <c r="D222" s="30" t="s">
        <v>13</v>
      </c>
      <c r="E222" s="34" t="s">
        <v>13</v>
      </c>
      <c r="F222" s="34" t="s">
        <v>3929</v>
      </c>
      <c r="G222" s="42" t="s">
        <v>3817</v>
      </c>
      <c r="H222" s="43">
        <v>460.0</v>
      </c>
      <c r="I222" s="42" t="s">
        <v>3853</v>
      </c>
      <c r="J222" s="43">
        <v>0.0</v>
      </c>
      <c r="K222" s="43">
        <v>100.0</v>
      </c>
      <c r="L222" s="43">
        <v>0.0</v>
      </c>
      <c r="M222" s="43">
        <v>0.0</v>
      </c>
      <c r="N222" s="33">
        <f>COUNTIFS('Data For Calculation - Insuranc'!A:A,A222,'Data For Calculation - Insuranc'!D:D,"Individual",'Data For Calculation - Insuranc'!E:E,"Bundled - 1 Year OD + 5 Year TP")</f>
        <v>0</v>
      </c>
      <c r="O222" s="34" t="s">
        <v>3930</v>
      </c>
      <c r="P222" s="42" t="s">
        <v>3817</v>
      </c>
      <c r="Q222" s="43">
        <v>460.0</v>
      </c>
      <c r="R222" s="42" t="s">
        <v>3853</v>
      </c>
      <c r="S222" s="43">
        <v>0.0</v>
      </c>
      <c r="T222" s="43">
        <v>100.0</v>
      </c>
      <c r="U222" s="43">
        <v>0.0</v>
      </c>
      <c r="V222" s="43">
        <v>0.0</v>
      </c>
      <c r="W222" s="33">
        <f>COUNTIFS('Data For Calculation - Insuranc'!A:A,A222,'Data For Calculation - Insuranc'!D:D,"Company",'Data For Calculation - Insuranc'!E:E,"Bundled - 1 Year OD + 5 Year TP")</f>
        <v>0</v>
      </c>
      <c r="X222" s="34" t="s">
        <v>3929</v>
      </c>
      <c r="Y222" s="42" t="s">
        <v>3817</v>
      </c>
      <c r="Z222" s="31">
        <v>235.0</v>
      </c>
      <c r="AA222" s="34" t="s">
        <v>3853</v>
      </c>
      <c r="AB222" s="34">
        <v>0.0</v>
      </c>
      <c r="AC222" s="34">
        <v>100.0</v>
      </c>
      <c r="AD222" s="34">
        <v>0.0</v>
      </c>
      <c r="AE222" s="34">
        <v>0.0</v>
      </c>
      <c r="AF222" s="33">
        <f>COUNTIFS('Data For Calculation - Insuranc'!A:A,A222,'Data For Calculation - Insuranc'!D:D,"Individual",'Data For Calculation - Insuranc'!E:E,"Rollover Comprehensive - 1 Year OD + 1 Year TP")</f>
        <v>0</v>
      </c>
      <c r="AG222" s="34" t="s">
        <v>3930</v>
      </c>
      <c r="AH222" s="42" t="s">
        <v>3817</v>
      </c>
      <c r="AI222" s="31">
        <v>235.0</v>
      </c>
      <c r="AJ222" s="34" t="s">
        <v>3853</v>
      </c>
      <c r="AK222" s="34">
        <v>0.0</v>
      </c>
      <c r="AL222" s="34">
        <v>100.0</v>
      </c>
      <c r="AM222" s="34">
        <v>0.0</v>
      </c>
      <c r="AN222" s="34">
        <v>0.0</v>
      </c>
      <c r="AO222" s="33">
        <f>COUNTIFS('Data For Calculation - Insuranc'!A:A,A222,'Data For Calculation - Insuranc'!D:D,"Company",'Data For Calculation - Insuranc'!E:E,"Rollover Comprehensive - 1 Year OD + 1 Year TP")</f>
        <v>0</v>
      </c>
      <c r="AP222" s="34" t="s">
        <v>3931</v>
      </c>
      <c r="AQ222" s="42" t="s">
        <v>3817</v>
      </c>
      <c r="AR222" s="31">
        <v>235.0</v>
      </c>
      <c r="AS222" s="34" t="s">
        <v>3853</v>
      </c>
      <c r="AT222" s="34">
        <v>0.0</v>
      </c>
      <c r="AU222" s="34">
        <v>100.0</v>
      </c>
      <c r="AV222" s="34">
        <v>0.0</v>
      </c>
      <c r="AW222" s="34">
        <v>0.0</v>
      </c>
      <c r="AX222" s="33">
        <f>COUNTIFS('Data For Calculation - Insuranc'!A:A,A222,'Data For Calculation - Insuranc'!D:D,"Individual",'Data For Calculation - Insuranc'!E:E,"Rollover - 1 Year OD Only")</f>
        <v>0</v>
      </c>
      <c r="AY222" s="34" t="s">
        <v>3932</v>
      </c>
      <c r="AZ222" s="42" t="s">
        <v>3817</v>
      </c>
      <c r="BA222" s="31">
        <v>235.0</v>
      </c>
      <c r="BB222" s="34" t="s">
        <v>3853</v>
      </c>
      <c r="BC222" s="34">
        <v>0.0</v>
      </c>
      <c r="BD222" s="34">
        <v>100.0</v>
      </c>
      <c r="BE222" s="34">
        <v>0.0</v>
      </c>
      <c r="BF222" s="34">
        <v>0.0</v>
      </c>
      <c r="BG222" s="33">
        <f>COUNTIFS('Data For Calculation - Insuranc'!A:A,A222,'Data For Calculation - Insuranc'!D:D,"Company",'Data For Calculation - Insuranc'!E:E,"Rollover - 1 Year OD Only")</f>
        <v>0</v>
      </c>
      <c r="BH222" s="34" t="s">
        <v>3931</v>
      </c>
      <c r="BI222" s="42" t="s">
        <v>3817</v>
      </c>
      <c r="BJ222" s="31">
        <v>235.0</v>
      </c>
      <c r="BK222" s="34" t="s">
        <v>3853</v>
      </c>
      <c r="BL222" s="34">
        <v>0.0</v>
      </c>
      <c r="BM222" s="34">
        <v>100.0</v>
      </c>
      <c r="BN222" s="34">
        <v>0.0</v>
      </c>
      <c r="BO222" s="34">
        <v>0.0</v>
      </c>
      <c r="BP222" s="33">
        <f>COUNTIFS('Data For Calculation - Insuranc'!A:A,A222,'Data For Calculation - Insuranc'!D:D,"Individual",'Data For Calculation - Insuranc'!E:E,"Rollover - 1 Year TP Only")</f>
        <v>0</v>
      </c>
      <c r="BQ222" s="34" t="s">
        <v>3932</v>
      </c>
      <c r="BR222" s="42" t="s">
        <v>3817</v>
      </c>
      <c r="BS222" s="31">
        <v>235.0</v>
      </c>
      <c r="BT222" s="34" t="s">
        <v>3853</v>
      </c>
      <c r="BU222" s="34">
        <v>0.0</v>
      </c>
      <c r="BV222" s="34">
        <v>100.0</v>
      </c>
      <c r="BW222" s="34">
        <v>0.0</v>
      </c>
      <c r="BX222" s="34">
        <v>0.0</v>
      </c>
      <c r="BY222" s="33">
        <f>COUNTIFS('Data For Calculation - Insuranc'!A:A,A222,'Data For Calculation - Insuranc'!D:D,"Company",'Data For Calculation - Insuranc'!E:E,"Rollover - 1 Year TP Only")</f>
        <v>0</v>
      </c>
      <c r="BZ222" s="31">
        <f t="shared" si="1"/>
        <v>0</v>
      </c>
      <c r="CA222" s="33">
        <f>SUMIFS('Data For Calculation - Insuranc'!I:I,'Data For Calculation - Insuranc'!$A:$A,$A222)</f>
        <v>0</v>
      </c>
      <c r="CB222" s="33">
        <f>SUMIFS('Data For Calculation - Insuranc'!J:J,'Data For Calculation - Insuranc'!$A:$A,$A222)</f>
        <v>0</v>
      </c>
      <c r="CC222" s="33">
        <f>SUMIFS('Data For Calculation - Insuranc'!K:K,'Data For Calculation - Insuranc'!$A:$A,$A222)</f>
        <v>0</v>
      </c>
      <c r="CD222" s="33">
        <f>IF($CK222 = "Dealer", SUMIFS('Data For Calculation - Insuranc'!I:I,'Data For Calculation - Insuranc'!$B:$B,$A222,'Data For Calculation - Insuranc'!$H:$H,"Master Dealer")) + SUMIFS('Data For Calculation - Insuranc'!I:I,'Data For Calculation - Insuranc'!$A:$A,$A222,'Data For Calculation - Insuranc'!$H:$H,"Self")</f>
        <v>0</v>
      </c>
      <c r="CE222" s="33">
        <f>IF($CK222 = "Dealer", SUMIFS('Data For Calculation - Insuranc'!J:J,'Data For Calculation - Insuranc'!$B:$B,$A222,'Data For Calculation - Insuranc'!$H:$H,"Master Dealer")) + SUMIFS('Data For Calculation - Insuranc'!J:J,'Data For Calculation - Insuranc'!$A:$A,$A222,'Data For Calculation - Insuranc'!$H:$H,"Self")</f>
        <v>0</v>
      </c>
      <c r="CF222" s="33">
        <f>IF($CK222 = "Dealer", SUMIFS('Data For Calculation - Insuranc'!K:K,'Data For Calculation - Insuranc'!$B:$B,$A222,'Data For Calculation - Insuranc'!$H:$H,"Master Dealer")) + SUMIFS('Data For Calculation - Insuranc'!K:K,'Data For Calculation - Insuranc'!$A:$A,$A222,'Data For Calculation - Insuranc'!$H:$H,"Self")</f>
        <v>0</v>
      </c>
      <c r="CG222" s="25" t="str">
        <f>(Sheet1!N222)</f>
        <v>Mahalaxmi TVS- AHEMDABAD</v>
      </c>
      <c r="CH222" s="25" t="str">
        <f>(Sheet1!O222)</f>
        <v>1Y48WevU4dZlpN_oRadqFSD4ED20x97CYUdeAzWdn3go</v>
      </c>
      <c r="CI222" s="25" t="str">
        <f>(Sheet1!AV222)</f>
        <v/>
      </c>
      <c r="CJ222" s="25" t="str">
        <f>(Sheet1!AW222)</f>
        <v/>
      </c>
      <c r="CK222" s="26" t="str">
        <f>(Sheet1!P222)</f>
        <v>Dealer</v>
      </c>
    </row>
    <row r="223">
      <c r="A223" s="25" t="str">
        <f>(Sheet1!A223)</f>
        <v>1iBXH7o4SHrOUcyupGINEY029YtS1MVzDOPaqJv2RrfU</v>
      </c>
      <c r="B223" s="25" t="str">
        <f>(Sheet1!B223)</f>
        <v>MADAN AUTO AGENCY - LAURIYA</v>
      </c>
      <c r="C223" s="30" t="str">
        <f>Sheet1!BB223</f>
        <v>No</v>
      </c>
      <c r="D223" s="30" t="s">
        <v>13</v>
      </c>
      <c r="E223" s="34" t="s">
        <v>13</v>
      </c>
      <c r="F223" s="34" t="s">
        <v>3929</v>
      </c>
      <c r="G223" s="25" t="s">
        <v>3820</v>
      </c>
      <c r="H223" s="43">
        <v>460.0</v>
      </c>
      <c r="I223" s="42" t="s">
        <v>3853</v>
      </c>
      <c r="J223" s="43">
        <v>0.0</v>
      </c>
      <c r="K223" s="43">
        <v>100.0</v>
      </c>
      <c r="L223" s="43">
        <v>0.0</v>
      </c>
      <c r="M223" s="43">
        <v>0.0</v>
      </c>
      <c r="N223" s="33">
        <f>COUNTIFS('Data For Calculation - Insuranc'!A:A,A223,'Data For Calculation - Insuranc'!D:D,"Individual",'Data For Calculation - Insuranc'!E:E,"Bundled - 1 Year OD + 5 Year TP")</f>
        <v>0</v>
      </c>
      <c r="O223" s="34" t="s">
        <v>3930</v>
      </c>
      <c r="P223" s="25" t="s">
        <v>3820</v>
      </c>
      <c r="Q223" s="43">
        <v>460.0</v>
      </c>
      <c r="R223" s="42" t="s">
        <v>3853</v>
      </c>
      <c r="S223" s="43">
        <v>0.0</v>
      </c>
      <c r="T223" s="43">
        <v>100.0</v>
      </c>
      <c r="U223" s="43">
        <v>0.0</v>
      </c>
      <c r="V223" s="43">
        <v>0.0</v>
      </c>
      <c r="W223" s="33">
        <f>COUNTIFS('Data For Calculation - Insuranc'!A:A,A223,'Data For Calculation - Insuranc'!D:D,"Company",'Data For Calculation - Insuranc'!E:E,"Bundled - 1 Year OD + 5 Year TP")</f>
        <v>0</v>
      </c>
      <c r="X223" s="34" t="s">
        <v>3929</v>
      </c>
      <c r="Y223" s="25" t="s">
        <v>3820</v>
      </c>
      <c r="Z223" s="31">
        <v>205.0</v>
      </c>
      <c r="AA223" s="34" t="s">
        <v>3853</v>
      </c>
      <c r="AB223" s="34">
        <v>0.0</v>
      </c>
      <c r="AC223" s="34">
        <v>100.0</v>
      </c>
      <c r="AD223" s="34">
        <v>0.0</v>
      </c>
      <c r="AE223" s="34">
        <v>0.0</v>
      </c>
      <c r="AF223" s="33">
        <f>COUNTIFS('Data For Calculation - Insuranc'!A:A,A223,'Data For Calculation - Insuranc'!D:D,"Individual",'Data For Calculation - Insuranc'!E:E,"Rollover Comprehensive - 1 Year OD + 1 Year TP")</f>
        <v>0</v>
      </c>
      <c r="AG223" s="34" t="s">
        <v>3930</v>
      </c>
      <c r="AH223" s="25" t="s">
        <v>3820</v>
      </c>
      <c r="AI223" s="31">
        <v>205.0</v>
      </c>
      <c r="AJ223" s="34" t="s">
        <v>3853</v>
      </c>
      <c r="AK223" s="34">
        <v>0.0</v>
      </c>
      <c r="AL223" s="34">
        <v>100.0</v>
      </c>
      <c r="AM223" s="34">
        <v>0.0</v>
      </c>
      <c r="AN223" s="34">
        <v>0.0</v>
      </c>
      <c r="AO223" s="33">
        <f>COUNTIFS('Data For Calculation - Insuranc'!A:A,A223,'Data For Calculation - Insuranc'!D:D,"Company",'Data For Calculation - Insuranc'!E:E,"Rollover Comprehensive - 1 Year OD + 1 Year TP")</f>
        <v>0</v>
      </c>
      <c r="AP223" s="34" t="s">
        <v>3931</v>
      </c>
      <c r="AQ223" s="25" t="s">
        <v>3820</v>
      </c>
      <c r="AR223" s="31">
        <v>205.0</v>
      </c>
      <c r="AS223" s="34" t="s">
        <v>3853</v>
      </c>
      <c r="AT223" s="34">
        <v>0.0</v>
      </c>
      <c r="AU223" s="34">
        <v>100.0</v>
      </c>
      <c r="AV223" s="34">
        <v>0.0</v>
      </c>
      <c r="AW223" s="34">
        <v>0.0</v>
      </c>
      <c r="AX223" s="33">
        <f>COUNTIFS('Data For Calculation - Insuranc'!A:A,A223,'Data For Calculation - Insuranc'!D:D,"Individual",'Data For Calculation - Insuranc'!E:E,"Rollover - 1 Year OD Only")</f>
        <v>0</v>
      </c>
      <c r="AY223" s="34" t="s">
        <v>3932</v>
      </c>
      <c r="AZ223" s="25" t="s">
        <v>3820</v>
      </c>
      <c r="BA223" s="31">
        <v>205.0</v>
      </c>
      <c r="BB223" s="34" t="s">
        <v>3853</v>
      </c>
      <c r="BC223" s="34">
        <v>0.0</v>
      </c>
      <c r="BD223" s="34">
        <v>100.0</v>
      </c>
      <c r="BE223" s="34">
        <v>0.0</v>
      </c>
      <c r="BF223" s="34">
        <v>0.0</v>
      </c>
      <c r="BG223" s="33">
        <f>COUNTIFS('Data For Calculation - Insuranc'!A:A,A223,'Data For Calculation - Insuranc'!D:D,"Company",'Data For Calculation - Insuranc'!E:E,"Rollover - 1 Year OD Only")</f>
        <v>0</v>
      </c>
      <c r="BH223" s="34" t="s">
        <v>3931</v>
      </c>
      <c r="BI223" s="25" t="s">
        <v>3820</v>
      </c>
      <c r="BJ223" s="31">
        <v>205.0</v>
      </c>
      <c r="BK223" s="34" t="s">
        <v>3853</v>
      </c>
      <c r="BL223" s="34">
        <v>0.0</v>
      </c>
      <c r="BM223" s="34">
        <v>100.0</v>
      </c>
      <c r="BN223" s="34">
        <v>0.0</v>
      </c>
      <c r="BO223" s="34">
        <v>0.0</v>
      </c>
      <c r="BP223" s="33">
        <f>COUNTIFS('Data For Calculation - Insuranc'!A:A,A223,'Data For Calculation - Insuranc'!D:D,"Individual",'Data For Calculation - Insuranc'!E:E,"Rollover - 1 Year TP Only")</f>
        <v>0</v>
      </c>
      <c r="BQ223" s="34" t="s">
        <v>3932</v>
      </c>
      <c r="BR223" s="25" t="s">
        <v>3820</v>
      </c>
      <c r="BS223" s="31">
        <v>205.0</v>
      </c>
      <c r="BT223" s="34" t="s">
        <v>3853</v>
      </c>
      <c r="BU223" s="34">
        <v>0.0</v>
      </c>
      <c r="BV223" s="34">
        <v>100.0</v>
      </c>
      <c r="BW223" s="34">
        <v>0.0</v>
      </c>
      <c r="BX223" s="34">
        <v>0.0</v>
      </c>
      <c r="BY223" s="33">
        <f>COUNTIFS('Data For Calculation - Insuranc'!A:A,A223,'Data For Calculation - Insuranc'!D:D,"Company",'Data For Calculation - Insuranc'!E:E,"Rollover - 1 Year TP Only")</f>
        <v>0</v>
      </c>
      <c r="BZ223" s="31">
        <f t="shared" si="1"/>
        <v>0</v>
      </c>
      <c r="CA223" s="33">
        <f>SUMIFS('Data For Calculation - Insuranc'!I:I,'Data For Calculation - Insuranc'!$A:$A,$A223)</f>
        <v>0</v>
      </c>
      <c r="CB223" s="33">
        <f>SUMIFS('Data For Calculation - Insuranc'!J:J,'Data For Calculation - Insuranc'!$A:$A,$A223)</f>
        <v>0</v>
      </c>
      <c r="CC223" s="33">
        <f>SUMIFS('Data For Calculation - Insuranc'!K:K,'Data For Calculation - Insuranc'!$A:$A,$A223)</f>
        <v>0</v>
      </c>
      <c r="CD223" s="33">
        <f>IF($CK223 = "Dealer", SUMIFS('Data For Calculation - Insuranc'!I:I,'Data For Calculation - Insuranc'!$B:$B,$A223,'Data For Calculation - Insuranc'!$H:$H,"Master Dealer")) + SUMIFS('Data For Calculation - Insuranc'!I:I,'Data For Calculation - Insuranc'!$A:$A,$A223,'Data For Calculation - Insuranc'!$H:$H,"Self")</f>
        <v>0</v>
      </c>
      <c r="CE223" s="33">
        <f>IF($CK223 = "Dealer", SUMIFS('Data For Calculation - Insuranc'!J:J,'Data For Calculation - Insuranc'!$B:$B,$A223,'Data For Calculation - Insuranc'!$H:$H,"Master Dealer")) + SUMIFS('Data For Calculation - Insuranc'!J:J,'Data For Calculation - Insuranc'!$A:$A,$A223,'Data For Calculation - Insuranc'!$H:$H,"Self")</f>
        <v>0</v>
      </c>
      <c r="CF223" s="33">
        <f>IF($CK223 = "Dealer", SUMIFS('Data For Calculation - Insuranc'!K:K,'Data For Calculation - Insuranc'!$B:$B,$A223,'Data For Calculation - Insuranc'!$H:$H,"Master Dealer")) + SUMIFS('Data For Calculation - Insuranc'!K:K,'Data For Calculation - Insuranc'!$A:$A,$A223,'Data For Calculation - Insuranc'!$H:$H,"Self")</f>
        <v>0</v>
      </c>
      <c r="CG223" s="25" t="str">
        <f>(Sheet1!N223)</f>
        <v>Modern Auto Agency - Bettiah</v>
      </c>
      <c r="CH223" s="25" t="str">
        <f>(Sheet1!O223)</f>
        <v>1_UtGSoyOsljQXvmry7gfXGYwjwEjQbghQQGZebnq45M</v>
      </c>
      <c r="CI223" s="25" t="str">
        <f>(Sheet1!AV223)</f>
        <v/>
      </c>
      <c r="CJ223" s="25" t="str">
        <f>(Sheet1!AW223)</f>
        <v/>
      </c>
      <c r="CK223" s="25" t="str">
        <f>(Sheet1!P223)</f>
        <v>Sub Dealer</v>
      </c>
    </row>
    <row r="224">
      <c r="A224" s="25" t="str">
        <f>(Sheet1!A224)</f>
        <v>1JAbS28NFmfJxZrsQ7twsfzmqCme35J_wqOELlcNcX1c</v>
      </c>
      <c r="B224" s="25" t="str">
        <f>(Sheet1!B224)</f>
        <v>STALLIONZ TVS - AHMEDABAD</v>
      </c>
      <c r="C224" s="30" t="str">
        <f>Sheet1!BB224</f>
        <v>No</v>
      </c>
      <c r="D224" s="30" t="s">
        <v>13</v>
      </c>
      <c r="E224" s="34" t="s">
        <v>13</v>
      </c>
      <c r="F224" s="34" t="s">
        <v>3929</v>
      </c>
      <c r="G224" s="42" t="s">
        <v>3817</v>
      </c>
      <c r="H224" s="43">
        <v>460.0</v>
      </c>
      <c r="I224" s="42" t="s">
        <v>3853</v>
      </c>
      <c r="J224" s="43">
        <v>0.0</v>
      </c>
      <c r="K224" s="43">
        <v>100.0</v>
      </c>
      <c r="L224" s="43">
        <v>0.0</v>
      </c>
      <c r="M224" s="43">
        <v>0.0</v>
      </c>
      <c r="N224" s="33">
        <f>COUNTIFS('Data For Calculation - Insuranc'!A:A,A224,'Data For Calculation - Insuranc'!D:D,"Individual",'Data For Calculation - Insuranc'!E:E,"Bundled - 1 Year OD + 5 Year TP")</f>
        <v>0</v>
      </c>
      <c r="O224" s="34" t="s">
        <v>3930</v>
      </c>
      <c r="P224" s="42" t="s">
        <v>3817</v>
      </c>
      <c r="Q224" s="43">
        <v>460.0</v>
      </c>
      <c r="R224" s="42" t="s">
        <v>3853</v>
      </c>
      <c r="S224" s="43">
        <v>0.0</v>
      </c>
      <c r="T224" s="43">
        <v>100.0</v>
      </c>
      <c r="U224" s="43">
        <v>0.0</v>
      </c>
      <c r="V224" s="43">
        <v>0.0</v>
      </c>
      <c r="W224" s="33">
        <f>COUNTIFS('Data For Calculation - Insuranc'!A:A,A224,'Data For Calculation - Insuranc'!D:D,"Company",'Data For Calculation - Insuranc'!E:E,"Bundled - 1 Year OD + 5 Year TP")</f>
        <v>0</v>
      </c>
      <c r="X224" s="34" t="s">
        <v>3929</v>
      </c>
      <c r="Y224" s="42" t="s">
        <v>3817</v>
      </c>
      <c r="Z224" s="31">
        <v>215.0</v>
      </c>
      <c r="AA224" s="34" t="s">
        <v>3853</v>
      </c>
      <c r="AB224" s="34">
        <v>0.0</v>
      </c>
      <c r="AC224" s="34">
        <v>100.0</v>
      </c>
      <c r="AD224" s="34">
        <v>0.0</v>
      </c>
      <c r="AE224" s="34">
        <v>0.0</v>
      </c>
      <c r="AF224" s="33">
        <f>COUNTIFS('Data For Calculation - Insuranc'!A:A,A224,'Data For Calculation - Insuranc'!D:D,"Individual",'Data For Calculation - Insuranc'!E:E,"Rollover Comprehensive - 1 Year OD + 1 Year TP")</f>
        <v>0</v>
      </c>
      <c r="AG224" s="34" t="s">
        <v>3930</v>
      </c>
      <c r="AH224" s="42" t="s">
        <v>3817</v>
      </c>
      <c r="AI224" s="31">
        <v>215.0</v>
      </c>
      <c r="AJ224" s="34" t="s">
        <v>3853</v>
      </c>
      <c r="AK224" s="34">
        <v>0.0</v>
      </c>
      <c r="AL224" s="34">
        <v>100.0</v>
      </c>
      <c r="AM224" s="34">
        <v>0.0</v>
      </c>
      <c r="AN224" s="34">
        <v>0.0</v>
      </c>
      <c r="AO224" s="33">
        <f>COUNTIFS('Data For Calculation - Insuranc'!A:A,A224,'Data For Calculation - Insuranc'!D:D,"Company",'Data For Calculation - Insuranc'!E:E,"Rollover Comprehensive - 1 Year OD + 1 Year TP")</f>
        <v>0</v>
      </c>
      <c r="AP224" s="34" t="s">
        <v>3931</v>
      </c>
      <c r="AQ224" s="42" t="s">
        <v>3817</v>
      </c>
      <c r="AR224" s="31">
        <v>215.0</v>
      </c>
      <c r="AS224" s="34" t="s">
        <v>3853</v>
      </c>
      <c r="AT224" s="34">
        <v>0.0</v>
      </c>
      <c r="AU224" s="34">
        <v>100.0</v>
      </c>
      <c r="AV224" s="34">
        <v>0.0</v>
      </c>
      <c r="AW224" s="34">
        <v>0.0</v>
      </c>
      <c r="AX224" s="33">
        <f>COUNTIFS('Data For Calculation - Insuranc'!A:A,A224,'Data For Calculation - Insuranc'!D:D,"Individual",'Data For Calculation - Insuranc'!E:E,"Rollover - 1 Year OD Only")</f>
        <v>0</v>
      </c>
      <c r="AY224" s="34" t="s">
        <v>3932</v>
      </c>
      <c r="AZ224" s="42" t="s">
        <v>3817</v>
      </c>
      <c r="BA224" s="31">
        <v>215.0</v>
      </c>
      <c r="BB224" s="34" t="s">
        <v>3853</v>
      </c>
      <c r="BC224" s="34">
        <v>0.0</v>
      </c>
      <c r="BD224" s="34">
        <v>100.0</v>
      </c>
      <c r="BE224" s="34">
        <v>0.0</v>
      </c>
      <c r="BF224" s="34">
        <v>0.0</v>
      </c>
      <c r="BG224" s="33">
        <f>COUNTIFS('Data For Calculation - Insuranc'!A:A,A224,'Data For Calculation - Insuranc'!D:D,"Company",'Data For Calculation - Insuranc'!E:E,"Rollover - 1 Year OD Only")</f>
        <v>0</v>
      </c>
      <c r="BH224" s="34" t="s">
        <v>3931</v>
      </c>
      <c r="BI224" s="42" t="s">
        <v>3817</v>
      </c>
      <c r="BJ224" s="31">
        <v>215.0</v>
      </c>
      <c r="BK224" s="34" t="s">
        <v>3853</v>
      </c>
      <c r="BL224" s="34">
        <v>0.0</v>
      </c>
      <c r="BM224" s="34">
        <v>100.0</v>
      </c>
      <c r="BN224" s="34">
        <v>0.0</v>
      </c>
      <c r="BO224" s="34">
        <v>0.0</v>
      </c>
      <c r="BP224" s="33">
        <f>COUNTIFS('Data For Calculation - Insuranc'!A:A,A224,'Data For Calculation - Insuranc'!D:D,"Individual",'Data For Calculation - Insuranc'!E:E,"Rollover - 1 Year TP Only")</f>
        <v>0</v>
      </c>
      <c r="BQ224" s="34" t="s">
        <v>3932</v>
      </c>
      <c r="BR224" s="42" t="s">
        <v>3817</v>
      </c>
      <c r="BS224" s="31">
        <v>215.0</v>
      </c>
      <c r="BT224" s="34" t="s">
        <v>3853</v>
      </c>
      <c r="BU224" s="34">
        <v>0.0</v>
      </c>
      <c r="BV224" s="34">
        <v>100.0</v>
      </c>
      <c r="BW224" s="34">
        <v>0.0</v>
      </c>
      <c r="BX224" s="34">
        <v>0.0</v>
      </c>
      <c r="BY224" s="33">
        <f>COUNTIFS('Data For Calculation - Insuranc'!A:A,A224,'Data For Calculation - Insuranc'!D:D,"Company",'Data For Calculation - Insuranc'!E:E,"Rollover - 1 Year TP Only")</f>
        <v>0</v>
      </c>
      <c r="BZ224" s="31">
        <f t="shared" si="1"/>
        <v>0</v>
      </c>
      <c r="CA224" s="33">
        <f>SUMIFS('Data For Calculation - Insuranc'!I:I,'Data For Calculation - Insuranc'!$A:$A,$A224)</f>
        <v>0</v>
      </c>
      <c r="CB224" s="33">
        <f>SUMIFS('Data For Calculation - Insuranc'!J:J,'Data For Calculation - Insuranc'!$A:$A,$A224)</f>
        <v>0</v>
      </c>
      <c r="CC224" s="33">
        <f>SUMIFS('Data For Calculation - Insuranc'!K:K,'Data For Calculation - Insuranc'!$A:$A,$A224)</f>
        <v>0</v>
      </c>
      <c r="CD224" s="33">
        <f>IF($CK224 = "Dealer", SUMIFS('Data For Calculation - Insuranc'!I:I,'Data For Calculation - Insuranc'!$B:$B,$A224,'Data For Calculation - Insuranc'!$H:$H,"Master Dealer")) + SUMIFS('Data For Calculation - Insuranc'!I:I,'Data For Calculation - Insuranc'!$A:$A,$A224,'Data For Calculation - Insuranc'!$H:$H,"Self")</f>
        <v>0</v>
      </c>
      <c r="CE224" s="33">
        <f>IF($CK224 = "Dealer", SUMIFS('Data For Calculation - Insuranc'!J:J,'Data For Calculation - Insuranc'!$B:$B,$A224,'Data For Calculation - Insuranc'!$H:$H,"Master Dealer")) + SUMIFS('Data For Calculation - Insuranc'!J:J,'Data For Calculation - Insuranc'!$A:$A,$A224,'Data For Calculation - Insuranc'!$H:$H,"Self")</f>
        <v>0</v>
      </c>
      <c r="CF224" s="33">
        <f>IF($CK224 = "Dealer", SUMIFS('Data For Calculation - Insuranc'!K:K,'Data For Calculation - Insuranc'!$B:$B,$A224,'Data For Calculation - Insuranc'!$H:$H,"Master Dealer")) + SUMIFS('Data For Calculation - Insuranc'!K:K,'Data For Calculation - Insuranc'!$A:$A,$A224,'Data For Calculation - Insuranc'!$H:$H,"Self")</f>
        <v>0</v>
      </c>
      <c r="CG224" s="25" t="str">
        <f>(Sheet1!N224)</f>
        <v>STALLIONZ TVS - AHMEDABAD</v>
      </c>
      <c r="CH224" s="25" t="str">
        <f>(Sheet1!O224)</f>
        <v>1JAbS28NFmfJxZrsQ7twsfzmqCme35J_wqOELlcNcX1c</v>
      </c>
      <c r="CI224" s="25" t="str">
        <f>(Sheet1!AV224)</f>
        <v/>
      </c>
      <c r="CJ224" s="25" t="str">
        <f>(Sheet1!AW224)</f>
        <v/>
      </c>
      <c r="CK224" s="26" t="str">
        <f>(Sheet1!P224)</f>
        <v>Dealer</v>
      </c>
    </row>
    <row r="225">
      <c r="A225" s="25" t="str">
        <f>(Sheet1!A225)</f>
        <v>1KROhijYRp4JJHg6qMghouwiu3FhY0i9nzQ4icP6smio</v>
      </c>
      <c r="B225" s="25" t="str">
        <f>(Sheet1!B225)</f>
        <v>SAI HERO-UDGIR</v>
      </c>
      <c r="C225" s="30" t="str">
        <f>Sheet1!BB225</f>
        <v>No</v>
      </c>
      <c r="D225" s="30" t="s">
        <v>13</v>
      </c>
      <c r="E225" s="34" t="s">
        <v>13</v>
      </c>
      <c r="F225" s="34" t="s">
        <v>3929</v>
      </c>
      <c r="G225" s="42" t="s">
        <v>3820</v>
      </c>
      <c r="H225" s="43">
        <v>460.0</v>
      </c>
      <c r="I225" s="42" t="s">
        <v>3853</v>
      </c>
      <c r="J225" s="43">
        <v>0.0</v>
      </c>
      <c r="K225" s="43">
        <v>100.0</v>
      </c>
      <c r="L225" s="43">
        <v>0.0</v>
      </c>
      <c r="M225" s="43">
        <v>0.0</v>
      </c>
      <c r="N225" s="33">
        <f>COUNTIFS('Data For Calculation - Insuranc'!A:A,A225,'Data For Calculation - Insuranc'!D:D,"Individual",'Data For Calculation - Insuranc'!E:E,"Bundled - 1 Year OD + 5 Year TP")</f>
        <v>0</v>
      </c>
      <c r="O225" s="34" t="s">
        <v>3930</v>
      </c>
      <c r="P225" s="42" t="s">
        <v>3820</v>
      </c>
      <c r="Q225" s="43">
        <v>460.0</v>
      </c>
      <c r="R225" s="42" t="s">
        <v>3853</v>
      </c>
      <c r="S225" s="43">
        <v>0.0</v>
      </c>
      <c r="T225" s="43">
        <v>100.0</v>
      </c>
      <c r="U225" s="43">
        <v>0.0</v>
      </c>
      <c r="V225" s="43">
        <v>0.0</v>
      </c>
      <c r="W225" s="33">
        <f>COUNTIFS('Data For Calculation - Insuranc'!A:A,A225,'Data For Calculation - Insuranc'!D:D,"Company",'Data For Calculation - Insuranc'!E:E,"Bundled - 1 Year OD + 5 Year TP")</f>
        <v>0</v>
      </c>
      <c r="X225" s="34" t="s">
        <v>3929</v>
      </c>
      <c r="Y225" s="42" t="s">
        <v>3820</v>
      </c>
      <c r="Z225" s="31">
        <v>290.0</v>
      </c>
      <c r="AA225" s="34" t="s">
        <v>3853</v>
      </c>
      <c r="AB225" s="34">
        <v>0.0</v>
      </c>
      <c r="AC225" s="34">
        <v>100.0</v>
      </c>
      <c r="AD225" s="34">
        <v>0.0</v>
      </c>
      <c r="AE225" s="34">
        <v>0.0</v>
      </c>
      <c r="AF225" s="33">
        <f>COUNTIFS('Data For Calculation - Insuranc'!A:A,A225,'Data For Calculation - Insuranc'!D:D,"Individual",'Data For Calculation - Insuranc'!E:E,"Rollover Comprehensive - 1 Year OD + 1 Year TP")</f>
        <v>0</v>
      </c>
      <c r="AG225" s="34" t="s">
        <v>3930</v>
      </c>
      <c r="AH225" s="42" t="s">
        <v>3820</v>
      </c>
      <c r="AI225" s="31">
        <v>290.0</v>
      </c>
      <c r="AJ225" s="34" t="s">
        <v>3853</v>
      </c>
      <c r="AK225" s="34">
        <v>0.0</v>
      </c>
      <c r="AL225" s="34">
        <v>100.0</v>
      </c>
      <c r="AM225" s="34">
        <v>0.0</v>
      </c>
      <c r="AN225" s="34">
        <v>0.0</v>
      </c>
      <c r="AO225" s="33">
        <f>COUNTIFS('Data For Calculation - Insuranc'!A:A,A225,'Data For Calculation - Insuranc'!D:D,"Company",'Data For Calculation - Insuranc'!E:E,"Rollover Comprehensive - 1 Year OD + 1 Year TP")</f>
        <v>0</v>
      </c>
      <c r="AP225" s="34" t="s">
        <v>3931</v>
      </c>
      <c r="AQ225" s="42" t="s">
        <v>3820</v>
      </c>
      <c r="AR225" s="31">
        <v>290.0</v>
      </c>
      <c r="AS225" s="34" t="s">
        <v>3853</v>
      </c>
      <c r="AT225" s="34">
        <v>0.0</v>
      </c>
      <c r="AU225" s="34">
        <v>100.0</v>
      </c>
      <c r="AV225" s="34">
        <v>0.0</v>
      </c>
      <c r="AW225" s="34">
        <v>0.0</v>
      </c>
      <c r="AX225" s="33">
        <f>COUNTIFS('Data For Calculation - Insuranc'!A:A,A225,'Data For Calculation - Insuranc'!D:D,"Individual",'Data For Calculation - Insuranc'!E:E,"Rollover - 1 Year OD Only")</f>
        <v>0</v>
      </c>
      <c r="AY225" s="34" t="s">
        <v>3932</v>
      </c>
      <c r="AZ225" s="42" t="s">
        <v>3820</v>
      </c>
      <c r="BA225" s="31">
        <v>290.0</v>
      </c>
      <c r="BB225" s="34" t="s">
        <v>3853</v>
      </c>
      <c r="BC225" s="34">
        <v>0.0</v>
      </c>
      <c r="BD225" s="34">
        <v>100.0</v>
      </c>
      <c r="BE225" s="34">
        <v>0.0</v>
      </c>
      <c r="BF225" s="34">
        <v>0.0</v>
      </c>
      <c r="BG225" s="33">
        <f>COUNTIFS('Data For Calculation - Insuranc'!A:A,A225,'Data For Calculation - Insuranc'!D:D,"Company",'Data For Calculation - Insuranc'!E:E,"Rollover - 1 Year OD Only")</f>
        <v>0</v>
      </c>
      <c r="BH225" s="34" t="s">
        <v>3931</v>
      </c>
      <c r="BI225" s="42" t="s">
        <v>3820</v>
      </c>
      <c r="BJ225" s="31">
        <v>290.0</v>
      </c>
      <c r="BK225" s="34" t="s">
        <v>3853</v>
      </c>
      <c r="BL225" s="34">
        <v>0.0</v>
      </c>
      <c r="BM225" s="34">
        <v>100.0</v>
      </c>
      <c r="BN225" s="34">
        <v>0.0</v>
      </c>
      <c r="BO225" s="34">
        <v>0.0</v>
      </c>
      <c r="BP225" s="33">
        <f>COUNTIFS('Data For Calculation - Insuranc'!A:A,A225,'Data For Calculation - Insuranc'!D:D,"Individual",'Data For Calculation - Insuranc'!E:E,"Rollover - 1 Year TP Only")</f>
        <v>0</v>
      </c>
      <c r="BQ225" s="34" t="s">
        <v>3932</v>
      </c>
      <c r="BR225" s="42" t="s">
        <v>3820</v>
      </c>
      <c r="BS225" s="31">
        <v>290.0</v>
      </c>
      <c r="BT225" s="34" t="s">
        <v>3853</v>
      </c>
      <c r="BU225" s="34">
        <v>0.0</v>
      </c>
      <c r="BV225" s="34">
        <v>100.0</v>
      </c>
      <c r="BW225" s="34">
        <v>0.0</v>
      </c>
      <c r="BX225" s="34">
        <v>0.0</v>
      </c>
      <c r="BY225" s="33">
        <f>COUNTIFS('Data For Calculation - Insuranc'!A:A,A225,'Data For Calculation - Insuranc'!D:D,"Company",'Data For Calculation - Insuranc'!E:E,"Rollover - 1 Year TP Only")</f>
        <v>0</v>
      </c>
      <c r="BZ225" s="31">
        <f t="shared" si="1"/>
        <v>0</v>
      </c>
      <c r="CA225" s="33">
        <f>SUMIFS('Data For Calculation - Insuranc'!I:I,'Data For Calculation - Insuranc'!$A:$A,$A225)</f>
        <v>0</v>
      </c>
      <c r="CB225" s="33">
        <f>SUMIFS('Data For Calculation - Insuranc'!J:J,'Data For Calculation - Insuranc'!$A:$A,$A225)</f>
        <v>0</v>
      </c>
      <c r="CC225" s="33">
        <f>SUMIFS('Data For Calculation - Insuranc'!K:K,'Data For Calculation - Insuranc'!$A:$A,$A225)</f>
        <v>0</v>
      </c>
      <c r="CD225" s="33">
        <f>IF($CK225 = "Dealer", SUMIFS('Data For Calculation - Insuranc'!I:I,'Data For Calculation - Insuranc'!$B:$B,$A225,'Data For Calculation - Insuranc'!$H:$H,"Master Dealer")) + SUMIFS('Data For Calculation - Insuranc'!I:I,'Data For Calculation - Insuranc'!$A:$A,$A225,'Data For Calculation - Insuranc'!$H:$H,"Self")</f>
        <v>0</v>
      </c>
      <c r="CE225" s="33">
        <f>IF($CK225 = "Dealer", SUMIFS('Data For Calculation - Insuranc'!J:J,'Data For Calculation - Insuranc'!$B:$B,$A225,'Data For Calculation - Insuranc'!$H:$H,"Master Dealer")) + SUMIFS('Data For Calculation - Insuranc'!J:J,'Data For Calculation - Insuranc'!$A:$A,$A225,'Data For Calculation - Insuranc'!$H:$H,"Self")</f>
        <v>0</v>
      </c>
      <c r="CF225" s="33">
        <f>IF($CK225 = "Dealer", SUMIFS('Data For Calculation - Insuranc'!K:K,'Data For Calculation - Insuranc'!$B:$B,$A225,'Data For Calculation - Insuranc'!$H:$H,"Master Dealer")) + SUMIFS('Data For Calculation - Insuranc'!K:K,'Data For Calculation - Insuranc'!$A:$A,$A225,'Data For Calculation - Insuranc'!$H:$H,"Self")</f>
        <v>0</v>
      </c>
      <c r="CG225" s="25" t="str">
        <f>(Sheet1!N225)</f>
        <v>SAI HERO-UDGIR</v>
      </c>
      <c r="CH225" s="25" t="str">
        <f>(Sheet1!O225)</f>
        <v>1KROhijYRp4JJHg6qMghouwiu3FhY0i9nzQ4icP6smio</v>
      </c>
      <c r="CI225" s="25" t="str">
        <f>(Sheet1!AV225)</f>
        <v/>
      </c>
      <c r="CJ225" s="25" t="str">
        <f>(Sheet1!AW225)</f>
        <v/>
      </c>
      <c r="CK225" s="26" t="str">
        <f>(Sheet1!P225)</f>
        <v>Dealer</v>
      </c>
    </row>
    <row r="226">
      <c r="A226" s="25" t="str">
        <f>(Sheet1!A226)</f>
        <v>1nEeaFhAsFkti6A1RQlVCs8bVVDbn1HO5_E8Nv2sncWw</v>
      </c>
      <c r="B226" s="25" t="str">
        <f>(Sheet1!B226)</f>
        <v>Mahalaxmi TVS-ISANPUR</v>
      </c>
      <c r="C226" s="30" t="str">
        <f>Sheet1!BB226</f>
        <v>No</v>
      </c>
      <c r="D226" s="30" t="s">
        <v>13</v>
      </c>
      <c r="E226" s="34" t="s">
        <v>13</v>
      </c>
      <c r="F226" s="34" t="s">
        <v>3929</v>
      </c>
      <c r="G226" s="42" t="s">
        <v>3817</v>
      </c>
      <c r="H226" s="43">
        <v>460.0</v>
      </c>
      <c r="I226" s="42" t="s">
        <v>3853</v>
      </c>
      <c r="J226" s="43">
        <v>0.0</v>
      </c>
      <c r="K226" s="43">
        <v>100.0</v>
      </c>
      <c r="L226" s="43">
        <v>0.0</v>
      </c>
      <c r="M226" s="43">
        <v>0.0</v>
      </c>
      <c r="N226" s="33">
        <f>COUNTIFS('Data For Calculation - Insuranc'!A:A,A226,'Data For Calculation - Insuranc'!D:D,"Individual",'Data For Calculation - Insuranc'!E:E,"Bundled - 1 Year OD + 5 Year TP")</f>
        <v>0</v>
      </c>
      <c r="O226" s="34" t="s">
        <v>3930</v>
      </c>
      <c r="P226" s="42" t="s">
        <v>3817</v>
      </c>
      <c r="Q226" s="43">
        <v>460.0</v>
      </c>
      <c r="R226" s="42" t="s">
        <v>3853</v>
      </c>
      <c r="S226" s="43">
        <v>0.0</v>
      </c>
      <c r="T226" s="43">
        <v>100.0</v>
      </c>
      <c r="U226" s="43">
        <v>0.0</v>
      </c>
      <c r="V226" s="43">
        <v>0.0</v>
      </c>
      <c r="W226" s="33">
        <f>COUNTIFS('Data For Calculation - Insuranc'!A:A,A226,'Data For Calculation - Insuranc'!D:D,"Company",'Data For Calculation - Insuranc'!E:E,"Bundled - 1 Year OD + 5 Year TP")</f>
        <v>0</v>
      </c>
      <c r="X226" s="34" t="s">
        <v>3929</v>
      </c>
      <c r="Y226" s="42" t="s">
        <v>3817</v>
      </c>
      <c r="Z226" s="31">
        <v>235.0</v>
      </c>
      <c r="AA226" s="34" t="s">
        <v>3853</v>
      </c>
      <c r="AB226" s="34">
        <v>0.0</v>
      </c>
      <c r="AC226" s="34">
        <v>100.0</v>
      </c>
      <c r="AD226" s="34">
        <v>0.0</v>
      </c>
      <c r="AE226" s="34">
        <v>0.0</v>
      </c>
      <c r="AF226" s="33">
        <f>COUNTIFS('Data For Calculation - Insuranc'!A:A,A226,'Data For Calculation - Insuranc'!D:D,"Individual",'Data For Calculation - Insuranc'!E:E,"Rollover Comprehensive - 1 Year OD + 1 Year TP")</f>
        <v>0</v>
      </c>
      <c r="AG226" s="34" t="s">
        <v>3930</v>
      </c>
      <c r="AH226" s="42" t="s">
        <v>3817</v>
      </c>
      <c r="AI226" s="31">
        <v>235.0</v>
      </c>
      <c r="AJ226" s="34" t="s">
        <v>3853</v>
      </c>
      <c r="AK226" s="34">
        <v>0.0</v>
      </c>
      <c r="AL226" s="34">
        <v>100.0</v>
      </c>
      <c r="AM226" s="34">
        <v>0.0</v>
      </c>
      <c r="AN226" s="34">
        <v>0.0</v>
      </c>
      <c r="AO226" s="33">
        <f>COUNTIFS('Data For Calculation - Insuranc'!A:A,A226,'Data For Calculation - Insuranc'!D:D,"Company",'Data For Calculation - Insuranc'!E:E,"Rollover Comprehensive - 1 Year OD + 1 Year TP")</f>
        <v>0</v>
      </c>
      <c r="AP226" s="34" t="s">
        <v>3931</v>
      </c>
      <c r="AQ226" s="42" t="s">
        <v>3817</v>
      </c>
      <c r="AR226" s="31">
        <v>235.0</v>
      </c>
      <c r="AS226" s="34" t="s">
        <v>3853</v>
      </c>
      <c r="AT226" s="34">
        <v>0.0</v>
      </c>
      <c r="AU226" s="34">
        <v>100.0</v>
      </c>
      <c r="AV226" s="34">
        <v>0.0</v>
      </c>
      <c r="AW226" s="34">
        <v>0.0</v>
      </c>
      <c r="AX226" s="33">
        <f>COUNTIFS('Data For Calculation - Insuranc'!A:A,A226,'Data For Calculation - Insuranc'!D:D,"Individual",'Data For Calculation - Insuranc'!E:E,"Rollover - 1 Year OD Only")</f>
        <v>0</v>
      </c>
      <c r="AY226" s="34" t="s">
        <v>3932</v>
      </c>
      <c r="AZ226" s="42" t="s">
        <v>3817</v>
      </c>
      <c r="BA226" s="31">
        <v>235.0</v>
      </c>
      <c r="BB226" s="34" t="s">
        <v>3853</v>
      </c>
      <c r="BC226" s="34">
        <v>0.0</v>
      </c>
      <c r="BD226" s="34">
        <v>100.0</v>
      </c>
      <c r="BE226" s="34">
        <v>0.0</v>
      </c>
      <c r="BF226" s="34">
        <v>0.0</v>
      </c>
      <c r="BG226" s="33">
        <f>COUNTIFS('Data For Calculation - Insuranc'!A:A,A226,'Data For Calculation - Insuranc'!D:D,"Company",'Data For Calculation - Insuranc'!E:E,"Rollover - 1 Year OD Only")</f>
        <v>0</v>
      </c>
      <c r="BH226" s="34" t="s">
        <v>3931</v>
      </c>
      <c r="BI226" s="42" t="s">
        <v>3817</v>
      </c>
      <c r="BJ226" s="31">
        <v>235.0</v>
      </c>
      <c r="BK226" s="34" t="s">
        <v>3853</v>
      </c>
      <c r="BL226" s="34">
        <v>0.0</v>
      </c>
      <c r="BM226" s="34">
        <v>100.0</v>
      </c>
      <c r="BN226" s="34">
        <v>0.0</v>
      </c>
      <c r="BO226" s="34">
        <v>0.0</v>
      </c>
      <c r="BP226" s="33">
        <f>COUNTIFS('Data For Calculation - Insuranc'!A:A,A226,'Data For Calculation - Insuranc'!D:D,"Individual",'Data For Calculation - Insuranc'!E:E,"Rollover - 1 Year TP Only")</f>
        <v>0</v>
      </c>
      <c r="BQ226" s="34" t="s">
        <v>3932</v>
      </c>
      <c r="BR226" s="42" t="s">
        <v>3817</v>
      </c>
      <c r="BS226" s="31">
        <v>235.0</v>
      </c>
      <c r="BT226" s="34" t="s">
        <v>3853</v>
      </c>
      <c r="BU226" s="34">
        <v>0.0</v>
      </c>
      <c r="BV226" s="34">
        <v>100.0</v>
      </c>
      <c r="BW226" s="34">
        <v>0.0</v>
      </c>
      <c r="BX226" s="34">
        <v>0.0</v>
      </c>
      <c r="BY226" s="33">
        <f>COUNTIFS('Data For Calculation - Insuranc'!A:A,A226,'Data For Calculation - Insuranc'!D:D,"Company",'Data For Calculation - Insuranc'!E:E,"Rollover - 1 Year TP Only")</f>
        <v>0</v>
      </c>
      <c r="BZ226" s="31">
        <f t="shared" si="1"/>
        <v>0</v>
      </c>
      <c r="CA226" s="33">
        <f>SUMIFS('Data For Calculation - Insuranc'!I:I,'Data For Calculation - Insuranc'!$A:$A,$A226)</f>
        <v>0</v>
      </c>
      <c r="CB226" s="33">
        <f>SUMIFS('Data For Calculation - Insuranc'!J:J,'Data For Calculation - Insuranc'!$A:$A,$A226)</f>
        <v>0</v>
      </c>
      <c r="CC226" s="33">
        <f>SUMIFS('Data For Calculation - Insuranc'!K:K,'Data For Calculation - Insuranc'!$A:$A,$A226)</f>
        <v>0</v>
      </c>
      <c r="CD226" s="33">
        <f>IF($CK226 = "Dealer", SUMIFS('Data For Calculation - Insuranc'!I:I,'Data For Calculation - Insuranc'!$B:$B,$A226,'Data For Calculation - Insuranc'!$H:$H,"Master Dealer")) + SUMIFS('Data For Calculation - Insuranc'!I:I,'Data For Calculation - Insuranc'!$A:$A,$A226,'Data For Calculation - Insuranc'!$H:$H,"Self")</f>
        <v>0</v>
      </c>
      <c r="CE226" s="33">
        <f>IF($CK226 = "Dealer", SUMIFS('Data For Calculation - Insuranc'!J:J,'Data For Calculation - Insuranc'!$B:$B,$A226,'Data For Calculation - Insuranc'!$H:$H,"Master Dealer")) + SUMIFS('Data For Calculation - Insuranc'!J:J,'Data For Calculation - Insuranc'!$A:$A,$A226,'Data For Calculation - Insuranc'!$H:$H,"Self")</f>
        <v>0</v>
      </c>
      <c r="CF226" s="33">
        <f>IF($CK226 = "Dealer", SUMIFS('Data For Calculation - Insuranc'!K:K,'Data For Calculation - Insuranc'!$B:$B,$A226,'Data For Calculation - Insuranc'!$H:$H,"Master Dealer")) + SUMIFS('Data For Calculation - Insuranc'!K:K,'Data For Calculation - Insuranc'!$A:$A,$A226,'Data For Calculation - Insuranc'!$H:$H,"Self")</f>
        <v>0</v>
      </c>
      <c r="CG226" s="25" t="str">
        <f>(Sheet1!N226)</f>
        <v>Mahalaxmi TVS- AHEMDABAD</v>
      </c>
      <c r="CH226" s="25" t="str">
        <f>(Sheet1!O226)</f>
        <v>1Y48WevU4dZlpN_oRadqFSD4ED20x97CYUdeAzWdn3go</v>
      </c>
      <c r="CI226" s="25" t="str">
        <f>(Sheet1!AV226)</f>
        <v/>
      </c>
      <c r="CJ226" s="25" t="str">
        <f>(Sheet1!AW226)</f>
        <v/>
      </c>
      <c r="CK226" s="26" t="str">
        <f>(Sheet1!P226)</f>
        <v>Sub Dealer</v>
      </c>
    </row>
    <row r="227">
      <c r="A227" s="25" t="str">
        <f>(Sheet1!A227)</f>
        <v>1IMcQqxHRw8US8te4fBVvZW4P02L-zmWAO8h94QGx7Eg</v>
      </c>
      <c r="B227" s="25" t="str">
        <f>(Sheet1!B227)</f>
        <v>MAHALAXMI TVS-ODHAV</v>
      </c>
      <c r="C227" s="30" t="str">
        <f>Sheet1!BB227</f>
        <v>No</v>
      </c>
      <c r="D227" s="30" t="s">
        <v>13</v>
      </c>
      <c r="E227" s="34" t="s">
        <v>13</v>
      </c>
      <c r="F227" s="34" t="s">
        <v>3929</v>
      </c>
      <c r="G227" s="42" t="s">
        <v>3817</v>
      </c>
      <c r="H227" s="43">
        <v>460.0</v>
      </c>
      <c r="I227" s="42" t="s">
        <v>3853</v>
      </c>
      <c r="J227" s="43">
        <v>0.0</v>
      </c>
      <c r="K227" s="43">
        <v>100.0</v>
      </c>
      <c r="L227" s="43">
        <v>0.0</v>
      </c>
      <c r="M227" s="43">
        <v>0.0</v>
      </c>
      <c r="N227" s="33">
        <f>COUNTIFS('Data For Calculation - Insuranc'!A:A,A227,'Data For Calculation - Insuranc'!D:D,"Individual",'Data For Calculation - Insuranc'!E:E,"Bundled - 1 Year OD + 5 Year TP")</f>
        <v>0</v>
      </c>
      <c r="O227" s="34" t="s">
        <v>3930</v>
      </c>
      <c r="P227" s="42" t="s">
        <v>3817</v>
      </c>
      <c r="Q227" s="43">
        <v>460.0</v>
      </c>
      <c r="R227" s="42" t="s">
        <v>3853</v>
      </c>
      <c r="S227" s="43">
        <v>0.0</v>
      </c>
      <c r="T227" s="43">
        <v>100.0</v>
      </c>
      <c r="U227" s="43">
        <v>0.0</v>
      </c>
      <c r="V227" s="43">
        <v>0.0</v>
      </c>
      <c r="W227" s="33">
        <f>COUNTIFS('Data For Calculation - Insuranc'!A:A,A227,'Data For Calculation - Insuranc'!D:D,"Company",'Data For Calculation - Insuranc'!E:E,"Bundled - 1 Year OD + 5 Year TP")</f>
        <v>0</v>
      </c>
      <c r="X227" s="34" t="s">
        <v>3929</v>
      </c>
      <c r="Y227" s="42" t="s">
        <v>3817</v>
      </c>
      <c r="Z227" s="31">
        <v>235.0</v>
      </c>
      <c r="AA227" s="34" t="s">
        <v>3853</v>
      </c>
      <c r="AB227" s="34">
        <v>0.0</v>
      </c>
      <c r="AC227" s="34">
        <v>100.0</v>
      </c>
      <c r="AD227" s="34">
        <v>0.0</v>
      </c>
      <c r="AE227" s="34">
        <v>0.0</v>
      </c>
      <c r="AF227" s="33">
        <f>COUNTIFS('Data For Calculation - Insuranc'!A:A,A227,'Data For Calculation - Insuranc'!D:D,"Individual",'Data For Calculation - Insuranc'!E:E,"Rollover Comprehensive - 1 Year OD + 1 Year TP")</f>
        <v>0</v>
      </c>
      <c r="AG227" s="34" t="s">
        <v>3930</v>
      </c>
      <c r="AH227" s="42" t="s">
        <v>3817</v>
      </c>
      <c r="AI227" s="31">
        <v>235.0</v>
      </c>
      <c r="AJ227" s="34" t="s">
        <v>3853</v>
      </c>
      <c r="AK227" s="34">
        <v>0.0</v>
      </c>
      <c r="AL227" s="34">
        <v>100.0</v>
      </c>
      <c r="AM227" s="34">
        <v>0.0</v>
      </c>
      <c r="AN227" s="34">
        <v>0.0</v>
      </c>
      <c r="AO227" s="33">
        <f>COUNTIFS('Data For Calculation - Insuranc'!A:A,A227,'Data For Calculation - Insuranc'!D:D,"Company",'Data For Calculation - Insuranc'!E:E,"Rollover Comprehensive - 1 Year OD + 1 Year TP")</f>
        <v>0</v>
      </c>
      <c r="AP227" s="34" t="s">
        <v>3931</v>
      </c>
      <c r="AQ227" s="42" t="s">
        <v>3817</v>
      </c>
      <c r="AR227" s="31">
        <v>235.0</v>
      </c>
      <c r="AS227" s="34" t="s">
        <v>3853</v>
      </c>
      <c r="AT227" s="34">
        <v>0.0</v>
      </c>
      <c r="AU227" s="34">
        <v>100.0</v>
      </c>
      <c r="AV227" s="34">
        <v>0.0</v>
      </c>
      <c r="AW227" s="34">
        <v>0.0</v>
      </c>
      <c r="AX227" s="33">
        <f>COUNTIFS('Data For Calculation - Insuranc'!A:A,A227,'Data For Calculation - Insuranc'!D:D,"Individual",'Data For Calculation - Insuranc'!E:E,"Rollover - 1 Year OD Only")</f>
        <v>0</v>
      </c>
      <c r="AY227" s="34" t="s">
        <v>3932</v>
      </c>
      <c r="AZ227" s="42" t="s">
        <v>3817</v>
      </c>
      <c r="BA227" s="31">
        <v>235.0</v>
      </c>
      <c r="BB227" s="34" t="s">
        <v>3853</v>
      </c>
      <c r="BC227" s="34">
        <v>0.0</v>
      </c>
      <c r="BD227" s="34">
        <v>100.0</v>
      </c>
      <c r="BE227" s="34">
        <v>0.0</v>
      </c>
      <c r="BF227" s="34">
        <v>0.0</v>
      </c>
      <c r="BG227" s="33">
        <f>COUNTIFS('Data For Calculation - Insuranc'!A:A,A227,'Data For Calculation - Insuranc'!D:D,"Company",'Data For Calculation - Insuranc'!E:E,"Rollover - 1 Year OD Only")</f>
        <v>0</v>
      </c>
      <c r="BH227" s="34" t="s">
        <v>3931</v>
      </c>
      <c r="BI227" s="42" t="s">
        <v>3817</v>
      </c>
      <c r="BJ227" s="31">
        <v>235.0</v>
      </c>
      <c r="BK227" s="34" t="s">
        <v>3853</v>
      </c>
      <c r="BL227" s="34">
        <v>0.0</v>
      </c>
      <c r="BM227" s="34">
        <v>100.0</v>
      </c>
      <c r="BN227" s="34">
        <v>0.0</v>
      </c>
      <c r="BO227" s="34">
        <v>0.0</v>
      </c>
      <c r="BP227" s="33">
        <f>COUNTIFS('Data For Calculation - Insuranc'!A:A,A227,'Data For Calculation - Insuranc'!D:D,"Individual",'Data For Calculation - Insuranc'!E:E,"Rollover - 1 Year TP Only")</f>
        <v>0</v>
      </c>
      <c r="BQ227" s="34" t="s">
        <v>3932</v>
      </c>
      <c r="BR227" s="42" t="s">
        <v>3817</v>
      </c>
      <c r="BS227" s="31">
        <v>235.0</v>
      </c>
      <c r="BT227" s="34" t="s">
        <v>3853</v>
      </c>
      <c r="BU227" s="34">
        <v>0.0</v>
      </c>
      <c r="BV227" s="34">
        <v>100.0</v>
      </c>
      <c r="BW227" s="34">
        <v>0.0</v>
      </c>
      <c r="BX227" s="34">
        <v>0.0</v>
      </c>
      <c r="BY227" s="33">
        <f>COUNTIFS('Data For Calculation - Insuranc'!A:A,A227,'Data For Calculation - Insuranc'!D:D,"Company",'Data For Calculation - Insuranc'!E:E,"Rollover - 1 Year TP Only")</f>
        <v>0</v>
      </c>
      <c r="BZ227" s="31">
        <f t="shared" si="1"/>
        <v>0</v>
      </c>
      <c r="CA227" s="33">
        <f>SUMIFS('Data For Calculation - Insuranc'!I:I,'Data For Calculation - Insuranc'!$A:$A,$A227)</f>
        <v>0</v>
      </c>
      <c r="CB227" s="33">
        <f>SUMIFS('Data For Calculation - Insuranc'!J:J,'Data For Calculation - Insuranc'!$A:$A,$A227)</f>
        <v>0</v>
      </c>
      <c r="CC227" s="33">
        <f>SUMIFS('Data For Calculation - Insuranc'!K:K,'Data For Calculation - Insuranc'!$A:$A,$A227)</f>
        <v>0</v>
      </c>
      <c r="CD227" s="33">
        <f>IF($CK227 = "Dealer", SUMIFS('Data For Calculation - Insuranc'!I:I,'Data For Calculation - Insuranc'!$B:$B,$A227,'Data For Calculation - Insuranc'!$H:$H,"Master Dealer")) + SUMIFS('Data For Calculation - Insuranc'!I:I,'Data For Calculation - Insuranc'!$A:$A,$A227,'Data For Calculation - Insuranc'!$H:$H,"Self")</f>
        <v>0</v>
      </c>
      <c r="CE227" s="33">
        <f>IF($CK227 = "Dealer", SUMIFS('Data For Calculation - Insuranc'!J:J,'Data For Calculation - Insuranc'!$B:$B,$A227,'Data For Calculation - Insuranc'!$H:$H,"Master Dealer")) + SUMIFS('Data For Calculation - Insuranc'!J:J,'Data For Calculation - Insuranc'!$A:$A,$A227,'Data For Calculation - Insuranc'!$H:$H,"Self")</f>
        <v>0</v>
      </c>
      <c r="CF227" s="33">
        <f>IF($CK227 = "Dealer", SUMIFS('Data For Calculation - Insuranc'!K:K,'Data For Calculation - Insuranc'!$B:$B,$A227,'Data For Calculation - Insuranc'!$H:$H,"Master Dealer")) + SUMIFS('Data For Calculation - Insuranc'!K:K,'Data For Calculation - Insuranc'!$A:$A,$A227,'Data For Calculation - Insuranc'!$H:$H,"Self")</f>
        <v>0</v>
      </c>
      <c r="CG227" s="25" t="str">
        <f>(Sheet1!N227)</f>
        <v>Mahalaxmi TVS- AHEMDABAD</v>
      </c>
      <c r="CH227" s="25" t="str">
        <f>(Sheet1!O227)</f>
        <v>1Y48WevU4dZlpN_oRadqFSD4ED20x97CYUdeAzWdn3go</v>
      </c>
      <c r="CI227" s="25" t="str">
        <f>(Sheet1!AV227)</f>
        <v/>
      </c>
      <c r="CJ227" s="25" t="str">
        <f>(Sheet1!AW227)</f>
        <v/>
      </c>
      <c r="CK227" s="26" t="str">
        <f>(Sheet1!P227)</f>
        <v>Sub Dealer</v>
      </c>
    </row>
    <row r="228">
      <c r="A228" s="25" t="str">
        <f>(Sheet1!A228)</f>
        <v>1adAGJVvFi0F-pwP4fXxBabggqbrsou9iy1He5MQkXp4</v>
      </c>
      <c r="B228" s="25" t="str">
        <f>(Sheet1!B228)</f>
        <v>Janta Automobiles - Sariswa</v>
      </c>
      <c r="C228" s="30" t="str">
        <f>Sheet1!BB228</f>
        <v>No</v>
      </c>
      <c r="D228" s="30" t="s">
        <v>13</v>
      </c>
      <c r="E228" s="34" t="s">
        <v>13</v>
      </c>
      <c r="F228" s="34" t="s">
        <v>3929</v>
      </c>
      <c r="G228" s="42" t="s">
        <v>3820</v>
      </c>
      <c r="H228" s="43">
        <v>460.0</v>
      </c>
      <c r="I228" s="42" t="s">
        <v>3853</v>
      </c>
      <c r="J228" s="43">
        <v>0.0</v>
      </c>
      <c r="K228" s="43">
        <v>100.0</v>
      </c>
      <c r="L228" s="43">
        <v>0.0</v>
      </c>
      <c r="M228" s="43">
        <v>0.0</v>
      </c>
      <c r="N228" s="33">
        <f>COUNTIFS('Data For Calculation - Insuranc'!A:A,A228,'Data For Calculation - Insuranc'!D:D,"Individual",'Data For Calculation - Insuranc'!E:E,"Bundled - 1 Year OD + 5 Year TP")</f>
        <v>0</v>
      </c>
      <c r="O228" s="34" t="s">
        <v>3930</v>
      </c>
      <c r="P228" s="42" t="s">
        <v>3820</v>
      </c>
      <c r="Q228" s="43">
        <v>460.0</v>
      </c>
      <c r="R228" s="42" t="s">
        <v>3853</v>
      </c>
      <c r="S228" s="43">
        <v>0.0</v>
      </c>
      <c r="T228" s="43">
        <v>100.0</v>
      </c>
      <c r="U228" s="43">
        <v>0.0</v>
      </c>
      <c r="V228" s="43">
        <v>0.0</v>
      </c>
      <c r="W228" s="33">
        <f>COUNTIFS('Data For Calculation - Insuranc'!A:A,A228,'Data For Calculation - Insuranc'!D:D,"Company",'Data For Calculation - Insuranc'!E:E,"Bundled - 1 Year OD + 5 Year TP")</f>
        <v>0</v>
      </c>
      <c r="X228" s="34" t="s">
        <v>3929</v>
      </c>
      <c r="Y228" s="42" t="s">
        <v>3820</v>
      </c>
      <c r="Z228" s="31">
        <v>290.0</v>
      </c>
      <c r="AA228" s="34" t="s">
        <v>3853</v>
      </c>
      <c r="AB228" s="34">
        <v>0.0</v>
      </c>
      <c r="AC228" s="34">
        <v>100.0</v>
      </c>
      <c r="AD228" s="34">
        <v>0.0</v>
      </c>
      <c r="AE228" s="34">
        <v>0.0</v>
      </c>
      <c r="AF228" s="33">
        <f>COUNTIFS('Data For Calculation - Insuranc'!A:A,A228,'Data For Calculation - Insuranc'!D:D,"Individual",'Data For Calculation - Insuranc'!E:E,"Rollover Comprehensive - 1 Year OD + 1 Year TP")</f>
        <v>0</v>
      </c>
      <c r="AG228" s="34" t="s">
        <v>3930</v>
      </c>
      <c r="AH228" s="42" t="s">
        <v>3820</v>
      </c>
      <c r="AI228" s="31">
        <v>290.0</v>
      </c>
      <c r="AJ228" s="34" t="s">
        <v>3853</v>
      </c>
      <c r="AK228" s="34">
        <v>0.0</v>
      </c>
      <c r="AL228" s="34">
        <v>100.0</v>
      </c>
      <c r="AM228" s="34">
        <v>0.0</v>
      </c>
      <c r="AN228" s="34">
        <v>0.0</v>
      </c>
      <c r="AO228" s="33">
        <f>COUNTIFS('Data For Calculation - Insuranc'!A:A,A228,'Data For Calculation - Insuranc'!D:D,"Company",'Data For Calculation - Insuranc'!E:E,"Rollover Comprehensive - 1 Year OD + 1 Year TP")</f>
        <v>0</v>
      </c>
      <c r="AP228" s="34" t="s">
        <v>3931</v>
      </c>
      <c r="AQ228" s="42" t="s">
        <v>3820</v>
      </c>
      <c r="AR228" s="31">
        <v>290.0</v>
      </c>
      <c r="AS228" s="34" t="s">
        <v>3853</v>
      </c>
      <c r="AT228" s="34">
        <v>0.0</v>
      </c>
      <c r="AU228" s="34">
        <v>100.0</v>
      </c>
      <c r="AV228" s="34">
        <v>0.0</v>
      </c>
      <c r="AW228" s="34">
        <v>0.0</v>
      </c>
      <c r="AX228" s="33">
        <f>COUNTIFS('Data For Calculation - Insuranc'!A:A,A228,'Data For Calculation - Insuranc'!D:D,"Individual",'Data For Calculation - Insuranc'!E:E,"Rollover - 1 Year OD Only")</f>
        <v>0</v>
      </c>
      <c r="AY228" s="34" t="s">
        <v>3932</v>
      </c>
      <c r="AZ228" s="42" t="s">
        <v>3820</v>
      </c>
      <c r="BA228" s="31">
        <v>290.0</v>
      </c>
      <c r="BB228" s="34" t="s">
        <v>3853</v>
      </c>
      <c r="BC228" s="34">
        <v>0.0</v>
      </c>
      <c r="BD228" s="34">
        <v>100.0</v>
      </c>
      <c r="BE228" s="34">
        <v>0.0</v>
      </c>
      <c r="BF228" s="34">
        <v>0.0</v>
      </c>
      <c r="BG228" s="33">
        <f>COUNTIFS('Data For Calculation - Insuranc'!A:A,A228,'Data For Calculation - Insuranc'!D:D,"Company",'Data For Calculation - Insuranc'!E:E,"Rollover - 1 Year OD Only")</f>
        <v>0</v>
      </c>
      <c r="BH228" s="34" t="s">
        <v>3931</v>
      </c>
      <c r="BI228" s="42" t="s">
        <v>3820</v>
      </c>
      <c r="BJ228" s="31">
        <v>290.0</v>
      </c>
      <c r="BK228" s="34" t="s">
        <v>3853</v>
      </c>
      <c r="BL228" s="34">
        <v>0.0</v>
      </c>
      <c r="BM228" s="34">
        <v>100.0</v>
      </c>
      <c r="BN228" s="34">
        <v>0.0</v>
      </c>
      <c r="BO228" s="34">
        <v>0.0</v>
      </c>
      <c r="BP228" s="33">
        <f>COUNTIFS('Data For Calculation - Insuranc'!A:A,A228,'Data For Calculation - Insuranc'!D:D,"Individual",'Data For Calculation - Insuranc'!E:E,"Rollover - 1 Year TP Only")</f>
        <v>0</v>
      </c>
      <c r="BQ228" s="34" t="s">
        <v>3932</v>
      </c>
      <c r="BR228" s="42" t="s">
        <v>3820</v>
      </c>
      <c r="BS228" s="31">
        <v>290.0</v>
      </c>
      <c r="BT228" s="34" t="s">
        <v>3853</v>
      </c>
      <c r="BU228" s="34">
        <v>0.0</v>
      </c>
      <c r="BV228" s="34">
        <v>100.0</v>
      </c>
      <c r="BW228" s="34">
        <v>0.0</v>
      </c>
      <c r="BX228" s="34">
        <v>0.0</v>
      </c>
      <c r="BY228" s="33">
        <f>COUNTIFS('Data For Calculation - Insuranc'!A:A,A228,'Data For Calculation - Insuranc'!D:D,"Company",'Data For Calculation - Insuranc'!E:E,"Rollover - 1 Year TP Only")</f>
        <v>0</v>
      </c>
      <c r="BZ228" s="31">
        <f t="shared" si="1"/>
        <v>0</v>
      </c>
      <c r="CA228" s="33">
        <f>SUMIFS('Data For Calculation - Insuranc'!I:I,'Data For Calculation - Insuranc'!$A:$A,$A228)</f>
        <v>0</v>
      </c>
      <c r="CB228" s="33">
        <f>SUMIFS('Data For Calculation - Insuranc'!J:J,'Data For Calculation - Insuranc'!$A:$A,$A228)</f>
        <v>0</v>
      </c>
      <c r="CC228" s="33">
        <f>SUMIFS('Data For Calculation - Insuranc'!K:K,'Data For Calculation - Insuranc'!$A:$A,$A228)</f>
        <v>0</v>
      </c>
      <c r="CD228" s="33">
        <f>IF($CK228 = "Dealer", SUMIFS('Data For Calculation - Insuranc'!I:I,'Data For Calculation - Insuranc'!$B:$B,$A228,'Data For Calculation - Insuranc'!$H:$H,"Master Dealer")) + SUMIFS('Data For Calculation - Insuranc'!I:I,'Data For Calculation - Insuranc'!$A:$A,$A228,'Data For Calculation - Insuranc'!$H:$H,"Self")</f>
        <v>0</v>
      </c>
      <c r="CE228" s="33">
        <f>IF($CK228 = "Dealer", SUMIFS('Data For Calculation - Insuranc'!J:J,'Data For Calculation - Insuranc'!$B:$B,$A228,'Data For Calculation - Insuranc'!$H:$H,"Master Dealer")) + SUMIFS('Data For Calculation - Insuranc'!J:J,'Data For Calculation - Insuranc'!$A:$A,$A228,'Data For Calculation - Insuranc'!$H:$H,"Self")</f>
        <v>0</v>
      </c>
      <c r="CF228" s="33">
        <f>IF($CK228 = "Dealer", SUMIFS('Data For Calculation - Insuranc'!K:K,'Data For Calculation - Insuranc'!$B:$B,$A228,'Data For Calculation - Insuranc'!$H:$H,"Master Dealer")) + SUMIFS('Data For Calculation - Insuranc'!K:K,'Data For Calculation - Insuranc'!$A:$A,$A228,'Data For Calculation - Insuranc'!$H:$H,"Self")</f>
        <v>0</v>
      </c>
      <c r="CG228" s="25" t="str">
        <f>(Sheet1!N228)</f>
        <v>Modern Auto Agency - Bettiah</v>
      </c>
      <c r="CH228" s="25" t="str">
        <f>(Sheet1!O228)</f>
        <v>1_UtGSoyOsljQXvmry7gfXGYwjwEjQbghQQGZebnq45M</v>
      </c>
      <c r="CI228" s="25" t="str">
        <f>(Sheet1!AV228)</f>
        <v/>
      </c>
      <c r="CJ228" s="25" t="str">
        <f>(Sheet1!AW228)</f>
        <v/>
      </c>
      <c r="CK228" s="26" t="str">
        <f>(Sheet1!P228)</f>
        <v>Sub Dealer</v>
      </c>
    </row>
    <row r="229">
      <c r="A229" s="26" t="str">
        <f>(Sheet1!A229)</f>
        <v>15uhTTh3U4NtU7dtogFOcc_qPQ7_1_JO1RNn9VV2M20o</v>
      </c>
      <c r="B229" s="26" t="str">
        <f>(Sheet1!B229)</f>
        <v>SHYAM BIHARI AUTO-CHANDOS</v>
      </c>
      <c r="C229" s="30" t="str">
        <f>Sheet1!BB229</f>
        <v>No</v>
      </c>
      <c r="D229" s="34" t="s">
        <v>13</v>
      </c>
      <c r="E229" s="34" t="s">
        <v>13</v>
      </c>
      <c r="F229" s="34" t="s">
        <v>3929</v>
      </c>
      <c r="G229" s="42" t="s">
        <v>3820</v>
      </c>
      <c r="H229" s="43">
        <v>170.0</v>
      </c>
      <c r="I229" s="42" t="s">
        <v>3853</v>
      </c>
      <c r="J229" s="43">
        <v>0.0</v>
      </c>
      <c r="K229" s="43">
        <v>100.0</v>
      </c>
      <c r="L229" s="43">
        <v>0.0</v>
      </c>
      <c r="M229" s="43">
        <v>0.0</v>
      </c>
      <c r="N229" s="33">
        <f>COUNTIFS('Data For Calculation - Insuranc'!A:A,A229,'Data For Calculation - Insuranc'!D:D,"Individual",'Data For Calculation - Insuranc'!E:E,"Bundled - 1 Year OD + 5 Year TP")</f>
        <v>0</v>
      </c>
      <c r="O229" s="34" t="s">
        <v>3930</v>
      </c>
      <c r="P229" s="42" t="s">
        <v>3820</v>
      </c>
      <c r="Q229" s="43">
        <v>170.0</v>
      </c>
      <c r="R229" s="42" t="s">
        <v>3853</v>
      </c>
      <c r="S229" s="43">
        <v>0.0</v>
      </c>
      <c r="T229" s="43">
        <v>100.0</v>
      </c>
      <c r="U229" s="43">
        <v>0.0</v>
      </c>
      <c r="V229" s="43">
        <v>0.0</v>
      </c>
      <c r="W229" s="33">
        <f>COUNTIFS('Data For Calculation - Insuranc'!A:A,A229,'Data For Calculation - Insuranc'!D:D,"Company",'Data For Calculation - Insuranc'!E:E,"Bundled - 1 Year OD + 5 Year TP")</f>
        <v>0</v>
      </c>
      <c r="X229" s="34" t="s">
        <v>3929</v>
      </c>
      <c r="Y229" s="42" t="s">
        <v>3820</v>
      </c>
      <c r="Z229" s="34">
        <v>170.0</v>
      </c>
      <c r="AA229" s="34" t="s">
        <v>3853</v>
      </c>
      <c r="AB229" s="34">
        <v>0.0</v>
      </c>
      <c r="AC229" s="34">
        <v>100.0</v>
      </c>
      <c r="AD229" s="34">
        <v>0.0</v>
      </c>
      <c r="AE229" s="34">
        <v>0.0</v>
      </c>
      <c r="AF229" s="33">
        <f>COUNTIFS('Data For Calculation - Insuranc'!A:A,A229,'Data For Calculation - Insuranc'!D:D,"Individual",'Data For Calculation - Insuranc'!E:E,"Rollover Comprehensive - 1 Year OD + 1 Year TP")</f>
        <v>0</v>
      </c>
      <c r="AG229" s="34" t="s">
        <v>3930</v>
      </c>
      <c r="AH229" s="42" t="s">
        <v>3820</v>
      </c>
      <c r="AI229" s="34">
        <v>170.0</v>
      </c>
      <c r="AJ229" s="34" t="s">
        <v>3853</v>
      </c>
      <c r="AK229" s="34">
        <v>0.0</v>
      </c>
      <c r="AL229" s="34">
        <v>100.0</v>
      </c>
      <c r="AM229" s="34">
        <v>0.0</v>
      </c>
      <c r="AN229" s="34">
        <v>0.0</v>
      </c>
      <c r="AO229" s="33">
        <f>COUNTIFS('Data For Calculation - Insuranc'!A:A,A229,'Data For Calculation - Insuranc'!D:D,"Company",'Data For Calculation - Insuranc'!E:E,"Rollover Comprehensive - 1 Year OD + 1 Year TP")</f>
        <v>0</v>
      </c>
      <c r="AP229" s="34" t="s">
        <v>3931</v>
      </c>
      <c r="AQ229" s="42" t="s">
        <v>3820</v>
      </c>
      <c r="AR229" s="34">
        <v>170.0</v>
      </c>
      <c r="AS229" s="34" t="s">
        <v>3853</v>
      </c>
      <c r="AT229" s="34">
        <v>0.0</v>
      </c>
      <c r="AU229" s="34">
        <v>100.0</v>
      </c>
      <c r="AV229" s="34">
        <v>0.0</v>
      </c>
      <c r="AW229" s="34">
        <v>0.0</v>
      </c>
      <c r="AX229" s="33">
        <f>COUNTIFS('Data For Calculation - Insuranc'!A:A,A229,'Data For Calculation - Insuranc'!D:D,"Individual",'Data For Calculation - Insuranc'!E:E,"Rollover - 1 Year OD Only")</f>
        <v>0</v>
      </c>
      <c r="AY229" s="34" t="s">
        <v>3932</v>
      </c>
      <c r="AZ229" s="42" t="s">
        <v>3820</v>
      </c>
      <c r="BA229" s="34">
        <v>170.0</v>
      </c>
      <c r="BB229" s="34" t="s">
        <v>3853</v>
      </c>
      <c r="BC229" s="34">
        <v>0.0</v>
      </c>
      <c r="BD229" s="34">
        <v>100.0</v>
      </c>
      <c r="BE229" s="34">
        <v>0.0</v>
      </c>
      <c r="BF229" s="34">
        <v>0.0</v>
      </c>
      <c r="BG229" s="33">
        <f>COUNTIFS('Data For Calculation - Insuranc'!A:A,A229,'Data For Calculation - Insuranc'!D:D,"Company",'Data For Calculation - Insuranc'!E:E,"Rollover - 1 Year OD Only")</f>
        <v>0</v>
      </c>
      <c r="BH229" s="34" t="s">
        <v>3931</v>
      </c>
      <c r="BI229" s="42" t="s">
        <v>3820</v>
      </c>
      <c r="BJ229" s="34">
        <v>170.0</v>
      </c>
      <c r="BK229" s="34" t="s">
        <v>3853</v>
      </c>
      <c r="BL229" s="34">
        <v>0.0</v>
      </c>
      <c r="BM229" s="34">
        <v>100.0</v>
      </c>
      <c r="BN229" s="34">
        <v>0.0</v>
      </c>
      <c r="BO229" s="34">
        <v>0.0</v>
      </c>
      <c r="BP229" s="33">
        <f>COUNTIFS('Data For Calculation - Insuranc'!A:A,A229,'Data For Calculation - Insuranc'!D:D,"Individual",'Data For Calculation - Insuranc'!E:E,"Rollover - 1 Year TP Only")</f>
        <v>0</v>
      </c>
      <c r="BQ229" s="34" t="s">
        <v>3932</v>
      </c>
      <c r="BR229" s="42" t="s">
        <v>3820</v>
      </c>
      <c r="BS229" s="34">
        <v>170.0</v>
      </c>
      <c r="BT229" s="34" t="s">
        <v>3853</v>
      </c>
      <c r="BU229" s="34">
        <v>0.0</v>
      </c>
      <c r="BV229" s="34">
        <v>100.0</v>
      </c>
      <c r="BW229" s="34">
        <v>0.0</v>
      </c>
      <c r="BX229" s="34">
        <v>0.0</v>
      </c>
      <c r="BY229" s="33">
        <f>COUNTIFS('Data For Calculation - Insuranc'!A:A,A229,'Data For Calculation - Insuranc'!D:D,"Company",'Data For Calculation - Insuranc'!E:E,"Rollover - 1 Year TP Only")</f>
        <v>0</v>
      </c>
      <c r="BZ229" s="31">
        <f t="shared" si="1"/>
        <v>0</v>
      </c>
      <c r="CA229" s="33">
        <f>SUMIFS('Data For Calculation - Insuranc'!I:I,'Data For Calculation - Insuranc'!$A:$A,$A229)</f>
        <v>0</v>
      </c>
      <c r="CB229" s="33">
        <f>SUMIFS('Data For Calculation - Insuranc'!J:J,'Data For Calculation - Insuranc'!$A:$A,$A229)</f>
        <v>0</v>
      </c>
      <c r="CC229" s="33">
        <f>SUMIFS('Data For Calculation - Insuranc'!K:K,'Data For Calculation - Insuranc'!$A:$A,$A229)</f>
        <v>0</v>
      </c>
      <c r="CD229" s="33">
        <f>IF($CK229 = "Dealer", SUMIFS('Data For Calculation - Insuranc'!I:I,'Data For Calculation - Insuranc'!$B:$B,$A229,'Data For Calculation - Insuranc'!$H:$H,"Master Dealer")) + SUMIFS('Data For Calculation - Insuranc'!I:I,'Data For Calculation - Insuranc'!$A:$A,$A229,'Data For Calculation - Insuranc'!$H:$H,"Self")</f>
        <v>0</v>
      </c>
      <c r="CE229" s="33">
        <f>IF($CK229 = "Dealer", SUMIFS('Data For Calculation - Insuranc'!J:J,'Data For Calculation - Insuranc'!$B:$B,$A229,'Data For Calculation - Insuranc'!$H:$H,"Master Dealer")) + SUMIFS('Data For Calculation - Insuranc'!J:J,'Data For Calculation - Insuranc'!$A:$A,$A229,'Data For Calculation - Insuranc'!$H:$H,"Self")</f>
        <v>0</v>
      </c>
      <c r="CF229" s="33">
        <f>IF($CK229 = "Dealer", SUMIFS('Data For Calculation - Insuranc'!K:K,'Data For Calculation - Insuranc'!$B:$B,$A229,'Data For Calculation - Insuranc'!$H:$H,"Master Dealer")) + SUMIFS('Data For Calculation - Insuranc'!K:K,'Data For Calculation - Insuranc'!$A:$A,$A229,'Data For Calculation - Insuranc'!$H:$H,"Self")</f>
        <v>0</v>
      </c>
      <c r="CG229" s="26" t="str">
        <f>(Sheet1!N229)</f>
        <v>Vikas Autowheels</v>
      </c>
      <c r="CH229" s="26" t="str">
        <f>(Sheet1!O229)</f>
        <v>1944RLX7T1M23YXRXYoMnJ6nD_bKLldQXRpFRA0rDLvg</v>
      </c>
      <c r="CI229" s="25" t="str">
        <f>(Sheet1!AV229)</f>
        <v/>
      </c>
      <c r="CJ229" s="25" t="str">
        <f>(Sheet1!AW229)</f>
        <v/>
      </c>
      <c r="CK229" s="26" t="str">
        <f>(Sheet1!P229)</f>
        <v>Sub Dealer</v>
      </c>
    </row>
    <row r="230">
      <c r="A230" s="26" t="str">
        <f>(Sheet1!A230)</f>
        <v>1TMoK3EazfL-7jZ93zmbRweRcJH2sH5eJ2ciO7ryiDaU</v>
      </c>
      <c r="B230" s="26" t="str">
        <f>(Sheet1!B230)</f>
        <v>JADON MOTORS-GABHANA</v>
      </c>
      <c r="C230" s="30" t="str">
        <f>Sheet1!BB230</f>
        <v>No</v>
      </c>
      <c r="D230" s="34" t="s">
        <v>13</v>
      </c>
      <c r="E230" s="34" t="s">
        <v>13</v>
      </c>
      <c r="F230" s="34" t="s">
        <v>3929</v>
      </c>
      <c r="G230" s="42" t="s">
        <v>3820</v>
      </c>
      <c r="H230" s="43">
        <v>170.0</v>
      </c>
      <c r="I230" s="42" t="s">
        <v>3853</v>
      </c>
      <c r="J230" s="43">
        <v>0.0</v>
      </c>
      <c r="K230" s="43">
        <v>100.0</v>
      </c>
      <c r="L230" s="43">
        <v>0.0</v>
      </c>
      <c r="M230" s="43">
        <v>0.0</v>
      </c>
      <c r="N230" s="33">
        <f>COUNTIFS('Data For Calculation - Insuranc'!A:A,A230,'Data For Calculation - Insuranc'!D:D,"Individual",'Data For Calculation - Insuranc'!E:E,"Bundled - 1 Year OD + 5 Year TP")</f>
        <v>0</v>
      </c>
      <c r="O230" s="34" t="s">
        <v>3930</v>
      </c>
      <c r="P230" s="42" t="s">
        <v>3820</v>
      </c>
      <c r="Q230" s="43">
        <v>170.0</v>
      </c>
      <c r="R230" s="42" t="s">
        <v>3853</v>
      </c>
      <c r="S230" s="43">
        <v>0.0</v>
      </c>
      <c r="T230" s="43">
        <v>100.0</v>
      </c>
      <c r="U230" s="43">
        <v>0.0</v>
      </c>
      <c r="V230" s="43">
        <v>0.0</v>
      </c>
      <c r="W230" s="33">
        <f>COUNTIFS('Data For Calculation - Insuranc'!A:A,A230,'Data For Calculation - Insuranc'!D:D,"Company",'Data For Calculation - Insuranc'!E:E,"Bundled - 1 Year OD + 5 Year TP")</f>
        <v>0</v>
      </c>
      <c r="X230" s="34" t="s">
        <v>3929</v>
      </c>
      <c r="Y230" s="42" t="s">
        <v>3820</v>
      </c>
      <c r="Z230" s="34">
        <v>170.0</v>
      </c>
      <c r="AA230" s="34" t="s">
        <v>3853</v>
      </c>
      <c r="AB230" s="34">
        <v>0.0</v>
      </c>
      <c r="AC230" s="34">
        <v>100.0</v>
      </c>
      <c r="AD230" s="34">
        <v>0.0</v>
      </c>
      <c r="AE230" s="34">
        <v>0.0</v>
      </c>
      <c r="AF230" s="33">
        <f>COUNTIFS('Data For Calculation - Insuranc'!A:A,A230,'Data For Calculation - Insuranc'!D:D,"Individual",'Data For Calculation - Insuranc'!E:E,"Rollover Comprehensive - 1 Year OD + 1 Year TP")</f>
        <v>0</v>
      </c>
      <c r="AG230" s="34" t="s">
        <v>3930</v>
      </c>
      <c r="AH230" s="42" t="s">
        <v>3820</v>
      </c>
      <c r="AI230" s="34">
        <v>170.0</v>
      </c>
      <c r="AJ230" s="34" t="s">
        <v>3853</v>
      </c>
      <c r="AK230" s="34">
        <v>0.0</v>
      </c>
      <c r="AL230" s="34">
        <v>100.0</v>
      </c>
      <c r="AM230" s="34">
        <v>0.0</v>
      </c>
      <c r="AN230" s="34">
        <v>0.0</v>
      </c>
      <c r="AO230" s="33">
        <f>COUNTIFS('Data For Calculation - Insuranc'!A:A,A230,'Data For Calculation - Insuranc'!D:D,"Company",'Data For Calculation - Insuranc'!E:E,"Rollover Comprehensive - 1 Year OD + 1 Year TP")</f>
        <v>0</v>
      </c>
      <c r="AP230" s="34" t="s">
        <v>3931</v>
      </c>
      <c r="AQ230" s="42" t="s">
        <v>3820</v>
      </c>
      <c r="AR230" s="34">
        <v>170.0</v>
      </c>
      <c r="AS230" s="34" t="s">
        <v>3853</v>
      </c>
      <c r="AT230" s="34">
        <v>0.0</v>
      </c>
      <c r="AU230" s="34">
        <v>100.0</v>
      </c>
      <c r="AV230" s="34">
        <v>0.0</v>
      </c>
      <c r="AW230" s="34">
        <v>0.0</v>
      </c>
      <c r="AX230" s="33">
        <f>COUNTIFS('Data For Calculation - Insuranc'!A:A,A230,'Data For Calculation - Insuranc'!D:D,"Individual",'Data For Calculation - Insuranc'!E:E,"Rollover - 1 Year OD Only")</f>
        <v>0</v>
      </c>
      <c r="AY230" s="34" t="s">
        <v>3932</v>
      </c>
      <c r="AZ230" s="42" t="s">
        <v>3820</v>
      </c>
      <c r="BA230" s="34">
        <v>170.0</v>
      </c>
      <c r="BB230" s="34" t="s">
        <v>3853</v>
      </c>
      <c r="BC230" s="34">
        <v>0.0</v>
      </c>
      <c r="BD230" s="34">
        <v>100.0</v>
      </c>
      <c r="BE230" s="34">
        <v>0.0</v>
      </c>
      <c r="BF230" s="34">
        <v>0.0</v>
      </c>
      <c r="BG230" s="33">
        <f>COUNTIFS('Data For Calculation - Insuranc'!A:A,A230,'Data For Calculation - Insuranc'!D:D,"Company",'Data For Calculation - Insuranc'!E:E,"Rollover - 1 Year OD Only")</f>
        <v>0</v>
      </c>
      <c r="BH230" s="34" t="s">
        <v>3931</v>
      </c>
      <c r="BI230" s="42" t="s">
        <v>3820</v>
      </c>
      <c r="BJ230" s="34">
        <v>170.0</v>
      </c>
      <c r="BK230" s="34" t="s">
        <v>3853</v>
      </c>
      <c r="BL230" s="34">
        <v>0.0</v>
      </c>
      <c r="BM230" s="34">
        <v>100.0</v>
      </c>
      <c r="BN230" s="34">
        <v>0.0</v>
      </c>
      <c r="BO230" s="34">
        <v>0.0</v>
      </c>
      <c r="BP230" s="33">
        <f>COUNTIFS('Data For Calculation - Insuranc'!A:A,A230,'Data For Calculation - Insuranc'!D:D,"Individual",'Data For Calculation - Insuranc'!E:E,"Rollover - 1 Year TP Only")</f>
        <v>0</v>
      </c>
      <c r="BQ230" s="34" t="s">
        <v>3932</v>
      </c>
      <c r="BR230" s="42" t="s">
        <v>3820</v>
      </c>
      <c r="BS230" s="34">
        <v>170.0</v>
      </c>
      <c r="BT230" s="34" t="s">
        <v>3853</v>
      </c>
      <c r="BU230" s="34">
        <v>0.0</v>
      </c>
      <c r="BV230" s="34">
        <v>100.0</v>
      </c>
      <c r="BW230" s="34">
        <v>0.0</v>
      </c>
      <c r="BX230" s="34">
        <v>0.0</v>
      </c>
      <c r="BY230" s="33">
        <f>COUNTIFS('Data For Calculation - Insuranc'!A:A,A230,'Data For Calculation - Insuranc'!D:D,"Company",'Data For Calculation - Insuranc'!E:E,"Rollover - 1 Year TP Only")</f>
        <v>0</v>
      </c>
      <c r="BZ230" s="31">
        <f t="shared" si="1"/>
        <v>0</v>
      </c>
      <c r="CA230" s="33">
        <f>SUMIFS('Data For Calculation - Insuranc'!I:I,'Data For Calculation - Insuranc'!$A:$A,$A230)</f>
        <v>0</v>
      </c>
      <c r="CB230" s="33">
        <f>SUMIFS('Data For Calculation - Insuranc'!J:J,'Data For Calculation - Insuranc'!$A:$A,$A230)</f>
        <v>0</v>
      </c>
      <c r="CC230" s="33">
        <f>SUMIFS('Data For Calculation - Insuranc'!K:K,'Data For Calculation - Insuranc'!$A:$A,$A230)</f>
        <v>0</v>
      </c>
      <c r="CD230" s="33">
        <f>IF($CK230 = "Dealer", SUMIFS('Data For Calculation - Insuranc'!I:I,'Data For Calculation - Insuranc'!$B:$B,$A230,'Data For Calculation - Insuranc'!$H:$H,"Master Dealer")) + SUMIFS('Data For Calculation - Insuranc'!I:I,'Data For Calculation - Insuranc'!$A:$A,$A230,'Data For Calculation - Insuranc'!$H:$H,"Self")</f>
        <v>0</v>
      </c>
      <c r="CE230" s="33">
        <f>IF($CK230 = "Dealer", SUMIFS('Data For Calculation - Insuranc'!J:J,'Data For Calculation - Insuranc'!$B:$B,$A230,'Data For Calculation - Insuranc'!$H:$H,"Master Dealer")) + SUMIFS('Data For Calculation - Insuranc'!J:J,'Data For Calculation - Insuranc'!$A:$A,$A230,'Data For Calculation - Insuranc'!$H:$H,"Self")</f>
        <v>0</v>
      </c>
      <c r="CF230" s="33">
        <f>IF($CK230 = "Dealer", SUMIFS('Data For Calculation - Insuranc'!K:K,'Data For Calculation - Insuranc'!$B:$B,$A230,'Data For Calculation - Insuranc'!$H:$H,"Master Dealer")) + SUMIFS('Data For Calculation - Insuranc'!K:K,'Data For Calculation - Insuranc'!$A:$A,$A230,'Data For Calculation - Insuranc'!$H:$H,"Self")</f>
        <v>0</v>
      </c>
      <c r="CG230" s="26" t="str">
        <f>(Sheet1!N230)</f>
        <v>Vikas Autowheels</v>
      </c>
      <c r="CH230" s="26" t="str">
        <f>(Sheet1!O230)</f>
        <v>1944RLX7T1M23YXRXYoMnJ6nD_bKLldQXRpFRA0rDLvg</v>
      </c>
      <c r="CI230" s="25" t="str">
        <f>(Sheet1!AV230)</f>
        <v/>
      </c>
      <c r="CJ230" s="25" t="str">
        <f>(Sheet1!AW230)</f>
        <v/>
      </c>
      <c r="CK230" s="26" t="str">
        <f>(Sheet1!P230)</f>
        <v>Sub Dealer</v>
      </c>
    </row>
    <row r="231">
      <c r="A231" s="26" t="str">
        <f>(Sheet1!A231)</f>
        <v>19-6IeElMwTssF4aorJkfA7Hy5Pfa62mHkj31T_xKwZg</v>
      </c>
      <c r="B231" s="26" t="str">
        <f>(Sheet1!B231)</f>
        <v>VIJAY AGENCY(AAA) - Aligarh</v>
      </c>
      <c r="C231" s="30" t="str">
        <f>Sheet1!BB231</f>
        <v>No</v>
      </c>
      <c r="D231" s="34" t="s">
        <v>13</v>
      </c>
      <c r="E231" s="34" t="s">
        <v>13</v>
      </c>
      <c r="F231" s="34" t="s">
        <v>3929</v>
      </c>
      <c r="G231" s="42" t="s">
        <v>3817</v>
      </c>
      <c r="H231" s="47">
        <v>155.0</v>
      </c>
      <c r="I231" s="42" t="s">
        <v>3853</v>
      </c>
      <c r="J231" s="43">
        <v>0.0</v>
      </c>
      <c r="K231" s="43">
        <v>100.0</v>
      </c>
      <c r="L231" s="43">
        <v>0.0</v>
      </c>
      <c r="M231" s="43">
        <v>0.0</v>
      </c>
      <c r="N231" s="33">
        <f>COUNTIFS('Data For Calculation - Insuranc'!A:A,A231,'Data For Calculation - Insuranc'!D:D,"Individual",'Data For Calculation - Insuranc'!E:E,"Bundled - 1 Year OD + 5 Year TP")</f>
        <v>0</v>
      </c>
      <c r="O231" s="34" t="s">
        <v>3930</v>
      </c>
      <c r="P231" s="42" t="s">
        <v>3817</v>
      </c>
      <c r="Q231" s="47">
        <v>155.0</v>
      </c>
      <c r="R231" s="42" t="s">
        <v>3853</v>
      </c>
      <c r="S231" s="43">
        <v>0.0</v>
      </c>
      <c r="T231" s="43">
        <v>100.0</v>
      </c>
      <c r="U231" s="43">
        <v>0.0</v>
      </c>
      <c r="V231" s="43">
        <v>0.0</v>
      </c>
      <c r="W231" s="33">
        <f>COUNTIFS('Data For Calculation - Insuranc'!A:A,A231,'Data For Calculation - Insuranc'!D:D,"Company",'Data For Calculation - Insuranc'!E:E,"Bundled - 1 Year OD + 5 Year TP")</f>
        <v>0</v>
      </c>
      <c r="X231" s="34" t="s">
        <v>3929</v>
      </c>
      <c r="Y231" s="42" t="s">
        <v>3817</v>
      </c>
      <c r="Z231" s="31">
        <v>155.0</v>
      </c>
      <c r="AA231" s="34" t="s">
        <v>3853</v>
      </c>
      <c r="AB231" s="34">
        <v>0.0</v>
      </c>
      <c r="AC231" s="34">
        <v>100.0</v>
      </c>
      <c r="AD231" s="34">
        <v>0.0</v>
      </c>
      <c r="AE231" s="34">
        <v>0.0</v>
      </c>
      <c r="AF231" s="33">
        <f>COUNTIFS('Data For Calculation - Insuranc'!A:A,A231,'Data For Calculation - Insuranc'!D:D,"Individual",'Data For Calculation - Insuranc'!E:E,"Rollover Comprehensive - 1 Year OD + 1 Year TP")</f>
        <v>0</v>
      </c>
      <c r="AG231" s="34" t="s">
        <v>3930</v>
      </c>
      <c r="AH231" s="42" t="s">
        <v>3817</v>
      </c>
      <c r="AI231" s="31">
        <v>155.0</v>
      </c>
      <c r="AJ231" s="34" t="s">
        <v>3853</v>
      </c>
      <c r="AK231" s="34">
        <v>0.0</v>
      </c>
      <c r="AL231" s="34">
        <v>100.0</v>
      </c>
      <c r="AM231" s="34">
        <v>0.0</v>
      </c>
      <c r="AN231" s="34">
        <v>0.0</v>
      </c>
      <c r="AO231" s="33">
        <f>COUNTIFS('Data For Calculation - Insuranc'!A:A,A231,'Data For Calculation - Insuranc'!D:D,"Company",'Data For Calculation - Insuranc'!E:E,"Rollover Comprehensive - 1 Year OD + 1 Year TP")</f>
        <v>0</v>
      </c>
      <c r="AP231" s="34" t="s">
        <v>3931</v>
      </c>
      <c r="AQ231" s="42" t="s">
        <v>3817</v>
      </c>
      <c r="AR231" s="31">
        <v>155.0</v>
      </c>
      <c r="AS231" s="34" t="s">
        <v>3853</v>
      </c>
      <c r="AT231" s="34">
        <v>0.0</v>
      </c>
      <c r="AU231" s="34">
        <v>100.0</v>
      </c>
      <c r="AV231" s="34">
        <v>0.0</v>
      </c>
      <c r="AW231" s="34">
        <v>0.0</v>
      </c>
      <c r="AX231" s="33">
        <f>COUNTIFS('Data For Calculation - Insuranc'!A:A,A231,'Data For Calculation - Insuranc'!D:D,"Individual",'Data For Calculation - Insuranc'!E:E,"Rollover - 1 Year OD Only")</f>
        <v>0</v>
      </c>
      <c r="AY231" s="34" t="s">
        <v>3932</v>
      </c>
      <c r="AZ231" s="42" t="s">
        <v>3817</v>
      </c>
      <c r="BA231" s="31">
        <v>155.0</v>
      </c>
      <c r="BB231" s="34" t="s">
        <v>3853</v>
      </c>
      <c r="BC231" s="34">
        <v>0.0</v>
      </c>
      <c r="BD231" s="34">
        <v>100.0</v>
      </c>
      <c r="BE231" s="34">
        <v>0.0</v>
      </c>
      <c r="BF231" s="34">
        <v>0.0</v>
      </c>
      <c r="BG231" s="33">
        <f>COUNTIFS('Data For Calculation - Insuranc'!A:A,A231,'Data For Calculation - Insuranc'!D:D,"Company",'Data For Calculation - Insuranc'!E:E,"Rollover - 1 Year OD Only")</f>
        <v>0</v>
      </c>
      <c r="BH231" s="34" t="s">
        <v>3931</v>
      </c>
      <c r="BI231" s="42" t="s">
        <v>3817</v>
      </c>
      <c r="BJ231" s="31">
        <v>155.0</v>
      </c>
      <c r="BK231" s="34" t="s">
        <v>3853</v>
      </c>
      <c r="BL231" s="34">
        <v>0.0</v>
      </c>
      <c r="BM231" s="34">
        <v>100.0</v>
      </c>
      <c r="BN231" s="34">
        <v>0.0</v>
      </c>
      <c r="BO231" s="34">
        <v>0.0</v>
      </c>
      <c r="BP231" s="33">
        <f>COUNTIFS('Data For Calculation - Insuranc'!A:A,A231,'Data For Calculation - Insuranc'!D:D,"Individual",'Data For Calculation - Insuranc'!E:E,"Rollover - 1 Year TP Only")</f>
        <v>0</v>
      </c>
      <c r="BQ231" s="34" t="s">
        <v>3932</v>
      </c>
      <c r="BR231" s="42" t="s">
        <v>3817</v>
      </c>
      <c r="BS231" s="31">
        <v>155.0</v>
      </c>
      <c r="BT231" s="34" t="s">
        <v>3853</v>
      </c>
      <c r="BU231" s="34">
        <v>0.0</v>
      </c>
      <c r="BV231" s="34">
        <v>100.0</v>
      </c>
      <c r="BW231" s="34">
        <v>0.0</v>
      </c>
      <c r="BX231" s="34">
        <v>0.0</v>
      </c>
      <c r="BY231" s="33">
        <f>COUNTIFS('Data For Calculation - Insuranc'!A:A,A231,'Data For Calculation - Insuranc'!D:D,"Company",'Data For Calculation - Insuranc'!E:E,"Rollover - 1 Year TP Only")</f>
        <v>0</v>
      </c>
      <c r="BZ231" s="31">
        <f t="shared" si="1"/>
        <v>0</v>
      </c>
      <c r="CA231" s="33">
        <f>SUMIFS('Data For Calculation - Insuranc'!I:I,'Data For Calculation - Insuranc'!$A:$A,$A231)</f>
        <v>0</v>
      </c>
      <c r="CB231" s="33">
        <f>SUMIFS('Data For Calculation - Insuranc'!J:J,'Data For Calculation - Insuranc'!$A:$A,$A231)</f>
        <v>0</v>
      </c>
      <c r="CC231" s="33">
        <f>SUMIFS('Data For Calculation - Insuranc'!K:K,'Data For Calculation - Insuranc'!$A:$A,$A231)</f>
        <v>0</v>
      </c>
      <c r="CD231" s="33">
        <f>IF($CK231 = "Dealer", SUMIFS('Data For Calculation - Insuranc'!I:I,'Data For Calculation - Insuranc'!$B:$B,$A231,'Data For Calculation - Insuranc'!$H:$H,"Master Dealer")) + SUMIFS('Data For Calculation - Insuranc'!I:I,'Data For Calculation - Insuranc'!$A:$A,$A231,'Data For Calculation - Insuranc'!$H:$H,"Self")</f>
        <v>0</v>
      </c>
      <c r="CE231" s="33">
        <f>IF($CK231 = "Dealer", SUMIFS('Data For Calculation - Insuranc'!J:J,'Data For Calculation - Insuranc'!$B:$B,$A231,'Data For Calculation - Insuranc'!$H:$H,"Master Dealer")) + SUMIFS('Data For Calculation - Insuranc'!J:J,'Data For Calculation - Insuranc'!$A:$A,$A231,'Data For Calculation - Insuranc'!$H:$H,"Self")</f>
        <v>0</v>
      </c>
      <c r="CF231" s="33">
        <f>IF($CK231 = "Dealer", SUMIFS('Data For Calculation - Insuranc'!K:K,'Data For Calculation - Insuranc'!$B:$B,$A231,'Data For Calculation - Insuranc'!$H:$H,"Master Dealer")) + SUMIFS('Data For Calculation - Insuranc'!K:K,'Data For Calculation - Insuranc'!$A:$A,$A231,'Data For Calculation - Insuranc'!$H:$H,"Self")</f>
        <v>0</v>
      </c>
      <c r="CG231" s="26" t="str">
        <f>(Sheet1!N231)</f>
        <v>AAA</v>
      </c>
      <c r="CH231" s="26" t="str">
        <f>(Sheet1!O231)</f>
        <v>1AjVyIHPgPw3jscNmkTH1qzR2RokK5FZaJLjeNfOiYAA</v>
      </c>
      <c r="CI231" s="25" t="str">
        <f>(Sheet1!AV231)</f>
        <v/>
      </c>
      <c r="CJ231" s="25" t="str">
        <f>(Sheet1!AW231)</f>
        <v/>
      </c>
      <c r="CK231" s="26" t="str">
        <f>(Sheet1!P231)</f>
        <v>Sub Dealer</v>
      </c>
    </row>
    <row r="232">
      <c r="A232" s="26" t="str">
        <f>(Sheet1!A232)</f>
        <v>1IvhNiO_rNg1IV2ApA-e8TfjWXV5sahUvtIFjbiqS99s</v>
      </c>
      <c r="B232" s="26" t="str">
        <f>(Sheet1!B232)</f>
        <v>Shivay Motors (AAA) - Vijaygarh</v>
      </c>
      <c r="C232" s="30" t="str">
        <f>Sheet1!BB232</f>
        <v>No</v>
      </c>
      <c r="D232" s="34" t="s">
        <v>13</v>
      </c>
      <c r="E232" s="34" t="s">
        <v>3821</v>
      </c>
      <c r="F232" s="34" t="s">
        <v>3929</v>
      </c>
      <c r="G232" s="42" t="s">
        <v>3817</v>
      </c>
      <c r="H232" s="47">
        <v>155.0</v>
      </c>
      <c r="I232" s="42" t="s">
        <v>3853</v>
      </c>
      <c r="J232" s="43">
        <v>0.0</v>
      </c>
      <c r="K232" s="43">
        <v>100.0</v>
      </c>
      <c r="L232" s="43">
        <v>0.0</v>
      </c>
      <c r="M232" s="43">
        <v>0.0</v>
      </c>
      <c r="N232" s="33">
        <f>COUNTIFS('Data For Calculation - Insuranc'!A:A,A232,'Data For Calculation - Insuranc'!D:D,"Individual",'Data For Calculation - Insuranc'!E:E,"Bundled - 1 Year OD + 5 Year TP")</f>
        <v>0</v>
      </c>
      <c r="O232" s="34" t="s">
        <v>3930</v>
      </c>
      <c r="P232" s="42" t="s">
        <v>3817</v>
      </c>
      <c r="Q232" s="47">
        <v>155.0</v>
      </c>
      <c r="R232" s="42" t="s">
        <v>3853</v>
      </c>
      <c r="S232" s="43">
        <v>0.0</v>
      </c>
      <c r="T232" s="43">
        <v>100.0</v>
      </c>
      <c r="U232" s="43">
        <v>0.0</v>
      </c>
      <c r="V232" s="43">
        <v>0.0</v>
      </c>
      <c r="W232" s="33">
        <f>COUNTIFS('Data For Calculation - Insuranc'!A:A,A232,'Data For Calculation - Insuranc'!D:D,"Company",'Data For Calculation - Insuranc'!E:E,"Bundled - 1 Year OD + 5 Year TP")</f>
        <v>0</v>
      </c>
      <c r="X232" s="34" t="s">
        <v>3929</v>
      </c>
      <c r="Y232" s="42" t="s">
        <v>3817</v>
      </c>
      <c r="Z232" s="31">
        <v>155.0</v>
      </c>
      <c r="AA232" s="34" t="s">
        <v>3853</v>
      </c>
      <c r="AB232" s="34">
        <v>0.0</v>
      </c>
      <c r="AC232" s="34">
        <v>100.0</v>
      </c>
      <c r="AD232" s="34">
        <v>0.0</v>
      </c>
      <c r="AE232" s="34">
        <v>0.0</v>
      </c>
      <c r="AF232" s="33">
        <f>COUNTIFS('Data For Calculation - Insuranc'!A:A,A232,'Data For Calculation - Insuranc'!D:D,"Individual",'Data For Calculation - Insuranc'!E:E,"Rollover Comprehensive - 1 Year OD + 1 Year TP")</f>
        <v>0</v>
      </c>
      <c r="AG232" s="34" t="s">
        <v>3930</v>
      </c>
      <c r="AH232" s="42" t="s">
        <v>3817</v>
      </c>
      <c r="AI232" s="31">
        <v>155.0</v>
      </c>
      <c r="AJ232" s="34" t="s">
        <v>3853</v>
      </c>
      <c r="AK232" s="34">
        <v>0.0</v>
      </c>
      <c r="AL232" s="34">
        <v>100.0</v>
      </c>
      <c r="AM232" s="34">
        <v>0.0</v>
      </c>
      <c r="AN232" s="34">
        <v>0.0</v>
      </c>
      <c r="AO232" s="33">
        <f>COUNTIFS('Data For Calculation - Insuranc'!A:A,A232,'Data For Calculation - Insuranc'!D:D,"Company",'Data For Calculation - Insuranc'!E:E,"Rollover Comprehensive - 1 Year OD + 1 Year TP")</f>
        <v>0</v>
      </c>
      <c r="AP232" s="34" t="s">
        <v>3931</v>
      </c>
      <c r="AQ232" s="42" t="s">
        <v>3817</v>
      </c>
      <c r="AR232" s="31">
        <v>155.0</v>
      </c>
      <c r="AS232" s="34" t="s">
        <v>3853</v>
      </c>
      <c r="AT232" s="34">
        <v>0.0</v>
      </c>
      <c r="AU232" s="34">
        <v>100.0</v>
      </c>
      <c r="AV232" s="34">
        <v>0.0</v>
      </c>
      <c r="AW232" s="34">
        <v>0.0</v>
      </c>
      <c r="AX232" s="33">
        <f>COUNTIFS('Data For Calculation - Insuranc'!A:A,A232,'Data For Calculation - Insuranc'!D:D,"Individual",'Data For Calculation - Insuranc'!E:E,"Rollover - 1 Year OD Only")</f>
        <v>0</v>
      </c>
      <c r="AY232" s="34" t="s">
        <v>3932</v>
      </c>
      <c r="AZ232" s="42" t="s">
        <v>3817</v>
      </c>
      <c r="BA232" s="31">
        <v>155.0</v>
      </c>
      <c r="BB232" s="34" t="s">
        <v>3853</v>
      </c>
      <c r="BC232" s="34">
        <v>0.0</v>
      </c>
      <c r="BD232" s="34">
        <v>100.0</v>
      </c>
      <c r="BE232" s="34">
        <v>0.0</v>
      </c>
      <c r="BF232" s="34">
        <v>0.0</v>
      </c>
      <c r="BG232" s="33">
        <f>COUNTIFS('Data For Calculation - Insuranc'!A:A,A232,'Data For Calculation - Insuranc'!D:D,"Company",'Data For Calculation - Insuranc'!E:E,"Rollover - 1 Year OD Only")</f>
        <v>0</v>
      </c>
      <c r="BH232" s="34" t="s">
        <v>3931</v>
      </c>
      <c r="BI232" s="42" t="s">
        <v>3817</v>
      </c>
      <c r="BJ232" s="31">
        <v>155.0</v>
      </c>
      <c r="BK232" s="34" t="s">
        <v>3853</v>
      </c>
      <c r="BL232" s="34">
        <v>0.0</v>
      </c>
      <c r="BM232" s="34">
        <v>100.0</v>
      </c>
      <c r="BN232" s="34">
        <v>0.0</v>
      </c>
      <c r="BO232" s="34">
        <v>0.0</v>
      </c>
      <c r="BP232" s="33">
        <f>COUNTIFS('Data For Calculation - Insuranc'!A:A,A232,'Data For Calculation - Insuranc'!D:D,"Individual",'Data For Calculation - Insuranc'!E:E,"Rollover - 1 Year TP Only")</f>
        <v>0</v>
      </c>
      <c r="BQ232" s="34" t="s">
        <v>3932</v>
      </c>
      <c r="BR232" s="42" t="s">
        <v>3817</v>
      </c>
      <c r="BS232" s="31">
        <v>155.0</v>
      </c>
      <c r="BT232" s="34" t="s">
        <v>3853</v>
      </c>
      <c r="BU232" s="34">
        <v>0.0</v>
      </c>
      <c r="BV232" s="34">
        <v>100.0</v>
      </c>
      <c r="BW232" s="34">
        <v>0.0</v>
      </c>
      <c r="BX232" s="34">
        <v>0.0</v>
      </c>
      <c r="BY232" s="33">
        <f>COUNTIFS('Data For Calculation - Insuranc'!A:A,A232,'Data For Calculation - Insuranc'!D:D,"Company",'Data For Calculation - Insuranc'!E:E,"Rollover - 1 Year TP Only")</f>
        <v>0</v>
      </c>
      <c r="BZ232" s="31">
        <f t="shared" si="1"/>
        <v>0</v>
      </c>
      <c r="CA232" s="33">
        <f>SUMIFS('Data For Calculation - Insuranc'!I:I,'Data For Calculation - Insuranc'!$A:$A,$A232)</f>
        <v>0</v>
      </c>
      <c r="CB232" s="33">
        <f>SUMIFS('Data For Calculation - Insuranc'!J:J,'Data For Calculation - Insuranc'!$A:$A,$A232)</f>
        <v>0</v>
      </c>
      <c r="CC232" s="33">
        <f>SUMIFS('Data For Calculation - Insuranc'!K:K,'Data For Calculation - Insuranc'!$A:$A,$A232)</f>
        <v>0</v>
      </c>
      <c r="CD232" s="33">
        <f>IF($CK232 = "Dealer", SUMIFS('Data For Calculation - Insuranc'!I:I,'Data For Calculation - Insuranc'!$B:$B,$A232,'Data For Calculation - Insuranc'!$H:$H,"Master Dealer")) + SUMIFS('Data For Calculation - Insuranc'!I:I,'Data For Calculation - Insuranc'!$A:$A,$A232,'Data For Calculation - Insuranc'!$H:$H,"Self")</f>
        <v>0</v>
      </c>
      <c r="CE232" s="33">
        <f>IF($CK232 = "Dealer", SUMIFS('Data For Calculation - Insuranc'!J:J,'Data For Calculation - Insuranc'!$B:$B,$A232,'Data For Calculation - Insuranc'!$H:$H,"Master Dealer")) + SUMIFS('Data For Calculation - Insuranc'!J:J,'Data For Calculation - Insuranc'!$A:$A,$A232,'Data For Calculation - Insuranc'!$H:$H,"Self")</f>
        <v>0</v>
      </c>
      <c r="CF232" s="33">
        <f>IF($CK232 = "Dealer", SUMIFS('Data For Calculation - Insuranc'!K:K,'Data For Calculation - Insuranc'!$B:$B,$A232,'Data For Calculation - Insuranc'!$H:$H,"Master Dealer")) + SUMIFS('Data For Calculation - Insuranc'!K:K,'Data For Calculation - Insuranc'!$A:$A,$A232,'Data For Calculation - Insuranc'!$H:$H,"Self")</f>
        <v>0</v>
      </c>
      <c r="CG232" s="26" t="str">
        <f>(Sheet1!N232)</f>
        <v>AAA</v>
      </c>
      <c r="CH232" s="26" t="str">
        <f>(Sheet1!O232)</f>
        <v>1AjVyIHPgPw3jscNmkTH1qzR2RokK5FZaJLjeNfOiYAA</v>
      </c>
      <c r="CI232" s="25" t="str">
        <f>(Sheet1!AV232)</f>
        <v/>
      </c>
      <c r="CJ232" s="25" t="str">
        <f>(Sheet1!AW232)</f>
        <v/>
      </c>
      <c r="CK232" s="26" t="str">
        <f>(Sheet1!P232)</f>
        <v>Sub Dealer</v>
      </c>
    </row>
    <row r="233">
      <c r="A233" s="26" t="str">
        <f>(Sheet1!A233)</f>
        <v>1kRyPQWS9rBO-hWXuMRpK-o-u45enSa2VVTYNekPb4kk</v>
      </c>
      <c r="B233" s="26" t="str">
        <f>(Sheet1!B233)</f>
        <v>PASHANKAR AUTO- PUNE</v>
      </c>
      <c r="C233" s="30" t="str">
        <f>Sheet1!BB233</f>
        <v>No</v>
      </c>
      <c r="D233" s="34" t="s">
        <v>13</v>
      </c>
      <c r="E233" s="34" t="s">
        <v>13</v>
      </c>
      <c r="F233" s="34" t="s">
        <v>3929</v>
      </c>
      <c r="G233" s="42" t="s">
        <v>3817</v>
      </c>
      <c r="H233" s="43">
        <v>460.0</v>
      </c>
      <c r="I233" s="42" t="s">
        <v>3853</v>
      </c>
      <c r="J233" s="43">
        <v>0.0</v>
      </c>
      <c r="K233" s="43">
        <v>100.0</v>
      </c>
      <c r="L233" s="43">
        <v>0.0</v>
      </c>
      <c r="M233" s="43">
        <v>0.0</v>
      </c>
      <c r="N233" s="33">
        <f>COUNTIFS('Data For Calculation - Insuranc'!A:A,A233,'Data For Calculation - Insuranc'!D:D,"Individual",'Data For Calculation - Insuranc'!E:E,"Bundled - 1 Year OD + 5 Year TP")</f>
        <v>0</v>
      </c>
      <c r="O233" s="34" t="s">
        <v>3930</v>
      </c>
      <c r="P233" s="42" t="s">
        <v>3817</v>
      </c>
      <c r="Q233" s="43">
        <v>460.0</v>
      </c>
      <c r="R233" s="42" t="s">
        <v>3853</v>
      </c>
      <c r="S233" s="43">
        <v>0.0</v>
      </c>
      <c r="T233" s="43">
        <v>100.0</v>
      </c>
      <c r="U233" s="43">
        <v>0.0</v>
      </c>
      <c r="V233" s="43">
        <v>0.0</v>
      </c>
      <c r="W233" s="33">
        <f>COUNTIFS('Data For Calculation - Insuranc'!A:A,A233,'Data For Calculation - Insuranc'!D:D,"Company",'Data For Calculation - Insuranc'!E:E,"Bundled - 1 Year OD + 5 Year TP")</f>
        <v>0</v>
      </c>
      <c r="X233" s="34" t="s">
        <v>3929</v>
      </c>
      <c r="Y233" s="42" t="s">
        <v>3817</v>
      </c>
      <c r="Z233" s="34">
        <v>290.0</v>
      </c>
      <c r="AA233" s="34" t="s">
        <v>3853</v>
      </c>
      <c r="AB233" s="34">
        <v>0.0</v>
      </c>
      <c r="AC233" s="34">
        <v>100.0</v>
      </c>
      <c r="AD233" s="34">
        <v>0.0</v>
      </c>
      <c r="AE233" s="34">
        <v>0.0</v>
      </c>
      <c r="AF233" s="33">
        <f>COUNTIFS('Data For Calculation - Insuranc'!A:A,A233,'Data For Calculation - Insuranc'!D:D,"Individual",'Data For Calculation - Insuranc'!E:E,"Rollover Comprehensive - 1 Year OD + 1 Year TP")</f>
        <v>0</v>
      </c>
      <c r="AG233" s="34" t="s">
        <v>3930</v>
      </c>
      <c r="AH233" s="42" t="s">
        <v>3817</v>
      </c>
      <c r="AI233" s="34">
        <v>290.0</v>
      </c>
      <c r="AJ233" s="34" t="s">
        <v>3853</v>
      </c>
      <c r="AK233" s="34">
        <v>0.0</v>
      </c>
      <c r="AL233" s="34">
        <v>100.0</v>
      </c>
      <c r="AM233" s="34">
        <v>0.0</v>
      </c>
      <c r="AN233" s="34">
        <v>0.0</v>
      </c>
      <c r="AO233" s="33">
        <f>COUNTIFS('Data For Calculation - Insuranc'!A:A,A233,'Data For Calculation - Insuranc'!D:D,"Company",'Data For Calculation - Insuranc'!E:E,"Rollover Comprehensive - 1 Year OD + 1 Year TP")</f>
        <v>0</v>
      </c>
      <c r="AP233" s="34" t="s">
        <v>3931</v>
      </c>
      <c r="AQ233" s="42" t="s">
        <v>3817</v>
      </c>
      <c r="AR233" s="34">
        <v>290.0</v>
      </c>
      <c r="AS233" s="34" t="s">
        <v>3853</v>
      </c>
      <c r="AT233" s="34">
        <v>0.0</v>
      </c>
      <c r="AU233" s="34">
        <v>100.0</v>
      </c>
      <c r="AV233" s="34">
        <v>0.0</v>
      </c>
      <c r="AW233" s="34">
        <v>0.0</v>
      </c>
      <c r="AX233" s="33">
        <f>COUNTIFS('Data For Calculation - Insuranc'!A:A,A233,'Data For Calculation - Insuranc'!D:D,"Individual",'Data For Calculation - Insuranc'!E:E,"Rollover - 1 Year OD Only")</f>
        <v>0</v>
      </c>
      <c r="AY233" s="34" t="s">
        <v>3932</v>
      </c>
      <c r="AZ233" s="42" t="s">
        <v>3817</v>
      </c>
      <c r="BA233" s="34">
        <v>290.0</v>
      </c>
      <c r="BB233" s="34" t="s">
        <v>3853</v>
      </c>
      <c r="BC233" s="34">
        <v>0.0</v>
      </c>
      <c r="BD233" s="34">
        <v>100.0</v>
      </c>
      <c r="BE233" s="34">
        <v>0.0</v>
      </c>
      <c r="BF233" s="34">
        <v>0.0</v>
      </c>
      <c r="BG233" s="33">
        <f>COUNTIFS('Data For Calculation - Insuranc'!A:A,A233,'Data For Calculation - Insuranc'!D:D,"Company",'Data For Calculation - Insuranc'!E:E,"Rollover - 1 Year OD Only")</f>
        <v>0</v>
      </c>
      <c r="BH233" s="34" t="s">
        <v>3931</v>
      </c>
      <c r="BI233" s="42" t="s">
        <v>3817</v>
      </c>
      <c r="BJ233" s="34">
        <v>290.0</v>
      </c>
      <c r="BK233" s="34" t="s">
        <v>3853</v>
      </c>
      <c r="BL233" s="34">
        <v>0.0</v>
      </c>
      <c r="BM233" s="34">
        <v>100.0</v>
      </c>
      <c r="BN233" s="34">
        <v>0.0</v>
      </c>
      <c r="BO233" s="34">
        <v>0.0</v>
      </c>
      <c r="BP233" s="33">
        <f>COUNTIFS('Data For Calculation - Insuranc'!A:A,A233,'Data For Calculation - Insuranc'!D:D,"Individual",'Data For Calculation - Insuranc'!E:E,"Rollover - 1 Year TP Only")</f>
        <v>0</v>
      </c>
      <c r="BQ233" s="34" t="s">
        <v>3932</v>
      </c>
      <c r="BR233" s="42" t="s">
        <v>3817</v>
      </c>
      <c r="BS233" s="34">
        <v>290.0</v>
      </c>
      <c r="BT233" s="34" t="s">
        <v>3853</v>
      </c>
      <c r="BU233" s="34">
        <v>0.0</v>
      </c>
      <c r="BV233" s="34">
        <v>100.0</v>
      </c>
      <c r="BW233" s="34">
        <v>0.0</v>
      </c>
      <c r="BX233" s="34">
        <v>0.0</v>
      </c>
      <c r="BY233" s="33">
        <f>COUNTIFS('Data For Calculation - Insuranc'!A:A,A233,'Data For Calculation - Insuranc'!D:D,"Company",'Data For Calculation - Insuranc'!E:E,"Rollover - 1 Year TP Only")</f>
        <v>0</v>
      </c>
      <c r="BZ233" s="31">
        <f t="shared" si="1"/>
        <v>0</v>
      </c>
      <c r="CA233" s="33">
        <f>SUMIFS('Data For Calculation - Insuranc'!I:I,'Data For Calculation - Insuranc'!$A:$A,$A233)</f>
        <v>0</v>
      </c>
      <c r="CB233" s="33">
        <f>SUMIFS('Data For Calculation - Insuranc'!J:J,'Data For Calculation - Insuranc'!$A:$A,$A233)</f>
        <v>0</v>
      </c>
      <c r="CC233" s="33">
        <f>SUMIFS('Data For Calculation - Insuranc'!K:K,'Data For Calculation - Insuranc'!$A:$A,$A233)</f>
        <v>0</v>
      </c>
      <c r="CD233" s="33">
        <f>IF($CK233 = "Dealer", SUMIFS('Data For Calculation - Insuranc'!I:I,'Data For Calculation - Insuranc'!$B:$B,$A233,'Data For Calculation - Insuranc'!$H:$H,"Master Dealer")) + SUMIFS('Data For Calculation - Insuranc'!I:I,'Data For Calculation - Insuranc'!$A:$A,$A233,'Data For Calculation - Insuranc'!$H:$H,"Self")</f>
        <v>0</v>
      </c>
      <c r="CE233" s="33">
        <f>IF($CK233 = "Dealer", SUMIFS('Data For Calculation - Insuranc'!J:J,'Data For Calculation - Insuranc'!$B:$B,$A233,'Data For Calculation - Insuranc'!$H:$H,"Master Dealer")) + SUMIFS('Data For Calculation - Insuranc'!J:J,'Data For Calculation - Insuranc'!$A:$A,$A233,'Data For Calculation - Insuranc'!$H:$H,"Self")</f>
        <v>0</v>
      </c>
      <c r="CF233" s="33">
        <f>IF($CK233 = "Dealer", SUMIFS('Data For Calculation - Insuranc'!K:K,'Data For Calculation - Insuranc'!$B:$B,$A233,'Data For Calculation - Insuranc'!$H:$H,"Master Dealer")) + SUMIFS('Data For Calculation - Insuranc'!K:K,'Data For Calculation - Insuranc'!$A:$A,$A233,'Data For Calculation - Insuranc'!$H:$H,"Self")</f>
        <v>0</v>
      </c>
      <c r="CG233" s="26" t="str">
        <f>(Sheet1!N233)</f>
        <v>PASHANKAR AUTO- PUNE</v>
      </c>
      <c r="CH233" s="26" t="str">
        <f>(Sheet1!O233)</f>
        <v>1kRyPQWS9rBO-hWXuMRpK-o-u45enSa2VVTYNekPb4kk</v>
      </c>
      <c r="CI233" s="25" t="str">
        <f>(Sheet1!AV233)</f>
        <v/>
      </c>
      <c r="CJ233" s="25" t="str">
        <f>(Sheet1!AW233)</f>
        <v/>
      </c>
      <c r="CK233" s="26" t="str">
        <f>(Sheet1!P233)</f>
        <v>Dealer</v>
      </c>
    </row>
    <row r="234">
      <c r="A234" s="26" t="str">
        <f>(Sheet1!A234)</f>
        <v>1R0uwjETF80Vss8P2a0gSsIF2iqphq4WIGrUlHbCVjKw</v>
      </c>
      <c r="B234" s="26" t="str">
        <f>(Sheet1!B234)</f>
        <v>VTECH TVS- AHMEDABAD</v>
      </c>
      <c r="C234" s="30" t="str">
        <f>Sheet1!BB234</f>
        <v>No</v>
      </c>
      <c r="D234" s="34" t="s">
        <v>13</v>
      </c>
      <c r="E234" s="34" t="s">
        <v>13</v>
      </c>
      <c r="F234" s="34" t="s">
        <v>3929</v>
      </c>
      <c r="G234" s="42" t="s">
        <v>3817</v>
      </c>
      <c r="H234" s="43">
        <v>460.0</v>
      </c>
      <c r="I234" s="42" t="s">
        <v>3853</v>
      </c>
      <c r="J234" s="43">
        <v>0.0</v>
      </c>
      <c r="K234" s="43">
        <v>100.0</v>
      </c>
      <c r="L234" s="43">
        <v>0.0</v>
      </c>
      <c r="M234" s="43">
        <v>0.0</v>
      </c>
      <c r="N234" s="33">
        <f>COUNTIFS('Data For Calculation - Insuranc'!A:A,A234,'Data For Calculation - Insuranc'!D:D,"Individual",'Data For Calculation - Insuranc'!E:E,"Bundled - 1 Year OD + 5 Year TP")</f>
        <v>0</v>
      </c>
      <c r="O234" s="34" t="s">
        <v>3930</v>
      </c>
      <c r="P234" s="42" t="s">
        <v>3817</v>
      </c>
      <c r="Q234" s="43">
        <v>460.0</v>
      </c>
      <c r="R234" s="42" t="s">
        <v>3853</v>
      </c>
      <c r="S234" s="43">
        <v>0.0</v>
      </c>
      <c r="T234" s="43">
        <v>100.0</v>
      </c>
      <c r="U234" s="43">
        <v>0.0</v>
      </c>
      <c r="V234" s="43">
        <v>0.0</v>
      </c>
      <c r="W234" s="33">
        <f>COUNTIFS('Data For Calculation - Insuranc'!A:A,A234,'Data For Calculation - Insuranc'!D:D,"Company",'Data For Calculation - Insuranc'!E:E,"Bundled - 1 Year OD + 5 Year TP")</f>
        <v>0</v>
      </c>
      <c r="X234" s="34" t="s">
        <v>3929</v>
      </c>
      <c r="Y234" s="42" t="s">
        <v>3817</v>
      </c>
      <c r="Z234" s="34">
        <v>215.0</v>
      </c>
      <c r="AA234" s="34" t="s">
        <v>3853</v>
      </c>
      <c r="AB234" s="34">
        <v>0.0</v>
      </c>
      <c r="AC234" s="34">
        <v>100.0</v>
      </c>
      <c r="AD234" s="34">
        <v>0.0</v>
      </c>
      <c r="AE234" s="34">
        <v>0.0</v>
      </c>
      <c r="AF234" s="33">
        <f>COUNTIFS('Data For Calculation - Insuranc'!A:A,A234,'Data For Calculation - Insuranc'!D:D,"Individual",'Data For Calculation - Insuranc'!E:E,"Rollover Comprehensive - 1 Year OD + 1 Year TP")</f>
        <v>0</v>
      </c>
      <c r="AG234" s="34" t="s">
        <v>3930</v>
      </c>
      <c r="AH234" s="42" t="s">
        <v>3817</v>
      </c>
      <c r="AI234" s="34">
        <v>215.0</v>
      </c>
      <c r="AJ234" s="34" t="s">
        <v>3853</v>
      </c>
      <c r="AK234" s="34">
        <v>0.0</v>
      </c>
      <c r="AL234" s="34">
        <v>100.0</v>
      </c>
      <c r="AM234" s="34">
        <v>0.0</v>
      </c>
      <c r="AN234" s="34">
        <v>0.0</v>
      </c>
      <c r="AO234" s="33">
        <f>COUNTIFS('Data For Calculation - Insuranc'!A:A,A234,'Data For Calculation - Insuranc'!D:D,"Company",'Data For Calculation - Insuranc'!E:E,"Rollover Comprehensive - 1 Year OD + 1 Year TP")</f>
        <v>0</v>
      </c>
      <c r="AP234" s="34" t="s">
        <v>3931</v>
      </c>
      <c r="AQ234" s="42" t="s">
        <v>3817</v>
      </c>
      <c r="AR234" s="34">
        <v>215.0</v>
      </c>
      <c r="AS234" s="34" t="s">
        <v>3853</v>
      </c>
      <c r="AT234" s="34">
        <v>0.0</v>
      </c>
      <c r="AU234" s="34">
        <v>100.0</v>
      </c>
      <c r="AV234" s="34">
        <v>0.0</v>
      </c>
      <c r="AW234" s="34">
        <v>0.0</v>
      </c>
      <c r="AX234" s="33">
        <f>COUNTIFS('Data For Calculation - Insuranc'!A:A,A234,'Data For Calculation - Insuranc'!D:D,"Individual",'Data For Calculation - Insuranc'!E:E,"Rollover - 1 Year OD Only")</f>
        <v>0</v>
      </c>
      <c r="AY234" s="34" t="s">
        <v>3932</v>
      </c>
      <c r="AZ234" s="42" t="s">
        <v>3817</v>
      </c>
      <c r="BA234" s="34">
        <v>215.0</v>
      </c>
      <c r="BB234" s="34" t="s">
        <v>3853</v>
      </c>
      <c r="BC234" s="34">
        <v>0.0</v>
      </c>
      <c r="BD234" s="34">
        <v>100.0</v>
      </c>
      <c r="BE234" s="34">
        <v>0.0</v>
      </c>
      <c r="BF234" s="34">
        <v>0.0</v>
      </c>
      <c r="BG234" s="33">
        <f>COUNTIFS('Data For Calculation - Insuranc'!A:A,A234,'Data For Calculation - Insuranc'!D:D,"Company",'Data For Calculation - Insuranc'!E:E,"Rollover - 1 Year OD Only")</f>
        <v>0</v>
      </c>
      <c r="BH234" s="34" t="s">
        <v>3931</v>
      </c>
      <c r="BI234" s="42" t="s">
        <v>3817</v>
      </c>
      <c r="BJ234" s="34">
        <v>215.0</v>
      </c>
      <c r="BK234" s="34" t="s">
        <v>3853</v>
      </c>
      <c r="BL234" s="34">
        <v>0.0</v>
      </c>
      <c r="BM234" s="34">
        <v>100.0</v>
      </c>
      <c r="BN234" s="34">
        <v>0.0</v>
      </c>
      <c r="BO234" s="34">
        <v>0.0</v>
      </c>
      <c r="BP234" s="33">
        <f>COUNTIFS('Data For Calculation - Insuranc'!A:A,A234,'Data For Calculation - Insuranc'!D:D,"Individual",'Data For Calculation - Insuranc'!E:E,"Rollover - 1 Year TP Only")</f>
        <v>0</v>
      </c>
      <c r="BQ234" s="34" t="s">
        <v>3932</v>
      </c>
      <c r="BR234" s="42" t="s">
        <v>3817</v>
      </c>
      <c r="BS234" s="34">
        <v>215.0</v>
      </c>
      <c r="BT234" s="34" t="s">
        <v>3853</v>
      </c>
      <c r="BU234" s="34">
        <v>0.0</v>
      </c>
      <c r="BV234" s="34">
        <v>100.0</v>
      </c>
      <c r="BW234" s="34">
        <v>0.0</v>
      </c>
      <c r="BX234" s="34">
        <v>0.0</v>
      </c>
      <c r="BY234" s="33">
        <f>COUNTIFS('Data For Calculation - Insuranc'!A:A,A234,'Data For Calculation - Insuranc'!D:D,"Company",'Data For Calculation - Insuranc'!E:E,"Rollover - 1 Year TP Only")</f>
        <v>0</v>
      </c>
      <c r="BZ234" s="31">
        <f t="shared" si="1"/>
        <v>0</v>
      </c>
      <c r="CA234" s="33">
        <f>SUMIFS('Data For Calculation - Insuranc'!I:I,'Data For Calculation - Insuranc'!$A:$A,$A234)</f>
        <v>0</v>
      </c>
      <c r="CB234" s="33">
        <f>SUMIFS('Data For Calculation - Insuranc'!J:J,'Data For Calculation - Insuranc'!$A:$A,$A234)</f>
        <v>0</v>
      </c>
      <c r="CC234" s="33">
        <f>SUMIFS('Data For Calculation - Insuranc'!K:K,'Data For Calculation - Insuranc'!$A:$A,$A234)</f>
        <v>0</v>
      </c>
      <c r="CD234" s="33">
        <f>IF($CK234 = "Dealer", SUMIFS('Data For Calculation - Insuranc'!I:I,'Data For Calculation - Insuranc'!$B:$B,$A234,'Data For Calculation - Insuranc'!$H:$H,"Master Dealer")) + SUMIFS('Data For Calculation - Insuranc'!I:I,'Data For Calculation - Insuranc'!$A:$A,$A234,'Data For Calculation - Insuranc'!$H:$H,"Self")</f>
        <v>0</v>
      </c>
      <c r="CE234" s="33">
        <f>IF($CK234 = "Dealer", SUMIFS('Data For Calculation - Insuranc'!J:J,'Data For Calculation - Insuranc'!$B:$B,$A234,'Data For Calculation - Insuranc'!$H:$H,"Master Dealer")) + SUMIFS('Data For Calculation - Insuranc'!J:J,'Data For Calculation - Insuranc'!$A:$A,$A234,'Data For Calculation - Insuranc'!$H:$H,"Self")</f>
        <v>0</v>
      </c>
      <c r="CF234" s="33">
        <f>IF($CK234 = "Dealer", SUMIFS('Data For Calculation - Insuranc'!K:K,'Data For Calculation - Insuranc'!$B:$B,$A234,'Data For Calculation - Insuranc'!$H:$H,"Master Dealer")) + SUMIFS('Data For Calculation - Insuranc'!K:K,'Data For Calculation - Insuranc'!$A:$A,$A234,'Data For Calculation - Insuranc'!$H:$H,"Self")</f>
        <v>0</v>
      </c>
      <c r="CG234" s="26" t="str">
        <f>(Sheet1!N234)</f>
        <v>VTECH TVS- AHMEDABAD</v>
      </c>
      <c r="CH234" s="26" t="str">
        <f>(Sheet1!O234)</f>
        <v>1R0uwjETF80Vss8P2a0gSsIF2iqphq4WIGrUlHbCVjKw</v>
      </c>
      <c r="CI234" s="25" t="str">
        <f>(Sheet1!AV234)</f>
        <v/>
      </c>
      <c r="CJ234" s="25" t="str">
        <f>(Sheet1!AW234)</f>
        <v/>
      </c>
      <c r="CK234" s="26" t="str">
        <f>(Sheet1!P234)</f>
        <v>Dealer</v>
      </c>
    </row>
    <row r="235">
      <c r="A235" s="26" t="str">
        <f>(Sheet1!A235)</f>
        <v>1rmVM0JAH6j1YGKR-ibbU8XL4IHeTiP7sO3zo1VitOis</v>
      </c>
      <c r="B235" s="26" t="str">
        <f>(Sheet1!B235)</f>
        <v>Tirupati Motors (AAA) - Akarabad</v>
      </c>
      <c r="C235" s="30" t="str">
        <f>Sheet1!BB235</f>
        <v>No</v>
      </c>
      <c r="D235" s="34" t="s">
        <v>13</v>
      </c>
      <c r="E235" s="34" t="s">
        <v>3821</v>
      </c>
      <c r="F235" s="34" t="s">
        <v>3929</v>
      </c>
      <c r="G235" s="42" t="s">
        <v>3817</v>
      </c>
      <c r="H235" s="47">
        <v>155.0</v>
      </c>
      <c r="I235" s="42" t="s">
        <v>3853</v>
      </c>
      <c r="J235" s="43">
        <v>0.0</v>
      </c>
      <c r="K235" s="43">
        <v>100.0</v>
      </c>
      <c r="L235" s="43">
        <v>0.0</v>
      </c>
      <c r="M235" s="43">
        <v>0.0</v>
      </c>
      <c r="N235" s="33">
        <f>COUNTIFS('Data For Calculation - Insuranc'!A:A,A235,'Data For Calculation - Insuranc'!D:D,"Individual",'Data For Calculation - Insuranc'!E:E,"Bundled - 1 Year OD + 5 Year TP")</f>
        <v>0</v>
      </c>
      <c r="O235" s="34" t="s">
        <v>3930</v>
      </c>
      <c r="P235" s="42" t="s">
        <v>3817</v>
      </c>
      <c r="Q235" s="47">
        <v>155.0</v>
      </c>
      <c r="R235" s="42" t="s">
        <v>3853</v>
      </c>
      <c r="S235" s="43">
        <v>0.0</v>
      </c>
      <c r="T235" s="43">
        <v>100.0</v>
      </c>
      <c r="U235" s="43">
        <v>0.0</v>
      </c>
      <c r="V235" s="43">
        <v>0.0</v>
      </c>
      <c r="W235" s="33">
        <f>COUNTIFS('Data For Calculation - Insuranc'!A:A,A235,'Data For Calculation - Insuranc'!D:D,"Company",'Data For Calculation - Insuranc'!E:E,"Bundled - 1 Year OD + 5 Year TP")</f>
        <v>0</v>
      </c>
      <c r="X235" s="34" t="s">
        <v>3929</v>
      </c>
      <c r="Y235" s="42" t="s">
        <v>3817</v>
      </c>
      <c r="Z235" s="31">
        <v>155.0</v>
      </c>
      <c r="AA235" s="34" t="s">
        <v>3853</v>
      </c>
      <c r="AB235" s="34">
        <v>0.0</v>
      </c>
      <c r="AC235" s="34">
        <v>100.0</v>
      </c>
      <c r="AD235" s="34">
        <v>0.0</v>
      </c>
      <c r="AE235" s="34">
        <v>0.0</v>
      </c>
      <c r="AF235" s="33">
        <f>COUNTIFS('Data For Calculation - Insuranc'!A:A,A235,'Data For Calculation - Insuranc'!D:D,"Individual",'Data For Calculation - Insuranc'!E:E,"Rollover Comprehensive - 1 Year OD + 1 Year TP")</f>
        <v>0</v>
      </c>
      <c r="AG235" s="34" t="s">
        <v>3930</v>
      </c>
      <c r="AH235" s="42" t="s">
        <v>3817</v>
      </c>
      <c r="AI235" s="31">
        <v>155.0</v>
      </c>
      <c r="AJ235" s="34" t="s">
        <v>3853</v>
      </c>
      <c r="AK235" s="34">
        <v>0.0</v>
      </c>
      <c r="AL235" s="34">
        <v>100.0</v>
      </c>
      <c r="AM235" s="34">
        <v>0.0</v>
      </c>
      <c r="AN235" s="34">
        <v>0.0</v>
      </c>
      <c r="AO235" s="33">
        <f>COUNTIFS('Data For Calculation - Insuranc'!A:A,A235,'Data For Calculation - Insuranc'!D:D,"Company",'Data For Calculation - Insuranc'!E:E,"Rollover Comprehensive - 1 Year OD + 1 Year TP")</f>
        <v>0</v>
      </c>
      <c r="AP235" s="34" t="s">
        <v>3931</v>
      </c>
      <c r="AQ235" s="42" t="s">
        <v>3817</v>
      </c>
      <c r="AR235" s="31">
        <v>155.0</v>
      </c>
      <c r="AS235" s="34" t="s">
        <v>3853</v>
      </c>
      <c r="AT235" s="34">
        <v>0.0</v>
      </c>
      <c r="AU235" s="34">
        <v>100.0</v>
      </c>
      <c r="AV235" s="34">
        <v>0.0</v>
      </c>
      <c r="AW235" s="34">
        <v>0.0</v>
      </c>
      <c r="AX235" s="33">
        <f>COUNTIFS('Data For Calculation - Insuranc'!A:A,A235,'Data For Calculation - Insuranc'!D:D,"Individual",'Data For Calculation - Insuranc'!E:E,"Rollover - 1 Year OD Only")</f>
        <v>0</v>
      </c>
      <c r="AY235" s="34" t="s">
        <v>3932</v>
      </c>
      <c r="AZ235" s="42" t="s">
        <v>3817</v>
      </c>
      <c r="BA235" s="31">
        <v>155.0</v>
      </c>
      <c r="BB235" s="34" t="s">
        <v>3853</v>
      </c>
      <c r="BC235" s="34">
        <v>0.0</v>
      </c>
      <c r="BD235" s="34">
        <v>100.0</v>
      </c>
      <c r="BE235" s="34">
        <v>0.0</v>
      </c>
      <c r="BF235" s="34">
        <v>0.0</v>
      </c>
      <c r="BG235" s="33">
        <f>COUNTIFS('Data For Calculation - Insuranc'!A:A,A235,'Data For Calculation - Insuranc'!D:D,"Company",'Data For Calculation - Insuranc'!E:E,"Rollover - 1 Year OD Only")</f>
        <v>0</v>
      </c>
      <c r="BH235" s="34" t="s">
        <v>3931</v>
      </c>
      <c r="BI235" s="42" t="s">
        <v>3817</v>
      </c>
      <c r="BJ235" s="31">
        <v>155.0</v>
      </c>
      <c r="BK235" s="34" t="s">
        <v>3853</v>
      </c>
      <c r="BL235" s="34">
        <v>0.0</v>
      </c>
      <c r="BM235" s="34">
        <v>100.0</v>
      </c>
      <c r="BN235" s="34">
        <v>0.0</v>
      </c>
      <c r="BO235" s="34">
        <v>0.0</v>
      </c>
      <c r="BP235" s="33">
        <f>COUNTIFS('Data For Calculation - Insuranc'!A:A,A235,'Data For Calculation - Insuranc'!D:D,"Individual",'Data For Calculation - Insuranc'!E:E,"Rollover - 1 Year TP Only")</f>
        <v>0</v>
      </c>
      <c r="BQ235" s="34" t="s">
        <v>3932</v>
      </c>
      <c r="BR235" s="42" t="s">
        <v>3817</v>
      </c>
      <c r="BS235" s="31">
        <v>155.0</v>
      </c>
      <c r="BT235" s="34" t="s">
        <v>3853</v>
      </c>
      <c r="BU235" s="34">
        <v>0.0</v>
      </c>
      <c r="BV235" s="34">
        <v>100.0</v>
      </c>
      <c r="BW235" s="34">
        <v>0.0</v>
      </c>
      <c r="BX235" s="34">
        <v>0.0</v>
      </c>
      <c r="BY235" s="33">
        <f>COUNTIFS('Data For Calculation - Insuranc'!A:A,A235,'Data For Calculation - Insuranc'!D:D,"Company",'Data For Calculation - Insuranc'!E:E,"Rollover - 1 Year TP Only")</f>
        <v>0</v>
      </c>
      <c r="BZ235" s="31">
        <f t="shared" si="1"/>
        <v>0</v>
      </c>
      <c r="CA235" s="33">
        <f>SUMIFS('Data For Calculation - Insuranc'!I:I,'Data For Calculation - Insuranc'!$A:$A,$A235)</f>
        <v>0</v>
      </c>
      <c r="CB235" s="33">
        <f>SUMIFS('Data For Calculation - Insuranc'!J:J,'Data For Calculation - Insuranc'!$A:$A,$A235)</f>
        <v>0</v>
      </c>
      <c r="CC235" s="33">
        <f>SUMIFS('Data For Calculation - Insuranc'!K:K,'Data For Calculation - Insuranc'!$A:$A,$A235)</f>
        <v>0</v>
      </c>
      <c r="CD235" s="33">
        <f>IF($CK235 = "Dealer", SUMIFS('Data For Calculation - Insuranc'!I:I,'Data For Calculation - Insuranc'!$B:$B,$A235,'Data For Calculation - Insuranc'!$H:$H,"Master Dealer")) + SUMIFS('Data For Calculation - Insuranc'!I:I,'Data For Calculation - Insuranc'!$A:$A,$A235,'Data For Calculation - Insuranc'!$H:$H,"Self")</f>
        <v>0</v>
      </c>
      <c r="CE235" s="33">
        <f>IF($CK235 = "Dealer", SUMIFS('Data For Calculation - Insuranc'!J:J,'Data For Calculation - Insuranc'!$B:$B,$A235,'Data For Calculation - Insuranc'!$H:$H,"Master Dealer")) + SUMIFS('Data For Calculation - Insuranc'!J:J,'Data For Calculation - Insuranc'!$A:$A,$A235,'Data For Calculation - Insuranc'!$H:$H,"Self")</f>
        <v>0</v>
      </c>
      <c r="CF235" s="33">
        <f>IF($CK235 = "Dealer", SUMIFS('Data For Calculation - Insuranc'!K:K,'Data For Calculation - Insuranc'!$B:$B,$A235,'Data For Calculation - Insuranc'!$H:$H,"Master Dealer")) + SUMIFS('Data For Calculation - Insuranc'!K:K,'Data For Calculation - Insuranc'!$A:$A,$A235,'Data For Calculation - Insuranc'!$H:$H,"Self")</f>
        <v>0</v>
      </c>
      <c r="CG235" s="26" t="str">
        <f>(Sheet1!N235)</f>
        <v>AAA</v>
      </c>
      <c r="CH235" s="26" t="str">
        <f>(Sheet1!O235)</f>
        <v>1AjVyIHPgPw3jscNmkTH1qzR2RokK5FZaJLjeNfOiYAA</v>
      </c>
      <c r="CI235" s="25" t="str">
        <f>(Sheet1!AV235)</f>
        <v/>
      </c>
      <c r="CJ235" s="25" t="str">
        <f>(Sheet1!AW235)</f>
        <v/>
      </c>
      <c r="CK235" s="26" t="str">
        <f>(Sheet1!P235)</f>
        <v>Sub Dealer</v>
      </c>
    </row>
    <row r="236">
      <c r="A236" s="26" t="str">
        <f>(Sheet1!A236)</f>
        <v>1_uE35CAqnGldLOvxOd9EuBeNaRXa3FdEC-O8GGHnflo</v>
      </c>
      <c r="B236" s="26" t="str">
        <f>(Sheet1!B236)</f>
        <v>Deepak automobile (AAA) - Alampur</v>
      </c>
      <c r="C236" s="30" t="str">
        <f>Sheet1!BB236</f>
        <v>No</v>
      </c>
      <c r="D236" s="34" t="s">
        <v>13</v>
      </c>
      <c r="E236" s="34" t="s">
        <v>3821</v>
      </c>
      <c r="F236" s="34" t="s">
        <v>3929</v>
      </c>
      <c r="G236" s="42" t="s">
        <v>3817</v>
      </c>
      <c r="H236" s="47">
        <v>155.0</v>
      </c>
      <c r="I236" s="42" t="s">
        <v>3853</v>
      </c>
      <c r="J236" s="43">
        <v>0.0</v>
      </c>
      <c r="K236" s="43">
        <v>100.0</v>
      </c>
      <c r="L236" s="43">
        <v>0.0</v>
      </c>
      <c r="M236" s="43">
        <v>0.0</v>
      </c>
      <c r="N236" s="33">
        <f>COUNTIFS('Data For Calculation - Insuranc'!A:A,A236,'Data For Calculation - Insuranc'!D:D,"Individual",'Data For Calculation - Insuranc'!E:E,"Bundled - 1 Year OD + 5 Year TP")</f>
        <v>0</v>
      </c>
      <c r="O236" s="34" t="s">
        <v>3930</v>
      </c>
      <c r="P236" s="42" t="s">
        <v>3817</v>
      </c>
      <c r="Q236" s="47">
        <v>155.0</v>
      </c>
      <c r="R236" s="42" t="s">
        <v>3853</v>
      </c>
      <c r="S236" s="43">
        <v>0.0</v>
      </c>
      <c r="T236" s="43">
        <v>100.0</v>
      </c>
      <c r="U236" s="43">
        <v>0.0</v>
      </c>
      <c r="V236" s="43">
        <v>0.0</v>
      </c>
      <c r="W236" s="33">
        <f>COUNTIFS('Data For Calculation - Insuranc'!A:A,A236,'Data For Calculation - Insuranc'!D:D,"Company",'Data For Calculation - Insuranc'!E:E,"Bundled - 1 Year OD + 5 Year TP")</f>
        <v>0</v>
      </c>
      <c r="X236" s="34" t="s">
        <v>3929</v>
      </c>
      <c r="Y236" s="42" t="s">
        <v>3817</v>
      </c>
      <c r="Z236" s="31">
        <v>155.0</v>
      </c>
      <c r="AA236" s="34" t="s">
        <v>3853</v>
      </c>
      <c r="AB236" s="34">
        <v>0.0</v>
      </c>
      <c r="AC236" s="34">
        <v>100.0</v>
      </c>
      <c r="AD236" s="34">
        <v>0.0</v>
      </c>
      <c r="AE236" s="34">
        <v>0.0</v>
      </c>
      <c r="AF236" s="33">
        <f>COUNTIFS('Data For Calculation - Insuranc'!A:A,A236,'Data For Calculation - Insuranc'!D:D,"Individual",'Data For Calculation - Insuranc'!E:E,"Rollover Comprehensive - 1 Year OD + 1 Year TP")</f>
        <v>0</v>
      </c>
      <c r="AG236" s="34" t="s">
        <v>3930</v>
      </c>
      <c r="AH236" s="42" t="s">
        <v>3817</v>
      </c>
      <c r="AI236" s="31">
        <v>155.0</v>
      </c>
      <c r="AJ236" s="34" t="s">
        <v>3853</v>
      </c>
      <c r="AK236" s="34">
        <v>0.0</v>
      </c>
      <c r="AL236" s="34">
        <v>100.0</v>
      </c>
      <c r="AM236" s="34">
        <v>0.0</v>
      </c>
      <c r="AN236" s="34">
        <v>0.0</v>
      </c>
      <c r="AO236" s="33">
        <f>COUNTIFS('Data For Calculation - Insuranc'!A:A,A236,'Data For Calculation - Insuranc'!D:D,"Company",'Data For Calculation - Insuranc'!E:E,"Rollover Comprehensive - 1 Year OD + 1 Year TP")</f>
        <v>0</v>
      </c>
      <c r="AP236" s="34" t="s">
        <v>3931</v>
      </c>
      <c r="AQ236" s="42" t="s">
        <v>3817</v>
      </c>
      <c r="AR236" s="31">
        <v>155.0</v>
      </c>
      <c r="AS236" s="34" t="s">
        <v>3853</v>
      </c>
      <c r="AT236" s="34">
        <v>0.0</v>
      </c>
      <c r="AU236" s="34">
        <v>100.0</v>
      </c>
      <c r="AV236" s="34">
        <v>0.0</v>
      </c>
      <c r="AW236" s="34">
        <v>0.0</v>
      </c>
      <c r="AX236" s="33">
        <f>COUNTIFS('Data For Calculation - Insuranc'!A:A,A236,'Data For Calculation - Insuranc'!D:D,"Individual",'Data For Calculation - Insuranc'!E:E,"Rollover - 1 Year OD Only")</f>
        <v>0</v>
      </c>
      <c r="AY236" s="34" t="s">
        <v>3932</v>
      </c>
      <c r="AZ236" s="42" t="s">
        <v>3817</v>
      </c>
      <c r="BA236" s="31">
        <v>155.0</v>
      </c>
      <c r="BB236" s="34" t="s">
        <v>3853</v>
      </c>
      <c r="BC236" s="34">
        <v>0.0</v>
      </c>
      <c r="BD236" s="34">
        <v>100.0</v>
      </c>
      <c r="BE236" s="34">
        <v>0.0</v>
      </c>
      <c r="BF236" s="34">
        <v>0.0</v>
      </c>
      <c r="BG236" s="33">
        <f>COUNTIFS('Data For Calculation - Insuranc'!A:A,A236,'Data For Calculation - Insuranc'!D:D,"Company",'Data For Calculation - Insuranc'!E:E,"Rollover - 1 Year OD Only")</f>
        <v>0</v>
      </c>
      <c r="BH236" s="34" t="s">
        <v>3931</v>
      </c>
      <c r="BI236" s="42" t="s">
        <v>3817</v>
      </c>
      <c r="BJ236" s="31">
        <v>155.0</v>
      </c>
      <c r="BK236" s="34" t="s">
        <v>3853</v>
      </c>
      <c r="BL236" s="34">
        <v>0.0</v>
      </c>
      <c r="BM236" s="34">
        <v>100.0</v>
      </c>
      <c r="BN236" s="34">
        <v>0.0</v>
      </c>
      <c r="BO236" s="34">
        <v>0.0</v>
      </c>
      <c r="BP236" s="33">
        <f>COUNTIFS('Data For Calculation - Insuranc'!A:A,A236,'Data For Calculation - Insuranc'!D:D,"Individual",'Data For Calculation - Insuranc'!E:E,"Rollover - 1 Year TP Only")</f>
        <v>0</v>
      </c>
      <c r="BQ236" s="34" t="s">
        <v>3932</v>
      </c>
      <c r="BR236" s="42" t="s">
        <v>3817</v>
      </c>
      <c r="BS236" s="31">
        <v>155.0</v>
      </c>
      <c r="BT236" s="34" t="s">
        <v>3853</v>
      </c>
      <c r="BU236" s="34">
        <v>0.0</v>
      </c>
      <c r="BV236" s="34">
        <v>100.0</v>
      </c>
      <c r="BW236" s="34">
        <v>0.0</v>
      </c>
      <c r="BX236" s="34">
        <v>0.0</v>
      </c>
      <c r="BY236" s="33">
        <f>COUNTIFS('Data For Calculation - Insuranc'!A:A,A236,'Data For Calculation - Insuranc'!D:D,"Company",'Data For Calculation - Insuranc'!E:E,"Rollover - 1 Year TP Only")</f>
        <v>0</v>
      </c>
      <c r="BZ236" s="31">
        <f t="shared" si="1"/>
        <v>0</v>
      </c>
      <c r="CA236" s="33">
        <f>SUMIFS('Data For Calculation - Insuranc'!I:I,'Data For Calculation - Insuranc'!$A:$A,$A236)</f>
        <v>0</v>
      </c>
      <c r="CB236" s="33">
        <f>SUMIFS('Data For Calculation - Insuranc'!J:J,'Data For Calculation - Insuranc'!$A:$A,$A236)</f>
        <v>0</v>
      </c>
      <c r="CC236" s="33">
        <f>SUMIFS('Data For Calculation - Insuranc'!K:K,'Data For Calculation - Insuranc'!$A:$A,$A236)</f>
        <v>0</v>
      </c>
      <c r="CD236" s="33">
        <f>IF($CK236 = "Dealer", SUMIFS('Data For Calculation - Insuranc'!I:I,'Data For Calculation - Insuranc'!$B:$B,$A236,'Data For Calculation - Insuranc'!$H:$H,"Master Dealer")) + SUMIFS('Data For Calculation - Insuranc'!I:I,'Data For Calculation - Insuranc'!$A:$A,$A236,'Data For Calculation - Insuranc'!$H:$H,"Self")</f>
        <v>0</v>
      </c>
      <c r="CE236" s="33">
        <f>IF($CK236 = "Dealer", SUMIFS('Data For Calculation - Insuranc'!J:J,'Data For Calculation - Insuranc'!$B:$B,$A236,'Data For Calculation - Insuranc'!$H:$H,"Master Dealer")) + SUMIFS('Data For Calculation - Insuranc'!J:J,'Data For Calculation - Insuranc'!$A:$A,$A236,'Data For Calculation - Insuranc'!$H:$H,"Self")</f>
        <v>0</v>
      </c>
      <c r="CF236" s="33">
        <f>IF($CK236 = "Dealer", SUMIFS('Data For Calculation - Insuranc'!K:K,'Data For Calculation - Insuranc'!$B:$B,$A236,'Data For Calculation - Insuranc'!$H:$H,"Master Dealer")) + SUMIFS('Data For Calculation - Insuranc'!K:K,'Data For Calculation - Insuranc'!$A:$A,$A236,'Data For Calculation - Insuranc'!$H:$H,"Self")</f>
        <v>0</v>
      </c>
      <c r="CG236" s="26" t="str">
        <f>(Sheet1!N236)</f>
        <v>AAA</v>
      </c>
      <c r="CH236" s="26" t="str">
        <f>(Sheet1!O236)</f>
        <v>1AjVyIHPgPw3jscNmkTH1qzR2RokK5FZaJLjeNfOiYAA</v>
      </c>
      <c r="CI236" s="25" t="str">
        <f>(Sheet1!AV236)</f>
        <v/>
      </c>
      <c r="CJ236" s="25" t="str">
        <f>(Sheet1!AW236)</f>
        <v/>
      </c>
      <c r="CK236" s="26" t="str">
        <f>(Sheet1!P236)</f>
        <v>Sub Dealer</v>
      </c>
    </row>
    <row r="237">
      <c r="A237" s="26" t="str">
        <f>(Sheet1!A237)</f>
        <v>1gvaMszi7LB0Gn6vUIkvOZFAnvJ4lHvDAQ1gAHX-11Zk</v>
      </c>
      <c r="B237" s="26" t="str">
        <f>(Sheet1!B237)</f>
        <v>Mahadev auto mobiles (AAA) - Jawan</v>
      </c>
      <c r="C237" s="30" t="str">
        <f>Sheet1!BB237</f>
        <v>No</v>
      </c>
      <c r="D237" s="34" t="s">
        <v>13</v>
      </c>
      <c r="E237" s="34" t="s">
        <v>3821</v>
      </c>
      <c r="F237" s="34" t="s">
        <v>3929</v>
      </c>
      <c r="G237" s="42" t="s">
        <v>3817</v>
      </c>
      <c r="H237" s="47">
        <v>155.0</v>
      </c>
      <c r="I237" s="42" t="s">
        <v>3853</v>
      </c>
      <c r="J237" s="43">
        <v>0.0</v>
      </c>
      <c r="K237" s="43">
        <v>100.0</v>
      </c>
      <c r="L237" s="43">
        <v>0.0</v>
      </c>
      <c r="M237" s="43">
        <v>0.0</v>
      </c>
      <c r="N237" s="33">
        <f>COUNTIFS('Data For Calculation - Insuranc'!A:A,A237,'Data For Calculation - Insuranc'!D:D,"Individual",'Data For Calculation - Insuranc'!E:E,"Bundled - 1 Year OD + 5 Year TP")</f>
        <v>0</v>
      </c>
      <c r="O237" s="34" t="s">
        <v>3930</v>
      </c>
      <c r="P237" s="42" t="s">
        <v>3817</v>
      </c>
      <c r="Q237" s="47">
        <v>155.0</v>
      </c>
      <c r="R237" s="42" t="s">
        <v>3853</v>
      </c>
      <c r="S237" s="43">
        <v>0.0</v>
      </c>
      <c r="T237" s="43">
        <v>100.0</v>
      </c>
      <c r="U237" s="43">
        <v>0.0</v>
      </c>
      <c r="V237" s="43">
        <v>0.0</v>
      </c>
      <c r="W237" s="33">
        <f>COUNTIFS('Data For Calculation - Insuranc'!A:A,A237,'Data For Calculation - Insuranc'!D:D,"Company",'Data For Calculation - Insuranc'!E:E,"Bundled - 1 Year OD + 5 Year TP")</f>
        <v>0</v>
      </c>
      <c r="X237" s="34" t="s">
        <v>3929</v>
      </c>
      <c r="Y237" s="42" t="s">
        <v>3817</v>
      </c>
      <c r="Z237" s="31">
        <v>155.0</v>
      </c>
      <c r="AA237" s="34" t="s">
        <v>3853</v>
      </c>
      <c r="AB237" s="34">
        <v>0.0</v>
      </c>
      <c r="AC237" s="34">
        <v>100.0</v>
      </c>
      <c r="AD237" s="34">
        <v>0.0</v>
      </c>
      <c r="AE237" s="34">
        <v>0.0</v>
      </c>
      <c r="AF237" s="33">
        <f>COUNTIFS('Data For Calculation - Insuranc'!A:A,A237,'Data For Calculation - Insuranc'!D:D,"Individual",'Data For Calculation - Insuranc'!E:E,"Rollover Comprehensive - 1 Year OD + 1 Year TP")</f>
        <v>0</v>
      </c>
      <c r="AG237" s="34" t="s">
        <v>3930</v>
      </c>
      <c r="AH237" s="42" t="s">
        <v>3817</v>
      </c>
      <c r="AI237" s="31">
        <v>155.0</v>
      </c>
      <c r="AJ237" s="34" t="s">
        <v>3853</v>
      </c>
      <c r="AK237" s="34">
        <v>0.0</v>
      </c>
      <c r="AL237" s="34">
        <v>100.0</v>
      </c>
      <c r="AM237" s="34">
        <v>0.0</v>
      </c>
      <c r="AN237" s="34">
        <v>0.0</v>
      </c>
      <c r="AO237" s="33">
        <f>COUNTIFS('Data For Calculation - Insuranc'!A:A,A237,'Data For Calculation - Insuranc'!D:D,"Company",'Data For Calculation - Insuranc'!E:E,"Rollover Comprehensive - 1 Year OD + 1 Year TP")</f>
        <v>0</v>
      </c>
      <c r="AP237" s="34" t="s">
        <v>3931</v>
      </c>
      <c r="AQ237" s="42" t="s">
        <v>3817</v>
      </c>
      <c r="AR237" s="31">
        <v>155.0</v>
      </c>
      <c r="AS237" s="34" t="s">
        <v>3853</v>
      </c>
      <c r="AT237" s="34">
        <v>0.0</v>
      </c>
      <c r="AU237" s="34">
        <v>100.0</v>
      </c>
      <c r="AV237" s="34">
        <v>0.0</v>
      </c>
      <c r="AW237" s="34">
        <v>0.0</v>
      </c>
      <c r="AX237" s="33">
        <f>COUNTIFS('Data For Calculation - Insuranc'!A:A,A237,'Data For Calculation - Insuranc'!D:D,"Individual",'Data For Calculation - Insuranc'!E:E,"Rollover - 1 Year OD Only")</f>
        <v>0</v>
      </c>
      <c r="AY237" s="34" t="s">
        <v>3932</v>
      </c>
      <c r="AZ237" s="42" t="s">
        <v>3817</v>
      </c>
      <c r="BA237" s="31">
        <v>155.0</v>
      </c>
      <c r="BB237" s="34" t="s">
        <v>3853</v>
      </c>
      <c r="BC237" s="34">
        <v>0.0</v>
      </c>
      <c r="BD237" s="34">
        <v>100.0</v>
      </c>
      <c r="BE237" s="34">
        <v>0.0</v>
      </c>
      <c r="BF237" s="34">
        <v>0.0</v>
      </c>
      <c r="BG237" s="33">
        <f>COUNTIFS('Data For Calculation - Insuranc'!A:A,A237,'Data For Calculation - Insuranc'!D:D,"Company",'Data For Calculation - Insuranc'!E:E,"Rollover - 1 Year OD Only")</f>
        <v>0</v>
      </c>
      <c r="BH237" s="34" t="s">
        <v>3931</v>
      </c>
      <c r="BI237" s="42" t="s">
        <v>3817</v>
      </c>
      <c r="BJ237" s="31">
        <v>155.0</v>
      </c>
      <c r="BK237" s="34" t="s">
        <v>3853</v>
      </c>
      <c r="BL237" s="34">
        <v>0.0</v>
      </c>
      <c r="BM237" s="34">
        <v>100.0</v>
      </c>
      <c r="BN237" s="34">
        <v>0.0</v>
      </c>
      <c r="BO237" s="34">
        <v>0.0</v>
      </c>
      <c r="BP237" s="33">
        <f>COUNTIFS('Data For Calculation - Insuranc'!A:A,A237,'Data For Calculation - Insuranc'!D:D,"Individual",'Data For Calculation - Insuranc'!E:E,"Rollover - 1 Year TP Only")</f>
        <v>0</v>
      </c>
      <c r="BQ237" s="34" t="s">
        <v>3932</v>
      </c>
      <c r="BR237" s="42" t="s">
        <v>3817</v>
      </c>
      <c r="BS237" s="31">
        <v>155.0</v>
      </c>
      <c r="BT237" s="34" t="s">
        <v>3853</v>
      </c>
      <c r="BU237" s="34">
        <v>0.0</v>
      </c>
      <c r="BV237" s="34">
        <v>100.0</v>
      </c>
      <c r="BW237" s="34">
        <v>0.0</v>
      </c>
      <c r="BX237" s="34">
        <v>0.0</v>
      </c>
      <c r="BY237" s="33">
        <f>COUNTIFS('Data For Calculation - Insuranc'!A:A,A237,'Data For Calculation - Insuranc'!D:D,"Company",'Data For Calculation - Insuranc'!E:E,"Rollover - 1 Year TP Only")</f>
        <v>0</v>
      </c>
      <c r="BZ237" s="31">
        <f t="shared" si="1"/>
        <v>0</v>
      </c>
      <c r="CA237" s="33">
        <f>SUMIFS('Data For Calculation - Insuranc'!I:I,'Data For Calculation - Insuranc'!$A:$A,$A237)</f>
        <v>0</v>
      </c>
      <c r="CB237" s="33">
        <f>SUMIFS('Data For Calculation - Insuranc'!J:J,'Data For Calculation - Insuranc'!$A:$A,$A237)</f>
        <v>0</v>
      </c>
      <c r="CC237" s="33">
        <f>SUMIFS('Data For Calculation - Insuranc'!K:K,'Data For Calculation - Insuranc'!$A:$A,$A237)</f>
        <v>0</v>
      </c>
      <c r="CD237" s="33">
        <f>IF($CK237 = "Dealer", SUMIFS('Data For Calculation - Insuranc'!I:I,'Data For Calculation - Insuranc'!$B:$B,$A237,'Data For Calculation - Insuranc'!$H:$H,"Master Dealer")) + SUMIFS('Data For Calculation - Insuranc'!I:I,'Data For Calculation - Insuranc'!$A:$A,$A237,'Data For Calculation - Insuranc'!$H:$H,"Self")</f>
        <v>0</v>
      </c>
      <c r="CE237" s="33">
        <f>IF($CK237 = "Dealer", SUMIFS('Data For Calculation - Insuranc'!J:J,'Data For Calculation - Insuranc'!$B:$B,$A237,'Data For Calculation - Insuranc'!$H:$H,"Master Dealer")) + SUMIFS('Data For Calculation - Insuranc'!J:J,'Data For Calculation - Insuranc'!$A:$A,$A237,'Data For Calculation - Insuranc'!$H:$H,"Self")</f>
        <v>0</v>
      </c>
      <c r="CF237" s="33">
        <f>IF($CK237 = "Dealer", SUMIFS('Data For Calculation - Insuranc'!K:K,'Data For Calculation - Insuranc'!$B:$B,$A237,'Data For Calculation - Insuranc'!$H:$H,"Master Dealer")) + SUMIFS('Data For Calculation - Insuranc'!K:K,'Data For Calculation - Insuranc'!$A:$A,$A237,'Data For Calculation - Insuranc'!$H:$H,"Self")</f>
        <v>0</v>
      </c>
      <c r="CG237" s="26" t="str">
        <f>(Sheet1!N237)</f>
        <v>AAA</v>
      </c>
      <c r="CH237" s="26" t="str">
        <f>(Sheet1!O237)</f>
        <v>1AjVyIHPgPw3jscNmkTH1qzR2RokK5FZaJLjeNfOiYAA</v>
      </c>
      <c r="CI237" s="25" t="str">
        <f>(Sheet1!AV237)</f>
        <v/>
      </c>
      <c r="CJ237" s="25" t="str">
        <f>(Sheet1!AW237)</f>
        <v/>
      </c>
      <c r="CK237" s="26" t="str">
        <f>(Sheet1!P237)</f>
        <v>Sub Dealer</v>
      </c>
    </row>
    <row r="238">
      <c r="A238" s="26" t="str">
        <f>(Sheet1!A238)</f>
        <v>1uBXS8-e96xatYz1I0NwbT3MoqNyeJMLj5QciM0dVzK4</v>
      </c>
      <c r="B238" s="26" t="str">
        <f>(Sheet1!B238)</f>
        <v>Shiv Shyam (AAA) - Gorai </v>
      </c>
      <c r="C238" s="30" t="str">
        <f>Sheet1!BB238</f>
        <v>No</v>
      </c>
      <c r="D238" s="34" t="s">
        <v>13</v>
      </c>
      <c r="E238" s="34" t="s">
        <v>3821</v>
      </c>
      <c r="F238" s="34" t="s">
        <v>3929</v>
      </c>
      <c r="G238" s="42" t="s">
        <v>3817</v>
      </c>
      <c r="H238" s="47">
        <v>155.0</v>
      </c>
      <c r="I238" s="42" t="s">
        <v>3853</v>
      </c>
      <c r="J238" s="43">
        <v>0.0</v>
      </c>
      <c r="K238" s="43">
        <v>100.0</v>
      </c>
      <c r="L238" s="43">
        <v>0.0</v>
      </c>
      <c r="M238" s="43">
        <v>0.0</v>
      </c>
      <c r="N238" s="33">
        <f>COUNTIFS('Data For Calculation - Insuranc'!A:A,A238,'Data For Calculation - Insuranc'!D:D,"Individual",'Data For Calculation - Insuranc'!E:E,"Bundled - 1 Year OD + 5 Year TP")</f>
        <v>0</v>
      </c>
      <c r="O238" s="34" t="s">
        <v>3930</v>
      </c>
      <c r="P238" s="42" t="s">
        <v>3817</v>
      </c>
      <c r="Q238" s="47">
        <v>155.0</v>
      </c>
      <c r="R238" s="42" t="s">
        <v>3853</v>
      </c>
      <c r="S238" s="43">
        <v>0.0</v>
      </c>
      <c r="T238" s="43">
        <v>100.0</v>
      </c>
      <c r="U238" s="43">
        <v>0.0</v>
      </c>
      <c r="V238" s="43">
        <v>0.0</v>
      </c>
      <c r="W238" s="33">
        <f>COUNTIFS('Data For Calculation - Insuranc'!A:A,A238,'Data For Calculation - Insuranc'!D:D,"Company",'Data For Calculation - Insuranc'!E:E,"Bundled - 1 Year OD + 5 Year TP")</f>
        <v>0</v>
      </c>
      <c r="X238" s="34" t="s">
        <v>3929</v>
      </c>
      <c r="Y238" s="42" t="s">
        <v>3817</v>
      </c>
      <c r="Z238" s="31">
        <v>155.0</v>
      </c>
      <c r="AA238" s="34" t="s">
        <v>3853</v>
      </c>
      <c r="AB238" s="34">
        <v>0.0</v>
      </c>
      <c r="AC238" s="34">
        <v>100.0</v>
      </c>
      <c r="AD238" s="34">
        <v>0.0</v>
      </c>
      <c r="AE238" s="34">
        <v>0.0</v>
      </c>
      <c r="AF238" s="33">
        <f>COUNTIFS('Data For Calculation - Insuranc'!A:A,A238,'Data For Calculation - Insuranc'!D:D,"Individual",'Data For Calculation - Insuranc'!E:E,"Rollover Comprehensive - 1 Year OD + 1 Year TP")</f>
        <v>0</v>
      </c>
      <c r="AG238" s="34" t="s">
        <v>3930</v>
      </c>
      <c r="AH238" s="42" t="s">
        <v>3817</v>
      </c>
      <c r="AI238" s="31">
        <v>155.0</v>
      </c>
      <c r="AJ238" s="34" t="s">
        <v>3853</v>
      </c>
      <c r="AK238" s="34">
        <v>0.0</v>
      </c>
      <c r="AL238" s="34">
        <v>100.0</v>
      </c>
      <c r="AM238" s="34">
        <v>0.0</v>
      </c>
      <c r="AN238" s="34">
        <v>0.0</v>
      </c>
      <c r="AO238" s="33">
        <f>COUNTIFS('Data For Calculation - Insuranc'!A:A,A238,'Data For Calculation - Insuranc'!D:D,"Company",'Data For Calculation - Insuranc'!E:E,"Rollover Comprehensive - 1 Year OD + 1 Year TP")</f>
        <v>0</v>
      </c>
      <c r="AP238" s="34" t="s">
        <v>3931</v>
      </c>
      <c r="AQ238" s="42" t="s">
        <v>3817</v>
      </c>
      <c r="AR238" s="31">
        <v>155.0</v>
      </c>
      <c r="AS238" s="34" t="s">
        <v>3853</v>
      </c>
      <c r="AT238" s="34">
        <v>0.0</v>
      </c>
      <c r="AU238" s="34">
        <v>100.0</v>
      </c>
      <c r="AV238" s="34">
        <v>0.0</v>
      </c>
      <c r="AW238" s="34">
        <v>0.0</v>
      </c>
      <c r="AX238" s="33">
        <f>COUNTIFS('Data For Calculation - Insuranc'!A:A,A238,'Data For Calculation - Insuranc'!D:D,"Individual",'Data For Calculation - Insuranc'!E:E,"Rollover - 1 Year OD Only")</f>
        <v>0</v>
      </c>
      <c r="AY238" s="34" t="s">
        <v>3932</v>
      </c>
      <c r="AZ238" s="42" t="s">
        <v>3817</v>
      </c>
      <c r="BA238" s="31">
        <v>155.0</v>
      </c>
      <c r="BB238" s="34" t="s">
        <v>3853</v>
      </c>
      <c r="BC238" s="34">
        <v>0.0</v>
      </c>
      <c r="BD238" s="34">
        <v>100.0</v>
      </c>
      <c r="BE238" s="34">
        <v>0.0</v>
      </c>
      <c r="BF238" s="34">
        <v>0.0</v>
      </c>
      <c r="BG238" s="33">
        <f>COUNTIFS('Data For Calculation - Insuranc'!A:A,A238,'Data For Calculation - Insuranc'!D:D,"Company",'Data For Calculation - Insuranc'!E:E,"Rollover - 1 Year OD Only")</f>
        <v>0</v>
      </c>
      <c r="BH238" s="34" t="s">
        <v>3931</v>
      </c>
      <c r="BI238" s="42" t="s">
        <v>3817</v>
      </c>
      <c r="BJ238" s="31">
        <v>155.0</v>
      </c>
      <c r="BK238" s="34" t="s">
        <v>3853</v>
      </c>
      <c r="BL238" s="34">
        <v>0.0</v>
      </c>
      <c r="BM238" s="34">
        <v>100.0</v>
      </c>
      <c r="BN238" s="34">
        <v>0.0</v>
      </c>
      <c r="BO238" s="34">
        <v>0.0</v>
      </c>
      <c r="BP238" s="33">
        <f>COUNTIFS('Data For Calculation - Insuranc'!A:A,A238,'Data For Calculation - Insuranc'!D:D,"Individual",'Data For Calculation - Insuranc'!E:E,"Rollover - 1 Year TP Only")</f>
        <v>0</v>
      </c>
      <c r="BQ238" s="34" t="s">
        <v>3932</v>
      </c>
      <c r="BR238" s="42" t="s">
        <v>3817</v>
      </c>
      <c r="BS238" s="31">
        <v>155.0</v>
      </c>
      <c r="BT238" s="34" t="s">
        <v>3853</v>
      </c>
      <c r="BU238" s="34">
        <v>0.0</v>
      </c>
      <c r="BV238" s="34">
        <v>100.0</v>
      </c>
      <c r="BW238" s="34">
        <v>0.0</v>
      </c>
      <c r="BX238" s="34">
        <v>0.0</v>
      </c>
      <c r="BY238" s="33">
        <f>COUNTIFS('Data For Calculation - Insuranc'!A:A,A238,'Data For Calculation - Insuranc'!D:D,"Company",'Data For Calculation - Insuranc'!E:E,"Rollover - 1 Year TP Only")</f>
        <v>0</v>
      </c>
      <c r="BZ238" s="31">
        <f t="shared" si="1"/>
        <v>0</v>
      </c>
      <c r="CA238" s="33">
        <f>SUMIFS('Data For Calculation - Insuranc'!I:I,'Data For Calculation - Insuranc'!$A:$A,$A238)</f>
        <v>0</v>
      </c>
      <c r="CB238" s="33">
        <f>SUMIFS('Data For Calculation - Insuranc'!J:J,'Data For Calculation - Insuranc'!$A:$A,$A238)</f>
        <v>0</v>
      </c>
      <c r="CC238" s="33">
        <f>SUMIFS('Data For Calculation - Insuranc'!K:K,'Data For Calculation - Insuranc'!$A:$A,$A238)</f>
        <v>0</v>
      </c>
      <c r="CD238" s="33">
        <f>IF($CK238 = "Dealer", SUMIFS('Data For Calculation - Insuranc'!I:I,'Data For Calculation - Insuranc'!$B:$B,$A238,'Data For Calculation - Insuranc'!$H:$H,"Master Dealer")) + SUMIFS('Data For Calculation - Insuranc'!I:I,'Data For Calculation - Insuranc'!$A:$A,$A238,'Data For Calculation - Insuranc'!$H:$H,"Self")</f>
        <v>0</v>
      </c>
      <c r="CE238" s="33">
        <f>IF($CK238 = "Dealer", SUMIFS('Data For Calculation - Insuranc'!J:J,'Data For Calculation - Insuranc'!$B:$B,$A238,'Data For Calculation - Insuranc'!$H:$H,"Master Dealer")) + SUMIFS('Data For Calculation - Insuranc'!J:J,'Data For Calculation - Insuranc'!$A:$A,$A238,'Data For Calculation - Insuranc'!$H:$H,"Self")</f>
        <v>0</v>
      </c>
      <c r="CF238" s="33">
        <f>IF($CK238 = "Dealer", SUMIFS('Data For Calculation - Insuranc'!K:K,'Data For Calculation - Insuranc'!$B:$B,$A238,'Data For Calculation - Insuranc'!$H:$H,"Master Dealer")) + SUMIFS('Data For Calculation - Insuranc'!K:K,'Data For Calculation - Insuranc'!$A:$A,$A238,'Data For Calculation - Insuranc'!$H:$H,"Self")</f>
        <v>0</v>
      </c>
      <c r="CG238" s="26" t="str">
        <f>(Sheet1!N238)</f>
        <v>AAA</v>
      </c>
      <c r="CH238" s="26" t="str">
        <f>(Sheet1!O238)</f>
        <v>1AjVyIHPgPw3jscNmkTH1qzR2RokK5FZaJLjeNfOiYAA</v>
      </c>
      <c r="CI238" s="25" t="str">
        <f>(Sheet1!AV238)</f>
        <v/>
      </c>
      <c r="CJ238" s="25" t="str">
        <f>(Sheet1!AW238)</f>
        <v/>
      </c>
      <c r="CK238" s="26" t="str">
        <f>(Sheet1!P238)</f>
        <v>Sub Dealer</v>
      </c>
    </row>
    <row r="239">
      <c r="A239" s="26" t="str">
        <f>(Sheet1!A239)</f>
        <v>15jnPMaEu2_OeDOATlNJjrJBvmq3ePhgdLWGBHROQJbo</v>
      </c>
      <c r="B239" s="26" t="str">
        <f>(Sheet1!B239)</f>
        <v>PASHANKAR AUTO- PUNE(SD)</v>
      </c>
      <c r="C239" s="30" t="str">
        <f>Sheet1!BB239</f>
        <v>No</v>
      </c>
      <c r="D239" s="34" t="s">
        <v>13</v>
      </c>
      <c r="E239" s="34" t="s">
        <v>13</v>
      </c>
      <c r="F239" s="34" t="s">
        <v>3929</v>
      </c>
      <c r="G239" s="42" t="s">
        <v>3817</v>
      </c>
      <c r="H239" s="43">
        <v>460.0</v>
      </c>
      <c r="I239" s="42" t="s">
        <v>3853</v>
      </c>
      <c r="J239" s="43">
        <v>0.0</v>
      </c>
      <c r="K239" s="43">
        <v>100.0</v>
      </c>
      <c r="L239" s="43">
        <v>0.0</v>
      </c>
      <c r="M239" s="43">
        <v>0.0</v>
      </c>
      <c r="N239" s="33">
        <f>COUNTIFS('Data For Calculation - Insuranc'!A:A,A239,'Data For Calculation - Insuranc'!D:D,"Individual",'Data For Calculation - Insuranc'!E:E,"Bundled - 1 Year OD + 5 Year TP")</f>
        <v>0</v>
      </c>
      <c r="O239" s="34" t="s">
        <v>3930</v>
      </c>
      <c r="P239" s="42" t="s">
        <v>3817</v>
      </c>
      <c r="Q239" s="43">
        <v>460.0</v>
      </c>
      <c r="R239" s="42" t="s">
        <v>3853</v>
      </c>
      <c r="S239" s="43">
        <v>0.0</v>
      </c>
      <c r="T239" s="43">
        <v>100.0</v>
      </c>
      <c r="U239" s="43">
        <v>0.0</v>
      </c>
      <c r="V239" s="43">
        <v>0.0</v>
      </c>
      <c r="W239" s="33">
        <f>COUNTIFS('Data For Calculation - Insuranc'!A:A,A239,'Data For Calculation - Insuranc'!D:D,"Company",'Data For Calculation - Insuranc'!E:E,"Bundled - 1 Year OD + 5 Year TP")</f>
        <v>0</v>
      </c>
      <c r="X239" s="34" t="s">
        <v>3929</v>
      </c>
      <c r="Y239" s="42" t="s">
        <v>3817</v>
      </c>
      <c r="Z239" s="34">
        <v>290.0</v>
      </c>
      <c r="AA239" s="34" t="s">
        <v>3853</v>
      </c>
      <c r="AB239" s="34">
        <v>0.0</v>
      </c>
      <c r="AC239" s="34">
        <v>100.0</v>
      </c>
      <c r="AD239" s="34">
        <v>0.0</v>
      </c>
      <c r="AE239" s="34">
        <v>0.0</v>
      </c>
      <c r="AF239" s="33">
        <f>COUNTIFS('Data For Calculation - Insuranc'!A:A,A239,'Data For Calculation - Insuranc'!D:D,"Individual",'Data For Calculation - Insuranc'!E:E,"Rollover Comprehensive - 1 Year OD + 1 Year TP")</f>
        <v>0</v>
      </c>
      <c r="AG239" s="34" t="s">
        <v>3930</v>
      </c>
      <c r="AH239" s="42" t="s">
        <v>3817</v>
      </c>
      <c r="AI239" s="34">
        <v>290.0</v>
      </c>
      <c r="AJ239" s="34" t="s">
        <v>3853</v>
      </c>
      <c r="AK239" s="34">
        <v>0.0</v>
      </c>
      <c r="AL239" s="34">
        <v>100.0</v>
      </c>
      <c r="AM239" s="34">
        <v>0.0</v>
      </c>
      <c r="AN239" s="34">
        <v>0.0</v>
      </c>
      <c r="AO239" s="33">
        <f>COUNTIFS('Data For Calculation - Insuranc'!A:A,A239,'Data For Calculation - Insuranc'!D:D,"Company",'Data For Calculation - Insuranc'!E:E,"Rollover Comprehensive - 1 Year OD + 1 Year TP")</f>
        <v>0</v>
      </c>
      <c r="AP239" s="34" t="s">
        <v>3931</v>
      </c>
      <c r="AQ239" s="42" t="s">
        <v>3817</v>
      </c>
      <c r="AR239" s="34">
        <v>290.0</v>
      </c>
      <c r="AS239" s="34" t="s">
        <v>3853</v>
      </c>
      <c r="AT239" s="34">
        <v>0.0</v>
      </c>
      <c r="AU239" s="34">
        <v>100.0</v>
      </c>
      <c r="AV239" s="34">
        <v>0.0</v>
      </c>
      <c r="AW239" s="34">
        <v>0.0</v>
      </c>
      <c r="AX239" s="33">
        <f>COUNTIFS('Data For Calculation - Insuranc'!A:A,A239,'Data For Calculation - Insuranc'!D:D,"Individual",'Data For Calculation - Insuranc'!E:E,"Rollover - 1 Year OD Only")</f>
        <v>0</v>
      </c>
      <c r="AY239" s="34" t="s">
        <v>3932</v>
      </c>
      <c r="AZ239" s="42" t="s">
        <v>3817</v>
      </c>
      <c r="BA239" s="34">
        <v>290.0</v>
      </c>
      <c r="BB239" s="34" t="s">
        <v>3853</v>
      </c>
      <c r="BC239" s="34">
        <v>0.0</v>
      </c>
      <c r="BD239" s="34">
        <v>100.0</v>
      </c>
      <c r="BE239" s="34">
        <v>0.0</v>
      </c>
      <c r="BF239" s="34">
        <v>0.0</v>
      </c>
      <c r="BG239" s="33">
        <f>COUNTIFS('Data For Calculation - Insuranc'!A:A,A239,'Data For Calculation - Insuranc'!D:D,"Company",'Data For Calculation - Insuranc'!E:E,"Rollover - 1 Year OD Only")</f>
        <v>0</v>
      </c>
      <c r="BH239" s="34" t="s">
        <v>3931</v>
      </c>
      <c r="BI239" s="42" t="s">
        <v>3817</v>
      </c>
      <c r="BJ239" s="34">
        <v>290.0</v>
      </c>
      <c r="BK239" s="34" t="s">
        <v>3853</v>
      </c>
      <c r="BL239" s="34">
        <v>0.0</v>
      </c>
      <c r="BM239" s="34">
        <v>100.0</v>
      </c>
      <c r="BN239" s="34">
        <v>0.0</v>
      </c>
      <c r="BO239" s="34">
        <v>0.0</v>
      </c>
      <c r="BP239" s="33">
        <f>COUNTIFS('Data For Calculation - Insuranc'!A:A,A239,'Data For Calculation - Insuranc'!D:D,"Individual",'Data For Calculation - Insuranc'!E:E,"Rollover - 1 Year TP Only")</f>
        <v>0</v>
      </c>
      <c r="BQ239" s="34" t="s">
        <v>3932</v>
      </c>
      <c r="BR239" s="42" t="s">
        <v>3817</v>
      </c>
      <c r="BS239" s="34">
        <v>290.0</v>
      </c>
      <c r="BT239" s="34" t="s">
        <v>3853</v>
      </c>
      <c r="BU239" s="34">
        <v>0.0</v>
      </c>
      <c r="BV239" s="34">
        <v>100.0</v>
      </c>
      <c r="BW239" s="34">
        <v>0.0</v>
      </c>
      <c r="BX239" s="34">
        <v>0.0</v>
      </c>
      <c r="BY239" s="33">
        <f>COUNTIFS('Data For Calculation - Insuranc'!A:A,A239,'Data For Calculation - Insuranc'!D:D,"Company",'Data For Calculation - Insuranc'!E:E,"Rollover - 1 Year TP Only")</f>
        <v>0</v>
      </c>
      <c r="BZ239" s="31">
        <f t="shared" si="1"/>
        <v>0</v>
      </c>
      <c r="CA239" s="33">
        <f>SUMIFS('Data For Calculation - Insuranc'!I:I,'Data For Calculation - Insuranc'!$A:$A,$A239)</f>
        <v>0</v>
      </c>
      <c r="CB239" s="33">
        <f>SUMIFS('Data For Calculation - Insuranc'!J:J,'Data For Calculation - Insuranc'!$A:$A,$A239)</f>
        <v>0</v>
      </c>
      <c r="CC239" s="33">
        <f>SUMIFS('Data For Calculation - Insuranc'!K:K,'Data For Calculation - Insuranc'!$A:$A,$A239)</f>
        <v>0</v>
      </c>
      <c r="CD239" s="33">
        <f>IF($CK239 = "Dealer", SUMIFS('Data For Calculation - Insuranc'!I:I,'Data For Calculation - Insuranc'!$B:$B,$A239,'Data For Calculation - Insuranc'!$H:$H,"Master Dealer")) + SUMIFS('Data For Calculation - Insuranc'!I:I,'Data For Calculation - Insuranc'!$A:$A,$A239,'Data For Calculation - Insuranc'!$H:$H,"Self")</f>
        <v>0</v>
      </c>
      <c r="CE239" s="33">
        <f>IF($CK239 = "Dealer", SUMIFS('Data For Calculation - Insuranc'!J:J,'Data For Calculation - Insuranc'!$B:$B,$A239,'Data For Calculation - Insuranc'!$H:$H,"Master Dealer")) + SUMIFS('Data For Calculation - Insuranc'!J:J,'Data For Calculation - Insuranc'!$A:$A,$A239,'Data For Calculation - Insuranc'!$H:$H,"Self")</f>
        <v>0</v>
      </c>
      <c r="CF239" s="33">
        <f>IF($CK239 = "Dealer", SUMIFS('Data For Calculation - Insuranc'!K:K,'Data For Calculation - Insuranc'!$B:$B,$A239,'Data For Calculation - Insuranc'!$H:$H,"Master Dealer")) + SUMIFS('Data For Calculation - Insuranc'!K:K,'Data For Calculation - Insuranc'!$A:$A,$A239,'Data For Calculation - Insuranc'!$H:$H,"Self")</f>
        <v>0</v>
      </c>
      <c r="CG239" s="26" t="str">
        <f>(Sheet1!N239)</f>
        <v>PASHANKAR AUTO- PUNE</v>
      </c>
      <c r="CH239" s="26" t="str">
        <f>(Sheet1!O239)</f>
        <v>1kRyPQWS9rBO-hWXuMRpK-o-u45enSa2VVTYNekPb4kk</v>
      </c>
      <c r="CI239" s="25" t="str">
        <f>(Sheet1!AV239)</f>
        <v/>
      </c>
      <c r="CJ239" s="25" t="str">
        <f>(Sheet1!AW239)</f>
        <v/>
      </c>
      <c r="CK239" s="26" t="str">
        <f>(Sheet1!P239)</f>
        <v>Sub Dealer</v>
      </c>
    </row>
    <row r="240">
      <c r="A240" s="26" t="str">
        <f>(Sheet1!A240)</f>
        <v>1D3-RH4t-FdI5s6mabxVe_emj1BWZlSPFuf3stfCzc8s</v>
      </c>
      <c r="B240" s="26" t="str">
        <f>(Sheet1!B240)</f>
        <v>M.L. MOTORS (KH) -  Gonda</v>
      </c>
      <c r="C240" s="30" t="str">
        <f>Sheet1!BB240</f>
        <v>No</v>
      </c>
      <c r="D240" s="34" t="s">
        <v>13</v>
      </c>
      <c r="E240" s="34" t="s">
        <v>13</v>
      </c>
      <c r="F240" s="34" t="s">
        <v>3929</v>
      </c>
      <c r="G240" s="42" t="s">
        <v>3820</v>
      </c>
      <c r="H240" s="43">
        <v>460.0</v>
      </c>
      <c r="I240" s="42" t="s">
        <v>3853</v>
      </c>
      <c r="J240" s="43">
        <v>0.0</v>
      </c>
      <c r="K240" s="43">
        <v>100.0</v>
      </c>
      <c r="L240" s="43">
        <v>0.0</v>
      </c>
      <c r="M240" s="43">
        <v>0.0</v>
      </c>
      <c r="N240" s="33">
        <f>COUNTIFS('Data For Calculation - Insuranc'!A:A,A240,'Data For Calculation - Insuranc'!D:D,"Individual",'Data For Calculation - Insuranc'!E:E,"Bundled - 1 Year OD + 5 Year TP")</f>
        <v>0</v>
      </c>
      <c r="O240" s="34" t="s">
        <v>3930</v>
      </c>
      <c r="P240" s="42" t="s">
        <v>3820</v>
      </c>
      <c r="Q240" s="43">
        <v>460.0</v>
      </c>
      <c r="R240" s="42" t="s">
        <v>3853</v>
      </c>
      <c r="S240" s="43">
        <v>0.0</v>
      </c>
      <c r="T240" s="43">
        <v>100.0</v>
      </c>
      <c r="U240" s="43">
        <v>0.0</v>
      </c>
      <c r="V240" s="43">
        <v>0.0</v>
      </c>
      <c r="W240" s="33">
        <f>COUNTIFS('Data For Calculation - Insuranc'!A:A,A240,'Data For Calculation - Insuranc'!D:D,"Company",'Data For Calculation - Insuranc'!E:E,"Bundled - 1 Year OD + 5 Year TP")</f>
        <v>0</v>
      </c>
      <c r="X240" s="34" t="s">
        <v>3929</v>
      </c>
      <c r="Y240" s="42" t="s">
        <v>3820</v>
      </c>
      <c r="Z240" s="34">
        <v>205.0</v>
      </c>
      <c r="AA240" s="34" t="s">
        <v>3853</v>
      </c>
      <c r="AB240" s="34">
        <v>0.0</v>
      </c>
      <c r="AC240" s="34">
        <v>100.0</v>
      </c>
      <c r="AD240" s="34">
        <v>0.0</v>
      </c>
      <c r="AE240" s="34">
        <v>0.0</v>
      </c>
      <c r="AF240" s="33">
        <f>COUNTIFS('Data For Calculation - Insuranc'!A:A,A240,'Data For Calculation - Insuranc'!D:D,"Individual",'Data For Calculation - Insuranc'!E:E,"Rollover Comprehensive - 1 Year OD + 1 Year TP")</f>
        <v>0</v>
      </c>
      <c r="AG240" s="34" t="s">
        <v>3930</v>
      </c>
      <c r="AH240" s="42" t="s">
        <v>3820</v>
      </c>
      <c r="AI240" s="34">
        <v>205.0</v>
      </c>
      <c r="AJ240" s="34" t="s">
        <v>3853</v>
      </c>
      <c r="AK240" s="34">
        <v>0.0</v>
      </c>
      <c r="AL240" s="34">
        <v>100.0</v>
      </c>
      <c r="AM240" s="34">
        <v>0.0</v>
      </c>
      <c r="AN240" s="34">
        <v>0.0</v>
      </c>
      <c r="AO240" s="33">
        <f>COUNTIFS('Data For Calculation - Insuranc'!A:A,A240,'Data For Calculation - Insuranc'!D:D,"Company",'Data For Calculation - Insuranc'!E:E,"Rollover Comprehensive - 1 Year OD + 1 Year TP")</f>
        <v>0</v>
      </c>
      <c r="AP240" s="34" t="s">
        <v>3931</v>
      </c>
      <c r="AQ240" s="42" t="s">
        <v>3820</v>
      </c>
      <c r="AR240" s="34">
        <v>205.0</v>
      </c>
      <c r="AS240" s="34" t="s">
        <v>3853</v>
      </c>
      <c r="AT240" s="34">
        <v>0.0</v>
      </c>
      <c r="AU240" s="34">
        <v>100.0</v>
      </c>
      <c r="AV240" s="34">
        <v>0.0</v>
      </c>
      <c r="AW240" s="34">
        <v>0.0</v>
      </c>
      <c r="AX240" s="33">
        <f>COUNTIFS('Data For Calculation - Insuranc'!A:A,A240,'Data For Calculation - Insuranc'!D:D,"Individual",'Data For Calculation - Insuranc'!E:E,"Rollover - 1 Year OD Only")</f>
        <v>0</v>
      </c>
      <c r="AY240" s="34" t="s">
        <v>3932</v>
      </c>
      <c r="AZ240" s="42" t="s">
        <v>3820</v>
      </c>
      <c r="BA240" s="34">
        <v>205.0</v>
      </c>
      <c r="BB240" s="34" t="s">
        <v>3853</v>
      </c>
      <c r="BC240" s="34">
        <v>0.0</v>
      </c>
      <c r="BD240" s="34">
        <v>100.0</v>
      </c>
      <c r="BE240" s="34">
        <v>0.0</v>
      </c>
      <c r="BF240" s="34">
        <v>0.0</v>
      </c>
      <c r="BG240" s="33">
        <f>COUNTIFS('Data For Calculation - Insuranc'!A:A,A240,'Data For Calculation - Insuranc'!D:D,"Company",'Data For Calculation - Insuranc'!E:E,"Rollover - 1 Year OD Only")</f>
        <v>0</v>
      </c>
      <c r="BH240" s="34" t="s">
        <v>3931</v>
      </c>
      <c r="BI240" s="42" t="s">
        <v>3820</v>
      </c>
      <c r="BJ240" s="34">
        <v>205.0</v>
      </c>
      <c r="BK240" s="34" t="s">
        <v>3853</v>
      </c>
      <c r="BL240" s="34">
        <v>0.0</v>
      </c>
      <c r="BM240" s="34">
        <v>100.0</v>
      </c>
      <c r="BN240" s="34">
        <v>0.0</v>
      </c>
      <c r="BO240" s="34">
        <v>0.0</v>
      </c>
      <c r="BP240" s="33">
        <f>COUNTIFS('Data For Calculation - Insuranc'!A:A,A240,'Data For Calculation - Insuranc'!D:D,"Individual",'Data For Calculation - Insuranc'!E:E,"Rollover - 1 Year TP Only")</f>
        <v>0</v>
      </c>
      <c r="BQ240" s="34" t="s">
        <v>3932</v>
      </c>
      <c r="BR240" s="42" t="s">
        <v>3820</v>
      </c>
      <c r="BS240" s="34">
        <v>205.0</v>
      </c>
      <c r="BT240" s="34" t="s">
        <v>3853</v>
      </c>
      <c r="BU240" s="34">
        <v>0.0</v>
      </c>
      <c r="BV240" s="34">
        <v>100.0</v>
      </c>
      <c r="BW240" s="34">
        <v>0.0</v>
      </c>
      <c r="BX240" s="34">
        <v>0.0</v>
      </c>
      <c r="BY240" s="33">
        <f>COUNTIFS('Data For Calculation - Insuranc'!A:A,A240,'Data For Calculation - Insuranc'!D:D,"Company",'Data For Calculation - Insuranc'!E:E,"Rollover - 1 Year TP Only")</f>
        <v>0</v>
      </c>
      <c r="BZ240" s="31">
        <f t="shared" si="1"/>
        <v>0</v>
      </c>
      <c r="CA240" s="33">
        <f>SUMIFS('Data For Calculation - Insuranc'!I:I,'Data For Calculation - Insuranc'!$A:$A,$A240)</f>
        <v>0</v>
      </c>
      <c r="CB240" s="33">
        <f>SUMIFS('Data For Calculation - Insuranc'!J:J,'Data For Calculation - Insuranc'!$A:$A,$A240)</f>
        <v>0</v>
      </c>
      <c r="CC240" s="33">
        <f>SUMIFS('Data For Calculation - Insuranc'!K:K,'Data For Calculation - Insuranc'!$A:$A,$A240)</f>
        <v>0</v>
      </c>
      <c r="CD240" s="33">
        <f>IF($CK240 = "Dealer", SUMIFS('Data For Calculation - Insuranc'!I:I,'Data For Calculation - Insuranc'!$B:$B,$A240,'Data For Calculation - Insuranc'!$H:$H,"Master Dealer")) + SUMIFS('Data For Calculation - Insuranc'!I:I,'Data For Calculation - Insuranc'!$A:$A,$A240,'Data For Calculation - Insuranc'!$H:$H,"Self")</f>
        <v>0</v>
      </c>
      <c r="CE240" s="33">
        <f>IF($CK240 = "Dealer", SUMIFS('Data For Calculation - Insuranc'!J:J,'Data For Calculation - Insuranc'!$B:$B,$A240,'Data For Calculation - Insuranc'!$H:$H,"Master Dealer")) + SUMIFS('Data For Calculation - Insuranc'!J:J,'Data For Calculation - Insuranc'!$A:$A,$A240,'Data For Calculation - Insuranc'!$H:$H,"Self")</f>
        <v>0</v>
      </c>
      <c r="CF240" s="33">
        <f>IF($CK240 = "Dealer", SUMIFS('Data For Calculation - Insuranc'!K:K,'Data For Calculation - Insuranc'!$B:$B,$A240,'Data For Calculation - Insuranc'!$H:$H,"Master Dealer")) + SUMIFS('Data For Calculation - Insuranc'!K:K,'Data For Calculation - Insuranc'!$A:$A,$A240,'Data For Calculation - Insuranc'!$H:$H,"Self")</f>
        <v>0</v>
      </c>
      <c r="CG240" s="26" t="str">
        <f>(Sheet1!N240)</f>
        <v>Kamal Hero - Gonda</v>
      </c>
      <c r="CH240" s="26" t="str">
        <f>(Sheet1!O240)</f>
        <v>1VIUqOp_UXFVjhTtvQswmqJ7NEi8nkGyfHAoJPy-wvSA</v>
      </c>
      <c r="CI240" s="25" t="str">
        <f>(Sheet1!AV240)</f>
        <v/>
      </c>
      <c r="CJ240" s="25" t="str">
        <f>(Sheet1!AW240)</f>
        <v/>
      </c>
      <c r="CK240" s="26" t="str">
        <f>(Sheet1!P240)</f>
        <v>Sub Dealer</v>
      </c>
    </row>
    <row r="241">
      <c r="A241" s="26" t="str">
        <f>(Sheet1!A241)</f>
        <v>1uNRBa-tQr-tK4ljePvXpBlFQNtLdUR6FKNphcYBf9iY</v>
      </c>
      <c r="B241" s="26" t="str">
        <f>(Sheet1!B241)</f>
        <v>BRIJ NEW CPA - MATHURA</v>
      </c>
      <c r="C241" s="30" t="str">
        <f>Sheet1!BB241</f>
        <v>No</v>
      </c>
      <c r="D241" s="34" t="s">
        <v>13</v>
      </c>
      <c r="E241" s="34" t="s">
        <v>13</v>
      </c>
      <c r="F241" s="34" t="s">
        <v>3929</v>
      </c>
      <c r="G241" s="42" t="s">
        <v>3820</v>
      </c>
      <c r="H241" s="43">
        <v>460.0</v>
      </c>
      <c r="I241" s="42" t="s">
        <v>3853</v>
      </c>
      <c r="J241" s="43">
        <v>0.0</v>
      </c>
      <c r="K241" s="43">
        <v>100.0</v>
      </c>
      <c r="L241" s="43">
        <v>0.0</v>
      </c>
      <c r="M241" s="43">
        <v>0.0</v>
      </c>
      <c r="N241" s="33">
        <f>COUNTIFS('Data For Calculation - Insuranc'!A:A,A241,'Data For Calculation - Insuranc'!D:D,"Individual",'Data For Calculation - Insuranc'!E:E,"Bundled - 1 Year OD + 5 Year TP")</f>
        <v>0</v>
      </c>
      <c r="O241" s="34" t="s">
        <v>3930</v>
      </c>
      <c r="P241" s="42" t="s">
        <v>3820</v>
      </c>
      <c r="Q241" s="43">
        <v>460.0</v>
      </c>
      <c r="R241" s="42" t="s">
        <v>3853</v>
      </c>
      <c r="S241" s="43">
        <v>0.0</v>
      </c>
      <c r="T241" s="43">
        <v>100.0</v>
      </c>
      <c r="U241" s="43">
        <v>0.0</v>
      </c>
      <c r="V241" s="43">
        <v>0.0</v>
      </c>
      <c r="W241" s="33">
        <f>COUNTIFS('Data For Calculation - Insuranc'!A:A,A241,'Data For Calculation - Insuranc'!D:D,"Company",'Data For Calculation - Insuranc'!E:E,"Bundled - 1 Year OD + 5 Year TP")</f>
        <v>0</v>
      </c>
      <c r="X241" s="34" t="s">
        <v>3929</v>
      </c>
      <c r="Y241" s="42" t="s">
        <v>3820</v>
      </c>
      <c r="Z241" s="34">
        <v>290.0</v>
      </c>
      <c r="AA241" s="34" t="s">
        <v>3853</v>
      </c>
      <c r="AB241" s="34">
        <v>0.0</v>
      </c>
      <c r="AC241" s="34">
        <v>100.0</v>
      </c>
      <c r="AD241" s="34">
        <v>0.0</v>
      </c>
      <c r="AE241" s="34">
        <v>0.0</v>
      </c>
      <c r="AF241" s="33">
        <f>COUNTIFS('Data For Calculation - Insuranc'!A:A,A241,'Data For Calculation - Insuranc'!D:D,"Individual",'Data For Calculation - Insuranc'!E:E,"Rollover Comprehensive - 1 Year OD + 1 Year TP")</f>
        <v>0</v>
      </c>
      <c r="AG241" s="34" t="s">
        <v>3930</v>
      </c>
      <c r="AH241" s="42" t="s">
        <v>3820</v>
      </c>
      <c r="AI241" s="34">
        <v>290.0</v>
      </c>
      <c r="AJ241" s="34" t="s">
        <v>3853</v>
      </c>
      <c r="AK241" s="34">
        <v>0.0</v>
      </c>
      <c r="AL241" s="34">
        <v>100.0</v>
      </c>
      <c r="AM241" s="34">
        <v>0.0</v>
      </c>
      <c r="AN241" s="34">
        <v>0.0</v>
      </c>
      <c r="AO241" s="33">
        <f>COUNTIFS('Data For Calculation - Insuranc'!A:A,A241,'Data For Calculation - Insuranc'!D:D,"Company",'Data For Calculation - Insuranc'!E:E,"Rollover Comprehensive - 1 Year OD + 1 Year TP")</f>
        <v>0</v>
      </c>
      <c r="AP241" s="34" t="s">
        <v>3931</v>
      </c>
      <c r="AQ241" s="42" t="s">
        <v>3820</v>
      </c>
      <c r="AR241" s="34">
        <v>290.0</v>
      </c>
      <c r="AS241" s="34" t="s">
        <v>3853</v>
      </c>
      <c r="AT241" s="34">
        <v>0.0</v>
      </c>
      <c r="AU241" s="34">
        <v>100.0</v>
      </c>
      <c r="AV241" s="34">
        <v>0.0</v>
      </c>
      <c r="AW241" s="34">
        <v>0.0</v>
      </c>
      <c r="AX241" s="33">
        <f>COUNTIFS('Data For Calculation - Insuranc'!A:A,A241,'Data For Calculation - Insuranc'!D:D,"Individual",'Data For Calculation - Insuranc'!E:E,"Rollover - 1 Year OD Only")</f>
        <v>0</v>
      </c>
      <c r="AY241" s="34" t="s">
        <v>3932</v>
      </c>
      <c r="AZ241" s="42" t="s">
        <v>3820</v>
      </c>
      <c r="BA241" s="34">
        <v>290.0</v>
      </c>
      <c r="BB241" s="34" t="s">
        <v>3853</v>
      </c>
      <c r="BC241" s="34">
        <v>0.0</v>
      </c>
      <c r="BD241" s="34">
        <v>100.0</v>
      </c>
      <c r="BE241" s="34">
        <v>0.0</v>
      </c>
      <c r="BF241" s="34">
        <v>0.0</v>
      </c>
      <c r="BG241" s="33">
        <f>COUNTIFS('Data For Calculation - Insuranc'!A:A,A241,'Data For Calculation - Insuranc'!D:D,"Company",'Data For Calculation - Insuranc'!E:E,"Rollover - 1 Year OD Only")</f>
        <v>0</v>
      </c>
      <c r="BH241" s="34" t="s">
        <v>3931</v>
      </c>
      <c r="BI241" s="42" t="s">
        <v>3820</v>
      </c>
      <c r="BJ241" s="34">
        <v>290.0</v>
      </c>
      <c r="BK241" s="34" t="s">
        <v>3853</v>
      </c>
      <c r="BL241" s="34">
        <v>0.0</v>
      </c>
      <c r="BM241" s="34">
        <v>100.0</v>
      </c>
      <c r="BN241" s="34">
        <v>0.0</v>
      </c>
      <c r="BO241" s="34">
        <v>0.0</v>
      </c>
      <c r="BP241" s="33">
        <f>COUNTIFS('Data For Calculation - Insuranc'!A:A,A241,'Data For Calculation - Insuranc'!D:D,"Individual",'Data For Calculation - Insuranc'!E:E,"Rollover - 1 Year TP Only")</f>
        <v>0</v>
      </c>
      <c r="BQ241" s="34" t="s">
        <v>3932</v>
      </c>
      <c r="BR241" s="42" t="s">
        <v>3820</v>
      </c>
      <c r="BS241" s="34">
        <v>290.0</v>
      </c>
      <c r="BT241" s="34" t="s">
        <v>3853</v>
      </c>
      <c r="BU241" s="34">
        <v>0.0</v>
      </c>
      <c r="BV241" s="34">
        <v>100.0</v>
      </c>
      <c r="BW241" s="34">
        <v>0.0</v>
      </c>
      <c r="BX241" s="34">
        <v>0.0</v>
      </c>
      <c r="BY241" s="33">
        <f>COUNTIFS('Data For Calculation - Insuranc'!A:A,A241,'Data For Calculation - Insuranc'!D:D,"Company",'Data For Calculation - Insuranc'!E:E,"Rollover - 1 Year TP Only")</f>
        <v>0</v>
      </c>
      <c r="BZ241" s="31">
        <f t="shared" si="1"/>
        <v>0</v>
      </c>
      <c r="CA241" s="33">
        <f>SUMIFS('Data For Calculation - Insuranc'!I:I,'Data For Calculation - Insuranc'!$A:$A,$A241)</f>
        <v>0</v>
      </c>
      <c r="CB241" s="33">
        <f>SUMIFS('Data For Calculation - Insuranc'!J:J,'Data For Calculation - Insuranc'!$A:$A,$A241)</f>
        <v>0</v>
      </c>
      <c r="CC241" s="33">
        <f>SUMIFS('Data For Calculation - Insuranc'!K:K,'Data For Calculation - Insuranc'!$A:$A,$A241)</f>
        <v>0</v>
      </c>
      <c r="CD241" s="33">
        <f>IF($CK241 = "Dealer", SUMIFS('Data For Calculation - Insuranc'!I:I,'Data For Calculation - Insuranc'!$B:$B,$A241,'Data For Calculation - Insuranc'!$H:$H,"Master Dealer")) + SUMIFS('Data For Calculation - Insuranc'!I:I,'Data For Calculation - Insuranc'!$A:$A,$A241,'Data For Calculation - Insuranc'!$H:$H,"Self")</f>
        <v>0</v>
      </c>
      <c r="CE241" s="33">
        <f>IF($CK241 = "Dealer", SUMIFS('Data For Calculation - Insuranc'!J:J,'Data For Calculation - Insuranc'!$B:$B,$A241,'Data For Calculation - Insuranc'!$H:$H,"Master Dealer")) + SUMIFS('Data For Calculation - Insuranc'!J:J,'Data For Calculation - Insuranc'!$A:$A,$A241,'Data For Calculation - Insuranc'!$H:$H,"Self")</f>
        <v>0</v>
      </c>
      <c r="CF241" s="33">
        <f>IF($CK241 = "Dealer", SUMIFS('Data For Calculation - Insuranc'!K:K,'Data For Calculation - Insuranc'!$B:$B,$A241,'Data For Calculation - Insuranc'!$H:$H,"Master Dealer")) + SUMIFS('Data For Calculation - Insuranc'!K:K,'Data For Calculation - Insuranc'!$A:$A,$A241,'Data For Calculation - Insuranc'!$H:$H,"Self")</f>
        <v>0</v>
      </c>
      <c r="CG241" s="26" t="str">
        <f>(Sheet1!N241)</f>
        <v>Brij Biwheelers</v>
      </c>
      <c r="CH241" s="26" t="str">
        <f>(Sheet1!O241)</f>
        <v>1ytBGcO8tIze81xKkAa9lWDcflthsPL6SuADAXbhmuwA</v>
      </c>
      <c r="CI241" s="25" t="str">
        <f>(Sheet1!AV241)</f>
        <v/>
      </c>
      <c r="CJ241" s="25" t="str">
        <f>(Sheet1!AW241)</f>
        <v/>
      </c>
      <c r="CK241" s="26" t="str">
        <f>(Sheet1!P241)</f>
        <v>Sub Dealer</v>
      </c>
    </row>
    <row r="242">
      <c r="A242" s="26" t="str">
        <f>(Sheet1!A242)</f>
        <v>1WZ3iIAbNB5bzglH4XYG8P38qAiheukTawTpLVIGfqb8</v>
      </c>
      <c r="B242" s="26" t="str">
        <f>(Sheet1!B242)</f>
        <v>GAURAV SHARMA (BBW)- SONKH</v>
      </c>
      <c r="C242" s="30" t="str">
        <f>Sheet1!BB242</f>
        <v>No</v>
      </c>
      <c r="D242" s="34" t="s">
        <v>13</v>
      </c>
      <c r="E242" s="34" t="s">
        <v>13</v>
      </c>
      <c r="F242" s="34" t="s">
        <v>3929</v>
      </c>
      <c r="G242" s="42" t="s">
        <v>3820</v>
      </c>
      <c r="H242" s="43">
        <v>460.0</v>
      </c>
      <c r="I242" s="42" t="s">
        <v>3853</v>
      </c>
      <c r="J242" s="43">
        <v>0.0</v>
      </c>
      <c r="K242" s="43">
        <v>100.0</v>
      </c>
      <c r="L242" s="43">
        <v>0.0</v>
      </c>
      <c r="M242" s="43">
        <v>0.0</v>
      </c>
      <c r="N242" s="33">
        <f>COUNTIFS('Data For Calculation - Insuranc'!A:A,A242,'Data For Calculation - Insuranc'!D:D,"Individual",'Data For Calculation - Insuranc'!E:E,"Bundled - 1 Year OD + 5 Year TP")</f>
        <v>0</v>
      </c>
      <c r="O242" s="34" t="s">
        <v>3930</v>
      </c>
      <c r="P242" s="42" t="s">
        <v>3820</v>
      </c>
      <c r="Q242" s="43">
        <v>460.0</v>
      </c>
      <c r="R242" s="42" t="s">
        <v>3853</v>
      </c>
      <c r="S242" s="43">
        <v>0.0</v>
      </c>
      <c r="T242" s="43">
        <v>100.0</v>
      </c>
      <c r="U242" s="43">
        <v>0.0</v>
      </c>
      <c r="V242" s="43">
        <v>0.0</v>
      </c>
      <c r="W242" s="33">
        <f>COUNTIFS('Data For Calculation - Insuranc'!A:A,A242,'Data For Calculation - Insuranc'!D:D,"Company",'Data For Calculation - Insuranc'!E:E,"Bundled - 1 Year OD + 5 Year TP")</f>
        <v>0</v>
      </c>
      <c r="X242" s="34" t="s">
        <v>3929</v>
      </c>
      <c r="Y242" s="42" t="s">
        <v>3820</v>
      </c>
      <c r="Z242" s="34">
        <v>290.0</v>
      </c>
      <c r="AA242" s="34" t="s">
        <v>3853</v>
      </c>
      <c r="AB242" s="34">
        <v>0.0</v>
      </c>
      <c r="AC242" s="34">
        <v>100.0</v>
      </c>
      <c r="AD242" s="34">
        <v>0.0</v>
      </c>
      <c r="AE242" s="34">
        <v>0.0</v>
      </c>
      <c r="AF242" s="33">
        <f>COUNTIFS('Data For Calculation - Insuranc'!A:A,A242,'Data For Calculation - Insuranc'!D:D,"Individual",'Data For Calculation - Insuranc'!E:E,"Rollover Comprehensive - 1 Year OD + 1 Year TP")</f>
        <v>0</v>
      </c>
      <c r="AG242" s="34" t="s">
        <v>3930</v>
      </c>
      <c r="AH242" s="42" t="s">
        <v>3820</v>
      </c>
      <c r="AI242" s="34">
        <v>290.0</v>
      </c>
      <c r="AJ242" s="34" t="s">
        <v>3853</v>
      </c>
      <c r="AK242" s="34">
        <v>0.0</v>
      </c>
      <c r="AL242" s="34">
        <v>100.0</v>
      </c>
      <c r="AM242" s="34">
        <v>0.0</v>
      </c>
      <c r="AN242" s="34">
        <v>0.0</v>
      </c>
      <c r="AO242" s="33">
        <f>COUNTIFS('Data For Calculation - Insuranc'!A:A,A242,'Data For Calculation - Insuranc'!D:D,"Company",'Data For Calculation - Insuranc'!E:E,"Rollover Comprehensive - 1 Year OD + 1 Year TP")</f>
        <v>0</v>
      </c>
      <c r="AP242" s="34" t="s">
        <v>3931</v>
      </c>
      <c r="AQ242" s="42" t="s">
        <v>3820</v>
      </c>
      <c r="AR242" s="34">
        <v>290.0</v>
      </c>
      <c r="AS242" s="34" t="s">
        <v>3853</v>
      </c>
      <c r="AT242" s="34">
        <v>0.0</v>
      </c>
      <c r="AU242" s="34">
        <v>100.0</v>
      </c>
      <c r="AV242" s="34">
        <v>0.0</v>
      </c>
      <c r="AW242" s="34">
        <v>0.0</v>
      </c>
      <c r="AX242" s="33">
        <f>COUNTIFS('Data For Calculation - Insuranc'!A:A,A242,'Data For Calculation - Insuranc'!D:D,"Individual",'Data For Calculation - Insuranc'!E:E,"Rollover - 1 Year OD Only")</f>
        <v>0</v>
      </c>
      <c r="AY242" s="34" t="s">
        <v>3932</v>
      </c>
      <c r="AZ242" s="42" t="s">
        <v>3820</v>
      </c>
      <c r="BA242" s="34">
        <v>290.0</v>
      </c>
      <c r="BB242" s="34" t="s">
        <v>3853</v>
      </c>
      <c r="BC242" s="34">
        <v>0.0</v>
      </c>
      <c r="BD242" s="34">
        <v>100.0</v>
      </c>
      <c r="BE242" s="34">
        <v>0.0</v>
      </c>
      <c r="BF242" s="34">
        <v>0.0</v>
      </c>
      <c r="BG242" s="33">
        <f>COUNTIFS('Data For Calculation - Insuranc'!A:A,A242,'Data For Calculation - Insuranc'!D:D,"Company",'Data For Calculation - Insuranc'!E:E,"Rollover - 1 Year OD Only")</f>
        <v>0</v>
      </c>
      <c r="BH242" s="34" t="s">
        <v>3931</v>
      </c>
      <c r="BI242" s="42" t="s">
        <v>3820</v>
      </c>
      <c r="BJ242" s="34">
        <v>290.0</v>
      </c>
      <c r="BK242" s="34" t="s">
        <v>3853</v>
      </c>
      <c r="BL242" s="34">
        <v>0.0</v>
      </c>
      <c r="BM242" s="34">
        <v>100.0</v>
      </c>
      <c r="BN242" s="34">
        <v>0.0</v>
      </c>
      <c r="BO242" s="34">
        <v>0.0</v>
      </c>
      <c r="BP242" s="33">
        <f>COUNTIFS('Data For Calculation - Insuranc'!A:A,A242,'Data For Calculation - Insuranc'!D:D,"Individual",'Data For Calculation - Insuranc'!E:E,"Rollover - 1 Year TP Only")</f>
        <v>0</v>
      </c>
      <c r="BQ242" s="34" t="s">
        <v>3932</v>
      </c>
      <c r="BR242" s="42" t="s">
        <v>3820</v>
      </c>
      <c r="BS242" s="34">
        <v>290.0</v>
      </c>
      <c r="BT242" s="34" t="s">
        <v>3853</v>
      </c>
      <c r="BU242" s="34">
        <v>0.0</v>
      </c>
      <c r="BV242" s="34">
        <v>100.0</v>
      </c>
      <c r="BW242" s="34">
        <v>0.0</v>
      </c>
      <c r="BX242" s="34">
        <v>0.0</v>
      </c>
      <c r="BY242" s="33">
        <f>COUNTIFS('Data For Calculation - Insuranc'!A:A,A242,'Data For Calculation - Insuranc'!D:D,"Company",'Data For Calculation - Insuranc'!E:E,"Rollover - 1 Year TP Only")</f>
        <v>0</v>
      </c>
      <c r="BZ242" s="31">
        <f t="shared" si="1"/>
        <v>0</v>
      </c>
      <c r="CA242" s="33">
        <f>SUMIFS('Data For Calculation - Insuranc'!I:I,'Data For Calculation - Insuranc'!$A:$A,$A242)</f>
        <v>0</v>
      </c>
      <c r="CB242" s="33">
        <f>SUMIFS('Data For Calculation - Insuranc'!J:J,'Data For Calculation - Insuranc'!$A:$A,$A242)</f>
        <v>0</v>
      </c>
      <c r="CC242" s="33">
        <f>SUMIFS('Data For Calculation - Insuranc'!K:K,'Data For Calculation - Insuranc'!$A:$A,$A242)</f>
        <v>0</v>
      </c>
      <c r="CD242" s="33">
        <f>IF($CK242 = "Dealer", SUMIFS('Data For Calculation - Insuranc'!I:I,'Data For Calculation - Insuranc'!$B:$B,$A242,'Data For Calculation - Insuranc'!$H:$H,"Master Dealer")) + SUMIFS('Data For Calculation - Insuranc'!I:I,'Data For Calculation - Insuranc'!$A:$A,$A242,'Data For Calculation - Insuranc'!$H:$H,"Self")</f>
        <v>0</v>
      </c>
      <c r="CE242" s="33">
        <f>IF($CK242 = "Dealer", SUMIFS('Data For Calculation - Insuranc'!J:J,'Data For Calculation - Insuranc'!$B:$B,$A242,'Data For Calculation - Insuranc'!$H:$H,"Master Dealer")) + SUMIFS('Data For Calculation - Insuranc'!J:J,'Data For Calculation - Insuranc'!$A:$A,$A242,'Data For Calculation - Insuranc'!$H:$H,"Self")</f>
        <v>0</v>
      </c>
      <c r="CF242" s="33">
        <f>IF($CK242 = "Dealer", SUMIFS('Data For Calculation - Insuranc'!K:K,'Data For Calculation - Insuranc'!$B:$B,$A242,'Data For Calculation - Insuranc'!$H:$H,"Master Dealer")) + SUMIFS('Data For Calculation - Insuranc'!K:K,'Data For Calculation - Insuranc'!$A:$A,$A242,'Data For Calculation - Insuranc'!$H:$H,"Self")</f>
        <v>0</v>
      </c>
      <c r="CG242" s="26" t="str">
        <f>(Sheet1!N242)</f>
        <v>Brij Biwheelers</v>
      </c>
      <c r="CH242" s="26" t="str">
        <f>(Sheet1!O242)</f>
        <v>1ytBGcO8tIze81xKkAa9lWDcflthsPL6SuADAXbhmuwA</v>
      </c>
      <c r="CI242" s="25" t="str">
        <f>(Sheet1!AV242)</f>
        <v/>
      </c>
      <c r="CJ242" s="25" t="str">
        <f>(Sheet1!AW242)</f>
        <v/>
      </c>
      <c r="CK242" s="26" t="str">
        <f>(Sheet1!P242)</f>
        <v>Sub Dealer</v>
      </c>
    </row>
    <row r="243">
      <c r="A243" s="26" t="str">
        <f>(Sheet1!A243)</f>
        <v>1N2nhUlQIv8rArpkobd5RsjT5bHurvDy7GgSqr-hveAE</v>
      </c>
      <c r="B243" s="26" t="str">
        <f>(Sheet1!B243)</f>
        <v>MADAR AUTOMOBILE - CHAURE BAZAR</v>
      </c>
      <c r="C243" s="30" t="str">
        <f>Sheet1!BB243</f>
        <v>No</v>
      </c>
      <c r="D243" s="34" t="s">
        <v>13</v>
      </c>
      <c r="E243" s="34" t="s">
        <v>13</v>
      </c>
      <c r="F243" s="34" t="s">
        <v>3929</v>
      </c>
      <c r="G243" s="42" t="s">
        <v>3820</v>
      </c>
      <c r="H243" s="43">
        <v>375.0</v>
      </c>
      <c r="I243" s="42" t="s">
        <v>3853</v>
      </c>
      <c r="J243" s="43">
        <v>0.0</v>
      </c>
      <c r="K243" s="43">
        <v>100.0</v>
      </c>
      <c r="L243" s="43">
        <v>0.0</v>
      </c>
      <c r="M243" s="43">
        <v>0.0</v>
      </c>
      <c r="N243" s="33">
        <f>COUNTIFS('Data For Calculation - Insuranc'!A:A,A243,'Data For Calculation - Insuranc'!D:D,"Individual",'Data For Calculation - Insuranc'!E:E,"Bundled - 1 Year OD + 5 Year TP")</f>
        <v>0</v>
      </c>
      <c r="O243" s="34" t="s">
        <v>3930</v>
      </c>
      <c r="P243" s="42" t="s">
        <v>3820</v>
      </c>
      <c r="Q243" s="43">
        <v>375.0</v>
      </c>
      <c r="R243" s="42" t="s">
        <v>3853</v>
      </c>
      <c r="S243" s="43">
        <v>0.0</v>
      </c>
      <c r="T243" s="43">
        <v>100.0</v>
      </c>
      <c r="U243" s="43">
        <v>0.0</v>
      </c>
      <c r="V243" s="43">
        <v>0.0</v>
      </c>
      <c r="W243" s="33">
        <f>COUNTIFS('Data For Calculation - Insuranc'!A:A,A243,'Data For Calculation - Insuranc'!D:D,"Company",'Data For Calculation - Insuranc'!E:E,"Bundled - 1 Year OD + 5 Year TP")</f>
        <v>0</v>
      </c>
      <c r="X243" s="34" t="s">
        <v>3929</v>
      </c>
      <c r="Y243" s="42" t="s">
        <v>3820</v>
      </c>
      <c r="Z243" s="34">
        <v>290.0</v>
      </c>
      <c r="AA243" s="34" t="s">
        <v>3853</v>
      </c>
      <c r="AB243" s="34">
        <v>0.0</v>
      </c>
      <c r="AC243" s="34">
        <v>100.0</v>
      </c>
      <c r="AD243" s="34">
        <v>0.0</v>
      </c>
      <c r="AE243" s="34">
        <v>0.0</v>
      </c>
      <c r="AF243" s="33">
        <f>COUNTIFS('Data For Calculation - Insuranc'!A:A,A243,'Data For Calculation - Insuranc'!D:D,"Individual",'Data For Calculation - Insuranc'!E:E,"Rollover Comprehensive - 1 Year OD + 1 Year TP")</f>
        <v>0</v>
      </c>
      <c r="AG243" s="34" t="s">
        <v>3930</v>
      </c>
      <c r="AH243" s="42" t="s">
        <v>3820</v>
      </c>
      <c r="AI243" s="34">
        <v>290.0</v>
      </c>
      <c r="AJ243" s="34" t="s">
        <v>3853</v>
      </c>
      <c r="AK243" s="34">
        <v>0.0</v>
      </c>
      <c r="AL243" s="34">
        <v>100.0</v>
      </c>
      <c r="AM243" s="34">
        <v>0.0</v>
      </c>
      <c r="AN243" s="34">
        <v>0.0</v>
      </c>
      <c r="AO243" s="33">
        <f>COUNTIFS('Data For Calculation - Insuranc'!A:A,A243,'Data For Calculation - Insuranc'!D:D,"Company",'Data For Calculation - Insuranc'!E:E,"Rollover Comprehensive - 1 Year OD + 1 Year TP")</f>
        <v>0</v>
      </c>
      <c r="AP243" s="34" t="s">
        <v>3931</v>
      </c>
      <c r="AQ243" s="42" t="s">
        <v>3820</v>
      </c>
      <c r="AR243" s="34">
        <v>290.0</v>
      </c>
      <c r="AS243" s="34" t="s">
        <v>3853</v>
      </c>
      <c r="AT243" s="34">
        <v>0.0</v>
      </c>
      <c r="AU243" s="34">
        <v>100.0</v>
      </c>
      <c r="AV243" s="34">
        <v>0.0</v>
      </c>
      <c r="AW243" s="34">
        <v>0.0</v>
      </c>
      <c r="AX243" s="33">
        <f>COUNTIFS('Data For Calculation - Insuranc'!A:A,A243,'Data For Calculation - Insuranc'!D:D,"Individual",'Data For Calculation - Insuranc'!E:E,"Rollover - 1 Year OD Only")</f>
        <v>0</v>
      </c>
      <c r="AY243" s="34" t="s">
        <v>3932</v>
      </c>
      <c r="AZ243" s="42" t="s">
        <v>3820</v>
      </c>
      <c r="BA243" s="34">
        <v>290.0</v>
      </c>
      <c r="BB243" s="34" t="s">
        <v>3853</v>
      </c>
      <c r="BC243" s="34">
        <v>0.0</v>
      </c>
      <c r="BD243" s="34">
        <v>100.0</v>
      </c>
      <c r="BE243" s="34">
        <v>0.0</v>
      </c>
      <c r="BF243" s="34">
        <v>0.0</v>
      </c>
      <c r="BG243" s="33">
        <f>COUNTIFS('Data For Calculation - Insuranc'!A:A,A243,'Data For Calculation - Insuranc'!D:D,"Company",'Data For Calculation - Insuranc'!E:E,"Rollover - 1 Year OD Only")</f>
        <v>0</v>
      </c>
      <c r="BH243" s="34" t="s">
        <v>3931</v>
      </c>
      <c r="BI243" s="42" t="s">
        <v>3820</v>
      </c>
      <c r="BJ243" s="34">
        <v>290.0</v>
      </c>
      <c r="BK243" s="34" t="s">
        <v>3853</v>
      </c>
      <c r="BL243" s="34">
        <v>0.0</v>
      </c>
      <c r="BM243" s="34">
        <v>100.0</v>
      </c>
      <c r="BN243" s="34">
        <v>0.0</v>
      </c>
      <c r="BO243" s="34">
        <v>0.0</v>
      </c>
      <c r="BP243" s="33">
        <f>COUNTIFS('Data For Calculation - Insuranc'!A:A,A243,'Data For Calculation - Insuranc'!D:D,"Individual",'Data For Calculation - Insuranc'!E:E,"Rollover - 1 Year TP Only")</f>
        <v>0</v>
      </c>
      <c r="BQ243" s="34" t="s">
        <v>3932</v>
      </c>
      <c r="BR243" s="42" t="s">
        <v>3820</v>
      </c>
      <c r="BS243" s="34">
        <v>290.0</v>
      </c>
      <c r="BT243" s="34" t="s">
        <v>3853</v>
      </c>
      <c r="BU243" s="34">
        <v>0.0</v>
      </c>
      <c r="BV243" s="34">
        <v>100.0</v>
      </c>
      <c r="BW243" s="34">
        <v>0.0</v>
      </c>
      <c r="BX243" s="34">
        <v>0.0</v>
      </c>
      <c r="BY243" s="33">
        <f>COUNTIFS('Data For Calculation - Insuranc'!A:A,A243,'Data For Calculation - Insuranc'!D:D,"Company",'Data For Calculation - Insuranc'!E:E,"Rollover - 1 Year TP Only")</f>
        <v>0</v>
      </c>
      <c r="BZ243" s="31">
        <f t="shared" si="1"/>
        <v>0</v>
      </c>
      <c r="CA243" s="33">
        <f>SUMIFS('Data For Calculation - Insuranc'!I:I,'Data For Calculation - Insuranc'!$A:$A,$A243)</f>
        <v>0</v>
      </c>
      <c r="CB243" s="33">
        <f>SUMIFS('Data For Calculation - Insuranc'!J:J,'Data For Calculation - Insuranc'!$A:$A,$A243)</f>
        <v>0</v>
      </c>
      <c r="CC243" s="33">
        <f>SUMIFS('Data For Calculation - Insuranc'!K:K,'Data For Calculation - Insuranc'!$A:$A,$A243)</f>
        <v>0</v>
      </c>
      <c r="CD243" s="33">
        <f>IF($CK243 = "Dealer", SUMIFS('Data For Calculation - Insuranc'!I:I,'Data For Calculation - Insuranc'!$B:$B,$A243,'Data For Calculation - Insuranc'!$H:$H,"Master Dealer")) + SUMIFS('Data For Calculation - Insuranc'!I:I,'Data For Calculation - Insuranc'!$A:$A,$A243,'Data For Calculation - Insuranc'!$H:$H,"Self")</f>
        <v>0</v>
      </c>
      <c r="CE243" s="33">
        <f>IF($CK243 = "Dealer", SUMIFS('Data For Calculation - Insuranc'!J:J,'Data For Calculation - Insuranc'!$B:$B,$A243,'Data For Calculation - Insuranc'!$H:$H,"Master Dealer")) + SUMIFS('Data For Calculation - Insuranc'!J:J,'Data For Calculation - Insuranc'!$A:$A,$A243,'Data For Calculation - Insuranc'!$H:$H,"Self")</f>
        <v>0</v>
      </c>
      <c r="CF243" s="33">
        <f>IF($CK243 = "Dealer", SUMIFS('Data For Calculation - Insuranc'!K:K,'Data For Calculation - Insuranc'!$B:$B,$A243,'Data For Calculation - Insuranc'!$H:$H,"Master Dealer")) + SUMIFS('Data For Calculation - Insuranc'!K:K,'Data For Calculation - Insuranc'!$A:$A,$A243,'Data For Calculation - Insuranc'!$H:$H,"Self")</f>
        <v>0</v>
      </c>
      <c r="CG243" s="26" t="str">
        <f>(Sheet1!N243)</f>
        <v>Vanshadi Motors - Faizabad</v>
      </c>
      <c r="CH243" s="26" t="str">
        <f>(Sheet1!O243)</f>
        <v>1S2YNz2hsIyDIwT68EF1VR8O-D7oanl9HQJpcApwJPG4</v>
      </c>
      <c r="CI243" s="25" t="str">
        <f>(Sheet1!AV243)</f>
        <v/>
      </c>
      <c r="CJ243" s="25" t="str">
        <f>(Sheet1!AW243)</f>
        <v/>
      </c>
      <c r="CK243" s="26" t="str">
        <f>(Sheet1!P243)</f>
        <v>Sub Dealer</v>
      </c>
    </row>
    <row r="244">
      <c r="A244" s="26" t="str">
        <f>(Sheet1!A244)</f>
        <v>1kGb6hrNJXovJfW0VYZrNJI9HEgnPDMsvnJUI4qK6La4</v>
      </c>
      <c r="B244" s="26" t="str">
        <f>(Sheet1!B244)</f>
        <v>V.K MOTORS (VM)- BADAGAON</v>
      </c>
      <c r="C244" s="30" t="str">
        <f>Sheet1!BB244</f>
        <v>No</v>
      </c>
      <c r="D244" s="34" t="s">
        <v>13</v>
      </c>
      <c r="E244" s="34" t="s">
        <v>13</v>
      </c>
      <c r="F244" s="34" t="s">
        <v>3929</v>
      </c>
      <c r="G244" s="42" t="s">
        <v>3820</v>
      </c>
      <c r="H244" s="43">
        <v>375.0</v>
      </c>
      <c r="I244" s="42" t="s">
        <v>3853</v>
      </c>
      <c r="J244" s="43">
        <v>0.0</v>
      </c>
      <c r="K244" s="43">
        <v>100.0</v>
      </c>
      <c r="L244" s="43">
        <v>0.0</v>
      </c>
      <c r="M244" s="43">
        <v>0.0</v>
      </c>
      <c r="N244" s="33">
        <f>COUNTIFS('Data For Calculation - Insuranc'!A:A,A244,'Data For Calculation - Insuranc'!D:D,"Individual",'Data For Calculation - Insuranc'!E:E,"Bundled - 1 Year OD + 5 Year TP")</f>
        <v>0</v>
      </c>
      <c r="O244" s="34" t="s">
        <v>3930</v>
      </c>
      <c r="P244" s="42" t="s">
        <v>3820</v>
      </c>
      <c r="Q244" s="43">
        <v>375.0</v>
      </c>
      <c r="R244" s="42" t="s">
        <v>3853</v>
      </c>
      <c r="S244" s="43">
        <v>0.0</v>
      </c>
      <c r="T244" s="43">
        <v>100.0</v>
      </c>
      <c r="U244" s="43">
        <v>0.0</v>
      </c>
      <c r="V244" s="43">
        <v>0.0</v>
      </c>
      <c r="W244" s="33">
        <f>COUNTIFS('Data For Calculation - Insuranc'!A:A,A244,'Data For Calculation - Insuranc'!D:D,"Company",'Data For Calculation - Insuranc'!E:E,"Bundled - 1 Year OD + 5 Year TP")</f>
        <v>0</v>
      </c>
      <c r="X244" s="34" t="s">
        <v>3929</v>
      </c>
      <c r="Y244" s="42" t="s">
        <v>3820</v>
      </c>
      <c r="Z244" s="34">
        <v>290.0</v>
      </c>
      <c r="AA244" s="34" t="s">
        <v>3853</v>
      </c>
      <c r="AB244" s="34">
        <v>0.0</v>
      </c>
      <c r="AC244" s="34">
        <v>100.0</v>
      </c>
      <c r="AD244" s="34">
        <v>0.0</v>
      </c>
      <c r="AE244" s="34">
        <v>0.0</v>
      </c>
      <c r="AF244" s="33">
        <f>COUNTIFS('Data For Calculation - Insuranc'!A:A,A244,'Data For Calculation - Insuranc'!D:D,"Individual",'Data For Calculation - Insuranc'!E:E,"Rollover Comprehensive - 1 Year OD + 1 Year TP")</f>
        <v>0</v>
      </c>
      <c r="AG244" s="34" t="s">
        <v>3930</v>
      </c>
      <c r="AH244" s="42" t="s">
        <v>3820</v>
      </c>
      <c r="AI244" s="34">
        <v>290.0</v>
      </c>
      <c r="AJ244" s="34" t="s">
        <v>3853</v>
      </c>
      <c r="AK244" s="34">
        <v>0.0</v>
      </c>
      <c r="AL244" s="34">
        <v>100.0</v>
      </c>
      <c r="AM244" s="34">
        <v>0.0</v>
      </c>
      <c r="AN244" s="34">
        <v>0.0</v>
      </c>
      <c r="AO244" s="33">
        <f>COUNTIFS('Data For Calculation - Insuranc'!A:A,A244,'Data For Calculation - Insuranc'!D:D,"Company",'Data For Calculation - Insuranc'!E:E,"Rollover Comprehensive - 1 Year OD + 1 Year TP")</f>
        <v>0</v>
      </c>
      <c r="AP244" s="34" t="s">
        <v>3931</v>
      </c>
      <c r="AQ244" s="42" t="s">
        <v>3820</v>
      </c>
      <c r="AR244" s="34">
        <v>290.0</v>
      </c>
      <c r="AS244" s="34" t="s">
        <v>3853</v>
      </c>
      <c r="AT244" s="34">
        <v>0.0</v>
      </c>
      <c r="AU244" s="34">
        <v>100.0</v>
      </c>
      <c r="AV244" s="34">
        <v>0.0</v>
      </c>
      <c r="AW244" s="34">
        <v>0.0</v>
      </c>
      <c r="AX244" s="33">
        <f>COUNTIFS('Data For Calculation - Insuranc'!A:A,A244,'Data For Calculation - Insuranc'!D:D,"Individual",'Data For Calculation - Insuranc'!E:E,"Rollover - 1 Year OD Only")</f>
        <v>0</v>
      </c>
      <c r="AY244" s="34" t="s">
        <v>3932</v>
      </c>
      <c r="AZ244" s="42" t="s">
        <v>3820</v>
      </c>
      <c r="BA244" s="34">
        <v>290.0</v>
      </c>
      <c r="BB244" s="34" t="s">
        <v>3853</v>
      </c>
      <c r="BC244" s="34">
        <v>0.0</v>
      </c>
      <c r="BD244" s="34">
        <v>100.0</v>
      </c>
      <c r="BE244" s="34">
        <v>0.0</v>
      </c>
      <c r="BF244" s="34">
        <v>0.0</v>
      </c>
      <c r="BG244" s="33">
        <f>COUNTIFS('Data For Calculation - Insuranc'!A:A,A244,'Data For Calculation - Insuranc'!D:D,"Company",'Data For Calculation - Insuranc'!E:E,"Rollover - 1 Year OD Only")</f>
        <v>0</v>
      </c>
      <c r="BH244" s="34" t="s">
        <v>3931</v>
      </c>
      <c r="BI244" s="42" t="s">
        <v>3820</v>
      </c>
      <c r="BJ244" s="34">
        <v>290.0</v>
      </c>
      <c r="BK244" s="34" t="s">
        <v>3853</v>
      </c>
      <c r="BL244" s="34">
        <v>0.0</v>
      </c>
      <c r="BM244" s="34">
        <v>100.0</v>
      </c>
      <c r="BN244" s="34">
        <v>0.0</v>
      </c>
      <c r="BO244" s="34">
        <v>0.0</v>
      </c>
      <c r="BP244" s="33">
        <f>COUNTIFS('Data For Calculation - Insuranc'!A:A,A244,'Data For Calculation - Insuranc'!D:D,"Individual",'Data For Calculation - Insuranc'!E:E,"Rollover - 1 Year TP Only")</f>
        <v>0</v>
      </c>
      <c r="BQ244" s="34" t="s">
        <v>3932</v>
      </c>
      <c r="BR244" s="42" t="s">
        <v>3820</v>
      </c>
      <c r="BS244" s="34">
        <v>290.0</v>
      </c>
      <c r="BT244" s="34" t="s">
        <v>3853</v>
      </c>
      <c r="BU244" s="34">
        <v>0.0</v>
      </c>
      <c r="BV244" s="34">
        <v>100.0</v>
      </c>
      <c r="BW244" s="34">
        <v>0.0</v>
      </c>
      <c r="BX244" s="34">
        <v>0.0</v>
      </c>
      <c r="BY244" s="33">
        <f>COUNTIFS('Data For Calculation - Insuranc'!A:A,A244,'Data For Calculation - Insuranc'!D:D,"Company",'Data For Calculation - Insuranc'!E:E,"Rollover - 1 Year TP Only")</f>
        <v>0</v>
      </c>
      <c r="BZ244" s="31">
        <f t="shared" si="1"/>
        <v>0</v>
      </c>
      <c r="CA244" s="33">
        <f>SUMIFS('Data For Calculation - Insuranc'!I:I,'Data For Calculation - Insuranc'!$A:$A,$A244)</f>
        <v>0</v>
      </c>
      <c r="CB244" s="33">
        <f>SUMIFS('Data For Calculation - Insuranc'!J:J,'Data For Calculation - Insuranc'!$A:$A,$A244)</f>
        <v>0</v>
      </c>
      <c r="CC244" s="33">
        <f>SUMIFS('Data For Calculation - Insuranc'!K:K,'Data For Calculation - Insuranc'!$A:$A,$A244)</f>
        <v>0</v>
      </c>
      <c r="CD244" s="33">
        <f>IF($CK244 = "Dealer", SUMIFS('Data For Calculation - Insuranc'!I:I,'Data For Calculation - Insuranc'!$B:$B,$A244,'Data For Calculation - Insuranc'!$H:$H,"Master Dealer")) + SUMIFS('Data For Calculation - Insuranc'!I:I,'Data For Calculation - Insuranc'!$A:$A,$A244,'Data For Calculation - Insuranc'!$H:$H,"Self")</f>
        <v>0</v>
      </c>
      <c r="CE244" s="33">
        <f>IF($CK244 = "Dealer", SUMIFS('Data For Calculation - Insuranc'!J:J,'Data For Calculation - Insuranc'!$B:$B,$A244,'Data For Calculation - Insuranc'!$H:$H,"Master Dealer")) + SUMIFS('Data For Calculation - Insuranc'!J:J,'Data For Calculation - Insuranc'!$A:$A,$A244,'Data For Calculation - Insuranc'!$H:$H,"Self")</f>
        <v>0</v>
      </c>
      <c r="CF244" s="33">
        <f>IF($CK244 = "Dealer", SUMIFS('Data For Calculation - Insuranc'!K:K,'Data For Calculation - Insuranc'!$B:$B,$A244,'Data For Calculation - Insuranc'!$H:$H,"Master Dealer")) + SUMIFS('Data For Calculation - Insuranc'!K:K,'Data For Calculation - Insuranc'!$A:$A,$A244,'Data For Calculation - Insuranc'!$H:$H,"Self")</f>
        <v>0</v>
      </c>
      <c r="CG244" s="26" t="str">
        <f>(Sheet1!N244)</f>
        <v>Vanshadi Motors - Faizabad</v>
      </c>
      <c r="CH244" s="26" t="str">
        <f>(Sheet1!O244)</f>
        <v>1S2YNz2hsIyDIwT68EF1VR8O-D7oanl9HQJpcApwJPG4</v>
      </c>
      <c r="CI244" s="25" t="str">
        <f>(Sheet1!AV244)</f>
        <v/>
      </c>
      <c r="CJ244" s="25" t="str">
        <f>(Sheet1!AW244)</f>
        <v/>
      </c>
      <c r="CK244" s="26" t="str">
        <f>(Sheet1!P244)</f>
        <v>Sub Dealer</v>
      </c>
    </row>
    <row r="245">
      <c r="A245" s="26" t="str">
        <f>(Sheet1!A245)</f>
        <v>10eOuCid3doBRgqrYrW2izRAjuevQTzEFfL_e1Msg9_c</v>
      </c>
      <c r="B245" s="26" t="str">
        <f>(Sheet1!B245)</f>
        <v>AGARWAL AUTO SALES(CA) - RUDAULI</v>
      </c>
      <c r="C245" s="30" t="str">
        <f>Sheet1!BB245</f>
        <v>No</v>
      </c>
      <c r="D245" s="34" t="s">
        <v>13</v>
      </c>
      <c r="E245" s="34" t="s">
        <v>13</v>
      </c>
      <c r="F245" s="34" t="s">
        <v>3929</v>
      </c>
      <c r="G245" s="42" t="s">
        <v>3820</v>
      </c>
      <c r="H245" s="43">
        <v>375.0</v>
      </c>
      <c r="I245" s="42" t="s">
        <v>3853</v>
      </c>
      <c r="J245" s="43">
        <v>0.0</v>
      </c>
      <c r="K245" s="43">
        <v>100.0</v>
      </c>
      <c r="L245" s="43">
        <v>0.0</v>
      </c>
      <c r="M245" s="43">
        <v>0.0</v>
      </c>
      <c r="N245" s="33">
        <f>COUNTIFS('Data For Calculation - Insuranc'!A:A,A245,'Data For Calculation - Insuranc'!D:D,"Individual",'Data For Calculation - Insuranc'!E:E,"Bundled - 1 Year OD + 5 Year TP")</f>
        <v>0</v>
      </c>
      <c r="O245" s="34" t="s">
        <v>3930</v>
      </c>
      <c r="P245" s="42" t="s">
        <v>3820</v>
      </c>
      <c r="Q245" s="43">
        <v>375.0</v>
      </c>
      <c r="R245" s="42" t="s">
        <v>3853</v>
      </c>
      <c r="S245" s="43">
        <v>0.0</v>
      </c>
      <c r="T245" s="43">
        <v>100.0</v>
      </c>
      <c r="U245" s="43">
        <v>0.0</v>
      </c>
      <c r="V245" s="43">
        <v>0.0</v>
      </c>
      <c r="W245" s="33">
        <f>COUNTIFS('Data For Calculation - Insuranc'!A:A,A245,'Data For Calculation - Insuranc'!D:D,"Company",'Data For Calculation - Insuranc'!E:E,"Bundled - 1 Year OD + 5 Year TP")</f>
        <v>0</v>
      </c>
      <c r="X245" s="34" t="s">
        <v>3929</v>
      </c>
      <c r="Y245" s="42" t="s">
        <v>3820</v>
      </c>
      <c r="Z245" s="34">
        <v>290.0</v>
      </c>
      <c r="AA245" s="34" t="s">
        <v>3853</v>
      </c>
      <c r="AB245" s="34">
        <v>0.0</v>
      </c>
      <c r="AC245" s="34">
        <v>100.0</v>
      </c>
      <c r="AD245" s="34">
        <v>0.0</v>
      </c>
      <c r="AE245" s="34">
        <v>0.0</v>
      </c>
      <c r="AF245" s="33">
        <f>COUNTIFS('Data For Calculation - Insuranc'!A:A,A245,'Data For Calculation - Insuranc'!D:D,"Individual",'Data For Calculation - Insuranc'!E:E,"Rollover Comprehensive - 1 Year OD + 1 Year TP")</f>
        <v>0</v>
      </c>
      <c r="AG245" s="34" t="s">
        <v>3930</v>
      </c>
      <c r="AH245" s="42" t="s">
        <v>3820</v>
      </c>
      <c r="AI245" s="34">
        <v>290.0</v>
      </c>
      <c r="AJ245" s="34" t="s">
        <v>3853</v>
      </c>
      <c r="AK245" s="34">
        <v>0.0</v>
      </c>
      <c r="AL245" s="34">
        <v>100.0</v>
      </c>
      <c r="AM245" s="34">
        <v>0.0</v>
      </c>
      <c r="AN245" s="34">
        <v>0.0</v>
      </c>
      <c r="AO245" s="33">
        <f>COUNTIFS('Data For Calculation - Insuranc'!A:A,A245,'Data For Calculation - Insuranc'!D:D,"Company",'Data For Calculation - Insuranc'!E:E,"Rollover Comprehensive - 1 Year OD + 1 Year TP")</f>
        <v>0</v>
      </c>
      <c r="AP245" s="34" t="s">
        <v>3931</v>
      </c>
      <c r="AQ245" s="42" t="s">
        <v>3820</v>
      </c>
      <c r="AR245" s="34">
        <v>290.0</v>
      </c>
      <c r="AS245" s="34" t="s">
        <v>3853</v>
      </c>
      <c r="AT245" s="34">
        <v>0.0</v>
      </c>
      <c r="AU245" s="34">
        <v>100.0</v>
      </c>
      <c r="AV245" s="34">
        <v>0.0</v>
      </c>
      <c r="AW245" s="34">
        <v>0.0</v>
      </c>
      <c r="AX245" s="33">
        <f>COUNTIFS('Data For Calculation - Insuranc'!A:A,A245,'Data For Calculation - Insuranc'!D:D,"Individual",'Data For Calculation - Insuranc'!E:E,"Rollover - 1 Year OD Only")</f>
        <v>0</v>
      </c>
      <c r="AY245" s="34" t="s">
        <v>3932</v>
      </c>
      <c r="AZ245" s="42" t="s">
        <v>3820</v>
      </c>
      <c r="BA245" s="34">
        <v>290.0</v>
      </c>
      <c r="BB245" s="34" t="s">
        <v>3853</v>
      </c>
      <c r="BC245" s="34">
        <v>0.0</v>
      </c>
      <c r="BD245" s="34">
        <v>100.0</v>
      </c>
      <c r="BE245" s="34">
        <v>0.0</v>
      </c>
      <c r="BF245" s="34">
        <v>0.0</v>
      </c>
      <c r="BG245" s="33">
        <f>COUNTIFS('Data For Calculation - Insuranc'!A:A,A245,'Data For Calculation - Insuranc'!D:D,"Company",'Data For Calculation - Insuranc'!E:E,"Rollover - 1 Year OD Only")</f>
        <v>0</v>
      </c>
      <c r="BH245" s="34" t="s">
        <v>3931</v>
      </c>
      <c r="BI245" s="42" t="s">
        <v>3820</v>
      </c>
      <c r="BJ245" s="34">
        <v>290.0</v>
      </c>
      <c r="BK245" s="34" t="s">
        <v>3853</v>
      </c>
      <c r="BL245" s="34">
        <v>0.0</v>
      </c>
      <c r="BM245" s="34">
        <v>100.0</v>
      </c>
      <c r="BN245" s="34">
        <v>0.0</v>
      </c>
      <c r="BO245" s="34">
        <v>0.0</v>
      </c>
      <c r="BP245" s="33">
        <f>COUNTIFS('Data For Calculation - Insuranc'!A:A,A245,'Data For Calculation - Insuranc'!D:D,"Individual",'Data For Calculation - Insuranc'!E:E,"Rollover - 1 Year TP Only")</f>
        <v>0</v>
      </c>
      <c r="BQ245" s="34" t="s">
        <v>3932</v>
      </c>
      <c r="BR245" s="42" t="s">
        <v>3820</v>
      </c>
      <c r="BS245" s="34">
        <v>290.0</v>
      </c>
      <c r="BT245" s="34" t="s">
        <v>3853</v>
      </c>
      <c r="BU245" s="34">
        <v>0.0</v>
      </c>
      <c r="BV245" s="34">
        <v>100.0</v>
      </c>
      <c r="BW245" s="34">
        <v>0.0</v>
      </c>
      <c r="BX245" s="34">
        <v>0.0</v>
      </c>
      <c r="BY245" s="33">
        <f>COUNTIFS('Data For Calculation - Insuranc'!A:A,A245,'Data For Calculation - Insuranc'!D:D,"Company",'Data For Calculation - Insuranc'!E:E,"Rollover - 1 Year TP Only")</f>
        <v>0</v>
      </c>
      <c r="BZ245" s="31">
        <f t="shared" si="1"/>
        <v>0</v>
      </c>
      <c r="CA245" s="33">
        <f>SUMIFS('Data For Calculation - Insuranc'!I:I,'Data For Calculation - Insuranc'!$A:$A,$A245)</f>
        <v>0</v>
      </c>
      <c r="CB245" s="33">
        <f>SUMIFS('Data For Calculation - Insuranc'!J:J,'Data For Calculation - Insuranc'!$A:$A,$A245)</f>
        <v>0</v>
      </c>
      <c r="CC245" s="33">
        <f>SUMIFS('Data For Calculation - Insuranc'!K:K,'Data For Calculation - Insuranc'!$A:$A,$A245)</f>
        <v>0</v>
      </c>
      <c r="CD245" s="33">
        <f>IF($CK245 = "Dealer", SUMIFS('Data For Calculation - Insuranc'!I:I,'Data For Calculation - Insuranc'!$B:$B,$A245,'Data For Calculation - Insuranc'!$H:$H,"Master Dealer")) + SUMIFS('Data For Calculation - Insuranc'!I:I,'Data For Calculation - Insuranc'!$A:$A,$A245,'Data For Calculation - Insuranc'!$H:$H,"Self")</f>
        <v>0</v>
      </c>
      <c r="CE245" s="33">
        <f>IF($CK245 = "Dealer", SUMIFS('Data For Calculation - Insuranc'!J:J,'Data For Calculation - Insuranc'!$B:$B,$A245,'Data For Calculation - Insuranc'!$H:$H,"Master Dealer")) + SUMIFS('Data For Calculation - Insuranc'!J:J,'Data For Calculation - Insuranc'!$A:$A,$A245,'Data For Calculation - Insuranc'!$H:$H,"Self")</f>
        <v>0</v>
      </c>
      <c r="CF245" s="33">
        <f>IF($CK245 = "Dealer", SUMIFS('Data For Calculation - Insuranc'!K:K,'Data For Calculation - Insuranc'!$B:$B,$A245,'Data For Calculation - Insuranc'!$H:$H,"Master Dealer")) + SUMIFS('Data For Calculation - Insuranc'!K:K,'Data For Calculation - Insuranc'!$A:$A,$A245,'Data For Calculation - Insuranc'!$H:$H,"Self")</f>
        <v>0</v>
      </c>
      <c r="CG245" s="26" t="str">
        <f>(Sheet1!N245)</f>
        <v>Chandra Automobiles - Faizabad</v>
      </c>
      <c r="CH245" s="26" t="str">
        <f>(Sheet1!O245)</f>
        <v>1TMTMDBTSLXzi0POas5HDprui-sp3TCVvRYWE8buap-0</v>
      </c>
      <c r="CI245" s="25" t="str">
        <f>(Sheet1!AV245)</f>
        <v/>
      </c>
      <c r="CJ245" s="25" t="str">
        <f>(Sheet1!AW245)</f>
        <v/>
      </c>
      <c r="CK245" s="26" t="str">
        <f>(Sheet1!P245)</f>
        <v>Sub Dealer</v>
      </c>
    </row>
    <row r="246">
      <c r="A246" s="26" t="str">
        <f>(Sheet1!A246)</f>
        <v>1OENaFEyiGUoyWg7ywU3cmqippkCDyzCnmx9kypMk5Cc</v>
      </c>
      <c r="B246" s="26" t="str">
        <f>(Sheet1!B246)</f>
        <v>ASIA AUTOMOBILES (CA) - KUMAR GANJ</v>
      </c>
      <c r="C246" s="30" t="str">
        <f>Sheet1!BB246</f>
        <v>No</v>
      </c>
      <c r="D246" s="34" t="s">
        <v>13</v>
      </c>
      <c r="E246" s="34" t="s">
        <v>13</v>
      </c>
      <c r="F246" s="34" t="s">
        <v>3929</v>
      </c>
      <c r="G246" s="42" t="s">
        <v>3820</v>
      </c>
      <c r="H246" s="43">
        <v>375.0</v>
      </c>
      <c r="I246" s="42" t="s">
        <v>3853</v>
      </c>
      <c r="J246" s="43">
        <v>0.0</v>
      </c>
      <c r="K246" s="43">
        <v>100.0</v>
      </c>
      <c r="L246" s="43">
        <v>0.0</v>
      </c>
      <c r="M246" s="43">
        <v>0.0</v>
      </c>
      <c r="N246" s="33">
        <f>COUNTIFS('Data For Calculation - Insuranc'!A:A,A246,'Data For Calculation - Insuranc'!D:D,"Individual",'Data For Calculation - Insuranc'!E:E,"Bundled - 1 Year OD + 5 Year TP")</f>
        <v>0</v>
      </c>
      <c r="O246" s="34" t="s">
        <v>3930</v>
      </c>
      <c r="P246" s="42" t="s">
        <v>3820</v>
      </c>
      <c r="Q246" s="43">
        <v>375.0</v>
      </c>
      <c r="R246" s="42" t="s">
        <v>3853</v>
      </c>
      <c r="S246" s="43">
        <v>0.0</v>
      </c>
      <c r="T246" s="43">
        <v>100.0</v>
      </c>
      <c r="U246" s="43">
        <v>0.0</v>
      </c>
      <c r="V246" s="43">
        <v>0.0</v>
      </c>
      <c r="W246" s="33">
        <f>COUNTIFS('Data For Calculation - Insuranc'!A:A,A246,'Data For Calculation - Insuranc'!D:D,"Company",'Data For Calculation - Insuranc'!E:E,"Bundled - 1 Year OD + 5 Year TP")</f>
        <v>0</v>
      </c>
      <c r="X246" s="34" t="s">
        <v>3929</v>
      </c>
      <c r="Y246" s="42" t="s">
        <v>3820</v>
      </c>
      <c r="Z246" s="34">
        <v>290.0</v>
      </c>
      <c r="AA246" s="34" t="s">
        <v>3853</v>
      </c>
      <c r="AB246" s="34">
        <v>0.0</v>
      </c>
      <c r="AC246" s="34">
        <v>100.0</v>
      </c>
      <c r="AD246" s="34">
        <v>0.0</v>
      </c>
      <c r="AE246" s="34">
        <v>0.0</v>
      </c>
      <c r="AF246" s="33">
        <f>COUNTIFS('Data For Calculation - Insuranc'!A:A,A246,'Data For Calculation - Insuranc'!D:D,"Individual",'Data For Calculation - Insuranc'!E:E,"Rollover Comprehensive - 1 Year OD + 1 Year TP")</f>
        <v>0</v>
      </c>
      <c r="AG246" s="34" t="s">
        <v>3930</v>
      </c>
      <c r="AH246" s="42" t="s">
        <v>3820</v>
      </c>
      <c r="AI246" s="34">
        <v>290.0</v>
      </c>
      <c r="AJ246" s="34" t="s">
        <v>3853</v>
      </c>
      <c r="AK246" s="34">
        <v>0.0</v>
      </c>
      <c r="AL246" s="34">
        <v>100.0</v>
      </c>
      <c r="AM246" s="34">
        <v>0.0</v>
      </c>
      <c r="AN246" s="34">
        <v>0.0</v>
      </c>
      <c r="AO246" s="33">
        <f>COUNTIFS('Data For Calculation - Insuranc'!A:A,A246,'Data For Calculation - Insuranc'!D:D,"Company",'Data For Calculation - Insuranc'!E:E,"Rollover Comprehensive - 1 Year OD + 1 Year TP")</f>
        <v>0</v>
      </c>
      <c r="AP246" s="34" t="s">
        <v>3931</v>
      </c>
      <c r="AQ246" s="42" t="s">
        <v>3820</v>
      </c>
      <c r="AR246" s="34">
        <v>290.0</v>
      </c>
      <c r="AS246" s="34" t="s">
        <v>3853</v>
      </c>
      <c r="AT246" s="34">
        <v>0.0</v>
      </c>
      <c r="AU246" s="34">
        <v>100.0</v>
      </c>
      <c r="AV246" s="34">
        <v>0.0</v>
      </c>
      <c r="AW246" s="34">
        <v>0.0</v>
      </c>
      <c r="AX246" s="33">
        <f>COUNTIFS('Data For Calculation - Insuranc'!A:A,A246,'Data For Calculation - Insuranc'!D:D,"Individual",'Data For Calculation - Insuranc'!E:E,"Rollover - 1 Year OD Only")</f>
        <v>0</v>
      </c>
      <c r="AY246" s="34" t="s">
        <v>3932</v>
      </c>
      <c r="AZ246" s="42" t="s">
        <v>3820</v>
      </c>
      <c r="BA246" s="34">
        <v>290.0</v>
      </c>
      <c r="BB246" s="34" t="s">
        <v>3853</v>
      </c>
      <c r="BC246" s="34">
        <v>0.0</v>
      </c>
      <c r="BD246" s="34">
        <v>100.0</v>
      </c>
      <c r="BE246" s="34">
        <v>0.0</v>
      </c>
      <c r="BF246" s="34">
        <v>0.0</v>
      </c>
      <c r="BG246" s="33">
        <f>COUNTIFS('Data For Calculation - Insuranc'!A:A,A246,'Data For Calculation - Insuranc'!D:D,"Company",'Data For Calculation - Insuranc'!E:E,"Rollover - 1 Year OD Only")</f>
        <v>0</v>
      </c>
      <c r="BH246" s="34" t="s">
        <v>3931</v>
      </c>
      <c r="BI246" s="42" t="s">
        <v>3820</v>
      </c>
      <c r="BJ246" s="34">
        <v>290.0</v>
      </c>
      <c r="BK246" s="34" t="s">
        <v>3853</v>
      </c>
      <c r="BL246" s="34">
        <v>0.0</v>
      </c>
      <c r="BM246" s="34">
        <v>100.0</v>
      </c>
      <c r="BN246" s="34">
        <v>0.0</v>
      </c>
      <c r="BO246" s="34">
        <v>0.0</v>
      </c>
      <c r="BP246" s="33">
        <f>COUNTIFS('Data For Calculation - Insuranc'!A:A,A246,'Data For Calculation - Insuranc'!D:D,"Individual",'Data For Calculation - Insuranc'!E:E,"Rollover - 1 Year TP Only")</f>
        <v>0</v>
      </c>
      <c r="BQ246" s="34" t="s">
        <v>3932</v>
      </c>
      <c r="BR246" s="42" t="s">
        <v>3820</v>
      </c>
      <c r="BS246" s="34">
        <v>290.0</v>
      </c>
      <c r="BT246" s="34" t="s">
        <v>3853</v>
      </c>
      <c r="BU246" s="34">
        <v>0.0</v>
      </c>
      <c r="BV246" s="34">
        <v>100.0</v>
      </c>
      <c r="BW246" s="34">
        <v>0.0</v>
      </c>
      <c r="BX246" s="34">
        <v>0.0</v>
      </c>
      <c r="BY246" s="33">
        <f>COUNTIFS('Data For Calculation - Insuranc'!A:A,A246,'Data For Calculation - Insuranc'!D:D,"Company",'Data For Calculation - Insuranc'!E:E,"Rollover - 1 Year TP Only")</f>
        <v>0</v>
      </c>
      <c r="BZ246" s="31">
        <f t="shared" si="1"/>
        <v>0</v>
      </c>
      <c r="CA246" s="33">
        <f>SUMIFS('Data For Calculation - Insuranc'!I:I,'Data For Calculation - Insuranc'!$A:$A,$A246)</f>
        <v>0</v>
      </c>
      <c r="CB246" s="33">
        <f>SUMIFS('Data For Calculation - Insuranc'!J:J,'Data For Calculation - Insuranc'!$A:$A,$A246)</f>
        <v>0</v>
      </c>
      <c r="CC246" s="33">
        <f>SUMIFS('Data For Calculation - Insuranc'!K:K,'Data For Calculation - Insuranc'!$A:$A,$A246)</f>
        <v>0</v>
      </c>
      <c r="CD246" s="33">
        <f>IF($CK246 = "Dealer", SUMIFS('Data For Calculation - Insuranc'!I:I,'Data For Calculation - Insuranc'!$B:$B,$A246,'Data For Calculation - Insuranc'!$H:$H,"Master Dealer")) + SUMIFS('Data For Calculation - Insuranc'!I:I,'Data For Calculation - Insuranc'!$A:$A,$A246,'Data For Calculation - Insuranc'!$H:$H,"Self")</f>
        <v>0</v>
      </c>
      <c r="CE246" s="33">
        <f>IF($CK246 = "Dealer", SUMIFS('Data For Calculation - Insuranc'!J:J,'Data For Calculation - Insuranc'!$B:$B,$A246,'Data For Calculation - Insuranc'!$H:$H,"Master Dealer")) + SUMIFS('Data For Calculation - Insuranc'!J:J,'Data For Calculation - Insuranc'!$A:$A,$A246,'Data For Calculation - Insuranc'!$H:$H,"Self")</f>
        <v>0</v>
      </c>
      <c r="CF246" s="33">
        <f>IF($CK246 = "Dealer", SUMIFS('Data For Calculation - Insuranc'!K:K,'Data For Calculation - Insuranc'!$B:$B,$A246,'Data For Calculation - Insuranc'!$H:$H,"Master Dealer")) + SUMIFS('Data For Calculation - Insuranc'!K:K,'Data For Calculation - Insuranc'!$A:$A,$A246,'Data For Calculation - Insuranc'!$H:$H,"Self")</f>
        <v>0</v>
      </c>
      <c r="CG246" s="26" t="str">
        <f>(Sheet1!N246)</f>
        <v>Chandra Automobiles - Faizabad</v>
      </c>
      <c r="CH246" s="26" t="str">
        <f>(Sheet1!O246)</f>
        <v>1TMTMDBTSLXzi0POas5HDprui-sp3TCVvRYWE8buap-0</v>
      </c>
      <c r="CI246" s="25" t="str">
        <f>(Sheet1!AV246)</f>
        <v/>
      </c>
      <c r="CJ246" s="25" t="str">
        <f>(Sheet1!AW246)</f>
        <v/>
      </c>
      <c r="CK246" s="26" t="str">
        <f>(Sheet1!P246)</f>
        <v>Sub Dealer</v>
      </c>
    </row>
    <row r="247">
      <c r="A247" s="26" t="str">
        <f>(Sheet1!A247)</f>
        <v>159YPitGIgsrUYgelmfjtenQTfG48TpPtKkSuINSG0gc</v>
      </c>
      <c r="B247" s="26" t="str">
        <f>(Sheet1!B247)</f>
        <v>GUPTA AUTO SALES(CA) - SUJAGANJ</v>
      </c>
      <c r="C247" s="30" t="str">
        <f>Sheet1!BB247</f>
        <v>No</v>
      </c>
      <c r="D247" s="34" t="s">
        <v>13</v>
      </c>
      <c r="E247" s="34" t="s">
        <v>13</v>
      </c>
      <c r="F247" s="34" t="s">
        <v>3929</v>
      </c>
      <c r="G247" s="42" t="s">
        <v>3820</v>
      </c>
      <c r="H247" s="43">
        <v>375.0</v>
      </c>
      <c r="I247" s="42" t="s">
        <v>3853</v>
      </c>
      <c r="J247" s="43">
        <v>0.0</v>
      </c>
      <c r="K247" s="43">
        <v>100.0</v>
      </c>
      <c r="L247" s="43">
        <v>0.0</v>
      </c>
      <c r="M247" s="43">
        <v>0.0</v>
      </c>
      <c r="N247" s="33">
        <f>COUNTIFS('Data For Calculation - Insuranc'!A:A,A247,'Data For Calculation - Insuranc'!D:D,"Individual",'Data For Calculation - Insuranc'!E:E,"Bundled - 1 Year OD + 5 Year TP")</f>
        <v>0</v>
      </c>
      <c r="O247" s="34" t="s">
        <v>3930</v>
      </c>
      <c r="P247" s="42" t="s">
        <v>3820</v>
      </c>
      <c r="Q247" s="43">
        <v>375.0</v>
      </c>
      <c r="R247" s="42" t="s">
        <v>3853</v>
      </c>
      <c r="S247" s="43">
        <v>0.0</v>
      </c>
      <c r="T247" s="43">
        <v>100.0</v>
      </c>
      <c r="U247" s="43">
        <v>0.0</v>
      </c>
      <c r="V247" s="43">
        <v>0.0</v>
      </c>
      <c r="W247" s="33">
        <f>COUNTIFS('Data For Calculation - Insuranc'!A:A,A247,'Data For Calculation - Insuranc'!D:D,"Company",'Data For Calculation - Insuranc'!E:E,"Bundled - 1 Year OD + 5 Year TP")</f>
        <v>0</v>
      </c>
      <c r="X247" s="34" t="s">
        <v>3929</v>
      </c>
      <c r="Y247" s="42" t="s">
        <v>3820</v>
      </c>
      <c r="Z247" s="34">
        <v>290.0</v>
      </c>
      <c r="AA247" s="34" t="s">
        <v>3853</v>
      </c>
      <c r="AB247" s="34">
        <v>0.0</v>
      </c>
      <c r="AC247" s="34">
        <v>100.0</v>
      </c>
      <c r="AD247" s="34">
        <v>0.0</v>
      </c>
      <c r="AE247" s="34">
        <v>0.0</v>
      </c>
      <c r="AF247" s="33">
        <f>COUNTIFS('Data For Calculation - Insuranc'!A:A,A247,'Data For Calculation - Insuranc'!D:D,"Individual",'Data For Calculation - Insuranc'!E:E,"Rollover Comprehensive - 1 Year OD + 1 Year TP")</f>
        <v>0</v>
      </c>
      <c r="AG247" s="34" t="s">
        <v>3930</v>
      </c>
      <c r="AH247" s="42" t="s">
        <v>3820</v>
      </c>
      <c r="AI247" s="34">
        <v>290.0</v>
      </c>
      <c r="AJ247" s="34" t="s">
        <v>3853</v>
      </c>
      <c r="AK247" s="34">
        <v>0.0</v>
      </c>
      <c r="AL247" s="34">
        <v>100.0</v>
      </c>
      <c r="AM247" s="34">
        <v>0.0</v>
      </c>
      <c r="AN247" s="34">
        <v>0.0</v>
      </c>
      <c r="AO247" s="33">
        <f>COUNTIFS('Data For Calculation - Insuranc'!A:A,A247,'Data For Calculation - Insuranc'!D:D,"Company",'Data For Calculation - Insuranc'!E:E,"Rollover Comprehensive - 1 Year OD + 1 Year TP")</f>
        <v>0</v>
      </c>
      <c r="AP247" s="34" t="s">
        <v>3931</v>
      </c>
      <c r="AQ247" s="42" t="s">
        <v>3820</v>
      </c>
      <c r="AR247" s="34">
        <v>290.0</v>
      </c>
      <c r="AS247" s="34" t="s">
        <v>3853</v>
      </c>
      <c r="AT247" s="34">
        <v>0.0</v>
      </c>
      <c r="AU247" s="34">
        <v>100.0</v>
      </c>
      <c r="AV247" s="34">
        <v>0.0</v>
      </c>
      <c r="AW247" s="34">
        <v>0.0</v>
      </c>
      <c r="AX247" s="33">
        <f>COUNTIFS('Data For Calculation - Insuranc'!A:A,A247,'Data For Calculation - Insuranc'!D:D,"Individual",'Data For Calculation - Insuranc'!E:E,"Rollover - 1 Year OD Only")</f>
        <v>0</v>
      </c>
      <c r="AY247" s="34" t="s">
        <v>3932</v>
      </c>
      <c r="AZ247" s="42" t="s">
        <v>3820</v>
      </c>
      <c r="BA247" s="34">
        <v>290.0</v>
      </c>
      <c r="BB247" s="34" t="s">
        <v>3853</v>
      </c>
      <c r="BC247" s="34">
        <v>0.0</v>
      </c>
      <c r="BD247" s="34">
        <v>100.0</v>
      </c>
      <c r="BE247" s="34">
        <v>0.0</v>
      </c>
      <c r="BF247" s="34">
        <v>0.0</v>
      </c>
      <c r="BG247" s="33">
        <f>COUNTIFS('Data For Calculation - Insuranc'!A:A,A247,'Data For Calculation - Insuranc'!D:D,"Company",'Data For Calculation - Insuranc'!E:E,"Rollover - 1 Year OD Only")</f>
        <v>0</v>
      </c>
      <c r="BH247" s="34" t="s">
        <v>3931</v>
      </c>
      <c r="BI247" s="42" t="s">
        <v>3820</v>
      </c>
      <c r="BJ247" s="34">
        <v>290.0</v>
      </c>
      <c r="BK247" s="34" t="s">
        <v>3853</v>
      </c>
      <c r="BL247" s="34">
        <v>0.0</v>
      </c>
      <c r="BM247" s="34">
        <v>100.0</v>
      </c>
      <c r="BN247" s="34">
        <v>0.0</v>
      </c>
      <c r="BO247" s="34">
        <v>0.0</v>
      </c>
      <c r="BP247" s="33">
        <f>COUNTIFS('Data For Calculation - Insuranc'!A:A,A247,'Data For Calculation - Insuranc'!D:D,"Individual",'Data For Calculation - Insuranc'!E:E,"Rollover - 1 Year TP Only")</f>
        <v>0</v>
      </c>
      <c r="BQ247" s="34" t="s">
        <v>3932</v>
      </c>
      <c r="BR247" s="42" t="s">
        <v>3820</v>
      </c>
      <c r="BS247" s="34">
        <v>290.0</v>
      </c>
      <c r="BT247" s="34" t="s">
        <v>3853</v>
      </c>
      <c r="BU247" s="34">
        <v>0.0</v>
      </c>
      <c r="BV247" s="34">
        <v>100.0</v>
      </c>
      <c r="BW247" s="34">
        <v>0.0</v>
      </c>
      <c r="BX247" s="34">
        <v>0.0</v>
      </c>
      <c r="BY247" s="33">
        <f>COUNTIFS('Data For Calculation - Insuranc'!A:A,A247,'Data For Calculation - Insuranc'!D:D,"Company",'Data For Calculation - Insuranc'!E:E,"Rollover - 1 Year TP Only")</f>
        <v>0</v>
      </c>
      <c r="BZ247" s="31">
        <f t="shared" si="1"/>
        <v>0</v>
      </c>
      <c r="CA247" s="33">
        <f>SUMIFS('Data For Calculation - Insuranc'!I:I,'Data For Calculation - Insuranc'!$A:$A,$A247)</f>
        <v>0</v>
      </c>
      <c r="CB247" s="33">
        <f>SUMIFS('Data For Calculation - Insuranc'!J:J,'Data For Calculation - Insuranc'!$A:$A,$A247)</f>
        <v>0</v>
      </c>
      <c r="CC247" s="33">
        <f>SUMIFS('Data For Calculation - Insuranc'!K:K,'Data For Calculation - Insuranc'!$A:$A,$A247)</f>
        <v>0</v>
      </c>
      <c r="CD247" s="33">
        <f>IF($CK247 = "Dealer", SUMIFS('Data For Calculation - Insuranc'!I:I,'Data For Calculation - Insuranc'!$B:$B,$A247,'Data For Calculation - Insuranc'!$H:$H,"Master Dealer")) + SUMIFS('Data For Calculation - Insuranc'!I:I,'Data For Calculation - Insuranc'!$A:$A,$A247,'Data For Calculation - Insuranc'!$H:$H,"Self")</f>
        <v>0</v>
      </c>
      <c r="CE247" s="33">
        <f>IF($CK247 = "Dealer", SUMIFS('Data For Calculation - Insuranc'!J:J,'Data For Calculation - Insuranc'!$B:$B,$A247,'Data For Calculation - Insuranc'!$H:$H,"Master Dealer")) + SUMIFS('Data For Calculation - Insuranc'!J:J,'Data For Calculation - Insuranc'!$A:$A,$A247,'Data For Calculation - Insuranc'!$H:$H,"Self")</f>
        <v>0</v>
      </c>
      <c r="CF247" s="33">
        <f>IF($CK247 = "Dealer", SUMIFS('Data For Calculation - Insuranc'!K:K,'Data For Calculation - Insuranc'!$B:$B,$A247,'Data For Calculation - Insuranc'!$H:$H,"Master Dealer")) + SUMIFS('Data For Calculation - Insuranc'!K:K,'Data For Calculation - Insuranc'!$A:$A,$A247,'Data For Calculation - Insuranc'!$H:$H,"Self")</f>
        <v>0</v>
      </c>
      <c r="CG247" s="26" t="str">
        <f>(Sheet1!N247)</f>
        <v>Chandra Automobiles - Faizabad</v>
      </c>
      <c r="CH247" s="26" t="str">
        <f>(Sheet1!O247)</f>
        <v>1TMTMDBTSLXzi0POas5HDprui-sp3TCVvRYWE8buap-0</v>
      </c>
      <c r="CI247" s="25" t="str">
        <f>(Sheet1!AV247)</f>
        <v/>
      </c>
      <c r="CJ247" s="25" t="str">
        <f>(Sheet1!AW247)</f>
        <v/>
      </c>
      <c r="CK247" s="26" t="str">
        <f>(Sheet1!P247)</f>
        <v>Sub Dealer</v>
      </c>
    </row>
    <row r="248">
      <c r="A248" s="26" t="str">
        <f>(Sheet1!A248)</f>
        <v>1JVjJRde0atJYfSJfEseKCQhdqjcP24_d1-09TphqSpA</v>
      </c>
      <c r="B248" s="26" t="str">
        <f>(Sheet1!B248)</f>
        <v>MAWAIEE AUTOSALES(CA) - RAUZAGAON</v>
      </c>
      <c r="C248" s="30" t="str">
        <f>Sheet1!BB248</f>
        <v>No</v>
      </c>
      <c r="D248" s="34" t="s">
        <v>13</v>
      </c>
      <c r="E248" s="34" t="s">
        <v>13</v>
      </c>
      <c r="F248" s="34" t="s">
        <v>3929</v>
      </c>
      <c r="G248" s="42" t="s">
        <v>3820</v>
      </c>
      <c r="H248" s="43">
        <v>375.0</v>
      </c>
      <c r="I248" s="42" t="s">
        <v>3853</v>
      </c>
      <c r="J248" s="43">
        <v>0.0</v>
      </c>
      <c r="K248" s="43">
        <v>100.0</v>
      </c>
      <c r="L248" s="43">
        <v>0.0</v>
      </c>
      <c r="M248" s="43">
        <v>0.0</v>
      </c>
      <c r="N248" s="33">
        <f>COUNTIFS('Data For Calculation - Insuranc'!A:A,A248,'Data For Calculation - Insuranc'!D:D,"Individual",'Data For Calculation - Insuranc'!E:E,"Bundled - 1 Year OD + 5 Year TP")</f>
        <v>0</v>
      </c>
      <c r="O248" s="34" t="s">
        <v>3930</v>
      </c>
      <c r="P248" s="42" t="s">
        <v>3820</v>
      </c>
      <c r="Q248" s="43">
        <v>375.0</v>
      </c>
      <c r="R248" s="42" t="s">
        <v>3853</v>
      </c>
      <c r="S248" s="43">
        <v>0.0</v>
      </c>
      <c r="T248" s="43">
        <v>100.0</v>
      </c>
      <c r="U248" s="43">
        <v>0.0</v>
      </c>
      <c r="V248" s="43">
        <v>0.0</v>
      </c>
      <c r="W248" s="33">
        <f>COUNTIFS('Data For Calculation - Insuranc'!A:A,A248,'Data For Calculation - Insuranc'!D:D,"Company",'Data For Calculation - Insuranc'!E:E,"Bundled - 1 Year OD + 5 Year TP")</f>
        <v>0</v>
      </c>
      <c r="X248" s="34" t="s">
        <v>3929</v>
      </c>
      <c r="Y248" s="42" t="s">
        <v>3820</v>
      </c>
      <c r="Z248" s="34">
        <v>290.0</v>
      </c>
      <c r="AA248" s="34" t="s">
        <v>3853</v>
      </c>
      <c r="AB248" s="34">
        <v>0.0</v>
      </c>
      <c r="AC248" s="34">
        <v>100.0</v>
      </c>
      <c r="AD248" s="34">
        <v>0.0</v>
      </c>
      <c r="AE248" s="34">
        <v>0.0</v>
      </c>
      <c r="AF248" s="33">
        <f>COUNTIFS('Data For Calculation - Insuranc'!A:A,A248,'Data For Calculation - Insuranc'!D:D,"Individual",'Data For Calculation - Insuranc'!E:E,"Rollover Comprehensive - 1 Year OD + 1 Year TP")</f>
        <v>0</v>
      </c>
      <c r="AG248" s="34" t="s">
        <v>3930</v>
      </c>
      <c r="AH248" s="42" t="s">
        <v>3820</v>
      </c>
      <c r="AI248" s="34">
        <v>290.0</v>
      </c>
      <c r="AJ248" s="34" t="s">
        <v>3853</v>
      </c>
      <c r="AK248" s="34">
        <v>0.0</v>
      </c>
      <c r="AL248" s="34">
        <v>100.0</v>
      </c>
      <c r="AM248" s="34">
        <v>0.0</v>
      </c>
      <c r="AN248" s="34">
        <v>0.0</v>
      </c>
      <c r="AO248" s="33">
        <f>COUNTIFS('Data For Calculation - Insuranc'!A:A,A248,'Data For Calculation - Insuranc'!D:D,"Company",'Data For Calculation - Insuranc'!E:E,"Rollover Comprehensive - 1 Year OD + 1 Year TP")</f>
        <v>0</v>
      </c>
      <c r="AP248" s="34" t="s">
        <v>3931</v>
      </c>
      <c r="AQ248" s="42" t="s">
        <v>3820</v>
      </c>
      <c r="AR248" s="34">
        <v>290.0</v>
      </c>
      <c r="AS248" s="34" t="s">
        <v>3853</v>
      </c>
      <c r="AT248" s="34">
        <v>0.0</v>
      </c>
      <c r="AU248" s="34">
        <v>100.0</v>
      </c>
      <c r="AV248" s="34">
        <v>0.0</v>
      </c>
      <c r="AW248" s="34">
        <v>0.0</v>
      </c>
      <c r="AX248" s="33">
        <f>COUNTIFS('Data For Calculation - Insuranc'!A:A,A248,'Data For Calculation - Insuranc'!D:D,"Individual",'Data For Calculation - Insuranc'!E:E,"Rollover - 1 Year OD Only")</f>
        <v>0</v>
      </c>
      <c r="AY248" s="34" t="s">
        <v>3932</v>
      </c>
      <c r="AZ248" s="42" t="s">
        <v>3820</v>
      </c>
      <c r="BA248" s="34">
        <v>290.0</v>
      </c>
      <c r="BB248" s="34" t="s">
        <v>3853</v>
      </c>
      <c r="BC248" s="34">
        <v>0.0</v>
      </c>
      <c r="BD248" s="34">
        <v>100.0</v>
      </c>
      <c r="BE248" s="34">
        <v>0.0</v>
      </c>
      <c r="BF248" s="34">
        <v>0.0</v>
      </c>
      <c r="BG248" s="33">
        <f>COUNTIFS('Data For Calculation - Insuranc'!A:A,A248,'Data For Calculation - Insuranc'!D:D,"Company",'Data For Calculation - Insuranc'!E:E,"Rollover - 1 Year OD Only")</f>
        <v>0</v>
      </c>
      <c r="BH248" s="34" t="s">
        <v>3931</v>
      </c>
      <c r="BI248" s="42" t="s">
        <v>3820</v>
      </c>
      <c r="BJ248" s="34">
        <v>290.0</v>
      </c>
      <c r="BK248" s="34" t="s">
        <v>3853</v>
      </c>
      <c r="BL248" s="34">
        <v>0.0</v>
      </c>
      <c r="BM248" s="34">
        <v>100.0</v>
      </c>
      <c r="BN248" s="34">
        <v>0.0</v>
      </c>
      <c r="BO248" s="34">
        <v>0.0</v>
      </c>
      <c r="BP248" s="33">
        <f>COUNTIFS('Data For Calculation - Insuranc'!A:A,A248,'Data For Calculation - Insuranc'!D:D,"Individual",'Data For Calculation - Insuranc'!E:E,"Rollover - 1 Year TP Only")</f>
        <v>0</v>
      </c>
      <c r="BQ248" s="34" t="s">
        <v>3932</v>
      </c>
      <c r="BR248" s="42" t="s">
        <v>3820</v>
      </c>
      <c r="BS248" s="34">
        <v>290.0</v>
      </c>
      <c r="BT248" s="34" t="s">
        <v>3853</v>
      </c>
      <c r="BU248" s="34">
        <v>0.0</v>
      </c>
      <c r="BV248" s="34">
        <v>100.0</v>
      </c>
      <c r="BW248" s="34">
        <v>0.0</v>
      </c>
      <c r="BX248" s="34">
        <v>0.0</v>
      </c>
      <c r="BY248" s="33">
        <f>COUNTIFS('Data For Calculation - Insuranc'!A:A,A248,'Data For Calculation - Insuranc'!D:D,"Company",'Data For Calculation - Insuranc'!E:E,"Rollover - 1 Year TP Only")</f>
        <v>0</v>
      </c>
      <c r="BZ248" s="31">
        <f t="shared" si="1"/>
        <v>0</v>
      </c>
      <c r="CA248" s="33">
        <f>SUMIFS('Data For Calculation - Insuranc'!I:I,'Data For Calculation - Insuranc'!$A:$A,$A248)</f>
        <v>0</v>
      </c>
      <c r="CB248" s="33">
        <f>SUMIFS('Data For Calculation - Insuranc'!J:J,'Data For Calculation - Insuranc'!$A:$A,$A248)</f>
        <v>0</v>
      </c>
      <c r="CC248" s="33">
        <f>SUMIFS('Data For Calculation - Insuranc'!K:K,'Data For Calculation - Insuranc'!$A:$A,$A248)</f>
        <v>0</v>
      </c>
      <c r="CD248" s="33">
        <f>IF($CK248 = "Dealer", SUMIFS('Data For Calculation - Insuranc'!I:I,'Data For Calculation - Insuranc'!$B:$B,$A248,'Data For Calculation - Insuranc'!$H:$H,"Master Dealer")) + SUMIFS('Data For Calculation - Insuranc'!I:I,'Data For Calculation - Insuranc'!$A:$A,$A248,'Data For Calculation - Insuranc'!$H:$H,"Self")</f>
        <v>0</v>
      </c>
      <c r="CE248" s="33">
        <f>IF($CK248 = "Dealer", SUMIFS('Data For Calculation - Insuranc'!J:J,'Data For Calculation - Insuranc'!$B:$B,$A248,'Data For Calculation - Insuranc'!$H:$H,"Master Dealer")) + SUMIFS('Data For Calculation - Insuranc'!J:J,'Data For Calculation - Insuranc'!$A:$A,$A248,'Data For Calculation - Insuranc'!$H:$H,"Self")</f>
        <v>0</v>
      </c>
      <c r="CF248" s="33">
        <f>IF($CK248 = "Dealer", SUMIFS('Data For Calculation - Insuranc'!K:K,'Data For Calculation - Insuranc'!$B:$B,$A248,'Data For Calculation - Insuranc'!$H:$H,"Master Dealer")) + SUMIFS('Data For Calculation - Insuranc'!K:K,'Data For Calculation - Insuranc'!$A:$A,$A248,'Data For Calculation - Insuranc'!$H:$H,"Self")</f>
        <v>0</v>
      </c>
      <c r="CG248" s="26" t="str">
        <f>(Sheet1!N248)</f>
        <v>Chandra Automobiles - Faizabad</v>
      </c>
      <c r="CH248" s="26" t="str">
        <f>(Sheet1!O248)</f>
        <v>1TMTMDBTSLXzi0POas5HDprui-sp3TCVvRYWE8buap-0</v>
      </c>
      <c r="CI248" s="25" t="str">
        <f>(Sheet1!AV248)</f>
        <v/>
      </c>
      <c r="CJ248" s="25" t="str">
        <f>(Sheet1!AW248)</f>
        <v/>
      </c>
      <c r="CK248" s="26" t="str">
        <f>(Sheet1!P248)</f>
        <v>Sub Dealer</v>
      </c>
    </row>
    <row r="249">
      <c r="A249" s="26" t="str">
        <f>(Sheet1!A249)</f>
        <v>1HhuPJCqA1nYQYw-vxTr9qoSA3wtg7ifzyfbJykuK79E</v>
      </c>
      <c r="B249" s="26" t="str">
        <f>(Sheet1!B249)</f>
        <v>RADHEY AUTOMOBILES (CA) - BIKAPUR</v>
      </c>
      <c r="C249" s="30" t="str">
        <f>Sheet1!BB249</f>
        <v>No</v>
      </c>
      <c r="D249" s="34" t="s">
        <v>13</v>
      </c>
      <c r="E249" s="34" t="s">
        <v>13</v>
      </c>
      <c r="F249" s="34" t="s">
        <v>3929</v>
      </c>
      <c r="G249" s="42" t="s">
        <v>3820</v>
      </c>
      <c r="H249" s="43">
        <v>375.0</v>
      </c>
      <c r="I249" s="42" t="s">
        <v>3853</v>
      </c>
      <c r="J249" s="43">
        <v>0.0</v>
      </c>
      <c r="K249" s="43">
        <v>100.0</v>
      </c>
      <c r="L249" s="43">
        <v>0.0</v>
      </c>
      <c r="M249" s="43">
        <v>0.0</v>
      </c>
      <c r="N249" s="33">
        <f>COUNTIFS('Data For Calculation - Insuranc'!A:A,A249,'Data For Calculation - Insuranc'!D:D,"Individual",'Data For Calculation - Insuranc'!E:E,"Bundled - 1 Year OD + 5 Year TP")</f>
        <v>0</v>
      </c>
      <c r="O249" s="34" t="s">
        <v>3930</v>
      </c>
      <c r="P249" s="42" t="s">
        <v>3820</v>
      </c>
      <c r="Q249" s="43">
        <v>375.0</v>
      </c>
      <c r="R249" s="42" t="s">
        <v>3853</v>
      </c>
      <c r="S249" s="43">
        <v>0.0</v>
      </c>
      <c r="T249" s="43">
        <v>100.0</v>
      </c>
      <c r="U249" s="43">
        <v>0.0</v>
      </c>
      <c r="V249" s="43">
        <v>0.0</v>
      </c>
      <c r="W249" s="33">
        <f>COUNTIFS('Data For Calculation - Insuranc'!A:A,A249,'Data For Calculation - Insuranc'!D:D,"Company",'Data For Calculation - Insuranc'!E:E,"Bundled - 1 Year OD + 5 Year TP")</f>
        <v>0</v>
      </c>
      <c r="X249" s="34" t="s">
        <v>3929</v>
      </c>
      <c r="Y249" s="42" t="s">
        <v>3820</v>
      </c>
      <c r="Z249" s="34">
        <v>290.0</v>
      </c>
      <c r="AA249" s="34" t="s">
        <v>3853</v>
      </c>
      <c r="AB249" s="34">
        <v>0.0</v>
      </c>
      <c r="AC249" s="34">
        <v>100.0</v>
      </c>
      <c r="AD249" s="34">
        <v>0.0</v>
      </c>
      <c r="AE249" s="34">
        <v>0.0</v>
      </c>
      <c r="AF249" s="33">
        <f>COUNTIFS('Data For Calculation - Insuranc'!A:A,A249,'Data For Calculation - Insuranc'!D:D,"Individual",'Data For Calculation - Insuranc'!E:E,"Rollover Comprehensive - 1 Year OD + 1 Year TP")</f>
        <v>0</v>
      </c>
      <c r="AG249" s="34" t="s">
        <v>3930</v>
      </c>
      <c r="AH249" s="42" t="s">
        <v>3820</v>
      </c>
      <c r="AI249" s="34">
        <v>290.0</v>
      </c>
      <c r="AJ249" s="34" t="s">
        <v>3853</v>
      </c>
      <c r="AK249" s="34">
        <v>0.0</v>
      </c>
      <c r="AL249" s="34">
        <v>100.0</v>
      </c>
      <c r="AM249" s="34">
        <v>0.0</v>
      </c>
      <c r="AN249" s="34">
        <v>0.0</v>
      </c>
      <c r="AO249" s="33">
        <f>COUNTIFS('Data For Calculation - Insuranc'!A:A,A249,'Data For Calculation - Insuranc'!D:D,"Company",'Data For Calculation - Insuranc'!E:E,"Rollover Comprehensive - 1 Year OD + 1 Year TP")</f>
        <v>0</v>
      </c>
      <c r="AP249" s="34" t="s">
        <v>3931</v>
      </c>
      <c r="AQ249" s="42" t="s">
        <v>3820</v>
      </c>
      <c r="AR249" s="34">
        <v>290.0</v>
      </c>
      <c r="AS249" s="34" t="s">
        <v>3853</v>
      </c>
      <c r="AT249" s="34">
        <v>0.0</v>
      </c>
      <c r="AU249" s="34">
        <v>100.0</v>
      </c>
      <c r="AV249" s="34">
        <v>0.0</v>
      </c>
      <c r="AW249" s="34">
        <v>0.0</v>
      </c>
      <c r="AX249" s="33">
        <f>COUNTIFS('Data For Calculation - Insuranc'!A:A,A249,'Data For Calculation - Insuranc'!D:D,"Individual",'Data For Calculation - Insuranc'!E:E,"Rollover - 1 Year OD Only")</f>
        <v>0</v>
      </c>
      <c r="AY249" s="34" t="s">
        <v>3932</v>
      </c>
      <c r="AZ249" s="42" t="s">
        <v>3820</v>
      </c>
      <c r="BA249" s="34">
        <v>290.0</v>
      </c>
      <c r="BB249" s="34" t="s">
        <v>3853</v>
      </c>
      <c r="BC249" s="34">
        <v>0.0</v>
      </c>
      <c r="BD249" s="34">
        <v>100.0</v>
      </c>
      <c r="BE249" s="34">
        <v>0.0</v>
      </c>
      <c r="BF249" s="34">
        <v>0.0</v>
      </c>
      <c r="BG249" s="33">
        <f>COUNTIFS('Data For Calculation - Insuranc'!A:A,A249,'Data For Calculation - Insuranc'!D:D,"Company",'Data For Calculation - Insuranc'!E:E,"Rollover - 1 Year OD Only")</f>
        <v>0</v>
      </c>
      <c r="BH249" s="34" t="s">
        <v>3931</v>
      </c>
      <c r="BI249" s="42" t="s">
        <v>3820</v>
      </c>
      <c r="BJ249" s="34">
        <v>290.0</v>
      </c>
      <c r="BK249" s="34" t="s">
        <v>3853</v>
      </c>
      <c r="BL249" s="34">
        <v>0.0</v>
      </c>
      <c r="BM249" s="34">
        <v>100.0</v>
      </c>
      <c r="BN249" s="34">
        <v>0.0</v>
      </c>
      <c r="BO249" s="34">
        <v>0.0</v>
      </c>
      <c r="BP249" s="33">
        <f>COUNTIFS('Data For Calculation - Insuranc'!A:A,A249,'Data For Calculation - Insuranc'!D:D,"Individual",'Data For Calculation - Insuranc'!E:E,"Rollover - 1 Year TP Only")</f>
        <v>0</v>
      </c>
      <c r="BQ249" s="34" t="s">
        <v>3932</v>
      </c>
      <c r="BR249" s="42" t="s">
        <v>3820</v>
      </c>
      <c r="BS249" s="34">
        <v>290.0</v>
      </c>
      <c r="BT249" s="34" t="s">
        <v>3853</v>
      </c>
      <c r="BU249" s="34">
        <v>0.0</v>
      </c>
      <c r="BV249" s="34">
        <v>100.0</v>
      </c>
      <c r="BW249" s="34">
        <v>0.0</v>
      </c>
      <c r="BX249" s="34">
        <v>0.0</v>
      </c>
      <c r="BY249" s="33">
        <f>COUNTIFS('Data For Calculation - Insuranc'!A:A,A249,'Data For Calculation - Insuranc'!D:D,"Company",'Data For Calculation - Insuranc'!E:E,"Rollover - 1 Year TP Only")</f>
        <v>0</v>
      </c>
      <c r="BZ249" s="31">
        <f t="shared" si="1"/>
        <v>0</v>
      </c>
      <c r="CA249" s="33">
        <f>SUMIFS('Data For Calculation - Insuranc'!I:I,'Data For Calculation - Insuranc'!$A:$A,$A249)</f>
        <v>0</v>
      </c>
      <c r="CB249" s="33">
        <f>SUMIFS('Data For Calculation - Insuranc'!J:J,'Data For Calculation - Insuranc'!$A:$A,$A249)</f>
        <v>0</v>
      </c>
      <c r="CC249" s="33">
        <f>SUMIFS('Data For Calculation - Insuranc'!K:K,'Data For Calculation - Insuranc'!$A:$A,$A249)</f>
        <v>0</v>
      </c>
      <c r="CD249" s="33">
        <f>IF($CK249 = "Dealer", SUMIFS('Data For Calculation - Insuranc'!I:I,'Data For Calculation - Insuranc'!$B:$B,$A249,'Data For Calculation - Insuranc'!$H:$H,"Master Dealer")) + SUMIFS('Data For Calculation - Insuranc'!I:I,'Data For Calculation - Insuranc'!$A:$A,$A249,'Data For Calculation - Insuranc'!$H:$H,"Self")</f>
        <v>0</v>
      </c>
      <c r="CE249" s="33">
        <f>IF($CK249 = "Dealer", SUMIFS('Data For Calculation - Insuranc'!J:J,'Data For Calculation - Insuranc'!$B:$B,$A249,'Data For Calculation - Insuranc'!$H:$H,"Master Dealer")) + SUMIFS('Data For Calculation - Insuranc'!J:J,'Data For Calculation - Insuranc'!$A:$A,$A249,'Data For Calculation - Insuranc'!$H:$H,"Self")</f>
        <v>0</v>
      </c>
      <c r="CF249" s="33">
        <f>IF($CK249 = "Dealer", SUMIFS('Data For Calculation - Insuranc'!K:K,'Data For Calculation - Insuranc'!$B:$B,$A249,'Data For Calculation - Insuranc'!$H:$H,"Master Dealer")) + SUMIFS('Data For Calculation - Insuranc'!K:K,'Data For Calculation - Insuranc'!$A:$A,$A249,'Data For Calculation - Insuranc'!$H:$H,"Self")</f>
        <v>0</v>
      </c>
      <c r="CG249" s="26" t="str">
        <f>(Sheet1!N249)</f>
        <v>Chandra Automobiles - Faizabad</v>
      </c>
      <c r="CH249" s="26" t="str">
        <f>(Sheet1!O249)</f>
        <v>1TMTMDBTSLXzi0POas5HDprui-sp3TCVvRYWE8buap-0</v>
      </c>
      <c r="CI249" s="25" t="str">
        <f>(Sheet1!AV249)</f>
        <v/>
      </c>
      <c r="CJ249" s="25" t="str">
        <f>(Sheet1!AW249)</f>
        <v/>
      </c>
      <c r="CK249" s="26" t="str">
        <f>(Sheet1!P249)</f>
        <v>Sub Dealer</v>
      </c>
    </row>
    <row r="250">
      <c r="A250" s="26" t="str">
        <f>(Sheet1!A250)</f>
        <v>17sBaqChbGSOQK_DIkRnUGicSgCSUWKTJKT6g-HiL9uY</v>
      </c>
      <c r="B250" s="26" t="str">
        <f>(Sheet1!B250)</f>
        <v>SHREE AUTOSALES (CA) - GAOSAIGANJ</v>
      </c>
      <c r="C250" s="30" t="str">
        <f>Sheet1!BB250</f>
        <v>No</v>
      </c>
      <c r="D250" s="34" t="s">
        <v>13</v>
      </c>
      <c r="E250" s="34" t="s">
        <v>13</v>
      </c>
      <c r="F250" s="34" t="s">
        <v>3929</v>
      </c>
      <c r="G250" s="42" t="s">
        <v>3820</v>
      </c>
      <c r="H250" s="43">
        <v>375.0</v>
      </c>
      <c r="I250" s="42" t="s">
        <v>3853</v>
      </c>
      <c r="J250" s="43">
        <v>0.0</v>
      </c>
      <c r="K250" s="43">
        <v>100.0</v>
      </c>
      <c r="L250" s="43">
        <v>0.0</v>
      </c>
      <c r="M250" s="43">
        <v>0.0</v>
      </c>
      <c r="N250" s="33">
        <f>COUNTIFS('Data For Calculation - Insuranc'!A:A,A250,'Data For Calculation - Insuranc'!D:D,"Individual",'Data For Calculation - Insuranc'!E:E,"Bundled - 1 Year OD + 5 Year TP")</f>
        <v>0</v>
      </c>
      <c r="O250" s="34" t="s">
        <v>3930</v>
      </c>
      <c r="P250" s="42" t="s">
        <v>3820</v>
      </c>
      <c r="Q250" s="43">
        <v>375.0</v>
      </c>
      <c r="R250" s="42" t="s">
        <v>3853</v>
      </c>
      <c r="S250" s="43">
        <v>0.0</v>
      </c>
      <c r="T250" s="43">
        <v>100.0</v>
      </c>
      <c r="U250" s="43">
        <v>0.0</v>
      </c>
      <c r="V250" s="43">
        <v>0.0</v>
      </c>
      <c r="W250" s="33">
        <f>COUNTIFS('Data For Calculation - Insuranc'!A:A,A250,'Data For Calculation - Insuranc'!D:D,"Company",'Data For Calculation - Insuranc'!E:E,"Bundled - 1 Year OD + 5 Year TP")</f>
        <v>0</v>
      </c>
      <c r="X250" s="34" t="s">
        <v>3929</v>
      </c>
      <c r="Y250" s="42" t="s">
        <v>3820</v>
      </c>
      <c r="Z250" s="34">
        <v>290.0</v>
      </c>
      <c r="AA250" s="34" t="s">
        <v>3853</v>
      </c>
      <c r="AB250" s="34">
        <v>0.0</v>
      </c>
      <c r="AC250" s="34">
        <v>100.0</v>
      </c>
      <c r="AD250" s="34">
        <v>0.0</v>
      </c>
      <c r="AE250" s="34">
        <v>0.0</v>
      </c>
      <c r="AF250" s="33">
        <f>COUNTIFS('Data For Calculation - Insuranc'!A:A,A250,'Data For Calculation - Insuranc'!D:D,"Individual",'Data For Calculation - Insuranc'!E:E,"Rollover Comprehensive - 1 Year OD + 1 Year TP")</f>
        <v>0</v>
      </c>
      <c r="AG250" s="34" t="s">
        <v>3930</v>
      </c>
      <c r="AH250" s="42" t="s">
        <v>3820</v>
      </c>
      <c r="AI250" s="34">
        <v>290.0</v>
      </c>
      <c r="AJ250" s="34" t="s">
        <v>3853</v>
      </c>
      <c r="AK250" s="34">
        <v>0.0</v>
      </c>
      <c r="AL250" s="34">
        <v>100.0</v>
      </c>
      <c r="AM250" s="34">
        <v>0.0</v>
      </c>
      <c r="AN250" s="34">
        <v>0.0</v>
      </c>
      <c r="AO250" s="33">
        <f>COUNTIFS('Data For Calculation - Insuranc'!A:A,A250,'Data For Calculation - Insuranc'!D:D,"Company",'Data For Calculation - Insuranc'!E:E,"Rollover Comprehensive - 1 Year OD + 1 Year TP")</f>
        <v>0</v>
      </c>
      <c r="AP250" s="34" t="s">
        <v>3931</v>
      </c>
      <c r="AQ250" s="42" t="s">
        <v>3820</v>
      </c>
      <c r="AR250" s="34">
        <v>290.0</v>
      </c>
      <c r="AS250" s="34" t="s">
        <v>3853</v>
      </c>
      <c r="AT250" s="34">
        <v>0.0</v>
      </c>
      <c r="AU250" s="34">
        <v>100.0</v>
      </c>
      <c r="AV250" s="34">
        <v>0.0</v>
      </c>
      <c r="AW250" s="34">
        <v>0.0</v>
      </c>
      <c r="AX250" s="33">
        <f>COUNTIFS('Data For Calculation - Insuranc'!A:A,A250,'Data For Calculation - Insuranc'!D:D,"Individual",'Data For Calculation - Insuranc'!E:E,"Rollover - 1 Year OD Only")</f>
        <v>0</v>
      </c>
      <c r="AY250" s="34" t="s">
        <v>3932</v>
      </c>
      <c r="AZ250" s="42" t="s">
        <v>3820</v>
      </c>
      <c r="BA250" s="34">
        <v>290.0</v>
      </c>
      <c r="BB250" s="34" t="s">
        <v>3853</v>
      </c>
      <c r="BC250" s="34">
        <v>0.0</v>
      </c>
      <c r="BD250" s="34">
        <v>100.0</v>
      </c>
      <c r="BE250" s="34">
        <v>0.0</v>
      </c>
      <c r="BF250" s="34">
        <v>0.0</v>
      </c>
      <c r="BG250" s="33">
        <f>COUNTIFS('Data For Calculation - Insuranc'!A:A,A250,'Data For Calculation - Insuranc'!D:D,"Company",'Data For Calculation - Insuranc'!E:E,"Rollover - 1 Year OD Only")</f>
        <v>0</v>
      </c>
      <c r="BH250" s="34" t="s">
        <v>3931</v>
      </c>
      <c r="BI250" s="42" t="s">
        <v>3820</v>
      </c>
      <c r="BJ250" s="34">
        <v>290.0</v>
      </c>
      <c r="BK250" s="34" t="s">
        <v>3853</v>
      </c>
      <c r="BL250" s="34">
        <v>0.0</v>
      </c>
      <c r="BM250" s="34">
        <v>100.0</v>
      </c>
      <c r="BN250" s="34">
        <v>0.0</v>
      </c>
      <c r="BO250" s="34">
        <v>0.0</v>
      </c>
      <c r="BP250" s="33">
        <f>COUNTIFS('Data For Calculation - Insuranc'!A:A,A250,'Data For Calculation - Insuranc'!D:D,"Individual",'Data For Calculation - Insuranc'!E:E,"Rollover - 1 Year TP Only")</f>
        <v>0</v>
      </c>
      <c r="BQ250" s="34" t="s">
        <v>3932</v>
      </c>
      <c r="BR250" s="42" t="s">
        <v>3820</v>
      </c>
      <c r="BS250" s="34">
        <v>290.0</v>
      </c>
      <c r="BT250" s="34" t="s">
        <v>3853</v>
      </c>
      <c r="BU250" s="34">
        <v>0.0</v>
      </c>
      <c r="BV250" s="34">
        <v>100.0</v>
      </c>
      <c r="BW250" s="34">
        <v>0.0</v>
      </c>
      <c r="BX250" s="34">
        <v>0.0</v>
      </c>
      <c r="BY250" s="33">
        <f>COUNTIFS('Data For Calculation - Insuranc'!A:A,A250,'Data For Calculation - Insuranc'!D:D,"Company",'Data For Calculation - Insuranc'!E:E,"Rollover - 1 Year TP Only")</f>
        <v>0</v>
      </c>
      <c r="BZ250" s="31">
        <f t="shared" si="1"/>
        <v>0</v>
      </c>
      <c r="CA250" s="33">
        <f>SUMIFS('Data For Calculation - Insuranc'!I:I,'Data For Calculation - Insuranc'!$A:$A,$A250)</f>
        <v>0</v>
      </c>
      <c r="CB250" s="33">
        <f>SUMIFS('Data For Calculation - Insuranc'!J:J,'Data For Calculation - Insuranc'!$A:$A,$A250)</f>
        <v>0</v>
      </c>
      <c r="CC250" s="33">
        <f>SUMIFS('Data For Calculation - Insuranc'!K:K,'Data For Calculation - Insuranc'!$A:$A,$A250)</f>
        <v>0</v>
      </c>
      <c r="CD250" s="33">
        <f>IF($CK250 = "Dealer", SUMIFS('Data For Calculation - Insuranc'!I:I,'Data For Calculation - Insuranc'!$B:$B,$A250,'Data For Calculation - Insuranc'!$H:$H,"Master Dealer")) + SUMIFS('Data For Calculation - Insuranc'!I:I,'Data For Calculation - Insuranc'!$A:$A,$A250,'Data For Calculation - Insuranc'!$H:$H,"Self")</f>
        <v>0</v>
      </c>
      <c r="CE250" s="33">
        <f>IF($CK250 = "Dealer", SUMIFS('Data For Calculation - Insuranc'!J:J,'Data For Calculation - Insuranc'!$B:$B,$A250,'Data For Calculation - Insuranc'!$H:$H,"Master Dealer")) + SUMIFS('Data For Calculation - Insuranc'!J:J,'Data For Calculation - Insuranc'!$A:$A,$A250,'Data For Calculation - Insuranc'!$H:$H,"Self")</f>
        <v>0</v>
      </c>
      <c r="CF250" s="33">
        <f>IF($CK250 = "Dealer", SUMIFS('Data For Calculation - Insuranc'!K:K,'Data For Calculation - Insuranc'!$B:$B,$A250,'Data For Calculation - Insuranc'!$H:$H,"Master Dealer")) + SUMIFS('Data For Calculation - Insuranc'!K:K,'Data For Calculation - Insuranc'!$A:$A,$A250,'Data For Calculation - Insuranc'!$H:$H,"Self")</f>
        <v>0</v>
      </c>
      <c r="CG250" s="26" t="str">
        <f>(Sheet1!N250)</f>
        <v>Chandra Automobiles - Faizabad</v>
      </c>
      <c r="CH250" s="26" t="str">
        <f>(Sheet1!O250)</f>
        <v>1TMTMDBTSLXzi0POas5HDprui-sp3TCVvRYWE8buap-0</v>
      </c>
      <c r="CI250" s="25" t="str">
        <f>(Sheet1!AV250)</f>
        <v/>
      </c>
      <c r="CJ250" s="25" t="str">
        <f>(Sheet1!AW250)</f>
        <v/>
      </c>
      <c r="CK250" s="26" t="str">
        <f>(Sheet1!P250)</f>
        <v>Sub Dealer</v>
      </c>
    </row>
    <row r="251">
      <c r="A251" s="26" t="str">
        <f>(Sheet1!A251)</f>
        <v>1VTFWB6Hw6EUp6TdZoOlRcBVDxwR_k4LX_ysjQi3ijbA</v>
      </c>
      <c r="B251" s="26" t="str">
        <f>(Sheet1!B251)</f>
        <v>SIYARAM AUTOMOBILES(CA) - HAIDARGANJ BAZAR</v>
      </c>
      <c r="C251" s="30" t="str">
        <f>Sheet1!BB251</f>
        <v>No</v>
      </c>
      <c r="D251" s="34" t="s">
        <v>13</v>
      </c>
      <c r="E251" s="34" t="s">
        <v>13</v>
      </c>
      <c r="F251" s="34" t="s">
        <v>3929</v>
      </c>
      <c r="G251" s="42" t="s">
        <v>3820</v>
      </c>
      <c r="H251" s="43">
        <v>375.0</v>
      </c>
      <c r="I251" s="42" t="s">
        <v>3853</v>
      </c>
      <c r="J251" s="43">
        <v>0.0</v>
      </c>
      <c r="K251" s="43">
        <v>100.0</v>
      </c>
      <c r="L251" s="43">
        <v>0.0</v>
      </c>
      <c r="M251" s="43">
        <v>0.0</v>
      </c>
      <c r="N251" s="33">
        <f>COUNTIFS('Data For Calculation - Insuranc'!A:A,A251,'Data For Calculation - Insuranc'!D:D,"Individual",'Data For Calculation - Insuranc'!E:E,"Bundled - 1 Year OD + 5 Year TP")</f>
        <v>0</v>
      </c>
      <c r="O251" s="34" t="s">
        <v>3930</v>
      </c>
      <c r="P251" s="42" t="s">
        <v>3820</v>
      </c>
      <c r="Q251" s="43">
        <v>375.0</v>
      </c>
      <c r="R251" s="42" t="s">
        <v>3853</v>
      </c>
      <c r="S251" s="43">
        <v>0.0</v>
      </c>
      <c r="T251" s="43">
        <v>100.0</v>
      </c>
      <c r="U251" s="43">
        <v>0.0</v>
      </c>
      <c r="V251" s="43">
        <v>0.0</v>
      </c>
      <c r="W251" s="33">
        <f>COUNTIFS('Data For Calculation - Insuranc'!A:A,A251,'Data For Calculation - Insuranc'!D:D,"Company",'Data For Calculation - Insuranc'!E:E,"Bundled - 1 Year OD + 5 Year TP")</f>
        <v>0</v>
      </c>
      <c r="X251" s="34" t="s">
        <v>3929</v>
      </c>
      <c r="Y251" s="42" t="s">
        <v>3820</v>
      </c>
      <c r="Z251" s="34">
        <v>290.0</v>
      </c>
      <c r="AA251" s="34" t="s">
        <v>3853</v>
      </c>
      <c r="AB251" s="34">
        <v>0.0</v>
      </c>
      <c r="AC251" s="34">
        <v>100.0</v>
      </c>
      <c r="AD251" s="34">
        <v>0.0</v>
      </c>
      <c r="AE251" s="34">
        <v>0.0</v>
      </c>
      <c r="AF251" s="33">
        <f>COUNTIFS('Data For Calculation - Insuranc'!A:A,A251,'Data For Calculation - Insuranc'!D:D,"Individual",'Data For Calculation - Insuranc'!E:E,"Rollover Comprehensive - 1 Year OD + 1 Year TP")</f>
        <v>0</v>
      </c>
      <c r="AG251" s="34" t="s">
        <v>3930</v>
      </c>
      <c r="AH251" s="42" t="s">
        <v>3820</v>
      </c>
      <c r="AI251" s="34">
        <v>290.0</v>
      </c>
      <c r="AJ251" s="34" t="s">
        <v>3853</v>
      </c>
      <c r="AK251" s="34">
        <v>0.0</v>
      </c>
      <c r="AL251" s="34">
        <v>100.0</v>
      </c>
      <c r="AM251" s="34">
        <v>0.0</v>
      </c>
      <c r="AN251" s="34">
        <v>0.0</v>
      </c>
      <c r="AO251" s="33">
        <f>COUNTIFS('Data For Calculation - Insuranc'!A:A,A251,'Data For Calculation - Insuranc'!D:D,"Company",'Data For Calculation - Insuranc'!E:E,"Rollover Comprehensive - 1 Year OD + 1 Year TP")</f>
        <v>0</v>
      </c>
      <c r="AP251" s="34" t="s">
        <v>3931</v>
      </c>
      <c r="AQ251" s="42" t="s">
        <v>3820</v>
      </c>
      <c r="AR251" s="34">
        <v>290.0</v>
      </c>
      <c r="AS251" s="34" t="s">
        <v>3853</v>
      </c>
      <c r="AT251" s="34">
        <v>0.0</v>
      </c>
      <c r="AU251" s="34">
        <v>100.0</v>
      </c>
      <c r="AV251" s="34">
        <v>0.0</v>
      </c>
      <c r="AW251" s="34">
        <v>0.0</v>
      </c>
      <c r="AX251" s="33">
        <f>COUNTIFS('Data For Calculation - Insuranc'!A:A,A251,'Data For Calculation - Insuranc'!D:D,"Individual",'Data For Calculation - Insuranc'!E:E,"Rollover - 1 Year OD Only")</f>
        <v>0</v>
      </c>
      <c r="AY251" s="34" t="s">
        <v>3932</v>
      </c>
      <c r="AZ251" s="42" t="s">
        <v>3820</v>
      </c>
      <c r="BA251" s="34">
        <v>290.0</v>
      </c>
      <c r="BB251" s="34" t="s">
        <v>3853</v>
      </c>
      <c r="BC251" s="34">
        <v>0.0</v>
      </c>
      <c r="BD251" s="34">
        <v>100.0</v>
      </c>
      <c r="BE251" s="34">
        <v>0.0</v>
      </c>
      <c r="BF251" s="34">
        <v>0.0</v>
      </c>
      <c r="BG251" s="33">
        <f>COUNTIFS('Data For Calculation - Insuranc'!A:A,A251,'Data For Calculation - Insuranc'!D:D,"Company",'Data For Calculation - Insuranc'!E:E,"Rollover - 1 Year OD Only")</f>
        <v>0</v>
      </c>
      <c r="BH251" s="34" t="s">
        <v>3931</v>
      </c>
      <c r="BI251" s="42" t="s">
        <v>3820</v>
      </c>
      <c r="BJ251" s="34">
        <v>290.0</v>
      </c>
      <c r="BK251" s="34" t="s">
        <v>3853</v>
      </c>
      <c r="BL251" s="34">
        <v>0.0</v>
      </c>
      <c r="BM251" s="34">
        <v>100.0</v>
      </c>
      <c r="BN251" s="34">
        <v>0.0</v>
      </c>
      <c r="BO251" s="34">
        <v>0.0</v>
      </c>
      <c r="BP251" s="33">
        <f>COUNTIFS('Data For Calculation - Insuranc'!A:A,A251,'Data For Calculation - Insuranc'!D:D,"Individual",'Data For Calculation - Insuranc'!E:E,"Rollover - 1 Year TP Only")</f>
        <v>0</v>
      </c>
      <c r="BQ251" s="34" t="s">
        <v>3932</v>
      </c>
      <c r="BR251" s="42" t="s">
        <v>3820</v>
      </c>
      <c r="BS251" s="34">
        <v>290.0</v>
      </c>
      <c r="BT251" s="34" t="s">
        <v>3853</v>
      </c>
      <c r="BU251" s="34">
        <v>0.0</v>
      </c>
      <c r="BV251" s="34">
        <v>100.0</v>
      </c>
      <c r="BW251" s="34">
        <v>0.0</v>
      </c>
      <c r="BX251" s="34">
        <v>0.0</v>
      </c>
      <c r="BY251" s="33">
        <f>COUNTIFS('Data For Calculation - Insuranc'!A:A,A251,'Data For Calculation - Insuranc'!D:D,"Company",'Data For Calculation - Insuranc'!E:E,"Rollover - 1 Year TP Only")</f>
        <v>0</v>
      </c>
      <c r="BZ251" s="31">
        <f t="shared" si="1"/>
        <v>0</v>
      </c>
      <c r="CA251" s="33">
        <f>SUMIFS('Data For Calculation - Insuranc'!I:I,'Data For Calculation - Insuranc'!$A:$A,$A251)</f>
        <v>0</v>
      </c>
      <c r="CB251" s="33">
        <f>SUMIFS('Data For Calculation - Insuranc'!J:J,'Data For Calculation - Insuranc'!$A:$A,$A251)</f>
        <v>0</v>
      </c>
      <c r="CC251" s="33">
        <f>SUMIFS('Data For Calculation - Insuranc'!K:K,'Data For Calculation - Insuranc'!$A:$A,$A251)</f>
        <v>0</v>
      </c>
      <c r="CD251" s="33">
        <f>IF($CK251 = "Dealer", SUMIFS('Data For Calculation - Insuranc'!I:I,'Data For Calculation - Insuranc'!$B:$B,$A251,'Data For Calculation - Insuranc'!$H:$H,"Master Dealer")) + SUMIFS('Data For Calculation - Insuranc'!I:I,'Data For Calculation - Insuranc'!$A:$A,$A251,'Data For Calculation - Insuranc'!$H:$H,"Self")</f>
        <v>0</v>
      </c>
      <c r="CE251" s="33">
        <f>IF($CK251 = "Dealer", SUMIFS('Data For Calculation - Insuranc'!J:J,'Data For Calculation - Insuranc'!$B:$B,$A251,'Data For Calculation - Insuranc'!$H:$H,"Master Dealer")) + SUMIFS('Data For Calculation - Insuranc'!J:J,'Data For Calculation - Insuranc'!$A:$A,$A251,'Data For Calculation - Insuranc'!$H:$H,"Self")</f>
        <v>0</v>
      </c>
      <c r="CF251" s="33">
        <f>IF($CK251 = "Dealer", SUMIFS('Data For Calculation - Insuranc'!K:K,'Data For Calculation - Insuranc'!$B:$B,$A251,'Data For Calculation - Insuranc'!$H:$H,"Master Dealer")) + SUMIFS('Data For Calculation - Insuranc'!K:K,'Data For Calculation - Insuranc'!$A:$A,$A251,'Data For Calculation - Insuranc'!$H:$H,"Self")</f>
        <v>0</v>
      </c>
      <c r="CG251" s="26" t="str">
        <f>(Sheet1!N251)</f>
        <v>Chandra Automobiles - Faizabad</v>
      </c>
      <c r="CH251" s="26" t="str">
        <f>(Sheet1!O251)</f>
        <v>1TMTMDBTSLXzi0POas5HDprui-sp3TCVvRYWE8buap-0</v>
      </c>
      <c r="CI251" s="25" t="str">
        <f>(Sheet1!AV251)</f>
        <v/>
      </c>
      <c r="CJ251" s="25" t="str">
        <f>(Sheet1!AW251)</f>
        <v/>
      </c>
      <c r="CK251" s="26" t="str">
        <f>(Sheet1!P251)</f>
        <v>Sub Dealer</v>
      </c>
    </row>
    <row r="252">
      <c r="A252" s="26" t="str">
        <f>(Sheet1!A252)</f>
        <v>1SSzUIjRsBuOQW-kzcJRcEuyLwfZTtwgEZNTVqimPXRM</v>
      </c>
      <c r="B252" s="26" t="str">
        <f>(Sheet1!B252)</f>
        <v>YADAV AUTOSALES (CA) - BABA BAZAR</v>
      </c>
      <c r="C252" s="30" t="str">
        <f>Sheet1!BB252</f>
        <v>No</v>
      </c>
      <c r="D252" s="34" t="s">
        <v>13</v>
      </c>
      <c r="E252" s="34" t="s">
        <v>13</v>
      </c>
      <c r="F252" s="34" t="s">
        <v>3929</v>
      </c>
      <c r="G252" s="42" t="s">
        <v>3820</v>
      </c>
      <c r="H252" s="43">
        <v>375.0</v>
      </c>
      <c r="I252" s="42" t="s">
        <v>3853</v>
      </c>
      <c r="J252" s="43">
        <v>0.0</v>
      </c>
      <c r="K252" s="43">
        <v>100.0</v>
      </c>
      <c r="L252" s="43">
        <v>0.0</v>
      </c>
      <c r="M252" s="43">
        <v>0.0</v>
      </c>
      <c r="N252" s="33">
        <f>COUNTIFS('Data For Calculation - Insuranc'!A:A,A252,'Data For Calculation - Insuranc'!D:D,"Individual",'Data For Calculation - Insuranc'!E:E,"Bundled - 1 Year OD + 5 Year TP")</f>
        <v>0</v>
      </c>
      <c r="O252" s="34" t="s">
        <v>3930</v>
      </c>
      <c r="P252" s="42" t="s">
        <v>3820</v>
      </c>
      <c r="Q252" s="43">
        <v>375.0</v>
      </c>
      <c r="R252" s="42" t="s">
        <v>3853</v>
      </c>
      <c r="S252" s="43">
        <v>0.0</v>
      </c>
      <c r="T252" s="43">
        <v>100.0</v>
      </c>
      <c r="U252" s="43">
        <v>0.0</v>
      </c>
      <c r="V252" s="43">
        <v>0.0</v>
      </c>
      <c r="W252" s="33">
        <f>COUNTIFS('Data For Calculation - Insuranc'!A:A,A252,'Data For Calculation - Insuranc'!D:D,"Company",'Data For Calculation - Insuranc'!E:E,"Bundled - 1 Year OD + 5 Year TP")</f>
        <v>0</v>
      </c>
      <c r="X252" s="34" t="s">
        <v>3929</v>
      </c>
      <c r="Y252" s="42" t="s">
        <v>3820</v>
      </c>
      <c r="Z252" s="34">
        <v>290.0</v>
      </c>
      <c r="AA252" s="34" t="s">
        <v>3853</v>
      </c>
      <c r="AB252" s="34">
        <v>0.0</v>
      </c>
      <c r="AC252" s="34">
        <v>100.0</v>
      </c>
      <c r="AD252" s="34">
        <v>0.0</v>
      </c>
      <c r="AE252" s="34">
        <v>0.0</v>
      </c>
      <c r="AF252" s="33">
        <f>COUNTIFS('Data For Calculation - Insuranc'!A:A,A252,'Data For Calculation - Insuranc'!D:D,"Individual",'Data For Calculation - Insuranc'!E:E,"Rollover Comprehensive - 1 Year OD + 1 Year TP")</f>
        <v>0</v>
      </c>
      <c r="AG252" s="34" t="s">
        <v>3930</v>
      </c>
      <c r="AH252" s="42" t="s">
        <v>3820</v>
      </c>
      <c r="AI252" s="34">
        <v>290.0</v>
      </c>
      <c r="AJ252" s="34" t="s">
        <v>3853</v>
      </c>
      <c r="AK252" s="34">
        <v>0.0</v>
      </c>
      <c r="AL252" s="34">
        <v>100.0</v>
      </c>
      <c r="AM252" s="34">
        <v>0.0</v>
      </c>
      <c r="AN252" s="34">
        <v>0.0</v>
      </c>
      <c r="AO252" s="33">
        <f>COUNTIFS('Data For Calculation - Insuranc'!A:A,A252,'Data For Calculation - Insuranc'!D:D,"Company",'Data For Calculation - Insuranc'!E:E,"Rollover Comprehensive - 1 Year OD + 1 Year TP")</f>
        <v>0</v>
      </c>
      <c r="AP252" s="34" t="s">
        <v>3931</v>
      </c>
      <c r="AQ252" s="42" t="s">
        <v>3820</v>
      </c>
      <c r="AR252" s="34">
        <v>290.0</v>
      </c>
      <c r="AS252" s="34" t="s">
        <v>3853</v>
      </c>
      <c r="AT252" s="34">
        <v>0.0</v>
      </c>
      <c r="AU252" s="34">
        <v>100.0</v>
      </c>
      <c r="AV252" s="34">
        <v>0.0</v>
      </c>
      <c r="AW252" s="34">
        <v>0.0</v>
      </c>
      <c r="AX252" s="33">
        <f>COUNTIFS('Data For Calculation - Insuranc'!A:A,A252,'Data For Calculation - Insuranc'!D:D,"Individual",'Data For Calculation - Insuranc'!E:E,"Rollover - 1 Year OD Only")</f>
        <v>0</v>
      </c>
      <c r="AY252" s="34" t="s">
        <v>3932</v>
      </c>
      <c r="AZ252" s="42" t="s">
        <v>3820</v>
      </c>
      <c r="BA252" s="34">
        <v>290.0</v>
      </c>
      <c r="BB252" s="34" t="s">
        <v>3853</v>
      </c>
      <c r="BC252" s="34">
        <v>0.0</v>
      </c>
      <c r="BD252" s="34">
        <v>100.0</v>
      </c>
      <c r="BE252" s="34">
        <v>0.0</v>
      </c>
      <c r="BF252" s="34">
        <v>0.0</v>
      </c>
      <c r="BG252" s="33">
        <f>COUNTIFS('Data For Calculation - Insuranc'!A:A,A252,'Data For Calculation - Insuranc'!D:D,"Company",'Data For Calculation - Insuranc'!E:E,"Rollover - 1 Year OD Only")</f>
        <v>0</v>
      </c>
      <c r="BH252" s="34" t="s">
        <v>3931</v>
      </c>
      <c r="BI252" s="42" t="s">
        <v>3820</v>
      </c>
      <c r="BJ252" s="34">
        <v>290.0</v>
      </c>
      <c r="BK252" s="34" t="s">
        <v>3853</v>
      </c>
      <c r="BL252" s="34">
        <v>0.0</v>
      </c>
      <c r="BM252" s="34">
        <v>100.0</v>
      </c>
      <c r="BN252" s="34">
        <v>0.0</v>
      </c>
      <c r="BO252" s="34">
        <v>0.0</v>
      </c>
      <c r="BP252" s="33">
        <f>COUNTIFS('Data For Calculation - Insuranc'!A:A,A252,'Data For Calculation - Insuranc'!D:D,"Individual",'Data For Calculation - Insuranc'!E:E,"Rollover - 1 Year TP Only")</f>
        <v>0</v>
      </c>
      <c r="BQ252" s="34" t="s">
        <v>3932</v>
      </c>
      <c r="BR252" s="42" t="s">
        <v>3820</v>
      </c>
      <c r="BS252" s="34">
        <v>290.0</v>
      </c>
      <c r="BT252" s="34" t="s">
        <v>3853</v>
      </c>
      <c r="BU252" s="34">
        <v>0.0</v>
      </c>
      <c r="BV252" s="34">
        <v>100.0</v>
      </c>
      <c r="BW252" s="34">
        <v>0.0</v>
      </c>
      <c r="BX252" s="34">
        <v>0.0</v>
      </c>
      <c r="BY252" s="33">
        <f>COUNTIFS('Data For Calculation - Insuranc'!A:A,A252,'Data For Calculation - Insuranc'!D:D,"Company",'Data For Calculation - Insuranc'!E:E,"Rollover - 1 Year TP Only")</f>
        <v>0</v>
      </c>
      <c r="BZ252" s="31">
        <f t="shared" si="1"/>
        <v>0</v>
      </c>
      <c r="CA252" s="33">
        <f>SUMIFS('Data For Calculation - Insuranc'!I:I,'Data For Calculation - Insuranc'!$A:$A,$A252)</f>
        <v>0</v>
      </c>
      <c r="CB252" s="33">
        <f>SUMIFS('Data For Calculation - Insuranc'!J:J,'Data For Calculation - Insuranc'!$A:$A,$A252)</f>
        <v>0</v>
      </c>
      <c r="CC252" s="33">
        <f>SUMIFS('Data For Calculation - Insuranc'!K:K,'Data For Calculation - Insuranc'!$A:$A,$A252)</f>
        <v>0</v>
      </c>
      <c r="CD252" s="33">
        <f>IF($CK252 = "Dealer", SUMIFS('Data For Calculation - Insuranc'!I:I,'Data For Calculation - Insuranc'!$B:$B,$A252,'Data For Calculation - Insuranc'!$H:$H,"Master Dealer")) + SUMIFS('Data For Calculation - Insuranc'!I:I,'Data For Calculation - Insuranc'!$A:$A,$A252,'Data For Calculation - Insuranc'!$H:$H,"Self")</f>
        <v>0</v>
      </c>
      <c r="CE252" s="33">
        <f>IF($CK252 = "Dealer", SUMIFS('Data For Calculation - Insuranc'!J:J,'Data For Calculation - Insuranc'!$B:$B,$A252,'Data For Calculation - Insuranc'!$H:$H,"Master Dealer")) + SUMIFS('Data For Calculation - Insuranc'!J:J,'Data For Calculation - Insuranc'!$A:$A,$A252,'Data For Calculation - Insuranc'!$H:$H,"Self")</f>
        <v>0</v>
      </c>
      <c r="CF252" s="33">
        <f>IF($CK252 = "Dealer", SUMIFS('Data For Calculation - Insuranc'!K:K,'Data For Calculation - Insuranc'!$B:$B,$A252,'Data For Calculation - Insuranc'!$H:$H,"Master Dealer")) + SUMIFS('Data For Calculation - Insuranc'!K:K,'Data For Calculation - Insuranc'!$A:$A,$A252,'Data For Calculation - Insuranc'!$H:$H,"Self")</f>
        <v>0</v>
      </c>
      <c r="CG252" s="26" t="str">
        <f>(Sheet1!N252)</f>
        <v>Chandra Automobiles - Faizabad</v>
      </c>
      <c r="CH252" s="26" t="str">
        <f>(Sheet1!O252)</f>
        <v>1TMTMDBTSLXzi0POas5HDprui-sp3TCVvRYWE8buap-0</v>
      </c>
      <c r="CI252" s="25" t="str">
        <f>(Sheet1!AV252)</f>
        <v/>
      </c>
      <c r="CJ252" s="25" t="str">
        <f>(Sheet1!AW252)</f>
        <v/>
      </c>
      <c r="CK252" s="26" t="str">
        <f>(Sheet1!P252)</f>
        <v>Sub Dealer</v>
      </c>
    </row>
    <row r="253">
      <c r="A253" s="26" t="str">
        <f>(Sheet1!A253)</f>
        <v>1osOyuHF4zURKwQBQVId__BAxFL3ovjDFMAESaHNUzcw</v>
      </c>
      <c r="B253" s="26" t="str">
        <f>(Sheet1!B253)</f>
        <v>GURU AUTO (MA) - AGSAULI</v>
      </c>
      <c r="C253" s="30" t="str">
        <f>Sheet1!BB253</f>
        <v>No</v>
      </c>
      <c r="D253" s="34" t="s">
        <v>13</v>
      </c>
      <c r="E253" s="34" t="s">
        <v>13</v>
      </c>
      <c r="F253" s="34" t="s">
        <v>3929</v>
      </c>
      <c r="G253" s="42" t="s">
        <v>3820</v>
      </c>
      <c r="H253" s="43">
        <v>170.0</v>
      </c>
      <c r="I253" s="42" t="s">
        <v>3853</v>
      </c>
      <c r="J253" s="43">
        <v>0.0</v>
      </c>
      <c r="K253" s="43">
        <v>100.0</v>
      </c>
      <c r="L253" s="43">
        <v>0.0</v>
      </c>
      <c r="M253" s="43">
        <v>0.0</v>
      </c>
      <c r="N253" s="33">
        <f>COUNTIFS('Data For Calculation - Insuranc'!A:A,A253,'Data For Calculation - Insuranc'!D:D,"Individual",'Data For Calculation - Insuranc'!E:E,"Bundled - 1 Year OD + 5 Year TP")</f>
        <v>0</v>
      </c>
      <c r="O253" s="34" t="s">
        <v>3930</v>
      </c>
      <c r="P253" s="42" t="s">
        <v>3820</v>
      </c>
      <c r="Q253" s="43">
        <v>170.0</v>
      </c>
      <c r="R253" s="42" t="s">
        <v>3853</v>
      </c>
      <c r="S253" s="43">
        <v>0.0</v>
      </c>
      <c r="T253" s="43">
        <v>100.0</v>
      </c>
      <c r="U253" s="43">
        <v>0.0</v>
      </c>
      <c r="V253" s="43">
        <v>0.0</v>
      </c>
      <c r="W253" s="33">
        <f>COUNTIFS('Data For Calculation - Insuranc'!A:A,A253,'Data For Calculation - Insuranc'!D:D,"Company",'Data For Calculation - Insuranc'!E:E,"Bundled - 1 Year OD + 5 Year TP")</f>
        <v>0</v>
      </c>
      <c r="X253" s="34" t="s">
        <v>3929</v>
      </c>
      <c r="Y253" s="42" t="s">
        <v>3820</v>
      </c>
      <c r="Z253" s="31">
        <v>170.0</v>
      </c>
      <c r="AA253" s="34" t="s">
        <v>3853</v>
      </c>
      <c r="AB253" s="34">
        <v>0.0</v>
      </c>
      <c r="AC253" s="34">
        <v>100.0</v>
      </c>
      <c r="AD253" s="34">
        <v>0.0</v>
      </c>
      <c r="AE253" s="34">
        <v>0.0</v>
      </c>
      <c r="AF253" s="33">
        <f>COUNTIFS('Data For Calculation - Insuranc'!A:A,A253,'Data For Calculation - Insuranc'!D:D,"Individual",'Data For Calculation - Insuranc'!E:E,"Rollover Comprehensive - 1 Year OD + 1 Year TP")</f>
        <v>0</v>
      </c>
      <c r="AG253" s="34" t="s">
        <v>3930</v>
      </c>
      <c r="AH253" s="42" t="s">
        <v>3820</v>
      </c>
      <c r="AI253" s="31">
        <v>170.0</v>
      </c>
      <c r="AJ253" s="34" t="s">
        <v>3853</v>
      </c>
      <c r="AK253" s="34">
        <v>0.0</v>
      </c>
      <c r="AL253" s="34">
        <v>100.0</v>
      </c>
      <c r="AM253" s="34">
        <v>0.0</v>
      </c>
      <c r="AN253" s="34">
        <v>0.0</v>
      </c>
      <c r="AO253" s="33">
        <f>COUNTIFS('Data For Calculation - Insuranc'!A:A,A253,'Data For Calculation - Insuranc'!D:D,"Company",'Data For Calculation - Insuranc'!E:E,"Rollover Comprehensive - 1 Year OD + 1 Year TP")</f>
        <v>0</v>
      </c>
      <c r="AP253" s="34" t="s">
        <v>3931</v>
      </c>
      <c r="AQ253" s="42" t="s">
        <v>3820</v>
      </c>
      <c r="AR253" s="31">
        <v>170.0</v>
      </c>
      <c r="AS253" s="34" t="s">
        <v>3853</v>
      </c>
      <c r="AT253" s="34">
        <v>0.0</v>
      </c>
      <c r="AU253" s="34">
        <v>100.0</v>
      </c>
      <c r="AV253" s="34">
        <v>0.0</v>
      </c>
      <c r="AW253" s="34">
        <v>0.0</v>
      </c>
      <c r="AX253" s="33">
        <f>COUNTIFS('Data For Calculation - Insuranc'!A:A,A253,'Data For Calculation - Insuranc'!D:D,"Individual",'Data For Calculation - Insuranc'!E:E,"Rollover - 1 Year OD Only")</f>
        <v>0</v>
      </c>
      <c r="AY253" s="34" t="s">
        <v>3932</v>
      </c>
      <c r="AZ253" s="42" t="s">
        <v>3820</v>
      </c>
      <c r="BA253" s="31">
        <v>170.0</v>
      </c>
      <c r="BB253" s="34" t="s">
        <v>3853</v>
      </c>
      <c r="BC253" s="34">
        <v>0.0</v>
      </c>
      <c r="BD253" s="34">
        <v>100.0</v>
      </c>
      <c r="BE253" s="34">
        <v>0.0</v>
      </c>
      <c r="BF253" s="34">
        <v>0.0</v>
      </c>
      <c r="BG253" s="33">
        <f>COUNTIFS('Data For Calculation - Insuranc'!A:A,A253,'Data For Calculation - Insuranc'!D:D,"Company",'Data For Calculation - Insuranc'!E:E,"Rollover - 1 Year OD Only")</f>
        <v>0</v>
      </c>
      <c r="BH253" s="34" t="s">
        <v>3931</v>
      </c>
      <c r="BI253" s="42" t="s">
        <v>3820</v>
      </c>
      <c r="BJ253" s="31">
        <v>170.0</v>
      </c>
      <c r="BK253" s="34" t="s">
        <v>3853</v>
      </c>
      <c r="BL253" s="34">
        <v>0.0</v>
      </c>
      <c r="BM253" s="34">
        <v>100.0</v>
      </c>
      <c r="BN253" s="34">
        <v>0.0</v>
      </c>
      <c r="BO253" s="34">
        <v>0.0</v>
      </c>
      <c r="BP253" s="33">
        <f>COUNTIFS('Data For Calculation - Insuranc'!A:A,A253,'Data For Calculation - Insuranc'!D:D,"Individual",'Data For Calculation - Insuranc'!E:E,"Rollover - 1 Year TP Only")</f>
        <v>0</v>
      </c>
      <c r="BQ253" s="34" t="s">
        <v>3932</v>
      </c>
      <c r="BR253" s="42" t="s">
        <v>3820</v>
      </c>
      <c r="BS253" s="31">
        <v>170.0</v>
      </c>
      <c r="BT253" s="34" t="s">
        <v>3853</v>
      </c>
      <c r="BU253" s="34">
        <v>0.0</v>
      </c>
      <c r="BV253" s="34">
        <v>100.0</v>
      </c>
      <c r="BW253" s="34">
        <v>0.0</v>
      </c>
      <c r="BX253" s="34">
        <v>0.0</v>
      </c>
      <c r="BY253" s="33">
        <f>COUNTIFS('Data For Calculation - Insuranc'!A:A,A253,'Data For Calculation - Insuranc'!D:D,"Company",'Data For Calculation - Insuranc'!E:E,"Rollover - 1 Year TP Only")</f>
        <v>0</v>
      </c>
      <c r="BZ253" s="31">
        <f t="shared" si="1"/>
        <v>0</v>
      </c>
      <c r="CA253" s="33">
        <f>SUMIFS('Data For Calculation - Insuranc'!I:I,'Data For Calculation - Insuranc'!$A:$A,$A253)</f>
        <v>0</v>
      </c>
      <c r="CB253" s="33">
        <f>SUMIFS('Data For Calculation - Insuranc'!J:J,'Data For Calculation - Insuranc'!$A:$A,$A253)</f>
        <v>0</v>
      </c>
      <c r="CC253" s="33">
        <f>SUMIFS('Data For Calculation - Insuranc'!K:K,'Data For Calculation - Insuranc'!$A:$A,$A253)</f>
        <v>0</v>
      </c>
      <c r="CD253" s="33">
        <f>IF($CK253 = "Dealer", SUMIFS('Data For Calculation - Insuranc'!I:I,'Data For Calculation - Insuranc'!$B:$B,$A253,'Data For Calculation - Insuranc'!$H:$H,"Master Dealer")) + SUMIFS('Data For Calculation - Insuranc'!I:I,'Data For Calculation - Insuranc'!$A:$A,$A253,'Data For Calculation - Insuranc'!$H:$H,"Self")</f>
        <v>0</v>
      </c>
      <c r="CE253" s="33">
        <f>IF($CK253 = "Dealer", SUMIFS('Data For Calculation - Insuranc'!J:J,'Data For Calculation - Insuranc'!$B:$B,$A253,'Data For Calculation - Insuranc'!$H:$H,"Master Dealer")) + SUMIFS('Data For Calculation - Insuranc'!J:J,'Data For Calculation - Insuranc'!$A:$A,$A253,'Data For Calculation - Insuranc'!$H:$H,"Self")</f>
        <v>0</v>
      </c>
      <c r="CF253" s="33">
        <f>IF($CK253 = "Dealer", SUMIFS('Data For Calculation - Insuranc'!K:K,'Data For Calculation - Insuranc'!$B:$B,$A253,'Data For Calculation - Insuranc'!$H:$H,"Master Dealer")) + SUMIFS('Data For Calculation - Insuranc'!K:K,'Data For Calculation - Insuranc'!$A:$A,$A253,'Data For Calculation - Insuranc'!$H:$H,"Self")</f>
        <v>0</v>
      </c>
      <c r="CG253" s="26" t="str">
        <f>(Sheet1!N253)</f>
        <v>Maharaja Autoworld</v>
      </c>
      <c r="CH253" s="26" t="str">
        <f>(Sheet1!O253)</f>
        <v>1mkGLSaVL5-IAXKq9KqXFgJH64Li9oMA9V0u_seCn1jg</v>
      </c>
      <c r="CI253" s="25" t="str">
        <f>(Sheet1!AV253)</f>
        <v/>
      </c>
      <c r="CJ253" s="25" t="str">
        <f>(Sheet1!AW253)</f>
        <v/>
      </c>
      <c r="CK253" s="26" t="str">
        <f>(Sheet1!P253)</f>
        <v>Sub Dealer</v>
      </c>
    </row>
    <row r="254">
      <c r="A254" s="26" t="str">
        <f>(Sheet1!A254)</f>
        <v>1jBLj7YlO7RVCF75qSzQ559wmnPniOl1ikS8tNuHDQd0</v>
      </c>
      <c r="B254" s="26" t="str">
        <f>(Sheet1!B254)</f>
        <v>SAGAR AUTOMOBILES (MAW) - MURSAN</v>
      </c>
      <c r="C254" s="30" t="str">
        <f>Sheet1!BB254</f>
        <v>No</v>
      </c>
      <c r="D254" s="34" t="s">
        <v>13</v>
      </c>
      <c r="E254" s="34" t="s">
        <v>13</v>
      </c>
      <c r="F254" s="34" t="s">
        <v>3929</v>
      </c>
      <c r="G254" s="42" t="s">
        <v>3820</v>
      </c>
      <c r="H254" s="43">
        <v>170.0</v>
      </c>
      <c r="I254" s="42" t="s">
        <v>3853</v>
      </c>
      <c r="J254" s="43">
        <v>0.0</v>
      </c>
      <c r="K254" s="43">
        <v>100.0</v>
      </c>
      <c r="L254" s="43">
        <v>0.0</v>
      </c>
      <c r="M254" s="43">
        <v>0.0</v>
      </c>
      <c r="N254" s="33">
        <f>COUNTIFS('Data For Calculation - Insuranc'!A:A,A254,'Data For Calculation - Insuranc'!D:D,"Individual",'Data For Calculation - Insuranc'!E:E,"Bundled - 1 Year OD + 5 Year TP")</f>
        <v>0</v>
      </c>
      <c r="O254" s="34" t="s">
        <v>3930</v>
      </c>
      <c r="P254" s="42" t="s">
        <v>3820</v>
      </c>
      <c r="Q254" s="43">
        <v>170.0</v>
      </c>
      <c r="R254" s="42" t="s">
        <v>3853</v>
      </c>
      <c r="S254" s="43">
        <v>0.0</v>
      </c>
      <c r="T254" s="43">
        <v>100.0</v>
      </c>
      <c r="U254" s="43">
        <v>0.0</v>
      </c>
      <c r="V254" s="43">
        <v>0.0</v>
      </c>
      <c r="W254" s="33">
        <f>COUNTIFS('Data For Calculation - Insuranc'!A:A,A254,'Data For Calculation - Insuranc'!D:D,"Company",'Data For Calculation - Insuranc'!E:E,"Bundled - 1 Year OD + 5 Year TP")</f>
        <v>0</v>
      </c>
      <c r="X254" s="34" t="s">
        <v>3929</v>
      </c>
      <c r="Y254" s="42" t="s">
        <v>3820</v>
      </c>
      <c r="Z254" s="31">
        <v>170.0</v>
      </c>
      <c r="AA254" s="34" t="s">
        <v>3853</v>
      </c>
      <c r="AB254" s="34">
        <v>0.0</v>
      </c>
      <c r="AC254" s="34">
        <v>100.0</v>
      </c>
      <c r="AD254" s="34">
        <v>0.0</v>
      </c>
      <c r="AE254" s="34">
        <v>0.0</v>
      </c>
      <c r="AF254" s="33">
        <f>COUNTIFS('Data For Calculation - Insuranc'!A:A,A254,'Data For Calculation - Insuranc'!D:D,"Individual",'Data For Calculation - Insuranc'!E:E,"Rollover Comprehensive - 1 Year OD + 1 Year TP")</f>
        <v>0</v>
      </c>
      <c r="AG254" s="34" t="s">
        <v>3930</v>
      </c>
      <c r="AH254" s="42" t="s">
        <v>3820</v>
      </c>
      <c r="AI254" s="31">
        <v>170.0</v>
      </c>
      <c r="AJ254" s="34" t="s">
        <v>3853</v>
      </c>
      <c r="AK254" s="34">
        <v>0.0</v>
      </c>
      <c r="AL254" s="34">
        <v>100.0</v>
      </c>
      <c r="AM254" s="34">
        <v>0.0</v>
      </c>
      <c r="AN254" s="34">
        <v>0.0</v>
      </c>
      <c r="AO254" s="33">
        <f>COUNTIFS('Data For Calculation - Insuranc'!A:A,A254,'Data For Calculation - Insuranc'!D:D,"Company",'Data For Calculation - Insuranc'!E:E,"Rollover Comprehensive - 1 Year OD + 1 Year TP")</f>
        <v>0</v>
      </c>
      <c r="AP254" s="34" t="s">
        <v>3931</v>
      </c>
      <c r="AQ254" s="42" t="s">
        <v>3820</v>
      </c>
      <c r="AR254" s="31">
        <v>170.0</v>
      </c>
      <c r="AS254" s="34" t="s">
        <v>3853</v>
      </c>
      <c r="AT254" s="34">
        <v>0.0</v>
      </c>
      <c r="AU254" s="34">
        <v>100.0</v>
      </c>
      <c r="AV254" s="34">
        <v>0.0</v>
      </c>
      <c r="AW254" s="34">
        <v>0.0</v>
      </c>
      <c r="AX254" s="33">
        <f>COUNTIFS('Data For Calculation - Insuranc'!A:A,A254,'Data For Calculation - Insuranc'!D:D,"Individual",'Data For Calculation - Insuranc'!E:E,"Rollover - 1 Year OD Only")</f>
        <v>0</v>
      </c>
      <c r="AY254" s="34" t="s">
        <v>3932</v>
      </c>
      <c r="AZ254" s="42" t="s">
        <v>3820</v>
      </c>
      <c r="BA254" s="31">
        <v>170.0</v>
      </c>
      <c r="BB254" s="34" t="s">
        <v>3853</v>
      </c>
      <c r="BC254" s="34">
        <v>0.0</v>
      </c>
      <c r="BD254" s="34">
        <v>100.0</v>
      </c>
      <c r="BE254" s="34">
        <v>0.0</v>
      </c>
      <c r="BF254" s="34">
        <v>0.0</v>
      </c>
      <c r="BG254" s="33">
        <f>COUNTIFS('Data For Calculation - Insuranc'!A:A,A254,'Data For Calculation - Insuranc'!D:D,"Company",'Data For Calculation - Insuranc'!E:E,"Rollover - 1 Year OD Only")</f>
        <v>0</v>
      </c>
      <c r="BH254" s="34" t="s">
        <v>3931</v>
      </c>
      <c r="BI254" s="42" t="s">
        <v>3820</v>
      </c>
      <c r="BJ254" s="31">
        <v>170.0</v>
      </c>
      <c r="BK254" s="34" t="s">
        <v>3853</v>
      </c>
      <c r="BL254" s="34">
        <v>0.0</v>
      </c>
      <c r="BM254" s="34">
        <v>100.0</v>
      </c>
      <c r="BN254" s="34">
        <v>0.0</v>
      </c>
      <c r="BO254" s="34">
        <v>0.0</v>
      </c>
      <c r="BP254" s="33">
        <f>COUNTIFS('Data For Calculation - Insuranc'!A:A,A254,'Data For Calculation - Insuranc'!D:D,"Individual",'Data For Calculation - Insuranc'!E:E,"Rollover - 1 Year TP Only")</f>
        <v>0</v>
      </c>
      <c r="BQ254" s="34" t="s">
        <v>3932</v>
      </c>
      <c r="BR254" s="42" t="s">
        <v>3820</v>
      </c>
      <c r="BS254" s="31">
        <v>170.0</v>
      </c>
      <c r="BT254" s="34" t="s">
        <v>3853</v>
      </c>
      <c r="BU254" s="34">
        <v>0.0</v>
      </c>
      <c r="BV254" s="34">
        <v>100.0</v>
      </c>
      <c r="BW254" s="34">
        <v>0.0</v>
      </c>
      <c r="BX254" s="34">
        <v>0.0</v>
      </c>
      <c r="BY254" s="33">
        <f>COUNTIFS('Data For Calculation - Insuranc'!A:A,A254,'Data For Calculation - Insuranc'!D:D,"Company",'Data For Calculation - Insuranc'!E:E,"Rollover - 1 Year TP Only")</f>
        <v>0</v>
      </c>
      <c r="BZ254" s="31">
        <f t="shared" si="1"/>
        <v>0</v>
      </c>
      <c r="CA254" s="33">
        <f>SUMIFS('Data For Calculation - Insuranc'!I:I,'Data For Calculation - Insuranc'!$A:$A,$A254)</f>
        <v>0</v>
      </c>
      <c r="CB254" s="33">
        <f>SUMIFS('Data For Calculation - Insuranc'!J:J,'Data For Calculation - Insuranc'!$A:$A,$A254)</f>
        <v>0</v>
      </c>
      <c r="CC254" s="33">
        <f>SUMIFS('Data For Calculation - Insuranc'!K:K,'Data For Calculation - Insuranc'!$A:$A,$A254)</f>
        <v>0</v>
      </c>
      <c r="CD254" s="33">
        <f>IF($CK254 = "Dealer", SUMIFS('Data For Calculation - Insuranc'!I:I,'Data For Calculation - Insuranc'!$B:$B,$A254,'Data For Calculation - Insuranc'!$H:$H,"Master Dealer")) + SUMIFS('Data For Calculation - Insuranc'!I:I,'Data For Calculation - Insuranc'!$A:$A,$A254,'Data For Calculation - Insuranc'!$H:$H,"Self")</f>
        <v>0</v>
      </c>
      <c r="CE254" s="33">
        <f>IF($CK254 = "Dealer", SUMIFS('Data For Calculation - Insuranc'!J:J,'Data For Calculation - Insuranc'!$B:$B,$A254,'Data For Calculation - Insuranc'!$H:$H,"Master Dealer")) + SUMIFS('Data For Calculation - Insuranc'!J:J,'Data For Calculation - Insuranc'!$A:$A,$A254,'Data For Calculation - Insuranc'!$H:$H,"Self")</f>
        <v>0</v>
      </c>
      <c r="CF254" s="33">
        <f>IF($CK254 = "Dealer", SUMIFS('Data For Calculation - Insuranc'!K:K,'Data For Calculation - Insuranc'!$B:$B,$A254,'Data For Calculation - Insuranc'!$H:$H,"Master Dealer")) + SUMIFS('Data For Calculation - Insuranc'!K:K,'Data For Calculation - Insuranc'!$A:$A,$A254,'Data For Calculation - Insuranc'!$H:$H,"Self")</f>
        <v>0</v>
      </c>
      <c r="CG254" s="26" t="str">
        <f>(Sheet1!N254)</f>
        <v>Maharaja Autoworld</v>
      </c>
      <c r="CH254" s="26" t="str">
        <f>(Sheet1!O254)</f>
        <v>1mkGLSaVL5-IAXKq9KqXFgJH64Li9oMA9V0u_seCn1jg</v>
      </c>
      <c r="CI254" s="25" t="str">
        <f>(Sheet1!AV254)</f>
        <v/>
      </c>
      <c r="CJ254" s="25" t="str">
        <f>(Sheet1!AW254)</f>
        <v/>
      </c>
      <c r="CK254" s="26" t="str">
        <f>(Sheet1!P254)</f>
        <v>Sub Dealer</v>
      </c>
    </row>
    <row r="255">
      <c r="A255" s="26" t="str">
        <f>(Sheet1!A255)</f>
        <v>15WvTCHWZ7k40lgk7ekOThzqz2K_9MGli20N9iYkrug0</v>
      </c>
      <c r="B255" s="26" t="str">
        <f>(Sheet1!B255)</f>
        <v>KWALITY MOTORS (MAW) - SASNI</v>
      </c>
      <c r="C255" s="30" t="str">
        <f>Sheet1!BB255</f>
        <v>No</v>
      </c>
      <c r="D255" s="34" t="s">
        <v>13</v>
      </c>
      <c r="E255" s="34" t="s">
        <v>13</v>
      </c>
      <c r="F255" s="34" t="s">
        <v>3929</v>
      </c>
      <c r="G255" s="42" t="s">
        <v>3820</v>
      </c>
      <c r="H255" s="43">
        <v>170.0</v>
      </c>
      <c r="I255" s="42" t="s">
        <v>3853</v>
      </c>
      <c r="J255" s="43">
        <v>0.0</v>
      </c>
      <c r="K255" s="43">
        <v>100.0</v>
      </c>
      <c r="L255" s="43">
        <v>0.0</v>
      </c>
      <c r="M255" s="43">
        <v>0.0</v>
      </c>
      <c r="N255" s="33">
        <f>COUNTIFS('Data For Calculation - Insuranc'!A:A,A255,'Data For Calculation - Insuranc'!D:D,"Individual",'Data For Calculation - Insuranc'!E:E,"Bundled - 1 Year OD + 5 Year TP")</f>
        <v>0</v>
      </c>
      <c r="O255" s="34" t="s">
        <v>3930</v>
      </c>
      <c r="P255" s="42" t="s">
        <v>3820</v>
      </c>
      <c r="Q255" s="43">
        <v>170.0</v>
      </c>
      <c r="R255" s="42" t="s">
        <v>3853</v>
      </c>
      <c r="S255" s="43">
        <v>0.0</v>
      </c>
      <c r="T255" s="43">
        <v>100.0</v>
      </c>
      <c r="U255" s="43">
        <v>0.0</v>
      </c>
      <c r="V255" s="43">
        <v>0.0</v>
      </c>
      <c r="W255" s="33">
        <f>COUNTIFS('Data For Calculation - Insuranc'!A:A,A255,'Data For Calculation - Insuranc'!D:D,"Company",'Data For Calculation - Insuranc'!E:E,"Bundled - 1 Year OD + 5 Year TP")</f>
        <v>0</v>
      </c>
      <c r="X255" s="34" t="s">
        <v>3929</v>
      </c>
      <c r="Y255" s="42" t="s">
        <v>3820</v>
      </c>
      <c r="Z255" s="31">
        <v>170.0</v>
      </c>
      <c r="AA255" s="34" t="s">
        <v>3853</v>
      </c>
      <c r="AB255" s="34">
        <v>0.0</v>
      </c>
      <c r="AC255" s="34">
        <v>100.0</v>
      </c>
      <c r="AD255" s="34">
        <v>0.0</v>
      </c>
      <c r="AE255" s="34">
        <v>0.0</v>
      </c>
      <c r="AF255" s="33">
        <f>COUNTIFS('Data For Calculation - Insuranc'!A:A,A255,'Data For Calculation - Insuranc'!D:D,"Individual",'Data For Calculation - Insuranc'!E:E,"Rollover Comprehensive - 1 Year OD + 1 Year TP")</f>
        <v>0</v>
      </c>
      <c r="AG255" s="34" t="s">
        <v>3930</v>
      </c>
      <c r="AH255" s="42" t="s">
        <v>3820</v>
      </c>
      <c r="AI255" s="31">
        <v>170.0</v>
      </c>
      <c r="AJ255" s="34" t="s">
        <v>3853</v>
      </c>
      <c r="AK255" s="34">
        <v>0.0</v>
      </c>
      <c r="AL255" s="34">
        <v>100.0</v>
      </c>
      <c r="AM255" s="34">
        <v>0.0</v>
      </c>
      <c r="AN255" s="34">
        <v>0.0</v>
      </c>
      <c r="AO255" s="33">
        <f>COUNTIFS('Data For Calculation - Insuranc'!A:A,A255,'Data For Calculation - Insuranc'!D:D,"Company",'Data For Calculation - Insuranc'!E:E,"Rollover Comprehensive - 1 Year OD + 1 Year TP")</f>
        <v>0</v>
      </c>
      <c r="AP255" s="34" t="s">
        <v>3931</v>
      </c>
      <c r="AQ255" s="42" t="s">
        <v>3820</v>
      </c>
      <c r="AR255" s="31">
        <v>170.0</v>
      </c>
      <c r="AS255" s="34" t="s">
        <v>3853</v>
      </c>
      <c r="AT255" s="34">
        <v>0.0</v>
      </c>
      <c r="AU255" s="34">
        <v>100.0</v>
      </c>
      <c r="AV255" s="34">
        <v>0.0</v>
      </c>
      <c r="AW255" s="34">
        <v>0.0</v>
      </c>
      <c r="AX255" s="33">
        <f>COUNTIFS('Data For Calculation - Insuranc'!A:A,A255,'Data For Calculation - Insuranc'!D:D,"Individual",'Data For Calculation - Insuranc'!E:E,"Rollover - 1 Year OD Only")</f>
        <v>0</v>
      </c>
      <c r="AY255" s="34" t="s">
        <v>3932</v>
      </c>
      <c r="AZ255" s="42" t="s">
        <v>3820</v>
      </c>
      <c r="BA255" s="31">
        <v>170.0</v>
      </c>
      <c r="BB255" s="34" t="s">
        <v>3853</v>
      </c>
      <c r="BC255" s="34">
        <v>0.0</v>
      </c>
      <c r="BD255" s="34">
        <v>100.0</v>
      </c>
      <c r="BE255" s="34">
        <v>0.0</v>
      </c>
      <c r="BF255" s="34">
        <v>0.0</v>
      </c>
      <c r="BG255" s="33">
        <f>COUNTIFS('Data For Calculation - Insuranc'!A:A,A255,'Data For Calculation - Insuranc'!D:D,"Company",'Data For Calculation - Insuranc'!E:E,"Rollover - 1 Year OD Only")</f>
        <v>0</v>
      </c>
      <c r="BH255" s="34" t="s">
        <v>3931</v>
      </c>
      <c r="BI255" s="42" t="s">
        <v>3820</v>
      </c>
      <c r="BJ255" s="31">
        <v>170.0</v>
      </c>
      <c r="BK255" s="34" t="s">
        <v>3853</v>
      </c>
      <c r="BL255" s="34">
        <v>0.0</v>
      </c>
      <c r="BM255" s="34">
        <v>100.0</v>
      </c>
      <c r="BN255" s="34">
        <v>0.0</v>
      </c>
      <c r="BO255" s="34">
        <v>0.0</v>
      </c>
      <c r="BP255" s="33">
        <f>COUNTIFS('Data For Calculation - Insuranc'!A:A,A255,'Data For Calculation - Insuranc'!D:D,"Individual",'Data For Calculation - Insuranc'!E:E,"Rollover - 1 Year TP Only")</f>
        <v>0</v>
      </c>
      <c r="BQ255" s="34" t="s">
        <v>3932</v>
      </c>
      <c r="BR255" s="42" t="s">
        <v>3820</v>
      </c>
      <c r="BS255" s="31">
        <v>170.0</v>
      </c>
      <c r="BT255" s="34" t="s">
        <v>3853</v>
      </c>
      <c r="BU255" s="34">
        <v>0.0</v>
      </c>
      <c r="BV255" s="34">
        <v>100.0</v>
      </c>
      <c r="BW255" s="34">
        <v>0.0</v>
      </c>
      <c r="BX255" s="34">
        <v>0.0</v>
      </c>
      <c r="BY255" s="33">
        <f>COUNTIFS('Data For Calculation - Insuranc'!A:A,A255,'Data For Calculation - Insuranc'!D:D,"Company",'Data For Calculation - Insuranc'!E:E,"Rollover - 1 Year TP Only")</f>
        <v>0</v>
      </c>
      <c r="BZ255" s="31">
        <f t="shared" si="1"/>
        <v>0</v>
      </c>
      <c r="CA255" s="33">
        <f>SUMIFS('Data For Calculation - Insuranc'!I:I,'Data For Calculation - Insuranc'!$A:$A,$A255)</f>
        <v>0</v>
      </c>
      <c r="CB255" s="33">
        <f>SUMIFS('Data For Calculation - Insuranc'!J:J,'Data For Calculation - Insuranc'!$A:$A,$A255)</f>
        <v>0</v>
      </c>
      <c r="CC255" s="33">
        <f>SUMIFS('Data For Calculation - Insuranc'!K:K,'Data For Calculation - Insuranc'!$A:$A,$A255)</f>
        <v>0</v>
      </c>
      <c r="CD255" s="33">
        <f>IF($CK255 = "Dealer", SUMIFS('Data For Calculation - Insuranc'!I:I,'Data For Calculation - Insuranc'!$B:$B,$A255,'Data For Calculation - Insuranc'!$H:$H,"Master Dealer")) + SUMIFS('Data For Calculation - Insuranc'!I:I,'Data For Calculation - Insuranc'!$A:$A,$A255,'Data For Calculation - Insuranc'!$H:$H,"Self")</f>
        <v>0</v>
      </c>
      <c r="CE255" s="33">
        <f>IF($CK255 = "Dealer", SUMIFS('Data For Calculation - Insuranc'!J:J,'Data For Calculation - Insuranc'!$B:$B,$A255,'Data For Calculation - Insuranc'!$H:$H,"Master Dealer")) + SUMIFS('Data For Calculation - Insuranc'!J:J,'Data For Calculation - Insuranc'!$A:$A,$A255,'Data For Calculation - Insuranc'!$H:$H,"Self")</f>
        <v>0</v>
      </c>
      <c r="CF255" s="33">
        <f>IF($CK255 = "Dealer", SUMIFS('Data For Calculation - Insuranc'!K:K,'Data For Calculation - Insuranc'!$B:$B,$A255,'Data For Calculation - Insuranc'!$H:$H,"Master Dealer")) + SUMIFS('Data For Calculation - Insuranc'!K:K,'Data For Calculation - Insuranc'!$A:$A,$A255,'Data For Calculation - Insuranc'!$H:$H,"Self")</f>
        <v>0</v>
      </c>
      <c r="CG255" s="26" t="str">
        <f>(Sheet1!N255)</f>
        <v>Maharaja Autoworld</v>
      </c>
      <c r="CH255" s="26" t="str">
        <f>(Sheet1!O255)</f>
        <v>1mkGLSaVL5-IAXKq9KqXFgJH64Li9oMA9V0u_seCn1jg</v>
      </c>
      <c r="CI255" s="25" t="str">
        <f>(Sheet1!AV255)</f>
        <v/>
      </c>
      <c r="CJ255" s="25" t="str">
        <f>(Sheet1!AW255)</f>
        <v/>
      </c>
      <c r="CK255" s="26" t="str">
        <f>(Sheet1!P255)</f>
        <v>Sub Dealer</v>
      </c>
    </row>
    <row r="256">
      <c r="A256" s="26" t="str">
        <f>(Sheet1!A256)</f>
        <v>1zWSCvcfPxAcr86Cn-xiLCzYM42hDpWaMzqQvGvc-Ojw</v>
      </c>
      <c r="B256" s="26" t="str">
        <f>(Sheet1!B256)</f>
        <v>ZEESHAN AUTOMOBILES (CA) - SOHAWAL</v>
      </c>
      <c r="C256" s="30" t="str">
        <f>Sheet1!BB256</f>
        <v>No</v>
      </c>
      <c r="D256" s="34" t="s">
        <v>13</v>
      </c>
      <c r="E256" s="34" t="s">
        <v>13</v>
      </c>
      <c r="F256" s="34" t="s">
        <v>3929</v>
      </c>
      <c r="G256" s="42" t="s">
        <v>3820</v>
      </c>
      <c r="H256" s="43">
        <v>375.0</v>
      </c>
      <c r="I256" s="42" t="s">
        <v>3853</v>
      </c>
      <c r="J256" s="43">
        <v>0.0</v>
      </c>
      <c r="K256" s="43">
        <v>100.0</v>
      </c>
      <c r="L256" s="43">
        <v>0.0</v>
      </c>
      <c r="M256" s="43">
        <v>0.0</v>
      </c>
      <c r="N256" s="33">
        <f>COUNTIFS('Data For Calculation - Insuranc'!A:A,A256,'Data For Calculation - Insuranc'!D:D,"Individual",'Data For Calculation - Insuranc'!E:E,"Bundled - 1 Year OD + 5 Year TP")</f>
        <v>0</v>
      </c>
      <c r="O256" s="34" t="s">
        <v>3930</v>
      </c>
      <c r="P256" s="42" t="s">
        <v>3820</v>
      </c>
      <c r="Q256" s="43">
        <v>375.0</v>
      </c>
      <c r="R256" s="42" t="s">
        <v>3853</v>
      </c>
      <c r="S256" s="43">
        <v>0.0</v>
      </c>
      <c r="T256" s="43">
        <v>100.0</v>
      </c>
      <c r="U256" s="43">
        <v>0.0</v>
      </c>
      <c r="V256" s="43">
        <v>0.0</v>
      </c>
      <c r="W256" s="33">
        <f>COUNTIFS('Data For Calculation - Insuranc'!A:A,A256,'Data For Calculation - Insuranc'!D:D,"Company",'Data For Calculation - Insuranc'!E:E,"Bundled - 1 Year OD + 5 Year TP")</f>
        <v>0</v>
      </c>
      <c r="X256" s="34" t="s">
        <v>3929</v>
      </c>
      <c r="Y256" s="42" t="s">
        <v>3820</v>
      </c>
      <c r="Z256" s="34">
        <v>290.0</v>
      </c>
      <c r="AA256" s="34" t="s">
        <v>3853</v>
      </c>
      <c r="AB256" s="34">
        <v>0.0</v>
      </c>
      <c r="AC256" s="34">
        <v>100.0</v>
      </c>
      <c r="AD256" s="34">
        <v>0.0</v>
      </c>
      <c r="AE256" s="34">
        <v>0.0</v>
      </c>
      <c r="AF256" s="33">
        <f>COUNTIFS('Data For Calculation - Insuranc'!A:A,A256,'Data For Calculation - Insuranc'!D:D,"Individual",'Data For Calculation - Insuranc'!E:E,"Rollover Comprehensive - 1 Year OD + 1 Year TP")</f>
        <v>0</v>
      </c>
      <c r="AG256" s="34" t="s">
        <v>3930</v>
      </c>
      <c r="AH256" s="42" t="s">
        <v>3820</v>
      </c>
      <c r="AI256" s="34">
        <v>290.0</v>
      </c>
      <c r="AJ256" s="34" t="s">
        <v>3853</v>
      </c>
      <c r="AK256" s="34">
        <v>0.0</v>
      </c>
      <c r="AL256" s="34">
        <v>100.0</v>
      </c>
      <c r="AM256" s="34">
        <v>0.0</v>
      </c>
      <c r="AN256" s="34">
        <v>0.0</v>
      </c>
      <c r="AO256" s="33">
        <f>COUNTIFS('Data For Calculation - Insuranc'!A:A,A256,'Data For Calculation - Insuranc'!D:D,"Company",'Data For Calculation - Insuranc'!E:E,"Rollover Comprehensive - 1 Year OD + 1 Year TP")</f>
        <v>0</v>
      </c>
      <c r="AP256" s="34" t="s">
        <v>3931</v>
      </c>
      <c r="AQ256" s="42" t="s">
        <v>3820</v>
      </c>
      <c r="AR256" s="34">
        <v>290.0</v>
      </c>
      <c r="AS256" s="34" t="s">
        <v>3853</v>
      </c>
      <c r="AT256" s="34">
        <v>0.0</v>
      </c>
      <c r="AU256" s="34">
        <v>100.0</v>
      </c>
      <c r="AV256" s="34">
        <v>0.0</v>
      </c>
      <c r="AW256" s="34">
        <v>0.0</v>
      </c>
      <c r="AX256" s="33">
        <f>COUNTIFS('Data For Calculation - Insuranc'!A:A,A256,'Data For Calculation - Insuranc'!D:D,"Individual",'Data For Calculation - Insuranc'!E:E,"Rollover - 1 Year OD Only")</f>
        <v>0</v>
      </c>
      <c r="AY256" s="34" t="s">
        <v>3932</v>
      </c>
      <c r="AZ256" s="42" t="s">
        <v>3820</v>
      </c>
      <c r="BA256" s="34">
        <v>290.0</v>
      </c>
      <c r="BB256" s="34" t="s">
        <v>3853</v>
      </c>
      <c r="BC256" s="34">
        <v>0.0</v>
      </c>
      <c r="BD256" s="34">
        <v>100.0</v>
      </c>
      <c r="BE256" s="34">
        <v>0.0</v>
      </c>
      <c r="BF256" s="34">
        <v>0.0</v>
      </c>
      <c r="BG256" s="33">
        <f>COUNTIFS('Data For Calculation - Insuranc'!A:A,A256,'Data For Calculation - Insuranc'!D:D,"Company",'Data For Calculation - Insuranc'!E:E,"Rollover - 1 Year OD Only")</f>
        <v>0</v>
      </c>
      <c r="BH256" s="34" t="s">
        <v>3931</v>
      </c>
      <c r="BI256" s="42" t="s">
        <v>3820</v>
      </c>
      <c r="BJ256" s="34">
        <v>290.0</v>
      </c>
      <c r="BK256" s="34" t="s">
        <v>3853</v>
      </c>
      <c r="BL256" s="34">
        <v>0.0</v>
      </c>
      <c r="BM256" s="34">
        <v>100.0</v>
      </c>
      <c r="BN256" s="34">
        <v>0.0</v>
      </c>
      <c r="BO256" s="34">
        <v>0.0</v>
      </c>
      <c r="BP256" s="33">
        <f>COUNTIFS('Data For Calculation - Insuranc'!A:A,A256,'Data For Calculation - Insuranc'!D:D,"Individual",'Data For Calculation - Insuranc'!E:E,"Rollover - 1 Year TP Only")</f>
        <v>0</v>
      </c>
      <c r="BQ256" s="34" t="s">
        <v>3932</v>
      </c>
      <c r="BR256" s="42" t="s">
        <v>3820</v>
      </c>
      <c r="BS256" s="34">
        <v>290.0</v>
      </c>
      <c r="BT256" s="34" t="s">
        <v>3853</v>
      </c>
      <c r="BU256" s="34">
        <v>0.0</v>
      </c>
      <c r="BV256" s="34">
        <v>100.0</v>
      </c>
      <c r="BW256" s="34">
        <v>0.0</v>
      </c>
      <c r="BX256" s="34">
        <v>0.0</v>
      </c>
      <c r="BY256" s="33">
        <f>COUNTIFS('Data For Calculation - Insuranc'!A:A,A256,'Data For Calculation - Insuranc'!D:D,"Company",'Data For Calculation - Insuranc'!E:E,"Rollover - 1 Year TP Only")</f>
        <v>0</v>
      </c>
      <c r="BZ256" s="31">
        <f t="shared" si="1"/>
        <v>0</v>
      </c>
      <c r="CA256" s="33">
        <f>SUMIFS('Data For Calculation - Insuranc'!I:I,'Data For Calculation - Insuranc'!$A:$A,$A256)</f>
        <v>0</v>
      </c>
      <c r="CB256" s="33">
        <f>SUMIFS('Data For Calculation - Insuranc'!J:J,'Data For Calculation - Insuranc'!$A:$A,$A256)</f>
        <v>0</v>
      </c>
      <c r="CC256" s="33">
        <f>SUMIFS('Data For Calculation - Insuranc'!K:K,'Data For Calculation - Insuranc'!$A:$A,$A256)</f>
        <v>0</v>
      </c>
      <c r="CD256" s="33">
        <f>IF($CK256 = "Dealer", SUMIFS('Data For Calculation - Insuranc'!I:I,'Data For Calculation - Insuranc'!$B:$B,$A256,'Data For Calculation - Insuranc'!$H:$H,"Master Dealer")) + SUMIFS('Data For Calculation - Insuranc'!I:I,'Data For Calculation - Insuranc'!$A:$A,$A256,'Data For Calculation - Insuranc'!$H:$H,"Self")</f>
        <v>0</v>
      </c>
      <c r="CE256" s="33">
        <f>IF($CK256 = "Dealer", SUMIFS('Data For Calculation - Insuranc'!J:J,'Data For Calculation - Insuranc'!$B:$B,$A256,'Data For Calculation - Insuranc'!$H:$H,"Master Dealer")) + SUMIFS('Data For Calculation - Insuranc'!J:J,'Data For Calculation - Insuranc'!$A:$A,$A256,'Data For Calculation - Insuranc'!$H:$H,"Self")</f>
        <v>0</v>
      </c>
      <c r="CF256" s="33">
        <f>IF($CK256 = "Dealer", SUMIFS('Data For Calculation - Insuranc'!K:K,'Data For Calculation - Insuranc'!$B:$B,$A256,'Data For Calculation - Insuranc'!$H:$H,"Master Dealer")) + SUMIFS('Data For Calculation - Insuranc'!K:K,'Data For Calculation - Insuranc'!$A:$A,$A256,'Data For Calculation - Insuranc'!$H:$H,"Self")</f>
        <v>0</v>
      </c>
      <c r="CG256" s="26" t="str">
        <f>(Sheet1!N256)</f>
        <v>Chandra Automobiles - Faizabad</v>
      </c>
      <c r="CH256" s="26" t="str">
        <f>(Sheet1!O256)</f>
        <v>1TMTMDBTSLXzi0POas5HDprui-sp3TCVvRYWE8buap-0</v>
      </c>
      <c r="CI256" s="25" t="str">
        <f>(Sheet1!AV256)</f>
        <v/>
      </c>
      <c r="CJ256" s="25" t="str">
        <f>(Sheet1!AW256)</f>
        <v/>
      </c>
      <c r="CK256" s="26" t="str">
        <f>(Sheet1!P256)</f>
        <v>Sub Dealer</v>
      </c>
    </row>
    <row r="257">
      <c r="A257" s="26" t="str">
        <f>(Sheet1!A257)</f>
        <v>1tYhmR4lNj1YHeqiigs35s15UxKEVLcMXrnIYSlOkRQk</v>
      </c>
      <c r="B257" s="26" t="str">
        <f>(Sheet1!B257)</f>
        <v>SANDEEP HERO (VA) - INAYAT NAGAR</v>
      </c>
      <c r="C257" s="30" t="str">
        <f>Sheet1!BB257</f>
        <v>No</v>
      </c>
      <c r="D257" s="34" t="s">
        <v>13</v>
      </c>
      <c r="E257" s="34" t="s">
        <v>13</v>
      </c>
      <c r="F257" s="34" t="s">
        <v>3929</v>
      </c>
      <c r="G257" s="42" t="s">
        <v>3820</v>
      </c>
      <c r="H257" s="43">
        <v>375.0</v>
      </c>
      <c r="I257" s="42" t="s">
        <v>3853</v>
      </c>
      <c r="J257" s="43">
        <v>0.0</v>
      </c>
      <c r="K257" s="43">
        <v>100.0</v>
      </c>
      <c r="L257" s="43">
        <v>0.0</v>
      </c>
      <c r="M257" s="43">
        <v>0.0</v>
      </c>
      <c r="N257" s="33">
        <f>COUNTIFS('Data For Calculation - Insuranc'!A:A,A257,'Data For Calculation - Insuranc'!D:D,"Individual",'Data For Calculation - Insuranc'!E:E,"Bundled - 1 Year OD + 5 Year TP")</f>
        <v>0</v>
      </c>
      <c r="O257" s="34" t="s">
        <v>3930</v>
      </c>
      <c r="P257" s="42" t="s">
        <v>3820</v>
      </c>
      <c r="Q257" s="43">
        <v>375.0</v>
      </c>
      <c r="R257" s="42" t="s">
        <v>3853</v>
      </c>
      <c r="S257" s="43">
        <v>0.0</v>
      </c>
      <c r="T257" s="43">
        <v>100.0</v>
      </c>
      <c r="U257" s="43">
        <v>0.0</v>
      </c>
      <c r="V257" s="43">
        <v>0.0</v>
      </c>
      <c r="W257" s="33">
        <f>COUNTIFS('Data For Calculation - Insuranc'!A:A,A257,'Data For Calculation - Insuranc'!D:D,"Company",'Data For Calculation - Insuranc'!E:E,"Bundled - 1 Year OD + 5 Year TP")</f>
        <v>0</v>
      </c>
      <c r="X257" s="34" t="s">
        <v>3929</v>
      </c>
      <c r="Y257" s="42" t="s">
        <v>3820</v>
      </c>
      <c r="Z257" s="34">
        <v>290.0</v>
      </c>
      <c r="AA257" s="34" t="s">
        <v>3853</v>
      </c>
      <c r="AB257" s="34">
        <v>0.0</v>
      </c>
      <c r="AC257" s="34">
        <v>100.0</v>
      </c>
      <c r="AD257" s="34">
        <v>0.0</v>
      </c>
      <c r="AE257" s="34">
        <v>0.0</v>
      </c>
      <c r="AF257" s="33">
        <f>COUNTIFS('Data For Calculation - Insuranc'!A:A,A257,'Data For Calculation - Insuranc'!D:D,"Individual",'Data For Calculation - Insuranc'!E:E,"Rollover Comprehensive - 1 Year OD + 1 Year TP")</f>
        <v>0</v>
      </c>
      <c r="AG257" s="34" t="s">
        <v>3930</v>
      </c>
      <c r="AH257" s="42" t="s">
        <v>3820</v>
      </c>
      <c r="AI257" s="34">
        <v>290.0</v>
      </c>
      <c r="AJ257" s="34" t="s">
        <v>3853</v>
      </c>
      <c r="AK257" s="34">
        <v>0.0</v>
      </c>
      <c r="AL257" s="34">
        <v>100.0</v>
      </c>
      <c r="AM257" s="34">
        <v>0.0</v>
      </c>
      <c r="AN257" s="34">
        <v>0.0</v>
      </c>
      <c r="AO257" s="33">
        <f>COUNTIFS('Data For Calculation - Insuranc'!A:A,A257,'Data For Calculation - Insuranc'!D:D,"Company",'Data For Calculation - Insuranc'!E:E,"Rollover Comprehensive - 1 Year OD + 1 Year TP")</f>
        <v>0</v>
      </c>
      <c r="AP257" s="34" t="s">
        <v>3931</v>
      </c>
      <c r="AQ257" s="42" t="s">
        <v>3820</v>
      </c>
      <c r="AR257" s="34">
        <v>290.0</v>
      </c>
      <c r="AS257" s="34" t="s">
        <v>3853</v>
      </c>
      <c r="AT257" s="34">
        <v>0.0</v>
      </c>
      <c r="AU257" s="34">
        <v>100.0</v>
      </c>
      <c r="AV257" s="34">
        <v>0.0</v>
      </c>
      <c r="AW257" s="34">
        <v>0.0</v>
      </c>
      <c r="AX257" s="33">
        <f>COUNTIFS('Data For Calculation - Insuranc'!A:A,A257,'Data For Calculation - Insuranc'!D:D,"Individual",'Data For Calculation - Insuranc'!E:E,"Rollover - 1 Year OD Only")</f>
        <v>0</v>
      </c>
      <c r="AY257" s="34" t="s">
        <v>3932</v>
      </c>
      <c r="AZ257" s="42" t="s">
        <v>3820</v>
      </c>
      <c r="BA257" s="34">
        <v>290.0</v>
      </c>
      <c r="BB257" s="34" t="s">
        <v>3853</v>
      </c>
      <c r="BC257" s="34">
        <v>0.0</v>
      </c>
      <c r="BD257" s="34">
        <v>100.0</v>
      </c>
      <c r="BE257" s="34">
        <v>0.0</v>
      </c>
      <c r="BF257" s="34">
        <v>0.0</v>
      </c>
      <c r="BG257" s="33">
        <f>COUNTIFS('Data For Calculation - Insuranc'!A:A,A257,'Data For Calculation - Insuranc'!D:D,"Company",'Data For Calculation - Insuranc'!E:E,"Rollover - 1 Year OD Only")</f>
        <v>0</v>
      </c>
      <c r="BH257" s="34" t="s">
        <v>3931</v>
      </c>
      <c r="BI257" s="42" t="s">
        <v>3820</v>
      </c>
      <c r="BJ257" s="34">
        <v>290.0</v>
      </c>
      <c r="BK257" s="34" t="s">
        <v>3853</v>
      </c>
      <c r="BL257" s="34">
        <v>0.0</v>
      </c>
      <c r="BM257" s="34">
        <v>100.0</v>
      </c>
      <c r="BN257" s="34">
        <v>0.0</v>
      </c>
      <c r="BO257" s="34">
        <v>0.0</v>
      </c>
      <c r="BP257" s="33">
        <f>COUNTIFS('Data For Calculation - Insuranc'!A:A,A257,'Data For Calculation - Insuranc'!D:D,"Individual",'Data For Calculation - Insuranc'!E:E,"Rollover - 1 Year TP Only")</f>
        <v>0</v>
      </c>
      <c r="BQ257" s="34" t="s">
        <v>3932</v>
      </c>
      <c r="BR257" s="42" t="s">
        <v>3820</v>
      </c>
      <c r="BS257" s="34">
        <v>290.0</v>
      </c>
      <c r="BT257" s="34" t="s">
        <v>3853</v>
      </c>
      <c r="BU257" s="34">
        <v>0.0</v>
      </c>
      <c r="BV257" s="34">
        <v>100.0</v>
      </c>
      <c r="BW257" s="34">
        <v>0.0</v>
      </c>
      <c r="BX257" s="34">
        <v>0.0</v>
      </c>
      <c r="BY257" s="33">
        <f>COUNTIFS('Data For Calculation - Insuranc'!A:A,A257,'Data For Calculation - Insuranc'!D:D,"Company",'Data For Calculation - Insuranc'!E:E,"Rollover - 1 Year TP Only")</f>
        <v>0</v>
      </c>
      <c r="BZ257" s="31">
        <f t="shared" si="1"/>
        <v>0</v>
      </c>
      <c r="CA257" s="33">
        <f>SUMIFS('Data For Calculation - Insuranc'!I:I,'Data For Calculation - Insuranc'!$A:$A,$A257)</f>
        <v>0</v>
      </c>
      <c r="CB257" s="33">
        <f>SUMIFS('Data For Calculation - Insuranc'!J:J,'Data For Calculation - Insuranc'!$A:$A,$A257)</f>
        <v>0</v>
      </c>
      <c r="CC257" s="33">
        <f>SUMIFS('Data For Calculation - Insuranc'!K:K,'Data For Calculation - Insuranc'!$A:$A,$A257)</f>
        <v>0</v>
      </c>
      <c r="CD257" s="33">
        <f>IF($CK257 = "Dealer", SUMIFS('Data For Calculation - Insuranc'!I:I,'Data For Calculation - Insuranc'!$B:$B,$A257,'Data For Calculation - Insuranc'!$H:$H,"Master Dealer")) + SUMIFS('Data For Calculation - Insuranc'!I:I,'Data For Calculation - Insuranc'!$A:$A,$A257,'Data For Calculation - Insuranc'!$H:$H,"Self")</f>
        <v>0</v>
      </c>
      <c r="CE257" s="33">
        <f>IF($CK257 = "Dealer", SUMIFS('Data For Calculation - Insuranc'!J:J,'Data For Calculation - Insuranc'!$B:$B,$A257,'Data For Calculation - Insuranc'!$H:$H,"Master Dealer")) + SUMIFS('Data For Calculation - Insuranc'!J:J,'Data For Calculation - Insuranc'!$A:$A,$A257,'Data For Calculation - Insuranc'!$H:$H,"Self")</f>
        <v>0</v>
      </c>
      <c r="CF257" s="33">
        <f>IF($CK257 = "Dealer", SUMIFS('Data For Calculation - Insuranc'!K:K,'Data For Calculation - Insuranc'!$B:$B,$A257,'Data For Calculation - Insuranc'!$H:$H,"Master Dealer")) + SUMIFS('Data For Calculation - Insuranc'!K:K,'Data For Calculation - Insuranc'!$A:$A,$A257,'Data For Calculation - Insuranc'!$H:$H,"Self")</f>
        <v>0</v>
      </c>
      <c r="CG257" s="26" t="str">
        <f>(Sheet1!N257)</f>
        <v>Vanshadi Motors - Faizabad</v>
      </c>
      <c r="CH257" s="26" t="str">
        <f>(Sheet1!O257)</f>
        <v>1S2YNz2hsIyDIwT68EF1VR8O-D7oanl9HQJpcApwJPG4</v>
      </c>
      <c r="CI257" s="25" t="str">
        <f>(Sheet1!AV257)</f>
        <v/>
      </c>
      <c r="CJ257" s="25" t="str">
        <f>(Sheet1!AW257)</f>
        <v/>
      </c>
      <c r="CK257" s="26" t="str">
        <f>(Sheet1!P257)</f>
        <v>Sub Dealer</v>
      </c>
    </row>
    <row r="258">
      <c r="A258" s="26" t="str">
        <f>(Sheet1!A258)</f>
        <v>1oG8KJLWAlMywHu47lg3UpNHq7GaTnmFRLHM1WnMwroU</v>
      </c>
      <c r="B258" s="26" t="str">
        <f>(Sheet1!B258)</f>
        <v>RAHUL AUTOSALES (VA) - LALUWA PUR</v>
      </c>
      <c r="C258" s="30" t="str">
        <f>Sheet1!BB258</f>
        <v>No</v>
      </c>
      <c r="D258" s="34" t="s">
        <v>13</v>
      </c>
      <c r="E258" s="34" t="s">
        <v>13</v>
      </c>
      <c r="F258" s="34" t="s">
        <v>3929</v>
      </c>
      <c r="G258" s="42" t="s">
        <v>3820</v>
      </c>
      <c r="H258" s="43">
        <v>375.0</v>
      </c>
      <c r="I258" s="42" t="s">
        <v>3853</v>
      </c>
      <c r="J258" s="43">
        <v>0.0</v>
      </c>
      <c r="K258" s="43">
        <v>100.0</v>
      </c>
      <c r="L258" s="43">
        <v>0.0</v>
      </c>
      <c r="M258" s="43">
        <v>0.0</v>
      </c>
      <c r="N258" s="33">
        <f>COUNTIFS('Data For Calculation - Insuranc'!A:A,A258,'Data For Calculation - Insuranc'!D:D,"Individual",'Data For Calculation - Insuranc'!E:E,"Bundled - 1 Year OD + 5 Year TP")</f>
        <v>0</v>
      </c>
      <c r="O258" s="34" t="s">
        <v>3930</v>
      </c>
      <c r="P258" s="42" t="s">
        <v>3820</v>
      </c>
      <c r="Q258" s="43">
        <v>375.0</v>
      </c>
      <c r="R258" s="42" t="s">
        <v>3853</v>
      </c>
      <c r="S258" s="43">
        <v>0.0</v>
      </c>
      <c r="T258" s="43">
        <v>100.0</v>
      </c>
      <c r="U258" s="43">
        <v>0.0</v>
      </c>
      <c r="V258" s="43">
        <v>0.0</v>
      </c>
      <c r="W258" s="33">
        <f>COUNTIFS('Data For Calculation - Insuranc'!A:A,A258,'Data For Calculation - Insuranc'!D:D,"Company",'Data For Calculation - Insuranc'!E:E,"Bundled - 1 Year OD + 5 Year TP")</f>
        <v>0</v>
      </c>
      <c r="X258" s="34" t="s">
        <v>3929</v>
      </c>
      <c r="Y258" s="42" t="s">
        <v>3820</v>
      </c>
      <c r="Z258" s="34">
        <v>290.0</v>
      </c>
      <c r="AA258" s="34" t="s">
        <v>3853</v>
      </c>
      <c r="AB258" s="34">
        <v>0.0</v>
      </c>
      <c r="AC258" s="34">
        <v>100.0</v>
      </c>
      <c r="AD258" s="34">
        <v>0.0</v>
      </c>
      <c r="AE258" s="34">
        <v>0.0</v>
      </c>
      <c r="AF258" s="33">
        <f>COUNTIFS('Data For Calculation - Insuranc'!A:A,A258,'Data For Calculation - Insuranc'!D:D,"Individual",'Data For Calculation - Insuranc'!E:E,"Rollover Comprehensive - 1 Year OD + 1 Year TP")</f>
        <v>0</v>
      </c>
      <c r="AG258" s="34" t="s">
        <v>3930</v>
      </c>
      <c r="AH258" s="42" t="s">
        <v>3820</v>
      </c>
      <c r="AI258" s="34">
        <v>290.0</v>
      </c>
      <c r="AJ258" s="34" t="s">
        <v>3853</v>
      </c>
      <c r="AK258" s="34">
        <v>0.0</v>
      </c>
      <c r="AL258" s="34">
        <v>100.0</v>
      </c>
      <c r="AM258" s="34">
        <v>0.0</v>
      </c>
      <c r="AN258" s="34">
        <v>0.0</v>
      </c>
      <c r="AO258" s="33">
        <f>COUNTIFS('Data For Calculation - Insuranc'!A:A,A258,'Data For Calculation - Insuranc'!D:D,"Company",'Data For Calculation - Insuranc'!E:E,"Rollover Comprehensive - 1 Year OD + 1 Year TP")</f>
        <v>0</v>
      </c>
      <c r="AP258" s="34" t="s">
        <v>3931</v>
      </c>
      <c r="AQ258" s="42" t="s">
        <v>3820</v>
      </c>
      <c r="AR258" s="34">
        <v>290.0</v>
      </c>
      <c r="AS258" s="34" t="s">
        <v>3853</v>
      </c>
      <c r="AT258" s="34">
        <v>0.0</v>
      </c>
      <c r="AU258" s="34">
        <v>100.0</v>
      </c>
      <c r="AV258" s="34">
        <v>0.0</v>
      </c>
      <c r="AW258" s="34">
        <v>0.0</v>
      </c>
      <c r="AX258" s="33">
        <f>COUNTIFS('Data For Calculation - Insuranc'!A:A,A258,'Data For Calculation - Insuranc'!D:D,"Individual",'Data For Calculation - Insuranc'!E:E,"Rollover - 1 Year OD Only")</f>
        <v>0</v>
      </c>
      <c r="AY258" s="34" t="s">
        <v>3932</v>
      </c>
      <c r="AZ258" s="42" t="s">
        <v>3820</v>
      </c>
      <c r="BA258" s="34">
        <v>290.0</v>
      </c>
      <c r="BB258" s="34" t="s">
        <v>3853</v>
      </c>
      <c r="BC258" s="34">
        <v>0.0</v>
      </c>
      <c r="BD258" s="34">
        <v>100.0</v>
      </c>
      <c r="BE258" s="34">
        <v>0.0</v>
      </c>
      <c r="BF258" s="34">
        <v>0.0</v>
      </c>
      <c r="BG258" s="33">
        <f>COUNTIFS('Data For Calculation - Insuranc'!A:A,A258,'Data For Calculation - Insuranc'!D:D,"Company",'Data For Calculation - Insuranc'!E:E,"Rollover - 1 Year OD Only")</f>
        <v>0</v>
      </c>
      <c r="BH258" s="34" t="s">
        <v>3931</v>
      </c>
      <c r="BI258" s="42" t="s">
        <v>3820</v>
      </c>
      <c r="BJ258" s="34">
        <v>290.0</v>
      </c>
      <c r="BK258" s="34" t="s">
        <v>3853</v>
      </c>
      <c r="BL258" s="34">
        <v>0.0</v>
      </c>
      <c r="BM258" s="34">
        <v>100.0</v>
      </c>
      <c r="BN258" s="34">
        <v>0.0</v>
      </c>
      <c r="BO258" s="34">
        <v>0.0</v>
      </c>
      <c r="BP258" s="33">
        <f>COUNTIFS('Data For Calculation - Insuranc'!A:A,A258,'Data For Calculation - Insuranc'!D:D,"Individual",'Data For Calculation - Insuranc'!E:E,"Rollover - 1 Year TP Only")</f>
        <v>0</v>
      </c>
      <c r="BQ258" s="34" t="s">
        <v>3932</v>
      </c>
      <c r="BR258" s="42" t="s">
        <v>3820</v>
      </c>
      <c r="BS258" s="34">
        <v>290.0</v>
      </c>
      <c r="BT258" s="34" t="s">
        <v>3853</v>
      </c>
      <c r="BU258" s="34">
        <v>0.0</v>
      </c>
      <c r="BV258" s="34">
        <v>100.0</v>
      </c>
      <c r="BW258" s="34">
        <v>0.0</v>
      </c>
      <c r="BX258" s="34">
        <v>0.0</v>
      </c>
      <c r="BY258" s="33">
        <f>COUNTIFS('Data For Calculation - Insuranc'!A:A,A258,'Data For Calculation - Insuranc'!D:D,"Company",'Data For Calculation - Insuranc'!E:E,"Rollover - 1 Year TP Only")</f>
        <v>0</v>
      </c>
      <c r="BZ258" s="31">
        <f t="shared" si="1"/>
        <v>0</v>
      </c>
      <c r="CA258" s="33">
        <f>SUMIFS('Data For Calculation - Insuranc'!I:I,'Data For Calculation - Insuranc'!$A:$A,$A258)</f>
        <v>0</v>
      </c>
      <c r="CB258" s="33">
        <f>SUMIFS('Data For Calculation - Insuranc'!J:J,'Data For Calculation - Insuranc'!$A:$A,$A258)</f>
        <v>0</v>
      </c>
      <c r="CC258" s="33">
        <f>SUMIFS('Data For Calculation - Insuranc'!K:K,'Data For Calculation - Insuranc'!$A:$A,$A258)</f>
        <v>0</v>
      </c>
      <c r="CD258" s="33">
        <f>IF($CK258 = "Dealer", SUMIFS('Data For Calculation - Insuranc'!I:I,'Data For Calculation - Insuranc'!$B:$B,$A258,'Data For Calculation - Insuranc'!$H:$H,"Master Dealer")) + SUMIFS('Data For Calculation - Insuranc'!I:I,'Data For Calculation - Insuranc'!$A:$A,$A258,'Data For Calculation - Insuranc'!$H:$H,"Self")</f>
        <v>0</v>
      </c>
      <c r="CE258" s="33">
        <f>IF($CK258 = "Dealer", SUMIFS('Data For Calculation - Insuranc'!J:J,'Data For Calculation - Insuranc'!$B:$B,$A258,'Data For Calculation - Insuranc'!$H:$H,"Master Dealer")) + SUMIFS('Data For Calculation - Insuranc'!J:J,'Data For Calculation - Insuranc'!$A:$A,$A258,'Data For Calculation - Insuranc'!$H:$H,"Self")</f>
        <v>0</v>
      </c>
      <c r="CF258" s="33">
        <f>IF($CK258 = "Dealer", SUMIFS('Data For Calculation - Insuranc'!K:K,'Data For Calculation - Insuranc'!$B:$B,$A258,'Data For Calculation - Insuranc'!$H:$H,"Master Dealer")) + SUMIFS('Data For Calculation - Insuranc'!K:K,'Data For Calculation - Insuranc'!$A:$A,$A258,'Data For Calculation - Insuranc'!$H:$H,"Self")</f>
        <v>0</v>
      </c>
      <c r="CG258" s="26" t="str">
        <f>(Sheet1!N258)</f>
        <v>Vanshadi Motors - Faizabad</v>
      </c>
      <c r="CH258" s="26" t="str">
        <f>(Sheet1!O258)</f>
        <v>1S2YNz2hsIyDIwT68EF1VR8O-D7oanl9HQJpcApwJPG4</v>
      </c>
      <c r="CI258" s="25" t="str">
        <f>(Sheet1!AV258)</f>
        <v/>
      </c>
      <c r="CJ258" s="25" t="str">
        <f>(Sheet1!AW258)</f>
        <v/>
      </c>
      <c r="CK258" s="26" t="str">
        <f>(Sheet1!P258)</f>
        <v>Sub Dealer</v>
      </c>
    </row>
    <row r="259">
      <c r="A259" s="26" t="str">
        <f>(Sheet1!A259)</f>
        <v>18YeFXhbwOry3OVJYZRIqhn6Omyqh0U-ahQsWUD0TmFQ</v>
      </c>
      <c r="B259" s="26" t="str">
        <f>(Sheet1!B259)</f>
        <v>SILVER WHEELS - KANPUR</v>
      </c>
      <c r="C259" s="30" t="str">
        <f>Sheet1!BB259</f>
        <v>No</v>
      </c>
      <c r="D259" s="34" t="s">
        <v>13</v>
      </c>
      <c r="E259" s="34" t="s">
        <v>13</v>
      </c>
      <c r="F259" s="34" t="s">
        <v>3929</v>
      </c>
      <c r="G259" s="42" t="s">
        <v>3817</v>
      </c>
      <c r="H259" s="43">
        <v>460.0</v>
      </c>
      <c r="I259" s="42" t="s">
        <v>3853</v>
      </c>
      <c r="J259" s="43">
        <v>0.0</v>
      </c>
      <c r="K259" s="43">
        <v>100.0</v>
      </c>
      <c r="L259" s="43">
        <v>0.0</v>
      </c>
      <c r="M259" s="43">
        <v>0.0</v>
      </c>
      <c r="N259" s="33">
        <f>COUNTIFS('Data For Calculation - Insuranc'!A:A,A259,'Data For Calculation - Insuranc'!D:D,"Individual",'Data For Calculation - Insuranc'!E:E,"Bundled - 1 Year OD + 5 Year TP")</f>
        <v>0</v>
      </c>
      <c r="O259" s="34" t="s">
        <v>3930</v>
      </c>
      <c r="P259" s="42" t="s">
        <v>3817</v>
      </c>
      <c r="Q259" s="43">
        <v>460.0</v>
      </c>
      <c r="R259" s="42" t="s">
        <v>3853</v>
      </c>
      <c r="S259" s="43">
        <v>0.0</v>
      </c>
      <c r="T259" s="43">
        <v>100.0</v>
      </c>
      <c r="U259" s="43">
        <v>0.0</v>
      </c>
      <c r="V259" s="43">
        <v>0.0</v>
      </c>
      <c r="W259" s="33">
        <f>COUNTIFS('Data For Calculation - Insuranc'!A:A,A259,'Data For Calculation - Insuranc'!D:D,"Company",'Data For Calculation - Insuranc'!E:E,"Bundled - 1 Year OD + 5 Year TP")</f>
        <v>0</v>
      </c>
      <c r="X259" s="34" t="s">
        <v>3929</v>
      </c>
      <c r="Y259" s="42" t="s">
        <v>3817</v>
      </c>
      <c r="Z259" s="34">
        <v>290.0</v>
      </c>
      <c r="AA259" s="34" t="s">
        <v>3853</v>
      </c>
      <c r="AB259" s="34">
        <v>0.0</v>
      </c>
      <c r="AC259" s="34">
        <v>100.0</v>
      </c>
      <c r="AD259" s="34">
        <v>0.0</v>
      </c>
      <c r="AE259" s="34">
        <v>0.0</v>
      </c>
      <c r="AF259" s="33">
        <f>COUNTIFS('Data For Calculation - Insuranc'!A:A,A259,'Data For Calculation - Insuranc'!D:D,"Individual",'Data For Calculation - Insuranc'!E:E,"Rollover Comprehensive - 1 Year OD + 1 Year TP")</f>
        <v>0</v>
      </c>
      <c r="AG259" s="34" t="s">
        <v>3930</v>
      </c>
      <c r="AH259" s="42" t="s">
        <v>3817</v>
      </c>
      <c r="AI259" s="34">
        <v>290.0</v>
      </c>
      <c r="AJ259" s="34" t="s">
        <v>3853</v>
      </c>
      <c r="AK259" s="34">
        <v>0.0</v>
      </c>
      <c r="AL259" s="34">
        <v>100.0</v>
      </c>
      <c r="AM259" s="34">
        <v>0.0</v>
      </c>
      <c r="AN259" s="34">
        <v>0.0</v>
      </c>
      <c r="AO259" s="33">
        <f>COUNTIFS('Data For Calculation - Insuranc'!A:A,A259,'Data For Calculation - Insuranc'!D:D,"Company",'Data For Calculation - Insuranc'!E:E,"Rollover Comprehensive - 1 Year OD + 1 Year TP")</f>
        <v>0</v>
      </c>
      <c r="AP259" s="34" t="s">
        <v>3931</v>
      </c>
      <c r="AQ259" s="42" t="s">
        <v>3817</v>
      </c>
      <c r="AR259" s="34">
        <v>290.0</v>
      </c>
      <c r="AS259" s="34" t="s">
        <v>3853</v>
      </c>
      <c r="AT259" s="34">
        <v>0.0</v>
      </c>
      <c r="AU259" s="34">
        <v>100.0</v>
      </c>
      <c r="AV259" s="34">
        <v>0.0</v>
      </c>
      <c r="AW259" s="34">
        <v>0.0</v>
      </c>
      <c r="AX259" s="33">
        <f>COUNTIFS('Data For Calculation - Insuranc'!A:A,A259,'Data For Calculation - Insuranc'!D:D,"Individual",'Data For Calculation - Insuranc'!E:E,"Rollover - 1 Year OD Only")</f>
        <v>0</v>
      </c>
      <c r="AY259" s="34" t="s">
        <v>3932</v>
      </c>
      <c r="AZ259" s="42" t="s">
        <v>3817</v>
      </c>
      <c r="BA259" s="34">
        <v>290.0</v>
      </c>
      <c r="BB259" s="34" t="s">
        <v>3853</v>
      </c>
      <c r="BC259" s="34">
        <v>0.0</v>
      </c>
      <c r="BD259" s="34">
        <v>100.0</v>
      </c>
      <c r="BE259" s="34">
        <v>0.0</v>
      </c>
      <c r="BF259" s="34">
        <v>0.0</v>
      </c>
      <c r="BG259" s="33">
        <f>COUNTIFS('Data For Calculation - Insuranc'!A:A,A259,'Data For Calculation - Insuranc'!D:D,"Company",'Data For Calculation - Insuranc'!E:E,"Rollover - 1 Year OD Only")</f>
        <v>0</v>
      </c>
      <c r="BH259" s="34" t="s">
        <v>3931</v>
      </c>
      <c r="BI259" s="42" t="s">
        <v>3817</v>
      </c>
      <c r="BJ259" s="34">
        <v>290.0</v>
      </c>
      <c r="BK259" s="34" t="s">
        <v>3853</v>
      </c>
      <c r="BL259" s="34">
        <v>0.0</v>
      </c>
      <c r="BM259" s="34">
        <v>100.0</v>
      </c>
      <c r="BN259" s="34">
        <v>0.0</v>
      </c>
      <c r="BO259" s="34">
        <v>0.0</v>
      </c>
      <c r="BP259" s="33">
        <f>COUNTIFS('Data For Calculation - Insuranc'!A:A,A259,'Data For Calculation - Insuranc'!D:D,"Individual",'Data For Calculation - Insuranc'!E:E,"Rollover - 1 Year TP Only")</f>
        <v>0</v>
      </c>
      <c r="BQ259" s="34" t="s">
        <v>3932</v>
      </c>
      <c r="BR259" s="42" t="s">
        <v>3817</v>
      </c>
      <c r="BS259" s="34">
        <v>290.0</v>
      </c>
      <c r="BT259" s="34" t="s">
        <v>3853</v>
      </c>
      <c r="BU259" s="34">
        <v>0.0</v>
      </c>
      <c r="BV259" s="34">
        <v>100.0</v>
      </c>
      <c r="BW259" s="34">
        <v>0.0</v>
      </c>
      <c r="BX259" s="34">
        <v>0.0</v>
      </c>
      <c r="BY259" s="33">
        <f>COUNTIFS('Data For Calculation - Insuranc'!A:A,A259,'Data For Calculation - Insuranc'!D:D,"Company",'Data For Calculation - Insuranc'!E:E,"Rollover - 1 Year TP Only")</f>
        <v>0</v>
      </c>
      <c r="BZ259" s="31">
        <f t="shared" si="1"/>
        <v>0</v>
      </c>
      <c r="CA259" s="33">
        <f>SUMIFS('Data For Calculation - Insuranc'!I:I,'Data For Calculation - Insuranc'!$A:$A,$A259)</f>
        <v>0</v>
      </c>
      <c r="CB259" s="33">
        <f>SUMIFS('Data For Calculation - Insuranc'!J:J,'Data For Calculation - Insuranc'!$A:$A,$A259)</f>
        <v>0</v>
      </c>
      <c r="CC259" s="33">
        <f>SUMIFS('Data For Calculation - Insuranc'!K:K,'Data For Calculation - Insuranc'!$A:$A,$A259)</f>
        <v>0</v>
      </c>
      <c r="CD259" s="33">
        <f>IF($CK259 = "Dealer", SUMIFS('Data For Calculation - Insuranc'!I:I,'Data For Calculation - Insuranc'!$B:$B,$A259,'Data For Calculation - Insuranc'!$H:$H,"Master Dealer")) + SUMIFS('Data For Calculation - Insuranc'!I:I,'Data For Calculation - Insuranc'!$A:$A,$A259,'Data For Calculation - Insuranc'!$H:$H,"Self")</f>
        <v>0</v>
      </c>
      <c r="CE259" s="33">
        <f>IF($CK259 = "Dealer", SUMIFS('Data For Calculation - Insuranc'!J:J,'Data For Calculation - Insuranc'!$B:$B,$A259,'Data For Calculation - Insuranc'!$H:$H,"Master Dealer")) + SUMIFS('Data For Calculation - Insuranc'!J:J,'Data For Calculation - Insuranc'!$A:$A,$A259,'Data For Calculation - Insuranc'!$H:$H,"Self")</f>
        <v>0</v>
      </c>
      <c r="CF259" s="33">
        <f>IF($CK259 = "Dealer", SUMIFS('Data For Calculation - Insuranc'!K:K,'Data For Calculation - Insuranc'!$B:$B,$A259,'Data For Calculation - Insuranc'!$H:$H,"Master Dealer")) + SUMIFS('Data For Calculation - Insuranc'!K:K,'Data For Calculation - Insuranc'!$A:$A,$A259,'Data For Calculation - Insuranc'!$H:$H,"Self")</f>
        <v>0</v>
      </c>
      <c r="CG259" s="26" t="str">
        <f>(Sheet1!N259)</f>
        <v>SILVER WHEELS - KANPUR</v>
      </c>
      <c r="CH259" s="26" t="str">
        <f>(Sheet1!O259)</f>
        <v>18YeFXhbwOry3OVJYZRIqhn6Omyqh0U-ahQsWUD0TmFQ</v>
      </c>
      <c r="CI259" s="25" t="str">
        <f>(Sheet1!AV259)</f>
        <v/>
      </c>
      <c r="CJ259" s="25" t="str">
        <f>(Sheet1!AW259)</f>
        <v/>
      </c>
      <c r="CK259" s="26" t="str">
        <f>(Sheet1!P259)</f>
        <v>Dealer</v>
      </c>
    </row>
    <row r="260">
      <c r="A260" s="26" t="str">
        <f>(Sheet1!A260)</f>
        <v>1i7nD8aYC6tcitvs73AUebjtv4kfapAZjbotnlncyi9w</v>
      </c>
      <c r="B260" s="26" t="str">
        <f>(Sheet1!B260)</f>
        <v>SARASWATI MOTORS - PRAYAGRAJ</v>
      </c>
      <c r="C260" s="30" t="str">
        <f>Sheet1!BB260</f>
        <v>No</v>
      </c>
      <c r="D260" s="34" t="s">
        <v>13</v>
      </c>
      <c r="E260" s="34" t="s">
        <v>13</v>
      </c>
      <c r="F260" s="34" t="s">
        <v>3929</v>
      </c>
      <c r="G260" s="42" t="s">
        <v>3820</v>
      </c>
      <c r="H260" s="43">
        <v>460.0</v>
      </c>
      <c r="I260" s="42" t="s">
        <v>3853</v>
      </c>
      <c r="J260" s="43">
        <v>0.0</v>
      </c>
      <c r="K260" s="43">
        <v>100.0</v>
      </c>
      <c r="L260" s="43">
        <v>0.0</v>
      </c>
      <c r="M260" s="43">
        <v>0.0</v>
      </c>
      <c r="N260" s="33">
        <f>COUNTIFS('Data For Calculation - Insuranc'!A:A,A260,'Data For Calculation - Insuranc'!D:D,"Individual",'Data For Calculation - Insuranc'!E:E,"Bundled - 1 Year OD + 5 Year TP")</f>
        <v>0</v>
      </c>
      <c r="O260" s="34" t="s">
        <v>3930</v>
      </c>
      <c r="P260" s="42" t="s">
        <v>3820</v>
      </c>
      <c r="Q260" s="43">
        <v>460.0</v>
      </c>
      <c r="R260" s="42" t="s">
        <v>3853</v>
      </c>
      <c r="S260" s="43">
        <v>0.0</v>
      </c>
      <c r="T260" s="43">
        <v>100.0</v>
      </c>
      <c r="U260" s="43">
        <v>0.0</v>
      </c>
      <c r="V260" s="43">
        <v>0.0</v>
      </c>
      <c r="W260" s="33">
        <f>COUNTIFS('Data For Calculation - Insuranc'!A:A,A260,'Data For Calculation - Insuranc'!D:D,"Company",'Data For Calculation - Insuranc'!E:E,"Bundled - 1 Year OD + 5 Year TP")</f>
        <v>0</v>
      </c>
      <c r="X260" s="34" t="s">
        <v>3929</v>
      </c>
      <c r="Y260" s="42" t="s">
        <v>3820</v>
      </c>
      <c r="Z260" s="34">
        <v>290.0</v>
      </c>
      <c r="AA260" s="34" t="s">
        <v>3853</v>
      </c>
      <c r="AB260" s="34">
        <v>0.0</v>
      </c>
      <c r="AC260" s="34">
        <v>100.0</v>
      </c>
      <c r="AD260" s="34">
        <v>0.0</v>
      </c>
      <c r="AE260" s="34">
        <v>0.0</v>
      </c>
      <c r="AF260" s="33">
        <f>COUNTIFS('Data For Calculation - Insuranc'!A:A,A260,'Data For Calculation - Insuranc'!D:D,"Individual",'Data For Calculation - Insuranc'!E:E,"Rollover Comprehensive - 1 Year OD + 1 Year TP")</f>
        <v>0</v>
      </c>
      <c r="AG260" s="34" t="s">
        <v>3930</v>
      </c>
      <c r="AH260" s="42" t="s">
        <v>3820</v>
      </c>
      <c r="AI260" s="34">
        <v>290.0</v>
      </c>
      <c r="AJ260" s="34" t="s">
        <v>3853</v>
      </c>
      <c r="AK260" s="34">
        <v>0.0</v>
      </c>
      <c r="AL260" s="34">
        <v>100.0</v>
      </c>
      <c r="AM260" s="34">
        <v>0.0</v>
      </c>
      <c r="AN260" s="34">
        <v>0.0</v>
      </c>
      <c r="AO260" s="33">
        <f>COUNTIFS('Data For Calculation - Insuranc'!A:A,A260,'Data For Calculation - Insuranc'!D:D,"Company",'Data For Calculation - Insuranc'!E:E,"Rollover Comprehensive - 1 Year OD + 1 Year TP")</f>
        <v>0</v>
      </c>
      <c r="AP260" s="34" t="s">
        <v>3931</v>
      </c>
      <c r="AQ260" s="42" t="s">
        <v>3820</v>
      </c>
      <c r="AR260" s="34">
        <v>290.0</v>
      </c>
      <c r="AS260" s="34" t="s">
        <v>3853</v>
      </c>
      <c r="AT260" s="34">
        <v>0.0</v>
      </c>
      <c r="AU260" s="34">
        <v>100.0</v>
      </c>
      <c r="AV260" s="34">
        <v>0.0</v>
      </c>
      <c r="AW260" s="34">
        <v>0.0</v>
      </c>
      <c r="AX260" s="33">
        <f>COUNTIFS('Data For Calculation - Insuranc'!A:A,A260,'Data For Calculation - Insuranc'!D:D,"Individual",'Data For Calculation - Insuranc'!E:E,"Rollover - 1 Year OD Only")</f>
        <v>0</v>
      </c>
      <c r="AY260" s="34" t="s">
        <v>3932</v>
      </c>
      <c r="AZ260" s="42" t="s">
        <v>3820</v>
      </c>
      <c r="BA260" s="34">
        <v>290.0</v>
      </c>
      <c r="BB260" s="34" t="s">
        <v>3853</v>
      </c>
      <c r="BC260" s="34">
        <v>0.0</v>
      </c>
      <c r="BD260" s="34">
        <v>100.0</v>
      </c>
      <c r="BE260" s="34">
        <v>0.0</v>
      </c>
      <c r="BF260" s="34">
        <v>0.0</v>
      </c>
      <c r="BG260" s="33">
        <f>COUNTIFS('Data For Calculation - Insuranc'!A:A,A260,'Data For Calculation - Insuranc'!D:D,"Company",'Data For Calculation - Insuranc'!E:E,"Rollover - 1 Year OD Only")</f>
        <v>0</v>
      </c>
      <c r="BH260" s="34" t="s">
        <v>3931</v>
      </c>
      <c r="BI260" s="42" t="s">
        <v>3820</v>
      </c>
      <c r="BJ260" s="34">
        <v>290.0</v>
      </c>
      <c r="BK260" s="34" t="s">
        <v>3853</v>
      </c>
      <c r="BL260" s="34">
        <v>0.0</v>
      </c>
      <c r="BM260" s="34">
        <v>100.0</v>
      </c>
      <c r="BN260" s="34">
        <v>0.0</v>
      </c>
      <c r="BO260" s="34">
        <v>0.0</v>
      </c>
      <c r="BP260" s="33">
        <f>COUNTIFS('Data For Calculation - Insuranc'!A:A,A260,'Data For Calculation - Insuranc'!D:D,"Individual",'Data For Calculation - Insuranc'!E:E,"Rollover - 1 Year TP Only")</f>
        <v>0</v>
      </c>
      <c r="BQ260" s="34" t="s">
        <v>3932</v>
      </c>
      <c r="BR260" s="42" t="s">
        <v>3820</v>
      </c>
      <c r="BS260" s="34">
        <v>290.0</v>
      </c>
      <c r="BT260" s="34" t="s">
        <v>3853</v>
      </c>
      <c r="BU260" s="34">
        <v>0.0</v>
      </c>
      <c r="BV260" s="34">
        <v>100.0</v>
      </c>
      <c r="BW260" s="34">
        <v>0.0</v>
      </c>
      <c r="BX260" s="34">
        <v>0.0</v>
      </c>
      <c r="BY260" s="33">
        <f>COUNTIFS('Data For Calculation - Insuranc'!A:A,A260,'Data For Calculation - Insuranc'!D:D,"Company",'Data For Calculation - Insuranc'!E:E,"Rollover - 1 Year TP Only")</f>
        <v>0</v>
      </c>
      <c r="BZ260" s="31">
        <f t="shared" si="1"/>
        <v>0</v>
      </c>
      <c r="CA260" s="33">
        <f>SUMIFS('Data For Calculation - Insuranc'!I:I,'Data For Calculation - Insuranc'!$A:$A,$A260)</f>
        <v>0</v>
      </c>
      <c r="CB260" s="33">
        <f>SUMIFS('Data For Calculation - Insuranc'!J:J,'Data For Calculation - Insuranc'!$A:$A,$A260)</f>
        <v>0</v>
      </c>
      <c r="CC260" s="33">
        <f>SUMIFS('Data For Calculation - Insuranc'!K:K,'Data For Calculation - Insuranc'!$A:$A,$A260)</f>
        <v>0</v>
      </c>
      <c r="CD260" s="33">
        <f>IF($CK260 = "Dealer", SUMIFS('Data For Calculation - Insuranc'!I:I,'Data For Calculation - Insuranc'!$B:$B,$A260,'Data For Calculation - Insuranc'!$H:$H,"Master Dealer")) + SUMIFS('Data For Calculation - Insuranc'!I:I,'Data For Calculation - Insuranc'!$A:$A,$A260,'Data For Calculation - Insuranc'!$H:$H,"Self")</f>
        <v>0</v>
      </c>
      <c r="CE260" s="33">
        <f>IF($CK260 = "Dealer", SUMIFS('Data For Calculation - Insuranc'!J:J,'Data For Calculation - Insuranc'!$B:$B,$A260,'Data For Calculation - Insuranc'!$H:$H,"Master Dealer")) + SUMIFS('Data For Calculation - Insuranc'!J:J,'Data For Calculation - Insuranc'!$A:$A,$A260,'Data For Calculation - Insuranc'!$H:$H,"Self")</f>
        <v>0</v>
      </c>
      <c r="CF260" s="33">
        <f>IF($CK260 = "Dealer", SUMIFS('Data For Calculation - Insuranc'!K:K,'Data For Calculation - Insuranc'!$B:$B,$A260,'Data For Calculation - Insuranc'!$H:$H,"Master Dealer")) + SUMIFS('Data For Calculation - Insuranc'!K:K,'Data For Calculation - Insuranc'!$A:$A,$A260,'Data For Calculation - Insuranc'!$H:$H,"Self")</f>
        <v>0</v>
      </c>
      <c r="CG260" s="26" t="str">
        <f>(Sheet1!N260)</f>
        <v>SARASWATI MOTORS - PRAYAGRAJ</v>
      </c>
      <c r="CH260" s="26" t="str">
        <f>(Sheet1!O260)</f>
        <v>1i7nD8aYC6tcitvs73AUebjtv4kfapAZjbotnlncyi9w</v>
      </c>
      <c r="CI260" s="25" t="str">
        <f>(Sheet1!AV260)</f>
        <v/>
      </c>
      <c r="CJ260" s="25" t="str">
        <f>(Sheet1!AW260)</f>
        <v/>
      </c>
      <c r="CK260" s="26" t="str">
        <f>(Sheet1!P260)</f>
        <v>Dealer</v>
      </c>
    </row>
    <row r="261">
      <c r="A261" s="26" t="str">
        <f>(Sheet1!A261)</f>
        <v>1yvgpH1Hw8bnf4lrnmBAiOKNDWfY-irs2VtrGdI62N3w</v>
      </c>
      <c r="B261" s="26" t="str">
        <f>(Sheet1!B261)</f>
        <v>Mongold World Hero(VAW) - Khair</v>
      </c>
      <c r="C261" s="30" t="str">
        <f>Sheet1!BB261</f>
        <v>No</v>
      </c>
      <c r="D261" s="34" t="s">
        <v>13</v>
      </c>
      <c r="E261" s="34" t="s">
        <v>13</v>
      </c>
      <c r="F261" s="34" t="s">
        <v>3929</v>
      </c>
      <c r="G261" s="42" t="s">
        <v>3820</v>
      </c>
      <c r="H261" s="43">
        <v>460.0</v>
      </c>
      <c r="I261" s="42" t="s">
        <v>3853</v>
      </c>
      <c r="J261" s="43">
        <v>0.0</v>
      </c>
      <c r="K261" s="43">
        <v>100.0</v>
      </c>
      <c r="L261" s="43">
        <v>0.0</v>
      </c>
      <c r="M261" s="43">
        <v>0.0</v>
      </c>
      <c r="N261" s="33">
        <f>COUNTIFS('Data For Calculation - Insuranc'!A:A,A261,'Data For Calculation - Insuranc'!D:D,"Individual",'Data For Calculation - Insuranc'!E:E,"Bundled - 1 Year OD + 5 Year TP")</f>
        <v>0</v>
      </c>
      <c r="O261" s="34" t="s">
        <v>3930</v>
      </c>
      <c r="P261" s="42" t="s">
        <v>3820</v>
      </c>
      <c r="Q261" s="43">
        <v>460.0</v>
      </c>
      <c r="R261" s="42" t="s">
        <v>3853</v>
      </c>
      <c r="S261" s="43">
        <v>0.0</v>
      </c>
      <c r="T261" s="43">
        <v>100.0</v>
      </c>
      <c r="U261" s="43">
        <v>0.0</v>
      </c>
      <c r="V261" s="43">
        <v>0.0</v>
      </c>
      <c r="W261" s="33">
        <f>COUNTIFS('Data For Calculation - Insuranc'!A:A,A261,'Data For Calculation - Insuranc'!D:D,"Company",'Data For Calculation - Insuranc'!E:E,"Bundled - 1 Year OD + 5 Year TP")</f>
        <v>0</v>
      </c>
      <c r="X261" s="34" t="s">
        <v>3929</v>
      </c>
      <c r="Y261" s="42" t="s">
        <v>3820</v>
      </c>
      <c r="Z261" s="34">
        <v>290.0</v>
      </c>
      <c r="AA261" s="34" t="s">
        <v>3853</v>
      </c>
      <c r="AB261" s="34">
        <v>0.0</v>
      </c>
      <c r="AC261" s="34">
        <v>100.0</v>
      </c>
      <c r="AD261" s="34">
        <v>0.0</v>
      </c>
      <c r="AE261" s="34">
        <v>0.0</v>
      </c>
      <c r="AF261" s="33">
        <f>COUNTIFS('Data For Calculation - Insuranc'!A:A,A261,'Data For Calculation - Insuranc'!D:D,"Individual",'Data For Calculation - Insuranc'!E:E,"Rollover Comprehensive - 1 Year OD + 1 Year TP")</f>
        <v>0</v>
      </c>
      <c r="AG261" s="34" t="s">
        <v>3930</v>
      </c>
      <c r="AH261" s="42" t="s">
        <v>3820</v>
      </c>
      <c r="AI261" s="34">
        <v>290.0</v>
      </c>
      <c r="AJ261" s="34" t="s">
        <v>3853</v>
      </c>
      <c r="AK261" s="34">
        <v>0.0</v>
      </c>
      <c r="AL261" s="34">
        <v>100.0</v>
      </c>
      <c r="AM261" s="34">
        <v>0.0</v>
      </c>
      <c r="AN261" s="34">
        <v>0.0</v>
      </c>
      <c r="AO261" s="33">
        <f>COUNTIFS('Data For Calculation - Insuranc'!A:A,A261,'Data For Calculation - Insuranc'!D:D,"Company",'Data For Calculation - Insuranc'!E:E,"Rollover Comprehensive - 1 Year OD + 1 Year TP")</f>
        <v>0</v>
      </c>
      <c r="AP261" s="34" t="s">
        <v>3931</v>
      </c>
      <c r="AQ261" s="42" t="s">
        <v>3820</v>
      </c>
      <c r="AR261" s="34">
        <v>290.0</v>
      </c>
      <c r="AS261" s="34" t="s">
        <v>3853</v>
      </c>
      <c r="AT261" s="34">
        <v>0.0</v>
      </c>
      <c r="AU261" s="34">
        <v>100.0</v>
      </c>
      <c r="AV261" s="34">
        <v>0.0</v>
      </c>
      <c r="AW261" s="34">
        <v>0.0</v>
      </c>
      <c r="AX261" s="33">
        <f>COUNTIFS('Data For Calculation - Insuranc'!A:A,A261,'Data For Calculation - Insuranc'!D:D,"Individual",'Data For Calculation - Insuranc'!E:E,"Rollover - 1 Year OD Only")</f>
        <v>0</v>
      </c>
      <c r="AY261" s="34" t="s">
        <v>3932</v>
      </c>
      <c r="AZ261" s="42" t="s">
        <v>3820</v>
      </c>
      <c r="BA261" s="34">
        <v>290.0</v>
      </c>
      <c r="BB261" s="34" t="s">
        <v>3853</v>
      </c>
      <c r="BC261" s="34">
        <v>0.0</v>
      </c>
      <c r="BD261" s="34">
        <v>100.0</v>
      </c>
      <c r="BE261" s="34">
        <v>0.0</v>
      </c>
      <c r="BF261" s="34">
        <v>0.0</v>
      </c>
      <c r="BG261" s="33">
        <f>COUNTIFS('Data For Calculation - Insuranc'!A:A,A261,'Data For Calculation - Insuranc'!D:D,"Company",'Data For Calculation - Insuranc'!E:E,"Rollover - 1 Year OD Only")</f>
        <v>0</v>
      </c>
      <c r="BH261" s="34" t="s">
        <v>3931</v>
      </c>
      <c r="BI261" s="42" t="s">
        <v>3820</v>
      </c>
      <c r="BJ261" s="34">
        <v>290.0</v>
      </c>
      <c r="BK261" s="34" t="s">
        <v>3853</v>
      </c>
      <c r="BL261" s="34">
        <v>0.0</v>
      </c>
      <c r="BM261" s="34">
        <v>100.0</v>
      </c>
      <c r="BN261" s="34">
        <v>0.0</v>
      </c>
      <c r="BO261" s="34">
        <v>0.0</v>
      </c>
      <c r="BP261" s="33">
        <f>COUNTIFS('Data For Calculation - Insuranc'!A:A,A261,'Data For Calculation - Insuranc'!D:D,"Individual",'Data For Calculation - Insuranc'!E:E,"Rollover - 1 Year TP Only")</f>
        <v>0</v>
      </c>
      <c r="BQ261" s="34" t="s">
        <v>3932</v>
      </c>
      <c r="BR261" s="42" t="s">
        <v>3820</v>
      </c>
      <c r="BS261" s="34">
        <v>290.0</v>
      </c>
      <c r="BT261" s="34" t="s">
        <v>3853</v>
      </c>
      <c r="BU261" s="34">
        <v>0.0</v>
      </c>
      <c r="BV261" s="34">
        <v>100.0</v>
      </c>
      <c r="BW261" s="34">
        <v>0.0</v>
      </c>
      <c r="BX261" s="34">
        <v>0.0</v>
      </c>
      <c r="BY261" s="33">
        <f>COUNTIFS('Data For Calculation - Insuranc'!A:A,A261,'Data For Calculation - Insuranc'!D:D,"Company",'Data For Calculation - Insuranc'!E:E,"Rollover - 1 Year TP Only")</f>
        <v>0</v>
      </c>
      <c r="BZ261" s="31">
        <f t="shared" si="1"/>
        <v>0</v>
      </c>
      <c r="CA261" s="33">
        <f>SUMIFS('Data For Calculation - Insuranc'!I:I,'Data For Calculation - Insuranc'!$A:$A,$A261)</f>
        <v>0</v>
      </c>
      <c r="CB261" s="33">
        <f>SUMIFS('Data For Calculation - Insuranc'!J:J,'Data For Calculation - Insuranc'!$A:$A,$A261)</f>
        <v>0</v>
      </c>
      <c r="CC261" s="33">
        <f>SUMIFS('Data For Calculation - Insuranc'!K:K,'Data For Calculation - Insuranc'!$A:$A,$A261)</f>
        <v>0</v>
      </c>
      <c r="CD261" s="33">
        <f>IF($CK261 = "Dealer", SUMIFS('Data For Calculation - Insuranc'!I:I,'Data For Calculation - Insuranc'!$B:$B,$A261,'Data For Calculation - Insuranc'!$H:$H,"Master Dealer")) + SUMIFS('Data For Calculation - Insuranc'!I:I,'Data For Calculation - Insuranc'!$A:$A,$A261,'Data For Calculation - Insuranc'!$H:$H,"Self")</f>
        <v>0</v>
      </c>
      <c r="CE261" s="33">
        <f>IF($CK261 = "Dealer", SUMIFS('Data For Calculation - Insuranc'!J:J,'Data For Calculation - Insuranc'!$B:$B,$A261,'Data For Calculation - Insuranc'!$H:$H,"Master Dealer")) + SUMIFS('Data For Calculation - Insuranc'!J:J,'Data For Calculation - Insuranc'!$A:$A,$A261,'Data For Calculation - Insuranc'!$H:$H,"Self")</f>
        <v>0</v>
      </c>
      <c r="CF261" s="33">
        <f>IF($CK261 = "Dealer", SUMIFS('Data For Calculation - Insuranc'!K:K,'Data For Calculation - Insuranc'!$B:$B,$A261,'Data For Calculation - Insuranc'!$H:$H,"Master Dealer")) + SUMIFS('Data For Calculation - Insuranc'!K:K,'Data For Calculation - Insuranc'!$A:$A,$A261,'Data For Calculation - Insuranc'!$H:$H,"Self")</f>
        <v>0</v>
      </c>
      <c r="CG261" s="26" t="str">
        <f>(Sheet1!N261)</f>
        <v>Vikas Autowheels</v>
      </c>
      <c r="CH261" s="26" t="str">
        <f>(Sheet1!O261)</f>
        <v>1944RLX7T1M23YXRXYoMnJ6nD_bKLldQXRpFRA0rDLvg</v>
      </c>
      <c r="CI261" s="25" t="str">
        <f>(Sheet1!AV261)</f>
        <v/>
      </c>
      <c r="CJ261" s="25" t="str">
        <f>(Sheet1!AW261)</f>
        <v/>
      </c>
      <c r="CK261" s="26" t="str">
        <f>(Sheet1!P261)</f>
        <v>Sub Dealer</v>
      </c>
    </row>
    <row r="262">
      <c r="A262" s="26" t="str">
        <f>(Sheet1!A262)</f>
        <v>14mB4gV5ERRUfHqgfkG9Y3k4vrKZM_vGy769D96a1XRs</v>
      </c>
      <c r="B262" s="26" t="str">
        <f>(Sheet1!B262)</f>
        <v>SHIV GANGA AUTOMOBILES  - DELHI</v>
      </c>
      <c r="C262" s="30" t="str">
        <f>Sheet1!BB262</f>
        <v>Yes</v>
      </c>
      <c r="D262" s="34" t="s">
        <v>13</v>
      </c>
      <c r="E262" s="34" t="s">
        <v>13</v>
      </c>
      <c r="F262" s="34" t="s">
        <v>3929</v>
      </c>
      <c r="G262" s="42" t="s">
        <v>3854</v>
      </c>
      <c r="H262" s="43">
        <v>100.0</v>
      </c>
      <c r="I262" s="42" t="s">
        <v>3855</v>
      </c>
      <c r="J262" s="43">
        <v>2000.0</v>
      </c>
      <c r="K262" s="43">
        <v>100.0</v>
      </c>
      <c r="L262" s="43">
        <v>0.0</v>
      </c>
      <c r="M262" s="43">
        <v>0.0</v>
      </c>
      <c r="N262" s="33">
        <f>COUNTIFS('Data For Calculation - Insuranc'!A:A,A262,'Data For Calculation - Insuranc'!D:D,"Individual",'Data For Calculation - Insuranc'!E:E,"Bundled - 1 Year OD + 5 Year TP")</f>
        <v>1</v>
      </c>
      <c r="O262" s="34" t="s">
        <v>3930</v>
      </c>
      <c r="P262" s="42" t="s">
        <v>3854</v>
      </c>
      <c r="Q262" s="43">
        <v>100.0</v>
      </c>
      <c r="R262" s="42" t="s">
        <v>3855</v>
      </c>
      <c r="S262" s="43">
        <v>2000.0</v>
      </c>
      <c r="T262" s="43">
        <v>100.0</v>
      </c>
      <c r="U262" s="43">
        <v>0.0</v>
      </c>
      <c r="V262" s="43">
        <v>0.0</v>
      </c>
      <c r="W262" s="33">
        <f>COUNTIFS('Data For Calculation - Insuranc'!A:A,A262,'Data For Calculation - Insuranc'!D:D,"Company",'Data For Calculation - Insuranc'!E:E,"Bundled - 1 Year OD + 5 Year TP")</f>
        <v>0</v>
      </c>
      <c r="X262" s="34" t="s">
        <v>3929</v>
      </c>
      <c r="Y262" s="42" t="s">
        <v>3854</v>
      </c>
      <c r="Z262" s="43">
        <v>100.0</v>
      </c>
      <c r="AA262" s="42" t="s">
        <v>3855</v>
      </c>
      <c r="AB262" s="31">
        <v>500.0</v>
      </c>
      <c r="AC262" s="43">
        <v>100.0</v>
      </c>
      <c r="AD262" s="43">
        <v>0.0</v>
      </c>
      <c r="AE262" s="43">
        <v>0.0</v>
      </c>
      <c r="AF262" s="33">
        <f>COUNTIFS('Data For Calculation - Insuranc'!A:A,A262,'Data For Calculation - Insuranc'!D:D,"Individual",'Data For Calculation - Insuranc'!E:E,"Rollover Comprehensive - 1 Year OD + 1 Year TP")</f>
        <v>0</v>
      </c>
      <c r="AG262" s="34" t="s">
        <v>3930</v>
      </c>
      <c r="AH262" s="42" t="s">
        <v>3854</v>
      </c>
      <c r="AI262" s="43">
        <v>100.0</v>
      </c>
      <c r="AJ262" s="42" t="s">
        <v>3855</v>
      </c>
      <c r="AK262" s="31">
        <v>500.0</v>
      </c>
      <c r="AL262" s="43">
        <v>100.0</v>
      </c>
      <c r="AM262" s="43">
        <v>0.0</v>
      </c>
      <c r="AN262" s="43">
        <v>0.0</v>
      </c>
      <c r="AO262" s="33">
        <f>COUNTIFS('Data For Calculation - Insuranc'!A:A,A262,'Data For Calculation - Insuranc'!D:D,"Company",'Data For Calculation - Insuranc'!E:E,"Rollover Comprehensive - 1 Year OD + 1 Year TP")</f>
        <v>0</v>
      </c>
      <c r="AP262" s="34" t="s">
        <v>3929</v>
      </c>
      <c r="AQ262" s="42" t="s">
        <v>3854</v>
      </c>
      <c r="AR262" s="43">
        <v>100.0</v>
      </c>
      <c r="AS262" s="42" t="s">
        <v>3855</v>
      </c>
      <c r="AT262" s="31">
        <v>500.0</v>
      </c>
      <c r="AU262" s="43">
        <v>100.0</v>
      </c>
      <c r="AV262" s="43">
        <v>0.0</v>
      </c>
      <c r="AW262" s="43">
        <v>0.0</v>
      </c>
      <c r="AX262" s="33">
        <f>COUNTIFS('Data For Calculation - Insuranc'!A:A,A262,'Data For Calculation - Insuranc'!D:D,"Individual",'Data For Calculation - Insuranc'!E:E,"Rollover - 1 Year OD Only")</f>
        <v>0</v>
      </c>
      <c r="AY262" s="34" t="s">
        <v>3930</v>
      </c>
      <c r="AZ262" s="42" t="s">
        <v>3854</v>
      </c>
      <c r="BA262" s="43">
        <v>100.0</v>
      </c>
      <c r="BB262" s="42" t="s">
        <v>3855</v>
      </c>
      <c r="BC262" s="31">
        <v>500.0</v>
      </c>
      <c r="BD262" s="43">
        <v>100.0</v>
      </c>
      <c r="BE262" s="43">
        <v>0.0</v>
      </c>
      <c r="BF262" s="43">
        <v>0.0</v>
      </c>
      <c r="BG262" s="33">
        <f>COUNTIFS('Data For Calculation - Insuranc'!A:A,A262,'Data For Calculation - Insuranc'!D:D,"Company",'Data For Calculation - Insuranc'!E:E,"Rollover - 1 Year OD Only")</f>
        <v>0</v>
      </c>
      <c r="BH262" s="34" t="s">
        <v>3931</v>
      </c>
      <c r="BI262" s="42" t="s">
        <v>3854</v>
      </c>
      <c r="BJ262" s="43">
        <v>100.0</v>
      </c>
      <c r="BK262" s="42" t="s">
        <v>3855</v>
      </c>
      <c r="BL262" s="31">
        <v>400.0</v>
      </c>
      <c r="BM262" s="43">
        <v>100.0</v>
      </c>
      <c r="BN262" s="43">
        <v>0.0</v>
      </c>
      <c r="BO262" s="43">
        <v>0.0</v>
      </c>
      <c r="BP262" s="33">
        <f>COUNTIFS('Data For Calculation - Insuranc'!A:A,A262,'Data For Calculation - Insuranc'!D:D,"Individual",'Data For Calculation - Insuranc'!E:E,"Rollover - 1 Year TP Only")</f>
        <v>0</v>
      </c>
      <c r="BQ262" s="34" t="s">
        <v>3932</v>
      </c>
      <c r="BR262" s="42" t="s">
        <v>3854</v>
      </c>
      <c r="BS262" s="43">
        <v>100.0</v>
      </c>
      <c r="BT262" s="42" t="s">
        <v>3855</v>
      </c>
      <c r="BU262" s="31">
        <v>400.0</v>
      </c>
      <c r="BV262" s="43">
        <v>100.0</v>
      </c>
      <c r="BW262" s="43">
        <v>0.0</v>
      </c>
      <c r="BX262" s="43">
        <v>0.0</v>
      </c>
      <c r="BY262" s="33">
        <f>COUNTIFS('Data For Calculation - Insuranc'!A:A,A262,'Data For Calculation - Insuranc'!D:D,"Company",'Data For Calculation - Insuranc'!E:E,"Rollover - 1 Year TP Only")</f>
        <v>0</v>
      </c>
      <c r="BZ262" s="31">
        <f t="shared" si="1"/>
        <v>1</v>
      </c>
      <c r="CA262" s="33">
        <f>SUMIFS('Data For Calculation - Insuranc'!I:I,'Data For Calculation - Insuranc'!$A:$A,$A262)</f>
        <v>-6060.68</v>
      </c>
      <c r="CB262" s="33">
        <f>SUMIFS('Data For Calculation - Insuranc'!J:J,'Data For Calculation - Insuranc'!$A:$A,$A262)</f>
        <v>0</v>
      </c>
      <c r="CC262" s="33">
        <f>SUMIFS('Data For Calculation - Insuranc'!K:K,'Data For Calculation - Insuranc'!$A:$A,$A262)</f>
        <v>-6060.68</v>
      </c>
      <c r="CD262" s="33">
        <f>IF($CK262 = "Dealer", SUMIFS('Data For Calculation - Insuranc'!I:I,'Data For Calculation - Insuranc'!$B:$B,$A262,'Data For Calculation - Insuranc'!$H:$H,"Master Dealer")) + SUMIFS('Data For Calculation - Insuranc'!I:I,'Data For Calculation - Insuranc'!$A:$A,$A262,'Data For Calculation - Insuranc'!$H:$H,"Self")</f>
        <v>-6060.68</v>
      </c>
      <c r="CE262" s="33">
        <f>IF($CK262 = "Dealer", SUMIFS('Data For Calculation - Insuranc'!J:J,'Data For Calculation - Insuranc'!$B:$B,$A262,'Data For Calculation - Insuranc'!$H:$H,"Master Dealer")) + SUMIFS('Data For Calculation - Insuranc'!J:J,'Data For Calculation - Insuranc'!$A:$A,$A262,'Data For Calculation - Insuranc'!$H:$H,"Self")</f>
        <v>0</v>
      </c>
      <c r="CF262" s="33">
        <f>IF($CK262 = "Dealer", SUMIFS('Data For Calculation - Insuranc'!K:K,'Data For Calculation - Insuranc'!$B:$B,$A262,'Data For Calculation - Insuranc'!$H:$H,"Master Dealer")) + SUMIFS('Data For Calculation - Insuranc'!K:K,'Data For Calculation - Insuranc'!$A:$A,$A262,'Data For Calculation - Insuranc'!$H:$H,"Self")</f>
        <v>-6060.68</v>
      </c>
      <c r="CG262" s="26" t="str">
        <f>(Sheet1!N262)</f>
        <v>SHIV GANGA AUTOMOBILES  - DELHI</v>
      </c>
      <c r="CH262" s="26" t="str">
        <f>(Sheet1!O262)</f>
        <v>14mB4gV5ERRUfHqgfkG9Y3k4vrKZM_vGy769D96a1XRs</v>
      </c>
      <c r="CI262" s="25" t="str">
        <f>(Sheet1!AV262)</f>
        <v/>
      </c>
      <c r="CJ262" s="25" t="str">
        <f>(Sheet1!AW262)</f>
        <v/>
      </c>
      <c r="CK262" s="26" t="str">
        <f>(Sheet1!P262)</f>
        <v>Dealer</v>
      </c>
    </row>
    <row r="263">
      <c r="A263" s="26" t="str">
        <f>(Sheet1!A263)</f>
        <v>1mwtInypGX68IAfrIujI69hhRfhbAPm5uMzQxz3Da4FQ</v>
      </c>
      <c r="B263" s="26" t="str">
        <f>(Sheet1!B263)</f>
        <v>Lucky Automobiles(MAA) - Nautan</v>
      </c>
      <c r="C263" s="30" t="str">
        <f>Sheet1!BB263</f>
        <v>No</v>
      </c>
      <c r="D263" s="34" t="s">
        <v>13</v>
      </c>
      <c r="E263" s="34" t="s">
        <v>13</v>
      </c>
      <c r="F263" s="34" t="s">
        <v>3929</v>
      </c>
      <c r="G263" s="42" t="s">
        <v>3820</v>
      </c>
      <c r="H263" s="43">
        <v>460.0</v>
      </c>
      <c r="I263" s="42" t="s">
        <v>3853</v>
      </c>
      <c r="J263" s="43">
        <v>0.0</v>
      </c>
      <c r="K263" s="43">
        <v>100.0</v>
      </c>
      <c r="L263" s="43">
        <v>0.0</v>
      </c>
      <c r="M263" s="43">
        <v>0.0</v>
      </c>
      <c r="N263" s="33">
        <f>COUNTIFS('Data For Calculation - Insuranc'!A:A,A263,'Data For Calculation - Insuranc'!D:D,"Individual",'Data For Calculation - Insuranc'!E:E,"Bundled - 1 Year OD + 5 Year TP")</f>
        <v>0</v>
      </c>
      <c r="O263" s="34" t="s">
        <v>3930</v>
      </c>
      <c r="P263" s="42" t="s">
        <v>3820</v>
      </c>
      <c r="Q263" s="43">
        <v>460.0</v>
      </c>
      <c r="R263" s="42" t="s">
        <v>3853</v>
      </c>
      <c r="S263" s="43">
        <v>0.0</v>
      </c>
      <c r="T263" s="43">
        <v>100.0</v>
      </c>
      <c r="U263" s="43">
        <v>0.0</v>
      </c>
      <c r="V263" s="43">
        <v>0.0</v>
      </c>
      <c r="W263" s="33">
        <f>COUNTIFS('Data For Calculation - Insuranc'!A:A,A263,'Data For Calculation - Insuranc'!D:D,"Company",'Data For Calculation - Insuranc'!E:E,"Bundled - 1 Year OD + 5 Year TP")</f>
        <v>0</v>
      </c>
      <c r="X263" s="34" t="s">
        <v>3929</v>
      </c>
      <c r="Y263" s="42" t="s">
        <v>3820</v>
      </c>
      <c r="Z263" s="34">
        <v>290.0</v>
      </c>
      <c r="AA263" s="34" t="s">
        <v>3853</v>
      </c>
      <c r="AB263" s="34">
        <v>0.0</v>
      </c>
      <c r="AC263" s="34">
        <v>100.0</v>
      </c>
      <c r="AD263" s="34">
        <v>0.0</v>
      </c>
      <c r="AE263" s="34">
        <v>0.0</v>
      </c>
      <c r="AF263" s="33">
        <f>COUNTIFS('Data For Calculation - Insuranc'!A:A,A263,'Data For Calculation - Insuranc'!D:D,"Individual",'Data For Calculation - Insuranc'!E:E,"Rollover Comprehensive - 1 Year OD + 1 Year TP")</f>
        <v>0</v>
      </c>
      <c r="AG263" s="34" t="s">
        <v>3930</v>
      </c>
      <c r="AH263" s="42" t="s">
        <v>3820</v>
      </c>
      <c r="AI263" s="34">
        <v>290.0</v>
      </c>
      <c r="AJ263" s="34" t="s">
        <v>3853</v>
      </c>
      <c r="AK263" s="34">
        <v>0.0</v>
      </c>
      <c r="AL263" s="34">
        <v>100.0</v>
      </c>
      <c r="AM263" s="34">
        <v>0.0</v>
      </c>
      <c r="AN263" s="34">
        <v>0.0</v>
      </c>
      <c r="AO263" s="33">
        <f>COUNTIFS('Data For Calculation - Insuranc'!A:A,A263,'Data For Calculation - Insuranc'!D:D,"Company",'Data For Calculation - Insuranc'!E:E,"Rollover Comprehensive - 1 Year OD + 1 Year TP")</f>
        <v>0</v>
      </c>
      <c r="AP263" s="34" t="s">
        <v>3931</v>
      </c>
      <c r="AQ263" s="42" t="s">
        <v>3820</v>
      </c>
      <c r="AR263" s="34">
        <v>290.0</v>
      </c>
      <c r="AS263" s="34" t="s">
        <v>3853</v>
      </c>
      <c r="AT263" s="34">
        <v>0.0</v>
      </c>
      <c r="AU263" s="34">
        <v>100.0</v>
      </c>
      <c r="AV263" s="34">
        <v>0.0</v>
      </c>
      <c r="AW263" s="34">
        <v>0.0</v>
      </c>
      <c r="AX263" s="33">
        <f>COUNTIFS('Data For Calculation - Insuranc'!A:A,A263,'Data For Calculation - Insuranc'!D:D,"Individual",'Data For Calculation - Insuranc'!E:E,"Rollover - 1 Year OD Only")</f>
        <v>0</v>
      </c>
      <c r="AY263" s="34" t="s">
        <v>3932</v>
      </c>
      <c r="AZ263" s="42" t="s">
        <v>3820</v>
      </c>
      <c r="BA263" s="34">
        <v>290.0</v>
      </c>
      <c r="BB263" s="34" t="s">
        <v>3853</v>
      </c>
      <c r="BC263" s="34">
        <v>0.0</v>
      </c>
      <c r="BD263" s="34">
        <v>100.0</v>
      </c>
      <c r="BE263" s="34">
        <v>0.0</v>
      </c>
      <c r="BF263" s="34">
        <v>0.0</v>
      </c>
      <c r="BG263" s="33">
        <f>COUNTIFS('Data For Calculation - Insuranc'!A:A,A263,'Data For Calculation - Insuranc'!D:D,"Company",'Data For Calculation - Insuranc'!E:E,"Rollover - 1 Year OD Only")</f>
        <v>0</v>
      </c>
      <c r="BH263" s="34" t="s">
        <v>3931</v>
      </c>
      <c r="BI263" s="42" t="s">
        <v>3820</v>
      </c>
      <c r="BJ263" s="34">
        <v>290.0</v>
      </c>
      <c r="BK263" s="34" t="s">
        <v>3853</v>
      </c>
      <c r="BL263" s="34">
        <v>0.0</v>
      </c>
      <c r="BM263" s="34">
        <v>100.0</v>
      </c>
      <c r="BN263" s="34">
        <v>0.0</v>
      </c>
      <c r="BO263" s="34">
        <v>0.0</v>
      </c>
      <c r="BP263" s="33">
        <f>COUNTIFS('Data For Calculation - Insuranc'!A:A,A263,'Data For Calculation - Insuranc'!D:D,"Individual",'Data For Calculation - Insuranc'!E:E,"Rollover - 1 Year TP Only")</f>
        <v>0</v>
      </c>
      <c r="BQ263" s="34" t="s">
        <v>3932</v>
      </c>
      <c r="BR263" s="42" t="s">
        <v>3820</v>
      </c>
      <c r="BS263" s="34">
        <v>290.0</v>
      </c>
      <c r="BT263" s="34" t="s">
        <v>3853</v>
      </c>
      <c r="BU263" s="34">
        <v>0.0</v>
      </c>
      <c r="BV263" s="34">
        <v>100.0</v>
      </c>
      <c r="BW263" s="34">
        <v>0.0</v>
      </c>
      <c r="BX263" s="34">
        <v>0.0</v>
      </c>
      <c r="BY263" s="33">
        <f>COUNTIFS('Data For Calculation - Insuranc'!A:A,A263,'Data For Calculation - Insuranc'!D:D,"Company",'Data For Calculation - Insuranc'!E:E,"Rollover - 1 Year TP Only")</f>
        <v>0</v>
      </c>
      <c r="BZ263" s="31">
        <f t="shared" si="1"/>
        <v>0</v>
      </c>
      <c r="CA263" s="33">
        <f>SUMIFS('Data For Calculation - Insuranc'!I:I,'Data For Calculation - Insuranc'!$A:$A,$A263)</f>
        <v>0</v>
      </c>
      <c r="CB263" s="33">
        <f>SUMIFS('Data For Calculation - Insuranc'!J:J,'Data For Calculation - Insuranc'!$A:$A,$A263)</f>
        <v>0</v>
      </c>
      <c r="CC263" s="33">
        <f>SUMIFS('Data For Calculation - Insuranc'!K:K,'Data For Calculation - Insuranc'!$A:$A,$A263)</f>
        <v>0</v>
      </c>
      <c r="CD263" s="33">
        <f>IF($CK263 = "Dealer", SUMIFS('Data For Calculation - Insuranc'!I:I,'Data For Calculation - Insuranc'!$B:$B,$A263,'Data For Calculation - Insuranc'!$H:$H,"Master Dealer")) + SUMIFS('Data For Calculation - Insuranc'!I:I,'Data For Calculation - Insuranc'!$A:$A,$A263,'Data For Calculation - Insuranc'!$H:$H,"Self")</f>
        <v>0</v>
      </c>
      <c r="CE263" s="33">
        <f>IF($CK263 = "Dealer", SUMIFS('Data For Calculation - Insuranc'!J:J,'Data For Calculation - Insuranc'!$B:$B,$A263,'Data For Calculation - Insuranc'!$H:$H,"Master Dealer")) + SUMIFS('Data For Calculation - Insuranc'!J:J,'Data For Calculation - Insuranc'!$A:$A,$A263,'Data For Calculation - Insuranc'!$H:$H,"Self")</f>
        <v>0</v>
      </c>
      <c r="CF263" s="33">
        <f>IF($CK263 = "Dealer", SUMIFS('Data For Calculation - Insuranc'!K:K,'Data For Calculation - Insuranc'!$B:$B,$A263,'Data For Calculation - Insuranc'!$H:$H,"Master Dealer")) + SUMIFS('Data For Calculation - Insuranc'!K:K,'Data For Calculation - Insuranc'!$A:$A,$A263,'Data For Calculation - Insuranc'!$H:$H,"Self")</f>
        <v>0</v>
      </c>
      <c r="CG263" s="26" t="str">
        <f>(Sheet1!N263)</f>
        <v>Modern Auto Agency - Bettiah</v>
      </c>
      <c r="CH263" s="26" t="str">
        <f>(Sheet1!O263)</f>
        <v>1_UtGSoyOsljQXvmry7gfXGYwjwEjQbghQQGZebnq45M</v>
      </c>
      <c r="CI263" s="25" t="str">
        <f>(Sheet1!AV263)</f>
        <v/>
      </c>
      <c r="CJ263" s="25" t="str">
        <f>(Sheet1!AW263)</f>
        <v/>
      </c>
      <c r="CK263" s="26" t="str">
        <f>(Sheet1!P263)</f>
        <v>Sub Dealer</v>
      </c>
    </row>
    <row r="264">
      <c r="A264" s="26" t="str">
        <f>(Sheet1!A264)</f>
        <v>1kYYRjA4wQJoSt6FzyKeD92_dgOOGuQjkf6AWpDP6NFo</v>
      </c>
      <c r="B264" s="26" t="str">
        <f>(Sheet1!B264)</f>
        <v>Jyoti Hero Agency(MAA) - Jagdishpur</v>
      </c>
      <c r="C264" s="30" t="str">
        <f>Sheet1!BB264</f>
        <v>No</v>
      </c>
      <c r="D264" s="34" t="s">
        <v>13</v>
      </c>
      <c r="E264" s="34" t="s">
        <v>13</v>
      </c>
      <c r="F264" s="34" t="s">
        <v>3929</v>
      </c>
      <c r="G264" s="42" t="s">
        <v>3820</v>
      </c>
      <c r="H264" s="43">
        <v>460.0</v>
      </c>
      <c r="I264" s="42" t="s">
        <v>3853</v>
      </c>
      <c r="J264" s="43">
        <v>0.0</v>
      </c>
      <c r="K264" s="43">
        <v>100.0</v>
      </c>
      <c r="L264" s="43">
        <v>0.0</v>
      </c>
      <c r="M264" s="43">
        <v>0.0</v>
      </c>
      <c r="N264" s="33">
        <f>COUNTIFS('Data For Calculation - Insuranc'!A:A,A264,'Data For Calculation - Insuranc'!D:D,"Individual",'Data For Calculation - Insuranc'!E:E,"Bundled - 1 Year OD + 5 Year TP")</f>
        <v>0</v>
      </c>
      <c r="O264" s="34" t="s">
        <v>3930</v>
      </c>
      <c r="P264" s="42" t="s">
        <v>3820</v>
      </c>
      <c r="Q264" s="43">
        <v>460.0</v>
      </c>
      <c r="R264" s="42" t="s">
        <v>3853</v>
      </c>
      <c r="S264" s="43">
        <v>0.0</v>
      </c>
      <c r="T264" s="43">
        <v>100.0</v>
      </c>
      <c r="U264" s="43">
        <v>0.0</v>
      </c>
      <c r="V264" s="43">
        <v>0.0</v>
      </c>
      <c r="W264" s="33">
        <f>COUNTIFS('Data For Calculation - Insuranc'!A:A,A264,'Data For Calculation - Insuranc'!D:D,"Company",'Data For Calculation - Insuranc'!E:E,"Bundled - 1 Year OD + 5 Year TP")</f>
        <v>0</v>
      </c>
      <c r="X264" s="34" t="s">
        <v>3929</v>
      </c>
      <c r="Y264" s="42" t="s">
        <v>3820</v>
      </c>
      <c r="Z264" s="34">
        <v>290.0</v>
      </c>
      <c r="AA264" s="34" t="s">
        <v>3853</v>
      </c>
      <c r="AB264" s="34">
        <v>0.0</v>
      </c>
      <c r="AC264" s="34">
        <v>100.0</v>
      </c>
      <c r="AD264" s="34">
        <v>0.0</v>
      </c>
      <c r="AE264" s="34">
        <v>0.0</v>
      </c>
      <c r="AF264" s="33">
        <f>COUNTIFS('Data For Calculation - Insuranc'!A:A,A264,'Data For Calculation - Insuranc'!D:D,"Individual",'Data For Calculation - Insuranc'!E:E,"Rollover Comprehensive - 1 Year OD + 1 Year TP")</f>
        <v>0</v>
      </c>
      <c r="AG264" s="34" t="s">
        <v>3930</v>
      </c>
      <c r="AH264" s="42" t="s">
        <v>3820</v>
      </c>
      <c r="AI264" s="34">
        <v>290.0</v>
      </c>
      <c r="AJ264" s="34" t="s">
        <v>3853</v>
      </c>
      <c r="AK264" s="34">
        <v>0.0</v>
      </c>
      <c r="AL264" s="34">
        <v>100.0</v>
      </c>
      <c r="AM264" s="34">
        <v>0.0</v>
      </c>
      <c r="AN264" s="34">
        <v>0.0</v>
      </c>
      <c r="AO264" s="33">
        <f>COUNTIFS('Data For Calculation - Insuranc'!A:A,A264,'Data For Calculation - Insuranc'!D:D,"Company",'Data For Calculation - Insuranc'!E:E,"Rollover Comprehensive - 1 Year OD + 1 Year TP")</f>
        <v>0</v>
      </c>
      <c r="AP264" s="34" t="s">
        <v>3931</v>
      </c>
      <c r="AQ264" s="42" t="s">
        <v>3820</v>
      </c>
      <c r="AR264" s="34">
        <v>290.0</v>
      </c>
      <c r="AS264" s="34" t="s">
        <v>3853</v>
      </c>
      <c r="AT264" s="34">
        <v>0.0</v>
      </c>
      <c r="AU264" s="34">
        <v>100.0</v>
      </c>
      <c r="AV264" s="34">
        <v>0.0</v>
      </c>
      <c r="AW264" s="34">
        <v>0.0</v>
      </c>
      <c r="AX264" s="33">
        <f>COUNTIFS('Data For Calculation - Insuranc'!A:A,A264,'Data For Calculation - Insuranc'!D:D,"Individual",'Data For Calculation - Insuranc'!E:E,"Rollover - 1 Year OD Only")</f>
        <v>0</v>
      </c>
      <c r="AY264" s="34" t="s">
        <v>3932</v>
      </c>
      <c r="AZ264" s="42" t="s">
        <v>3820</v>
      </c>
      <c r="BA264" s="34">
        <v>290.0</v>
      </c>
      <c r="BB264" s="34" t="s">
        <v>3853</v>
      </c>
      <c r="BC264" s="34">
        <v>0.0</v>
      </c>
      <c r="BD264" s="34">
        <v>100.0</v>
      </c>
      <c r="BE264" s="34">
        <v>0.0</v>
      </c>
      <c r="BF264" s="34">
        <v>0.0</v>
      </c>
      <c r="BG264" s="33">
        <f>COUNTIFS('Data For Calculation - Insuranc'!A:A,A264,'Data For Calculation - Insuranc'!D:D,"Company",'Data For Calculation - Insuranc'!E:E,"Rollover - 1 Year OD Only")</f>
        <v>0</v>
      </c>
      <c r="BH264" s="34" t="s">
        <v>3931</v>
      </c>
      <c r="BI264" s="42" t="s">
        <v>3820</v>
      </c>
      <c r="BJ264" s="34">
        <v>290.0</v>
      </c>
      <c r="BK264" s="34" t="s">
        <v>3853</v>
      </c>
      <c r="BL264" s="34">
        <v>0.0</v>
      </c>
      <c r="BM264" s="34">
        <v>100.0</v>
      </c>
      <c r="BN264" s="34">
        <v>0.0</v>
      </c>
      <c r="BO264" s="34">
        <v>0.0</v>
      </c>
      <c r="BP264" s="33">
        <f>COUNTIFS('Data For Calculation - Insuranc'!A:A,A264,'Data For Calculation - Insuranc'!D:D,"Individual",'Data For Calculation - Insuranc'!E:E,"Rollover - 1 Year TP Only")</f>
        <v>0</v>
      </c>
      <c r="BQ264" s="34" t="s">
        <v>3932</v>
      </c>
      <c r="BR264" s="42" t="s">
        <v>3820</v>
      </c>
      <c r="BS264" s="34">
        <v>290.0</v>
      </c>
      <c r="BT264" s="34" t="s">
        <v>3853</v>
      </c>
      <c r="BU264" s="34">
        <v>0.0</v>
      </c>
      <c r="BV264" s="34">
        <v>100.0</v>
      </c>
      <c r="BW264" s="34">
        <v>0.0</v>
      </c>
      <c r="BX264" s="34">
        <v>0.0</v>
      </c>
      <c r="BY264" s="33">
        <f>COUNTIFS('Data For Calculation - Insuranc'!A:A,A264,'Data For Calculation - Insuranc'!D:D,"Company",'Data For Calculation - Insuranc'!E:E,"Rollover - 1 Year TP Only")</f>
        <v>0</v>
      </c>
      <c r="BZ264" s="31">
        <f t="shared" si="1"/>
        <v>0</v>
      </c>
      <c r="CA264" s="33">
        <f>SUMIFS('Data For Calculation - Insuranc'!I:I,'Data For Calculation - Insuranc'!$A:$A,$A264)</f>
        <v>0</v>
      </c>
      <c r="CB264" s="33">
        <f>SUMIFS('Data For Calculation - Insuranc'!J:J,'Data For Calculation - Insuranc'!$A:$A,$A264)</f>
        <v>0</v>
      </c>
      <c r="CC264" s="33">
        <f>SUMIFS('Data For Calculation - Insuranc'!K:K,'Data For Calculation - Insuranc'!$A:$A,$A264)</f>
        <v>0</v>
      </c>
      <c r="CD264" s="33">
        <f>IF($CK264 = "Dealer", SUMIFS('Data For Calculation - Insuranc'!I:I,'Data For Calculation - Insuranc'!$B:$B,$A264,'Data For Calculation - Insuranc'!$H:$H,"Master Dealer")) + SUMIFS('Data For Calculation - Insuranc'!I:I,'Data For Calculation - Insuranc'!$A:$A,$A264,'Data For Calculation - Insuranc'!$H:$H,"Self")</f>
        <v>0</v>
      </c>
      <c r="CE264" s="33">
        <f>IF($CK264 = "Dealer", SUMIFS('Data For Calculation - Insuranc'!J:J,'Data For Calculation - Insuranc'!$B:$B,$A264,'Data For Calculation - Insuranc'!$H:$H,"Master Dealer")) + SUMIFS('Data For Calculation - Insuranc'!J:J,'Data For Calculation - Insuranc'!$A:$A,$A264,'Data For Calculation - Insuranc'!$H:$H,"Self")</f>
        <v>0</v>
      </c>
      <c r="CF264" s="33">
        <f>IF($CK264 = "Dealer", SUMIFS('Data For Calculation - Insuranc'!K:K,'Data For Calculation - Insuranc'!$B:$B,$A264,'Data For Calculation - Insuranc'!$H:$H,"Master Dealer")) + SUMIFS('Data For Calculation - Insuranc'!K:K,'Data For Calculation - Insuranc'!$A:$A,$A264,'Data For Calculation - Insuranc'!$H:$H,"Self")</f>
        <v>0</v>
      </c>
      <c r="CG264" s="26" t="str">
        <f>(Sheet1!N264)</f>
        <v>Modern Auto Agency - Bettiah</v>
      </c>
      <c r="CH264" s="26" t="str">
        <f>(Sheet1!O264)</f>
        <v>1_UtGSoyOsljQXvmry7gfXGYwjwEjQbghQQGZebnq45M</v>
      </c>
      <c r="CI264" s="25" t="str">
        <f>(Sheet1!AV264)</f>
        <v/>
      </c>
      <c r="CJ264" s="25" t="str">
        <f>(Sheet1!AW264)</f>
        <v/>
      </c>
      <c r="CK264" s="26" t="str">
        <f>(Sheet1!P264)</f>
        <v>Sub Dealer</v>
      </c>
    </row>
    <row r="265">
      <c r="A265" s="26" t="str">
        <f>(Sheet1!A265)</f>
        <v>1LTIwWSogdMZBmad9vycGhuGyAwmeSg8ug5WYA6jHDdw</v>
      </c>
      <c r="B265" s="26" t="str">
        <f>(Sheet1!B265)</f>
        <v>SHRI GURUKRIPA-MORNA(SBH)</v>
      </c>
      <c r="C265" s="30" t="str">
        <f>Sheet1!BB265</f>
        <v>No</v>
      </c>
      <c r="D265" s="34" t="s">
        <v>13</v>
      </c>
      <c r="E265" s="34" t="s">
        <v>13</v>
      </c>
      <c r="F265" s="34" t="s">
        <v>3929</v>
      </c>
      <c r="G265" s="42" t="s">
        <v>3820</v>
      </c>
      <c r="H265" s="43">
        <v>460.0</v>
      </c>
      <c r="I265" s="42" t="s">
        <v>3853</v>
      </c>
      <c r="J265" s="43">
        <v>0.0</v>
      </c>
      <c r="K265" s="43">
        <v>100.0</v>
      </c>
      <c r="L265" s="43">
        <v>0.0</v>
      </c>
      <c r="M265" s="43">
        <v>0.0</v>
      </c>
      <c r="N265" s="33">
        <f>COUNTIFS('Data For Calculation - Insuranc'!A:A,A265,'Data For Calculation - Insuranc'!D:D,"Individual",'Data For Calculation - Insuranc'!E:E,"Bundled - 1 Year OD + 5 Year TP")</f>
        <v>0</v>
      </c>
      <c r="O265" s="34" t="s">
        <v>3930</v>
      </c>
      <c r="P265" s="42" t="s">
        <v>3820</v>
      </c>
      <c r="Q265" s="43">
        <v>460.0</v>
      </c>
      <c r="R265" s="42" t="s">
        <v>3853</v>
      </c>
      <c r="S265" s="43">
        <v>0.0</v>
      </c>
      <c r="T265" s="43">
        <v>100.0</v>
      </c>
      <c r="U265" s="43">
        <v>0.0</v>
      </c>
      <c r="V265" s="43">
        <v>0.0</v>
      </c>
      <c r="W265" s="33">
        <f>COUNTIFS('Data For Calculation - Insuranc'!A:A,A265,'Data For Calculation - Insuranc'!D:D,"Company",'Data For Calculation - Insuranc'!E:E,"Bundled - 1 Year OD + 5 Year TP")</f>
        <v>0</v>
      </c>
      <c r="X265" s="34" t="s">
        <v>3929</v>
      </c>
      <c r="Y265" s="42" t="s">
        <v>3820</v>
      </c>
      <c r="Z265" s="34">
        <v>290.0</v>
      </c>
      <c r="AA265" s="34" t="s">
        <v>3853</v>
      </c>
      <c r="AB265" s="34">
        <v>0.0</v>
      </c>
      <c r="AC265" s="34">
        <v>100.0</v>
      </c>
      <c r="AD265" s="34">
        <v>0.0</v>
      </c>
      <c r="AE265" s="34">
        <v>0.0</v>
      </c>
      <c r="AF265" s="33">
        <f>COUNTIFS('Data For Calculation - Insuranc'!A:A,A265,'Data For Calculation - Insuranc'!D:D,"Individual",'Data For Calculation - Insuranc'!E:E,"Rollover Comprehensive - 1 Year OD + 1 Year TP")</f>
        <v>0</v>
      </c>
      <c r="AG265" s="34" t="s">
        <v>3930</v>
      </c>
      <c r="AH265" s="42" t="s">
        <v>3820</v>
      </c>
      <c r="AI265" s="34">
        <v>290.0</v>
      </c>
      <c r="AJ265" s="34" t="s">
        <v>3853</v>
      </c>
      <c r="AK265" s="34">
        <v>0.0</v>
      </c>
      <c r="AL265" s="34">
        <v>100.0</v>
      </c>
      <c r="AM265" s="34">
        <v>0.0</v>
      </c>
      <c r="AN265" s="34">
        <v>0.0</v>
      </c>
      <c r="AO265" s="33">
        <f>COUNTIFS('Data For Calculation - Insuranc'!A:A,A265,'Data For Calculation - Insuranc'!D:D,"Company",'Data For Calculation - Insuranc'!E:E,"Rollover Comprehensive - 1 Year OD + 1 Year TP")</f>
        <v>0</v>
      </c>
      <c r="AP265" s="34" t="s">
        <v>3931</v>
      </c>
      <c r="AQ265" s="42" t="s">
        <v>3820</v>
      </c>
      <c r="AR265" s="34">
        <v>290.0</v>
      </c>
      <c r="AS265" s="34" t="s">
        <v>3853</v>
      </c>
      <c r="AT265" s="34">
        <v>0.0</v>
      </c>
      <c r="AU265" s="34">
        <v>100.0</v>
      </c>
      <c r="AV265" s="34">
        <v>0.0</v>
      </c>
      <c r="AW265" s="34">
        <v>0.0</v>
      </c>
      <c r="AX265" s="33">
        <f>COUNTIFS('Data For Calculation - Insuranc'!A:A,A265,'Data For Calculation - Insuranc'!D:D,"Individual",'Data For Calculation - Insuranc'!E:E,"Rollover - 1 Year OD Only")</f>
        <v>0</v>
      </c>
      <c r="AY265" s="34" t="s">
        <v>3932</v>
      </c>
      <c r="AZ265" s="42" t="s">
        <v>3820</v>
      </c>
      <c r="BA265" s="34">
        <v>290.0</v>
      </c>
      <c r="BB265" s="34" t="s">
        <v>3853</v>
      </c>
      <c r="BC265" s="34">
        <v>0.0</v>
      </c>
      <c r="BD265" s="34">
        <v>100.0</v>
      </c>
      <c r="BE265" s="34">
        <v>0.0</v>
      </c>
      <c r="BF265" s="34">
        <v>0.0</v>
      </c>
      <c r="BG265" s="33">
        <f>COUNTIFS('Data For Calculation - Insuranc'!A:A,A265,'Data For Calculation - Insuranc'!D:D,"Company",'Data For Calculation - Insuranc'!E:E,"Rollover - 1 Year OD Only")</f>
        <v>0</v>
      </c>
      <c r="BH265" s="34" t="s">
        <v>3931</v>
      </c>
      <c r="BI265" s="42" t="s">
        <v>3820</v>
      </c>
      <c r="BJ265" s="34">
        <v>290.0</v>
      </c>
      <c r="BK265" s="34" t="s">
        <v>3853</v>
      </c>
      <c r="BL265" s="34">
        <v>0.0</v>
      </c>
      <c r="BM265" s="34">
        <v>100.0</v>
      </c>
      <c r="BN265" s="34">
        <v>0.0</v>
      </c>
      <c r="BO265" s="34">
        <v>0.0</v>
      </c>
      <c r="BP265" s="33">
        <f>COUNTIFS('Data For Calculation - Insuranc'!A:A,A265,'Data For Calculation - Insuranc'!D:D,"Individual",'Data For Calculation - Insuranc'!E:E,"Rollover - 1 Year TP Only")</f>
        <v>0</v>
      </c>
      <c r="BQ265" s="34" t="s">
        <v>3932</v>
      </c>
      <c r="BR265" s="42" t="s">
        <v>3820</v>
      </c>
      <c r="BS265" s="34">
        <v>290.0</v>
      </c>
      <c r="BT265" s="34" t="s">
        <v>3853</v>
      </c>
      <c r="BU265" s="34">
        <v>0.0</v>
      </c>
      <c r="BV265" s="34">
        <v>100.0</v>
      </c>
      <c r="BW265" s="34">
        <v>0.0</v>
      </c>
      <c r="BX265" s="34">
        <v>0.0</v>
      </c>
      <c r="BY265" s="33">
        <f>COUNTIFS('Data For Calculation - Insuranc'!A:A,A265,'Data For Calculation - Insuranc'!D:D,"Company",'Data For Calculation - Insuranc'!E:E,"Rollover - 1 Year TP Only")</f>
        <v>0</v>
      </c>
      <c r="BZ265" s="31">
        <f t="shared" si="1"/>
        <v>0</v>
      </c>
      <c r="CA265" s="33">
        <f>SUMIFS('Data For Calculation - Insuranc'!I:I,'Data For Calculation - Insuranc'!$A:$A,$A265)</f>
        <v>0</v>
      </c>
      <c r="CB265" s="33">
        <f>SUMIFS('Data For Calculation - Insuranc'!J:J,'Data For Calculation - Insuranc'!$A:$A,$A265)</f>
        <v>0</v>
      </c>
      <c r="CC265" s="33">
        <f>SUMIFS('Data For Calculation - Insuranc'!K:K,'Data For Calculation - Insuranc'!$A:$A,$A265)</f>
        <v>0</v>
      </c>
      <c r="CD265" s="33">
        <f>IF($CK265 = "Dealer", SUMIFS('Data For Calculation - Insuranc'!I:I,'Data For Calculation - Insuranc'!$B:$B,$A265,'Data For Calculation - Insuranc'!$H:$H,"Master Dealer")) + SUMIFS('Data For Calculation - Insuranc'!I:I,'Data For Calculation - Insuranc'!$A:$A,$A265,'Data For Calculation - Insuranc'!$H:$H,"Self")</f>
        <v>0</v>
      </c>
      <c r="CE265" s="33">
        <f>IF($CK265 = "Dealer", SUMIFS('Data For Calculation - Insuranc'!J:J,'Data For Calculation - Insuranc'!$B:$B,$A265,'Data For Calculation - Insuranc'!$H:$H,"Master Dealer")) + SUMIFS('Data For Calculation - Insuranc'!J:J,'Data For Calculation - Insuranc'!$A:$A,$A265,'Data For Calculation - Insuranc'!$H:$H,"Self")</f>
        <v>0</v>
      </c>
      <c r="CF265" s="33">
        <f>IF($CK265 = "Dealer", SUMIFS('Data For Calculation - Insuranc'!K:K,'Data For Calculation - Insuranc'!$B:$B,$A265,'Data For Calculation - Insuranc'!$H:$H,"Master Dealer")) + SUMIFS('Data For Calculation - Insuranc'!K:K,'Data For Calculation - Insuranc'!$A:$A,$A265,'Data For Calculation - Insuranc'!$H:$H,"Self")</f>
        <v>0</v>
      </c>
      <c r="CG265" s="26" t="str">
        <f>(Sheet1!N265)</f>
        <v>Shri Balaji Hero - Muzaffarnagar</v>
      </c>
      <c r="CH265" s="26" t="str">
        <f>(Sheet1!O265)</f>
        <v>1qJGCYN0EdS2nWGXVYAHwXqSjiLE2C95anQkkbLONbKQ</v>
      </c>
      <c r="CI265" s="25" t="str">
        <f>(Sheet1!AV265)</f>
        <v/>
      </c>
      <c r="CJ265" s="25" t="str">
        <f>(Sheet1!AW265)</f>
        <v/>
      </c>
      <c r="CK265" s="26" t="str">
        <f>(Sheet1!P265)</f>
        <v>Sub Dealer</v>
      </c>
    </row>
    <row r="266">
      <c r="A266" s="26" t="str">
        <f>(Sheet1!A266)</f>
        <v>1g0qiuDcnbyBi-CYwlfpEUrOj5boKaQ0D16LWou5stMc</v>
      </c>
      <c r="B266" s="26" t="str">
        <f>(Sheet1!B266)</f>
        <v> VINAYAK AUTOMOBILES-TITAWI(SBH)</v>
      </c>
      <c r="C266" s="30" t="str">
        <f>Sheet1!BB266</f>
        <v>No</v>
      </c>
      <c r="D266" s="34" t="s">
        <v>13</v>
      </c>
      <c r="E266" s="34" t="s">
        <v>13</v>
      </c>
      <c r="F266" s="34" t="s">
        <v>3929</v>
      </c>
      <c r="G266" s="42" t="s">
        <v>3820</v>
      </c>
      <c r="H266" s="43">
        <v>460.0</v>
      </c>
      <c r="I266" s="42" t="s">
        <v>3853</v>
      </c>
      <c r="J266" s="43">
        <v>0.0</v>
      </c>
      <c r="K266" s="43">
        <v>100.0</v>
      </c>
      <c r="L266" s="43">
        <v>0.0</v>
      </c>
      <c r="M266" s="43">
        <v>0.0</v>
      </c>
      <c r="N266" s="33">
        <f>COUNTIFS('Data For Calculation - Insuranc'!A:A,A266,'Data For Calculation - Insuranc'!D:D,"Individual",'Data For Calculation - Insuranc'!E:E,"Bundled - 1 Year OD + 5 Year TP")</f>
        <v>0</v>
      </c>
      <c r="O266" s="34" t="s">
        <v>3930</v>
      </c>
      <c r="P266" s="42" t="s">
        <v>3820</v>
      </c>
      <c r="Q266" s="43">
        <v>460.0</v>
      </c>
      <c r="R266" s="42" t="s">
        <v>3853</v>
      </c>
      <c r="S266" s="43">
        <v>0.0</v>
      </c>
      <c r="T266" s="43">
        <v>100.0</v>
      </c>
      <c r="U266" s="43">
        <v>0.0</v>
      </c>
      <c r="V266" s="43">
        <v>0.0</v>
      </c>
      <c r="W266" s="33">
        <f>COUNTIFS('Data For Calculation - Insuranc'!A:A,A266,'Data For Calculation - Insuranc'!D:D,"Company",'Data For Calculation - Insuranc'!E:E,"Bundled - 1 Year OD + 5 Year TP")</f>
        <v>0</v>
      </c>
      <c r="X266" s="34" t="s">
        <v>3929</v>
      </c>
      <c r="Y266" s="42" t="s">
        <v>3820</v>
      </c>
      <c r="Z266" s="34">
        <v>290.0</v>
      </c>
      <c r="AA266" s="34" t="s">
        <v>3853</v>
      </c>
      <c r="AB266" s="34">
        <v>0.0</v>
      </c>
      <c r="AC266" s="34">
        <v>100.0</v>
      </c>
      <c r="AD266" s="34">
        <v>0.0</v>
      </c>
      <c r="AE266" s="34">
        <v>0.0</v>
      </c>
      <c r="AF266" s="33">
        <f>COUNTIFS('Data For Calculation - Insuranc'!A:A,A266,'Data For Calculation - Insuranc'!D:D,"Individual",'Data For Calculation - Insuranc'!E:E,"Rollover Comprehensive - 1 Year OD + 1 Year TP")</f>
        <v>0</v>
      </c>
      <c r="AG266" s="34" t="s">
        <v>3930</v>
      </c>
      <c r="AH266" s="42" t="s">
        <v>3820</v>
      </c>
      <c r="AI266" s="34">
        <v>290.0</v>
      </c>
      <c r="AJ266" s="34" t="s">
        <v>3853</v>
      </c>
      <c r="AK266" s="34">
        <v>0.0</v>
      </c>
      <c r="AL266" s="34">
        <v>100.0</v>
      </c>
      <c r="AM266" s="34">
        <v>0.0</v>
      </c>
      <c r="AN266" s="34">
        <v>0.0</v>
      </c>
      <c r="AO266" s="33">
        <f>COUNTIFS('Data For Calculation - Insuranc'!A:A,A266,'Data For Calculation - Insuranc'!D:D,"Company",'Data For Calculation - Insuranc'!E:E,"Rollover Comprehensive - 1 Year OD + 1 Year TP")</f>
        <v>0</v>
      </c>
      <c r="AP266" s="34" t="s">
        <v>3931</v>
      </c>
      <c r="AQ266" s="42" t="s">
        <v>3820</v>
      </c>
      <c r="AR266" s="34">
        <v>290.0</v>
      </c>
      <c r="AS266" s="34" t="s">
        <v>3853</v>
      </c>
      <c r="AT266" s="34">
        <v>0.0</v>
      </c>
      <c r="AU266" s="34">
        <v>100.0</v>
      </c>
      <c r="AV266" s="34">
        <v>0.0</v>
      </c>
      <c r="AW266" s="34">
        <v>0.0</v>
      </c>
      <c r="AX266" s="33">
        <f>COUNTIFS('Data For Calculation - Insuranc'!A:A,A266,'Data For Calculation - Insuranc'!D:D,"Individual",'Data For Calculation - Insuranc'!E:E,"Rollover - 1 Year OD Only")</f>
        <v>0</v>
      </c>
      <c r="AY266" s="34" t="s">
        <v>3932</v>
      </c>
      <c r="AZ266" s="42" t="s">
        <v>3820</v>
      </c>
      <c r="BA266" s="34">
        <v>290.0</v>
      </c>
      <c r="BB266" s="34" t="s">
        <v>3853</v>
      </c>
      <c r="BC266" s="34">
        <v>0.0</v>
      </c>
      <c r="BD266" s="34">
        <v>100.0</v>
      </c>
      <c r="BE266" s="34">
        <v>0.0</v>
      </c>
      <c r="BF266" s="34">
        <v>0.0</v>
      </c>
      <c r="BG266" s="33">
        <f>COUNTIFS('Data For Calculation - Insuranc'!A:A,A266,'Data For Calculation - Insuranc'!D:D,"Company",'Data For Calculation - Insuranc'!E:E,"Rollover - 1 Year OD Only")</f>
        <v>0</v>
      </c>
      <c r="BH266" s="34" t="s">
        <v>3931</v>
      </c>
      <c r="BI266" s="42" t="s">
        <v>3820</v>
      </c>
      <c r="BJ266" s="34">
        <v>290.0</v>
      </c>
      <c r="BK266" s="34" t="s">
        <v>3853</v>
      </c>
      <c r="BL266" s="34">
        <v>0.0</v>
      </c>
      <c r="BM266" s="34">
        <v>100.0</v>
      </c>
      <c r="BN266" s="34">
        <v>0.0</v>
      </c>
      <c r="BO266" s="34">
        <v>0.0</v>
      </c>
      <c r="BP266" s="33">
        <f>COUNTIFS('Data For Calculation - Insuranc'!A:A,A266,'Data For Calculation - Insuranc'!D:D,"Individual",'Data For Calculation - Insuranc'!E:E,"Rollover - 1 Year TP Only")</f>
        <v>0</v>
      </c>
      <c r="BQ266" s="34" t="s">
        <v>3932</v>
      </c>
      <c r="BR266" s="42" t="s">
        <v>3820</v>
      </c>
      <c r="BS266" s="34">
        <v>290.0</v>
      </c>
      <c r="BT266" s="34" t="s">
        <v>3853</v>
      </c>
      <c r="BU266" s="34">
        <v>0.0</v>
      </c>
      <c r="BV266" s="34">
        <v>100.0</v>
      </c>
      <c r="BW266" s="34">
        <v>0.0</v>
      </c>
      <c r="BX266" s="34">
        <v>0.0</v>
      </c>
      <c r="BY266" s="33">
        <f>COUNTIFS('Data For Calculation - Insuranc'!A:A,A266,'Data For Calculation - Insuranc'!D:D,"Company",'Data For Calculation - Insuranc'!E:E,"Rollover - 1 Year TP Only")</f>
        <v>0</v>
      </c>
      <c r="BZ266" s="31">
        <f t="shared" si="1"/>
        <v>0</v>
      </c>
      <c r="CA266" s="33">
        <f>SUMIFS('Data For Calculation - Insuranc'!I:I,'Data For Calculation - Insuranc'!$A:$A,$A266)</f>
        <v>0</v>
      </c>
      <c r="CB266" s="33">
        <f>SUMIFS('Data For Calculation - Insuranc'!J:J,'Data For Calculation - Insuranc'!$A:$A,$A266)</f>
        <v>0</v>
      </c>
      <c r="CC266" s="33">
        <f>SUMIFS('Data For Calculation - Insuranc'!K:K,'Data For Calculation - Insuranc'!$A:$A,$A266)</f>
        <v>0</v>
      </c>
      <c r="CD266" s="33">
        <f>IF($CK266 = "Dealer", SUMIFS('Data For Calculation - Insuranc'!I:I,'Data For Calculation - Insuranc'!$B:$B,$A266,'Data For Calculation - Insuranc'!$H:$H,"Master Dealer")) + SUMIFS('Data For Calculation - Insuranc'!I:I,'Data For Calculation - Insuranc'!$A:$A,$A266,'Data For Calculation - Insuranc'!$H:$H,"Self")</f>
        <v>0</v>
      </c>
      <c r="CE266" s="33">
        <f>IF($CK266 = "Dealer", SUMIFS('Data For Calculation - Insuranc'!J:J,'Data For Calculation - Insuranc'!$B:$B,$A266,'Data For Calculation - Insuranc'!$H:$H,"Master Dealer")) + SUMIFS('Data For Calculation - Insuranc'!J:J,'Data For Calculation - Insuranc'!$A:$A,$A266,'Data For Calculation - Insuranc'!$H:$H,"Self")</f>
        <v>0</v>
      </c>
      <c r="CF266" s="33">
        <f>IF($CK266 = "Dealer", SUMIFS('Data For Calculation - Insuranc'!K:K,'Data For Calculation - Insuranc'!$B:$B,$A266,'Data For Calculation - Insuranc'!$H:$H,"Master Dealer")) + SUMIFS('Data For Calculation - Insuranc'!K:K,'Data For Calculation - Insuranc'!$A:$A,$A266,'Data For Calculation - Insuranc'!$H:$H,"Self")</f>
        <v>0</v>
      </c>
      <c r="CG266" s="26" t="str">
        <f>(Sheet1!N266)</f>
        <v>Shri Balaji Hero - Muzaffarnagar</v>
      </c>
      <c r="CH266" s="26" t="str">
        <f>(Sheet1!O266)</f>
        <v>1qJGCYN0EdS2nWGXVYAHwXqSjiLE2C95anQkkbLONbKQ</v>
      </c>
      <c r="CI266" s="25" t="str">
        <f>(Sheet1!AV266)</f>
        <v/>
      </c>
      <c r="CJ266" s="25" t="str">
        <f>(Sheet1!AW266)</f>
        <v/>
      </c>
      <c r="CK266" s="26" t="str">
        <f>(Sheet1!P266)</f>
        <v>Sub Dealer</v>
      </c>
    </row>
    <row r="267">
      <c r="A267" s="26" t="str">
        <f>(Sheet1!A267)</f>
        <v>11f9wtVFkWuND5MycjAQF0s33JyN2F1jC8n_ilAvNXUE</v>
      </c>
      <c r="B267" s="26" t="str">
        <f>(Sheet1!B267)</f>
        <v>Om moters (AAA) - Jalali</v>
      </c>
      <c r="C267" s="30" t="str">
        <f>Sheet1!BB267</f>
        <v>No</v>
      </c>
      <c r="D267" s="34" t="s">
        <v>13</v>
      </c>
      <c r="E267" s="34" t="s">
        <v>13</v>
      </c>
      <c r="F267" s="34" t="s">
        <v>3929</v>
      </c>
      <c r="G267" s="42" t="s">
        <v>3820</v>
      </c>
      <c r="H267" s="43">
        <v>460.0</v>
      </c>
      <c r="I267" s="42" t="s">
        <v>3853</v>
      </c>
      <c r="J267" s="43">
        <v>0.0</v>
      </c>
      <c r="K267" s="43">
        <v>100.0</v>
      </c>
      <c r="L267" s="43">
        <v>0.0</v>
      </c>
      <c r="M267" s="43">
        <v>0.0</v>
      </c>
      <c r="N267" s="33">
        <f>COUNTIFS('Data For Calculation - Insuranc'!A:A,A267,'Data For Calculation - Insuranc'!D:D,"Individual",'Data For Calculation - Insuranc'!E:E,"Bundled - 1 Year OD + 5 Year TP")</f>
        <v>0</v>
      </c>
      <c r="O267" s="34" t="s">
        <v>3930</v>
      </c>
      <c r="P267" s="42" t="s">
        <v>3820</v>
      </c>
      <c r="Q267" s="43">
        <v>460.0</v>
      </c>
      <c r="R267" s="42" t="s">
        <v>3853</v>
      </c>
      <c r="S267" s="43">
        <v>0.0</v>
      </c>
      <c r="T267" s="43">
        <v>100.0</v>
      </c>
      <c r="U267" s="43">
        <v>0.0</v>
      </c>
      <c r="V267" s="43">
        <v>0.0</v>
      </c>
      <c r="W267" s="33">
        <f>COUNTIFS('Data For Calculation - Insuranc'!A:A,A267,'Data For Calculation - Insuranc'!D:D,"Company",'Data For Calculation - Insuranc'!E:E,"Bundled - 1 Year OD + 5 Year TP")</f>
        <v>0</v>
      </c>
      <c r="X267" s="34" t="s">
        <v>3929</v>
      </c>
      <c r="Y267" s="42" t="s">
        <v>3820</v>
      </c>
      <c r="Z267" s="34">
        <v>290.0</v>
      </c>
      <c r="AA267" s="34" t="s">
        <v>3853</v>
      </c>
      <c r="AB267" s="34">
        <v>0.0</v>
      </c>
      <c r="AC267" s="34">
        <v>100.0</v>
      </c>
      <c r="AD267" s="34">
        <v>0.0</v>
      </c>
      <c r="AE267" s="34">
        <v>0.0</v>
      </c>
      <c r="AF267" s="33">
        <f>COUNTIFS('Data For Calculation - Insuranc'!A:A,A267,'Data For Calculation - Insuranc'!D:D,"Individual",'Data For Calculation - Insuranc'!E:E,"Rollover Comprehensive - 1 Year OD + 1 Year TP")</f>
        <v>0</v>
      </c>
      <c r="AG267" s="34" t="s">
        <v>3930</v>
      </c>
      <c r="AH267" s="42" t="s">
        <v>3820</v>
      </c>
      <c r="AI267" s="34">
        <v>290.0</v>
      </c>
      <c r="AJ267" s="34" t="s">
        <v>3853</v>
      </c>
      <c r="AK267" s="34">
        <v>0.0</v>
      </c>
      <c r="AL267" s="34">
        <v>100.0</v>
      </c>
      <c r="AM267" s="34">
        <v>0.0</v>
      </c>
      <c r="AN267" s="34">
        <v>0.0</v>
      </c>
      <c r="AO267" s="33">
        <f>COUNTIFS('Data For Calculation - Insuranc'!A:A,A267,'Data For Calculation - Insuranc'!D:D,"Company",'Data For Calculation - Insuranc'!E:E,"Rollover Comprehensive - 1 Year OD + 1 Year TP")</f>
        <v>0</v>
      </c>
      <c r="AP267" s="34" t="s">
        <v>3931</v>
      </c>
      <c r="AQ267" s="42" t="s">
        <v>3820</v>
      </c>
      <c r="AR267" s="34">
        <v>290.0</v>
      </c>
      <c r="AS267" s="34" t="s">
        <v>3853</v>
      </c>
      <c r="AT267" s="34">
        <v>0.0</v>
      </c>
      <c r="AU267" s="34">
        <v>100.0</v>
      </c>
      <c r="AV267" s="34">
        <v>0.0</v>
      </c>
      <c r="AW267" s="34">
        <v>0.0</v>
      </c>
      <c r="AX267" s="33">
        <f>COUNTIFS('Data For Calculation - Insuranc'!A:A,A267,'Data For Calculation - Insuranc'!D:D,"Individual",'Data For Calculation - Insuranc'!E:E,"Rollover - 1 Year OD Only")</f>
        <v>0</v>
      </c>
      <c r="AY267" s="34" t="s">
        <v>3932</v>
      </c>
      <c r="AZ267" s="42" t="s">
        <v>3820</v>
      </c>
      <c r="BA267" s="34">
        <v>290.0</v>
      </c>
      <c r="BB267" s="34" t="s">
        <v>3853</v>
      </c>
      <c r="BC267" s="34">
        <v>0.0</v>
      </c>
      <c r="BD267" s="34">
        <v>100.0</v>
      </c>
      <c r="BE267" s="34">
        <v>0.0</v>
      </c>
      <c r="BF267" s="34">
        <v>0.0</v>
      </c>
      <c r="BG267" s="33">
        <f>COUNTIFS('Data For Calculation - Insuranc'!A:A,A267,'Data For Calculation - Insuranc'!D:D,"Company",'Data For Calculation - Insuranc'!E:E,"Rollover - 1 Year OD Only")</f>
        <v>0</v>
      </c>
      <c r="BH267" s="34" t="s">
        <v>3931</v>
      </c>
      <c r="BI267" s="42" t="s">
        <v>3820</v>
      </c>
      <c r="BJ267" s="34">
        <v>290.0</v>
      </c>
      <c r="BK267" s="34" t="s">
        <v>3853</v>
      </c>
      <c r="BL267" s="34">
        <v>0.0</v>
      </c>
      <c r="BM267" s="34">
        <v>100.0</v>
      </c>
      <c r="BN267" s="34">
        <v>0.0</v>
      </c>
      <c r="BO267" s="34">
        <v>0.0</v>
      </c>
      <c r="BP267" s="33">
        <f>COUNTIFS('Data For Calculation - Insuranc'!A:A,A267,'Data For Calculation - Insuranc'!D:D,"Individual",'Data For Calculation - Insuranc'!E:E,"Rollover - 1 Year TP Only")</f>
        <v>0</v>
      </c>
      <c r="BQ267" s="34" t="s">
        <v>3932</v>
      </c>
      <c r="BR267" s="42" t="s">
        <v>3820</v>
      </c>
      <c r="BS267" s="34">
        <v>290.0</v>
      </c>
      <c r="BT267" s="34" t="s">
        <v>3853</v>
      </c>
      <c r="BU267" s="34">
        <v>0.0</v>
      </c>
      <c r="BV267" s="34">
        <v>100.0</v>
      </c>
      <c r="BW267" s="34">
        <v>0.0</v>
      </c>
      <c r="BX267" s="34">
        <v>0.0</v>
      </c>
      <c r="BY267" s="33">
        <f>COUNTIFS('Data For Calculation - Insuranc'!A:A,A267,'Data For Calculation - Insuranc'!D:D,"Company",'Data For Calculation - Insuranc'!E:E,"Rollover - 1 Year TP Only")</f>
        <v>0</v>
      </c>
      <c r="BZ267" s="31">
        <f t="shared" si="1"/>
        <v>0</v>
      </c>
      <c r="CA267" s="33">
        <f>SUMIFS('Data For Calculation - Insuranc'!I:I,'Data For Calculation - Insuranc'!$A:$A,$A267)</f>
        <v>0</v>
      </c>
      <c r="CB267" s="33">
        <f>SUMIFS('Data For Calculation - Insuranc'!J:J,'Data For Calculation - Insuranc'!$A:$A,$A267)</f>
        <v>0</v>
      </c>
      <c r="CC267" s="33">
        <f>SUMIFS('Data For Calculation - Insuranc'!K:K,'Data For Calculation - Insuranc'!$A:$A,$A267)</f>
        <v>0</v>
      </c>
      <c r="CD267" s="33">
        <f>IF($CK267 = "Dealer", SUMIFS('Data For Calculation - Insuranc'!I:I,'Data For Calculation - Insuranc'!$B:$B,$A267,'Data For Calculation - Insuranc'!$H:$H,"Master Dealer")) + SUMIFS('Data For Calculation - Insuranc'!I:I,'Data For Calculation - Insuranc'!$A:$A,$A267,'Data For Calculation - Insuranc'!$H:$H,"Self")</f>
        <v>0</v>
      </c>
      <c r="CE267" s="33">
        <f>IF($CK267 = "Dealer", SUMIFS('Data For Calculation - Insuranc'!J:J,'Data For Calculation - Insuranc'!$B:$B,$A267,'Data For Calculation - Insuranc'!$H:$H,"Master Dealer")) + SUMIFS('Data For Calculation - Insuranc'!J:J,'Data For Calculation - Insuranc'!$A:$A,$A267,'Data For Calculation - Insuranc'!$H:$H,"Self")</f>
        <v>0</v>
      </c>
      <c r="CF267" s="33">
        <f>IF($CK267 = "Dealer", SUMIFS('Data For Calculation - Insuranc'!K:K,'Data For Calculation - Insuranc'!$B:$B,$A267,'Data For Calculation - Insuranc'!$H:$H,"Master Dealer")) + SUMIFS('Data For Calculation - Insuranc'!K:K,'Data For Calculation - Insuranc'!$A:$A,$A267,'Data For Calculation - Insuranc'!$H:$H,"Self")</f>
        <v>0</v>
      </c>
      <c r="CG267" s="26" t="str">
        <f>(Sheet1!N267)</f>
        <v>AAA</v>
      </c>
      <c r="CH267" s="26" t="str">
        <f>(Sheet1!O267)</f>
        <v>1AjVyIHPgPw3jscNmkTH1qzR2RokK5FZaJLjeNfOiYAA</v>
      </c>
      <c r="CI267" s="25" t="str">
        <f>(Sheet1!AV267)</f>
        <v/>
      </c>
      <c r="CJ267" s="25" t="str">
        <f>(Sheet1!AW267)</f>
        <v/>
      </c>
      <c r="CK267" s="26" t="str">
        <f>(Sheet1!P267)</f>
        <v>Sub Dealer</v>
      </c>
    </row>
    <row r="268">
      <c r="A268" s="26" t="str">
        <f>(Sheet1!A268)</f>
        <v>1-MGz10ueHtF28FBo7G_OHqG8elKH6byTXmsAdLd1HwQ</v>
      </c>
      <c r="B268" s="26" t="str">
        <f>(Sheet1!B268)</f>
        <v>AAA Counter - Bada gaon</v>
      </c>
      <c r="C268" s="30" t="str">
        <f>Sheet1!BB268</f>
        <v>No</v>
      </c>
      <c r="D268" s="34" t="s">
        <v>13</v>
      </c>
      <c r="E268" s="34" t="s">
        <v>13</v>
      </c>
      <c r="F268" s="34" t="s">
        <v>3929</v>
      </c>
      <c r="G268" s="42" t="s">
        <v>3820</v>
      </c>
      <c r="H268" s="43">
        <v>460.0</v>
      </c>
      <c r="I268" s="42" t="s">
        <v>3853</v>
      </c>
      <c r="J268" s="43">
        <v>0.0</v>
      </c>
      <c r="K268" s="43">
        <v>100.0</v>
      </c>
      <c r="L268" s="43">
        <v>0.0</v>
      </c>
      <c r="M268" s="43">
        <v>0.0</v>
      </c>
      <c r="N268" s="33">
        <f>COUNTIFS('Data For Calculation - Insuranc'!A:A,A268,'Data For Calculation - Insuranc'!D:D,"Individual",'Data For Calculation - Insuranc'!E:E,"Bundled - 1 Year OD + 5 Year TP")</f>
        <v>0</v>
      </c>
      <c r="O268" s="34" t="s">
        <v>3930</v>
      </c>
      <c r="P268" s="42" t="s">
        <v>3820</v>
      </c>
      <c r="Q268" s="43">
        <v>460.0</v>
      </c>
      <c r="R268" s="42" t="s">
        <v>3853</v>
      </c>
      <c r="S268" s="43">
        <v>0.0</v>
      </c>
      <c r="T268" s="43">
        <v>100.0</v>
      </c>
      <c r="U268" s="43">
        <v>0.0</v>
      </c>
      <c r="V268" s="43">
        <v>0.0</v>
      </c>
      <c r="W268" s="33">
        <f>COUNTIFS('Data For Calculation - Insuranc'!A:A,A268,'Data For Calculation - Insuranc'!D:D,"Company",'Data For Calculation - Insuranc'!E:E,"Bundled - 1 Year OD + 5 Year TP")</f>
        <v>0</v>
      </c>
      <c r="X268" s="34" t="s">
        <v>3929</v>
      </c>
      <c r="Y268" s="42" t="s">
        <v>3820</v>
      </c>
      <c r="Z268" s="34">
        <v>290.0</v>
      </c>
      <c r="AA268" s="34" t="s">
        <v>3853</v>
      </c>
      <c r="AB268" s="34">
        <v>0.0</v>
      </c>
      <c r="AC268" s="34">
        <v>100.0</v>
      </c>
      <c r="AD268" s="34">
        <v>0.0</v>
      </c>
      <c r="AE268" s="34">
        <v>0.0</v>
      </c>
      <c r="AF268" s="33">
        <f>COUNTIFS('Data For Calculation - Insuranc'!A:A,A268,'Data For Calculation - Insuranc'!D:D,"Individual",'Data For Calculation - Insuranc'!E:E,"Rollover Comprehensive - 1 Year OD + 1 Year TP")</f>
        <v>0</v>
      </c>
      <c r="AG268" s="34" t="s">
        <v>3930</v>
      </c>
      <c r="AH268" s="42" t="s">
        <v>3820</v>
      </c>
      <c r="AI268" s="34">
        <v>290.0</v>
      </c>
      <c r="AJ268" s="34" t="s">
        <v>3853</v>
      </c>
      <c r="AK268" s="34">
        <v>0.0</v>
      </c>
      <c r="AL268" s="34">
        <v>100.0</v>
      </c>
      <c r="AM268" s="34">
        <v>0.0</v>
      </c>
      <c r="AN268" s="34">
        <v>0.0</v>
      </c>
      <c r="AO268" s="33">
        <f>COUNTIFS('Data For Calculation - Insuranc'!A:A,A268,'Data For Calculation - Insuranc'!D:D,"Company",'Data For Calculation - Insuranc'!E:E,"Rollover Comprehensive - 1 Year OD + 1 Year TP")</f>
        <v>0</v>
      </c>
      <c r="AP268" s="34" t="s">
        <v>3931</v>
      </c>
      <c r="AQ268" s="42" t="s">
        <v>3820</v>
      </c>
      <c r="AR268" s="34">
        <v>290.0</v>
      </c>
      <c r="AS268" s="34" t="s">
        <v>3853</v>
      </c>
      <c r="AT268" s="34">
        <v>0.0</v>
      </c>
      <c r="AU268" s="34">
        <v>100.0</v>
      </c>
      <c r="AV268" s="34">
        <v>0.0</v>
      </c>
      <c r="AW268" s="34">
        <v>0.0</v>
      </c>
      <c r="AX268" s="33">
        <f>COUNTIFS('Data For Calculation - Insuranc'!A:A,A268,'Data For Calculation - Insuranc'!D:D,"Individual",'Data For Calculation - Insuranc'!E:E,"Rollover - 1 Year OD Only")</f>
        <v>0</v>
      </c>
      <c r="AY268" s="34" t="s">
        <v>3932</v>
      </c>
      <c r="AZ268" s="42" t="s">
        <v>3820</v>
      </c>
      <c r="BA268" s="34">
        <v>290.0</v>
      </c>
      <c r="BB268" s="34" t="s">
        <v>3853</v>
      </c>
      <c r="BC268" s="34">
        <v>0.0</v>
      </c>
      <c r="BD268" s="34">
        <v>100.0</v>
      </c>
      <c r="BE268" s="34">
        <v>0.0</v>
      </c>
      <c r="BF268" s="34">
        <v>0.0</v>
      </c>
      <c r="BG268" s="33">
        <f>COUNTIFS('Data For Calculation - Insuranc'!A:A,A268,'Data For Calculation - Insuranc'!D:D,"Company",'Data For Calculation - Insuranc'!E:E,"Rollover - 1 Year OD Only")</f>
        <v>0</v>
      </c>
      <c r="BH268" s="34" t="s">
        <v>3931</v>
      </c>
      <c r="BI268" s="42" t="s">
        <v>3820</v>
      </c>
      <c r="BJ268" s="34">
        <v>290.0</v>
      </c>
      <c r="BK268" s="34" t="s">
        <v>3853</v>
      </c>
      <c r="BL268" s="34">
        <v>0.0</v>
      </c>
      <c r="BM268" s="34">
        <v>100.0</v>
      </c>
      <c r="BN268" s="34">
        <v>0.0</v>
      </c>
      <c r="BO268" s="34">
        <v>0.0</v>
      </c>
      <c r="BP268" s="33">
        <f>COUNTIFS('Data For Calculation - Insuranc'!A:A,A268,'Data For Calculation - Insuranc'!D:D,"Individual",'Data For Calculation - Insuranc'!E:E,"Rollover - 1 Year TP Only")</f>
        <v>0</v>
      </c>
      <c r="BQ268" s="34" t="s">
        <v>3932</v>
      </c>
      <c r="BR268" s="42" t="s">
        <v>3820</v>
      </c>
      <c r="BS268" s="34">
        <v>290.0</v>
      </c>
      <c r="BT268" s="34" t="s">
        <v>3853</v>
      </c>
      <c r="BU268" s="34">
        <v>0.0</v>
      </c>
      <c r="BV268" s="34">
        <v>100.0</v>
      </c>
      <c r="BW268" s="34">
        <v>0.0</v>
      </c>
      <c r="BX268" s="34">
        <v>0.0</v>
      </c>
      <c r="BY268" s="33">
        <f>COUNTIFS('Data For Calculation - Insuranc'!A:A,A268,'Data For Calculation - Insuranc'!D:D,"Company",'Data For Calculation - Insuranc'!E:E,"Rollover - 1 Year TP Only")</f>
        <v>0</v>
      </c>
      <c r="BZ268" s="31">
        <f t="shared" si="1"/>
        <v>0</v>
      </c>
      <c r="CA268" s="33">
        <f>SUMIFS('Data For Calculation - Insuranc'!I:I,'Data For Calculation - Insuranc'!$A:$A,$A268)</f>
        <v>0</v>
      </c>
      <c r="CB268" s="33">
        <f>SUMIFS('Data For Calculation - Insuranc'!J:J,'Data For Calculation - Insuranc'!$A:$A,$A268)</f>
        <v>0</v>
      </c>
      <c r="CC268" s="33">
        <f>SUMIFS('Data For Calculation - Insuranc'!K:K,'Data For Calculation - Insuranc'!$A:$A,$A268)</f>
        <v>0</v>
      </c>
      <c r="CD268" s="33">
        <f>IF($CK268 = "Dealer", SUMIFS('Data For Calculation - Insuranc'!I:I,'Data For Calculation - Insuranc'!$B:$B,$A268,'Data For Calculation - Insuranc'!$H:$H,"Master Dealer")) + SUMIFS('Data For Calculation - Insuranc'!I:I,'Data For Calculation - Insuranc'!$A:$A,$A268,'Data For Calculation - Insuranc'!$H:$H,"Self")</f>
        <v>0</v>
      </c>
      <c r="CE268" s="33">
        <f>IF($CK268 = "Dealer", SUMIFS('Data For Calculation - Insuranc'!J:J,'Data For Calculation - Insuranc'!$B:$B,$A268,'Data For Calculation - Insuranc'!$H:$H,"Master Dealer")) + SUMIFS('Data For Calculation - Insuranc'!J:J,'Data For Calculation - Insuranc'!$A:$A,$A268,'Data For Calculation - Insuranc'!$H:$H,"Self")</f>
        <v>0</v>
      </c>
      <c r="CF268" s="33">
        <f>IF($CK268 = "Dealer", SUMIFS('Data For Calculation - Insuranc'!K:K,'Data For Calculation - Insuranc'!$B:$B,$A268,'Data For Calculation - Insuranc'!$H:$H,"Master Dealer")) + SUMIFS('Data For Calculation - Insuranc'!K:K,'Data For Calculation - Insuranc'!$A:$A,$A268,'Data For Calculation - Insuranc'!$H:$H,"Self")</f>
        <v>0</v>
      </c>
      <c r="CG268" s="26" t="str">
        <f>(Sheet1!N268)</f>
        <v>AAA</v>
      </c>
      <c r="CH268" s="26" t="str">
        <f>(Sheet1!O268)</f>
        <v>1AjVyIHPgPw3jscNmkTH1qzR2RokK5FZaJLjeNfOiYAA</v>
      </c>
      <c r="CI268" s="25" t="str">
        <f>(Sheet1!AV268)</f>
        <v/>
      </c>
      <c r="CJ268" s="25" t="str">
        <f>(Sheet1!AW268)</f>
        <v/>
      </c>
      <c r="CK268" s="26" t="str">
        <f>(Sheet1!P268)</f>
        <v>Sub Dealer</v>
      </c>
    </row>
    <row r="269">
      <c r="A269" s="26" t="str">
        <f>(Sheet1!A269)</f>
        <v>1Ql_6BdBcHGAyITSZt1pNUK3bW54CzeThIBXr7aH7K3Y</v>
      </c>
      <c r="B269" s="26" t="str">
        <f>(Sheet1!B269)</f>
        <v>Gupta Automobiles - Padrauna</v>
      </c>
      <c r="C269" s="30" t="str">
        <f>Sheet1!BB269</f>
        <v>No</v>
      </c>
      <c r="D269" s="34" t="s">
        <v>13</v>
      </c>
      <c r="E269" s="34" t="s">
        <v>13</v>
      </c>
      <c r="F269" s="34" t="s">
        <v>3929</v>
      </c>
      <c r="G269" s="42" t="s">
        <v>3820</v>
      </c>
      <c r="H269" s="43">
        <v>460.0</v>
      </c>
      <c r="I269" s="42" t="s">
        <v>3853</v>
      </c>
      <c r="J269" s="43">
        <v>0.0</v>
      </c>
      <c r="K269" s="43">
        <v>100.0</v>
      </c>
      <c r="L269" s="43">
        <v>0.0</v>
      </c>
      <c r="M269" s="43">
        <v>0.0</v>
      </c>
      <c r="N269" s="33">
        <f>COUNTIFS('Data For Calculation - Insuranc'!A:A,A269,'Data For Calculation - Insuranc'!D:D,"Individual",'Data For Calculation - Insuranc'!E:E,"Bundled - 1 Year OD + 5 Year TP")</f>
        <v>0</v>
      </c>
      <c r="O269" s="34" t="s">
        <v>3930</v>
      </c>
      <c r="P269" s="42" t="s">
        <v>3820</v>
      </c>
      <c r="Q269" s="43">
        <v>460.0</v>
      </c>
      <c r="R269" s="42" t="s">
        <v>3853</v>
      </c>
      <c r="S269" s="43">
        <v>0.0</v>
      </c>
      <c r="T269" s="43">
        <v>100.0</v>
      </c>
      <c r="U269" s="43">
        <v>0.0</v>
      </c>
      <c r="V269" s="43">
        <v>0.0</v>
      </c>
      <c r="W269" s="33">
        <f>COUNTIFS('Data For Calculation - Insuranc'!A:A,A269,'Data For Calculation - Insuranc'!D:D,"Company",'Data For Calculation - Insuranc'!E:E,"Bundled - 1 Year OD + 5 Year TP")</f>
        <v>0</v>
      </c>
      <c r="X269" s="34" t="s">
        <v>3929</v>
      </c>
      <c r="Y269" s="42" t="s">
        <v>3820</v>
      </c>
      <c r="Z269" s="34">
        <v>290.0</v>
      </c>
      <c r="AA269" s="34" t="s">
        <v>3853</v>
      </c>
      <c r="AB269" s="34">
        <v>0.0</v>
      </c>
      <c r="AC269" s="34">
        <v>100.0</v>
      </c>
      <c r="AD269" s="34">
        <v>0.0</v>
      </c>
      <c r="AE269" s="34">
        <v>0.0</v>
      </c>
      <c r="AF269" s="33">
        <f>COUNTIFS('Data For Calculation - Insuranc'!A:A,A269,'Data For Calculation - Insuranc'!D:D,"Individual",'Data For Calculation - Insuranc'!E:E,"Rollover Comprehensive - 1 Year OD + 1 Year TP")</f>
        <v>0</v>
      </c>
      <c r="AG269" s="34" t="s">
        <v>3930</v>
      </c>
      <c r="AH269" s="42" t="s">
        <v>3820</v>
      </c>
      <c r="AI269" s="34">
        <v>290.0</v>
      </c>
      <c r="AJ269" s="34" t="s">
        <v>3853</v>
      </c>
      <c r="AK269" s="34">
        <v>0.0</v>
      </c>
      <c r="AL269" s="34">
        <v>100.0</v>
      </c>
      <c r="AM269" s="34">
        <v>0.0</v>
      </c>
      <c r="AN269" s="34">
        <v>0.0</v>
      </c>
      <c r="AO269" s="33">
        <f>COUNTIFS('Data For Calculation - Insuranc'!A:A,A269,'Data For Calculation - Insuranc'!D:D,"Company",'Data For Calculation - Insuranc'!E:E,"Rollover Comprehensive - 1 Year OD + 1 Year TP")</f>
        <v>0</v>
      </c>
      <c r="AP269" s="34" t="s">
        <v>3931</v>
      </c>
      <c r="AQ269" s="42" t="s">
        <v>3820</v>
      </c>
      <c r="AR269" s="34">
        <v>290.0</v>
      </c>
      <c r="AS269" s="34" t="s">
        <v>3853</v>
      </c>
      <c r="AT269" s="34">
        <v>0.0</v>
      </c>
      <c r="AU269" s="34">
        <v>100.0</v>
      </c>
      <c r="AV269" s="34">
        <v>0.0</v>
      </c>
      <c r="AW269" s="34">
        <v>0.0</v>
      </c>
      <c r="AX269" s="33">
        <f>COUNTIFS('Data For Calculation - Insuranc'!A:A,A269,'Data For Calculation - Insuranc'!D:D,"Individual",'Data For Calculation - Insuranc'!E:E,"Rollover - 1 Year OD Only")</f>
        <v>0</v>
      </c>
      <c r="AY269" s="34" t="s">
        <v>3932</v>
      </c>
      <c r="AZ269" s="42" t="s">
        <v>3820</v>
      </c>
      <c r="BA269" s="34">
        <v>290.0</v>
      </c>
      <c r="BB269" s="34" t="s">
        <v>3853</v>
      </c>
      <c r="BC269" s="34">
        <v>0.0</v>
      </c>
      <c r="BD269" s="34">
        <v>100.0</v>
      </c>
      <c r="BE269" s="34">
        <v>0.0</v>
      </c>
      <c r="BF269" s="34">
        <v>0.0</v>
      </c>
      <c r="BG269" s="33">
        <f>COUNTIFS('Data For Calculation - Insuranc'!A:A,A269,'Data For Calculation - Insuranc'!D:D,"Company",'Data For Calculation - Insuranc'!E:E,"Rollover - 1 Year OD Only")</f>
        <v>0</v>
      </c>
      <c r="BH269" s="34" t="s">
        <v>3931</v>
      </c>
      <c r="BI269" s="42" t="s">
        <v>3820</v>
      </c>
      <c r="BJ269" s="34">
        <v>290.0</v>
      </c>
      <c r="BK269" s="34" t="s">
        <v>3853</v>
      </c>
      <c r="BL269" s="34">
        <v>0.0</v>
      </c>
      <c r="BM269" s="34">
        <v>100.0</v>
      </c>
      <c r="BN269" s="34">
        <v>0.0</v>
      </c>
      <c r="BO269" s="34">
        <v>0.0</v>
      </c>
      <c r="BP269" s="33">
        <f>COUNTIFS('Data For Calculation - Insuranc'!A:A,A269,'Data For Calculation - Insuranc'!D:D,"Individual",'Data For Calculation - Insuranc'!E:E,"Rollover - 1 Year TP Only")</f>
        <v>0</v>
      </c>
      <c r="BQ269" s="34" t="s">
        <v>3932</v>
      </c>
      <c r="BR269" s="42" t="s">
        <v>3820</v>
      </c>
      <c r="BS269" s="34">
        <v>290.0</v>
      </c>
      <c r="BT269" s="34" t="s">
        <v>3853</v>
      </c>
      <c r="BU269" s="34">
        <v>0.0</v>
      </c>
      <c r="BV269" s="34">
        <v>100.0</v>
      </c>
      <c r="BW269" s="34">
        <v>0.0</v>
      </c>
      <c r="BX269" s="34">
        <v>0.0</v>
      </c>
      <c r="BY269" s="33">
        <f>COUNTIFS('Data For Calculation - Insuranc'!A:A,A269,'Data For Calculation - Insuranc'!D:D,"Company",'Data For Calculation - Insuranc'!E:E,"Rollover - 1 Year TP Only")</f>
        <v>0</v>
      </c>
      <c r="BZ269" s="31">
        <f t="shared" si="1"/>
        <v>0</v>
      </c>
      <c r="CA269" s="33">
        <f>SUMIFS('Data For Calculation - Insuranc'!I:I,'Data For Calculation - Insuranc'!$A:$A,$A269)</f>
        <v>0</v>
      </c>
      <c r="CB269" s="33">
        <f>SUMIFS('Data For Calculation - Insuranc'!J:J,'Data For Calculation - Insuranc'!$A:$A,$A269)</f>
        <v>0</v>
      </c>
      <c r="CC269" s="33">
        <f>SUMIFS('Data For Calculation - Insuranc'!K:K,'Data For Calculation - Insuranc'!$A:$A,$A269)</f>
        <v>0</v>
      </c>
      <c r="CD269" s="33">
        <f>IF($CK269 = "Dealer", SUMIFS('Data For Calculation - Insuranc'!I:I,'Data For Calculation - Insuranc'!$B:$B,$A269,'Data For Calculation - Insuranc'!$H:$H,"Master Dealer")) + SUMIFS('Data For Calculation - Insuranc'!I:I,'Data For Calculation - Insuranc'!$A:$A,$A269,'Data For Calculation - Insuranc'!$H:$H,"Self")</f>
        <v>0</v>
      </c>
      <c r="CE269" s="33">
        <f>IF($CK269 = "Dealer", SUMIFS('Data For Calculation - Insuranc'!J:J,'Data For Calculation - Insuranc'!$B:$B,$A269,'Data For Calculation - Insuranc'!$H:$H,"Master Dealer")) + SUMIFS('Data For Calculation - Insuranc'!J:J,'Data For Calculation - Insuranc'!$A:$A,$A269,'Data For Calculation - Insuranc'!$H:$H,"Self")</f>
        <v>0</v>
      </c>
      <c r="CF269" s="33">
        <f>IF($CK269 = "Dealer", SUMIFS('Data For Calculation - Insuranc'!K:K,'Data For Calculation - Insuranc'!$B:$B,$A269,'Data For Calculation - Insuranc'!$H:$H,"Master Dealer")) + SUMIFS('Data For Calculation - Insuranc'!K:K,'Data For Calculation - Insuranc'!$A:$A,$A269,'Data For Calculation - Insuranc'!$H:$H,"Self")</f>
        <v>0</v>
      </c>
      <c r="CG269" s="26" t="str">
        <f>(Sheet1!N269)</f>
        <v>Gupta Automobiles - Padrauna</v>
      </c>
      <c r="CH269" s="26" t="str">
        <f>(Sheet1!O269)</f>
        <v>1Ql_6BdBcHGAyITSZt1pNUK3bW54CzeThIBXr7aH7K3Y</v>
      </c>
      <c r="CI269" s="25" t="str">
        <f>(Sheet1!AV269)</f>
        <v/>
      </c>
      <c r="CJ269" s="25" t="str">
        <f>(Sheet1!AW269)</f>
        <v/>
      </c>
      <c r="CK269" s="26" t="str">
        <f>(Sheet1!P269)</f>
        <v>Dealer</v>
      </c>
    </row>
    <row r="270">
      <c r="A270" s="26" t="str">
        <f>(Sheet1!A270)</f>
        <v>1T9TOPNccEkZyvcMjs5_ErkZRFNoV3A33YcZPKCnjNeI</v>
      </c>
      <c r="B270" s="26" t="str">
        <f>(Sheet1!B270)</f>
        <v>VAISHNO MOTORS - JHUGAWA</v>
      </c>
      <c r="C270" s="30" t="str">
        <f>Sheet1!BB270</f>
        <v>No</v>
      </c>
      <c r="D270" s="34" t="s">
        <v>13</v>
      </c>
      <c r="E270" s="34" t="s">
        <v>13</v>
      </c>
      <c r="F270" s="34" t="s">
        <v>3929</v>
      </c>
      <c r="G270" s="42" t="s">
        <v>3820</v>
      </c>
      <c r="H270" s="43">
        <v>460.0</v>
      </c>
      <c r="I270" s="42" t="s">
        <v>3853</v>
      </c>
      <c r="J270" s="43">
        <v>0.0</v>
      </c>
      <c r="K270" s="43">
        <v>100.0</v>
      </c>
      <c r="L270" s="43">
        <v>0.0</v>
      </c>
      <c r="M270" s="43">
        <v>0.0</v>
      </c>
      <c r="N270" s="33">
        <f>COUNTIFS('Data For Calculation - Insuranc'!A:A,A270,'Data For Calculation - Insuranc'!D:D,"Individual",'Data For Calculation - Insuranc'!E:E,"Bundled - 1 Year OD + 5 Year TP")</f>
        <v>0</v>
      </c>
      <c r="O270" s="34" t="s">
        <v>3930</v>
      </c>
      <c r="P270" s="42" t="s">
        <v>3820</v>
      </c>
      <c r="Q270" s="43">
        <v>460.0</v>
      </c>
      <c r="R270" s="42" t="s">
        <v>3853</v>
      </c>
      <c r="S270" s="43">
        <v>0.0</v>
      </c>
      <c r="T270" s="43">
        <v>100.0</v>
      </c>
      <c r="U270" s="43">
        <v>0.0</v>
      </c>
      <c r="V270" s="43">
        <v>0.0</v>
      </c>
      <c r="W270" s="33">
        <f>COUNTIFS('Data For Calculation - Insuranc'!A:A,A270,'Data For Calculation - Insuranc'!D:D,"Company",'Data For Calculation - Insuranc'!E:E,"Bundled - 1 Year OD + 5 Year TP")</f>
        <v>0</v>
      </c>
      <c r="X270" s="34" t="s">
        <v>3929</v>
      </c>
      <c r="Y270" s="42" t="s">
        <v>3820</v>
      </c>
      <c r="Z270" s="34">
        <v>290.0</v>
      </c>
      <c r="AA270" s="34" t="s">
        <v>3853</v>
      </c>
      <c r="AB270" s="34">
        <v>0.0</v>
      </c>
      <c r="AC270" s="34">
        <v>100.0</v>
      </c>
      <c r="AD270" s="34">
        <v>0.0</v>
      </c>
      <c r="AE270" s="34">
        <v>0.0</v>
      </c>
      <c r="AF270" s="33">
        <f>COUNTIFS('Data For Calculation - Insuranc'!A:A,A270,'Data For Calculation - Insuranc'!D:D,"Individual",'Data For Calculation - Insuranc'!E:E,"Rollover Comprehensive - 1 Year OD + 1 Year TP")</f>
        <v>0</v>
      </c>
      <c r="AG270" s="34" t="s">
        <v>3930</v>
      </c>
      <c r="AH270" s="42" t="s">
        <v>3820</v>
      </c>
      <c r="AI270" s="34">
        <v>290.0</v>
      </c>
      <c r="AJ270" s="34" t="s">
        <v>3853</v>
      </c>
      <c r="AK270" s="34">
        <v>0.0</v>
      </c>
      <c r="AL270" s="34">
        <v>100.0</v>
      </c>
      <c r="AM270" s="34">
        <v>0.0</v>
      </c>
      <c r="AN270" s="34">
        <v>0.0</v>
      </c>
      <c r="AO270" s="33">
        <f>COUNTIFS('Data For Calculation - Insuranc'!A:A,A270,'Data For Calculation - Insuranc'!D:D,"Company",'Data For Calculation - Insuranc'!E:E,"Rollover Comprehensive - 1 Year OD + 1 Year TP")</f>
        <v>0</v>
      </c>
      <c r="AP270" s="34" t="s">
        <v>3931</v>
      </c>
      <c r="AQ270" s="42" t="s">
        <v>3820</v>
      </c>
      <c r="AR270" s="34">
        <v>290.0</v>
      </c>
      <c r="AS270" s="34" t="s">
        <v>3853</v>
      </c>
      <c r="AT270" s="34">
        <v>0.0</v>
      </c>
      <c r="AU270" s="34">
        <v>100.0</v>
      </c>
      <c r="AV270" s="34">
        <v>0.0</v>
      </c>
      <c r="AW270" s="34">
        <v>0.0</v>
      </c>
      <c r="AX270" s="33">
        <f>COUNTIFS('Data For Calculation - Insuranc'!A:A,A270,'Data For Calculation - Insuranc'!D:D,"Individual",'Data For Calculation - Insuranc'!E:E,"Rollover - 1 Year OD Only")</f>
        <v>0</v>
      </c>
      <c r="AY270" s="34" t="s">
        <v>3932</v>
      </c>
      <c r="AZ270" s="42" t="s">
        <v>3820</v>
      </c>
      <c r="BA270" s="34">
        <v>290.0</v>
      </c>
      <c r="BB270" s="34" t="s">
        <v>3853</v>
      </c>
      <c r="BC270" s="34">
        <v>0.0</v>
      </c>
      <c r="BD270" s="34">
        <v>100.0</v>
      </c>
      <c r="BE270" s="34">
        <v>0.0</v>
      </c>
      <c r="BF270" s="34">
        <v>0.0</v>
      </c>
      <c r="BG270" s="33">
        <f>COUNTIFS('Data For Calculation - Insuranc'!A:A,A270,'Data For Calculation - Insuranc'!D:D,"Company",'Data For Calculation - Insuranc'!E:E,"Rollover - 1 Year OD Only")</f>
        <v>0</v>
      </c>
      <c r="BH270" s="34" t="s">
        <v>3931</v>
      </c>
      <c r="BI270" s="42" t="s">
        <v>3820</v>
      </c>
      <c r="BJ270" s="34">
        <v>290.0</v>
      </c>
      <c r="BK270" s="34" t="s">
        <v>3853</v>
      </c>
      <c r="BL270" s="34">
        <v>0.0</v>
      </c>
      <c r="BM270" s="34">
        <v>100.0</v>
      </c>
      <c r="BN270" s="34">
        <v>0.0</v>
      </c>
      <c r="BO270" s="34">
        <v>0.0</v>
      </c>
      <c r="BP270" s="33">
        <f>COUNTIFS('Data For Calculation - Insuranc'!A:A,A270,'Data For Calculation - Insuranc'!D:D,"Individual",'Data For Calculation - Insuranc'!E:E,"Rollover - 1 Year TP Only")</f>
        <v>0</v>
      </c>
      <c r="BQ270" s="34" t="s">
        <v>3932</v>
      </c>
      <c r="BR270" s="42" t="s">
        <v>3820</v>
      </c>
      <c r="BS270" s="34">
        <v>290.0</v>
      </c>
      <c r="BT270" s="34" t="s">
        <v>3853</v>
      </c>
      <c r="BU270" s="34">
        <v>0.0</v>
      </c>
      <c r="BV270" s="34">
        <v>100.0</v>
      </c>
      <c r="BW270" s="34">
        <v>0.0</v>
      </c>
      <c r="BX270" s="34">
        <v>0.0</v>
      </c>
      <c r="BY270" s="33">
        <f>COUNTIFS('Data For Calculation - Insuranc'!A:A,A270,'Data For Calculation - Insuranc'!D:D,"Company",'Data For Calculation - Insuranc'!E:E,"Rollover - 1 Year TP Only")</f>
        <v>0</v>
      </c>
      <c r="BZ270" s="31">
        <f t="shared" si="1"/>
        <v>0</v>
      </c>
      <c r="CA270" s="33">
        <f>SUMIFS('Data For Calculation - Insuranc'!I:I,'Data For Calculation - Insuranc'!$A:$A,$A270)</f>
        <v>0</v>
      </c>
      <c r="CB270" s="33">
        <f>SUMIFS('Data For Calculation - Insuranc'!J:J,'Data For Calculation - Insuranc'!$A:$A,$A270)</f>
        <v>0</v>
      </c>
      <c r="CC270" s="33">
        <f>SUMIFS('Data For Calculation - Insuranc'!K:K,'Data For Calculation - Insuranc'!$A:$A,$A270)</f>
        <v>0</v>
      </c>
      <c r="CD270" s="33">
        <f>IF($CK270 = "Dealer", SUMIFS('Data For Calculation - Insuranc'!I:I,'Data For Calculation - Insuranc'!$B:$B,$A270,'Data For Calculation - Insuranc'!$H:$H,"Master Dealer")) + SUMIFS('Data For Calculation - Insuranc'!I:I,'Data For Calculation - Insuranc'!$A:$A,$A270,'Data For Calculation - Insuranc'!$H:$H,"Self")</f>
        <v>0</v>
      </c>
      <c r="CE270" s="33">
        <f>IF($CK270 = "Dealer", SUMIFS('Data For Calculation - Insuranc'!J:J,'Data For Calculation - Insuranc'!$B:$B,$A270,'Data For Calculation - Insuranc'!$H:$H,"Master Dealer")) + SUMIFS('Data For Calculation - Insuranc'!J:J,'Data For Calculation - Insuranc'!$A:$A,$A270,'Data For Calculation - Insuranc'!$H:$H,"Self")</f>
        <v>0</v>
      </c>
      <c r="CF270" s="33">
        <f>IF($CK270 = "Dealer", SUMIFS('Data For Calculation - Insuranc'!K:K,'Data For Calculation - Insuranc'!$B:$B,$A270,'Data For Calculation - Insuranc'!$H:$H,"Master Dealer")) + SUMIFS('Data For Calculation - Insuranc'!K:K,'Data For Calculation - Insuranc'!$A:$A,$A270,'Data For Calculation - Insuranc'!$H:$H,"Self")</f>
        <v>0</v>
      </c>
      <c r="CG270" s="26" t="str">
        <f>(Sheet1!N270)</f>
        <v>VAISHNO MOTORS - JHUGAWA</v>
      </c>
      <c r="CH270" s="26" t="str">
        <f>(Sheet1!O270)</f>
        <v>1T9TOPNccEkZyvcMjs5_ErkZRFNoV3A33YcZPKCnjNeI</v>
      </c>
      <c r="CI270" s="25" t="str">
        <f>(Sheet1!AV270)</f>
        <v/>
      </c>
      <c r="CJ270" s="25" t="str">
        <f>(Sheet1!AW270)</f>
        <v/>
      </c>
      <c r="CK270" s="26" t="str">
        <f>(Sheet1!P270)</f>
        <v>Dealer</v>
      </c>
    </row>
    <row r="271">
      <c r="A271" s="26" t="str">
        <f>(Sheet1!A271)</f>
        <v>1XA3IU40iudWqjc-iMpo4sIeP_Jq8_MOSk2H-xzRtlHA</v>
      </c>
      <c r="B271" s="26" t="str">
        <f>(Sheet1!B271)</f>
        <v>Gupta automobiles(GA)- Ramkola road</v>
      </c>
      <c r="C271" s="30" t="str">
        <f>Sheet1!BB271</f>
        <v>No</v>
      </c>
      <c r="D271" s="34" t="s">
        <v>13</v>
      </c>
      <c r="E271" s="34" t="s">
        <v>13</v>
      </c>
      <c r="F271" s="34" t="s">
        <v>3929</v>
      </c>
      <c r="G271" s="42" t="s">
        <v>3820</v>
      </c>
      <c r="H271" s="43">
        <v>460.0</v>
      </c>
      <c r="I271" s="42" t="s">
        <v>3853</v>
      </c>
      <c r="J271" s="43">
        <v>0.0</v>
      </c>
      <c r="K271" s="43">
        <v>100.0</v>
      </c>
      <c r="L271" s="43">
        <v>0.0</v>
      </c>
      <c r="M271" s="43">
        <v>0.0</v>
      </c>
      <c r="N271" s="33">
        <f>COUNTIFS('Data For Calculation - Insuranc'!A:A,A271,'Data For Calculation - Insuranc'!D:D,"Individual",'Data For Calculation - Insuranc'!E:E,"Bundled - 1 Year OD + 5 Year TP")</f>
        <v>0</v>
      </c>
      <c r="O271" s="34" t="s">
        <v>3930</v>
      </c>
      <c r="P271" s="42" t="s">
        <v>3820</v>
      </c>
      <c r="Q271" s="43">
        <v>460.0</v>
      </c>
      <c r="R271" s="42" t="s">
        <v>3853</v>
      </c>
      <c r="S271" s="43">
        <v>0.0</v>
      </c>
      <c r="T271" s="43">
        <v>100.0</v>
      </c>
      <c r="U271" s="43">
        <v>0.0</v>
      </c>
      <c r="V271" s="43">
        <v>0.0</v>
      </c>
      <c r="W271" s="33">
        <f>COUNTIFS('Data For Calculation - Insuranc'!A:A,A271,'Data For Calculation - Insuranc'!D:D,"Company",'Data For Calculation - Insuranc'!E:E,"Bundled - 1 Year OD + 5 Year TP")</f>
        <v>0</v>
      </c>
      <c r="X271" s="34" t="s">
        <v>3929</v>
      </c>
      <c r="Y271" s="42" t="s">
        <v>3820</v>
      </c>
      <c r="Z271" s="34">
        <v>290.0</v>
      </c>
      <c r="AA271" s="34" t="s">
        <v>3853</v>
      </c>
      <c r="AB271" s="34">
        <v>0.0</v>
      </c>
      <c r="AC271" s="34">
        <v>100.0</v>
      </c>
      <c r="AD271" s="34">
        <v>0.0</v>
      </c>
      <c r="AE271" s="34">
        <v>0.0</v>
      </c>
      <c r="AF271" s="33">
        <f>COUNTIFS('Data For Calculation - Insuranc'!A:A,A271,'Data For Calculation - Insuranc'!D:D,"Individual",'Data For Calculation - Insuranc'!E:E,"Rollover Comprehensive - 1 Year OD + 1 Year TP")</f>
        <v>0</v>
      </c>
      <c r="AG271" s="34" t="s">
        <v>3930</v>
      </c>
      <c r="AH271" s="42" t="s">
        <v>3820</v>
      </c>
      <c r="AI271" s="34">
        <v>290.0</v>
      </c>
      <c r="AJ271" s="34" t="s">
        <v>3853</v>
      </c>
      <c r="AK271" s="34">
        <v>0.0</v>
      </c>
      <c r="AL271" s="34">
        <v>100.0</v>
      </c>
      <c r="AM271" s="34">
        <v>0.0</v>
      </c>
      <c r="AN271" s="34">
        <v>0.0</v>
      </c>
      <c r="AO271" s="33">
        <f>COUNTIFS('Data For Calculation - Insuranc'!A:A,A271,'Data For Calculation - Insuranc'!D:D,"Company",'Data For Calculation - Insuranc'!E:E,"Rollover Comprehensive - 1 Year OD + 1 Year TP")</f>
        <v>0</v>
      </c>
      <c r="AP271" s="34" t="s">
        <v>3931</v>
      </c>
      <c r="AQ271" s="42" t="s">
        <v>3820</v>
      </c>
      <c r="AR271" s="34">
        <v>290.0</v>
      </c>
      <c r="AS271" s="34" t="s">
        <v>3853</v>
      </c>
      <c r="AT271" s="34">
        <v>0.0</v>
      </c>
      <c r="AU271" s="34">
        <v>100.0</v>
      </c>
      <c r="AV271" s="34">
        <v>0.0</v>
      </c>
      <c r="AW271" s="34">
        <v>0.0</v>
      </c>
      <c r="AX271" s="33">
        <f>COUNTIFS('Data For Calculation - Insuranc'!A:A,A271,'Data For Calculation - Insuranc'!D:D,"Individual",'Data For Calculation - Insuranc'!E:E,"Rollover - 1 Year OD Only")</f>
        <v>0</v>
      </c>
      <c r="AY271" s="34" t="s">
        <v>3932</v>
      </c>
      <c r="AZ271" s="42" t="s">
        <v>3820</v>
      </c>
      <c r="BA271" s="34">
        <v>290.0</v>
      </c>
      <c r="BB271" s="34" t="s">
        <v>3853</v>
      </c>
      <c r="BC271" s="34">
        <v>0.0</v>
      </c>
      <c r="BD271" s="34">
        <v>100.0</v>
      </c>
      <c r="BE271" s="34">
        <v>0.0</v>
      </c>
      <c r="BF271" s="34">
        <v>0.0</v>
      </c>
      <c r="BG271" s="33">
        <f>COUNTIFS('Data For Calculation - Insuranc'!A:A,A271,'Data For Calculation - Insuranc'!D:D,"Company",'Data For Calculation - Insuranc'!E:E,"Rollover - 1 Year OD Only")</f>
        <v>0</v>
      </c>
      <c r="BH271" s="34" t="s">
        <v>3931</v>
      </c>
      <c r="BI271" s="42" t="s">
        <v>3820</v>
      </c>
      <c r="BJ271" s="34">
        <v>290.0</v>
      </c>
      <c r="BK271" s="34" t="s">
        <v>3853</v>
      </c>
      <c r="BL271" s="34">
        <v>0.0</v>
      </c>
      <c r="BM271" s="34">
        <v>100.0</v>
      </c>
      <c r="BN271" s="34">
        <v>0.0</v>
      </c>
      <c r="BO271" s="34">
        <v>0.0</v>
      </c>
      <c r="BP271" s="33">
        <f>COUNTIFS('Data For Calculation - Insuranc'!A:A,A271,'Data For Calculation - Insuranc'!D:D,"Individual",'Data For Calculation - Insuranc'!E:E,"Rollover - 1 Year TP Only")</f>
        <v>0</v>
      </c>
      <c r="BQ271" s="34" t="s">
        <v>3932</v>
      </c>
      <c r="BR271" s="42" t="s">
        <v>3820</v>
      </c>
      <c r="BS271" s="34">
        <v>290.0</v>
      </c>
      <c r="BT271" s="34" t="s">
        <v>3853</v>
      </c>
      <c r="BU271" s="34">
        <v>0.0</v>
      </c>
      <c r="BV271" s="34">
        <v>100.0</v>
      </c>
      <c r="BW271" s="34">
        <v>0.0</v>
      </c>
      <c r="BX271" s="34">
        <v>0.0</v>
      </c>
      <c r="BY271" s="33">
        <f>COUNTIFS('Data For Calculation - Insuranc'!A:A,A271,'Data For Calculation - Insuranc'!D:D,"Company",'Data For Calculation - Insuranc'!E:E,"Rollover - 1 Year TP Only")</f>
        <v>0</v>
      </c>
      <c r="BZ271" s="31">
        <f t="shared" si="1"/>
        <v>0</v>
      </c>
      <c r="CA271" s="33">
        <f>SUMIFS('Data For Calculation - Insuranc'!I:I,'Data For Calculation - Insuranc'!$A:$A,$A271)</f>
        <v>0</v>
      </c>
      <c r="CB271" s="33">
        <f>SUMIFS('Data For Calculation - Insuranc'!J:J,'Data For Calculation - Insuranc'!$A:$A,$A271)</f>
        <v>0</v>
      </c>
      <c r="CC271" s="33">
        <f>SUMIFS('Data For Calculation - Insuranc'!K:K,'Data For Calculation - Insuranc'!$A:$A,$A271)</f>
        <v>0</v>
      </c>
      <c r="CD271" s="33">
        <f>IF($CK271 = "Dealer", SUMIFS('Data For Calculation - Insuranc'!I:I,'Data For Calculation - Insuranc'!$B:$B,$A271,'Data For Calculation - Insuranc'!$H:$H,"Master Dealer")) + SUMIFS('Data For Calculation - Insuranc'!I:I,'Data For Calculation - Insuranc'!$A:$A,$A271,'Data For Calculation - Insuranc'!$H:$H,"Self")</f>
        <v>0</v>
      </c>
      <c r="CE271" s="33">
        <f>IF($CK271 = "Dealer", SUMIFS('Data For Calculation - Insuranc'!J:J,'Data For Calculation - Insuranc'!$B:$B,$A271,'Data For Calculation - Insuranc'!$H:$H,"Master Dealer")) + SUMIFS('Data For Calculation - Insuranc'!J:J,'Data For Calculation - Insuranc'!$A:$A,$A271,'Data For Calculation - Insuranc'!$H:$H,"Self")</f>
        <v>0</v>
      </c>
      <c r="CF271" s="33">
        <f>IF($CK271 = "Dealer", SUMIFS('Data For Calculation - Insuranc'!K:K,'Data For Calculation - Insuranc'!$B:$B,$A271,'Data For Calculation - Insuranc'!$H:$H,"Master Dealer")) + SUMIFS('Data For Calculation - Insuranc'!K:K,'Data For Calculation - Insuranc'!$A:$A,$A271,'Data For Calculation - Insuranc'!$H:$H,"Self")</f>
        <v>0</v>
      </c>
      <c r="CG271" s="26" t="str">
        <f>(Sheet1!N271)</f>
        <v>Gupta Automobiles - Padrauna</v>
      </c>
      <c r="CH271" s="26" t="str">
        <f>(Sheet1!O271)</f>
        <v>1Ql_6BdBcHGAyITSZt1pNUK3bW54CzeThIBXr7aH7K3Y</v>
      </c>
      <c r="CI271" s="25" t="str">
        <f>(Sheet1!AV271)</f>
        <v/>
      </c>
      <c r="CJ271" s="25" t="str">
        <f>(Sheet1!AW271)</f>
        <v/>
      </c>
      <c r="CK271" s="26" t="str">
        <f>(Sheet1!P271)</f>
        <v>Sub Dealer</v>
      </c>
    </row>
    <row r="272">
      <c r="A272" s="26" t="str">
        <f>(Sheet1!A272)</f>
        <v>1xdBmlu3NG6ftZ2So7cKWCZU08O5EvzyDf43msSPJABE</v>
      </c>
      <c r="B272" s="26" t="str">
        <f>(Sheet1!B272)</f>
        <v>Shri Guru Motors (GA) - PAKADIYAR BAZAR</v>
      </c>
      <c r="C272" s="30" t="str">
        <f>Sheet1!BB272</f>
        <v>No</v>
      </c>
      <c r="D272" s="34" t="s">
        <v>13</v>
      </c>
      <c r="E272" s="34" t="s">
        <v>13</v>
      </c>
      <c r="F272" s="34" t="s">
        <v>3929</v>
      </c>
      <c r="G272" s="42" t="s">
        <v>3820</v>
      </c>
      <c r="H272" s="43">
        <v>460.0</v>
      </c>
      <c r="I272" s="42" t="s">
        <v>3853</v>
      </c>
      <c r="J272" s="43">
        <v>0.0</v>
      </c>
      <c r="K272" s="43">
        <v>100.0</v>
      </c>
      <c r="L272" s="43">
        <v>0.0</v>
      </c>
      <c r="M272" s="43">
        <v>0.0</v>
      </c>
      <c r="N272" s="33">
        <f>COUNTIFS('Data For Calculation - Insuranc'!A:A,A272,'Data For Calculation - Insuranc'!D:D,"Individual",'Data For Calculation - Insuranc'!E:E,"Bundled - 1 Year OD + 5 Year TP")</f>
        <v>0</v>
      </c>
      <c r="O272" s="34" t="s">
        <v>3930</v>
      </c>
      <c r="P272" s="42" t="s">
        <v>3820</v>
      </c>
      <c r="Q272" s="43">
        <v>460.0</v>
      </c>
      <c r="R272" s="42" t="s">
        <v>3853</v>
      </c>
      <c r="S272" s="43">
        <v>0.0</v>
      </c>
      <c r="T272" s="43">
        <v>100.0</v>
      </c>
      <c r="U272" s="43">
        <v>0.0</v>
      </c>
      <c r="V272" s="43">
        <v>0.0</v>
      </c>
      <c r="W272" s="33">
        <f>COUNTIFS('Data For Calculation - Insuranc'!A:A,A272,'Data For Calculation - Insuranc'!D:D,"Company",'Data For Calculation - Insuranc'!E:E,"Bundled - 1 Year OD + 5 Year TP")</f>
        <v>0</v>
      </c>
      <c r="X272" s="34" t="s">
        <v>3929</v>
      </c>
      <c r="Y272" s="42" t="s">
        <v>3820</v>
      </c>
      <c r="Z272" s="34">
        <v>290.0</v>
      </c>
      <c r="AA272" s="34" t="s">
        <v>3853</v>
      </c>
      <c r="AB272" s="34">
        <v>0.0</v>
      </c>
      <c r="AC272" s="34">
        <v>100.0</v>
      </c>
      <c r="AD272" s="34">
        <v>0.0</v>
      </c>
      <c r="AE272" s="34">
        <v>0.0</v>
      </c>
      <c r="AF272" s="33">
        <f>COUNTIFS('Data For Calculation - Insuranc'!A:A,A272,'Data For Calculation - Insuranc'!D:D,"Individual",'Data For Calculation - Insuranc'!E:E,"Rollover Comprehensive - 1 Year OD + 1 Year TP")</f>
        <v>0</v>
      </c>
      <c r="AG272" s="34" t="s">
        <v>3930</v>
      </c>
      <c r="AH272" s="42" t="s">
        <v>3820</v>
      </c>
      <c r="AI272" s="34">
        <v>290.0</v>
      </c>
      <c r="AJ272" s="34" t="s">
        <v>3853</v>
      </c>
      <c r="AK272" s="34">
        <v>0.0</v>
      </c>
      <c r="AL272" s="34">
        <v>100.0</v>
      </c>
      <c r="AM272" s="34">
        <v>0.0</v>
      </c>
      <c r="AN272" s="34">
        <v>0.0</v>
      </c>
      <c r="AO272" s="33">
        <f>COUNTIFS('Data For Calculation - Insuranc'!A:A,A272,'Data For Calculation - Insuranc'!D:D,"Company",'Data For Calculation - Insuranc'!E:E,"Rollover Comprehensive - 1 Year OD + 1 Year TP")</f>
        <v>0</v>
      </c>
      <c r="AP272" s="34" t="s">
        <v>3931</v>
      </c>
      <c r="AQ272" s="42" t="s">
        <v>3820</v>
      </c>
      <c r="AR272" s="34">
        <v>290.0</v>
      </c>
      <c r="AS272" s="34" t="s">
        <v>3853</v>
      </c>
      <c r="AT272" s="34">
        <v>0.0</v>
      </c>
      <c r="AU272" s="34">
        <v>100.0</v>
      </c>
      <c r="AV272" s="34">
        <v>0.0</v>
      </c>
      <c r="AW272" s="34">
        <v>0.0</v>
      </c>
      <c r="AX272" s="33">
        <f>COUNTIFS('Data For Calculation - Insuranc'!A:A,A272,'Data For Calculation - Insuranc'!D:D,"Individual",'Data For Calculation - Insuranc'!E:E,"Rollover - 1 Year OD Only")</f>
        <v>0</v>
      </c>
      <c r="AY272" s="34" t="s">
        <v>3932</v>
      </c>
      <c r="AZ272" s="42" t="s">
        <v>3820</v>
      </c>
      <c r="BA272" s="34">
        <v>290.0</v>
      </c>
      <c r="BB272" s="34" t="s">
        <v>3853</v>
      </c>
      <c r="BC272" s="34">
        <v>0.0</v>
      </c>
      <c r="BD272" s="34">
        <v>100.0</v>
      </c>
      <c r="BE272" s="34">
        <v>0.0</v>
      </c>
      <c r="BF272" s="34">
        <v>0.0</v>
      </c>
      <c r="BG272" s="33">
        <f>COUNTIFS('Data For Calculation - Insuranc'!A:A,A272,'Data For Calculation - Insuranc'!D:D,"Company",'Data For Calculation - Insuranc'!E:E,"Rollover - 1 Year OD Only")</f>
        <v>0</v>
      </c>
      <c r="BH272" s="34" t="s">
        <v>3931</v>
      </c>
      <c r="BI272" s="42" t="s">
        <v>3820</v>
      </c>
      <c r="BJ272" s="34">
        <v>290.0</v>
      </c>
      <c r="BK272" s="34" t="s">
        <v>3853</v>
      </c>
      <c r="BL272" s="34">
        <v>0.0</v>
      </c>
      <c r="BM272" s="34">
        <v>100.0</v>
      </c>
      <c r="BN272" s="34">
        <v>0.0</v>
      </c>
      <c r="BO272" s="34">
        <v>0.0</v>
      </c>
      <c r="BP272" s="33">
        <f>COUNTIFS('Data For Calculation - Insuranc'!A:A,A272,'Data For Calculation - Insuranc'!D:D,"Individual",'Data For Calculation - Insuranc'!E:E,"Rollover - 1 Year TP Only")</f>
        <v>0</v>
      </c>
      <c r="BQ272" s="34" t="s">
        <v>3932</v>
      </c>
      <c r="BR272" s="42" t="s">
        <v>3820</v>
      </c>
      <c r="BS272" s="34">
        <v>290.0</v>
      </c>
      <c r="BT272" s="34" t="s">
        <v>3853</v>
      </c>
      <c r="BU272" s="34">
        <v>0.0</v>
      </c>
      <c r="BV272" s="34">
        <v>100.0</v>
      </c>
      <c r="BW272" s="34">
        <v>0.0</v>
      </c>
      <c r="BX272" s="34">
        <v>0.0</v>
      </c>
      <c r="BY272" s="33">
        <f>COUNTIFS('Data For Calculation - Insuranc'!A:A,A272,'Data For Calculation - Insuranc'!D:D,"Company",'Data For Calculation - Insuranc'!E:E,"Rollover - 1 Year TP Only")</f>
        <v>0</v>
      </c>
      <c r="BZ272" s="31">
        <f t="shared" si="1"/>
        <v>0</v>
      </c>
      <c r="CA272" s="33">
        <f>SUMIFS('Data For Calculation - Insuranc'!I:I,'Data For Calculation - Insuranc'!$A:$A,$A272)</f>
        <v>0</v>
      </c>
      <c r="CB272" s="33">
        <f>SUMIFS('Data For Calculation - Insuranc'!J:J,'Data For Calculation - Insuranc'!$A:$A,$A272)</f>
        <v>0</v>
      </c>
      <c r="CC272" s="33">
        <f>SUMIFS('Data For Calculation - Insuranc'!K:K,'Data For Calculation - Insuranc'!$A:$A,$A272)</f>
        <v>0</v>
      </c>
      <c r="CD272" s="33">
        <f>IF($CK272 = "Dealer", SUMIFS('Data For Calculation - Insuranc'!I:I,'Data For Calculation - Insuranc'!$B:$B,$A272,'Data For Calculation - Insuranc'!$H:$H,"Master Dealer")) + SUMIFS('Data For Calculation - Insuranc'!I:I,'Data For Calculation - Insuranc'!$A:$A,$A272,'Data For Calculation - Insuranc'!$H:$H,"Self")</f>
        <v>0</v>
      </c>
      <c r="CE272" s="33">
        <f>IF($CK272 = "Dealer", SUMIFS('Data For Calculation - Insuranc'!J:J,'Data For Calculation - Insuranc'!$B:$B,$A272,'Data For Calculation - Insuranc'!$H:$H,"Master Dealer")) + SUMIFS('Data For Calculation - Insuranc'!J:J,'Data For Calculation - Insuranc'!$A:$A,$A272,'Data For Calculation - Insuranc'!$H:$H,"Self")</f>
        <v>0</v>
      </c>
      <c r="CF272" s="33">
        <f>IF($CK272 = "Dealer", SUMIFS('Data For Calculation - Insuranc'!K:K,'Data For Calculation - Insuranc'!$B:$B,$A272,'Data For Calculation - Insuranc'!$H:$H,"Master Dealer")) + SUMIFS('Data For Calculation - Insuranc'!K:K,'Data For Calculation - Insuranc'!$A:$A,$A272,'Data For Calculation - Insuranc'!$H:$H,"Self")</f>
        <v>0</v>
      </c>
      <c r="CG272" s="26" t="str">
        <f>(Sheet1!N272)</f>
        <v>Gupta Automobiles - Padrauna</v>
      </c>
      <c r="CH272" s="26" t="str">
        <f>(Sheet1!O272)</f>
        <v>1Ql_6BdBcHGAyITSZt1pNUK3bW54CzeThIBXr7aH7K3Y</v>
      </c>
      <c r="CI272" s="25" t="str">
        <f>(Sheet1!AV272)</f>
        <v/>
      </c>
      <c r="CJ272" s="25" t="str">
        <f>(Sheet1!AW272)</f>
        <v/>
      </c>
      <c r="CK272" s="26" t="str">
        <f>(Sheet1!P272)</f>
        <v>Sub Dealer</v>
      </c>
    </row>
    <row r="273">
      <c r="A273" s="26" t="str">
        <f>(Sheet1!A273)</f>
        <v>1_5VG-F35BWYeavx2Egt3_WJsCY1xhX1lyqQW8SX-6Tg</v>
      </c>
      <c r="B273" s="26" t="str">
        <f>(Sheet1!B273)</f>
        <v>SINGLA AGENCIES- BADARPUR</v>
      </c>
      <c r="C273" s="30" t="str">
        <f>Sheet1!BB273</f>
        <v>No</v>
      </c>
      <c r="D273" s="34" t="s">
        <v>13</v>
      </c>
      <c r="E273" s="34" t="s">
        <v>13</v>
      </c>
      <c r="F273" s="34" t="s">
        <v>3929</v>
      </c>
      <c r="G273" s="42" t="s">
        <v>3820</v>
      </c>
      <c r="H273" s="43">
        <v>460.0</v>
      </c>
      <c r="I273" s="42" t="s">
        <v>3853</v>
      </c>
      <c r="J273" s="43">
        <v>0.0</v>
      </c>
      <c r="K273" s="43">
        <v>100.0</v>
      </c>
      <c r="L273" s="43">
        <v>0.0</v>
      </c>
      <c r="M273" s="43">
        <v>0.0</v>
      </c>
      <c r="N273" s="33">
        <f>COUNTIFS('Data For Calculation - Insuranc'!A:A,A273,'Data For Calculation - Insuranc'!D:D,"Individual",'Data For Calculation - Insuranc'!E:E,"Bundled - 1 Year OD + 5 Year TP")</f>
        <v>0</v>
      </c>
      <c r="O273" s="34" t="s">
        <v>3930</v>
      </c>
      <c r="P273" s="42" t="s">
        <v>3820</v>
      </c>
      <c r="Q273" s="43">
        <v>460.0</v>
      </c>
      <c r="R273" s="42" t="s">
        <v>3853</v>
      </c>
      <c r="S273" s="43">
        <v>0.0</v>
      </c>
      <c r="T273" s="43">
        <v>100.0</v>
      </c>
      <c r="U273" s="43">
        <v>0.0</v>
      </c>
      <c r="V273" s="43">
        <v>0.0</v>
      </c>
      <c r="W273" s="33">
        <f>COUNTIFS('Data For Calculation - Insuranc'!A:A,A273,'Data For Calculation - Insuranc'!D:D,"Company",'Data For Calculation - Insuranc'!E:E,"Bundled - 1 Year OD + 5 Year TP")</f>
        <v>0</v>
      </c>
      <c r="X273" s="34" t="s">
        <v>3929</v>
      </c>
      <c r="Y273" s="42" t="s">
        <v>3820</v>
      </c>
      <c r="Z273" s="34">
        <v>290.0</v>
      </c>
      <c r="AA273" s="34" t="s">
        <v>3853</v>
      </c>
      <c r="AB273" s="34">
        <v>0.0</v>
      </c>
      <c r="AC273" s="34">
        <v>100.0</v>
      </c>
      <c r="AD273" s="34">
        <v>0.0</v>
      </c>
      <c r="AE273" s="34">
        <v>0.0</v>
      </c>
      <c r="AF273" s="33">
        <f>COUNTIFS('Data For Calculation - Insuranc'!A:A,A273,'Data For Calculation - Insuranc'!D:D,"Individual",'Data For Calculation - Insuranc'!E:E,"Rollover Comprehensive - 1 Year OD + 1 Year TP")</f>
        <v>0</v>
      </c>
      <c r="AG273" s="34" t="s">
        <v>3930</v>
      </c>
      <c r="AH273" s="42" t="s">
        <v>3820</v>
      </c>
      <c r="AI273" s="34">
        <v>290.0</v>
      </c>
      <c r="AJ273" s="34" t="s">
        <v>3853</v>
      </c>
      <c r="AK273" s="34">
        <v>0.0</v>
      </c>
      <c r="AL273" s="34">
        <v>100.0</v>
      </c>
      <c r="AM273" s="34">
        <v>0.0</v>
      </c>
      <c r="AN273" s="34">
        <v>0.0</v>
      </c>
      <c r="AO273" s="33">
        <f>COUNTIFS('Data For Calculation - Insuranc'!A:A,A273,'Data For Calculation - Insuranc'!D:D,"Company",'Data For Calculation - Insuranc'!E:E,"Rollover Comprehensive - 1 Year OD + 1 Year TP")</f>
        <v>0</v>
      </c>
      <c r="AP273" s="34" t="s">
        <v>3931</v>
      </c>
      <c r="AQ273" s="42" t="s">
        <v>3820</v>
      </c>
      <c r="AR273" s="34">
        <v>290.0</v>
      </c>
      <c r="AS273" s="34" t="s">
        <v>3853</v>
      </c>
      <c r="AT273" s="34">
        <v>0.0</v>
      </c>
      <c r="AU273" s="34">
        <v>100.0</v>
      </c>
      <c r="AV273" s="34">
        <v>0.0</v>
      </c>
      <c r="AW273" s="34">
        <v>0.0</v>
      </c>
      <c r="AX273" s="33">
        <f>COUNTIFS('Data For Calculation - Insuranc'!A:A,A273,'Data For Calculation - Insuranc'!D:D,"Individual",'Data For Calculation - Insuranc'!E:E,"Rollover - 1 Year OD Only")</f>
        <v>0</v>
      </c>
      <c r="AY273" s="34" t="s">
        <v>3932</v>
      </c>
      <c r="AZ273" s="42" t="s">
        <v>3820</v>
      </c>
      <c r="BA273" s="34">
        <v>290.0</v>
      </c>
      <c r="BB273" s="34" t="s">
        <v>3853</v>
      </c>
      <c r="BC273" s="34">
        <v>0.0</v>
      </c>
      <c r="BD273" s="34">
        <v>100.0</v>
      </c>
      <c r="BE273" s="34">
        <v>0.0</v>
      </c>
      <c r="BF273" s="34">
        <v>0.0</v>
      </c>
      <c r="BG273" s="33">
        <f>COUNTIFS('Data For Calculation - Insuranc'!A:A,A273,'Data For Calculation - Insuranc'!D:D,"Company",'Data For Calculation - Insuranc'!E:E,"Rollover - 1 Year OD Only")</f>
        <v>0</v>
      </c>
      <c r="BH273" s="34" t="s">
        <v>3931</v>
      </c>
      <c r="BI273" s="42" t="s">
        <v>3820</v>
      </c>
      <c r="BJ273" s="34">
        <v>290.0</v>
      </c>
      <c r="BK273" s="34" t="s">
        <v>3853</v>
      </c>
      <c r="BL273" s="34">
        <v>0.0</v>
      </c>
      <c r="BM273" s="34">
        <v>100.0</v>
      </c>
      <c r="BN273" s="34">
        <v>0.0</v>
      </c>
      <c r="BO273" s="34">
        <v>0.0</v>
      </c>
      <c r="BP273" s="33">
        <f>COUNTIFS('Data For Calculation - Insuranc'!A:A,A273,'Data For Calculation - Insuranc'!D:D,"Individual",'Data For Calculation - Insuranc'!E:E,"Rollover - 1 Year TP Only")</f>
        <v>0</v>
      </c>
      <c r="BQ273" s="34" t="s">
        <v>3932</v>
      </c>
      <c r="BR273" s="42" t="s">
        <v>3820</v>
      </c>
      <c r="BS273" s="34">
        <v>290.0</v>
      </c>
      <c r="BT273" s="34" t="s">
        <v>3853</v>
      </c>
      <c r="BU273" s="34">
        <v>0.0</v>
      </c>
      <c r="BV273" s="34">
        <v>100.0</v>
      </c>
      <c r="BW273" s="34">
        <v>0.0</v>
      </c>
      <c r="BX273" s="34">
        <v>0.0</v>
      </c>
      <c r="BY273" s="33">
        <f>COUNTIFS('Data For Calculation - Insuranc'!A:A,A273,'Data For Calculation - Insuranc'!D:D,"Company",'Data For Calculation - Insuranc'!E:E,"Rollover - 1 Year TP Only")</f>
        <v>0</v>
      </c>
      <c r="BZ273" s="31">
        <f t="shared" si="1"/>
        <v>0</v>
      </c>
      <c r="CA273" s="33">
        <f>SUMIFS('Data For Calculation - Insuranc'!I:I,'Data For Calculation - Insuranc'!$A:$A,$A273)</f>
        <v>0</v>
      </c>
      <c r="CB273" s="33">
        <f>SUMIFS('Data For Calculation - Insuranc'!J:J,'Data For Calculation - Insuranc'!$A:$A,$A273)</f>
        <v>0</v>
      </c>
      <c r="CC273" s="33">
        <f>SUMIFS('Data For Calculation - Insuranc'!K:K,'Data For Calculation - Insuranc'!$A:$A,$A273)</f>
        <v>0</v>
      </c>
      <c r="CD273" s="33">
        <f>IF($CK273 = "Dealer", SUMIFS('Data For Calculation - Insuranc'!I:I,'Data For Calculation - Insuranc'!$B:$B,$A273,'Data For Calculation - Insuranc'!$H:$H,"Master Dealer")) + SUMIFS('Data For Calculation - Insuranc'!I:I,'Data For Calculation - Insuranc'!$A:$A,$A273,'Data For Calculation - Insuranc'!$H:$H,"Self")</f>
        <v>0</v>
      </c>
      <c r="CE273" s="33">
        <f>IF($CK273 = "Dealer", SUMIFS('Data For Calculation - Insuranc'!J:J,'Data For Calculation - Insuranc'!$B:$B,$A273,'Data For Calculation - Insuranc'!$H:$H,"Master Dealer")) + SUMIFS('Data For Calculation - Insuranc'!J:J,'Data For Calculation - Insuranc'!$A:$A,$A273,'Data For Calculation - Insuranc'!$H:$H,"Self")</f>
        <v>0</v>
      </c>
      <c r="CF273" s="33">
        <f>IF($CK273 = "Dealer", SUMIFS('Data For Calculation - Insuranc'!K:K,'Data For Calculation - Insuranc'!$B:$B,$A273,'Data For Calculation - Insuranc'!$H:$H,"Master Dealer")) + SUMIFS('Data For Calculation - Insuranc'!K:K,'Data For Calculation - Insuranc'!$A:$A,$A273,'Data For Calculation - Insuranc'!$H:$H,"Self")</f>
        <v>0</v>
      </c>
      <c r="CG273" s="26" t="str">
        <f>(Sheet1!N273)</f>
        <v>SINGLA AGENCIES- BADARPUR</v>
      </c>
      <c r="CH273" s="26" t="str">
        <f>(Sheet1!O273)</f>
        <v>1_5VG-F35BWYeavx2Egt3_WJsCY1xhX1lyqQW8SX-6Tg</v>
      </c>
      <c r="CI273" s="25" t="str">
        <f>(Sheet1!AV273)</f>
        <v/>
      </c>
      <c r="CJ273" s="25" t="str">
        <f>(Sheet1!AW273)</f>
        <v/>
      </c>
      <c r="CK273" s="26" t="str">
        <f>(Sheet1!P273)</f>
        <v>Dealer</v>
      </c>
    </row>
    <row r="274">
      <c r="A274" s="26" t="str">
        <f>(Sheet1!A274)</f>
        <v>19pAMM1ODD7HC9W7d0aVqaU20HF154F5SEq_JiEg9FBM</v>
      </c>
      <c r="B274" s="26" t="str">
        <f>(Sheet1!B274)</f>
        <v>J k Motors (GA) - Mansoorganj </v>
      </c>
      <c r="C274" s="30" t="str">
        <f>Sheet1!BB274</f>
        <v>No</v>
      </c>
      <c r="D274" s="34" t="s">
        <v>13</v>
      </c>
      <c r="E274" s="34" t="s">
        <v>13</v>
      </c>
      <c r="F274" s="34" t="s">
        <v>3929</v>
      </c>
      <c r="G274" s="42" t="s">
        <v>3820</v>
      </c>
      <c r="H274" s="43">
        <v>460.0</v>
      </c>
      <c r="I274" s="42" t="s">
        <v>3853</v>
      </c>
      <c r="J274" s="43">
        <v>0.0</v>
      </c>
      <c r="K274" s="43">
        <v>100.0</v>
      </c>
      <c r="L274" s="43">
        <v>0.0</v>
      </c>
      <c r="M274" s="43">
        <v>0.0</v>
      </c>
      <c r="N274" s="33">
        <f>COUNTIFS('Data For Calculation - Insuranc'!A:A,A274,'Data For Calculation - Insuranc'!D:D,"Individual",'Data For Calculation - Insuranc'!E:E,"Bundled - 1 Year OD + 5 Year TP")</f>
        <v>0</v>
      </c>
      <c r="O274" s="34" t="s">
        <v>3930</v>
      </c>
      <c r="P274" s="42" t="s">
        <v>3820</v>
      </c>
      <c r="Q274" s="43">
        <v>460.0</v>
      </c>
      <c r="R274" s="42" t="s">
        <v>3853</v>
      </c>
      <c r="S274" s="43">
        <v>0.0</v>
      </c>
      <c r="T274" s="43">
        <v>100.0</v>
      </c>
      <c r="U274" s="43">
        <v>0.0</v>
      </c>
      <c r="V274" s="43">
        <v>0.0</v>
      </c>
      <c r="W274" s="33">
        <f>COUNTIFS('Data For Calculation - Insuranc'!A:A,A274,'Data For Calculation - Insuranc'!D:D,"Company",'Data For Calculation - Insuranc'!E:E,"Bundled - 1 Year OD + 5 Year TP")</f>
        <v>0</v>
      </c>
      <c r="X274" s="34" t="s">
        <v>3929</v>
      </c>
      <c r="Y274" s="42" t="s">
        <v>3820</v>
      </c>
      <c r="Z274" s="34">
        <v>290.0</v>
      </c>
      <c r="AA274" s="34" t="s">
        <v>3853</v>
      </c>
      <c r="AB274" s="34">
        <v>0.0</v>
      </c>
      <c r="AC274" s="34">
        <v>100.0</v>
      </c>
      <c r="AD274" s="34">
        <v>0.0</v>
      </c>
      <c r="AE274" s="34">
        <v>0.0</v>
      </c>
      <c r="AF274" s="33">
        <f>COUNTIFS('Data For Calculation - Insuranc'!A:A,A274,'Data For Calculation - Insuranc'!D:D,"Individual",'Data For Calculation - Insuranc'!E:E,"Rollover Comprehensive - 1 Year OD + 1 Year TP")</f>
        <v>0</v>
      </c>
      <c r="AG274" s="34" t="s">
        <v>3930</v>
      </c>
      <c r="AH274" s="42" t="s">
        <v>3820</v>
      </c>
      <c r="AI274" s="34">
        <v>290.0</v>
      </c>
      <c r="AJ274" s="34" t="s">
        <v>3853</v>
      </c>
      <c r="AK274" s="34">
        <v>0.0</v>
      </c>
      <c r="AL274" s="34">
        <v>100.0</v>
      </c>
      <c r="AM274" s="34">
        <v>0.0</v>
      </c>
      <c r="AN274" s="34">
        <v>0.0</v>
      </c>
      <c r="AO274" s="33">
        <f>COUNTIFS('Data For Calculation - Insuranc'!A:A,A274,'Data For Calculation - Insuranc'!D:D,"Company",'Data For Calculation - Insuranc'!E:E,"Rollover Comprehensive - 1 Year OD + 1 Year TP")</f>
        <v>0</v>
      </c>
      <c r="AP274" s="34" t="s">
        <v>3931</v>
      </c>
      <c r="AQ274" s="42" t="s">
        <v>3820</v>
      </c>
      <c r="AR274" s="34">
        <v>290.0</v>
      </c>
      <c r="AS274" s="34" t="s">
        <v>3853</v>
      </c>
      <c r="AT274" s="34">
        <v>0.0</v>
      </c>
      <c r="AU274" s="34">
        <v>100.0</v>
      </c>
      <c r="AV274" s="34">
        <v>0.0</v>
      </c>
      <c r="AW274" s="34">
        <v>0.0</v>
      </c>
      <c r="AX274" s="33">
        <f>COUNTIFS('Data For Calculation - Insuranc'!A:A,A274,'Data For Calculation - Insuranc'!D:D,"Individual",'Data For Calculation - Insuranc'!E:E,"Rollover - 1 Year OD Only")</f>
        <v>0</v>
      </c>
      <c r="AY274" s="34" t="s">
        <v>3932</v>
      </c>
      <c r="AZ274" s="42" t="s">
        <v>3820</v>
      </c>
      <c r="BA274" s="34">
        <v>290.0</v>
      </c>
      <c r="BB274" s="34" t="s">
        <v>3853</v>
      </c>
      <c r="BC274" s="34">
        <v>0.0</v>
      </c>
      <c r="BD274" s="34">
        <v>100.0</v>
      </c>
      <c r="BE274" s="34">
        <v>0.0</v>
      </c>
      <c r="BF274" s="34">
        <v>0.0</v>
      </c>
      <c r="BG274" s="33">
        <f>COUNTIFS('Data For Calculation - Insuranc'!A:A,A274,'Data For Calculation - Insuranc'!D:D,"Company",'Data For Calculation - Insuranc'!E:E,"Rollover - 1 Year OD Only")</f>
        <v>0</v>
      </c>
      <c r="BH274" s="34" t="s">
        <v>3931</v>
      </c>
      <c r="BI274" s="42" t="s">
        <v>3820</v>
      </c>
      <c r="BJ274" s="34">
        <v>290.0</v>
      </c>
      <c r="BK274" s="34" t="s">
        <v>3853</v>
      </c>
      <c r="BL274" s="34">
        <v>0.0</v>
      </c>
      <c r="BM274" s="34">
        <v>100.0</v>
      </c>
      <c r="BN274" s="34">
        <v>0.0</v>
      </c>
      <c r="BO274" s="34">
        <v>0.0</v>
      </c>
      <c r="BP274" s="33">
        <f>COUNTIFS('Data For Calculation - Insuranc'!A:A,A274,'Data For Calculation - Insuranc'!D:D,"Individual",'Data For Calculation - Insuranc'!E:E,"Rollover - 1 Year TP Only")</f>
        <v>0</v>
      </c>
      <c r="BQ274" s="34" t="s">
        <v>3932</v>
      </c>
      <c r="BR274" s="42" t="s">
        <v>3820</v>
      </c>
      <c r="BS274" s="34">
        <v>290.0</v>
      </c>
      <c r="BT274" s="34" t="s">
        <v>3853</v>
      </c>
      <c r="BU274" s="34">
        <v>0.0</v>
      </c>
      <c r="BV274" s="34">
        <v>100.0</v>
      </c>
      <c r="BW274" s="34">
        <v>0.0</v>
      </c>
      <c r="BX274" s="34">
        <v>0.0</v>
      </c>
      <c r="BY274" s="33">
        <f>COUNTIFS('Data For Calculation - Insuranc'!A:A,A274,'Data For Calculation - Insuranc'!D:D,"Company",'Data For Calculation - Insuranc'!E:E,"Rollover - 1 Year TP Only")</f>
        <v>0</v>
      </c>
      <c r="BZ274" s="31">
        <f t="shared" si="1"/>
        <v>0</v>
      </c>
      <c r="CA274" s="33">
        <f>SUMIFS('Data For Calculation - Insuranc'!I:I,'Data For Calculation - Insuranc'!$A:$A,$A274)</f>
        <v>0</v>
      </c>
      <c r="CB274" s="33">
        <f>SUMIFS('Data For Calculation - Insuranc'!J:J,'Data For Calculation - Insuranc'!$A:$A,$A274)</f>
        <v>0</v>
      </c>
      <c r="CC274" s="33">
        <f>SUMIFS('Data For Calculation - Insuranc'!K:K,'Data For Calculation - Insuranc'!$A:$A,$A274)</f>
        <v>0</v>
      </c>
      <c r="CD274" s="33">
        <f>IF($CK274 = "Dealer", SUMIFS('Data For Calculation - Insuranc'!I:I,'Data For Calculation - Insuranc'!$B:$B,$A274,'Data For Calculation - Insuranc'!$H:$H,"Master Dealer")) + SUMIFS('Data For Calculation - Insuranc'!I:I,'Data For Calculation - Insuranc'!$A:$A,$A274,'Data For Calculation - Insuranc'!$H:$H,"Self")</f>
        <v>0</v>
      </c>
      <c r="CE274" s="33">
        <f>IF($CK274 = "Dealer", SUMIFS('Data For Calculation - Insuranc'!J:J,'Data For Calculation - Insuranc'!$B:$B,$A274,'Data For Calculation - Insuranc'!$H:$H,"Master Dealer")) + SUMIFS('Data For Calculation - Insuranc'!J:J,'Data For Calculation - Insuranc'!$A:$A,$A274,'Data For Calculation - Insuranc'!$H:$H,"Self")</f>
        <v>0</v>
      </c>
      <c r="CF274" s="33">
        <f>IF($CK274 = "Dealer", SUMIFS('Data For Calculation - Insuranc'!K:K,'Data For Calculation - Insuranc'!$B:$B,$A274,'Data For Calculation - Insuranc'!$H:$H,"Master Dealer")) + SUMIFS('Data For Calculation - Insuranc'!K:K,'Data For Calculation - Insuranc'!$A:$A,$A274,'Data For Calculation - Insuranc'!$H:$H,"Self")</f>
        <v>0</v>
      </c>
      <c r="CG274" s="26" t="str">
        <f>(Sheet1!N274)</f>
        <v>Gupta Automobiles - Padrauna</v>
      </c>
      <c r="CH274" s="26" t="str">
        <f>(Sheet1!O274)</f>
        <v>1Ql_6BdBcHGAyITSZt1pNUK3bW54CzeThIBXr7aH7K3Y</v>
      </c>
      <c r="CI274" s="25" t="str">
        <f>(Sheet1!AV274)</f>
        <v/>
      </c>
      <c r="CJ274" s="25" t="str">
        <f>(Sheet1!AW274)</f>
        <v/>
      </c>
      <c r="CK274" s="26" t="str">
        <f>(Sheet1!P274)</f>
        <v>Sub Dealer</v>
      </c>
    </row>
    <row r="275">
      <c r="A275" s="26" t="str">
        <f>(Sheet1!A275)</f>
        <v>1mc_8vM2cvVxFaLxhqehg3pn4kwEVbCwCJJWsBRw5SJA</v>
      </c>
      <c r="B275" s="26" t="str">
        <f>(Sheet1!B275)</f>
        <v>Singla Agencies-Sangam vihar-(SAB)</v>
      </c>
      <c r="C275" s="30" t="str">
        <f>Sheet1!BB275</f>
        <v>No</v>
      </c>
      <c r="D275" s="34" t="s">
        <v>13</v>
      </c>
      <c r="E275" s="34" t="s">
        <v>13</v>
      </c>
      <c r="F275" s="34" t="s">
        <v>3929</v>
      </c>
      <c r="G275" s="42" t="s">
        <v>3820</v>
      </c>
      <c r="H275" s="43">
        <v>460.0</v>
      </c>
      <c r="I275" s="42" t="s">
        <v>3853</v>
      </c>
      <c r="J275" s="43">
        <v>0.0</v>
      </c>
      <c r="K275" s="43">
        <v>100.0</v>
      </c>
      <c r="L275" s="43">
        <v>0.0</v>
      </c>
      <c r="M275" s="43">
        <v>0.0</v>
      </c>
      <c r="N275" s="33">
        <f>COUNTIFS('Data For Calculation - Insuranc'!A:A,A275,'Data For Calculation - Insuranc'!D:D,"Individual",'Data For Calculation - Insuranc'!E:E,"Bundled - 1 Year OD + 5 Year TP")</f>
        <v>0</v>
      </c>
      <c r="O275" s="34" t="s">
        <v>3930</v>
      </c>
      <c r="P275" s="42" t="s">
        <v>3820</v>
      </c>
      <c r="Q275" s="43">
        <v>460.0</v>
      </c>
      <c r="R275" s="42" t="s">
        <v>3853</v>
      </c>
      <c r="S275" s="43">
        <v>0.0</v>
      </c>
      <c r="T275" s="43">
        <v>100.0</v>
      </c>
      <c r="U275" s="43">
        <v>0.0</v>
      </c>
      <c r="V275" s="43">
        <v>0.0</v>
      </c>
      <c r="W275" s="33">
        <f>COUNTIFS('Data For Calculation - Insuranc'!A:A,A275,'Data For Calculation - Insuranc'!D:D,"Company",'Data For Calculation - Insuranc'!E:E,"Bundled - 1 Year OD + 5 Year TP")</f>
        <v>0</v>
      </c>
      <c r="X275" s="34" t="s">
        <v>3929</v>
      </c>
      <c r="Y275" s="42" t="s">
        <v>3820</v>
      </c>
      <c r="Z275" s="34">
        <v>290.0</v>
      </c>
      <c r="AA275" s="34" t="s">
        <v>3853</v>
      </c>
      <c r="AB275" s="34">
        <v>0.0</v>
      </c>
      <c r="AC275" s="34">
        <v>100.0</v>
      </c>
      <c r="AD275" s="34">
        <v>0.0</v>
      </c>
      <c r="AE275" s="34">
        <v>0.0</v>
      </c>
      <c r="AF275" s="33">
        <f>COUNTIFS('Data For Calculation - Insuranc'!A:A,A275,'Data For Calculation - Insuranc'!D:D,"Individual",'Data For Calculation - Insuranc'!E:E,"Rollover Comprehensive - 1 Year OD + 1 Year TP")</f>
        <v>0</v>
      </c>
      <c r="AG275" s="34" t="s">
        <v>3930</v>
      </c>
      <c r="AH275" s="42" t="s">
        <v>3820</v>
      </c>
      <c r="AI275" s="34">
        <v>290.0</v>
      </c>
      <c r="AJ275" s="34" t="s">
        <v>3853</v>
      </c>
      <c r="AK275" s="34">
        <v>0.0</v>
      </c>
      <c r="AL275" s="34">
        <v>100.0</v>
      </c>
      <c r="AM275" s="34">
        <v>0.0</v>
      </c>
      <c r="AN275" s="34">
        <v>0.0</v>
      </c>
      <c r="AO275" s="33">
        <f>COUNTIFS('Data For Calculation - Insuranc'!A:A,A275,'Data For Calculation - Insuranc'!D:D,"Company",'Data For Calculation - Insuranc'!E:E,"Rollover Comprehensive - 1 Year OD + 1 Year TP")</f>
        <v>0</v>
      </c>
      <c r="AP275" s="34" t="s">
        <v>3931</v>
      </c>
      <c r="AQ275" s="42" t="s">
        <v>3820</v>
      </c>
      <c r="AR275" s="34">
        <v>290.0</v>
      </c>
      <c r="AS275" s="34" t="s">
        <v>3853</v>
      </c>
      <c r="AT275" s="34">
        <v>0.0</v>
      </c>
      <c r="AU275" s="34">
        <v>100.0</v>
      </c>
      <c r="AV275" s="34">
        <v>0.0</v>
      </c>
      <c r="AW275" s="34">
        <v>0.0</v>
      </c>
      <c r="AX275" s="33">
        <f>COUNTIFS('Data For Calculation - Insuranc'!A:A,A275,'Data For Calculation - Insuranc'!D:D,"Individual",'Data For Calculation - Insuranc'!E:E,"Rollover - 1 Year OD Only")</f>
        <v>0</v>
      </c>
      <c r="AY275" s="34" t="s">
        <v>3932</v>
      </c>
      <c r="AZ275" s="42" t="s">
        <v>3820</v>
      </c>
      <c r="BA275" s="34">
        <v>290.0</v>
      </c>
      <c r="BB275" s="34" t="s">
        <v>3853</v>
      </c>
      <c r="BC275" s="34">
        <v>0.0</v>
      </c>
      <c r="BD275" s="34">
        <v>100.0</v>
      </c>
      <c r="BE275" s="34">
        <v>0.0</v>
      </c>
      <c r="BF275" s="34">
        <v>0.0</v>
      </c>
      <c r="BG275" s="33">
        <f>COUNTIFS('Data For Calculation - Insuranc'!A:A,A275,'Data For Calculation - Insuranc'!D:D,"Company",'Data For Calculation - Insuranc'!E:E,"Rollover - 1 Year OD Only")</f>
        <v>0</v>
      </c>
      <c r="BH275" s="34" t="s">
        <v>3931</v>
      </c>
      <c r="BI275" s="42" t="s">
        <v>3820</v>
      </c>
      <c r="BJ275" s="34">
        <v>290.0</v>
      </c>
      <c r="BK275" s="34" t="s">
        <v>3853</v>
      </c>
      <c r="BL275" s="34">
        <v>0.0</v>
      </c>
      <c r="BM275" s="34">
        <v>100.0</v>
      </c>
      <c r="BN275" s="34">
        <v>0.0</v>
      </c>
      <c r="BO275" s="34">
        <v>0.0</v>
      </c>
      <c r="BP275" s="33">
        <f>COUNTIFS('Data For Calculation - Insuranc'!A:A,A275,'Data For Calculation - Insuranc'!D:D,"Individual",'Data For Calculation - Insuranc'!E:E,"Rollover - 1 Year TP Only")</f>
        <v>0</v>
      </c>
      <c r="BQ275" s="34" t="s">
        <v>3932</v>
      </c>
      <c r="BR275" s="42" t="s">
        <v>3820</v>
      </c>
      <c r="BS275" s="34">
        <v>290.0</v>
      </c>
      <c r="BT275" s="34" t="s">
        <v>3853</v>
      </c>
      <c r="BU275" s="34">
        <v>0.0</v>
      </c>
      <c r="BV275" s="34">
        <v>100.0</v>
      </c>
      <c r="BW275" s="34">
        <v>0.0</v>
      </c>
      <c r="BX275" s="34">
        <v>0.0</v>
      </c>
      <c r="BY275" s="33">
        <f>COUNTIFS('Data For Calculation - Insuranc'!A:A,A275,'Data For Calculation - Insuranc'!D:D,"Company",'Data For Calculation - Insuranc'!E:E,"Rollover - 1 Year TP Only")</f>
        <v>0</v>
      </c>
      <c r="BZ275" s="31">
        <f t="shared" si="1"/>
        <v>0</v>
      </c>
      <c r="CA275" s="33">
        <f>SUMIFS('Data For Calculation - Insuranc'!I:I,'Data For Calculation - Insuranc'!$A:$A,$A275)</f>
        <v>0</v>
      </c>
      <c r="CB275" s="33">
        <f>SUMIFS('Data For Calculation - Insuranc'!J:J,'Data For Calculation - Insuranc'!$A:$A,$A275)</f>
        <v>0</v>
      </c>
      <c r="CC275" s="33">
        <f>SUMIFS('Data For Calculation - Insuranc'!K:K,'Data For Calculation - Insuranc'!$A:$A,$A275)</f>
        <v>0</v>
      </c>
      <c r="CD275" s="33">
        <f>IF($CK275 = "Dealer", SUMIFS('Data For Calculation - Insuranc'!I:I,'Data For Calculation - Insuranc'!$B:$B,$A275,'Data For Calculation - Insuranc'!$H:$H,"Master Dealer")) + SUMIFS('Data For Calculation - Insuranc'!I:I,'Data For Calculation - Insuranc'!$A:$A,$A275,'Data For Calculation - Insuranc'!$H:$H,"Self")</f>
        <v>0</v>
      </c>
      <c r="CE275" s="33">
        <f>IF($CK275 = "Dealer", SUMIFS('Data For Calculation - Insuranc'!J:J,'Data For Calculation - Insuranc'!$B:$B,$A275,'Data For Calculation - Insuranc'!$H:$H,"Master Dealer")) + SUMIFS('Data For Calculation - Insuranc'!J:J,'Data For Calculation - Insuranc'!$A:$A,$A275,'Data For Calculation - Insuranc'!$H:$H,"Self")</f>
        <v>0</v>
      </c>
      <c r="CF275" s="33">
        <f>IF($CK275 = "Dealer", SUMIFS('Data For Calculation - Insuranc'!K:K,'Data For Calculation - Insuranc'!$B:$B,$A275,'Data For Calculation - Insuranc'!$H:$H,"Master Dealer")) + SUMIFS('Data For Calculation - Insuranc'!K:K,'Data For Calculation - Insuranc'!$A:$A,$A275,'Data For Calculation - Insuranc'!$H:$H,"Self")</f>
        <v>0</v>
      </c>
      <c r="CG275" s="26" t="str">
        <f>(Sheet1!N275)</f>
        <v>SINGLA AGENCIES- BADARPUR</v>
      </c>
      <c r="CH275" s="26" t="str">
        <f>(Sheet1!O275)</f>
        <v>1_5VG-F35BWYeavx2Egt3_WJsCY1xhX1lyqQW8SX-6Tg</v>
      </c>
      <c r="CI275" s="25" t="str">
        <f>(Sheet1!AV275)</f>
        <v/>
      </c>
      <c r="CJ275" s="25" t="str">
        <f>(Sheet1!AW275)</f>
        <v/>
      </c>
      <c r="CK275" s="26" t="str">
        <f>(Sheet1!P275)</f>
        <v>Sub Dealer</v>
      </c>
    </row>
    <row r="276">
      <c r="A276" s="26" t="str">
        <f>(Sheet1!A276)</f>
        <v>1OSf6HUPm5hUkqeVhhPHbTNPPdXQV5R9xQcrIw2sZ88s</v>
      </c>
      <c r="B276" s="26" t="str">
        <f>(Sheet1!B276)</f>
        <v>Krishna Motors-Madanpur Khadar-(SAB)</v>
      </c>
      <c r="C276" s="30" t="str">
        <f>Sheet1!BB276</f>
        <v>No</v>
      </c>
      <c r="D276" s="34" t="s">
        <v>13</v>
      </c>
      <c r="E276" s="34" t="s">
        <v>13</v>
      </c>
      <c r="F276" s="34" t="s">
        <v>3929</v>
      </c>
      <c r="G276" s="42" t="s">
        <v>3820</v>
      </c>
      <c r="H276" s="43">
        <v>460.0</v>
      </c>
      <c r="I276" s="42" t="s">
        <v>3853</v>
      </c>
      <c r="J276" s="43">
        <v>0.0</v>
      </c>
      <c r="K276" s="43">
        <v>100.0</v>
      </c>
      <c r="L276" s="43">
        <v>0.0</v>
      </c>
      <c r="M276" s="43">
        <v>0.0</v>
      </c>
      <c r="N276" s="33">
        <f>COUNTIFS('Data For Calculation - Insuranc'!A:A,A276,'Data For Calculation - Insuranc'!D:D,"Individual",'Data For Calculation - Insuranc'!E:E,"Bundled - 1 Year OD + 5 Year TP")</f>
        <v>0</v>
      </c>
      <c r="O276" s="34" t="s">
        <v>3930</v>
      </c>
      <c r="P276" s="42" t="s">
        <v>3820</v>
      </c>
      <c r="Q276" s="43">
        <v>460.0</v>
      </c>
      <c r="R276" s="42" t="s">
        <v>3853</v>
      </c>
      <c r="S276" s="43">
        <v>0.0</v>
      </c>
      <c r="T276" s="43">
        <v>100.0</v>
      </c>
      <c r="U276" s="43">
        <v>0.0</v>
      </c>
      <c r="V276" s="43">
        <v>0.0</v>
      </c>
      <c r="W276" s="33">
        <f>COUNTIFS('Data For Calculation - Insuranc'!A:A,A276,'Data For Calculation - Insuranc'!D:D,"Company",'Data For Calculation - Insuranc'!E:E,"Bundled - 1 Year OD + 5 Year TP")</f>
        <v>0</v>
      </c>
      <c r="X276" s="34" t="s">
        <v>3929</v>
      </c>
      <c r="Y276" s="42" t="s">
        <v>3820</v>
      </c>
      <c r="Z276" s="34">
        <v>290.0</v>
      </c>
      <c r="AA276" s="34" t="s">
        <v>3853</v>
      </c>
      <c r="AB276" s="34">
        <v>0.0</v>
      </c>
      <c r="AC276" s="34">
        <v>100.0</v>
      </c>
      <c r="AD276" s="34">
        <v>0.0</v>
      </c>
      <c r="AE276" s="34">
        <v>0.0</v>
      </c>
      <c r="AF276" s="33">
        <f>COUNTIFS('Data For Calculation - Insuranc'!A:A,A276,'Data For Calculation - Insuranc'!D:D,"Individual",'Data For Calculation - Insuranc'!E:E,"Rollover Comprehensive - 1 Year OD + 1 Year TP")</f>
        <v>0</v>
      </c>
      <c r="AG276" s="34" t="s">
        <v>3930</v>
      </c>
      <c r="AH276" s="42" t="s">
        <v>3820</v>
      </c>
      <c r="AI276" s="34">
        <v>290.0</v>
      </c>
      <c r="AJ276" s="34" t="s">
        <v>3853</v>
      </c>
      <c r="AK276" s="34">
        <v>0.0</v>
      </c>
      <c r="AL276" s="34">
        <v>100.0</v>
      </c>
      <c r="AM276" s="34">
        <v>0.0</v>
      </c>
      <c r="AN276" s="34">
        <v>0.0</v>
      </c>
      <c r="AO276" s="33">
        <f>COUNTIFS('Data For Calculation - Insuranc'!A:A,A276,'Data For Calculation - Insuranc'!D:D,"Company",'Data For Calculation - Insuranc'!E:E,"Rollover Comprehensive - 1 Year OD + 1 Year TP")</f>
        <v>0</v>
      </c>
      <c r="AP276" s="34" t="s">
        <v>3931</v>
      </c>
      <c r="AQ276" s="42" t="s">
        <v>3820</v>
      </c>
      <c r="AR276" s="34">
        <v>290.0</v>
      </c>
      <c r="AS276" s="34" t="s">
        <v>3853</v>
      </c>
      <c r="AT276" s="34">
        <v>0.0</v>
      </c>
      <c r="AU276" s="34">
        <v>100.0</v>
      </c>
      <c r="AV276" s="34">
        <v>0.0</v>
      </c>
      <c r="AW276" s="34">
        <v>0.0</v>
      </c>
      <c r="AX276" s="33">
        <f>COUNTIFS('Data For Calculation - Insuranc'!A:A,A276,'Data For Calculation - Insuranc'!D:D,"Individual",'Data For Calculation - Insuranc'!E:E,"Rollover - 1 Year OD Only")</f>
        <v>0</v>
      </c>
      <c r="AY276" s="34" t="s">
        <v>3932</v>
      </c>
      <c r="AZ276" s="42" t="s">
        <v>3820</v>
      </c>
      <c r="BA276" s="34">
        <v>290.0</v>
      </c>
      <c r="BB276" s="34" t="s">
        <v>3853</v>
      </c>
      <c r="BC276" s="34">
        <v>0.0</v>
      </c>
      <c r="BD276" s="34">
        <v>100.0</v>
      </c>
      <c r="BE276" s="34">
        <v>0.0</v>
      </c>
      <c r="BF276" s="34">
        <v>0.0</v>
      </c>
      <c r="BG276" s="33">
        <f>COUNTIFS('Data For Calculation - Insuranc'!A:A,A276,'Data For Calculation - Insuranc'!D:D,"Company",'Data For Calculation - Insuranc'!E:E,"Rollover - 1 Year OD Only")</f>
        <v>0</v>
      </c>
      <c r="BH276" s="34" t="s">
        <v>3931</v>
      </c>
      <c r="BI276" s="42" t="s">
        <v>3820</v>
      </c>
      <c r="BJ276" s="34">
        <v>290.0</v>
      </c>
      <c r="BK276" s="34" t="s">
        <v>3853</v>
      </c>
      <c r="BL276" s="34">
        <v>0.0</v>
      </c>
      <c r="BM276" s="34">
        <v>100.0</v>
      </c>
      <c r="BN276" s="34">
        <v>0.0</v>
      </c>
      <c r="BO276" s="34">
        <v>0.0</v>
      </c>
      <c r="BP276" s="33">
        <f>COUNTIFS('Data For Calculation - Insuranc'!A:A,A276,'Data For Calculation - Insuranc'!D:D,"Individual",'Data For Calculation - Insuranc'!E:E,"Rollover - 1 Year TP Only")</f>
        <v>0</v>
      </c>
      <c r="BQ276" s="34" t="s">
        <v>3932</v>
      </c>
      <c r="BR276" s="42" t="s">
        <v>3820</v>
      </c>
      <c r="BS276" s="34">
        <v>290.0</v>
      </c>
      <c r="BT276" s="34" t="s">
        <v>3853</v>
      </c>
      <c r="BU276" s="34">
        <v>0.0</v>
      </c>
      <c r="BV276" s="34">
        <v>100.0</v>
      </c>
      <c r="BW276" s="34">
        <v>0.0</v>
      </c>
      <c r="BX276" s="34">
        <v>0.0</v>
      </c>
      <c r="BY276" s="33">
        <f>COUNTIFS('Data For Calculation - Insuranc'!A:A,A276,'Data For Calculation - Insuranc'!D:D,"Company",'Data For Calculation - Insuranc'!E:E,"Rollover - 1 Year TP Only")</f>
        <v>0</v>
      </c>
      <c r="BZ276" s="31">
        <f t="shared" si="1"/>
        <v>0</v>
      </c>
      <c r="CA276" s="33">
        <f>SUMIFS('Data For Calculation - Insuranc'!I:I,'Data For Calculation - Insuranc'!$A:$A,$A276)</f>
        <v>0</v>
      </c>
      <c r="CB276" s="33">
        <f>SUMIFS('Data For Calculation - Insuranc'!J:J,'Data For Calculation - Insuranc'!$A:$A,$A276)</f>
        <v>0</v>
      </c>
      <c r="CC276" s="33">
        <f>SUMIFS('Data For Calculation - Insuranc'!K:K,'Data For Calculation - Insuranc'!$A:$A,$A276)</f>
        <v>0</v>
      </c>
      <c r="CD276" s="33">
        <f>IF($CK276 = "Dealer", SUMIFS('Data For Calculation - Insuranc'!I:I,'Data For Calculation - Insuranc'!$B:$B,$A276,'Data For Calculation - Insuranc'!$H:$H,"Master Dealer")) + SUMIFS('Data For Calculation - Insuranc'!I:I,'Data For Calculation - Insuranc'!$A:$A,$A276,'Data For Calculation - Insuranc'!$H:$H,"Self")</f>
        <v>0</v>
      </c>
      <c r="CE276" s="33">
        <f>IF($CK276 = "Dealer", SUMIFS('Data For Calculation - Insuranc'!J:J,'Data For Calculation - Insuranc'!$B:$B,$A276,'Data For Calculation - Insuranc'!$H:$H,"Master Dealer")) + SUMIFS('Data For Calculation - Insuranc'!J:J,'Data For Calculation - Insuranc'!$A:$A,$A276,'Data For Calculation - Insuranc'!$H:$H,"Self")</f>
        <v>0</v>
      </c>
      <c r="CF276" s="33">
        <f>IF($CK276 = "Dealer", SUMIFS('Data For Calculation - Insuranc'!K:K,'Data For Calculation - Insuranc'!$B:$B,$A276,'Data For Calculation - Insuranc'!$H:$H,"Master Dealer")) + SUMIFS('Data For Calculation - Insuranc'!K:K,'Data For Calculation - Insuranc'!$A:$A,$A276,'Data For Calculation - Insuranc'!$H:$H,"Self")</f>
        <v>0</v>
      </c>
      <c r="CG276" s="26" t="str">
        <f>(Sheet1!N276)</f>
        <v>SINGLA AGENCIES- BADARPUR</v>
      </c>
      <c r="CH276" s="26" t="str">
        <f>(Sheet1!O276)</f>
        <v>1_5VG-F35BWYeavx2Egt3_WJsCY1xhX1lyqQW8SX-6Tg</v>
      </c>
      <c r="CI276" s="25" t="str">
        <f>(Sheet1!AV276)</f>
        <v/>
      </c>
      <c r="CJ276" s="25" t="str">
        <f>(Sheet1!AW276)</f>
        <v/>
      </c>
      <c r="CK276" s="26" t="str">
        <f>(Sheet1!P276)</f>
        <v>Sub Dealer</v>
      </c>
    </row>
    <row r="277">
      <c r="A277" s="26" t="str">
        <f>(Sheet1!A277)</f>
        <v>1_NK5IeBBhUwOkOG5CiLqBmnSrAsMKt3Ny0Eyc48kmrA</v>
      </c>
      <c r="B277" s="26" t="str">
        <f>(Sheet1!B277)</f>
        <v>Singla Motors-JAITPUR- (SAB)</v>
      </c>
      <c r="C277" s="30" t="str">
        <f>Sheet1!BB277</f>
        <v>No</v>
      </c>
      <c r="D277" s="34" t="s">
        <v>13</v>
      </c>
      <c r="E277" s="34" t="s">
        <v>13</v>
      </c>
      <c r="F277" s="34" t="s">
        <v>3929</v>
      </c>
      <c r="G277" s="42" t="s">
        <v>3820</v>
      </c>
      <c r="H277" s="43">
        <v>460.0</v>
      </c>
      <c r="I277" s="42" t="s">
        <v>3853</v>
      </c>
      <c r="J277" s="43">
        <v>0.0</v>
      </c>
      <c r="K277" s="43">
        <v>100.0</v>
      </c>
      <c r="L277" s="43">
        <v>0.0</v>
      </c>
      <c r="M277" s="43">
        <v>0.0</v>
      </c>
      <c r="N277" s="33">
        <f>COUNTIFS('Data For Calculation - Insuranc'!A:A,A277,'Data For Calculation - Insuranc'!D:D,"Individual",'Data For Calculation - Insuranc'!E:E,"Bundled - 1 Year OD + 5 Year TP")</f>
        <v>0</v>
      </c>
      <c r="O277" s="34" t="s">
        <v>3930</v>
      </c>
      <c r="P277" s="42" t="s">
        <v>3820</v>
      </c>
      <c r="Q277" s="43">
        <v>460.0</v>
      </c>
      <c r="R277" s="42" t="s">
        <v>3853</v>
      </c>
      <c r="S277" s="43">
        <v>0.0</v>
      </c>
      <c r="T277" s="43">
        <v>100.0</v>
      </c>
      <c r="U277" s="43">
        <v>0.0</v>
      </c>
      <c r="V277" s="43">
        <v>0.0</v>
      </c>
      <c r="W277" s="33">
        <f>COUNTIFS('Data For Calculation - Insuranc'!A:A,A277,'Data For Calculation - Insuranc'!D:D,"Company",'Data For Calculation - Insuranc'!E:E,"Bundled - 1 Year OD + 5 Year TP")</f>
        <v>0</v>
      </c>
      <c r="X277" s="34" t="s">
        <v>3929</v>
      </c>
      <c r="Y277" s="42" t="s">
        <v>3820</v>
      </c>
      <c r="Z277" s="34">
        <v>290.0</v>
      </c>
      <c r="AA277" s="34" t="s">
        <v>3853</v>
      </c>
      <c r="AB277" s="34">
        <v>0.0</v>
      </c>
      <c r="AC277" s="34">
        <v>100.0</v>
      </c>
      <c r="AD277" s="34">
        <v>0.0</v>
      </c>
      <c r="AE277" s="34">
        <v>0.0</v>
      </c>
      <c r="AF277" s="33">
        <f>COUNTIFS('Data For Calculation - Insuranc'!A:A,A277,'Data For Calculation - Insuranc'!D:D,"Individual",'Data For Calculation - Insuranc'!E:E,"Rollover Comprehensive - 1 Year OD + 1 Year TP")</f>
        <v>0</v>
      </c>
      <c r="AG277" s="34" t="s">
        <v>3930</v>
      </c>
      <c r="AH277" s="42" t="s">
        <v>3820</v>
      </c>
      <c r="AI277" s="34">
        <v>290.0</v>
      </c>
      <c r="AJ277" s="34" t="s">
        <v>3853</v>
      </c>
      <c r="AK277" s="34">
        <v>0.0</v>
      </c>
      <c r="AL277" s="34">
        <v>100.0</v>
      </c>
      <c r="AM277" s="34">
        <v>0.0</v>
      </c>
      <c r="AN277" s="34">
        <v>0.0</v>
      </c>
      <c r="AO277" s="33">
        <f>COUNTIFS('Data For Calculation - Insuranc'!A:A,A277,'Data For Calculation - Insuranc'!D:D,"Company",'Data For Calculation - Insuranc'!E:E,"Rollover Comprehensive - 1 Year OD + 1 Year TP")</f>
        <v>0</v>
      </c>
      <c r="AP277" s="34" t="s">
        <v>3931</v>
      </c>
      <c r="AQ277" s="42" t="s">
        <v>3820</v>
      </c>
      <c r="AR277" s="34">
        <v>290.0</v>
      </c>
      <c r="AS277" s="34" t="s">
        <v>3853</v>
      </c>
      <c r="AT277" s="34">
        <v>0.0</v>
      </c>
      <c r="AU277" s="34">
        <v>100.0</v>
      </c>
      <c r="AV277" s="34">
        <v>0.0</v>
      </c>
      <c r="AW277" s="34">
        <v>0.0</v>
      </c>
      <c r="AX277" s="33">
        <f>COUNTIFS('Data For Calculation - Insuranc'!A:A,A277,'Data For Calculation - Insuranc'!D:D,"Individual",'Data For Calculation - Insuranc'!E:E,"Rollover - 1 Year OD Only")</f>
        <v>0</v>
      </c>
      <c r="AY277" s="34" t="s">
        <v>3932</v>
      </c>
      <c r="AZ277" s="42" t="s">
        <v>3820</v>
      </c>
      <c r="BA277" s="34">
        <v>290.0</v>
      </c>
      <c r="BB277" s="34" t="s">
        <v>3853</v>
      </c>
      <c r="BC277" s="34">
        <v>0.0</v>
      </c>
      <c r="BD277" s="34">
        <v>100.0</v>
      </c>
      <c r="BE277" s="34">
        <v>0.0</v>
      </c>
      <c r="BF277" s="34">
        <v>0.0</v>
      </c>
      <c r="BG277" s="33">
        <f>COUNTIFS('Data For Calculation - Insuranc'!A:A,A277,'Data For Calculation - Insuranc'!D:D,"Company",'Data For Calculation - Insuranc'!E:E,"Rollover - 1 Year OD Only")</f>
        <v>0</v>
      </c>
      <c r="BH277" s="34" t="s">
        <v>3931</v>
      </c>
      <c r="BI277" s="42" t="s">
        <v>3820</v>
      </c>
      <c r="BJ277" s="34">
        <v>290.0</v>
      </c>
      <c r="BK277" s="34" t="s">
        <v>3853</v>
      </c>
      <c r="BL277" s="34">
        <v>0.0</v>
      </c>
      <c r="BM277" s="34">
        <v>100.0</v>
      </c>
      <c r="BN277" s="34">
        <v>0.0</v>
      </c>
      <c r="BO277" s="34">
        <v>0.0</v>
      </c>
      <c r="BP277" s="33">
        <f>COUNTIFS('Data For Calculation - Insuranc'!A:A,A277,'Data For Calculation - Insuranc'!D:D,"Individual",'Data For Calculation - Insuranc'!E:E,"Rollover - 1 Year TP Only")</f>
        <v>0</v>
      </c>
      <c r="BQ277" s="34" t="s">
        <v>3932</v>
      </c>
      <c r="BR277" s="42" t="s">
        <v>3820</v>
      </c>
      <c r="BS277" s="34">
        <v>290.0</v>
      </c>
      <c r="BT277" s="34" t="s">
        <v>3853</v>
      </c>
      <c r="BU277" s="34">
        <v>0.0</v>
      </c>
      <c r="BV277" s="34">
        <v>100.0</v>
      </c>
      <c r="BW277" s="34">
        <v>0.0</v>
      </c>
      <c r="BX277" s="34">
        <v>0.0</v>
      </c>
      <c r="BY277" s="33">
        <f>COUNTIFS('Data For Calculation - Insuranc'!A:A,A277,'Data For Calculation - Insuranc'!D:D,"Company",'Data For Calculation - Insuranc'!E:E,"Rollover - 1 Year TP Only")</f>
        <v>0</v>
      </c>
      <c r="BZ277" s="31">
        <f t="shared" si="1"/>
        <v>0</v>
      </c>
      <c r="CA277" s="33">
        <f>SUMIFS('Data For Calculation - Insuranc'!I:I,'Data For Calculation - Insuranc'!$A:$A,$A277)</f>
        <v>0</v>
      </c>
      <c r="CB277" s="33">
        <f>SUMIFS('Data For Calculation - Insuranc'!J:J,'Data For Calculation - Insuranc'!$A:$A,$A277)</f>
        <v>0</v>
      </c>
      <c r="CC277" s="33">
        <f>SUMIFS('Data For Calculation - Insuranc'!K:K,'Data For Calculation - Insuranc'!$A:$A,$A277)</f>
        <v>0</v>
      </c>
      <c r="CD277" s="33">
        <f>IF($CK277 = "Dealer", SUMIFS('Data For Calculation - Insuranc'!I:I,'Data For Calculation - Insuranc'!$B:$B,$A277,'Data For Calculation - Insuranc'!$H:$H,"Master Dealer")) + SUMIFS('Data For Calculation - Insuranc'!I:I,'Data For Calculation - Insuranc'!$A:$A,$A277,'Data For Calculation - Insuranc'!$H:$H,"Self")</f>
        <v>0</v>
      </c>
      <c r="CE277" s="33">
        <f>IF($CK277 = "Dealer", SUMIFS('Data For Calculation - Insuranc'!J:J,'Data For Calculation - Insuranc'!$B:$B,$A277,'Data For Calculation - Insuranc'!$H:$H,"Master Dealer")) + SUMIFS('Data For Calculation - Insuranc'!J:J,'Data For Calculation - Insuranc'!$A:$A,$A277,'Data For Calculation - Insuranc'!$H:$H,"Self")</f>
        <v>0</v>
      </c>
      <c r="CF277" s="33">
        <f>IF($CK277 = "Dealer", SUMIFS('Data For Calculation - Insuranc'!K:K,'Data For Calculation - Insuranc'!$B:$B,$A277,'Data For Calculation - Insuranc'!$H:$H,"Master Dealer")) + SUMIFS('Data For Calculation - Insuranc'!K:K,'Data For Calculation - Insuranc'!$A:$A,$A277,'Data For Calculation - Insuranc'!$H:$H,"Self")</f>
        <v>0</v>
      </c>
      <c r="CG277" s="26" t="str">
        <f>(Sheet1!N277)</f>
        <v>SINGLA AGENCIES- BADARPUR</v>
      </c>
      <c r="CH277" s="26" t="str">
        <f>(Sheet1!O277)</f>
        <v>1_5VG-F35BWYeavx2Egt3_WJsCY1xhX1lyqQW8SX-6Tg</v>
      </c>
      <c r="CI277" s="25" t="str">
        <f>(Sheet1!AV277)</f>
        <v/>
      </c>
      <c r="CJ277" s="25" t="str">
        <f>(Sheet1!AW277)</f>
        <v/>
      </c>
      <c r="CK277" s="26" t="str">
        <f>(Sheet1!P277)</f>
        <v>Sub Dealer</v>
      </c>
    </row>
    <row r="278">
      <c r="A278" s="26" t="str">
        <f>(Sheet1!A278)</f>
        <v>1QOJhpGMdUnxjEHflCyBx-7AgAkJDocYTlbeJzELOi9U</v>
      </c>
      <c r="B278" s="26" t="str">
        <f>(Sheet1!B278)</f>
        <v>Singla Auto Need- Pandav nagar- (SAB)</v>
      </c>
      <c r="C278" s="30" t="str">
        <f>Sheet1!BB278</f>
        <v>No</v>
      </c>
      <c r="D278" s="34" t="s">
        <v>13</v>
      </c>
      <c r="E278" s="34" t="s">
        <v>13</v>
      </c>
      <c r="F278" s="34" t="s">
        <v>3929</v>
      </c>
      <c r="G278" s="42" t="s">
        <v>3820</v>
      </c>
      <c r="H278" s="43">
        <v>460.0</v>
      </c>
      <c r="I278" s="42" t="s">
        <v>3853</v>
      </c>
      <c r="J278" s="43">
        <v>0.0</v>
      </c>
      <c r="K278" s="43">
        <v>100.0</v>
      </c>
      <c r="L278" s="43">
        <v>0.0</v>
      </c>
      <c r="M278" s="43">
        <v>0.0</v>
      </c>
      <c r="N278" s="33">
        <f>COUNTIFS('Data For Calculation - Insuranc'!A:A,A278,'Data For Calculation - Insuranc'!D:D,"Individual",'Data For Calculation - Insuranc'!E:E,"Bundled - 1 Year OD + 5 Year TP")</f>
        <v>0</v>
      </c>
      <c r="O278" s="34" t="s">
        <v>3930</v>
      </c>
      <c r="P278" s="42" t="s">
        <v>3820</v>
      </c>
      <c r="Q278" s="43">
        <v>460.0</v>
      </c>
      <c r="R278" s="42" t="s">
        <v>3853</v>
      </c>
      <c r="S278" s="43">
        <v>0.0</v>
      </c>
      <c r="T278" s="43">
        <v>100.0</v>
      </c>
      <c r="U278" s="43">
        <v>0.0</v>
      </c>
      <c r="V278" s="43">
        <v>0.0</v>
      </c>
      <c r="W278" s="33">
        <f>COUNTIFS('Data For Calculation - Insuranc'!A:A,A278,'Data For Calculation - Insuranc'!D:D,"Company",'Data For Calculation - Insuranc'!E:E,"Bundled - 1 Year OD + 5 Year TP")</f>
        <v>0</v>
      </c>
      <c r="X278" s="34" t="s">
        <v>3929</v>
      </c>
      <c r="Y278" s="42" t="s">
        <v>3820</v>
      </c>
      <c r="Z278" s="34">
        <v>290.0</v>
      </c>
      <c r="AA278" s="34" t="s">
        <v>3853</v>
      </c>
      <c r="AB278" s="34">
        <v>0.0</v>
      </c>
      <c r="AC278" s="34">
        <v>100.0</v>
      </c>
      <c r="AD278" s="34">
        <v>0.0</v>
      </c>
      <c r="AE278" s="34">
        <v>0.0</v>
      </c>
      <c r="AF278" s="33">
        <f>COUNTIFS('Data For Calculation - Insuranc'!A:A,A278,'Data For Calculation - Insuranc'!D:D,"Individual",'Data For Calculation - Insuranc'!E:E,"Rollover Comprehensive - 1 Year OD + 1 Year TP")</f>
        <v>0</v>
      </c>
      <c r="AG278" s="34" t="s">
        <v>3930</v>
      </c>
      <c r="AH278" s="42" t="s">
        <v>3820</v>
      </c>
      <c r="AI278" s="34">
        <v>290.0</v>
      </c>
      <c r="AJ278" s="34" t="s">
        <v>3853</v>
      </c>
      <c r="AK278" s="34">
        <v>0.0</v>
      </c>
      <c r="AL278" s="34">
        <v>100.0</v>
      </c>
      <c r="AM278" s="34">
        <v>0.0</v>
      </c>
      <c r="AN278" s="34">
        <v>0.0</v>
      </c>
      <c r="AO278" s="33">
        <f>COUNTIFS('Data For Calculation - Insuranc'!A:A,A278,'Data For Calculation - Insuranc'!D:D,"Company",'Data For Calculation - Insuranc'!E:E,"Rollover Comprehensive - 1 Year OD + 1 Year TP")</f>
        <v>0</v>
      </c>
      <c r="AP278" s="34" t="s">
        <v>3931</v>
      </c>
      <c r="AQ278" s="42" t="s">
        <v>3820</v>
      </c>
      <c r="AR278" s="34">
        <v>290.0</v>
      </c>
      <c r="AS278" s="34" t="s">
        <v>3853</v>
      </c>
      <c r="AT278" s="34">
        <v>0.0</v>
      </c>
      <c r="AU278" s="34">
        <v>100.0</v>
      </c>
      <c r="AV278" s="34">
        <v>0.0</v>
      </c>
      <c r="AW278" s="34">
        <v>0.0</v>
      </c>
      <c r="AX278" s="33">
        <f>COUNTIFS('Data For Calculation - Insuranc'!A:A,A278,'Data For Calculation - Insuranc'!D:D,"Individual",'Data For Calculation - Insuranc'!E:E,"Rollover - 1 Year OD Only")</f>
        <v>0</v>
      </c>
      <c r="AY278" s="34" t="s">
        <v>3932</v>
      </c>
      <c r="AZ278" s="42" t="s">
        <v>3820</v>
      </c>
      <c r="BA278" s="34">
        <v>290.0</v>
      </c>
      <c r="BB278" s="34" t="s">
        <v>3853</v>
      </c>
      <c r="BC278" s="34">
        <v>0.0</v>
      </c>
      <c r="BD278" s="34">
        <v>100.0</v>
      </c>
      <c r="BE278" s="34">
        <v>0.0</v>
      </c>
      <c r="BF278" s="34">
        <v>0.0</v>
      </c>
      <c r="BG278" s="33">
        <f>COUNTIFS('Data For Calculation - Insuranc'!A:A,A278,'Data For Calculation - Insuranc'!D:D,"Company",'Data For Calculation - Insuranc'!E:E,"Rollover - 1 Year OD Only")</f>
        <v>0</v>
      </c>
      <c r="BH278" s="34" t="s">
        <v>3931</v>
      </c>
      <c r="BI278" s="42" t="s">
        <v>3820</v>
      </c>
      <c r="BJ278" s="34">
        <v>290.0</v>
      </c>
      <c r="BK278" s="34" t="s">
        <v>3853</v>
      </c>
      <c r="BL278" s="34">
        <v>0.0</v>
      </c>
      <c r="BM278" s="34">
        <v>100.0</v>
      </c>
      <c r="BN278" s="34">
        <v>0.0</v>
      </c>
      <c r="BO278" s="34">
        <v>0.0</v>
      </c>
      <c r="BP278" s="33">
        <f>COUNTIFS('Data For Calculation - Insuranc'!A:A,A278,'Data For Calculation - Insuranc'!D:D,"Individual",'Data For Calculation - Insuranc'!E:E,"Rollover - 1 Year TP Only")</f>
        <v>0</v>
      </c>
      <c r="BQ278" s="34" t="s">
        <v>3932</v>
      </c>
      <c r="BR278" s="42" t="s">
        <v>3820</v>
      </c>
      <c r="BS278" s="34">
        <v>290.0</v>
      </c>
      <c r="BT278" s="34" t="s">
        <v>3853</v>
      </c>
      <c r="BU278" s="34">
        <v>0.0</v>
      </c>
      <c r="BV278" s="34">
        <v>100.0</v>
      </c>
      <c r="BW278" s="34">
        <v>0.0</v>
      </c>
      <c r="BX278" s="34">
        <v>0.0</v>
      </c>
      <c r="BY278" s="33">
        <f>COUNTIFS('Data For Calculation - Insuranc'!A:A,A278,'Data For Calculation - Insuranc'!D:D,"Company",'Data For Calculation - Insuranc'!E:E,"Rollover - 1 Year TP Only")</f>
        <v>0</v>
      </c>
      <c r="BZ278" s="31">
        <f t="shared" si="1"/>
        <v>0</v>
      </c>
      <c r="CA278" s="33">
        <f>SUMIFS('Data For Calculation - Insuranc'!I:I,'Data For Calculation - Insuranc'!$A:$A,$A278)</f>
        <v>0</v>
      </c>
      <c r="CB278" s="33">
        <f>SUMIFS('Data For Calculation - Insuranc'!J:J,'Data For Calculation - Insuranc'!$A:$A,$A278)</f>
        <v>0</v>
      </c>
      <c r="CC278" s="33">
        <f>SUMIFS('Data For Calculation - Insuranc'!K:K,'Data For Calculation - Insuranc'!$A:$A,$A278)</f>
        <v>0</v>
      </c>
      <c r="CD278" s="33">
        <f>IF($CK278 = "Dealer", SUMIFS('Data For Calculation - Insuranc'!I:I,'Data For Calculation - Insuranc'!$B:$B,$A278,'Data For Calculation - Insuranc'!$H:$H,"Master Dealer")) + SUMIFS('Data For Calculation - Insuranc'!I:I,'Data For Calculation - Insuranc'!$A:$A,$A278,'Data For Calculation - Insuranc'!$H:$H,"Self")</f>
        <v>0</v>
      </c>
      <c r="CE278" s="33">
        <f>IF($CK278 = "Dealer", SUMIFS('Data For Calculation - Insuranc'!J:J,'Data For Calculation - Insuranc'!$B:$B,$A278,'Data For Calculation - Insuranc'!$H:$H,"Master Dealer")) + SUMIFS('Data For Calculation - Insuranc'!J:J,'Data For Calculation - Insuranc'!$A:$A,$A278,'Data For Calculation - Insuranc'!$H:$H,"Self")</f>
        <v>0</v>
      </c>
      <c r="CF278" s="33">
        <f>IF($CK278 = "Dealer", SUMIFS('Data For Calculation - Insuranc'!K:K,'Data For Calculation - Insuranc'!$B:$B,$A278,'Data For Calculation - Insuranc'!$H:$H,"Master Dealer")) + SUMIFS('Data For Calculation - Insuranc'!K:K,'Data For Calculation - Insuranc'!$A:$A,$A278,'Data For Calculation - Insuranc'!$H:$H,"Self")</f>
        <v>0</v>
      </c>
      <c r="CG278" s="26" t="str">
        <f>(Sheet1!N278)</f>
        <v>SINGLA AGENCIES- BADARPUR</v>
      </c>
      <c r="CH278" s="26" t="str">
        <f>(Sheet1!O278)</f>
        <v>1_5VG-F35BWYeavx2Egt3_WJsCY1xhX1lyqQW8SX-6Tg</v>
      </c>
      <c r="CI278" s="25" t="str">
        <f>(Sheet1!AV278)</f>
        <v/>
      </c>
      <c r="CJ278" s="25" t="str">
        <f>(Sheet1!AW278)</f>
        <v/>
      </c>
      <c r="CK278" s="26" t="str">
        <f>(Sheet1!P278)</f>
        <v>Sub Dealer</v>
      </c>
    </row>
    <row r="279">
      <c r="A279" s="26" t="str">
        <f>(Sheet1!A279)</f>
        <v>1Pl3xCS8yRV5PgPEBDpSJ_TjqRSqKz0udLYEAfWnXS6o</v>
      </c>
      <c r="B279" s="26" t="str">
        <f>(Sheet1!B279)</f>
        <v>Yash Automobiles (GA) - Salemgarh</v>
      </c>
      <c r="C279" s="30" t="str">
        <f>Sheet1!BB279</f>
        <v>No</v>
      </c>
      <c r="D279" s="34" t="s">
        <v>13</v>
      </c>
      <c r="E279" s="34" t="s">
        <v>13</v>
      </c>
      <c r="F279" s="34" t="s">
        <v>3929</v>
      </c>
      <c r="G279" s="42" t="s">
        <v>3820</v>
      </c>
      <c r="H279" s="43">
        <v>460.0</v>
      </c>
      <c r="I279" s="42" t="s">
        <v>3853</v>
      </c>
      <c r="J279" s="43">
        <v>0.0</v>
      </c>
      <c r="K279" s="43">
        <v>100.0</v>
      </c>
      <c r="L279" s="43">
        <v>0.0</v>
      </c>
      <c r="M279" s="43">
        <v>0.0</v>
      </c>
      <c r="N279" s="33">
        <f>COUNTIFS('Data For Calculation - Insuranc'!A:A,A279,'Data For Calculation - Insuranc'!D:D,"Individual",'Data For Calculation - Insuranc'!E:E,"Bundled - 1 Year OD + 5 Year TP")</f>
        <v>0</v>
      </c>
      <c r="O279" s="34" t="s">
        <v>3930</v>
      </c>
      <c r="P279" s="42" t="s">
        <v>3820</v>
      </c>
      <c r="Q279" s="43">
        <v>460.0</v>
      </c>
      <c r="R279" s="42" t="s">
        <v>3853</v>
      </c>
      <c r="S279" s="43">
        <v>0.0</v>
      </c>
      <c r="T279" s="43">
        <v>100.0</v>
      </c>
      <c r="U279" s="43">
        <v>0.0</v>
      </c>
      <c r="V279" s="43">
        <v>0.0</v>
      </c>
      <c r="W279" s="33">
        <f>COUNTIFS('Data For Calculation - Insuranc'!A:A,A279,'Data For Calculation - Insuranc'!D:D,"Company",'Data For Calculation - Insuranc'!E:E,"Bundled - 1 Year OD + 5 Year TP")</f>
        <v>0</v>
      </c>
      <c r="X279" s="34" t="s">
        <v>3929</v>
      </c>
      <c r="Y279" s="42" t="s">
        <v>3820</v>
      </c>
      <c r="Z279" s="34">
        <v>290.0</v>
      </c>
      <c r="AA279" s="34" t="s">
        <v>3853</v>
      </c>
      <c r="AB279" s="34">
        <v>0.0</v>
      </c>
      <c r="AC279" s="34">
        <v>100.0</v>
      </c>
      <c r="AD279" s="34">
        <v>0.0</v>
      </c>
      <c r="AE279" s="34">
        <v>0.0</v>
      </c>
      <c r="AF279" s="33">
        <f>COUNTIFS('Data For Calculation - Insuranc'!A:A,A279,'Data For Calculation - Insuranc'!D:D,"Individual",'Data For Calculation - Insuranc'!E:E,"Rollover Comprehensive - 1 Year OD + 1 Year TP")</f>
        <v>0</v>
      </c>
      <c r="AG279" s="34" t="s">
        <v>3930</v>
      </c>
      <c r="AH279" s="42" t="s">
        <v>3820</v>
      </c>
      <c r="AI279" s="34">
        <v>290.0</v>
      </c>
      <c r="AJ279" s="34" t="s">
        <v>3853</v>
      </c>
      <c r="AK279" s="34">
        <v>0.0</v>
      </c>
      <c r="AL279" s="34">
        <v>100.0</v>
      </c>
      <c r="AM279" s="34">
        <v>0.0</v>
      </c>
      <c r="AN279" s="34">
        <v>0.0</v>
      </c>
      <c r="AO279" s="33">
        <f>COUNTIFS('Data For Calculation - Insuranc'!A:A,A279,'Data For Calculation - Insuranc'!D:D,"Company",'Data For Calculation - Insuranc'!E:E,"Rollover Comprehensive - 1 Year OD + 1 Year TP")</f>
        <v>0</v>
      </c>
      <c r="AP279" s="34" t="s">
        <v>3931</v>
      </c>
      <c r="AQ279" s="42" t="s">
        <v>3820</v>
      </c>
      <c r="AR279" s="34">
        <v>290.0</v>
      </c>
      <c r="AS279" s="34" t="s">
        <v>3853</v>
      </c>
      <c r="AT279" s="34">
        <v>0.0</v>
      </c>
      <c r="AU279" s="34">
        <v>100.0</v>
      </c>
      <c r="AV279" s="34">
        <v>0.0</v>
      </c>
      <c r="AW279" s="34">
        <v>0.0</v>
      </c>
      <c r="AX279" s="33">
        <f>COUNTIFS('Data For Calculation - Insuranc'!A:A,A279,'Data For Calculation - Insuranc'!D:D,"Individual",'Data For Calculation - Insuranc'!E:E,"Rollover - 1 Year OD Only")</f>
        <v>0</v>
      </c>
      <c r="AY279" s="34" t="s">
        <v>3932</v>
      </c>
      <c r="AZ279" s="42" t="s">
        <v>3820</v>
      </c>
      <c r="BA279" s="34">
        <v>290.0</v>
      </c>
      <c r="BB279" s="34" t="s">
        <v>3853</v>
      </c>
      <c r="BC279" s="34">
        <v>0.0</v>
      </c>
      <c r="BD279" s="34">
        <v>100.0</v>
      </c>
      <c r="BE279" s="34">
        <v>0.0</v>
      </c>
      <c r="BF279" s="34">
        <v>0.0</v>
      </c>
      <c r="BG279" s="33">
        <f>COUNTIFS('Data For Calculation - Insuranc'!A:A,A279,'Data For Calculation - Insuranc'!D:D,"Company",'Data For Calculation - Insuranc'!E:E,"Rollover - 1 Year OD Only")</f>
        <v>0</v>
      </c>
      <c r="BH279" s="34" t="s">
        <v>3931</v>
      </c>
      <c r="BI279" s="42" t="s">
        <v>3820</v>
      </c>
      <c r="BJ279" s="34">
        <v>290.0</v>
      </c>
      <c r="BK279" s="34" t="s">
        <v>3853</v>
      </c>
      <c r="BL279" s="34">
        <v>0.0</v>
      </c>
      <c r="BM279" s="34">
        <v>100.0</v>
      </c>
      <c r="BN279" s="34">
        <v>0.0</v>
      </c>
      <c r="BO279" s="34">
        <v>0.0</v>
      </c>
      <c r="BP279" s="33">
        <f>COUNTIFS('Data For Calculation - Insuranc'!A:A,A279,'Data For Calculation - Insuranc'!D:D,"Individual",'Data For Calculation - Insuranc'!E:E,"Rollover - 1 Year TP Only")</f>
        <v>0</v>
      </c>
      <c r="BQ279" s="34" t="s">
        <v>3932</v>
      </c>
      <c r="BR279" s="42" t="s">
        <v>3820</v>
      </c>
      <c r="BS279" s="34">
        <v>290.0</v>
      </c>
      <c r="BT279" s="34" t="s">
        <v>3853</v>
      </c>
      <c r="BU279" s="34">
        <v>0.0</v>
      </c>
      <c r="BV279" s="34">
        <v>100.0</v>
      </c>
      <c r="BW279" s="34">
        <v>0.0</v>
      </c>
      <c r="BX279" s="34">
        <v>0.0</v>
      </c>
      <c r="BY279" s="33">
        <f>COUNTIFS('Data For Calculation - Insuranc'!A:A,A279,'Data For Calculation - Insuranc'!D:D,"Company",'Data For Calculation - Insuranc'!E:E,"Rollover - 1 Year TP Only")</f>
        <v>0</v>
      </c>
      <c r="BZ279" s="31">
        <f t="shared" si="1"/>
        <v>0</v>
      </c>
      <c r="CA279" s="33">
        <f>SUMIFS('Data For Calculation - Insuranc'!I:I,'Data For Calculation - Insuranc'!$A:$A,$A279)</f>
        <v>0</v>
      </c>
      <c r="CB279" s="33">
        <f>SUMIFS('Data For Calculation - Insuranc'!J:J,'Data For Calculation - Insuranc'!$A:$A,$A279)</f>
        <v>0</v>
      </c>
      <c r="CC279" s="33">
        <f>SUMIFS('Data For Calculation - Insuranc'!K:K,'Data For Calculation - Insuranc'!$A:$A,$A279)</f>
        <v>0</v>
      </c>
      <c r="CD279" s="33">
        <f>IF($CK279 = "Dealer", SUMIFS('Data For Calculation - Insuranc'!I:I,'Data For Calculation - Insuranc'!$B:$B,$A279,'Data For Calculation - Insuranc'!$H:$H,"Master Dealer")) + SUMIFS('Data For Calculation - Insuranc'!I:I,'Data For Calculation - Insuranc'!$A:$A,$A279,'Data For Calculation - Insuranc'!$H:$H,"Self")</f>
        <v>0</v>
      </c>
      <c r="CE279" s="33">
        <f>IF($CK279 = "Dealer", SUMIFS('Data For Calculation - Insuranc'!J:J,'Data For Calculation - Insuranc'!$B:$B,$A279,'Data For Calculation - Insuranc'!$H:$H,"Master Dealer")) + SUMIFS('Data For Calculation - Insuranc'!J:J,'Data For Calculation - Insuranc'!$A:$A,$A279,'Data For Calculation - Insuranc'!$H:$H,"Self")</f>
        <v>0</v>
      </c>
      <c r="CF279" s="33">
        <f>IF($CK279 = "Dealer", SUMIFS('Data For Calculation - Insuranc'!K:K,'Data For Calculation - Insuranc'!$B:$B,$A279,'Data For Calculation - Insuranc'!$H:$H,"Master Dealer")) + SUMIFS('Data For Calculation - Insuranc'!K:K,'Data For Calculation - Insuranc'!$A:$A,$A279,'Data For Calculation - Insuranc'!$H:$H,"Self")</f>
        <v>0</v>
      </c>
      <c r="CG279" s="26" t="str">
        <f>(Sheet1!N279)</f>
        <v>Gupta Automobiles - Padrauna</v>
      </c>
      <c r="CH279" s="26" t="str">
        <f>(Sheet1!O279)</f>
        <v>1Ql_6BdBcHGAyITSZt1pNUK3bW54CzeThIBXr7aH7K3Y</v>
      </c>
      <c r="CI279" s="25" t="str">
        <f>(Sheet1!AV279)</f>
        <v/>
      </c>
      <c r="CJ279" s="25" t="str">
        <f>(Sheet1!AW279)</f>
        <v/>
      </c>
      <c r="CK279" s="26" t="str">
        <f>(Sheet1!P279)</f>
        <v>Sub Dealer</v>
      </c>
    </row>
    <row r="280">
      <c r="A280" s="26" t="str">
        <f>(Sheet1!A280)</f>
        <v>1MwGB4NlbAA1sDO4RNS9Gt7hcxUDE9RrGsbtMfLGnXmc</v>
      </c>
      <c r="B280" s="26" t="str">
        <f>(Sheet1!B280)</f>
        <v>Rishabh Motors (GA) - SEORAHI</v>
      </c>
      <c r="C280" s="30" t="str">
        <f>Sheet1!BB280</f>
        <v>No</v>
      </c>
      <c r="D280" s="34" t="s">
        <v>13</v>
      </c>
      <c r="E280" s="34" t="s">
        <v>13</v>
      </c>
      <c r="F280" s="34" t="s">
        <v>3929</v>
      </c>
      <c r="G280" s="42" t="s">
        <v>3820</v>
      </c>
      <c r="H280" s="43">
        <v>460.0</v>
      </c>
      <c r="I280" s="42" t="s">
        <v>3853</v>
      </c>
      <c r="J280" s="43">
        <v>0.0</v>
      </c>
      <c r="K280" s="43">
        <v>100.0</v>
      </c>
      <c r="L280" s="43">
        <v>0.0</v>
      </c>
      <c r="M280" s="43">
        <v>0.0</v>
      </c>
      <c r="N280" s="33">
        <f>COUNTIFS('Data For Calculation - Insuranc'!A:A,A280,'Data For Calculation - Insuranc'!D:D,"Individual",'Data For Calculation - Insuranc'!E:E,"Bundled - 1 Year OD + 5 Year TP")</f>
        <v>0</v>
      </c>
      <c r="O280" s="34" t="s">
        <v>3930</v>
      </c>
      <c r="P280" s="42" t="s">
        <v>3820</v>
      </c>
      <c r="Q280" s="43">
        <v>460.0</v>
      </c>
      <c r="R280" s="42" t="s">
        <v>3853</v>
      </c>
      <c r="S280" s="43">
        <v>0.0</v>
      </c>
      <c r="T280" s="43">
        <v>100.0</v>
      </c>
      <c r="U280" s="43">
        <v>0.0</v>
      </c>
      <c r="V280" s="43">
        <v>0.0</v>
      </c>
      <c r="W280" s="33">
        <f>COUNTIFS('Data For Calculation - Insuranc'!A:A,A280,'Data For Calculation - Insuranc'!D:D,"Company",'Data For Calculation - Insuranc'!E:E,"Bundled - 1 Year OD + 5 Year TP")</f>
        <v>0</v>
      </c>
      <c r="X280" s="34" t="s">
        <v>3929</v>
      </c>
      <c r="Y280" s="42" t="s">
        <v>3820</v>
      </c>
      <c r="Z280" s="34">
        <v>290.0</v>
      </c>
      <c r="AA280" s="34" t="s">
        <v>3853</v>
      </c>
      <c r="AB280" s="34">
        <v>0.0</v>
      </c>
      <c r="AC280" s="34">
        <v>100.0</v>
      </c>
      <c r="AD280" s="34">
        <v>0.0</v>
      </c>
      <c r="AE280" s="34">
        <v>0.0</v>
      </c>
      <c r="AF280" s="33">
        <f>COUNTIFS('Data For Calculation - Insuranc'!A:A,A280,'Data For Calculation - Insuranc'!D:D,"Individual",'Data For Calculation - Insuranc'!E:E,"Rollover Comprehensive - 1 Year OD + 1 Year TP")</f>
        <v>0</v>
      </c>
      <c r="AG280" s="34" t="s">
        <v>3930</v>
      </c>
      <c r="AH280" s="42" t="s">
        <v>3820</v>
      </c>
      <c r="AI280" s="34">
        <v>290.0</v>
      </c>
      <c r="AJ280" s="34" t="s">
        <v>3853</v>
      </c>
      <c r="AK280" s="34">
        <v>0.0</v>
      </c>
      <c r="AL280" s="34">
        <v>100.0</v>
      </c>
      <c r="AM280" s="34">
        <v>0.0</v>
      </c>
      <c r="AN280" s="34">
        <v>0.0</v>
      </c>
      <c r="AO280" s="33">
        <f>COUNTIFS('Data For Calculation - Insuranc'!A:A,A280,'Data For Calculation - Insuranc'!D:D,"Company",'Data For Calculation - Insuranc'!E:E,"Rollover Comprehensive - 1 Year OD + 1 Year TP")</f>
        <v>0</v>
      </c>
      <c r="AP280" s="34" t="s">
        <v>3931</v>
      </c>
      <c r="AQ280" s="42" t="s">
        <v>3820</v>
      </c>
      <c r="AR280" s="34">
        <v>290.0</v>
      </c>
      <c r="AS280" s="34" t="s">
        <v>3853</v>
      </c>
      <c r="AT280" s="34">
        <v>0.0</v>
      </c>
      <c r="AU280" s="34">
        <v>100.0</v>
      </c>
      <c r="AV280" s="34">
        <v>0.0</v>
      </c>
      <c r="AW280" s="34">
        <v>0.0</v>
      </c>
      <c r="AX280" s="33">
        <f>COUNTIFS('Data For Calculation - Insuranc'!A:A,A280,'Data For Calculation - Insuranc'!D:D,"Individual",'Data For Calculation - Insuranc'!E:E,"Rollover - 1 Year OD Only")</f>
        <v>0</v>
      </c>
      <c r="AY280" s="34" t="s">
        <v>3932</v>
      </c>
      <c r="AZ280" s="42" t="s">
        <v>3820</v>
      </c>
      <c r="BA280" s="34">
        <v>290.0</v>
      </c>
      <c r="BB280" s="34" t="s">
        <v>3853</v>
      </c>
      <c r="BC280" s="34">
        <v>0.0</v>
      </c>
      <c r="BD280" s="34">
        <v>100.0</v>
      </c>
      <c r="BE280" s="34">
        <v>0.0</v>
      </c>
      <c r="BF280" s="34">
        <v>0.0</v>
      </c>
      <c r="BG280" s="33">
        <f>COUNTIFS('Data For Calculation - Insuranc'!A:A,A280,'Data For Calculation - Insuranc'!D:D,"Company",'Data For Calculation - Insuranc'!E:E,"Rollover - 1 Year OD Only")</f>
        <v>0</v>
      </c>
      <c r="BH280" s="34" t="s">
        <v>3931</v>
      </c>
      <c r="BI280" s="42" t="s">
        <v>3820</v>
      </c>
      <c r="BJ280" s="34">
        <v>290.0</v>
      </c>
      <c r="BK280" s="34" t="s">
        <v>3853</v>
      </c>
      <c r="BL280" s="34">
        <v>0.0</v>
      </c>
      <c r="BM280" s="34">
        <v>100.0</v>
      </c>
      <c r="BN280" s="34">
        <v>0.0</v>
      </c>
      <c r="BO280" s="34">
        <v>0.0</v>
      </c>
      <c r="BP280" s="33">
        <f>COUNTIFS('Data For Calculation - Insuranc'!A:A,A280,'Data For Calculation - Insuranc'!D:D,"Individual",'Data For Calculation - Insuranc'!E:E,"Rollover - 1 Year TP Only")</f>
        <v>0</v>
      </c>
      <c r="BQ280" s="34" t="s">
        <v>3932</v>
      </c>
      <c r="BR280" s="42" t="s">
        <v>3820</v>
      </c>
      <c r="BS280" s="34">
        <v>290.0</v>
      </c>
      <c r="BT280" s="34" t="s">
        <v>3853</v>
      </c>
      <c r="BU280" s="34">
        <v>0.0</v>
      </c>
      <c r="BV280" s="34">
        <v>100.0</v>
      </c>
      <c r="BW280" s="34">
        <v>0.0</v>
      </c>
      <c r="BX280" s="34">
        <v>0.0</v>
      </c>
      <c r="BY280" s="33">
        <f>COUNTIFS('Data For Calculation - Insuranc'!A:A,A280,'Data For Calculation - Insuranc'!D:D,"Company",'Data For Calculation - Insuranc'!E:E,"Rollover - 1 Year TP Only")</f>
        <v>0</v>
      </c>
      <c r="BZ280" s="31">
        <f t="shared" si="1"/>
        <v>0</v>
      </c>
      <c r="CA280" s="33">
        <f>SUMIFS('Data For Calculation - Insuranc'!I:I,'Data For Calculation - Insuranc'!$A:$A,$A280)</f>
        <v>0</v>
      </c>
      <c r="CB280" s="33">
        <f>SUMIFS('Data For Calculation - Insuranc'!J:J,'Data For Calculation - Insuranc'!$A:$A,$A280)</f>
        <v>0</v>
      </c>
      <c r="CC280" s="33">
        <f>SUMIFS('Data For Calculation - Insuranc'!K:K,'Data For Calculation - Insuranc'!$A:$A,$A280)</f>
        <v>0</v>
      </c>
      <c r="CD280" s="33">
        <f>IF($CK280 = "Dealer", SUMIFS('Data For Calculation - Insuranc'!I:I,'Data For Calculation - Insuranc'!$B:$B,$A280,'Data For Calculation - Insuranc'!$H:$H,"Master Dealer")) + SUMIFS('Data For Calculation - Insuranc'!I:I,'Data For Calculation - Insuranc'!$A:$A,$A280,'Data For Calculation - Insuranc'!$H:$H,"Self")</f>
        <v>0</v>
      </c>
      <c r="CE280" s="33">
        <f>IF($CK280 = "Dealer", SUMIFS('Data For Calculation - Insuranc'!J:J,'Data For Calculation - Insuranc'!$B:$B,$A280,'Data For Calculation - Insuranc'!$H:$H,"Master Dealer")) + SUMIFS('Data For Calculation - Insuranc'!J:J,'Data For Calculation - Insuranc'!$A:$A,$A280,'Data For Calculation - Insuranc'!$H:$H,"Self")</f>
        <v>0</v>
      </c>
      <c r="CF280" s="33">
        <f>IF($CK280 = "Dealer", SUMIFS('Data For Calculation - Insuranc'!K:K,'Data For Calculation - Insuranc'!$B:$B,$A280,'Data For Calculation - Insuranc'!$H:$H,"Master Dealer")) + SUMIFS('Data For Calculation - Insuranc'!K:K,'Data For Calculation - Insuranc'!$A:$A,$A280,'Data For Calculation - Insuranc'!$H:$H,"Self")</f>
        <v>0</v>
      </c>
      <c r="CG280" s="26" t="str">
        <f>(Sheet1!N280)</f>
        <v>Gupta Automobiles - Padrauna</v>
      </c>
      <c r="CH280" s="26" t="str">
        <f>(Sheet1!O280)</f>
        <v>1Ql_6BdBcHGAyITSZt1pNUK3bW54CzeThIBXr7aH7K3Y</v>
      </c>
      <c r="CI280" s="25" t="str">
        <f>(Sheet1!AV280)</f>
        <v/>
      </c>
      <c r="CJ280" s="25" t="str">
        <f>(Sheet1!AW280)</f>
        <v/>
      </c>
      <c r="CK280" s="26" t="str">
        <f>(Sheet1!P280)</f>
        <v>Sub Dealer</v>
      </c>
    </row>
    <row r="281">
      <c r="A281" s="26" t="str">
        <f>(Sheet1!A281)</f>
        <v>1_OiNFW1L4uli0OUd47a3WJ8Vi8oF4ELvOE04d55Bxu8</v>
      </c>
      <c r="B281" s="26" t="str">
        <f>(Sheet1!B281)</f>
        <v>Aditya Automobiles (GA) - Khadda</v>
      </c>
      <c r="C281" s="30" t="str">
        <f>Sheet1!BB281</f>
        <v>No</v>
      </c>
      <c r="D281" s="34" t="s">
        <v>13</v>
      </c>
      <c r="E281" s="34" t="s">
        <v>13</v>
      </c>
      <c r="F281" s="34" t="s">
        <v>3929</v>
      </c>
      <c r="G281" s="42" t="s">
        <v>3820</v>
      </c>
      <c r="H281" s="43">
        <v>460.0</v>
      </c>
      <c r="I281" s="42" t="s">
        <v>3853</v>
      </c>
      <c r="J281" s="43">
        <v>0.0</v>
      </c>
      <c r="K281" s="43">
        <v>100.0</v>
      </c>
      <c r="L281" s="43">
        <v>0.0</v>
      </c>
      <c r="M281" s="43">
        <v>0.0</v>
      </c>
      <c r="N281" s="33">
        <f>COUNTIFS('Data For Calculation - Insuranc'!A:A,A281,'Data For Calculation - Insuranc'!D:D,"Individual",'Data For Calculation - Insuranc'!E:E,"Bundled - 1 Year OD + 5 Year TP")</f>
        <v>0</v>
      </c>
      <c r="O281" s="34" t="s">
        <v>3930</v>
      </c>
      <c r="P281" s="42" t="s">
        <v>3820</v>
      </c>
      <c r="Q281" s="43">
        <v>460.0</v>
      </c>
      <c r="R281" s="42" t="s">
        <v>3853</v>
      </c>
      <c r="S281" s="43">
        <v>0.0</v>
      </c>
      <c r="T281" s="43">
        <v>100.0</v>
      </c>
      <c r="U281" s="43">
        <v>0.0</v>
      </c>
      <c r="V281" s="43">
        <v>0.0</v>
      </c>
      <c r="W281" s="33">
        <f>COUNTIFS('Data For Calculation - Insuranc'!A:A,A281,'Data For Calculation - Insuranc'!D:D,"Company",'Data For Calculation - Insuranc'!E:E,"Bundled - 1 Year OD + 5 Year TP")</f>
        <v>0</v>
      </c>
      <c r="X281" s="34" t="s">
        <v>3929</v>
      </c>
      <c r="Y281" s="42" t="s">
        <v>3820</v>
      </c>
      <c r="Z281" s="34">
        <v>290.0</v>
      </c>
      <c r="AA281" s="34" t="s">
        <v>3853</v>
      </c>
      <c r="AB281" s="34">
        <v>0.0</v>
      </c>
      <c r="AC281" s="34">
        <v>100.0</v>
      </c>
      <c r="AD281" s="34">
        <v>0.0</v>
      </c>
      <c r="AE281" s="34">
        <v>0.0</v>
      </c>
      <c r="AF281" s="33">
        <f>COUNTIFS('Data For Calculation - Insuranc'!A:A,A281,'Data For Calculation - Insuranc'!D:D,"Individual",'Data For Calculation - Insuranc'!E:E,"Rollover Comprehensive - 1 Year OD + 1 Year TP")</f>
        <v>0</v>
      </c>
      <c r="AG281" s="34" t="s">
        <v>3930</v>
      </c>
      <c r="AH281" s="42" t="s">
        <v>3820</v>
      </c>
      <c r="AI281" s="34">
        <v>290.0</v>
      </c>
      <c r="AJ281" s="34" t="s">
        <v>3853</v>
      </c>
      <c r="AK281" s="34">
        <v>0.0</v>
      </c>
      <c r="AL281" s="34">
        <v>100.0</v>
      </c>
      <c r="AM281" s="34">
        <v>0.0</v>
      </c>
      <c r="AN281" s="34">
        <v>0.0</v>
      </c>
      <c r="AO281" s="33">
        <f>COUNTIFS('Data For Calculation - Insuranc'!A:A,A281,'Data For Calculation - Insuranc'!D:D,"Company",'Data For Calculation - Insuranc'!E:E,"Rollover Comprehensive - 1 Year OD + 1 Year TP")</f>
        <v>0</v>
      </c>
      <c r="AP281" s="34" t="s">
        <v>3931</v>
      </c>
      <c r="AQ281" s="42" t="s">
        <v>3820</v>
      </c>
      <c r="AR281" s="34">
        <v>290.0</v>
      </c>
      <c r="AS281" s="34" t="s">
        <v>3853</v>
      </c>
      <c r="AT281" s="34">
        <v>0.0</v>
      </c>
      <c r="AU281" s="34">
        <v>100.0</v>
      </c>
      <c r="AV281" s="34">
        <v>0.0</v>
      </c>
      <c r="AW281" s="34">
        <v>0.0</v>
      </c>
      <c r="AX281" s="33">
        <f>COUNTIFS('Data For Calculation - Insuranc'!A:A,A281,'Data For Calculation - Insuranc'!D:D,"Individual",'Data For Calculation - Insuranc'!E:E,"Rollover - 1 Year OD Only")</f>
        <v>0</v>
      </c>
      <c r="AY281" s="34" t="s">
        <v>3932</v>
      </c>
      <c r="AZ281" s="42" t="s">
        <v>3820</v>
      </c>
      <c r="BA281" s="34">
        <v>290.0</v>
      </c>
      <c r="BB281" s="34" t="s">
        <v>3853</v>
      </c>
      <c r="BC281" s="34">
        <v>0.0</v>
      </c>
      <c r="BD281" s="34">
        <v>100.0</v>
      </c>
      <c r="BE281" s="34">
        <v>0.0</v>
      </c>
      <c r="BF281" s="34">
        <v>0.0</v>
      </c>
      <c r="BG281" s="33">
        <f>COUNTIFS('Data For Calculation - Insuranc'!A:A,A281,'Data For Calculation - Insuranc'!D:D,"Company",'Data For Calculation - Insuranc'!E:E,"Rollover - 1 Year OD Only")</f>
        <v>0</v>
      </c>
      <c r="BH281" s="34" t="s">
        <v>3931</v>
      </c>
      <c r="BI281" s="42" t="s">
        <v>3820</v>
      </c>
      <c r="BJ281" s="34">
        <v>290.0</v>
      </c>
      <c r="BK281" s="34" t="s">
        <v>3853</v>
      </c>
      <c r="BL281" s="34">
        <v>0.0</v>
      </c>
      <c r="BM281" s="34">
        <v>100.0</v>
      </c>
      <c r="BN281" s="34">
        <v>0.0</v>
      </c>
      <c r="BO281" s="34">
        <v>0.0</v>
      </c>
      <c r="BP281" s="33">
        <f>COUNTIFS('Data For Calculation - Insuranc'!A:A,A281,'Data For Calculation - Insuranc'!D:D,"Individual",'Data For Calculation - Insuranc'!E:E,"Rollover - 1 Year TP Only")</f>
        <v>0</v>
      </c>
      <c r="BQ281" s="34" t="s">
        <v>3932</v>
      </c>
      <c r="BR281" s="42" t="s">
        <v>3820</v>
      </c>
      <c r="BS281" s="34">
        <v>290.0</v>
      </c>
      <c r="BT281" s="34" t="s">
        <v>3853</v>
      </c>
      <c r="BU281" s="34">
        <v>0.0</v>
      </c>
      <c r="BV281" s="34">
        <v>100.0</v>
      </c>
      <c r="BW281" s="34">
        <v>0.0</v>
      </c>
      <c r="BX281" s="34">
        <v>0.0</v>
      </c>
      <c r="BY281" s="33">
        <f>COUNTIFS('Data For Calculation - Insuranc'!A:A,A281,'Data For Calculation - Insuranc'!D:D,"Company",'Data For Calculation - Insuranc'!E:E,"Rollover - 1 Year TP Only")</f>
        <v>0</v>
      </c>
      <c r="BZ281" s="31">
        <f t="shared" si="1"/>
        <v>0</v>
      </c>
      <c r="CA281" s="33">
        <f>SUMIFS('Data For Calculation - Insuranc'!I:I,'Data For Calculation - Insuranc'!$A:$A,$A281)</f>
        <v>0</v>
      </c>
      <c r="CB281" s="33">
        <f>SUMIFS('Data For Calculation - Insuranc'!J:J,'Data For Calculation - Insuranc'!$A:$A,$A281)</f>
        <v>0</v>
      </c>
      <c r="CC281" s="33">
        <f>SUMIFS('Data For Calculation - Insuranc'!K:K,'Data For Calculation - Insuranc'!$A:$A,$A281)</f>
        <v>0</v>
      </c>
      <c r="CD281" s="33">
        <f>IF($CK281 = "Dealer", SUMIFS('Data For Calculation - Insuranc'!I:I,'Data For Calculation - Insuranc'!$B:$B,$A281,'Data For Calculation - Insuranc'!$H:$H,"Master Dealer")) + SUMIFS('Data For Calculation - Insuranc'!I:I,'Data For Calculation - Insuranc'!$A:$A,$A281,'Data For Calculation - Insuranc'!$H:$H,"Self")</f>
        <v>0</v>
      </c>
      <c r="CE281" s="33">
        <f>IF($CK281 = "Dealer", SUMIFS('Data For Calculation - Insuranc'!J:J,'Data For Calculation - Insuranc'!$B:$B,$A281,'Data For Calculation - Insuranc'!$H:$H,"Master Dealer")) + SUMIFS('Data For Calculation - Insuranc'!J:J,'Data For Calculation - Insuranc'!$A:$A,$A281,'Data For Calculation - Insuranc'!$H:$H,"Self")</f>
        <v>0</v>
      </c>
      <c r="CF281" s="33">
        <f>IF($CK281 = "Dealer", SUMIFS('Data For Calculation - Insuranc'!K:K,'Data For Calculation - Insuranc'!$B:$B,$A281,'Data For Calculation - Insuranc'!$H:$H,"Master Dealer")) + SUMIFS('Data For Calculation - Insuranc'!K:K,'Data For Calculation - Insuranc'!$A:$A,$A281,'Data For Calculation - Insuranc'!$H:$H,"Self")</f>
        <v>0</v>
      </c>
      <c r="CG281" s="26" t="str">
        <f>(Sheet1!N281)</f>
        <v>Gupta Automobiles - Padrauna</v>
      </c>
      <c r="CH281" s="26" t="str">
        <f>(Sheet1!O281)</f>
        <v>1Ql_6BdBcHGAyITSZt1pNUK3bW54CzeThIBXr7aH7K3Y</v>
      </c>
      <c r="CI281" s="25" t="str">
        <f>(Sheet1!AV281)</f>
        <v/>
      </c>
      <c r="CJ281" s="25" t="str">
        <f>(Sheet1!AW281)</f>
        <v/>
      </c>
      <c r="CK281" s="26" t="str">
        <f>(Sheet1!P281)</f>
        <v>Sub Dealer</v>
      </c>
    </row>
    <row r="282">
      <c r="A282" s="26" t="str">
        <f>(Sheet1!A282)</f>
        <v>1exeGOWVXOAcHuO2L4B0HTiLTrOKeCzbSH5QoO_nqQeA</v>
      </c>
      <c r="B282" s="26" t="str">
        <f>(Sheet1!B282)</f>
        <v>Madheshiya Automobile (GA) - Kaptanganj</v>
      </c>
      <c r="C282" s="30" t="str">
        <f>Sheet1!BB282</f>
        <v>No</v>
      </c>
      <c r="D282" s="34" t="s">
        <v>13</v>
      </c>
      <c r="E282" s="34" t="s">
        <v>13</v>
      </c>
      <c r="F282" s="34" t="s">
        <v>3929</v>
      </c>
      <c r="G282" s="42" t="s">
        <v>3820</v>
      </c>
      <c r="H282" s="43">
        <v>460.0</v>
      </c>
      <c r="I282" s="42" t="s">
        <v>3853</v>
      </c>
      <c r="J282" s="43">
        <v>0.0</v>
      </c>
      <c r="K282" s="43">
        <v>100.0</v>
      </c>
      <c r="L282" s="43">
        <v>0.0</v>
      </c>
      <c r="M282" s="43">
        <v>0.0</v>
      </c>
      <c r="N282" s="33">
        <f>COUNTIFS('Data For Calculation - Insuranc'!A:A,A282,'Data For Calculation - Insuranc'!D:D,"Individual",'Data For Calculation - Insuranc'!E:E,"Bundled - 1 Year OD + 5 Year TP")</f>
        <v>0</v>
      </c>
      <c r="O282" s="34" t="s">
        <v>3930</v>
      </c>
      <c r="P282" s="42" t="s">
        <v>3820</v>
      </c>
      <c r="Q282" s="43">
        <v>460.0</v>
      </c>
      <c r="R282" s="42" t="s">
        <v>3853</v>
      </c>
      <c r="S282" s="43">
        <v>0.0</v>
      </c>
      <c r="T282" s="43">
        <v>100.0</v>
      </c>
      <c r="U282" s="43">
        <v>0.0</v>
      </c>
      <c r="V282" s="43">
        <v>0.0</v>
      </c>
      <c r="W282" s="33">
        <f>COUNTIFS('Data For Calculation - Insuranc'!A:A,A282,'Data For Calculation - Insuranc'!D:D,"Company",'Data For Calculation - Insuranc'!E:E,"Bundled - 1 Year OD + 5 Year TP")</f>
        <v>0</v>
      </c>
      <c r="X282" s="34" t="s">
        <v>3929</v>
      </c>
      <c r="Y282" s="42" t="s">
        <v>3820</v>
      </c>
      <c r="Z282" s="34">
        <v>290.0</v>
      </c>
      <c r="AA282" s="34" t="s">
        <v>3853</v>
      </c>
      <c r="AB282" s="34">
        <v>0.0</v>
      </c>
      <c r="AC282" s="34">
        <v>100.0</v>
      </c>
      <c r="AD282" s="34">
        <v>0.0</v>
      </c>
      <c r="AE282" s="34">
        <v>0.0</v>
      </c>
      <c r="AF282" s="33">
        <f>COUNTIFS('Data For Calculation - Insuranc'!A:A,A282,'Data For Calculation - Insuranc'!D:D,"Individual",'Data For Calculation - Insuranc'!E:E,"Rollover Comprehensive - 1 Year OD + 1 Year TP")</f>
        <v>0</v>
      </c>
      <c r="AG282" s="34" t="s">
        <v>3930</v>
      </c>
      <c r="AH282" s="42" t="s">
        <v>3820</v>
      </c>
      <c r="AI282" s="34">
        <v>290.0</v>
      </c>
      <c r="AJ282" s="34" t="s">
        <v>3853</v>
      </c>
      <c r="AK282" s="34">
        <v>0.0</v>
      </c>
      <c r="AL282" s="34">
        <v>100.0</v>
      </c>
      <c r="AM282" s="34">
        <v>0.0</v>
      </c>
      <c r="AN282" s="34">
        <v>0.0</v>
      </c>
      <c r="AO282" s="33">
        <f>COUNTIFS('Data For Calculation - Insuranc'!A:A,A282,'Data For Calculation - Insuranc'!D:D,"Company",'Data For Calculation - Insuranc'!E:E,"Rollover Comprehensive - 1 Year OD + 1 Year TP")</f>
        <v>0</v>
      </c>
      <c r="AP282" s="34" t="s">
        <v>3931</v>
      </c>
      <c r="AQ282" s="42" t="s">
        <v>3820</v>
      </c>
      <c r="AR282" s="34">
        <v>290.0</v>
      </c>
      <c r="AS282" s="34" t="s">
        <v>3853</v>
      </c>
      <c r="AT282" s="34">
        <v>0.0</v>
      </c>
      <c r="AU282" s="34">
        <v>100.0</v>
      </c>
      <c r="AV282" s="34">
        <v>0.0</v>
      </c>
      <c r="AW282" s="34">
        <v>0.0</v>
      </c>
      <c r="AX282" s="33">
        <f>COUNTIFS('Data For Calculation - Insuranc'!A:A,A282,'Data For Calculation - Insuranc'!D:D,"Individual",'Data For Calculation - Insuranc'!E:E,"Rollover - 1 Year OD Only")</f>
        <v>0</v>
      </c>
      <c r="AY282" s="34" t="s">
        <v>3932</v>
      </c>
      <c r="AZ282" s="42" t="s">
        <v>3820</v>
      </c>
      <c r="BA282" s="34">
        <v>290.0</v>
      </c>
      <c r="BB282" s="34" t="s">
        <v>3853</v>
      </c>
      <c r="BC282" s="34">
        <v>0.0</v>
      </c>
      <c r="BD282" s="34">
        <v>100.0</v>
      </c>
      <c r="BE282" s="34">
        <v>0.0</v>
      </c>
      <c r="BF282" s="34">
        <v>0.0</v>
      </c>
      <c r="BG282" s="33">
        <f>COUNTIFS('Data For Calculation - Insuranc'!A:A,A282,'Data For Calculation - Insuranc'!D:D,"Company",'Data For Calculation - Insuranc'!E:E,"Rollover - 1 Year OD Only")</f>
        <v>0</v>
      </c>
      <c r="BH282" s="34" t="s">
        <v>3931</v>
      </c>
      <c r="BI282" s="42" t="s">
        <v>3820</v>
      </c>
      <c r="BJ282" s="34">
        <v>290.0</v>
      </c>
      <c r="BK282" s="34" t="s">
        <v>3853</v>
      </c>
      <c r="BL282" s="34">
        <v>0.0</v>
      </c>
      <c r="BM282" s="34">
        <v>100.0</v>
      </c>
      <c r="BN282" s="34">
        <v>0.0</v>
      </c>
      <c r="BO282" s="34">
        <v>0.0</v>
      </c>
      <c r="BP282" s="33">
        <f>COUNTIFS('Data For Calculation - Insuranc'!A:A,A282,'Data For Calculation - Insuranc'!D:D,"Individual",'Data For Calculation - Insuranc'!E:E,"Rollover - 1 Year TP Only")</f>
        <v>0</v>
      </c>
      <c r="BQ282" s="34" t="s">
        <v>3932</v>
      </c>
      <c r="BR282" s="42" t="s">
        <v>3820</v>
      </c>
      <c r="BS282" s="34">
        <v>290.0</v>
      </c>
      <c r="BT282" s="34" t="s">
        <v>3853</v>
      </c>
      <c r="BU282" s="34">
        <v>0.0</v>
      </c>
      <c r="BV282" s="34">
        <v>100.0</v>
      </c>
      <c r="BW282" s="34">
        <v>0.0</v>
      </c>
      <c r="BX282" s="34">
        <v>0.0</v>
      </c>
      <c r="BY282" s="33">
        <f>COUNTIFS('Data For Calculation - Insuranc'!A:A,A282,'Data For Calculation - Insuranc'!D:D,"Company",'Data For Calculation - Insuranc'!E:E,"Rollover - 1 Year TP Only")</f>
        <v>0</v>
      </c>
      <c r="BZ282" s="31">
        <f t="shared" si="1"/>
        <v>0</v>
      </c>
      <c r="CA282" s="33">
        <f>SUMIFS('Data For Calculation - Insuranc'!I:I,'Data For Calculation - Insuranc'!$A:$A,$A282)</f>
        <v>0</v>
      </c>
      <c r="CB282" s="33">
        <f>SUMIFS('Data For Calculation - Insuranc'!J:J,'Data For Calculation - Insuranc'!$A:$A,$A282)</f>
        <v>0</v>
      </c>
      <c r="CC282" s="33">
        <f>SUMIFS('Data For Calculation - Insuranc'!K:K,'Data For Calculation - Insuranc'!$A:$A,$A282)</f>
        <v>0</v>
      </c>
      <c r="CD282" s="33">
        <f>IF($CK282 = "Dealer", SUMIFS('Data For Calculation - Insuranc'!I:I,'Data For Calculation - Insuranc'!$B:$B,$A282,'Data For Calculation - Insuranc'!$H:$H,"Master Dealer")) + SUMIFS('Data For Calculation - Insuranc'!I:I,'Data For Calculation - Insuranc'!$A:$A,$A282,'Data For Calculation - Insuranc'!$H:$H,"Self")</f>
        <v>0</v>
      </c>
      <c r="CE282" s="33">
        <f>IF($CK282 = "Dealer", SUMIFS('Data For Calculation - Insuranc'!J:J,'Data For Calculation - Insuranc'!$B:$B,$A282,'Data For Calculation - Insuranc'!$H:$H,"Master Dealer")) + SUMIFS('Data For Calculation - Insuranc'!J:J,'Data For Calculation - Insuranc'!$A:$A,$A282,'Data For Calculation - Insuranc'!$H:$H,"Self")</f>
        <v>0</v>
      </c>
      <c r="CF282" s="33">
        <f>IF($CK282 = "Dealer", SUMIFS('Data For Calculation - Insuranc'!K:K,'Data For Calculation - Insuranc'!$B:$B,$A282,'Data For Calculation - Insuranc'!$H:$H,"Master Dealer")) + SUMIFS('Data For Calculation - Insuranc'!K:K,'Data For Calculation - Insuranc'!$A:$A,$A282,'Data For Calculation - Insuranc'!$H:$H,"Self")</f>
        <v>0</v>
      </c>
      <c r="CG282" s="26" t="str">
        <f>(Sheet1!N282)</f>
        <v>Gupta Automobiles - Padrauna</v>
      </c>
      <c r="CH282" s="26" t="str">
        <f>(Sheet1!O282)</f>
        <v>1Ql_6BdBcHGAyITSZt1pNUK3bW54CzeThIBXr7aH7K3Y</v>
      </c>
      <c r="CI282" s="25" t="str">
        <f>(Sheet1!AV282)</f>
        <v/>
      </c>
      <c r="CJ282" s="25" t="str">
        <f>(Sheet1!AW282)</f>
        <v/>
      </c>
      <c r="CK282" s="26" t="str">
        <f>(Sheet1!P282)</f>
        <v>Sub Dealer</v>
      </c>
    </row>
    <row r="283">
      <c r="A283" s="26" t="str">
        <f>(Sheet1!A283)</f>
        <v>1j6kSc9K8tCblFNSj_E0V1RN6vamZO2mUImuRcmAEmTA</v>
      </c>
      <c r="B283" s="26" t="str">
        <f>(Sheet1!B283)</f>
        <v>Gautam Automobiles (GA) - Bodarwar</v>
      </c>
      <c r="C283" s="30" t="str">
        <f>Sheet1!BB283</f>
        <v>No</v>
      </c>
      <c r="D283" s="34" t="s">
        <v>13</v>
      </c>
      <c r="E283" s="34" t="s">
        <v>13</v>
      </c>
      <c r="F283" s="34" t="s">
        <v>3929</v>
      </c>
      <c r="G283" s="42" t="s">
        <v>3820</v>
      </c>
      <c r="H283" s="43">
        <v>460.0</v>
      </c>
      <c r="I283" s="42" t="s">
        <v>3853</v>
      </c>
      <c r="J283" s="43">
        <v>0.0</v>
      </c>
      <c r="K283" s="43">
        <v>100.0</v>
      </c>
      <c r="L283" s="43">
        <v>0.0</v>
      </c>
      <c r="M283" s="43">
        <v>0.0</v>
      </c>
      <c r="N283" s="33">
        <f>COUNTIFS('Data For Calculation - Insuranc'!A:A,A283,'Data For Calculation - Insuranc'!D:D,"Individual",'Data For Calculation - Insuranc'!E:E,"Bundled - 1 Year OD + 5 Year TP")</f>
        <v>0</v>
      </c>
      <c r="O283" s="34" t="s">
        <v>3930</v>
      </c>
      <c r="P283" s="42" t="s">
        <v>3820</v>
      </c>
      <c r="Q283" s="43">
        <v>460.0</v>
      </c>
      <c r="R283" s="42" t="s">
        <v>3853</v>
      </c>
      <c r="S283" s="43">
        <v>0.0</v>
      </c>
      <c r="T283" s="43">
        <v>100.0</v>
      </c>
      <c r="U283" s="43">
        <v>0.0</v>
      </c>
      <c r="V283" s="43">
        <v>0.0</v>
      </c>
      <c r="W283" s="33">
        <f>COUNTIFS('Data For Calculation - Insuranc'!A:A,A283,'Data For Calculation - Insuranc'!D:D,"Company",'Data For Calculation - Insuranc'!E:E,"Bundled - 1 Year OD + 5 Year TP")</f>
        <v>0</v>
      </c>
      <c r="X283" s="34" t="s">
        <v>3929</v>
      </c>
      <c r="Y283" s="42" t="s">
        <v>3820</v>
      </c>
      <c r="Z283" s="34">
        <v>290.0</v>
      </c>
      <c r="AA283" s="34" t="s">
        <v>3853</v>
      </c>
      <c r="AB283" s="34">
        <v>0.0</v>
      </c>
      <c r="AC283" s="34">
        <v>100.0</v>
      </c>
      <c r="AD283" s="34">
        <v>0.0</v>
      </c>
      <c r="AE283" s="34">
        <v>0.0</v>
      </c>
      <c r="AF283" s="33">
        <f>COUNTIFS('Data For Calculation - Insuranc'!A:A,A283,'Data For Calculation - Insuranc'!D:D,"Individual",'Data For Calculation - Insuranc'!E:E,"Rollover Comprehensive - 1 Year OD + 1 Year TP")</f>
        <v>0</v>
      </c>
      <c r="AG283" s="34" t="s">
        <v>3930</v>
      </c>
      <c r="AH283" s="42" t="s">
        <v>3820</v>
      </c>
      <c r="AI283" s="34">
        <v>290.0</v>
      </c>
      <c r="AJ283" s="34" t="s">
        <v>3853</v>
      </c>
      <c r="AK283" s="34">
        <v>0.0</v>
      </c>
      <c r="AL283" s="34">
        <v>100.0</v>
      </c>
      <c r="AM283" s="34">
        <v>0.0</v>
      </c>
      <c r="AN283" s="34">
        <v>0.0</v>
      </c>
      <c r="AO283" s="33">
        <f>COUNTIFS('Data For Calculation - Insuranc'!A:A,A283,'Data For Calculation - Insuranc'!D:D,"Company",'Data For Calculation - Insuranc'!E:E,"Rollover Comprehensive - 1 Year OD + 1 Year TP")</f>
        <v>0</v>
      </c>
      <c r="AP283" s="34" t="s">
        <v>3931</v>
      </c>
      <c r="AQ283" s="42" t="s">
        <v>3820</v>
      </c>
      <c r="AR283" s="34">
        <v>290.0</v>
      </c>
      <c r="AS283" s="34" t="s">
        <v>3853</v>
      </c>
      <c r="AT283" s="34">
        <v>0.0</v>
      </c>
      <c r="AU283" s="34">
        <v>100.0</v>
      </c>
      <c r="AV283" s="34">
        <v>0.0</v>
      </c>
      <c r="AW283" s="34">
        <v>0.0</v>
      </c>
      <c r="AX283" s="33">
        <f>COUNTIFS('Data For Calculation - Insuranc'!A:A,A283,'Data For Calculation - Insuranc'!D:D,"Individual",'Data For Calculation - Insuranc'!E:E,"Rollover - 1 Year OD Only")</f>
        <v>0</v>
      </c>
      <c r="AY283" s="34" t="s">
        <v>3932</v>
      </c>
      <c r="AZ283" s="42" t="s">
        <v>3820</v>
      </c>
      <c r="BA283" s="34">
        <v>290.0</v>
      </c>
      <c r="BB283" s="34" t="s">
        <v>3853</v>
      </c>
      <c r="BC283" s="34">
        <v>0.0</v>
      </c>
      <c r="BD283" s="34">
        <v>100.0</v>
      </c>
      <c r="BE283" s="34">
        <v>0.0</v>
      </c>
      <c r="BF283" s="34">
        <v>0.0</v>
      </c>
      <c r="BG283" s="33">
        <f>COUNTIFS('Data For Calculation - Insuranc'!A:A,A283,'Data For Calculation - Insuranc'!D:D,"Company",'Data For Calculation - Insuranc'!E:E,"Rollover - 1 Year OD Only")</f>
        <v>0</v>
      </c>
      <c r="BH283" s="34" t="s">
        <v>3931</v>
      </c>
      <c r="BI283" s="42" t="s">
        <v>3820</v>
      </c>
      <c r="BJ283" s="34">
        <v>290.0</v>
      </c>
      <c r="BK283" s="34" t="s">
        <v>3853</v>
      </c>
      <c r="BL283" s="34">
        <v>0.0</v>
      </c>
      <c r="BM283" s="34">
        <v>100.0</v>
      </c>
      <c r="BN283" s="34">
        <v>0.0</v>
      </c>
      <c r="BO283" s="34">
        <v>0.0</v>
      </c>
      <c r="BP283" s="33">
        <f>COUNTIFS('Data For Calculation - Insuranc'!A:A,A283,'Data For Calculation - Insuranc'!D:D,"Individual",'Data For Calculation - Insuranc'!E:E,"Rollover - 1 Year TP Only")</f>
        <v>0</v>
      </c>
      <c r="BQ283" s="34" t="s">
        <v>3932</v>
      </c>
      <c r="BR283" s="42" t="s">
        <v>3820</v>
      </c>
      <c r="BS283" s="34">
        <v>290.0</v>
      </c>
      <c r="BT283" s="34" t="s">
        <v>3853</v>
      </c>
      <c r="BU283" s="34">
        <v>0.0</v>
      </c>
      <c r="BV283" s="34">
        <v>100.0</v>
      </c>
      <c r="BW283" s="34">
        <v>0.0</v>
      </c>
      <c r="BX283" s="34">
        <v>0.0</v>
      </c>
      <c r="BY283" s="33">
        <f>COUNTIFS('Data For Calculation - Insuranc'!A:A,A283,'Data For Calculation - Insuranc'!D:D,"Company",'Data For Calculation - Insuranc'!E:E,"Rollover - 1 Year TP Only")</f>
        <v>0</v>
      </c>
      <c r="BZ283" s="31">
        <f t="shared" si="1"/>
        <v>0</v>
      </c>
      <c r="CA283" s="33">
        <f>SUMIFS('Data For Calculation - Insuranc'!I:I,'Data For Calculation - Insuranc'!$A:$A,$A283)</f>
        <v>0</v>
      </c>
      <c r="CB283" s="33">
        <f>SUMIFS('Data For Calculation - Insuranc'!J:J,'Data For Calculation - Insuranc'!$A:$A,$A283)</f>
        <v>0</v>
      </c>
      <c r="CC283" s="33">
        <f>SUMIFS('Data For Calculation - Insuranc'!K:K,'Data For Calculation - Insuranc'!$A:$A,$A283)</f>
        <v>0</v>
      </c>
      <c r="CD283" s="33">
        <f>IF($CK283 = "Dealer", SUMIFS('Data For Calculation - Insuranc'!I:I,'Data For Calculation - Insuranc'!$B:$B,$A283,'Data For Calculation - Insuranc'!$H:$H,"Master Dealer")) + SUMIFS('Data For Calculation - Insuranc'!I:I,'Data For Calculation - Insuranc'!$A:$A,$A283,'Data For Calculation - Insuranc'!$H:$H,"Self")</f>
        <v>0</v>
      </c>
      <c r="CE283" s="33">
        <f>IF($CK283 = "Dealer", SUMIFS('Data For Calculation - Insuranc'!J:J,'Data For Calculation - Insuranc'!$B:$B,$A283,'Data For Calculation - Insuranc'!$H:$H,"Master Dealer")) + SUMIFS('Data For Calculation - Insuranc'!J:J,'Data For Calculation - Insuranc'!$A:$A,$A283,'Data For Calculation - Insuranc'!$H:$H,"Self")</f>
        <v>0</v>
      </c>
      <c r="CF283" s="33">
        <f>IF($CK283 = "Dealer", SUMIFS('Data For Calculation - Insuranc'!K:K,'Data For Calculation - Insuranc'!$B:$B,$A283,'Data For Calculation - Insuranc'!$H:$H,"Master Dealer")) + SUMIFS('Data For Calculation - Insuranc'!K:K,'Data For Calculation - Insuranc'!$A:$A,$A283,'Data For Calculation - Insuranc'!$H:$H,"Self")</f>
        <v>0</v>
      </c>
      <c r="CG283" s="26" t="str">
        <f>(Sheet1!N283)</f>
        <v>Gupta Automobiles - Padrauna</v>
      </c>
      <c r="CH283" s="26" t="str">
        <f>(Sheet1!O283)</f>
        <v>1Ql_6BdBcHGAyITSZt1pNUK3bW54CzeThIBXr7aH7K3Y</v>
      </c>
      <c r="CI283" s="25" t="str">
        <f>(Sheet1!AV283)</f>
        <v/>
      </c>
      <c r="CJ283" s="25" t="str">
        <f>(Sheet1!AW283)</f>
        <v/>
      </c>
      <c r="CK283" s="26" t="str">
        <f>(Sheet1!P283)</f>
        <v>Sub Dealer</v>
      </c>
    </row>
    <row r="284">
      <c r="A284" s="26" t="str">
        <f>(Sheet1!A284)</f>
        <v>1fv8dWFkW6b7Hzi-3JpJOz2oZJtF8mmvQvdvX2JWmNEQ</v>
      </c>
      <c r="B284" s="26" t="str">
        <f>(Sheet1!B284)</f>
        <v>Ditya Automobiles - Samaur Bazar</v>
      </c>
      <c r="C284" s="30" t="str">
        <f>Sheet1!BB284</f>
        <v>No</v>
      </c>
      <c r="D284" s="34" t="s">
        <v>13</v>
      </c>
      <c r="E284" s="34" t="s">
        <v>13</v>
      </c>
      <c r="F284" s="34" t="s">
        <v>3929</v>
      </c>
      <c r="G284" s="42" t="s">
        <v>3820</v>
      </c>
      <c r="H284" s="43">
        <v>460.0</v>
      </c>
      <c r="I284" s="42" t="s">
        <v>3853</v>
      </c>
      <c r="J284" s="43">
        <v>0.0</v>
      </c>
      <c r="K284" s="43">
        <v>100.0</v>
      </c>
      <c r="L284" s="43">
        <v>0.0</v>
      </c>
      <c r="M284" s="43">
        <v>0.0</v>
      </c>
      <c r="N284" s="33">
        <f>COUNTIFS('Data For Calculation - Insuranc'!A:A,A284,'Data For Calculation - Insuranc'!D:D,"Individual",'Data For Calculation - Insuranc'!E:E,"Bundled - 1 Year OD + 5 Year TP")</f>
        <v>0</v>
      </c>
      <c r="O284" s="34" t="s">
        <v>3930</v>
      </c>
      <c r="P284" s="42" t="s">
        <v>3820</v>
      </c>
      <c r="Q284" s="43">
        <v>460.0</v>
      </c>
      <c r="R284" s="42" t="s">
        <v>3853</v>
      </c>
      <c r="S284" s="43">
        <v>0.0</v>
      </c>
      <c r="T284" s="43">
        <v>100.0</v>
      </c>
      <c r="U284" s="43">
        <v>0.0</v>
      </c>
      <c r="V284" s="43">
        <v>0.0</v>
      </c>
      <c r="W284" s="33">
        <f>COUNTIFS('Data For Calculation - Insuranc'!A:A,A284,'Data For Calculation - Insuranc'!D:D,"Company",'Data For Calculation - Insuranc'!E:E,"Bundled - 1 Year OD + 5 Year TP")</f>
        <v>0</v>
      </c>
      <c r="X284" s="34" t="s">
        <v>3929</v>
      </c>
      <c r="Y284" s="42" t="s">
        <v>3820</v>
      </c>
      <c r="Z284" s="34">
        <v>290.0</v>
      </c>
      <c r="AA284" s="34" t="s">
        <v>3853</v>
      </c>
      <c r="AB284" s="34">
        <v>0.0</v>
      </c>
      <c r="AC284" s="34">
        <v>100.0</v>
      </c>
      <c r="AD284" s="34">
        <v>0.0</v>
      </c>
      <c r="AE284" s="34">
        <v>0.0</v>
      </c>
      <c r="AF284" s="33">
        <f>COUNTIFS('Data For Calculation - Insuranc'!A:A,A284,'Data For Calculation - Insuranc'!D:D,"Individual",'Data For Calculation - Insuranc'!E:E,"Rollover Comprehensive - 1 Year OD + 1 Year TP")</f>
        <v>0</v>
      </c>
      <c r="AG284" s="34" t="s">
        <v>3930</v>
      </c>
      <c r="AH284" s="42" t="s">
        <v>3820</v>
      </c>
      <c r="AI284" s="34">
        <v>290.0</v>
      </c>
      <c r="AJ284" s="34" t="s">
        <v>3853</v>
      </c>
      <c r="AK284" s="34">
        <v>0.0</v>
      </c>
      <c r="AL284" s="34">
        <v>100.0</v>
      </c>
      <c r="AM284" s="34">
        <v>0.0</v>
      </c>
      <c r="AN284" s="34">
        <v>0.0</v>
      </c>
      <c r="AO284" s="33">
        <f>COUNTIFS('Data For Calculation - Insuranc'!A:A,A284,'Data For Calculation - Insuranc'!D:D,"Company",'Data For Calculation - Insuranc'!E:E,"Rollover Comprehensive - 1 Year OD + 1 Year TP")</f>
        <v>0</v>
      </c>
      <c r="AP284" s="34" t="s">
        <v>3931</v>
      </c>
      <c r="AQ284" s="42" t="s">
        <v>3820</v>
      </c>
      <c r="AR284" s="34">
        <v>290.0</v>
      </c>
      <c r="AS284" s="34" t="s">
        <v>3853</v>
      </c>
      <c r="AT284" s="34">
        <v>0.0</v>
      </c>
      <c r="AU284" s="34">
        <v>100.0</v>
      </c>
      <c r="AV284" s="34">
        <v>0.0</v>
      </c>
      <c r="AW284" s="34">
        <v>0.0</v>
      </c>
      <c r="AX284" s="33">
        <f>COUNTIFS('Data For Calculation - Insuranc'!A:A,A284,'Data For Calculation - Insuranc'!D:D,"Individual",'Data For Calculation - Insuranc'!E:E,"Rollover - 1 Year OD Only")</f>
        <v>0</v>
      </c>
      <c r="AY284" s="34" t="s">
        <v>3932</v>
      </c>
      <c r="AZ284" s="42" t="s">
        <v>3820</v>
      </c>
      <c r="BA284" s="34">
        <v>290.0</v>
      </c>
      <c r="BB284" s="34" t="s">
        <v>3853</v>
      </c>
      <c r="BC284" s="34">
        <v>0.0</v>
      </c>
      <c r="BD284" s="34">
        <v>100.0</v>
      </c>
      <c r="BE284" s="34">
        <v>0.0</v>
      </c>
      <c r="BF284" s="34">
        <v>0.0</v>
      </c>
      <c r="BG284" s="33">
        <f>COUNTIFS('Data For Calculation - Insuranc'!A:A,A284,'Data For Calculation - Insuranc'!D:D,"Company",'Data For Calculation - Insuranc'!E:E,"Rollover - 1 Year OD Only")</f>
        <v>0</v>
      </c>
      <c r="BH284" s="34" t="s">
        <v>3931</v>
      </c>
      <c r="BI284" s="42" t="s">
        <v>3820</v>
      </c>
      <c r="BJ284" s="34">
        <v>290.0</v>
      </c>
      <c r="BK284" s="34" t="s">
        <v>3853</v>
      </c>
      <c r="BL284" s="34">
        <v>0.0</v>
      </c>
      <c r="BM284" s="34">
        <v>100.0</v>
      </c>
      <c r="BN284" s="34">
        <v>0.0</v>
      </c>
      <c r="BO284" s="34">
        <v>0.0</v>
      </c>
      <c r="BP284" s="33">
        <f>COUNTIFS('Data For Calculation - Insuranc'!A:A,A284,'Data For Calculation - Insuranc'!D:D,"Individual",'Data For Calculation - Insuranc'!E:E,"Rollover - 1 Year TP Only")</f>
        <v>0</v>
      </c>
      <c r="BQ284" s="34" t="s">
        <v>3932</v>
      </c>
      <c r="BR284" s="42" t="s">
        <v>3820</v>
      </c>
      <c r="BS284" s="34">
        <v>290.0</v>
      </c>
      <c r="BT284" s="34" t="s">
        <v>3853</v>
      </c>
      <c r="BU284" s="34">
        <v>0.0</v>
      </c>
      <c r="BV284" s="34">
        <v>100.0</v>
      </c>
      <c r="BW284" s="34">
        <v>0.0</v>
      </c>
      <c r="BX284" s="34">
        <v>0.0</v>
      </c>
      <c r="BY284" s="33">
        <f>COUNTIFS('Data For Calculation - Insuranc'!A:A,A284,'Data For Calculation - Insuranc'!D:D,"Company",'Data For Calculation - Insuranc'!E:E,"Rollover - 1 Year TP Only")</f>
        <v>0</v>
      </c>
      <c r="BZ284" s="31">
        <f t="shared" si="1"/>
        <v>0</v>
      </c>
      <c r="CA284" s="33">
        <f>SUMIFS('Data For Calculation - Insuranc'!I:I,'Data For Calculation - Insuranc'!$A:$A,$A284)</f>
        <v>0</v>
      </c>
      <c r="CB284" s="33">
        <f>SUMIFS('Data For Calculation - Insuranc'!J:J,'Data For Calculation - Insuranc'!$A:$A,$A284)</f>
        <v>0</v>
      </c>
      <c r="CC284" s="33">
        <f>SUMIFS('Data For Calculation - Insuranc'!K:K,'Data For Calculation - Insuranc'!$A:$A,$A284)</f>
        <v>0</v>
      </c>
      <c r="CD284" s="33">
        <f>IF($CK284 = "Dealer", SUMIFS('Data For Calculation - Insuranc'!I:I,'Data For Calculation - Insuranc'!$B:$B,$A284,'Data For Calculation - Insuranc'!$H:$H,"Master Dealer")) + SUMIFS('Data For Calculation - Insuranc'!I:I,'Data For Calculation - Insuranc'!$A:$A,$A284,'Data For Calculation - Insuranc'!$H:$H,"Self")</f>
        <v>0</v>
      </c>
      <c r="CE284" s="33">
        <f>IF($CK284 = "Dealer", SUMIFS('Data For Calculation - Insuranc'!J:J,'Data For Calculation - Insuranc'!$B:$B,$A284,'Data For Calculation - Insuranc'!$H:$H,"Master Dealer")) + SUMIFS('Data For Calculation - Insuranc'!J:J,'Data For Calculation - Insuranc'!$A:$A,$A284,'Data For Calculation - Insuranc'!$H:$H,"Self")</f>
        <v>0</v>
      </c>
      <c r="CF284" s="33">
        <f>IF($CK284 = "Dealer", SUMIFS('Data For Calculation - Insuranc'!K:K,'Data For Calculation - Insuranc'!$B:$B,$A284,'Data For Calculation - Insuranc'!$H:$H,"Master Dealer")) + SUMIFS('Data For Calculation - Insuranc'!K:K,'Data For Calculation - Insuranc'!$A:$A,$A284,'Data For Calculation - Insuranc'!$H:$H,"Self")</f>
        <v>0</v>
      </c>
      <c r="CG284" s="26" t="str">
        <f>(Sheet1!N284)</f>
        <v>Gupta Automobiles - Padrauna</v>
      </c>
      <c r="CH284" s="26" t="str">
        <f>(Sheet1!O284)</f>
        <v>1Ql_6BdBcHGAyITSZt1pNUK3bW54CzeThIBXr7aH7K3Y</v>
      </c>
      <c r="CI284" s="25" t="str">
        <f>(Sheet1!AV284)</f>
        <v/>
      </c>
      <c r="CJ284" s="25" t="str">
        <f>(Sheet1!AW284)</f>
        <v/>
      </c>
      <c r="CK284" s="26" t="str">
        <f>(Sheet1!P284)</f>
        <v>Sub Dealer</v>
      </c>
    </row>
    <row r="285">
      <c r="A285" s="26" t="str">
        <f>(Sheet1!A285)</f>
        <v>1W3-jZjI2u0tVYh2hYKl3zGL5m_jhz5IRzXYj0clftmM</v>
      </c>
      <c r="B285" s="26" t="str">
        <f>(Sheet1!B285)</f>
        <v>Shiv Automobiles (GA) - Sukrauli</v>
      </c>
      <c r="C285" s="30" t="str">
        <f>Sheet1!BB285</f>
        <v>No</v>
      </c>
      <c r="D285" s="34" t="s">
        <v>13</v>
      </c>
      <c r="E285" s="34" t="s">
        <v>13</v>
      </c>
      <c r="F285" s="34" t="s">
        <v>3929</v>
      </c>
      <c r="G285" s="42" t="s">
        <v>3820</v>
      </c>
      <c r="H285" s="43">
        <v>460.0</v>
      </c>
      <c r="I285" s="42" t="s">
        <v>3853</v>
      </c>
      <c r="J285" s="43">
        <v>0.0</v>
      </c>
      <c r="K285" s="43">
        <v>100.0</v>
      </c>
      <c r="L285" s="43">
        <v>0.0</v>
      </c>
      <c r="M285" s="43">
        <v>0.0</v>
      </c>
      <c r="N285" s="33">
        <f>COUNTIFS('Data For Calculation - Insuranc'!A:A,A285,'Data For Calculation - Insuranc'!D:D,"Individual",'Data For Calculation - Insuranc'!E:E,"Bundled - 1 Year OD + 5 Year TP")</f>
        <v>0</v>
      </c>
      <c r="O285" s="34" t="s">
        <v>3930</v>
      </c>
      <c r="P285" s="42" t="s">
        <v>3820</v>
      </c>
      <c r="Q285" s="43">
        <v>460.0</v>
      </c>
      <c r="R285" s="42" t="s">
        <v>3853</v>
      </c>
      <c r="S285" s="43">
        <v>0.0</v>
      </c>
      <c r="T285" s="43">
        <v>100.0</v>
      </c>
      <c r="U285" s="43">
        <v>0.0</v>
      </c>
      <c r="V285" s="43">
        <v>0.0</v>
      </c>
      <c r="W285" s="33">
        <f>COUNTIFS('Data For Calculation - Insuranc'!A:A,A285,'Data For Calculation - Insuranc'!D:D,"Company",'Data For Calculation - Insuranc'!E:E,"Bundled - 1 Year OD + 5 Year TP")</f>
        <v>0</v>
      </c>
      <c r="X285" s="34" t="s">
        <v>3929</v>
      </c>
      <c r="Y285" s="42" t="s">
        <v>3820</v>
      </c>
      <c r="Z285" s="34">
        <v>290.0</v>
      </c>
      <c r="AA285" s="34" t="s">
        <v>3853</v>
      </c>
      <c r="AB285" s="34">
        <v>0.0</v>
      </c>
      <c r="AC285" s="34">
        <v>100.0</v>
      </c>
      <c r="AD285" s="34">
        <v>0.0</v>
      </c>
      <c r="AE285" s="34">
        <v>0.0</v>
      </c>
      <c r="AF285" s="33">
        <f>COUNTIFS('Data For Calculation - Insuranc'!A:A,A285,'Data For Calculation - Insuranc'!D:D,"Individual",'Data For Calculation - Insuranc'!E:E,"Rollover Comprehensive - 1 Year OD + 1 Year TP")</f>
        <v>0</v>
      </c>
      <c r="AG285" s="34" t="s">
        <v>3930</v>
      </c>
      <c r="AH285" s="42" t="s">
        <v>3820</v>
      </c>
      <c r="AI285" s="34">
        <v>290.0</v>
      </c>
      <c r="AJ285" s="34" t="s">
        <v>3853</v>
      </c>
      <c r="AK285" s="34">
        <v>0.0</v>
      </c>
      <c r="AL285" s="34">
        <v>100.0</v>
      </c>
      <c r="AM285" s="34">
        <v>0.0</v>
      </c>
      <c r="AN285" s="34">
        <v>0.0</v>
      </c>
      <c r="AO285" s="33">
        <f>COUNTIFS('Data For Calculation - Insuranc'!A:A,A285,'Data For Calculation - Insuranc'!D:D,"Company",'Data For Calculation - Insuranc'!E:E,"Rollover Comprehensive - 1 Year OD + 1 Year TP")</f>
        <v>0</v>
      </c>
      <c r="AP285" s="34" t="s">
        <v>3931</v>
      </c>
      <c r="AQ285" s="42" t="s">
        <v>3820</v>
      </c>
      <c r="AR285" s="34">
        <v>290.0</v>
      </c>
      <c r="AS285" s="34" t="s">
        <v>3853</v>
      </c>
      <c r="AT285" s="34">
        <v>0.0</v>
      </c>
      <c r="AU285" s="34">
        <v>100.0</v>
      </c>
      <c r="AV285" s="34">
        <v>0.0</v>
      </c>
      <c r="AW285" s="34">
        <v>0.0</v>
      </c>
      <c r="AX285" s="33">
        <f>COUNTIFS('Data For Calculation - Insuranc'!A:A,A285,'Data For Calculation - Insuranc'!D:D,"Individual",'Data For Calculation - Insuranc'!E:E,"Rollover - 1 Year OD Only")</f>
        <v>0</v>
      </c>
      <c r="AY285" s="34" t="s">
        <v>3932</v>
      </c>
      <c r="AZ285" s="42" t="s">
        <v>3820</v>
      </c>
      <c r="BA285" s="34">
        <v>290.0</v>
      </c>
      <c r="BB285" s="34" t="s">
        <v>3853</v>
      </c>
      <c r="BC285" s="34">
        <v>0.0</v>
      </c>
      <c r="BD285" s="34">
        <v>100.0</v>
      </c>
      <c r="BE285" s="34">
        <v>0.0</v>
      </c>
      <c r="BF285" s="34">
        <v>0.0</v>
      </c>
      <c r="BG285" s="33">
        <f>COUNTIFS('Data For Calculation - Insuranc'!A:A,A285,'Data For Calculation - Insuranc'!D:D,"Company",'Data For Calculation - Insuranc'!E:E,"Rollover - 1 Year OD Only")</f>
        <v>0</v>
      </c>
      <c r="BH285" s="34" t="s">
        <v>3931</v>
      </c>
      <c r="BI285" s="42" t="s">
        <v>3820</v>
      </c>
      <c r="BJ285" s="34">
        <v>290.0</v>
      </c>
      <c r="BK285" s="34" t="s">
        <v>3853</v>
      </c>
      <c r="BL285" s="34">
        <v>0.0</v>
      </c>
      <c r="BM285" s="34">
        <v>100.0</v>
      </c>
      <c r="BN285" s="34">
        <v>0.0</v>
      </c>
      <c r="BO285" s="34">
        <v>0.0</v>
      </c>
      <c r="BP285" s="33">
        <f>COUNTIFS('Data For Calculation - Insuranc'!A:A,A285,'Data For Calculation - Insuranc'!D:D,"Individual",'Data For Calculation - Insuranc'!E:E,"Rollover - 1 Year TP Only")</f>
        <v>0</v>
      </c>
      <c r="BQ285" s="34" t="s">
        <v>3932</v>
      </c>
      <c r="BR285" s="42" t="s">
        <v>3820</v>
      </c>
      <c r="BS285" s="34">
        <v>290.0</v>
      </c>
      <c r="BT285" s="34" t="s">
        <v>3853</v>
      </c>
      <c r="BU285" s="34">
        <v>0.0</v>
      </c>
      <c r="BV285" s="34">
        <v>100.0</v>
      </c>
      <c r="BW285" s="34">
        <v>0.0</v>
      </c>
      <c r="BX285" s="34">
        <v>0.0</v>
      </c>
      <c r="BY285" s="33">
        <f>COUNTIFS('Data For Calculation - Insuranc'!A:A,A285,'Data For Calculation - Insuranc'!D:D,"Company",'Data For Calculation - Insuranc'!E:E,"Rollover - 1 Year TP Only")</f>
        <v>0</v>
      </c>
      <c r="BZ285" s="31">
        <f t="shared" si="1"/>
        <v>0</v>
      </c>
      <c r="CA285" s="33">
        <f>SUMIFS('Data For Calculation - Insuranc'!I:I,'Data For Calculation - Insuranc'!$A:$A,$A285)</f>
        <v>0</v>
      </c>
      <c r="CB285" s="33">
        <f>SUMIFS('Data For Calculation - Insuranc'!J:J,'Data For Calculation - Insuranc'!$A:$A,$A285)</f>
        <v>0</v>
      </c>
      <c r="CC285" s="33">
        <f>SUMIFS('Data For Calculation - Insuranc'!K:K,'Data For Calculation - Insuranc'!$A:$A,$A285)</f>
        <v>0</v>
      </c>
      <c r="CD285" s="33">
        <f>IF($CK285 = "Dealer", SUMIFS('Data For Calculation - Insuranc'!I:I,'Data For Calculation - Insuranc'!$B:$B,$A285,'Data For Calculation - Insuranc'!$H:$H,"Master Dealer")) + SUMIFS('Data For Calculation - Insuranc'!I:I,'Data For Calculation - Insuranc'!$A:$A,$A285,'Data For Calculation - Insuranc'!$H:$H,"Self")</f>
        <v>0</v>
      </c>
      <c r="CE285" s="33">
        <f>IF($CK285 = "Dealer", SUMIFS('Data For Calculation - Insuranc'!J:J,'Data For Calculation - Insuranc'!$B:$B,$A285,'Data For Calculation - Insuranc'!$H:$H,"Master Dealer")) + SUMIFS('Data For Calculation - Insuranc'!J:J,'Data For Calculation - Insuranc'!$A:$A,$A285,'Data For Calculation - Insuranc'!$H:$H,"Self")</f>
        <v>0</v>
      </c>
      <c r="CF285" s="33">
        <f>IF($CK285 = "Dealer", SUMIFS('Data For Calculation - Insuranc'!K:K,'Data For Calculation - Insuranc'!$B:$B,$A285,'Data For Calculation - Insuranc'!$H:$H,"Master Dealer")) + SUMIFS('Data For Calculation - Insuranc'!K:K,'Data For Calculation - Insuranc'!$A:$A,$A285,'Data For Calculation - Insuranc'!$H:$H,"Self")</f>
        <v>0</v>
      </c>
      <c r="CG285" s="26" t="str">
        <f>(Sheet1!N285)</f>
        <v>Gupta Automobiles - Padrauna</v>
      </c>
      <c r="CH285" s="26" t="str">
        <f>(Sheet1!O285)</f>
        <v>1Ql_6BdBcHGAyITSZt1pNUK3bW54CzeThIBXr7aH7K3Y</v>
      </c>
      <c r="CI285" s="25" t="str">
        <f>(Sheet1!AV285)</f>
        <v/>
      </c>
      <c r="CJ285" s="25" t="str">
        <f>(Sheet1!AW285)</f>
        <v/>
      </c>
      <c r="CK285" s="26" t="str">
        <f>(Sheet1!P285)</f>
        <v>Sub Dealer</v>
      </c>
    </row>
    <row r="286">
      <c r="A286" s="26" t="str">
        <f>(Sheet1!A286)</f>
        <v>1Rt3N-j0r2Em5s4csoiyfu2dZgRIzx0sNXUWimr9m_U4</v>
      </c>
      <c r="B286" s="26" t="str">
        <f>(Sheet1!B286)</f>
        <v>Kanha Motors (GA) - Captainganj</v>
      </c>
      <c r="C286" s="30" t="str">
        <f>Sheet1!BB286</f>
        <v>No</v>
      </c>
      <c r="D286" s="34" t="s">
        <v>13</v>
      </c>
      <c r="E286" s="34" t="s">
        <v>13</v>
      </c>
      <c r="F286" s="34" t="s">
        <v>3929</v>
      </c>
      <c r="G286" s="42" t="s">
        <v>3820</v>
      </c>
      <c r="H286" s="43">
        <v>460.0</v>
      </c>
      <c r="I286" s="42" t="s">
        <v>3853</v>
      </c>
      <c r="J286" s="43">
        <v>0.0</v>
      </c>
      <c r="K286" s="43">
        <v>100.0</v>
      </c>
      <c r="L286" s="43">
        <v>0.0</v>
      </c>
      <c r="M286" s="43">
        <v>0.0</v>
      </c>
      <c r="N286" s="33">
        <f>COUNTIFS('Data For Calculation - Insuranc'!A:A,A286,'Data For Calculation - Insuranc'!D:D,"Individual",'Data For Calculation - Insuranc'!E:E,"Bundled - 1 Year OD + 5 Year TP")</f>
        <v>0</v>
      </c>
      <c r="O286" s="34" t="s">
        <v>3930</v>
      </c>
      <c r="P286" s="42" t="s">
        <v>3820</v>
      </c>
      <c r="Q286" s="43">
        <v>460.0</v>
      </c>
      <c r="R286" s="42" t="s">
        <v>3853</v>
      </c>
      <c r="S286" s="43">
        <v>0.0</v>
      </c>
      <c r="T286" s="43">
        <v>100.0</v>
      </c>
      <c r="U286" s="43">
        <v>0.0</v>
      </c>
      <c r="V286" s="43">
        <v>0.0</v>
      </c>
      <c r="W286" s="33">
        <f>COUNTIFS('Data For Calculation - Insuranc'!A:A,A286,'Data For Calculation - Insuranc'!D:D,"Company",'Data For Calculation - Insuranc'!E:E,"Bundled - 1 Year OD + 5 Year TP")</f>
        <v>0</v>
      </c>
      <c r="X286" s="34" t="s">
        <v>3929</v>
      </c>
      <c r="Y286" s="42" t="s">
        <v>3820</v>
      </c>
      <c r="Z286" s="34">
        <v>290.0</v>
      </c>
      <c r="AA286" s="34" t="s">
        <v>3853</v>
      </c>
      <c r="AB286" s="34">
        <v>0.0</v>
      </c>
      <c r="AC286" s="34">
        <v>100.0</v>
      </c>
      <c r="AD286" s="34">
        <v>0.0</v>
      </c>
      <c r="AE286" s="34">
        <v>0.0</v>
      </c>
      <c r="AF286" s="33">
        <f>COUNTIFS('Data For Calculation - Insuranc'!A:A,A286,'Data For Calculation - Insuranc'!D:D,"Individual",'Data For Calculation - Insuranc'!E:E,"Rollover Comprehensive - 1 Year OD + 1 Year TP")</f>
        <v>0</v>
      </c>
      <c r="AG286" s="34" t="s">
        <v>3930</v>
      </c>
      <c r="AH286" s="42" t="s">
        <v>3820</v>
      </c>
      <c r="AI286" s="34">
        <v>290.0</v>
      </c>
      <c r="AJ286" s="34" t="s">
        <v>3853</v>
      </c>
      <c r="AK286" s="34">
        <v>0.0</v>
      </c>
      <c r="AL286" s="34">
        <v>100.0</v>
      </c>
      <c r="AM286" s="34">
        <v>0.0</v>
      </c>
      <c r="AN286" s="34">
        <v>0.0</v>
      </c>
      <c r="AO286" s="33">
        <f>COUNTIFS('Data For Calculation - Insuranc'!A:A,A286,'Data For Calculation - Insuranc'!D:D,"Company",'Data For Calculation - Insuranc'!E:E,"Rollover Comprehensive - 1 Year OD + 1 Year TP")</f>
        <v>0</v>
      </c>
      <c r="AP286" s="34" t="s">
        <v>3931</v>
      </c>
      <c r="AQ286" s="42" t="s">
        <v>3820</v>
      </c>
      <c r="AR286" s="34">
        <v>290.0</v>
      </c>
      <c r="AS286" s="34" t="s">
        <v>3853</v>
      </c>
      <c r="AT286" s="34">
        <v>0.0</v>
      </c>
      <c r="AU286" s="34">
        <v>100.0</v>
      </c>
      <c r="AV286" s="34">
        <v>0.0</v>
      </c>
      <c r="AW286" s="34">
        <v>0.0</v>
      </c>
      <c r="AX286" s="33">
        <f>COUNTIFS('Data For Calculation - Insuranc'!A:A,A286,'Data For Calculation - Insuranc'!D:D,"Individual",'Data For Calculation - Insuranc'!E:E,"Rollover - 1 Year OD Only")</f>
        <v>0</v>
      </c>
      <c r="AY286" s="34" t="s">
        <v>3932</v>
      </c>
      <c r="AZ286" s="42" t="s">
        <v>3820</v>
      </c>
      <c r="BA286" s="34">
        <v>290.0</v>
      </c>
      <c r="BB286" s="34" t="s">
        <v>3853</v>
      </c>
      <c r="BC286" s="34">
        <v>0.0</v>
      </c>
      <c r="BD286" s="34">
        <v>100.0</v>
      </c>
      <c r="BE286" s="34">
        <v>0.0</v>
      </c>
      <c r="BF286" s="34">
        <v>0.0</v>
      </c>
      <c r="BG286" s="33">
        <f>COUNTIFS('Data For Calculation - Insuranc'!A:A,A286,'Data For Calculation - Insuranc'!D:D,"Company",'Data For Calculation - Insuranc'!E:E,"Rollover - 1 Year OD Only")</f>
        <v>0</v>
      </c>
      <c r="BH286" s="34" t="s">
        <v>3931</v>
      </c>
      <c r="BI286" s="42" t="s">
        <v>3820</v>
      </c>
      <c r="BJ286" s="34">
        <v>290.0</v>
      </c>
      <c r="BK286" s="34" t="s">
        <v>3853</v>
      </c>
      <c r="BL286" s="34">
        <v>0.0</v>
      </c>
      <c r="BM286" s="34">
        <v>100.0</v>
      </c>
      <c r="BN286" s="34">
        <v>0.0</v>
      </c>
      <c r="BO286" s="34">
        <v>0.0</v>
      </c>
      <c r="BP286" s="33">
        <f>COUNTIFS('Data For Calculation - Insuranc'!A:A,A286,'Data For Calculation - Insuranc'!D:D,"Individual",'Data For Calculation - Insuranc'!E:E,"Rollover - 1 Year TP Only")</f>
        <v>0</v>
      </c>
      <c r="BQ286" s="34" t="s">
        <v>3932</v>
      </c>
      <c r="BR286" s="42" t="s">
        <v>3820</v>
      </c>
      <c r="BS286" s="34">
        <v>290.0</v>
      </c>
      <c r="BT286" s="34" t="s">
        <v>3853</v>
      </c>
      <c r="BU286" s="34">
        <v>0.0</v>
      </c>
      <c r="BV286" s="34">
        <v>100.0</v>
      </c>
      <c r="BW286" s="34">
        <v>0.0</v>
      </c>
      <c r="BX286" s="34">
        <v>0.0</v>
      </c>
      <c r="BY286" s="33">
        <f>COUNTIFS('Data For Calculation - Insuranc'!A:A,A286,'Data For Calculation - Insuranc'!D:D,"Company",'Data For Calculation - Insuranc'!E:E,"Rollover - 1 Year TP Only")</f>
        <v>0</v>
      </c>
      <c r="BZ286" s="31">
        <f t="shared" si="1"/>
        <v>0</v>
      </c>
      <c r="CA286" s="33">
        <f>SUMIFS('Data For Calculation - Insuranc'!I:I,'Data For Calculation - Insuranc'!$A:$A,$A286)</f>
        <v>0</v>
      </c>
      <c r="CB286" s="33">
        <f>SUMIFS('Data For Calculation - Insuranc'!J:J,'Data For Calculation - Insuranc'!$A:$A,$A286)</f>
        <v>0</v>
      </c>
      <c r="CC286" s="33">
        <f>SUMIFS('Data For Calculation - Insuranc'!K:K,'Data For Calculation - Insuranc'!$A:$A,$A286)</f>
        <v>0</v>
      </c>
      <c r="CD286" s="33">
        <f>IF($CK286 = "Dealer", SUMIFS('Data For Calculation - Insuranc'!I:I,'Data For Calculation - Insuranc'!$B:$B,$A286,'Data For Calculation - Insuranc'!$H:$H,"Master Dealer")) + SUMIFS('Data For Calculation - Insuranc'!I:I,'Data For Calculation - Insuranc'!$A:$A,$A286,'Data For Calculation - Insuranc'!$H:$H,"Self")</f>
        <v>0</v>
      </c>
      <c r="CE286" s="33">
        <f>IF($CK286 = "Dealer", SUMIFS('Data For Calculation - Insuranc'!J:J,'Data For Calculation - Insuranc'!$B:$B,$A286,'Data For Calculation - Insuranc'!$H:$H,"Master Dealer")) + SUMIFS('Data For Calculation - Insuranc'!J:J,'Data For Calculation - Insuranc'!$A:$A,$A286,'Data For Calculation - Insuranc'!$H:$H,"Self")</f>
        <v>0</v>
      </c>
      <c r="CF286" s="33">
        <f>IF($CK286 = "Dealer", SUMIFS('Data For Calculation - Insuranc'!K:K,'Data For Calculation - Insuranc'!$B:$B,$A286,'Data For Calculation - Insuranc'!$H:$H,"Master Dealer")) + SUMIFS('Data For Calculation - Insuranc'!K:K,'Data For Calculation - Insuranc'!$A:$A,$A286,'Data For Calculation - Insuranc'!$H:$H,"Self")</f>
        <v>0</v>
      </c>
      <c r="CG286" s="26" t="str">
        <f>(Sheet1!N286)</f>
        <v>Gupta Automobiles - Padrauna</v>
      </c>
      <c r="CH286" s="26" t="str">
        <f>(Sheet1!O286)</f>
        <v>1Ql_6BdBcHGAyITSZt1pNUK3bW54CzeThIBXr7aH7K3Y</v>
      </c>
      <c r="CI286" s="25" t="str">
        <f>(Sheet1!AV286)</f>
        <v/>
      </c>
      <c r="CJ286" s="25" t="str">
        <f>(Sheet1!AW286)</f>
        <v/>
      </c>
      <c r="CK286" s="26" t="str">
        <f>(Sheet1!P286)</f>
        <v>Sub Dealer</v>
      </c>
    </row>
    <row r="287">
      <c r="A287" s="26" t="str">
        <f>(Sheet1!A287)</f>
        <v>1D0bYz3VnU-VHJIxa-b_ygaVix-3eTTISmRnDDIWBdUM</v>
      </c>
      <c r="B287" s="26" t="str">
        <f>(Sheet1!B287)</f>
        <v>Bhudev Gupta (GA) - DUDAHI</v>
      </c>
      <c r="C287" s="30" t="str">
        <f>Sheet1!BB287</f>
        <v>No</v>
      </c>
      <c r="D287" s="34" t="s">
        <v>13</v>
      </c>
      <c r="E287" s="34" t="s">
        <v>13</v>
      </c>
      <c r="F287" s="34" t="s">
        <v>3929</v>
      </c>
      <c r="G287" s="42" t="s">
        <v>3820</v>
      </c>
      <c r="H287" s="43">
        <v>460.0</v>
      </c>
      <c r="I287" s="42" t="s">
        <v>3853</v>
      </c>
      <c r="J287" s="43">
        <v>0.0</v>
      </c>
      <c r="K287" s="43">
        <v>100.0</v>
      </c>
      <c r="L287" s="43">
        <v>0.0</v>
      </c>
      <c r="M287" s="43">
        <v>0.0</v>
      </c>
      <c r="N287" s="33">
        <f>COUNTIFS('Data For Calculation - Insuranc'!A:A,A287,'Data For Calculation - Insuranc'!D:D,"Individual",'Data For Calculation - Insuranc'!E:E,"Bundled - 1 Year OD + 5 Year TP")</f>
        <v>0</v>
      </c>
      <c r="O287" s="34" t="s">
        <v>3930</v>
      </c>
      <c r="P287" s="42" t="s">
        <v>3820</v>
      </c>
      <c r="Q287" s="43">
        <v>460.0</v>
      </c>
      <c r="R287" s="42" t="s">
        <v>3853</v>
      </c>
      <c r="S287" s="43">
        <v>0.0</v>
      </c>
      <c r="T287" s="43">
        <v>100.0</v>
      </c>
      <c r="U287" s="43">
        <v>0.0</v>
      </c>
      <c r="V287" s="43">
        <v>0.0</v>
      </c>
      <c r="W287" s="33">
        <f>COUNTIFS('Data For Calculation - Insuranc'!A:A,A287,'Data For Calculation - Insuranc'!D:D,"Company",'Data For Calculation - Insuranc'!E:E,"Bundled - 1 Year OD + 5 Year TP")</f>
        <v>0</v>
      </c>
      <c r="X287" s="34" t="s">
        <v>3929</v>
      </c>
      <c r="Y287" s="42" t="s">
        <v>3820</v>
      </c>
      <c r="Z287" s="34">
        <v>290.0</v>
      </c>
      <c r="AA287" s="34" t="s">
        <v>3853</v>
      </c>
      <c r="AB287" s="34">
        <v>0.0</v>
      </c>
      <c r="AC287" s="34">
        <v>100.0</v>
      </c>
      <c r="AD287" s="34">
        <v>0.0</v>
      </c>
      <c r="AE287" s="34">
        <v>0.0</v>
      </c>
      <c r="AF287" s="33">
        <f>COUNTIFS('Data For Calculation - Insuranc'!A:A,A287,'Data For Calculation - Insuranc'!D:D,"Individual",'Data For Calculation - Insuranc'!E:E,"Rollover Comprehensive - 1 Year OD + 1 Year TP")</f>
        <v>0</v>
      </c>
      <c r="AG287" s="34" t="s">
        <v>3930</v>
      </c>
      <c r="AH287" s="42" t="s">
        <v>3820</v>
      </c>
      <c r="AI287" s="34">
        <v>290.0</v>
      </c>
      <c r="AJ287" s="34" t="s">
        <v>3853</v>
      </c>
      <c r="AK287" s="34">
        <v>0.0</v>
      </c>
      <c r="AL287" s="34">
        <v>100.0</v>
      </c>
      <c r="AM287" s="34">
        <v>0.0</v>
      </c>
      <c r="AN287" s="34">
        <v>0.0</v>
      </c>
      <c r="AO287" s="33">
        <f>COUNTIFS('Data For Calculation - Insuranc'!A:A,A287,'Data For Calculation - Insuranc'!D:D,"Company",'Data For Calculation - Insuranc'!E:E,"Rollover Comprehensive - 1 Year OD + 1 Year TP")</f>
        <v>0</v>
      </c>
      <c r="AP287" s="34" t="s">
        <v>3931</v>
      </c>
      <c r="AQ287" s="42" t="s">
        <v>3820</v>
      </c>
      <c r="AR287" s="34">
        <v>290.0</v>
      </c>
      <c r="AS287" s="34" t="s">
        <v>3853</v>
      </c>
      <c r="AT287" s="34">
        <v>0.0</v>
      </c>
      <c r="AU287" s="34">
        <v>100.0</v>
      </c>
      <c r="AV287" s="34">
        <v>0.0</v>
      </c>
      <c r="AW287" s="34">
        <v>0.0</v>
      </c>
      <c r="AX287" s="33">
        <f>COUNTIFS('Data For Calculation - Insuranc'!A:A,A287,'Data For Calculation - Insuranc'!D:D,"Individual",'Data For Calculation - Insuranc'!E:E,"Rollover - 1 Year OD Only")</f>
        <v>0</v>
      </c>
      <c r="AY287" s="34" t="s">
        <v>3932</v>
      </c>
      <c r="AZ287" s="42" t="s">
        <v>3820</v>
      </c>
      <c r="BA287" s="34">
        <v>290.0</v>
      </c>
      <c r="BB287" s="34" t="s">
        <v>3853</v>
      </c>
      <c r="BC287" s="34">
        <v>0.0</v>
      </c>
      <c r="BD287" s="34">
        <v>100.0</v>
      </c>
      <c r="BE287" s="34">
        <v>0.0</v>
      </c>
      <c r="BF287" s="34">
        <v>0.0</v>
      </c>
      <c r="BG287" s="33">
        <f>COUNTIFS('Data For Calculation - Insuranc'!A:A,A287,'Data For Calculation - Insuranc'!D:D,"Company",'Data For Calculation - Insuranc'!E:E,"Rollover - 1 Year OD Only")</f>
        <v>0</v>
      </c>
      <c r="BH287" s="34" t="s">
        <v>3931</v>
      </c>
      <c r="BI287" s="42" t="s">
        <v>3820</v>
      </c>
      <c r="BJ287" s="34">
        <v>290.0</v>
      </c>
      <c r="BK287" s="34" t="s">
        <v>3853</v>
      </c>
      <c r="BL287" s="34">
        <v>0.0</v>
      </c>
      <c r="BM287" s="34">
        <v>100.0</v>
      </c>
      <c r="BN287" s="34">
        <v>0.0</v>
      </c>
      <c r="BO287" s="34">
        <v>0.0</v>
      </c>
      <c r="BP287" s="33">
        <f>COUNTIFS('Data For Calculation - Insuranc'!A:A,A287,'Data For Calculation - Insuranc'!D:D,"Individual",'Data For Calculation - Insuranc'!E:E,"Rollover - 1 Year TP Only")</f>
        <v>0</v>
      </c>
      <c r="BQ287" s="34" t="s">
        <v>3932</v>
      </c>
      <c r="BR287" s="42" t="s">
        <v>3820</v>
      </c>
      <c r="BS287" s="34">
        <v>290.0</v>
      </c>
      <c r="BT287" s="34" t="s">
        <v>3853</v>
      </c>
      <c r="BU287" s="34">
        <v>0.0</v>
      </c>
      <c r="BV287" s="34">
        <v>100.0</v>
      </c>
      <c r="BW287" s="34">
        <v>0.0</v>
      </c>
      <c r="BX287" s="34">
        <v>0.0</v>
      </c>
      <c r="BY287" s="33">
        <f>COUNTIFS('Data For Calculation - Insuranc'!A:A,A287,'Data For Calculation - Insuranc'!D:D,"Company",'Data For Calculation - Insuranc'!E:E,"Rollover - 1 Year TP Only")</f>
        <v>0</v>
      </c>
      <c r="BZ287" s="31">
        <f t="shared" si="1"/>
        <v>0</v>
      </c>
      <c r="CA287" s="33">
        <f>SUMIFS('Data For Calculation - Insuranc'!I:I,'Data For Calculation - Insuranc'!$A:$A,$A287)</f>
        <v>0</v>
      </c>
      <c r="CB287" s="33">
        <f>SUMIFS('Data For Calculation - Insuranc'!J:J,'Data For Calculation - Insuranc'!$A:$A,$A287)</f>
        <v>0</v>
      </c>
      <c r="CC287" s="33">
        <f>SUMIFS('Data For Calculation - Insuranc'!K:K,'Data For Calculation - Insuranc'!$A:$A,$A287)</f>
        <v>0</v>
      </c>
      <c r="CD287" s="33">
        <f>IF($CK287 = "Dealer", SUMIFS('Data For Calculation - Insuranc'!I:I,'Data For Calculation - Insuranc'!$B:$B,$A287,'Data For Calculation - Insuranc'!$H:$H,"Master Dealer")) + SUMIFS('Data For Calculation - Insuranc'!I:I,'Data For Calculation - Insuranc'!$A:$A,$A287,'Data For Calculation - Insuranc'!$H:$H,"Self")</f>
        <v>0</v>
      </c>
      <c r="CE287" s="33">
        <f>IF($CK287 = "Dealer", SUMIFS('Data For Calculation - Insuranc'!J:J,'Data For Calculation - Insuranc'!$B:$B,$A287,'Data For Calculation - Insuranc'!$H:$H,"Master Dealer")) + SUMIFS('Data For Calculation - Insuranc'!J:J,'Data For Calculation - Insuranc'!$A:$A,$A287,'Data For Calculation - Insuranc'!$H:$H,"Self")</f>
        <v>0</v>
      </c>
      <c r="CF287" s="33">
        <f>IF($CK287 = "Dealer", SUMIFS('Data For Calculation - Insuranc'!K:K,'Data For Calculation - Insuranc'!$B:$B,$A287,'Data For Calculation - Insuranc'!$H:$H,"Master Dealer")) + SUMIFS('Data For Calculation - Insuranc'!K:K,'Data For Calculation - Insuranc'!$A:$A,$A287,'Data For Calculation - Insuranc'!$H:$H,"Self")</f>
        <v>0</v>
      </c>
      <c r="CG287" s="26" t="str">
        <f>(Sheet1!N287)</f>
        <v>Gupta Automobiles - Padrauna</v>
      </c>
      <c r="CH287" s="26" t="str">
        <f>(Sheet1!O287)</f>
        <v>1Ql_6BdBcHGAyITSZt1pNUK3bW54CzeThIBXr7aH7K3Y</v>
      </c>
      <c r="CI287" s="25" t="str">
        <f>(Sheet1!AV287)</f>
        <v/>
      </c>
      <c r="CJ287" s="25" t="str">
        <f>(Sheet1!AW287)</f>
        <v/>
      </c>
      <c r="CK287" s="26" t="str">
        <f>(Sheet1!P287)</f>
        <v>Sub Dealer</v>
      </c>
    </row>
    <row r="288">
      <c r="A288" s="26" t="str">
        <f>(Sheet1!A288)</f>
        <v>1iS0OzsOEgzLoPMX6_hFFZoxQvPZH07oslA_7etrLuZw</v>
      </c>
      <c r="B288" s="26" t="str">
        <f>(Sheet1!B288)</f>
        <v>SHREE KHADKA G AUTO- AHMEDABAD</v>
      </c>
      <c r="C288" s="30" t="str">
        <f>Sheet1!BB288</f>
        <v>No</v>
      </c>
      <c r="D288" s="34" t="s">
        <v>13</v>
      </c>
      <c r="E288" s="34" t="s">
        <v>13</v>
      </c>
      <c r="F288" s="34" t="s">
        <v>3929</v>
      </c>
      <c r="G288" s="42" t="s">
        <v>3820</v>
      </c>
      <c r="H288" s="43">
        <v>460.0</v>
      </c>
      <c r="I288" s="42" t="s">
        <v>3853</v>
      </c>
      <c r="J288" s="43">
        <v>0.0</v>
      </c>
      <c r="K288" s="43">
        <v>100.0</v>
      </c>
      <c r="L288" s="43">
        <v>0.0</v>
      </c>
      <c r="M288" s="43">
        <v>0.0</v>
      </c>
      <c r="N288" s="33">
        <f>COUNTIFS('Data For Calculation - Insuranc'!A:A,A288,'Data For Calculation - Insuranc'!D:D,"Individual",'Data For Calculation - Insuranc'!E:E,"Bundled - 1 Year OD + 5 Year TP")</f>
        <v>0</v>
      </c>
      <c r="O288" s="34" t="s">
        <v>3930</v>
      </c>
      <c r="P288" s="42" t="s">
        <v>3820</v>
      </c>
      <c r="Q288" s="43">
        <v>460.0</v>
      </c>
      <c r="R288" s="42" t="s">
        <v>3853</v>
      </c>
      <c r="S288" s="43">
        <v>0.0</v>
      </c>
      <c r="T288" s="43">
        <v>100.0</v>
      </c>
      <c r="U288" s="43">
        <v>0.0</v>
      </c>
      <c r="V288" s="43">
        <v>0.0</v>
      </c>
      <c r="W288" s="33">
        <f>COUNTIFS('Data For Calculation - Insuranc'!A:A,A288,'Data For Calculation - Insuranc'!D:D,"Company",'Data For Calculation - Insuranc'!E:E,"Bundled - 1 Year OD + 5 Year TP")</f>
        <v>0</v>
      </c>
      <c r="X288" s="34" t="s">
        <v>3929</v>
      </c>
      <c r="Y288" s="42" t="s">
        <v>3820</v>
      </c>
      <c r="Z288" s="34">
        <v>290.0</v>
      </c>
      <c r="AA288" s="34" t="s">
        <v>3853</v>
      </c>
      <c r="AB288" s="34">
        <v>0.0</v>
      </c>
      <c r="AC288" s="34">
        <v>100.0</v>
      </c>
      <c r="AD288" s="34">
        <v>0.0</v>
      </c>
      <c r="AE288" s="34">
        <v>0.0</v>
      </c>
      <c r="AF288" s="33">
        <f>COUNTIFS('Data For Calculation - Insuranc'!A:A,A288,'Data For Calculation - Insuranc'!D:D,"Individual",'Data For Calculation - Insuranc'!E:E,"Rollover Comprehensive - 1 Year OD + 1 Year TP")</f>
        <v>0</v>
      </c>
      <c r="AG288" s="34" t="s">
        <v>3930</v>
      </c>
      <c r="AH288" s="42" t="s">
        <v>3820</v>
      </c>
      <c r="AI288" s="34">
        <v>290.0</v>
      </c>
      <c r="AJ288" s="34" t="s">
        <v>3853</v>
      </c>
      <c r="AK288" s="34">
        <v>0.0</v>
      </c>
      <c r="AL288" s="34">
        <v>100.0</v>
      </c>
      <c r="AM288" s="34">
        <v>0.0</v>
      </c>
      <c r="AN288" s="34">
        <v>0.0</v>
      </c>
      <c r="AO288" s="33">
        <f>COUNTIFS('Data For Calculation - Insuranc'!A:A,A288,'Data For Calculation - Insuranc'!D:D,"Company",'Data For Calculation - Insuranc'!E:E,"Rollover Comprehensive - 1 Year OD + 1 Year TP")</f>
        <v>0</v>
      </c>
      <c r="AP288" s="34" t="s">
        <v>3931</v>
      </c>
      <c r="AQ288" s="42" t="s">
        <v>3820</v>
      </c>
      <c r="AR288" s="34">
        <v>290.0</v>
      </c>
      <c r="AS288" s="34" t="s">
        <v>3853</v>
      </c>
      <c r="AT288" s="34">
        <v>0.0</v>
      </c>
      <c r="AU288" s="34">
        <v>100.0</v>
      </c>
      <c r="AV288" s="34">
        <v>0.0</v>
      </c>
      <c r="AW288" s="34">
        <v>0.0</v>
      </c>
      <c r="AX288" s="33">
        <f>COUNTIFS('Data For Calculation - Insuranc'!A:A,A288,'Data For Calculation - Insuranc'!D:D,"Individual",'Data For Calculation - Insuranc'!E:E,"Rollover - 1 Year OD Only")</f>
        <v>0</v>
      </c>
      <c r="AY288" s="34" t="s">
        <v>3932</v>
      </c>
      <c r="AZ288" s="42" t="s">
        <v>3820</v>
      </c>
      <c r="BA288" s="34">
        <v>290.0</v>
      </c>
      <c r="BB288" s="34" t="s">
        <v>3853</v>
      </c>
      <c r="BC288" s="34">
        <v>0.0</v>
      </c>
      <c r="BD288" s="34">
        <v>100.0</v>
      </c>
      <c r="BE288" s="34">
        <v>0.0</v>
      </c>
      <c r="BF288" s="34">
        <v>0.0</v>
      </c>
      <c r="BG288" s="33">
        <f>COUNTIFS('Data For Calculation - Insuranc'!A:A,A288,'Data For Calculation - Insuranc'!D:D,"Company",'Data For Calculation - Insuranc'!E:E,"Rollover - 1 Year OD Only")</f>
        <v>0</v>
      </c>
      <c r="BH288" s="34" t="s">
        <v>3931</v>
      </c>
      <c r="BI288" s="42" t="s">
        <v>3820</v>
      </c>
      <c r="BJ288" s="34">
        <v>290.0</v>
      </c>
      <c r="BK288" s="34" t="s">
        <v>3853</v>
      </c>
      <c r="BL288" s="34">
        <v>0.0</v>
      </c>
      <c r="BM288" s="34">
        <v>100.0</v>
      </c>
      <c r="BN288" s="34">
        <v>0.0</v>
      </c>
      <c r="BO288" s="34">
        <v>0.0</v>
      </c>
      <c r="BP288" s="33">
        <f>COUNTIFS('Data For Calculation - Insuranc'!A:A,A288,'Data For Calculation - Insuranc'!D:D,"Individual",'Data For Calculation - Insuranc'!E:E,"Rollover - 1 Year TP Only")</f>
        <v>0</v>
      </c>
      <c r="BQ288" s="34" t="s">
        <v>3932</v>
      </c>
      <c r="BR288" s="42" t="s">
        <v>3820</v>
      </c>
      <c r="BS288" s="34">
        <v>290.0</v>
      </c>
      <c r="BT288" s="34" t="s">
        <v>3853</v>
      </c>
      <c r="BU288" s="34">
        <v>0.0</v>
      </c>
      <c r="BV288" s="34">
        <v>100.0</v>
      </c>
      <c r="BW288" s="34">
        <v>0.0</v>
      </c>
      <c r="BX288" s="34">
        <v>0.0</v>
      </c>
      <c r="BY288" s="33">
        <f>COUNTIFS('Data For Calculation - Insuranc'!A:A,A288,'Data For Calculation - Insuranc'!D:D,"Company",'Data For Calculation - Insuranc'!E:E,"Rollover - 1 Year TP Only")</f>
        <v>0</v>
      </c>
      <c r="BZ288" s="31">
        <f t="shared" si="1"/>
        <v>0</v>
      </c>
      <c r="CA288" s="33">
        <f>SUMIFS('Data For Calculation - Insuranc'!I:I,'Data For Calculation - Insuranc'!$A:$A,$A288)</f>
        <v>0</v>
      </c>
      <c r="CB288" s="33">
        <f>SUMIFS('Data For Calculation - Insuranc'!J:J,'Data For Calculation - Insuranc'!$A:$A,$A288)</f>
        <v>0</v>
      </c>
      <c r="CC288" s="33">
        <f>SUMIFS('Data For Calculation - Insuranc'!K:K,'Data For Calculation - Insuranc'!$A:$A,$A288)</f>
        <v>0</v>
      </c>
      <c r="CD288" s="33">
        <f>IF($CK288 = "Dealer", SUMIFS('Data For Calculation - Insuranc'!I:I,'Data For Calculation - Insuranc'!$B:$B,$A288,'Data For Calculation - Insuranc'!$H:$H,"Master Dealer")) + SUMIFS('Data For Calculation - Insuranc'!I:I,'Data For Calculation - Insuranc'!$A:$A,$A288,'Data For Calculation - Insuranc'!$H:$H,"Self")</f>
        <v>0</v>
      </c>
      <c r="CE288" s="33">
        <f>IF($CK288 = "Dealer", SUMIFS('Data For Calculation - Insuranc'!J:J,'Data For Calculation - Insuranc'!$B:$B,$A288,'Data For Calculation - Insuranc'!$H:$H,"Master Dealer")) + SUMIFS('Data For Calculation - Insuranc'!J:J,'Data For Calculation - Insuranc'!$A:$A,$A288,'Data For Calculation - Insuranc'!$H:$H,"Self")</f>
        <v>0</v>
      </c>
      <c r="CF288" s="33">
        <f>IF($CK288 = "Dealer", SUMIFS('Data For Calculation - Insuranc'!K:K,'Data For Calculation - Insuranc'!$B:$B,$A288,'Data For Calculation - Insuranc'!$H:$H,"Master Dealer")) + SUMIFS('Data For Calculation - Insuranc'!K:K,'Data For Calculation - Insuranc'!$A:$A,$A288,'Data For Calculation - Insuranc'!$H:$H,"Self")</f>
        <v>0</v>
      </c>
      <c r="CG288" s="26" t="str">
        <f>(Sheet1!N288)</f>
        <v>SHREE KHADKA G AUTO- AHMEDABAD</v>
      </c>
      <c r="CH288" s="26" t="str">
        <f>(Sheet1!O288)</f>
        <v>1iS0OzsOEgzLoPMX6_hFFZoxQvPZH07oslA_7etrLuZw</v>
      </c>
      <c r="CI288" s="25" t="str">
        <f>(Sheet1!AV288)</f>
        <v/>
      </c>
      <c r="CJ288" s="25" t="str">
        <f>(Sheet1!AW288)</f>
        <v/>
      </c>
      <c r="CK288" s="26" t="str">
        <f>(Sheet1!P288)</f>
        <v>Dealer</v>
      </c>
    </row>
    <row r="289">
      <c r="A289" s="26" t="str">
        <f>(Sheet1!A289)</f>
        <v>1FBjXAE1-KKWRluxAeSNXWWc03DBWHZmw6NQIaZREyIU</v>
      </c>
      <c r="B289" s="26" t="str">
        <f>(Sheet1!B289)</f>
        <v>Singh Motor (GA) - Ahirauli Bazar</v>
      </c>
      <c r="C289" s="30" t="str">
        <f>Sheet1!BB289</f>
        <v>No</v>
      </c>
      <c r="D289" s="34" t="s">
        <v>13</v>
      </c>
      <c r="E289" s="34" t="s">
        <v>13</v>
      </c>
      <c r="F289" s="34" t="s">
        <v>3929</v>
      </c>
      <c r="G289" s="42" t="s">
        <v>3820</v>
      </c>
      <c r="H289" s="43">
        <v>460.0</v>
      </c>
      <c r="I289" s="42" t="s">
        <v>3853</v>
      </c>
      <c r="J289" s="43">
        <v>0.0</v>
      </c>
      <c r="K289" s="43">
        <v>100.0</v>
      </c>
      <c r="L289" s="43">
        <v>0.0</v>
      </c>
      <c r="M289" s="43">
        <v>0.0</v>
      </c>
      <c r="N289" s="33">
        <f>COUNTIFS('Data For Calculation - Insuranc'!A:A,A289,'Data For Calculation - Insuranc'!D:D,"Individual",'Data For Calculation - Insuranc'!E:E,"Bundled - 1 Year OD + 5 Year TP")</f>
        <v>0</v>
      </c>
      <c r="O289" s="34" t="s">
        <v>3930</v>
      </c>
      <c r="P289" s="42" t="s">
        <v>3820</v>
      </c>
      <c r="Q289" s="43">
        <v>460.0</v>
      </c>
      <c r="R289" s="42" t="s">
        <v>3853</v>
      </c>
      <c r="S289" s="43">
        <v>0.0</v>
      </c>
      <c r="T289" s="43">
        <v>100.0</v>
      </c>
      <c r="U289" s="43">
        <v>0.0</v>
      </c>
      <c r="V289" s="43">
        <v>0.0</v>
      </c>
      <c r="W289" s="33">
        <f>COUNTIFS('Data For Calculation - Insuranc'!A:A,A289,'Data For Calculation - Insuranc'!D:D,"Company",'Data For Calculation - Insuranc'!E:E,"Bundled - 1 Year OD + 5 Year TP")</f>
        <v>0</v>
      </c>
      <c r="X289" s="34" t="s">
        <v>3929</v>
      </c>
      <c r="Y289" s="42" t="s">
        <v>3820</v>
      </c>
      <c r="Z289" s="34">
        <v>290.0</v>
      </c>
      <c r="AA289" s="34" t="s">
        <v>3853</v>
      </c>
      <c r="AB289" s="34">
        <v>0.0</v>
      </c>
      <c r="AC289" s="34">
        <v>100.0</v>
      </c>
      <c r="AD289" s="34">
        <v>0.0</v>
      </c>
      <c r="AE289" s="34">
        <v>0.0</v>
      </c>
      <c r="AF289" s="33">
        <f>COUNTIFS('Data For Calculation - Insuranc'!A:A,A289,'Data For Calculation - Insuranc'!D:D,"Individual",'Data For Calculation - Insuranc'!E:E,"Rollover Comprehensive - 1 Year OD + 1 Year TP")</f>
        <v>0</v>
      </c>
      <c r="AG289" s="34" t="s">
        <v>3930</v>
      </c>
      <c r="AH289" s="42" t="s">
        <v>3820</v>
      </c>
      <c r="AI289" s="34">
        <v>290.0</v>
      </c>
      <c r="AJ289" s="34" t="s">
        <v>3853</v>
      </c>
      <c r="AK289" s="34">
        <v>0.0</v>
      </c>
      <c r="AL289" s="34">
        <v>100.0</v>
      </c>
      <c r="AM289" s="34">
        <v>0.0</v>
      </c>
      <c r="AN289" s="34">
        <v>0.0</v>
      </c>
      <c r="AO289" s="33">
        <f>COUNTIFS('Data For Calculation - Insuranc'!A:A,A289,'Data For Calculation - Insuranc'!D:D,"Company",'Data For Calculation - Insuranc'!E:E,"Rollover Comprehensive - 1 Year OD + 1 Year TP")</f>
        <v>0</v>
      </c>
      <c r="AP289" s="34" t="s">
        <v>3931</v>
      </c>
      <c r="AQ289" s="42" t="s">
        <v>3820</v>
      </c>
      <c r="AR289" s="34">
        <v>290.0</v>
      </c>
      <c r="AS289" s="34" t="s">
        <v>3853</v>
      </c>
      <c r="AT289" s="34">
        <v>0.0</v>
      </c>
      <c r="AU289" s="34">
        <v>100.0</v>
      </c>
      <c r="AV289" s="34">
        <v>0.0</v>
      </c>
      <c r="AW289" s="34">
        <v>0.0</v>
      </c>
      <c r="AX289" s="33">
        <f>COUNTIFS('Data For Calculation - Insuranc'!A:A,A289,'Data For Calculation - Insuranc'!D:D,"Individual",'Data For Calculation - Insuranc'!E:E,"Rollover - 1 Year OD Only")</f>
        <v>0</v>
      </c>
      <c r="AY289" s="34" t="s">
        <v>3932</v>
      </c>
      <c r="AZ289" s="42" t="s">
        <v>3820</v>
      </c>
      <c r="BA289" s="34">
        <v>290.0</v>
      </c>
      <c r="BB289" s="34" t="s">
        <v>3853</v>
      </c>
      <c r="BC289" s="34">
        <v>0.0</v>
      </c>
      <c r="BD289" s="34">
        <v>100.0</v>
      </c>
      <c r="BE289" s="34">
        <v>0.0</v>
      </c>
      <c r="BF289" s="34">
        <v>0.0</v>
      </c>
      <c r="BG289" s="33">
        <f>COUNTIFS('Data For Calculation - Insuranc'!A:A,A289,'Data For Calculation - Insuranc'!D:D,"Company",'Data For Calculation - Insuranc'!E:E,"Rollover - 1 Year OD Only")</f>
        <v>0</v>
      </c>
      <c r="BH289" s="34" t="s">
        <v>3931</v>
      </c>
      <c r="BI289" s="42" t="s">
        <v>3820</v>
      </c>
      <c r="BJ289" s="34">
        <v>290.0</v>
      </c>
      <c r="BK289" s="34" t="s">
        <v>3853</v>
      </c>
      <c r="BL289" s="34">
        <v>0.0</v>
      </c>
      <c r="BM289" s="34">
        <v>100.0</v>
      </c>
      <c r="BN289" s="34">
        <v>0.0</v>
      </c>
      <c r="BO289" s="34">
        <v>0.0</v>
      </c>
      <c r="BP289" s="33">
        <f>COUNTIFS('Data For Calculation - Insuranc'!A:A,A289,'Data For Calculation - Insuranc'!D:D,"Individual",'Data For Calculation - Insuranc'!E:E,"Rollover - 1 Year TP Only")</f>
        <v>0</v>
      </c>
      <c r="BQ289" s="34" t="s">
        <v>3932</v>
      </c>
      <c r="BR289" s="42" t="s">
        <v>3820</v>
      </c>
      <c r="BS289" s="34">
        <v>290.0</v>
      </c>
      <c r="BT289" s="34" t="s">
        <v>3853</v>
      </c>
      <c r="BU289" s="34">
        <v>0.0</v>
      </c>
      <c r="BV289" s="34">
        <v>100.0</v>
      </c>
      <c r="BW289" s="34">
        <v>0.0</v>
      </c>
      <c r="BX289" s="34">
        <v>0.0</v>
      </c>
      <c r="BY289" s="33">
        <f>COUNTIFS('Data For Calculation - Insuranc'!A:A,A289,'Data For Calculation - Insuranc'!D:D,"Company",'Data For Calculation - Insuranc'!E:E,"Rollover - 1 Year TP Only")</f>
        <v>0</v>
      </c>
      <c r="BZ289" s="31">
        <f t="shared" si="1"/>
        <v>0</v>
      </c>
      <c r="CA289" s="33">
        <f>SUMIFS('Data For Calculation - Insuranc'!I:I,'Data For Calculation - Insuranc'!$A:$A,$A289)</f>
        <v>0</v>
      </c>
      <c r="CB289" s="33">
        <f>SUMIFS('Data For Calculation - Insuranc'!J:J,'Data For Calculation - Insuranc'!$A:$A,$A289)</f>
        <v>0</v>
      </c>
      <c r="CC289" s="33">
        <f>SUMIFS('Data For Calculation - Insuranc'!K:K,'Data For Calculation - Insuranc'!$A:$A,$A289)</f>
        <v>0</v>
      </c>
      <c r="CD289" s="33">
        <f>IF($CK289 = "Dealer", SUMIFS('Data For Calculation - Insuranc'!I:I,'Data For Calculation - Insuranc'!$B:$B,$A289,'Data For Calculation - Insuranc'!$H:$H,"Master Dealer")) + SUMIFS('Data For Calculation - Insuranc'!I:I,'Data For Calculation - Insuranc'!$A:$A,$A289,'Data For Calculation - Insuranc'!$H:$H,"Self")</f>
        <v>0</v>
      </c>
      <c r="CE289" s="33">
        <f>IF($CK289 = "Dealer", SUMIFS('Data For Calculation - Insuranc'!J:J,'Data For Calculation - Insuranc'!$B:$B,$A289,'Data For Calculation - Insuranc'!$H:$H,"Master Dealer")) + SUMIFS('Data For Calculation - Insuranc'!J:J,'Data For Calculation - Insuranc'!$A:$A,$A289,'Data For Calculation - Insuranc'!$H:$H,"Self")</f>
        <v>0</v>
      </c>
      <c r="CF289" s="33">
        <f>IF($CK289 = "Dealer", SUMIFS('Data For Calculation - Insuranc'!K:K,'Data For Calculation - Insuranc'!$B:$B,$A289,'Data For Calculation - Insuranc'!$H:$H,"Master Dealer")) + SUMIFS('Data For Calculation - Insuranc'!K:K,'Data For Calculation - Insuranc'!$A:$A,$A289,'Data For Calculation - Insuranc'!$H:$H,"Self")</f>
        <v>0</v>
      </c>
      <c r="CG289" s="26" t="str">
        <f>(Sheet1!N289)</f>
        <v>Gupta Automobiles - Padrauna</v>
      </c>
      <c r="CH289" s="26" t="str">
        <f>(Sheet1!O289)</f>
        <v>1Ql_6BdBcHGAyITSZt1pNUK3bW54CzeThIBXr7aH7K3Y</v>
      </c>
      <c r="CI289" s="25" t="str">
        <f>(Sheet1!AV289)</f>
        <v/>
      </c>
      <c r="CJ289" s="25" t="str">
        <f>(Sheet1!AW289)</f>
        <v/>
      </c>
      <c r="CK289" s="26" t="str">
        <f>(Sheet1!P289)</f>
        <v>Sub Dealer</v>
      </c>
    </row>
    <row r="290">
      <c r="A290" s="26" t="str">
        <f>(Sheet1!A290)</f>
        <v>1uBiAsC5-HA2hRNcQGD_6Mpaq6LmZNpNtQhdpeLcD4Yg</v>
      </c>
      <c r="B290" s="26" t="str">
        <f>(Sheet1!B290)</f>
        <v>Laxmi Automobiles (GA) - Badhu Chauraha</v>
      </c>
      <c r="C290" s="30" t="str">
        <f>Sheet1!BB290</f>
        <v>No</v>
      </c>
      <c r="D290" s="34" t="s">
        <v>13</v>
      </c>
      <c r="E290" s="34" t="s">
        <v>13</v>
      </c>
      <c r="F290" s="34" t="s">
        <v>3929</v>
      </c>
      <c r="G290" s="42" t="s">
        <v>3820</v>
      </c>
      <c r="H290" s="43">
        <v>460.0</v>
      </c>
      <c r="I290" s="42" t="s">
        <v>3853</v>
      </c>
      <c r="J290" s="43">
        <v>0.0</v>
      </c>
      <c r="K290" s="43">
        <v>100.0</v>
      </c>
      <c r="L290" s="43">
        <v>0.0</v>
      </c>
      <c r="M290" s="43">
        <v>0.0</v>
      </c>
      <c r="N290" s="33">
        <f>COUNTIFS('Data For Calculation - Insuranc'!A:A,A290,'Data For Calculation - Insuranc'!D:D,"Individual",'Data For Calculation - Insuranc'!E:E,"Bundled - 1 Year OD + 5 Year TP")</f>
        <v>0</v>
      </c>
      <c r="O290" s="34" t="s">
        <v>3930</v>
      </c>
      <c r="P290" s="42" t="s">
        <v>3820</v>
      </c>
      <c r="Q290" s="43">
        <v>460.0</v>
      </c>
      <c r="R290" s="42" t="s">
        <v>3853</v>
      </c>
      <c r="S290" s="43">
        <v>0.0</v>
      </c>
      <c r="T290" s="43">
        <v>100.0</v>
      </c>
      <c r="U290" s="43">
        <v>0.0</v>
      </c>
      <c r="V290" s="43">
        <v>0.0</v>
      </c>
      <c r="W290" s="33">
        <f>COUNTIFS('Data For Calculation - Insuranc'!A:A,A290,'Data For Calculation - Insuranc'!D:D,"Company",'Data For Calculation - Insuranc'!E:E,"Bundled - 1 Year OD + 5 Year TP")</f>
        <v>0</v>
      </c>
      <c r="X290" s="34" t="s">
        <v>3929</v>
      </c>
      <c r="Y290" s="42" t="s">
        <v>3820</v>
      </c>
      <c r="Z290" s="34">
        <v>290.0</v>
      </c>
      <c r="AA290" s="34" t="s">
        <v>3853</v>
      </c>
      <c r="AB290" s="34">
        <v>0.0</v>
      </c>
      <c r="AC290" s="34">
        <v>100.0</v>
      </c>
      <c r="AD290" s="34">
        <v>0.0</v>
      </c>
      <c r="AE290" s="34">
        <v>0.0</v>
      </c>
      <c r="AF290" s="33">
        <f>COUNTIFS('Data For Calculation - Insuranc'!A:A,A290,'Data For Calculation - Insuranc'!D:D,"Individual",'Data For Calculation - Insuranc'!E:E,"Rollover Comprehensive - 1 Year OD + 1 Year TP")</f>
        <v>0</v>
      </c>
      <c r="AG290" s="34" t="s">
        <v>3930</v>
      </c>
      <c r="AH290" s="42" t="s">
        <v>3820</v>
      </c>
      <c r="AI290" s="34">
        <v>290.0</v>
      </c>
      <c r="AJ290" s="34" t="s">
        <v>3853</v>
      </c>
      <c r="AK290" s="34">
        <v>0.0</v>
      </c>
      <c r="AL290" s="34">
        <v>100.0</v>
      </c>
      <c r="AM290" s="34">
        <v>0.0</v>
      </c>
      <c r="AN290" s="34">
        <v>0.0</v>
      </c>
      <c r="AO290" s="33">
        <f>COUNTIFS('Data For Calculation - Insuranc'!A:A,A290,'Data For Calculation - Insuranc'!D:D,"Company",'Data For Calculation - Insuranc'!E:E,"Rollover Comprehensive - 1 Year OD + 1 Year TP")</f>
        <v>0</v>
      </c>
      <c r="AP290" s="34" t="s">
        <v>3931</v>
      </c>
      <c r="AQ290" s="42" t="s">
        <v>3820</v>
      </c>
      <c r="AR290" s="34">
        <v>290.0</v>
      </c>
      <c r="AS290" s="34" t="s">
        <v>3853</v>
      </c>
      <c r="AT290" s="34">
        <v>0.0</v>
      </c>
      <c r="AU290" s="34">
        <v>100.0</v>
      </c>
      <c r="AV290" s="34">
        <v>0.0</v>
      </c>
      <c r="AW290" s="34">
        <v>0.0</v>
      </c>
      <c r="AX290" s="33">
        <f>COUNTIFS('Data For Calculation - Insuranc'!A:A,A290,'Data For Calculation - Insuranc'!D:D,"Individual",'Data For Calculation - Insuranc'!E:E,"Rollover - 1 Year OD Only")</f>
        <v>0</v>
      </c>
      <c r="AY290" s="34" t="s">
        <v>3932</v>
      </c>
      <c r="AZ290" s="42" t="s">
        <v>3820</v>
      </c>
      <c r="BA290" s="34">
        <v>290.0</v>
      </c>
      <c r="BB290" s="34" t="s">
        <v>3853</v>
      </c>
      <c r="BC290" s="34">
        <v>0.0</v>
      </c>
      <c r="BD290" s="34">
        <v>100.0</v>
      </c>
      <c r="BE290" s="34">
        <v>0.0</v>
      </c>
      <c r="BF290" s="34">
        <v>0.0</v>
      </c>
      <c r="BG290" s="33">
        <f>COUNTIFS('Data For Calculation - Insuranc'!A:A,A290,'Data For Calculation - Insuranc'!D:D,"Company",'Data For Calculation - Insuranc'!E:E,"Rollover - 1 Year OD Only")</f>
        <v>0</v>
      </c>
      <c r="BH290" s="34" t="s">
        <v>3931</v>
      </c>
      <c r="BI290" s="42" t="s">
        <v>3820</v>
      </c>
      <c r="BJ290" s="34">
        <v>290.0</v>
      </c>
      <c r="BK290" s="34" t="s">
        <v>3853</v>
      </c>
      <c r="BL290" s="34">
        <v>0.0</v>
      </c>
      <c r="BM290" s="34">
        <v>100.0</v>
      </c>
      <c r="BN290" s="34">
        <v>0.0</v>
      </c>
      <c r="BO290" s="34">
        <v>0.0</v>
      </c>
      <c r="BP290" s="33">
        <f>COUNTIFS('Data For Calculation - Insuranc'!A:A,A290,'Data For Calculation - Insuranc'!D:D,"Individual",'Data For Calculation - Insuranc'!E:E,"Rollover - 1 Year TP Only")</f>
        <v>0</v>
      </c>
      <c r="BQ290" s="34" t="s">
        <v>3932</v>
      </c>
      <c r="BR290" s="42" t="s">
        <v>3820</v>
      </c>
      <c r="BS290" s="34">
        <v>290.0</v>
      </c>
      <c r="BT290" s="34" t="s">
        <v>3853</v>
      </c>
      <c r="BU290" s="34">
        <v>0.0</v>
      </c>
      <c r="BV290" s="34">
        <v>100.0</v>
      </c>
      <c r="BW290" s="34">
        <v>0.0</v>
      </c>
      <c r="BX290" s="34">
        <v>0.0</v>
      </c>
      <c r="BY290" s="33">
        <f>COUNTIFS('Data For Calculation - Insuranc'!A:A,A290,'Data For Calculation - Insuranc'!D:D,"Company",'Data For Calculation - Insuranc'!E:E,"Rollover - 1 Year TP Only")</f>
        <v>0</v>
      </c>
      <c r="BZ290" s="31">
        <f t="shared" si="1"/>
        <v>0</v>
      </c>
      <c r="CA290" s="33">
        <f>SUMIFS('Data For Calculation - Insuranc'!I:I,'Data For Calculation - Insuranc'!$A:$A,$A290)</f>
        <v>0</v>
      </c>
      <c r="CB290" s="33">
        <f>SUMIFS('Data For Calculation - Insuranc'!J:J,'Data For Calculation - Insuranc'!$A:$A,$A290)</f>
        <v>0</v>
      </c>
      <c r="CC290" s="33">
        <f>SUMIFS('Data For Calculation - Insuranc'!K:K,'Data For Calculation - Insuranc'!$A:$A,$A290)</f>
        <v>0</v>
      </c>
      <c r="CD290" s="33">
        <f>IF($CK290 = "Dealer", SUMIFS('Data For Calculation - Insuranc'!I:I,'Data For Calculation - Insuranc'!$B:$B,$A290,'Data For Calculation - Insuranc'!$H:$H,"Master Dealer")) + SUMIFS('Data For Calculation - Insuranc'!I:I,'Data For Calculation - Insuranc'!$A:$A,$A290,'Data For Calculation - Insuranc'!$H:$H,"Self")</f>
        <v>0</v>
      </c>
      <c r="CE290" s="33">
        <f>IF($CK290 = "Dealer", SUMIFS('Data For Calculation - Insuranc'!J:J,'Data For Calculation - Insuranc'!$B:$B,$A290,'Data For Calculation - Insuranc'!$H:$H,"Master Dealer")) + SUMIFS('Data For Calculation - Insuranc'!J:J,'Data For Calculation - Insuranc'!$A:$A,$A290,'Data For Calculation - Insuranc'!$H:$H,"Self")</f>
        <v>0</v>
      </c>
      <c r="CF290" s="33">
        <f>IF($CK290 = "Dealer", SUMIFS('Data For Calculation - Insuranc'!K:K,'Data For Calculation - Insuranc'!$B:$B,$A290,'Data For Calculation - Insuranc'!$H:$H,"Master Dealer")) + SUMIFS('Data For Calculation - Insuranc'!K:K,'Data For Calculation - Insuranc'!$A:$A,$A290,'Data For Calculation - Insuranc'!$H:$H,"Self")</f>
        <v>0</v>
      </c>
      <c r="CG290" s="26" t="str">
        <f>(Sheet1!N290)</f>
        <v>Gupta Automobiles - Padrauna</v>
      </c>
      <c r="CH290" s="26" t="str">
        <f>(Sheet1!O290)</f>
        <v>1Ql_6BdBcHGAyITSZt1pNUK3bW54CzeThIBXr7aH7K3Y</v>
      </c>
      <c r="CI290" s="25" t="str">
        <f>(Sheet1!AV290)</f>
        <v/>
      </c>
      <c r="CJ290" s="25" t="str">
        <f>(Sheet1!AW290)</f>
        <v/>
      </c>
      <c r="CK290" s="26" t="str">
        <f>(Sheet1!P290)</f>
        <v>Sub Dealer</v>
      </c>
    </row>
    <row r="291">
      <c r="A291" s="26" t="str">
        <f>(Sheet1!A291)</f>
        <v>1bhPjaQq-g1jDtXoW8RLurTGLJE_d2uN5NupwulpULrs</v>
      </c>
      <c r="B291" s="26" t="str">
        <f>(Sheet1!B291)</f>
        <v>Sunil Motors (GA) - Inderpur</v>
      </c>
      <c r="C291" s="30" t="str">
        <f>Sheet1!BB291</f>
        <v>No</v>
      </c>
      <c r="D291" s="34" t="s">
        <v>13</v>
      </c>
      <c r="E291" s="34" t="s">
        <v>13</v>
      </c>
      <c r="F291" s="34" t="s">
        <v>3929</v>
      </c>
      <c r="G291" s="42" t="s">
        <v>3820</v>
      </c>
      <c r="H291" s="43">
        <v>460.0</v>
      </c>
      <c r="I291" s="42" t="s">
        <v>3853</v>
      </c>
      <c r="J291" s="43">
        <v>0.0</v>
      </c>
      <c r="K291" s="43">
        <v>100.0</v>
      </c>
      <c r="L291" s="43">
        <v>0.0</v>
      </c>
      <c r="M291" s="43">
        <v>0.0</v>
      </c>
      <c r="N291" s="33">
        <f>COUNTIFS('Data For Calculation - Insuranc'!A:A,A291,'Data For Calculation - Insuranc'!D:D,"Individual",'Data For Calculation - Insuranc'!E:E,"Bundled - 1 Year OD + 5 Year TP")</f>
        <v>0</v>
      </c>
      <c r="O291" s="34" t="s">
        <v>3930</v>
      </c>
      <c r="P291" s="42" t="s">
        <v>3820</v>
      </c>
      <c r="Q291" s="43">
        <v>460.0</v>
      </c>
      <c r="R291" s="42" t="s">
        <v>3853</v>
      </c>
      <c r="S291" s="43">
        <v>0.0</v>
      </c>
      <c r="T291" s="43">
        <v>100.0</v>
      </c>
      <c r="U291" s="43">
        <v>0.0</v>
      </c>
      <c r="V291" s="43">
        <v>0.0</v>
      </c>
      <c r="W291" s="33">
        <f>COUNTIFS('Data For Calculation - Insuranc'!A:A,A291,'Data For Calculation - Insuranc'!D:D,"Company",'Data For Calculation - Insuranc'!E:E,"Bundled - 1 Year OD + 5 Year TP")</f>
        <v>0</v>
      </c>
      <c r="X291" s="34" t="s">
        <v>3929</v>
      </c>
      <c r="Y291" s="42" t="s">
        <v>3820</v>
      </c>
      <c r="Z291" s="34">
        <v>290.0</v>
      </c>
      <c r="AA291" s="34" t="s">
        <v>3853</v>
      </c>
      <c r="AB291" s="34">
        <v>0.0</v>
      </c>
      <c r="AC291" s="34">
        <v>100.0</v>
      </c>
      <c r="AD291" s="34">
        <v>0.0</v>
      </c>
      <c r="AE291" s="34">
        <v>0.0</v>
      </c>
      <c r="AF291" s="33">
        <f>COUNTIFS('Data For Calculation - Insuranc'!A:A,A291,'Data For Calculation - Insuranc'!D:D,"Individual",'Data For Calculation - Insuranc'!E:E,"Rollover Comprehensive - 1 Year OD + 1 Year TP")</f>
        <v>0</v>
      </c>
      <c r="AG291" s="34" t="s">
        <v>3930</v>
      </c>
      <c r="AH291" s="42" t="s">
        <v>3820</v>
      </c>
      <c r="AI291" s="34">
        <v>290.0</v>
      </c>
      <c r="AJ291" s="34" t="s">
        <v>3853</v>
      </c>
      <c r="AK291" s="34">
        <v>0.0</v>
      </c>
      <c r="AL291" s="34">
        <v>100.0</v>
      </c>
      <c r="AM291" s="34">
        <v>0.0</v>
      </c>
      <c r="AN291" s="34">
        <v>0.0</v>
      </c>
      <c r="AO291" s="33">
        <f>COUNTIFS('Data For Calculation - Insuranc'!A:A,A291,'Data For Calculation - Insuranc'!D:D,"Company",'Data For Calculation - Insuranc'!E:E,"Rollover Comprehensive - 1 Year OD + 1 Year TP")</f>
        <v>0</v>
      </c>
      <c r="AP291" s="34" t="s">
        <v>3931</v>
      </c>
      <c r="AQ291" s="42" t="s">
        <v>3820</v>
      </c>
      <c r="AR291" s="34">
        <v>290.0</v>
      </c>
      <c r="AS291" s="34" t="s">
        <v>3853</v>
      </c>
      <c r="AT291" s="34">
        <v>0.0</v>
      </c>
      <c r="AU291" s="34">
        <v>100.0</v>
      </c>
      <c r="AV291" s="34">
        <v>0.0</v>
      </c>
      <c r="AW291" s="34">
        <v>0.0</v>
      </c>
      <c r="AX291" s="33">
        <f>COUNTIFS('Data For Calculation - Insuranc'!A:A,A291,'Data For Calculation - Insuranc'!D:D,"Individual",'Data For Calculation - Insuranc'!E:E,"Rollover - 1 Year OD Only")</f>
        <v>0</v>
      </c>
      <c r="AY291" s="34" t="s">
        <v>3932</v>
      </c>
      <c r="AZ291" s="42" t="s">
        <v>3820</v>
      </c>
      <c r="BA291" s="34">
        <v>290.0</v>
      </c>
      <c r="BB291" s="34" t="s">
        <v>3853</v>
      </c>
      <c r="BC291" s="34">
        <v>0.0</v>
      </c>
      <c r="BD291" s="34">
        <v>100.0</v>
      </c>
      <c r="BE291" s="34">
        <v>0.0</v>
      </c>
      <c r="BF291" s="34">
        <v>0.0</v>
      </c>
      <c r="BG291" s="33">
        <f>COUNTIFS('Data For Calculation - Insuranc'!A:A,A291,'Data For Calculation - Insuranc'!D:D,"Company",'Data For Calculation - Insuranc'!E:E,"Rollover - 1 Year OD Only")</f>
        <v>0</v>
      </c>
      <c r="BH291" s="34" t="s">
        <v>3931</v>
      </c>
      <c r="BI291" s="42" t="s">
        <v>3820</v>
      </c>
      <c r="BJ291" s="34">
        <v>290.0</v>
      </c>
      <c r="BK291" s="34" t="s">
        <v>3853</v>
      </c>
      <c r="BL291" s="34">
        <v>0.0</v>
      </c>
      <c r="BM291" s="34">
        <v>100.0</v>
      </c>
      <c r="BN291" s="34">
        <v>0.0</v>
      </c>
      <c r="BO291" s="34">
        <v>0.0</v>
      </c>
      <c r="BP291" s="33">
        <f>COUNTIFS('Data For Calculation - Insuranc'!A:A,A291,'Data For Calculation - Insuranc'!D:D,"Individual",'Data For Calculation - Insuranc'!E:E,"Rollover - 1 Year TP Only")</f>
        <v>0</v>
      </c>
      <c r="BQ291" s="34" t="s">
        <v>3932</v>
      </c>
      <c r="BR291" s="42" t="s">
        <v>3820</v>
      </c>
      <c r="BS291" s="34">
        <v>290.0</v>
      </c>
      <c r="BT291" s="34" t="s">
        <v>3853</v>
      </c>
      <c r="BU291" s="34">
        <v>0.0</v>
      </c>
      <c r="BV291" s="34">
        <v>100.0</v>
      </c>
      <c r="BW291" s="34">
        <v>0.0</v>
      </c>
      <c r="BX291" s="34">
        <v>0.0</v>
      </c>
      <c r="BY291" s="33">
        <f>COUNTIFS('Data For Calculation - Insuranc'!A:A,A291,'Data For Calculation - Insuranc'!D:D,"Company",'Data For Calculation - Insuranc'!E:E,"Rollover - 1 Year TP Only")</f>
        <v>0</v>
      </c>
      <c r="BZ291" s="31">
        <f t="shared" si="1"/>
        <v>0</v>
      </c>
      <c r="CA291" s="33">
        <f>SUMIFS('Data For Calculation - Insuranc'!I:I,'Data For Calculation - Insuranc'!$A:$A,$A291)</f>
        <v>0</v>
      </c>
      <c r="CB291" s="33">
        <f>SUMIFS('Data For Calculation - Insuranc'!J:J,'Data For Calculation - Insuranc'!$A:$A,$A291)</f>
        <v>0</v>
      </c>
      <c r="CC291" s="33">
        <f>SUMIFS('Data For Calculation - Insuranc'!K:K,'Data For Calculation - Insuranc'!$A:$A,$A291)</f>
        <v>0</v>
      </c>
      <c r="CD291" s="33">
        <f>IF($CK291 = "Dealer", SUMIFS('Data For Calculation - Insuranc'!I:I,'Data For Calculation - Insuranc'!$B:$B,$A291,'Data For Calculation - Insuranc'!$H:$H,"Master Dealer")) + SUMIFS('Data For Calculation - Insuranc'!I:I,'Data For Calculation - Insuranc'!$A:$A,$A291,'Data For Calculation - Insuranc'!$H:$H,"Self")</f>
        <v>0</v>
      </c>
      <c r="CE291" s="33">
        <f>IF($CK291 = "Dealer", SUMIFS('Data For Calculation - Insuranc'!J:J,'Data For Calculation - Insuranc'!$B:$B,$A291,'Data For Calculation - Insuranc'!$H:$H,"Master Dealer")) + SUMIFS('Data For Calculation - Insuranc'!J:J,'Data For Calculation - Insuranc'!$A:$A,$A291,'Data For Calculation - Insuranc'!$H:$H,"Self")</f>
        <v>0</v>
      </c>
      <c r="CF291" s="33">
        <f>IF($CK291 = "Dealer", SUMIFS('Data For Calculation - Insuranc'!K:K,'Data For Calculation - Insuranc'!$B:$B,$A291,'Data For Calculation - Insuranc'!$H:$H,"Master Dealer")) + SUMIFS('Data For Calculation - Insuranc'!K:K,'Data For Calculation - Insuranc'!$A:$A,$A291,'Data For Calculation - Insuranc'!$H:$H,"Self")</f>
        <v>0</v>
      </c>
      <c r="CG291" s="26" t="str">
        <f>(Sheet1!N291)</f>
        <v>Gupta Automobiles - Padrauna</v>
      </c>
      <c r="CH291" s="26" t="str">
        <f>(Sheet1!O291)</f>
        <v>1Ql_6BdBcHGAyITSZt1pNUK3bW54CzeThIBXr7aH7K3Y</v>
      </c>
      <c r="CI291" s="25" t="str">
        <f>(Sheet1!AV291)</f>
        <v/>
      </c>
      <c r="CJ291" s="25" t="str">
        <f>(Sheet1!AW291)</f>
        <v/>
      </c>
      <c r="CK291" s="26" t="str">
        <f>(Sheet1!P291)</f>
        <v>Sub Dealer</v>
      </c>
    </row>
    <row r="292">
      <c r="A292" s="26" t="str">
        <f>(Sheet1!A292)</f>
        <v>1xFID_8JlzSrxrXeYVgdRqij29QdUPwj9WI5dysI9CDw</v>
      </c>
      <c r="B292" s="26" t="str">
        <f>(Sheet1!B292)</f>
        <v>Samar Automobiles- Dudahi</v>
      </c>
      <c r="C292" s="30" t="str">
        <f>Sheet1!BB292</f>
        <v>No</v>
      </c>
      <c r="D292" s="34" t="s">
        <v>13</v>
      </c>
      <c r="E292" s="34" t="s">
        <v>13</v>
      </c>
      <c r="F292" s="34" t="s">
        <v>3929</v>
      </c>
      <c r="G292" s="42" t="s">
        <v>3820</v>
      </c>
      <c r="H292" s="43">
        <v>460.0</v>
      </c>
      <c r="I292" s="42" t="s">
        <v>3853</v>
      </c>
      <c r="J292" s="43">
        <v>0.0</v>
      </c>
      <c r="K292" s="43">
        <v>100.0</v>
      </c>
      <c r="L292" s="43">
        <v>0.0</v>
      </c>
      <c r="M292" s="43">
        <v>0.0</v>
      </c>
      <c r="N292" s="33">
        <f>COUNTIFS('Data For Calculation - Insuranc'!A:A,A292,'Data For Calculation - Insuranc'!D:D,"Individual",'Data For Calculation - Insuranc'!E:E,"Bundled - 1 Year OD + 5 Year TP")</f>
        <v>0</v>
      </c>
      <c r="O292" s="34" t="s">
        <v>3930</v>
      </c>
      <c r="P292" s="42" t="s">
        <v>3820</v>
      </c>
      <c r="Q292" s="43">
        <v>460.0</v>
      </c>
      <c r="R292" s="42" t="s">
        <v>3853</v>
      </c>
      <c r="S292" s="43">
        <v>0.0</v>
      </c>
      <c r="T292" s="43">
        <v>100.0</v>
      </c>
      <c r="U292" s="43">
        <v>0.0</v>
      </c>
      <c r="V292" s="43">
        <v>0.0</v>
      </c>
      <c r="W292" s="33">
        <f>COUNTIFS('Data For Calculation - Insuranc'!A:A,A292,'Data For Calculation - Insuranc'!D:D,"Company",'Data For Calculation - Insuranc'!E:E,"Bundled - 1 Year OD + 5 Year TP")</f>
        <v>0</v>
      </c>
      <c r="X292" s="34" t="s">
        <v>3929</v>
      </c>
      <c r="Y292" s="42" t="s">
        <v>3820</v>
      </c>
      <c r="Z292" s="34">
        <v>290.0</v>
      </c>
      <c r="AA292" s="34" t="s">
        <v>3853</v>
      </c>
      <c r="AB292" s="34">
        <v>0.0</v>
      </c>
      <c r="AC292" s="34">
        <v>100.0</v>
      </c>
      <c r="AD292" s="34">
        <v>0.0</v>
      </c>
      <c r="AE292" s="34">
        <v>0.0</v>
      </c>
      <c r="AF292" s="33">
        <f>COUNTIFS('Data For Calculation - Insuranc'!A:A,A292,'Data For Calculation - Insuranc'!D:D,"Individual",'Data For Calculation - Insuranc'!E:E,"Rollover Comprehensive - 1 Year OD + 1 Year TP")</f>
        <v>0</v>
      </c>
      <c r="AG292" s="34" t="s">
        <v>3930</v>
      </c>
      <c r="AH292" s="42" t="s">
        <v>3820</v>
      </c>
      <c r="AI292" s="34">
        <v>290.0</v>
      </c>
      <c r="AJ292" s="34" t="s">
        <v>3853</v>
      </c>
      <c r="AK292" s="34">
        <v>0.0</v>
      </c>
      <c r="AL292" s="34">
        <v>100.0</v>
      </c>
      <c r="AM292" s="34">
        <v>0.0</v>
      </c>
      <c r="AN292" s="34">
        <v>0.0</v>
      </c>
      <c r="AO292" s="33">
        <f>COUNTIFS('Data For Calculation - Insuranc'!A:A,A292,'Data For Calculation - Insuranc'!D:D,"Company",'Data For Calculation - Insuranc'!E:E,"Rollover Comprehensive - 1 Year OD + 1 Year TP")</f>
        <v>0</v>
      </c>
      <c r="AP292" s="34" t="s">
        <v>3931</v>
      </c>
      <c r="AQ292" s="42" t="s">
        <v>3820</v>
      </c>
      <c r="AR292" s="34">
        <v>290.0</v>
      </c>
      <c r="AS292" s="34" t="s">
        <v>3853</v>
      </c>
      <c r="AT292" s="34">
        <v>0.0</v>
      </c>
      <c r="AU292" s="34">
        <v>100.0</v>
      </c>
      <c r="AV292" s="34">
        <v>0.0</v>
      </c>
      <c r="AW292" s="34">
        <v>0.0</v>
      </c>
      <c r="AX292" s="33">
        <f>COUNTIFS('Data For Calculation - Insuranc'!A:A,A292,'Data For Calculation - Insuranc'!D:D,"Individual",'Data For Calculation - Insuranc'!E:E,"Rollover - 1 Year OD Only")</f>
        <v>0</v>
      </c>
      <c r="AY292" s="34" t="s">
        <v>3932</v>
      </c>
      <c r="AZ292" s="42" t="s">
        <v>3820</v>
      </c>
      <c r="BA292" s="34">
        <v>290.0</v>
      </c>
      <c r="BB292" s="34" t="s">
        <v>3853</v>
      </c>
      <c r="BC292" s="34">
        <v>0.0</v>
      </c>
      <c r="BD292" s="34">
        <v>100.0</v>
      </c>
      <c r="BE292" s="34">
        <v>0.0</v>
      </c>
      <c r="BF292" s="34">
        <v>0.0</v>
      </c>
      <c r="BG292" s="33">
        <f>COUNTIFS('Data For Calculation - Insuranc'!A:A,A292,'Data For Calculation - Insuranc'!D:D,"Company",'Data For Calculation - Insuranc'!E:E,"Rollover - 1 Year OD Only")</f>
        <v>0</v>
      </c>
      <c r="BH292" s="34" t="s">
        <v>3931</v>
      </c>
      <c r="BI292" s="42" t="s">
        <v>3820</v>
      </c>
      <c r="BJ292" s="34">
        <v>290.0</v>
      </c>
      <c r="BK292" s="34" t="s">
        <v>3853</v>
      </c>
      <c r="BL292" s="34">
        <v>0.0</v>
      </c>
      <c r="BM292" s="34">
        <v>100.0</v>
      </c>
      <c r="BN292" s="34">
        <v>0.0</v>
      </c>
      <c r="BO292" s="34">
        <v>0.0</v>
      </c>
      <c r="BP292" s="33">
        <f>COUNTIFS('Data For Calculation - Insuranc'!A:A,A292,'Data For Calculation - Insuranc'!D:D,"Individual",'Data For Calculation - Insuranc'!E:E,"Rollover - 1 Year TP Only")</f>
        <v>0</v>
      </c>
      <c r="BQ292" s="34" t="s">
        <v>3932</v>
      </c>
      <c r="BR292" s="42" t="s">
        <v>3820</v>
      </c>
      <c r="BS292" s="34">
        <v>290.0</v>
      </c>
      <c r="BT292" s="34" t="s">
        <v>3853</v>
      </c>
      <c r="BU292" s="34">
        <v>0.0</v>
      </c>
      <c r="BV292" s="34">
        <v>100.0</v>
      </c>
      <c r="BW292" s="34">
        <v>0.0</v>
      </c>
      <c r="BX292" s="34">
        <v>0.0</v>
      </c>
      <c r="BY292" s="33">
        <f>COUNTIFS('Data For Calculation - Insuranc'!A:A,A292,'Data For Calculation - Insuranc'!D:D,"Company",'Data For Calculation - Insuranc'!E:E,"Rollover - 1 Year TP Only")</f>
        <v>0</v>
      </c>
      <c r="BZ292" s="31">
        <f t="shared" si="1"/>
        <v>0</v>
      </c>
      <c r="CA292" s="33">
        <f>SUMIFS('Data For Calculation - Insuranc'!I:I,'Data For Calculation - Insuranc'!$A:$A,$A292)</f>
        <v>0</v>
      </c>
      <c r="CB292" s="33">
        <f>SUMIFS('Data For Calculation - Insuranc'!J:J,'Data For Calculation - Insuranc'!$A:$A,$A292)</f>
        <v>0</v>
      </c>
      <c r="CC292" s="33">
        <f>SUMIFS('Data For Calculation - Insuranc'!K:K,'Data For Calculation - Insuranc'!$A:$A,$A292)</f>
        <v>0</v>
      </c>
      <c r="CD292" s="33">
        <f>IF($CK292 = "Dealer", SUMIFS('Data For Calculation - Insuranc'!I:I,'Data For Calculation - Insuranc'!$B:$B,$A292,'Data For Calculation - Insuranc'!$H:$H,"Master Dealer")) + SUMIFS('Data For Calculation - Insuranc'!I:I,'Data For Calculation - Insuranc'!$A:$A,$A292,'Data For Calculation - Insuranc'!$H:$H,"Self")</f>
        <v>0</v>
      </c>
      <c r="CE292" s="33">
        <f>IF($CK292 = "Dealer", SUMIFS('Data For Calculation - Insuranc'!J:J,'Data For Calculation - Insuranc'!$B:$B,$A292,'Data For Calculation - Insuranc'!$H:$H,"Master Dealer")) + SUMIFS('Data For Calculation - Insuranc'!J:J,'Data For Calculation - Insuranc'!$A:$A,$A292,'Data For Calculation - Insuranc'!$H:$H,"Self")</f>
        <v>0</v>
      </c>
      <c r="CF292" s="33">
        <f>IF($CK292 = "Dealer", SUMIFS('Data For Calculation - Insuranc'!K:K,'Data For Calculation - Insuranc'!$B:$B,$A292,'Data For Calculation - Insuranc'!$H:$H,"Master Dealer")) + SUMIFS('Data For Calculation - Insuranc'!K:K,'Data For Calculation - Insuranc'!$A:$A,$A292,'Data For Calculation - Insuranc'!$H:$H,"Self")</f>
        <v>0</v>
      </c>
      <c r="CG292" s="26" t="str">
        <f>(Sheet1!N292)</f>
        <v>Gupta Automobiles - Padrauna</v>
      </c>
      <c r="CH292" s="26" t="str">
        <f>(Sheet1!O292)</f>
        <v>1Ql_6BdBcHGAyITSZt1pNUK3bW54CzeThIBXr7aH7K3Y</v>
      </c>
      <c r="CI292" s="25" t="str">
        <f>(Sheet1!AV292)</f>
        <v/>
      </c>
      <c r="CJ292" s="25" t="str">
        <f>(Sheet1!AW292)</f>
        <v/>
      </c>
      <c r="CK292" s="26" t="str">
        <f>(Sheet1!P292)</f>
        <v>Sub Dealer</v>
      </c>
    </row>
    <row r="293">
      <c r="A293" s="26" t="str">
        <f>(Sheet1!A293)</f>
        <v>1X_m6RcHqFfcQ7cuPRVFGEfC7_tgNzz3k2sBzk-y5Lho</v>
      </c>
      <c r="B293" s="26" t="str">
        <f>(Sheet1!B293)</f>
        <v>Krishna Automobile - Mathauli bazar</v>
      </c>
      <c r="C293" s="30" t="str">
        <f>Sheet1!BB293</f>
        <v>No</v>
      </c>
      <c r="D293" s="34" t="s">
        <v>13</v>
      </c>
      <c r="E293" s="34" t="s">
        <v>13</v>
      </c>
      <c r="F293" s="34" t="s">
        <v>3929</v>
      </c>
      <c r="G293" s="42" t="s">
        <v>3820</v>
      </c>
      <c r="H293" s="43">
        <v>460.0</v>
      </c>
      <c r="I293" s="42" t="s">
        <v>3853</v>
      </c>
      <c r="J293" s="43">
        <v>0.0</v>
      </c>
      <c r="K293" s="43">
        <v>100.0</v>
      </c>
      <c r="L293" s="43">
        <v>0.0</v>
      </c>
      <c r="M293" s="43">
        <v>0.0</v>
      </c>
      <c r="N293" s="33">
        <f>COUNTIFS('Data For Calculation - Insuranc'!A:A,A293,'Data For Calculation - Insuranc'!D:D,"Individual",'Data For Calculation - Insuranc'!E:E,"Bundled - 1 Year OD + 5 Year TP")</f>
        <v>0</v>
      </c>
      <c r="O293" s="34" t="s">
        <v>3930</v>
      </c>
      <c r="P293" s="42" t="s">
        <v>3820</v>
      </c>
      <c r="Q293" s="43">
        <v>460.0</v>
      </c>
      <c r="R293" s="42" t="s">
        <v>3853</v>
      </c>
      <c r="S293" s="43">
        <v>0.0</v>
      </c>
      <c r="T293" s="43">
        <v>100.0</v>
      </c>
      <c r="U293" s="43">
        <v>0.0</v>
      </c>
      <c r="V293" s="43">
        <v>0.0</v>
      </c>
      <c r="W293" s="33">
        <f>COUNTIFS('Data For Calculation - Insuranc'!A:A,A293,'Data For Calculation - Insuranc'!D:D,"Company",'Data For Calculation - Insuranc'!E:E,"Bundled - 1 Year OD + 5 Year TP")</f>
        <v>0</v>
      </c>
      <c r="X293" s="34" t="s">
        <v>3929</v>
      </c>
      <c r="Y293" s="42" t="s">
        <v>3820</v>
      </c>
      <c r="Z293" s="34">
        <v>290.0</v>
      </c>
      <c r="AA293" s="34" t="s">
        <v>3853</v>
      </c>
      <c r="AB293" s="34">
        <v>0.0</v>
      </c>
      <c r="AC293" s="34">
        <v>100.0</v>
      </c>
      <c r="AD293" s="34">
        <v>0.0</v>
      </c>
      <c r="AE293" s="34">
        <v>0.0</v>
      </c>
      <c r="AF293" s="33">
        <f>COUNTIFS('Data For Calculation - Insuranc'!A:A,A293,'Data For Calculation - Insuranc'!D:D,"Individual",'Data For Calculation - Insuranc'!E:E,"Rollover Comprehensive - 1 Year OD + 1 Year TP")</f>
        <v>0</v>
      </c>
      <c r="AG293" s="34" t="s">
        <v>3930</v>
      </c>
      <c r="AH293" s="42" t="s">
        <v>3820</v>
      </c>
      <c r="AI293" s="34">
        <v>290.0</v>
      </c>
      <c r="AJ293" s="34" t="s">
        <v>3853</v>
      </c>
      <c r="AK293" s="34">
        <v>0.0</v>
      </c>
      <c r="AL293" s="34">
        <v>100.0</v>
      </c>
      <c r="AM293" s="34">
        <v>0.0</v>
      </c>
      <c r="AN293" s="34">
        <v>0.0</v>
      </c>
      <c r="AO293" s="33">
        <f>COUNTIFS('Data For Calculation - Insuranc'!A:A,A293,'Data For Calculation - Insuranc'!D:D,"Company",'Data For Calculation - Insuranc'!E:E,"Rollover Comprehensive - 1 Year OD + 1 Year TP")</f>
        <v>0</v>
      </c>
      <c r="AP293" s="34" t="s">
        <v>3931</v>
      </c>
      <c r="AQ293" s="42" t="s">
        <v>3820</v>
      </c>
      <c r="AR293" s="34">
        <v>290.0</v>
      </c>
      <c r="AS293" s="34" t="s">
        <v>3853</v>
      </c>
      <c r="AT293" s="34">
        <v>0.0</v>
      </c>
      <c r="AU293" s="34">
        <v>100.0</v>
      </c>
      <c r="AV293" s="34">
        <v>0.0</v>
      </c>
      <c r="AW293" s="34">
        <v>0.0</v>
      </c>
      <c r="AX293" s="33">
        <f>COUNTIFS('Data For Calculation - Insuranc'!A:A,A293,'Data For Calculation - Insuranc'!D:D,"Individual",'Data For Calculation - Insuranc'!E:E,"Rollover - 1 Year OD Only")</f>
        <v>0</v>
      </c>
      <c r="AY293" s="34" t="s">
        <v>3932</v>
      </c>
      <c r="AZ293" s="42" t="s">
        <v>3820</v>
      </c>
      <c r="BA293" s="34">
        <v>290.0</v>
      </c>
      <c r="BB293" s="34" t="s">
        <v>3853</v>
      </c>
      <c r="BC293" s="34">
        <v>0.0</v>
      </c>
      <c r="BD293" s="34">
        <v>100.0</v>
      </c>
      <c r="BE293" s="34">
        <v>0.0</v>
      </c>
      <c r="BF293" s="34">
        <v>0.0</v>
      </c>
      <c r="BG293" s="33">
        <f>COUNTIFS('Data For Calculation - Insuranc'!A:A,A293,'Data For Calculation - Insuranc'!D:D,"Company",'Data For Calculation - Insuranc'!E:E,"Rollover - 1 Year OD Only")</f>
        <v>0</v>
      </c>
      <c r="BH293" s="34" t="s">
        <v>3931</v>
      </c>
      <c r="BI293" s="42" t="s">
        <v>3820</v>
      </c>
      <c r="BJ293" s="34">
        <v>290.0</v>
      </c>
      <c r="BK293" s="34" t="s">
        <v>3853</v>
      </c>
      <c r="BL293" s="34">
        <v>0.0</v>
      </c>
      <c r="BM293" s="34">
        <v>100.0</v>
      </c>
      <c r="BN293" s="34">
        <v>0.0</v>
      </c>
      <c r="BO293" s="34">
        <v>0.0</v>
      </c>
      <c r="BP293" s="33">
        <f>COUNTIFS('Data For Calculation - Insuranc'!A:A,A293,'Data For Calculation - Insuranc'!D:D,"Individual",'Data For Calculation - Insuranc'!E:E,"Rollover - 1 Year TP Only")</f>
        <v>0</v>
      </c>
      <c r="BQ293" s="34" t="s">
        <v>3932</v>
      </c>
      <c r="BR293" s="42" t="s">
        <v>3820</v>
      </c>
      <c r="BS293" s="34">
        <v>290.0</v>
      </c>
      <c r="BT293" s="34" t="s">
        <v>3853</v>
      </c>
      <c r="BU293" s="34">
        <v>0.0</v>
      </c>
      <c r="BV293" s="34">
        <v>100.0</v>
      </c>
      <c r="BW293" s="34">
        <v>0.0</v>
      </c>
      <c r="BX293" s="34">
        <v>0.0</v>
      </c>
      <c r="BY293" s="33">
        <f>COUNTIFS('Data For Calculation - Insuranc'!A:A,A293,'Data For Calculation - Insuranc'!D:D,"Company",'Data For Calculation - Insuranc'!E:E,"Rollover - 1 Year TP Only")</f>
        <v>0</v>
      </c>
      <c r="BZ293" s="31">
        <f t="shared" si="1"/>
        <v>0</v>
      </c>
      <c r="CA293" s="33">
        <f>SUMIFS('Data For Calculation - Insuranc'!I:I,'Data For Calculation - Insuranc'!$A:$A,$A293)</f>
        <v>0</v>
      </c>
      <c r="CB293" s="33">
        <f>SUMIFS('Data For Calculation - Insuranc'!J:J,'Data For Calculation - Insuranc'!$A:$A,$A293)</f>
        <v>0</v>
      </c>
      <c r="CC293" s="33">
        <f>SUMIFS('Data For Calculation - Insuranc'!K:K,'Data For Calculation - Insuranc'!$A:$A,$A293)</f>
        <v>0</v>
      </c>
      <c r="CD293" s="33">
        <f>IF($CK293 = "Dealer", SUMIFS('Data For Calculation - Insuranc'!I:I,'Data For Calculation - Insuranc'!$B:$B,$A293,'Data For Calculation - Insuranc'!$H:$H,"Master Dealer")) + SUMIFS('Data For Calculation - Insuranc'!I:I,'Data For Calculation - Insuranc'!$A:$A,$A293,'Data For Calculation - Insuranc'!$H:$H,"Self")</f>
        <v>0</v>
      </c>
      <c r="CE293" s="33">
        <f>IF($CK293 = "Dealer", SUMIFS('Data For Calculation - Insuranc'!J:J,'Data For Calculation - Insuranc'!$B:$B,$A293,'Data For Calculation - Insuranc'!$H:$H,"Master Dealer")) + SUMIFS('Data For Calculation - Insuranc'!J:J,'Data For Calculation - Insuranc'!$A:$A,$A293,'Data For Calculation - Insuranc'!$H:$H,"Self")</f>
        <v>0</v>
      </c>
      <c r="CF293" s="33">
        <f>IF($CK293 = "Dealer", SUMIFS('Data For Calculation - Insuranc'!K:K,'Data For Calculation - Insuranc'!$B:$B,$A293,'Data For Calculation - Insuranc'!$H:$H,"Master Dealer")) + SUMIFS('Data For Calculation - Insuranc'!K:K,'Data For Calculation - Insuranc'!$A:$A,$A293,'Data For Calculation - Insuranc'!$H:$H,"Self")</f>
        <v>0</v>
      </c>
      <c r="CG293" s="26" t="str">
        <f>(Sheet1!N293)</f>
        <v>Gupta Automobiles - Padrauna</v>
      </c>
      <c r="CH293" s="26" t="str">
        <f>(Sheet1!O293)</f>
        <v>1Ql_6BdBcHGAyITSZt1pNUK3bW54CzeThIBXr7aH7K3Y</v>
      </c>
      <c r="CI293" s="25" t="str">
        <f>(Sheet1!AV293)</f>
        <v/>
      </c>
      <c r="CJ293" s="25" t="str">
        <f>(Sheet1!AW293)</f>
        <v/>
      </c>
      <c r="CK293" s="26" t="str">
        <f>(Sheet1!P293)</f>
        <v>Sub Dealer</v>
      </c>
    </row>
    <row r="294">
      <c r="A294" s="26" t="str">
        <f>(Sheet1!A294)</f>
        <v>1x38XOM-VqTgqoXTPjpnyXIiMMrMalrJof7768QJp3LU</v>
      </c>
      <c r="B294" s="26" t="str">
        <f>(Sheet1!B294)</f>
        <v>KATKAM HONDA-KAMMAM</v>
      </c>
      <c r="C294" s="30" t="str">
        <f>Sheet1!BB294</f>
        <v>No</v>
      </c>
      <c r="D294" s="34" t="s">
        <v>13</v>
      </c>
      <c r="E294" s="34" t="s">
        <v>13</v>
      </c>
      <c r="F294" s="34" t="s">
        <v>3929</v>
      </c>
      <c r="G294" s="42" t="s">
        <v>3820</v>
      </c>
      <c r="H294" s="43">
        <v>460.0</v>
      </c>
      <c r="I294" s="42" t="s">
        <v>3853</v>
      </c>
      <c r="J294" s="43">
        <v>0.0</v>
      </c>
      <c r="K294" s="43">
        <v>100.0</v>
      </c>
      <c r="L294" s="43">
        <v>0.0</v>
      </c>
      <c r="M294" s="43">
        <v>0.0</v>
      </c>
      <c r="N294" s="33">
        <f>COUNTIFS('Data For Calculation - Insuranc'!A:A,A294,'Data For Calculation - Insuranc'!D:D,"Individual",'Data For Calculation - Insuranc'!E:E,"Bundled - 1 Year OD + 5 Year TP")</f>
        <v>0</v>
      </c>
      <c r="O294" s="34" t="s">
        <v>3930</v>
      </c>
      <c r="P294" s="42" t="s">
        <v>3820</v>
      </c>
      <c r="Q294" s="43">
        <v>460.0</v>
      </c>
      <c r="R294" s="42" t="s">
        <v>3853</v>
      </c>
      <c r="S294" s="43">
        <v>0.0</v>
      </c>
      <c r="T294" s="43">
        <v>100.0</v>
      </c>
      <c r="U294" s="43">
        <v>0.0</v>
      </c>
      <c r="V294" s="43">
        <v>0.0</v>
      </c>
      <c r="W294" s="33">
        <f>COUNTIFS('Data For Calculation - Insuranc'!A:A,A294,'Data For Calculation - Insuranc'!D:D,"Company",'Data For Calculation - Insuranc'!E:E,"Bundled - 1 Year OD + 5 Year TP")</f>
        <v>0</v>
      </c>
      <c r="X294" s="34" t="s">
        <v>3929</v>
      </c>
      <c r="Y294" s="42" t="s">
        <v>3820</v>
      </c>
      <c r="Z294" s="34">
        <v>290.0</v>
      </c>
      <c r="AA294" s="34" t="s">
        <v>3853</v>
      </c>
      <c r="AB294" s="34">
        <v>0.0</v>
      </c>
      <c r="AC294" s="34">
        <v>100.0</v>
      </c>
      <c r="AD294" s="34">
        <v>0.0</v>
      </c>
      <c r="AE294" s="34">
        <v>0.0</v>
      </c>
      <c r="AF294" s="33">
        <f>COUNTIFS('Data For Calculation - Insuranc'!A:A,A294,'Data For Calculation - Insuranc'!D:D,"Individual",'Data For Calculation - Insuranc'!E:E,"Rollover Comprehensive - 1 Year OD + 1 Year TP")</f>
        <v>0</v>
      </c>
      <c r="AG294" s="34" t="s">
        <v>3930</v>
      </c>
      <c r="AH294" s="42" t="s">
        <v>3820</v>
      </c>
      <c r="AI294" s="34">
        <v>290.0</v>
      </c>
      <c r="AJ294" s="34" t="s">
        <v>3853</v>
      </c>
      <c r="AK294" s="34">
        <v>0.0</v>
      </c>
      <c r="AL294" s="34">
        <v>100.0</v>
      </c>
      <c r="AM294" s="34">
        <v>0.0</v>
      </c>
      <c r="AN294" s="34">
        <v>0.0</v>
      </c>
      <c r="AO294" s="33">
        <f>COUNTIFS('Data For Calculation - Insuranc'!A:A,A294,'Data For Calculation - Insuranc'!D:D,"Company",'Data For Calculation - Insuranc'!E:E,"Rollover Comprehensive - 1 Year OD + 1 Year TP")</f>
        <v>0</v>
      </c>
      <c r="AP294" s="34" t="s">
        <v>3931</v>
      </c>
      <c r="AQ294" s="42" t="s">
        <v>3820</v>
      </c>
      <c r="AR294" s="34">
        <v>290.0</v>
      </c>
      <c r="AS294" s="34" t="s">
        <v>3853</v>
      </c>
      <c r="AT294" s="34">
        <v>0.0</v>
      </c>
      <c r="AU294" s="34">
        <v>100.0</v>
      </c>
      <c r="AV294" s="34">
        <v>0.0</v>
      </c>
      <c r="AW294" s="34">
        <v>0.0</v>
      </c>
      <c r="AX294" s="33">
        <f>COUNTIFS('Data For Calculation - Insuranc'!A:A,A294,'Data For Calculation - Insuranc'!D:D,"Individual",'Data For Calculation - Insuranc'!E:E,"Rollover - 1 Year OD Only")</f>
        <v>0</v>
      </c>
      <c r="AY294" s="34" t="s">
        <v>3932</v>
      </c>
      <c r="AZ294" s="42" t="s">
        <v>3820</v>
      </c>
      <c r="BA294" s="34">
        <v>290.0</v>
      </c>
      <c r="BB294" s="34" t="s">
        <v>3853</v>
      </c>
      <c r="BC294" s="34">
        <v>0.0</v>
      </c>
      <c r="BD294" s="34">
        <v>100.0</v>
      </c>
      <c r="BE294" s="34">
        <v>0.0</v>
      </c>
      <c r="BF294" s="34">
        <v>0.0</v>
      </c>
      <c r="BG294" s="33">
        <f>COUNTIFS('Data For Calculation - Insuranc'!A:A,A294,'Data For Calculation - Insuranc'!D:D,"Company",'Data For Calculation - Insuranc'!E:E,"Rollover - 1 Year OD Only")</f>
        <v>0</v>
      </c>
      <c r="BH294" s="34" t="s">
        <v>3931</v>
      </c>
      <c r="BI294" s="42" t="s">
        <v>3820</v>
      </c>
      <c r="BJ294" s="34">
        <v>290.0</v>
      </c>
      <c r="BK294" s="34" t="s">
        <v>3853</v>
      </c>
      <c r="BL294" s="34">
        <v>0.0</v>
      </c>
      <c r="BM294" s="34">
        <v>100.0</v>
      </c>
      <c r="BN294" s="34">
        <v>0.0</v>
      </c>
      <c r="BO294" s="34">
        <v>0.0</v>
      </c>
      <c r="BP294" s="33">
        <f>COUNTIFS('Data For Calculation - Insuranc'!A:A,A294,'Data For Calculation - Insuranc'!D:D,"Individual",'Data For Calculation - Insuranc'!E:E,"Rollover - 1 Year TP Only")</f>
        <v>0</v>
      </c>
      <c r="BQ294" s="34" t="s">
        <v>3932</v>
      </c>
      <c r="BR294" s="42" t="s">
        <v>3820</v>
      </c>
      <c r="BS294" s="34">
        <v>290.0</v>
      </c>
      <c r="BT294" s="34" t="s">
        <v>3853</v>
      </c>
      <c r="BU294" s="34">
        <v>0.0</v>
      </c>
      <c r="BV294" s="34">
        <v>100.0</v>
      </c>
      <c r="BW294" s="34">
        <v>0.0</v>
      </c>
      <c r="BX294" s="34">
        <v>0.0</v>
      </c>
      <c r="BY294" s="33">
        <f>COUNTIFS('Data For Calculation - Insuranc'!A:A,A294,'Data For Calculation - Insuranc'!D:D,"Company",'Data For Calculation - Insuranc'!E:E,"Rollover - 1 Year TP Only")</f>
        <v>0</v>
      </c>
      <c r="BZ294" s="31">
        <f t="shared" si="1"/>
        <v>0</v>
      </c>
      <c r="CA294" s="33">
        <f>SUMIFS('Data For Calculation - Insuranc'!I:I,'Data For Calculation - Insuranc'!$A:$A,$A294)</f>
        <v>0</v>
      </c>
      <c r="CB294" s="33">
        <f>SUMIFS('Data For Calculation - Insuranc'!J:J,'Data For Calculation - Insuranc'!$A:$A,$A294)</f>
        <v>0</v>
      </c>
      <c r="CC294" s="33">
        <f>SUMIFS('Data For Calculation - Insuranc'!K:K,'Data For Calculation - Insuranc'!$A:$A,$A294)</f>
        <v>0</v>
      </c>
      <c r="CD294" s="33">
        <f>IF($CK294 = "Dealer", SUMIFS('Data For Calculation - Insuranc'!I:I,'Data For Calculation - Insuranc'!$B:$B,$A294,'Data For Calculation - Insuranc'!$H:$H,"Master Dealer")) + SUMIFS('Data For Calculation - Insuranc'!I:I,'Data For Calculation - Insuranc'!$A:$A,$A294,'Data For Calculation - Insuranc'!$H:$H,"Self")</f>
        <v>0</v>
      </c>
      <c r="CE294" s="33">
        <f>IF($CK294 = "Dealer", SUMIFS('Data For Calculation - Insuranc'!J:J,'Data For Calculation - Insuranc'!$B:$B,$A294,'Data For Calculation - Insuranc'!$H:$H,"Master Dealer")) + SUMIFS('Data For Calculation - Insuranc'!J:J,'Data For Calculation - Insuranc'!$A:$A,$A294,'Data For Calculation - Insuranc'!$H:$H,"Self")</f>
        <v>0</v>
      </c>
      <c r="CF294" s="33">
        <f>IF($CK294 = "Dealer", SUMIFS('Data For Calculation - Insuranc'!K:K,'Data For Calculation - Insuranc'!$B:$B,$A294,'Data For Calculation - Insuranc'!$H:$H,"Master Dealer")) + SUMIFS('Data For Calculation - Insuranc'!K:K,'Data For Calculation - Insuranc'!$A:$A,$A294,'Data For Calculation - Insuranc'!$H:$H,"Self")</f>
        <v>0</v>
      </c>
      <c r="CG294" s="26" t="str">
        <f>(Sheet1!N294)</f>
        <v>KATKAM HONDA-KAMMAM</v>
      </c>
      <c r="CH294" s="26" t="str">
        <f>(Sheet1!O294)</f>
        <v>1x38XOM-VqTgqoXTPjpnyXIiMMrMalrJof7768QJp3LU</v>
      </c>
      <c r="CI294" s="25" t="str">
        <f>(Sheet1!AV294)</f>
        <v/>
      </c>
      <c r="CJ294" s="25" t="str">
        <f>(Sheet1!AW294)</f>
        <v/>
      </c>
      <c r="CK294" s="26" t="str">
        <f>(Sheet1!P294)</f>
        <v>Dealer</v>
      </c>
    </row>
    <row r="295">
      <c r="A295" s="26" t="str">
        <f>(Sheet1!A295)</f>
        <v>1JCRksT80QgKH0ah33tn7at3md6-Y1gqZnHoR-f94zj4</v>
      </c>
      <c r="B295" s="26" t="str">
        <f>(Sheet1!B295)</f>
        <v>SHREE VASHU AUTOMOBILES-CHARTHAWAL(SBH)</v>
      </c>
      <c r="C295" s="30" t="str">
        <f>Sheet1!BB295</f>
        <v>No</v>
      </c>
      <c r="D295" s="34" t="s">
        <v>13</v>
      </c>
      <c r="E295" s="34" t="s">
        <v>13</v>
      </c>
      <c r="F295" s="34" t="s">
        <v>3929</v>
      </c>
      <c r="G295" s="42" t="s">
        <v>3820</v>
      </c>
      <c r="H295" s="43">
        <v>460.0</v>
      </c>
      <c r="I295" s="42" t="s">
        <v>3853</v>
      </c>
      <c r="J295" s="43">
        <v>0.0</v>
      </c>
      <c r="K295" s="43">
        <v>100.0</v>
      </c>
      <c r="L295" s="43">
        <v>0.0</v>
      </c>
      <c r="M295" s="43">
        <v>0.0</v>
      </c>
      <c r="N295" s="33">
        <f>COUNTIFS('Data For Calculation - Insuranc'!A:A,A295,'Data For Calculation - Insuranc'!D:D,"Individual",'Data For Calculation - Insuranc'!E:E,"Bundled - 1 Year OD + 5 Year TP")</f>
        <v>0</v>
      </c>
      <c r="O295" s="34" t="s">
        <v>3930</v>
      </c>
      <c r="P295" s="42" t="s">
        <v>3820</v>
      </c>
      <c r="Q295" s="43">
        <v>460.0</v>
      </c>
      <c r="R295" s="42" t="s">
        <v>3853</v>
      </c>
      <c r="S295" s="43">
        <v>0.0</v>
      </c>
      <c r="T295" s="43">
        <v>100.0</v>
      </c>
      <c r="U295" s="43">
        <v>0.0</v>
      </c>
      <c r="V295" s="43">
        <v>0.0</v>
      </c>
      <c r="W295" s="33">
        <f>COUNTIFS('Data For Calculation - Insuranc'!A:A,A295,'Data For Calculation - Insuranc'!D:D,"Company",'Data For Calculation - Insuranc'!E:E,"Bundled - 1 Year OD + 5 Year TP")</f>
        <v>0</v>
      </c>
      <c r="X295" s="34" t="s">
        <v>3929</v>
      </c>
      <c r="Y295" s="42" t="s">
        <v>3820</v>
      </c>
      <c r="Z295" s="34">
        <v>290.0</v>
      </c>
      <c r="AA295" s="34" t="s">
        <v>3853</v>
      </c>
      <c r="AB295" s="34">
        <v>0.0</v>
      </c>
      <c r="AC295" s="34">
        <v>100.0</v>
      </c>
      <c r="AD295" s="34">
        <v>0.0</v>
      </c>
      <c r="AE295" s="34">
        <v>0.0</v>
      </c>
      <c r="AF295" s="33">
        <f>COUNTIFS('Data For Calculation - Insuranc'!A:A,A295,'Data For Calculation - Insuranc'!D:D,"Individual",'Data For Calculation - Insuranc'!E:E,"Rollover Comprehensive - 1 Year OD + 1 Year TP")</f>
        <v>0</v>
      </c>
      <c r="AG295" s="34" t="s">
        <v>3930</v>
      </c>
      <c r="AH295" s="42" t="s">
        <v>3820</v>
      </c>
      <c r="AI295" s="34">
        <v>290.0</v>
      </c>
      <c r="AJ295" s="34" t="s">
        <v>3853</v>
      </c>
      <c r="AK295" s="34">
        <v>0.0</v>
      </c>
      <c r="AL295" s="34">
        <v>100.0</v>
      </c>
      <c r="AM295" s="34">
        <v>0.0</v>
      </c>
      <c r="AN295" s="34">
        <v>0.0</v>
      </c>
      <c r="AO295" s="33">
        <f>COUNTIFS('Data For Calculation - Insuranc'!A:A,A295,'Data For Calculation - Insuranc'!D:D,"Company",'Data For Calculation - Insuranc'!E:E,"Rollover Comprehensive - 1 Year OD + 1 Year TP")</f>
        <v>0</v>
      </c>
      <c r="AP295" s="34" t="s">
        <v>3931</v>
      </c>
      <c r="AQ295" s="42" t="s">
        <v>3820</v>
      </c>
      <c r="AR295" s="34">
        <v>290.0</v>
      </c>
      <c r="AS295" s="34" t="s">
        <v>3853</v>
      </c>
      <c r="AT295" s="34">
        <v>0.0</v>
      </c>
      <c r="AU295" s="34">
        <v>100.0</v>
      </c>
      <c r="AV295" s="34">
        <v>0.0</v>
      </c>
      <c r="AW295" s="34">
        <v>0.0</v>
      </c>
      <c r="AX295" s="33">
        <f>COUNTIFS('Data For Calculation - Insuranc'!A:A,A295,'Data For Calculation - Insuranc'!D:D,"Individual",'Data For Calculation - Insuranc'!E:E,"Rollover - 1 Year OD Only")</f>
        <v>0</v>
      </c>
      <c r="AY295" s="34" t="s">
        <v>3932</v>
      </c>
      <c r="AZ295" s="42" t="s">
        <v>3820</v>
      </c>
      <c r="BA295" s="34">
        <v>290.0</v>
      </c>
      <c r="BB295" s="34" t="s">
        <v>3853</v>
      </c>
      <c r="BC295" s="34">
        <v>0.0</v>
      </c>
      <c r="BD295" s="34">
        <v>100.0</v>
      </c>
      <c r="BE295" s="34">
        <v>0.0</v>
      </c>
      <c r="BF295" s="34">
        <v>0.0</v>
      </c>
      <c r="BG295" s="33">
        <f>COUNTIFS('Data For Calculation - Insuranc'!A:A,A295,'Data For Calculation - Insuranc'!D:D,"Company",'Data For Calculation - Insuranc'!E:E,"Rollover - 1 Year OD Only")</f>
        <v>0</v>
      </c>
      <c r="BH295" s="34" t="s">
        <v>3931</v>
      </c>
      <c r="BI295" s="42" t="s">
        <v>3820</v>
      </c>
      <c r="BJ295" s="34">
        <v>290.0</v>
      </c>
      <c r="BK295" s="34" t="s">
        <v>3853</v>
      </c>
      <c r="BL295" s="34">
        <v>0.0</v>
      </c>
      <c r="BM295" s="34">
        <v>100.0</v>
      </c>
      <c r="BN295" s="34">
        <v>0.0</v>
      </c>
      <c r="BO295" s="34">
        <v>0.0</v>
      </c>
      <c r="BP295" s="33">
        <f>COUNTIFS('Data For Calculation - Insuranc'!A:A,A295,'Data For Calculation - Insuranc'!D:D,"Individual",'Data For Calculation - Insuranc'!E:E,"Rollover - 1 Year TP Only")</f>
        <v>0</v>
      </c>
      <c r="BQ295" s="34" t="s">
        <v>3932</v>
      </c>
      <c r="BR295" s="42" t="s">
        <v>3820</v>
      </c>
      <c r="BS295" s="34">
        <v>290.0</v>
      </c>
      <c r="BT295" s="34" t="s">
        <v>3853</v>
      </c>
      <c r="BU295" s="34">
        <v>0.0</v>
      </c>
      <c r="BV295" s="34">
        <v>100.0</v>
      </c>
      <c r="BW295" s="34">
        <v>0.0</v>
      </c>
      <c r="BX295" s="34">
        <v>0.0</v>
      </c>
      <c r="BY295" s="33">
        <f>COUNTIFS('Data For Calculation - Insuranc'!A:A,A295,'Data For Calculation - Insuranc'!D:D,"Company",'Data For Calculation - Insuranc'!E:E,"Rollover - 1 Year TP Only")</f>
        <v>0</v>
      </c>
      <c r="BZ295" s="31">
        <f t="shared" si="1"/>
        <v>0</v>
      </c>
      <c r="CA295" s="33">
        <f>SUMIFS('Data For Calculation - Insuranc'!I:I,'Data For Calculation - Insuranc'!$A:$A,$A295)</f>
        <v>0</v>
      </c>
      <c r="CB295" s="33">
        <f>SUMIFS('Data For Calculation - Insuranc'!J:J,'Data For Calculation - Insuranc'!$A:$A,$A295)</f>
        <v>0</v>
      </c>
      <c r="CC295" s="33">
        <f>SUMIFS('Data For Calculation - Insuranc'!K:K,'Data For Calculation - Insuranc'!$A:$A,$A295)</f>
        <v>0</v>
      </c>
      <c r="CD295" s="33">
        <f>IF($CK295 = "Dealer", SUMIFS('Data For Calculation - Insuranc'!I:I,'Data For Calculation - Insuranc'!$B:$B,$A295,'Data For Calculation - Insuranc'!$H:$H,"Master Dealer")) + SUMIFS('Data For Calculation - Insuranc'!I:I,'Data For Calculation - Insuranc'!$A:$A,$A295,'Data For Calculation - Insuranc'!$H:$H,"Self")</f>
        <v>0</v>
      </c>
      <c r="CE295" s="33">
        <f>IF($CK295 = "Dealer", SUMIFS('Data For Calculation - Insuranc'!J:J,'Data For Calculation - Insuranc'!$B:$B,$A295,'Data For Calculation - Insuranc'!$H:$H,"Master Dealer")) + SUMIFS('Data For Calculation - Insuranc'!J:J,'Data For Calculation - Insuranc'!$A:$A,$A295,'Data For Calculation - Insuranc'!$H:$H,"Self")</f>
        <v>0</v>
      </c>
      <c r="CF295" s="33">
        <f>IF($CK295 = "Dealer", SUMIFS('Data For Calculation - Insuranc'!K:K,'Data For Calculation - Insuranc'!$B:$B,$A295,'Data For Calculation - Insuranc'!$H:$H,"Master Dealer")) + SUMIFS('Data For Calculation - Insuranc'!K:K,'Data For Calculation - Insuranc'!$A:$A,$A295,'Data For Calculation - Insuranc'!$H:$H,"Self")</f>
        <v>0</v>
      </c>
      <c r="CG295" s="26" t="str">
        <f>(Sheet1!N295)</f>
        <v>Shri Balaji Hero - Muzaffarnagar</v>
      </c>
      <c r="CH295" s="26" t="str">
        <f>(Sheet1!O295)</f>
        <v>1qJGCYN0EdS2nWGXVYAHwXqSjiLE2C95anQkkbLONbKQ</v>
      </c>
      <c r="CI295" s="25" t="str">
        <f>(Sheet1!AV295)</f>
        <v/>
      </c>
      <c r="CJ295" s="25" t="str">
        <f>(Sheet1!AW295)</f>
        <v/>
      </c>
      <c r="CK295" s="26" t="str">
        <f>(Sheet1!P295)</f>
        <v>Sub Dealer</v>
      </c>
    </row>
    <row r="296">
      <c r="A296" s="26" t="str">
        <f>(Sheet1!A296)</f>
        <v>1050xuIkuCwbciPjL7NYnIQd49nor1NbjSoUBzXpeVrU</v>
      </c>
      <c r="B296" s="26" t="str">
        <f>(Sheet1!B296)</f>
        <v>ARC HERO- MAHIPALPUR</v>
      </c>
      <c r="C296" s="30" t="str">
        <f>Sheet1!BB296</f>
        <v>Yes</v>
      </c>
      <c r="D296" s="34" t="s">
        <v>13</v>
      </c>
      <c r="E296" s="34" t="s">
        <v>13</v>
      </c>
      <c r="F296" s="34" t="s">
        <v>3929</v>
      </c>
      <c r="G296" s="42" t="s">
        <v>3854</v>
      </c>
      <c r="H296" s="43">
        <v>100.0</v>
      </c>
      <c r="I296" s="42" t="s">
        <v>3855</v>
      </c>
      <c r="J296" s="43">
        <v>2000.0</v>
      </c>
      <c r="K296" s="43">
        <v>100.0</v>
      </c>
      <c r="L296" s="43">
        <v>0.0</v>
      </c>
      <c r="M296" s="43">
        <v>0.0</v>
      </c>
      <c r="N296" s="33">
        <f>COUNTIFS('Data For Calculation - Insuranc'!A:A,A296,'Data For Calculation - Insuranc'!D:D,"Individual",'Data For Calculation - Insuranc'!E:E,"Bundled - 1 Year OD + 5 Year TP")</f>
        <v>19</v>
      </c>
      <c r="O296" s="34" t="s">
        <v>3930</v>
      </c>
      <c r="P296" s="42" t="s">
        <v>3854</v>
      </c>
      <c r="Q296" s="43">
        <v>100.0</v>
      </c>
      <c r="R296" s="42" t="s">
        <v>3855</v>
      </c>
      <c r="S296" s="43">
        <v>2000.0</v>
      </c>
      <c r="T296" s="43">
        <v>100.0</v>
      </c>
      <c r="U296" s="43">
        <v>0.0</v>
      </c>
      <c r="V296" s="43">
        <v>0.0</v>
      </c>
      <c r="W296" s="33">
        <f>COUNTIFS('Data For Calculation - Insuranc'!A:A,A296,'Data For Calculation - Insuranc'!D:D,"Company",'Data For Calculation - Insuranc'!E:E,"Bundled - 1 Year OD + 5 Year TP")</f>
        <v>1</v>
      </c>
      <c r="X296" s="34" t="s">
        <v>3929</v>
      </c>
      <c r="Y296" s="42" t="s">
        <v>3854</v>
      </c>
      <c r="Z296" s="43">
        <v>100.0</v>
      </c>
      <c r="AA296" s="42" t="s">
        <v>3855</v>
      </c>
      <c r="AB296" s="31">
        <v>500.0</v>
      </c>
      <c r="AC296" s="43">
        <v>100.0</v>
      </c>
      <c r="AD296" s="43">
        <v>0.0</v>
      </c>
      <c r="AE296" s="43">
        <v>0.0</v>
      </c>
      <c r="AF296" s="33">
        <f>COUNTIFS('Data For Calculation - Insuranc'!A:A,A296,'Data For Calculation - Insuranc'!D:D,"Individual",'Data For Calculation - Insuranc'!E:E,"Rollover Comprehensive - 1 Year OD + 1 Year TP")</f>
        <v>0</v>
      </c>
      <c r="AG296" s="34" t="s">
        <v>3930</v>
      </c>
      <c r="AH296" s="42" t="s">
        <v>3854</v>
      </c>
      <c r="AI296" s="43">
        <v>100.0</v>
      </c>
      <c r="AJ296" s="42" t="s">
        <v>3855</v>
      </c>
      <c r="AK296" s="31">
        <v>500.0</v>
      </c>
      <c r="AL296" s="43">
        <v>100.0</v>
      </c>
      <c r="AM296" s="43">
        <v>0.0</v>
      </c>
      <c r="AN296" s="43">
        <v>0.0</v>
      </c>
      <c r="AO296" s="33">
        <f>COUNTIFS('Data For Calculation - Insuranc'!A:A,A296,'Data For Calculation - Insuranc'!D:D,"Company",'Data For Calculation - Insuranc'!E:E,"Rollover Comprehensive - 1 Year OD + 1 Year TP")</f>
        <v>0</v>
      </c>
      <c r="AP296" s="34" t="s">
        <v>3929</v>
      </c>
      <c r="AQ296" s="42" t="s">
        <v>3854</v>
      </c>
      <c r="AR296" s="43">
        <v>100.0</v>
      </c>
      <c r="AS296" s="42" t="s">
        <v>3855</v>
      </c>
      <c r="AT296" s="31">
        <v>500.0</v>
      </c>
      <c r="AU296" s="43">
        <v>100.0</v>
      </c>
      <c r="AV296" s="43">
        <v>0.0</v>
      </c>
      <c r="AW296" s="43">
        <v>0.0</v>
      </c>
      <c r="AX296" s="33">
        <f>COUNTIFS('Data For Calculation - Insuranc'!A:A,A296,'Data For Calculation - Insuranc'!D:D,"Individual",'Data For Calculation - Insuranc'!E:E,"Rollover - 1 Year OD Only")</f>
        <v>0</v>
      </c>
      <c r="AY296" s="34" t="s">
        <v>3930</v>
      </c>
      <c r="AZ296" s="42" t="s">
        <v>3854</v>
      </c>
      <c r="BA296" s="43">
        <v>100.0</v>
      </c>
      <c r="BB296" s="42" t="s">
        <v>3855</v>
      </c>
      <c r="BC296" s="31">
        <v>500.0</v>
      </c>
      <c r="BD296" s="43">
        <v>100.0</v>
      </c>
      <c r="BE296" s="43">
        <v>0.0</v>
      </c>
      <c r="BF296" s="43">
        <v>0.0</v>
      </c>
      <c r="BG296" s="33">
        <f>COUNTIFS('Data For Calculation - Insuranc'!A:A,A296,'Data For Calculation - Insuranc'!D:D,"Company",'Data For Calculation - Insuranc'!E:E,"Rollover - 1 Year OD Only")</f>
        <v>0</v>
      </c>
      <c r="BH296" s="34" t="s">
        <v>3931</v>
      </c>
      <c r="BI296" s="42" t="s">
        <v>3854</v>
      </c>
      <c r="BJ296" s="43">
        <v>100.0</v>
      </c>
      <c r="BK296" s="42" t="s">
        <v>3855</v>
      </c>
      <c r="BL296" s="31">
        <v>400.0</v>
      </c>
      <c r="BM296" s="43">
        <v>100.0</v>
      </c>
      <c r="BN296" s="43">
        <v>0.0</v>
      </c>
      <c r="BO296" s="43">
        <v>0.0</v>
      </c>
      <c r="BP296" s="33">
        <f>COUNTIFS('Data For Calculation - Insuranc'!A:A,A296,'Data For Calculation - Insuranc'!D:D,"Individual",'Data For Calculation - Insuranc'!E:E,"Rollover - 1 Year TP Only")</f>
        <v>0</v>
      </c>
      <c r="BQ296" s="34" t="s">
        <v>3932</v>
      </c>
      <c r="BR296" s="42" t="s">
        <v>3854</v>
      </c>
      <c r="BS296" s="43">
        <v>100.0</v>
      </c>
      <c r="BT296" s="42" t="s">
        <v>3855</v>
      </c>
      <c r="BU296" s="31">
        <v>400.0</v>
      </c>
      <c r="BV296" s="43">
        <v>100.0</v>
      </c>
      <c r="BW296" s="43">
        <v>0.0</v>
      </c>
      <c r="BX296" s="43">
        <v>0.0</v>
      </c>
      <c r="BY296" s="33">
        <f>COUNTIFS('Data For Calculation - Insuranc'!A:A,A296,'Data For Calculation - Insuranc'!D:D,"Company",'Data For Calculation - Insuranc'!E:E,"Rollover - 1 Year TP Only")</f>
        <v>0</v>
      </c>
      <c r="BZ296" s="31">
        <f t="shared" si="1"/>
        <v>20</v>
      </c>
      <c r="CA296" s="33">
        <f>SUMIFS('Data For Calculation - Insuranc'!I:I,'Data For Calculation - Insuranc'!$A:$A,$A296)</f>
        <v>-117815.36</v>
      </c>
      <c r="CB296" s="33">
        <f>SUMIFS('Data For Calculation - Insuranc'!J:J,'Data For Calculation - Insuranc'!$A:$A,$A296)</f>
        <v>0</v>
      </c>
      <c r="CC296" s="33">
        <f>SUMIFS('Data For Calculation - Insuranc'!K:K,'Data For Calculation - Insuranc'!$A:$A,$A296)</f>
        <v>-117815.36</v>
      </c>
      <c r="CD296" s="33">
        <f>IF($CK296 = "Dealer", SUMIFS('Data For Calculation - Insuranc'!I:I,'Data For Calculation - Insuranc'!$B:$B,$A296,'Data For Calculation - Insuranc'!$H:$H,"Master Dealer")) + SUMIFS('Data For Calculation - Insuranc'!I:I,'Data For Calculation - Insuranc'!$A:$A,$A296,'Data For Calculation - Insuranc'!$H:$H,"Self")</f>
        <v>-117815.36</v>
      </c>
      <c r="CE296" s="33">
        <f>IF($CK296 = "Dealer", SUMIFS('Data For Calculation - Insuranc'!J:J,'Data For Calculation - Insuranc'!$B:$B,$A296,'Data For Calculation - Insuranc'!$H:$H,"Master Dealer")) + SUMIFS('Data For Calculation - Insuranc'!J:J,'Data For Calculation - Insuranc'!$A:$A,$A296,'Data For Calculation - Insuranc'!$H:$H,"Self")</f>
        <v>0</v>
      </c>
      <c r="CF296" s="33">
        <f>IF($CK296 = "Dealer", SUMIFS('Data For Calculation - Insuranc'!K:K,'Data For Calculation - Insuranc'!$B:$B,$A296,'Data For Calculation - Insuranc'!$H:$H,"Master Dealer")) + SUMIFS('Data For Calculation - Insuranc'!K:K,'Data For Calculation - Insuranc'!$A:$A,$A296,'Data For Calculation - Insuranc'!$H:$H,"Self")</f>
        <v>-117815.36</v>
      </c>
      <c r="CG296" s="26" t="str">
        <f>(Sheet1!N296)</f>
        <v>ARC HERO- MAHIPALPUR</v>
      </c>
      <c r="CH296" s="26" t="str">
        <f>(Sheet1!O296)</f>
        <v>1050xuIkuCwbciPjL7NYnIQd49nor1NbjSoUBzXpeVrU</v>
      </c>
      <c r="CI296" s="25" t="str">
        <f>(Sheet1!AV296)</f>
        <v/>
      </c>
      <c r="CJ296" s="25" t="str">
        <f>(Sheet1!AW296)</f>
        <v/>
      </c>
      <c r="CK296" s="26" t="str">
        <f>(Sheet1!P296)</f>
        <v>Dealer</v>
      </c>
    </row>
    <row r="297">
      <c r="A297" s="26" t="str">
        <f>(Sheet1!A297)</f>
        <v>1m8ka1AbXWO0NCwbciwxi-1DtNMMJX9mIx0hIP9BLnJE</v>
      </c>
      <c r="B297" s="26" t="str">
        <f>(Sheet1!B297)</f>
        <v>ARC HERO-JAMIA</v>
      </c>
      <c r="C297" s="30" t="str">
        <f>Sheet1!BB297</f>
        <v>Yes</v>
      </c>
      <c r="D297" s="34" t="s">
        <v>13</v>
      </c>
      <c r="E297" s="34" t="s">
        <v>13</v>
      </c>
      <c r="F297" s="34" t="s">
        <v>3929</v>
      </c>
      <c r="G297" s="42" t="s">
        <v>3854</v>
      </c>
      <c r="H297" s="43">
        <v>100.0</v>
      </c>
      <c r="I297" s="42" t="s">
        <v>3855</v>
      </c>
      <c r="J297" s="43">
        <v>2000.0</v>
      </c>
      <c r="K297" s="43">
        <v>100.0</v>
      </c>
      <c r="L297" s="43">
        <v>0.0</v>
      </c>
      <c r="M297" s="43">
        <v>0.0</v>
      </c>
      <c r="N297" s="33">
        <f>COUNTIFS('Data For Calculation - Insuranc'!A:A,A297,'Data For Calculation - Insuranc'!D:D,"Individual",'Data For Calculation - Insuranc'!E:E,"Bundled - 1 Year OD + 5 Year TP")</f>
        <v>0</v>
      </c>
      <c r="O297" s="34" t="s">
        <v>3930</v>
      </c>
      <c r="P297" s="42" t="s">
        <v>3854</v>
      </c>
      <c r="Q297" s="43">
        <v>100.0</v>
      </c>
      <c r="R297" s="42" t="s">
        <v>3855</v>
      </c>
      <c r="S297" s="43">
        <v>2000.0</v>
      </c>
      <c r="T297" s="43">
        <v>100.0</v>
      </c>
      <c r="U297" s="43">
        <v>0.0</v>
      </c>
      <c r="V297" s="43">
        <v>0.0</v>
      </c>
      <c r="W297" s="33">
        <f>COUNTIFS('Data For Calculation - Insuranc'!A:A,A297,'Data For Calculation - Insuranc'!D:D,"Company",'Data For Calculation - Insuranc'!E:E,"Bundled - 1 Year OD + 5 Year TP")</f>
        <v>0</v>
      </c>
      <c r="X297" s="34" t="s">
        <v>3929</v>
      </c>
      <c r="Y297" s="42" t="s">
        <v>3854</v>
      </c>
      <c r="Z297" s="43">
        <v>100.0</v>
      </c>
      <c r="AA297" s="42" t="s">
        <v>3855</v>
      </c>
      <c r="AB297" s="31">
        <v>500.0</v>
      </c>
      <c r="AC297" s="43">
        <v>100.0</v>
      </c>
      <c r="AD297" s="43">
        <v>0.0</v>
      </c>
      <c r="AE297" s="43">
        <v>0.0</v>
      </c>
      <c r="AF297" s="33">
        <f>COUNTIFS('Data For Calculation - Insuranc'!A:A,A297,'Data For Calculation - Insuranc'!D:D,"Individual",'Data For Calculation - Insuranc'!E:E,"Rollover Comprehensive - 1 Year OD + 1 Year TP")</f>
        <v>0</v>
      </c>
      <c r="AG297" s="34" t="s">
        <v>3930</v>
      </c>
      <c r="AH297" s="42" t="s">
        <v>3854</v>
      </c>
      <c r="AI297" s="43">
        <v>100.0</v>
      </c>
      <c r="AJ297" s="42" t="s">
        <v>3855</v>
      </c>
      <c r="AK297" s="31">
        <v>500.0</v>
      </c>
      <c r="AL297" s="43">
        <v>100.0</v>
      </c>
      <c r="AM297" s="43">
        <v>0.0</v>
      </c>
      <c r="AN297" s="43">
        <v>0.0</v>
      </c>
      <c r="AO297" s="33">
        <f>COUNTIFS('Data For Calculation - Insuranc'!A:A,A297,'Data For Calculation - Insuranc'!D:D,"Company",'Data For Calculation - Insuranc'!E:E,"Rollover Comprehensive - 1 Year OD + 1 Year TP")</f>
        <v>0</v>
      </c>
      <c r="AP297" s="34" t="s">
        <v>3929</v>
      </c>
      <c r="AQ297" s="42" t="s">
        <v>3854</v>
      </c>
      <c r="AR297" s="43">
        <v>100.0</v>
      </c>
      <c r="AS297" s="42" t="s">
        <v>3855</v>
      </c>
      <c r="AT297" s="31">
        <v>500.0</v>
      </c>
      <c r="AU297" s="43">
        <v>100.0</v>
      </c>
      <c r="AV297" s="43">
        <v>0.0</v>
      </c>
      <c r="AW297" s="43">
        <v>0.0</v>
      </c>
      <c r="AX297" s="33">
        <f>COUNTIFS('Data For Calculation - Insuranc'!A:A,A297,'Data For Calculation - Insuranc'!D:D,"Individual",'Data For Calculation - Insuranc'!E:E,"Rollover - 1 Year OD Only")</f>
        <v>0</v>
      </c>
      <c r="AY297" s="34" t="s">
        <v>3930</v>
      </c>
      <c r="AZ297" s="42" t="s">
        <v>3854</v>
      </c>
      <c r="BA297" s="43">
        <v>100.0</v>
      </c>
      <c r="BB297" s="42" t="s">
        <v>3855</v>
      </c>
      <c r="BC297" s="31">
        <v>500.0</v>
      </c>
      <c r="BD297" s="43">
        <v>100.0</v>
      </c>
      <c r="BE297" s="43">
        <v>0.0</v>
      </c>
      <c r="BF297" s="43">
        <v>0.0</v>
      </c>
      <c r="BG297" s="33">
        <f>COUNTIFS('Data For Calculation - Insuranc'!A:A,A297,'Data For Calculation - Insuranc'!D:D,"Company",'Data For Calculation - Insuranc'!E:E,"Rollover - 1 Year OD Only")</f>
        <v>0</v>
      </c>
      <c r="BH297" s="34" t="s">
        <v>3931</v>
      </c>
      <c r="BI297" s="42" t="s">
        <v>3854</v>
      </c>
      <c r="BJ297" s="43">
        <v>100.0</v>
      </c>
      <c r="BK297" s="42" t="s">
        <v>3855</v>
      </c>
      <c r="BL297" s="31">
        <v>400.0</v>
      </c>
      <c r="BM297" s="43">
        <v>100.0</v>
      </c>
      <c r="BN297" s="43">
        <v>0.0</v>
      </c>
      <c r="BO297" s="43">
        <v>0.0</v>
      </c>
      <c r="BP297" s="33">
        <f>COUNTIFS('Data For Calculation - Insuranc'!A:A,A297,'Data For Calculation - Insuranc'!D:D,"Individual",'Data For Calculation - Insuranc'!E:E,"Rollover - 1 Year TP Only")</f>
        <v>0</v>
      </c>
      <c r="BQ297" s="34" t="s">
        <v>3932</v>
      </c>
      <c r="BR297" s="42" t="s">
        <v>3854</v>
      </c>
      <c r="BS297" s="43">
        <v>100.0</v>
      </c>
      <c r="BT297" s="42" t="s">
        <v>3855</v>
      </c>
      <c r="BU297" s="31">
        <v>400.0</v>
      </c>
      <c r="BV297" s="43">
        <v>100.0</v>
      </c>
      <c r="BW297" s="43">
        <v>0.0</v>
      </c>
      <c r="BX297" s="43">
        <v>0.0</v>
      </c>
      <c r="BY297" s="33">
        <f>COUNTIFS('Data For Calculation - Insuranc'!A:A,A297,'Data For Calculation - Insuranc'!D:D,"Company",'Data For Calculation - Insuranc'!E:E,"Rollover - 1 Year TP Only")</f>
        <v>0</v>
      </c>
      <c r="BZ297" s="31">
        <f t="shared" si="1"/>
        <v>0</v>
      </c>
      <c r="CA297" s="33">
        <f>SUMIFS('Data For Calculation - Insuranc'!I:I,'Data For Calculation - Insuranc'!$A:$A,$A297)</f>
        <v>0</v>
      </c>
      <c r="CB297" s="33">
        <f>SUMIFS('Data For Calculation - Insuranc'!J:J,'Data For Calculation - Insuranc'!$A:$A,$A297)</f>
        <v>0</v>
      </c>
      <c r="CC297" s="33">
        <f>SUMIFS('Data For Calculation - Insuranc'!K:K,'Data For Calculation - Insuranc'!$A:$A,$A297)</f>
        <v>0</v>
      </c>
      <c r="CD297" s="33">
        <f>IF($CK297 = "Dealer", SUMIFS('Data For Calculation - Insuranc'!I:I,'Data For Calculation - Insuranc'!$B:$B,$A297,'Data For Calculation - Insuranc'!$H:$H,"Master Dealer")) + SUMIFS('Data For Calculation - Insuranc'!I:I,'Data For Calculation - Insuranc'!$A:$A,$A297,'Data For Calculation - Insuranc'!$H:$H,"Self")</f>
        <v>0</v>
      </c>
      <c r="CE297" s="33">
        <f>IF($CK297 = "Dealer", SUMIFS('Data For Calculation - Insuranc'!J:J,'Data For Calculation - Insuranc'!$B:$B,$A297,'Data For Calculation - Insuranc'!$H:$H,"Master Dealer")) + SUMIFS('Data For Calculation - Insuranc'!J:J,'Data For Calculation - Insuranc'!$A:$A,$A297,'Data For Calculation - Insuranc'!$H:$H,"Self")</f>
        <v>0</v>
      </c>
      <c r="CF297" s="33">
        <f>IF($CK297 = "Dealer", SUMIFS('Data For Calculation - Insuranc'!K:K,'Data For Calculation - Insuranc'!$B:$B,$A297,'Data For Calculation - Insuranc'!$H:$H,"Master Dealer")) + SUMIFS('Data For Calculation - Insuranc'!K:K,'Data For Calculation - Insuranc'!$A:$A,$A297,'Data For Calculation - Insuranc'!$H:$H,"Self")</f>
        <v>0</v>
      </c>
      <c r="CG297" s="26" t="str">
        <f>(Sheet1!N297)</f>
        <v>ARC HERO- MAHIPALPUR</v>
      </c>
      <c r="CH297" s="26" t="str">
        <f>(Sheet1!O297)</f>
        <v>1050xuIkuCwbciPjL7NYnIQd49nor1NbjSoUBzXpeVrU</v>
      </c>
      <c r="CI297" s="25" t="str">
        <f>(Sheet1!AV297)</f>
        <v/>
      </c>
      <c r="CJ297" s="25" t="str">
        <f>(Sheet1!AW297)</f>
        <v/>
      </c>
      <c r="CK297" s="26" t="str">
        <f>(Sheet1!P297)</f>
        <v>Sub Dealer</v>
      </c>
    </row>
    <row r="298">
      <c r="A298" s="26" t="str">
        <f>(Sheet1!A298)</f>
        <v>1Y1uTCqiydc9ymgUi-hDKL8MeygYhztvO_MOLfvO2Xgs</v>
      </c>
      <c r="B298" s="26" t="str">
        <f>(Sheet1!B298)</f>
        <v>ARC-ASHRAM</v>
      </c>
      <c r="C298" s="30" t="str">
        <f>Sheet1!BB298</f>
        <v>Yes</v>
      </c>
      <c r="D298" s="34" t="s">
        <v>13</v>
      </c>
      <c r="E298" s="34" t="s">
        <v>13</v>
      </c>
      <c r="F298" s="34" t="s">
        <v>3929</v>
      </c>
      <c r="G298" s="42" t="s">
        <v>3854</v>
      </c>
      <c r="H298" s="43">
        <v>100.0</v>
      </c>
      <c r="I298" s="42" t="s">
        <v>3855</v>
      </c>
      <c r="J298" s="43">
        <v>2000.0</v>
      </c>
      <c r="K298" s="43">
        <v>100.0</v>
      </c>
      <c r="L298" s="43">
        <v>0.0</v>
      </c>
      <c r="M298" s="43">
        <v>0.0</v>
      </c>
      <c r="N298" s="33">
        <f>COUNTIFS('Data For Calculation - Insuranc'!A:A,A298,'Data For Calculation - Insuranc'!D:D,"Individual",'Data For Calculation - Insuranc'!E:E,"Bundled - 1 Year OD + 5 Year TP")</f>
        <v>0</v>
      </c>
      <c r="O298" s="34" t="s">
        <v>3930</v>
      </c>
      <c r="P298" s="42" t="s">
        <v>3854</v>
      </c>
      <c r="Q298" s="43">
        <v>100.0</v>
      </c>
      <c r="R298" s="42" t="s">
        <v>3855</v>
      </c>
      <c r="S298" s="43">
        <v>2000.0</v>
      </c>
      <c r="T298" s="43">
        <v>100.0</v>
      </c>
      <c r="U298" s="43">
        <v>0.0</v>
      </c>
      <c r="V298" s="43">
        <v>0.0</v>
      </c>
      <c r="W298" s="33">
        <f>COUNTIFS('Data For Calculation - Insuranc'!A:A,A298,'Data For Calculation - Insuranc'!D:D,"Company",'Data For Calculation - Insuranc'!E:E,"Bundled - 1 Year OD + 5 Year TP")</f>
        <v>0</v>
      </c>
      <c r="X298" s="34" t="s">
        <v>3929</v>
      </c>
      <c r="Y298" s="42" t="s">
        <v>3854</v>
      </c>
      <c r="Z298" s="43">
        <v>100.0</v>
      </c>
      <c r="AA298" s="42" t="s">
        <v>3855</v>
      </c>
      <c r="AB298" s="31">
        <v>500.0</v>
      </c>
      <c r="AC298" s="43">
        <v>100.0</v>
      </c>
      <c r="AD298" s="43">
        <v>0.0</v>
      </c>
      <c r="AE298" s="43">
        <v>0.0</v>
      </c>
      <c r="AF298" s="33">
        <f>COUNTIFS('Data For Calculation - Insuranc'!A:A,A298,'Data For Calculation - Insuranc'!D:D,"Individual",'Data For Calculation - Insuranc'!E:E,"Rollover Comprehensive - 1 Year OD + 1 Year TP")</f>
        <v>0</v>
      </c>
      <c r="AG298" s="34" t="s">
        <v>3930</v>
      </c>
      <c r="AH298" s="42" t="s">
        <v>3854</v>
      </c>
      <c r="AI298" s="43">
        <v>100.0</v>
      </c>
      <c r="AJ298" s="42" t="s">
        <v>3855</v>
      </c>
      <c r="AK298" s="31">
        <v>500.0</v>
      </c>
      <c r="AL298" s="43">
        <v>100.0</v>
      </c>
      <c r="AM298" s="43">
        <v>0.0</v>
      </c>
      <c r="AN298" s="43">
        <v>0.0</v>
      </c>
      <c r="AO298" s="33">
        <f>COUNTIFS('Data For Calculation - Insuranc'!A:A,A298,'Data For Calculation - Insuranc'!D:D,"Company",'Data For Calculation - Insuranc'!E:E,"Rollover Comprehensive - 1 Year OD + 1 Year TP")</f>
        <v>0</v>
      </c>
      <c r="AP298" s="34" t="s">
        <v>3929</v>
      </c>
      <c r="AQ298" s="42" t="s">
        <v>3854</v>
      </c>
      <c r="AR298" s="43">
        <v>100.0</v>
      </c>
      <c r="AS298" s="42" t="s">
        <v>3855</v>
      </c>
      <c r="AT298" s="31">
        <v>500.0</v>
      </c>
      <c r="AU298" s="43">
        <v>100.0</v>
      </c>
      <c r="AV298" s="43">
        <v>0.0</v>
      </c>
      <c r="AW298" s="43">
        <v>0.0</v>
      </c>
      <c r="AX298" s="33">
        <f>COUNTIFS('Data For Calculation - Insuranc'!A:A,A298,'Data For Calculation - Insuranc'!D:D,"Individual",'Data For Calculation - Insuranc'!E:E,"Rollover - 1 Year OD Only")</f>
        <v>0</v>
      </c>
      <c r="AY298" s="34" t="s">
        <v>3930</v>
      </c>
      <c r="AZ298" s="42" t="s">
        <v>3854</v>
      </c>
      <c r="BA298" s="43">
        <v>100.0</v>
      </c>
      <c r="BB298" s="42" t="s">
        <v>3855</v>
      </c>
      <c r="BC298" s="31">
        <v>500.0</v>
      </c>
      <c r="BD298" s="43">
        <v>100.0</v>
      </c>
      <c r="BE298" s="43">
        <v>0.0</v>
      </c>
      <c r="BF298" s="43">
        <v>0.0</v>
      </c>
      <c r="BG298" s="33">
        <f>COUNTIFS('Data For Calculation - Insuranc'!A:A,A298,'Data For Calculation - Insuranc'!D:D,"Company",'Data For Calculation - Insuranc'!E:E,"Rollover - 1 Year OD Only")</f>
        <v>0</v>
      </c>
      <c r="BH298" s="34" t="s">
        <v>3931</v>
      </c>
      <c r="BI298" s="42" t="s">
        <v>3854</v>
      </c>
      <c r="BJ298" s="43">
        <v>100.0</v>
      </c>
      <c r="BK298" s="42" t="s">
        <v>3855</v>
      </c>
      <c r="BL298" s="31">
        <v>400.0</v>
      </c>
      <c r="BM298" s="43">
        <v>100.0</v>
      </c>
      <c r="BN298" s="43">
        <v>0.0</v>
      </c>
      <c r="BO298" s="43">
        <v>0.0</v>
      </c>
      <c r="BP298" s="33">
        <f>COUNTIFS('Data For Calculation - Insuranc'!A:A,A298,'Data For Calculation - Insuranc'!D:D,"Individual",'Data For Calculation - Insuranc'!E:E,"Rollover - 1 Year TP Only")</f>
        <v>0</v>
      </c>
      <c r="BQ298" s="34" t="s">
        <v>3932</v>
      </c>
      <c r="BR298" s="42" t="s">
        <v>3854</v>
      </c>
      <c r="BS298" s="43">
        <v>100.0</v>
      </c>
      <c r="BT298" s="42" t="s">
        <v>3855</v>
      </c>
      <c r="BU298" s="31">
        <v>400.0</v>
      </c>
      <c r="BV298" s="43">
        <v>100.0</v>
      </c>
      <c r="BW298" s="43">
        <v>0.0</v>
      </c>
      <c r="BX298" s="43">
        <v>0.0</v>
      </c>
      <c r="BY298" s="33">
        <f>COUNTIFS('Data For Calculation - Insuranc'!A:A,A298,'Data For Calculation - Insuranc'!D:D,"Company",'Data For Calculation - Insuranc'!E:E,"Rollover - 1 Year TP Only")</f>
        <v>0</v>
      </c>
      <c r="BZ298" s="31">
        <f t="shared" si="1"/>
        <v>0</v>
      </c>
      <c r="CA298" s="33">
        <f>SUMIFS('Data For Calculation - Insuranc'!I:I,'Data For Calculation - Insuranc'!$A:$A,$A298)</f>
        <v>0</v>
      </c>
      <c r="CB298" s="33">
        <f>SUMIFS('Data For Calculation - Insuranc'!J:J,'Data For Calculation - Insuranc'!$A:$A,$A298)</f>
        <v>0</v>
      </c>
      <c r="CC298" s="33">
        <f>SUMIFS('Data For Calculation - Insuranc'!K:K,'Data For Calculation - Insuranc'!$A:$A,$A298)</f>
        <v>0</v>
      </c>
      <c r="CD298" s="33">
        <f>IF($CK298 = "Dealer", SUMIFS('Data For Calculation - Insuranc'!I:I,'Data For Calculation - Insuranc'!$B:$B,$A298,'Data For Calculation - Insuranc'!$H:$H,"Master Dealer")) + SUMIFS('Data For Calculation - Insuranc'!I:I,'Data For Calculation - Insuranc'!$A:$A,$A298,'Data For Calculation - Insuranc'!$H:$H,"Self")</f>
        <v>0</v>
      </c>
      <c r="CE298" s="33">
        <f>IF($CK298 = "Dealer", SUMIFS('Data For Calculation - Insuranc'!J:J,'Data For Calculation - Insuranc'!$B:$B,$A298,'Data For Calculation - Insuranc'!$H:$H,"Master Dealer")) + SUMIFS('Data For Calculation - Insuranc'!J:J,'Data For Calculation - Insuranc'!$A:$A,$A298,'Data For Calculation - Insuranc'!$H:$H,"Self")</f>
        <v>0</v>
      </c>
      <c r="CF298" s="33">
        <f>IF($CK298 = "Dealer", SUMIFS('Data For Calculation - Insuranc'!K:K,'Data For Calculation - Insuranc'!$B:$B,$A298,'Data For Calculation - Insuranc'!$H:$H,"Master Dealer")) + SUMIFS('Data For Calculation - Insuranc'!K:K,'Data For Calculation - Insuranc'!$A:$A,$A298,'Data For Calculation - Insuranc'!$H:$H,"Self")</f>
        <v>0</v>
      </c>
      <c r="CG298" s="26" t="str">
        <f>(Sheet1!N298)</f>
        <v>ARC HERO- MAHIPALPUR</v>
      </c>
      <c r="CH298" s="26" t="str">
        <f>(Sheet1!O298)</f>
        <v>1050xuIkuCwbciPjL7NYnIQd49nor1NbjSoUBzXpeVrU</v>
      </c>
      <c r="CI298" s="25" t="str">
        <f>(Sheet1!AV298)</f>
        <v/>
      </c>
      <c r="CJ298" s="25" t="str">
        <f>(Sheet1!AW298)</f>
        <v/>
      </c>
      <c r="CK298" s="26" t="str">
        <f>(Sheet1!P298)</f>
        <v>Sub Dealer</v>
      </c>
    </row>
    <row r="299">
      <c r="A299" s="25" t="str">
        <f>(Sheet1!A299)</f>
        <v>1g1XusipIkc3ou5jV0CF6g9OQKAO43--ZjNw2cfWuCJ4</v>
      </c>
      <c r="B299" s="25" t="str">
        <f>(Sheet1!B299)</f>
        <v>Mahesh Motor 4 - Dinajpur</v>
      </c>
      <c r="C299" s="30" t="str">
        <f>Sheet1!BB299</f>
        <v>No</v>
      </c>
      <c r="D299" s="30" t="s">
        <v>13</v>
      </c>
      <c r="E299" s="34" t="s">
        <v>13</v>
      </c>
      <c r="F299" s="34" t="s">
        <v>3929</v>
      </c>
      <c r="G299" s="42" t="s">
        <v>3820</v>
      </c>
      <c r="H299" s="43">
        <v>460.0</v>
      </c>
      <c r="I299" s="42" t="s">
        <v>3853</v>
      </c>
      <c r="J299" s="43">
        <v>0.0</v>
      </c>
      <c r="K299" s="43">
        <v>100.0</v>
      </c>
      <c r="L299" s="43">
        <v>0.0</v>
      </c>
      <c r="M299" s="43">
        <v>0.0</v>
      </c>
      <c r="N299" s="33">
        <f>COUNTIFS('Data For Calculation - Insuranc'!A:A,A299,'Data For Calculation - Insuranc'!D:D,"Individual",'Data For Calculation - Insuranc'!E:E,"Bundled - 1 Year OD + 5 Year TP")</f>
        <v>0</v>
      </c>
      <c r="O299" s="34" t="s">
        <v>3930</v>
      </c>
      <c r="P299" s="42" t="s">
        <v>3820</v>
      </c>
      <c r="Q299" s="43">
        <v>460.0</v>
      </c>
      <c r="R299" s="42" t="s">
        <v>3853</v>
      </c>
      <c r="S299" s="43">
        <v>0.0</v>
      </c>
      <c r="T299" s="43">
        <v>100.0</v>
      </c>
      <c r="U299" s="43">
        <v>0.0</v>
      </c>
      <c r="V299" s="43">
        <v>0.0</v>
      </c>
      <c r="W299" s="33">
        <f>COUNTIFS('Data For Calculation - Insuranc'!A:A,A299,'Data For Calculation - Insuranc'!D:D,"Company",'Data For Calculation - Insuranc'!E:E,"Bundled - 1 Year OD + 5 Year TP")</f>
        <v>0</v>
      </c>
      <c r="X299" s="34" t="s">
        <v>3929</v>
      </c>
      <c r="Y299" s="42" t="s">
        <v>3820</v>
      </c>
      <c r="Z299" s="31">
        <v>290.0</v>
      </c>
      <c r="AA299" s="34" t="s">
        <v>3853</v>
      </c>
      <c r="AB299" s="34">
        <v>0.0</v>
      </c>
      <c r="AC299" s="34">
        <v>100.0</v>
      </c>
      <c r="AD299" s="34">
        <v>0.0</v>
      </c>
      <c r="AE299" s="34">
        <v>0.0</v>
      </c>
      <c r="AF299" s="33">
        <f>COUNTIFS('Data For Calculation - Insuranc'!A:A,A299,'Data For Calculation - Insuranc'!D:D,"Individual",'Data For Calculation - Insuranc'!E:E,"Rollover Comprehensive - 1 Year OD + 1 Year TP")</f>
        <v>0</v>
      </c>
      <c r="AG299" s="34" t="s">
        <v>3930</v>
      </c>
      <c r="AH299" s="42" t="s">
        <v>3820</v>
      </c>
      <c r="AI299" s="31">
        <v>290.0</v>
      </c>
      <c r="AJ299" s="34" t="s">
        <v>3853</v>
      </c>
      <c r="AK299" s="34">
        <v>0.0</v>
      </c>
      <c r="AL299" s="34">
        <v>100.0</v>
      </c>
      <c r="AM299" s="34">
        <v>0.0</v>
      </c>
      <c r="AN299" s="34">
        <v>0.0</v>
      </c>
      <c r="AO299" s="33">
        <f>COUNTIFS('Data For Calculation - Insuranc'!A:A,A299,'Data For Calculation - Insuranc'!D:D,"Company",'Data For Calculation - Insuranc'!E:E,"Rollover Comprehensive - 1 Year OD + 1 Year TP")</f>
        <v>0</v>
      </c>
      <c r="AP299" s="34" t="s">
        <v>3931</v>
      </c>
      <c r="AQ299" s="42" t="s">
        <v>3820</v>
      </c>
      <c r="AR299" s="31">
        <v>290.0</v>
      </c>
      <c r="AS299" s="34" t="s">
        <v>3853</v>
      </c>
      <c r="AT299" s="34">
        <v>0.0</v>
      </c>
      <c r="AU299" s="34">
        <v>100.0</v>
      </c>
      <c r="AV299" s="34">
        <v>0.0</v>
      </c>
      <c r="AW299" s="34">
        <v>0.0</v>
      </c>
      <c r="AX299" s="33">
        <f>COUNTIFS('Data For Calculation - Insuranc'!A:A,A299,'Data For Calculation - Insuranc'!D:D,"Individual",'Data For Calculation - Insuranc'!E:E,"Rollover - 1 Year OD Only")</f>
        <v>0</v>
      </c>
      <c r="AY299" s="34" t="s">
        <v>3932</v>
      </c>
      <c r="AZ299" s="42" t="s">
        <v>3820</v>
      </c>
      <c r="BA299" s="31">
        <v>290.0</v>
      </c>
      <c r="BB299" s="34" t="s">
        <v>3853</v>
      </c>
      <c r="BC299" s="34">
        <v>0.0</v>
      </c>
      <c r="BD299" s="34">
        <v>100.0</v>
      </c>
      <c r="BE299" s="34">
        <v>0.0</v>
      </c>
      <c r="BF299" s="34">
        <v>0.0</v>
      </c>
      <c r="BG299" s="33">
        <f>COUNTIFS('Data For Calculation - Insuranc'!A:A,A299,'Data For Calculation - Insuranc'!D:D,"Company",'Data For Calculation - Insuranc'!E:E,"Rollover - 1 Year OD Only")</f>
        <v>0</v>
      </c>
      <c r="BH299" s="34" t="s">
        <v>3931</v>
      </c>
      <c r="BI299" s="42" t="s">
        <v>3820</v>
      </c>
      <c r="BJ299" s="31">
        <v>290.0</v>
      </c>
      <c r="BK299" s="34" t="s">
        <v>3853</v>
      </c>
      <c r="BL299" s="34">
        <v>0.0</v>
      </c>
      <c r="BM299" s="34">
        <v>100.0</v>
      </c>
      <c r="BN299" s="34">
        <v>0.0</v>
      </c>
      <c r="BO299" s="34">
        <v>0.0</v>
      </c>
      <c r="BP299" s="33">
        <f>COUNTIFS('Data For Calculation - Insuranc'!A:A,A299,'Data For Calculation - Insuranc'!D:D,"Individual",'Data For Calculation - Insuranc'!E:E,"Rollover - 1 Year TP Only")</f>
        <v>0</v>
      </c>
      <c r="BQ299" s="34" t="s">
        <v>3932</v>
      </c>
      <c r="BR299" s="42" t="s">
        <v>3820</v>
      </c>
      <c r="BS299" s="31">
        <v>290.0</v>
      </c>
      <c r="BT299" s="34" t="s">
        <v>3853</v>
      </c>
      <c r="BU299" s="34">
        <v>0.0</v>
      </c>
      <c r="BV299" s="34">
        <v>100.0</v>
      </c>
      <c r="BW299" s="34">
        <v>0.0</v>
      </c>
      <c r="BX299" s="34">
        <v>0.0</v>
      </c>
      <c r="BY299" s="33">
        <f>COUNTIFS('Data For Calculation - Insuranc'!A:A,A299,'Data For Calculation - Insuranc'!D:D,"Company",'Data For Calculation - Insuranc'!E:E,"Rollover - 1 Year TP Only")</f>
        <v>0</v>
      </c>
      <c r="BZ299" s="31">
        <f t="shared" si="1"/>
        <v>0</v>
      </c>
      <c r="CA299" s="33">
        <f>SUMIFS('Data For Calculation - Insuranc'!I:I,'Data For Calculation - Insuranc'!$A:$A,$A299)</f>
        <v>0</v>
      </c>
      <c r="CB299" s="33">
        <f>SUMIFS('Data For Calculation - Insuranc'!J:J,'Data For Calculation - Insuranc'!$A:$A,$A299)</f>
        <v>0</v>
      </c>
      <c r="CC299" s="33">
        <f>SUMIFS('Data For Calculation - Insuranc'!K:K,'Data For Calculation - Insuranc'!$A:$A,$A299)</f>
        <v>0</v>
      </c>
      <c r="CD299" s="33">
        <f>IF($CK299 = "Dealer", SUMIFS('Data For Calculation - Insuranc'!I:I,'Data For Calculation - Insuranc'!$B:$B,$A299,'Data For Calculation - Insuranc'!$H:$H,"Master Dealer")) + SUMIFS('Data For Calculation - Insuranc'!I:I,'Data For Calculation - Insuranc'!$A:$A,$A299,'Data For Calculation - Insuranc'!$H:$H,"Self")</f>
        <v>0</v>
      </c>
      <c r="CE299" s="33">
        <f>IF($CK299 = "Dealer", SUMIFS('Data For Calculation - Insuranc'!J:J,'Data For Calculation - Insuranc'!$B:$B,$A299,'Data For Calculation - Insuranc'!$H:$H,"Master Dealer")) + SUMIFS('Data For Calculation - Insuranc'!J:J,'Data For Calculation - Insuranc'!$A:$A,$A299,'Data For Calculation - Insuranc'!$H:$H,"Self")</f>
        <v>0</v>
      </c>
      <c r="CF299" s="33">
        <f>IF($CK299 = "Dealer", SUMIFS('Data For Calculation - Insuranc'!K:K,'Data For Calculation - Insuranc'!$B:$B,$A299,'Data For Calculation - Insuranc'!$H:$H,"Master Dealer")) + SUMIFS('Data For Calculation - Insuranc'!K:K,'Data For Calculation - Insuranc'!$A:$A,$A299,'Data For Calculation - Insuranc'!$H:$H,"Self")</f>
        <v>0</v>
      </c>
      <c r="CG299" s="25" t="str">
        <f>(Sheet1!N299)</f>
        <v>MAHESH MOTORS - DINAJPUR</v>
      </c>
      <c r="CH299" s="25" t="str">
        <f>(Sheet1!O299)</f>
        <v>1DVpSm5a7kKqZxFgDUdJBRIcgAuTZosRKDnkmPEIdEG4</v>
      </c>
      <c r="CI299" s="25" t="str">
        <f>(Sheet1!AV299)</f>
        <v/>
      </c>
      <c r="CJ299" s="25" t="str">
        <f>(Sheet1!AW299)</f>
        <v/>
      </c>
      <c r="CK299" s="26" t="str">
        <f>(Sheet1!P299)</f>
        <v>Sub Dealer</v>
      </c>
    </row>
    <row r="300">
      <c r="A300" s="25" t="str">
        <f>(Sheet1!A300)</f>
        <v>1t4c7ZP0L47Ls9dLmRsXxx1BWFwfzKxl5pOAYpj31jXc</v>
      </c>
      <c r="B300" s="25" t="str">
        <f>(Sheet1!B300)</f>
        <v>Dev Automobile (VAW) - Gonda</v>
      </c>
      <c r="C300" s="25" t="str">
        <f>Sheet1!BB300</f>
        <v>No</v>
      </c>
      <c r="D300" s="25" t="s">
        <v>13</v>
      </c>
      <c r="E300" s="25" t="s">
        <v>13</v>
      </c>
      <c r="F300" s="34" t="s">
        <v>3929</v>
      </c>
      <c r="G300" s="42" t="s">
        <v>3820</v>
      </c>
      <c r="H300" s="33">
        <v>460.0</v>
      </c>
      <c r="I300" s="25" t="s">
        <v>3853</v>
      </c>
      <c r="J300" s="33">
        <v>0.0</v>
      </c>
      <c r="K300" s="33">
        <v>100.0</v>
      </c>
      <c r="L300" s="33">
        <v>0.0</v>
      </c>
      <c r="M300" s="33">
        <v>0.0</v>
      </c>
      <c r="N300" s="33">
        <f>COUNTIFS('Data For Calculation - Insuranc'!A:A,A300,'Data For Calculation - Insuranc'!D:D,"Individual",'Data For Calculation - Insuranc'!E:E,"Bundled - 1 Year OD + 5 Year TP")</f>
        <v>0</v>
      </c>
      <c r="O300" s="34" t="s">
        <v>3930</v>
      </c>
      <c r="P300" s="42" t="s">
        <v>3820</v>
      </c>
      <c r="Q300" s="33">
        <v>460.0</v>
      </c>
      <c r="R300" s="25" t="s">
        <v>3853</v>
      </c>
      <c r="S300" s="33">
        <v>0.0</v>
      </c>
      <c r="T300" s="33">
        <v>100.0</v>
      </c>
      <c r="U300" s="33">
        <v>0.0</v>
      </c>
      <c r="V300" s="33">
        <v>0.0</v>
      </c>
      <c r="W300" s="33">
        <f>COUNTIFS('Data For Calculation - Insuranc'!A:A,A300,'Data For Calculation - Insuranc'!D:D,"Company",'Data For Calculation - Insuranc'!E:E,"Bundled - 1 Year OD + 5 Year TP")</f>
        <v>0</v>
      </c>
      <c r="X300" s="34" t="s">
        <v>3929</v>
      </c>
      <c r="Y300" s="42" t="s">
        <v>3820</v>
      </c>
      <c r="Z300" s="33">
        <v>290.0</v>
      </c>
      <c r="AA300" s="25" t="s">
        <v>3853</v>
      </c>
      <c r="AB300" s="33">
        <v>0.0</v>
      </c>
      <c r="AC300" s="33">
        <v>100.0</v>
      </c>
      <c r="AD300" s="33">
        <v>0.0</v>
      </c>
      <c r="AE300" s="33">
        <v>0.0</v>
      </c>
      <c r="AF300" s="33">
        <f>COUNTIFS('Data For Calculation - Insuranc'!A:A,A300,'Data For Calculation - Insuranc'!D:D,"Individual",'Data For Calculation - Insuranc'!E:E,"Rollover Comprehensive - 1 Year OD + 1 Year TP")</f>
        <v>0</v>
      </c>
      <c r="AG300" s="34" t="s">
        <v>3930</v>
      </c>
      <c r="AH300" s="42" t="s">
        <v>3820</v>
      </c>
      <c r="AI300" s="33">
        <v>290.0</v>
      </c>
      <c r="AJ300" s="25" t="s">
        <v>3853</v>
      </c>
      <c r="AK300" s="33">
        <v>0.0</v>
      </c>
      <c r="AL300" s="33">
        <v>100.0</v>
      </c>
      <c r="AM300" s="33">
        <v>0.0</v>
      </c>
      <c r="AN300" s="33">
        <v>0.0</v>
      </c>
      <c r="AO300" s="33">
        <f>COUNTIFS('Data For Calculation - Insuranc'!A:A,A300,'Data For Calculation - Insuranc'!D:D,"Company",'Data For Calculation - Insuranc'!E:E,"Rollover Comprehensive - 1 Year OD + 1 Year TP")</f>
        <v>0</v>
      </c>
      <c r="AP300" s="34" t="s">
        <v>3931</v>
      </c>
      <c r="AQ300" s="42" t="s">
        <v>3820</v>
      </c>
      <c r="AR300" s="33">
        <v>290.0</v>
      </c>
      <c r="AS300" s="25" t="s">
        <v>3853</v>
      </c>
      <c r="AT300" s="33">
        <v>0.0</v>
      </c>
      <c r="AU300" s="33">
        <v>100.0</v>
      </c>
      <c r="AV300" s="33">
        <v>0.0</v>
      </c>
      <c r="AW300" s="33">
        <v>0.0</v>
      </c>
      <c r="AX300" s="33">
        <f>COUNTIFS('Data For Calculation - Insuranc'!A:A,A300,'Data For Calculation - Insuranc'!D:D,"Individual",'Data For Calculation - Insuranc'!E:E,"Rollover - 1 Year OD Only")</f>
        <v>0</v>
      </c>
      <c r="AY300" s="34" t="s">
        <v>3932</v>
      </c>
      <c r="AZ300" s="42" t="s">
        <v>3820</v>
      </c>
      <c r="BA300" s="33">
        <v>290.0</v>
      </c>
      <c r="BB300" s="25" t="s">
        <v>3853</v>
      </c>
      <c r="BC300" s="33">
        <v>0.0</v>
      </c>
      <c r="BD300" s="33">
        <v>100.0</v>
      </c>
      <c r="BE300" s="33">
        <v>0.0</v>
      </c>
      <c r="BF300" s="33">
        <v>0.0</v>
      </c>
      <c r="BG300" s="33">
        <f>COUNTIFS('Data For Calculation - Insuranc'!A:A,A300,'Data For Calculation - Insuranc'!D:D,"Company",'Data For Calculation - Insuranc'!E:E,"Rollover - 1 Year OD Only")</f>
        <v>0</v>
      </c>
      <c r="BH300" s="34" t="s">
        <v>3931</v>
      </c>
      <c r="BI300" s="42" t="s">
        <v>3820</v>
      </c>
      <c r="BJ300" s="33">
        <v>290.0</v>
      </c>
      <c r="BK300" s="25" t="s">
        <v>3853</v>
      </c>
      <c r="BL300" s="33">
        <v>0.0</v>
      </c>
      <c r="BM300" s="33">
        <v>100.0</v>
      </c>
      <c r="BN300" s="33">
        <v>0.0</v>
      </c>
      <c r="BO300" s="33">
        <v>0.0</v>
      </c>
      <c r="BP300" s="33">
        <f>COUNTIFS('Data For Calculation - Insuranc'!A:A,A300,'Data For Calculation - Insuranc'!D:D,"Individual",'Data For Calculation - Insuranc'!E:E,"Rollover - 1 Year TP Only")</f>
        <v>0</v>
      </c>
      <c r="BQ300" s="34" t="s">
        <v>3932</v>
      </c>
      <c r="BR300" s="42" t="s">
        <v>3820</v>
      </c>
      <c r="BS300" s="33">
        <v>290.0</v>
      </c>
      <c r="BT300" s="25" t="s">
        <v>3853</v>
      </c>
      <c r="BU300" s="33">
        <v>0.0</v>
      </c>
      <c r="BV300" s="33">
        <v>100.0</v>
      </c>
      <c r="BW300" s="33">
        <v>0.0</v>
      </c>
      <c r="BX300" s="33">
        <v>0.0</v>
      </c>
      <c r="BY300" s="33">
        <f>COUNTIFS('Data For Calculation - Insuranc'!A:A,A300,'Data For Calculation - Insuranc'!D:D,"Company",'Data For Calculation - Insuranc'!E:E,"Rollover - 1 Year TP Only")</f>
        <v>0</v>
      </c>
      <c r="BZ300" s="31">
        <f t="shared" si="1"/>
        <v>0</v>
      </c>
      <c r="CA300" s="33">
        <f>SUMIFS('Data For Calculation - Insuranc'!I:I,'Data For Calculation - Insuranc'!$A:$A,$A300)</f>
        <v>0</v>
      </c>
      <c r="CB300" s="33">
        <f>SUMIFS('Data For Calculation - Insuranc'!J:J,'Data For Calculation - Insuranc'!$A:$A,$A300)</f>
        <v>0</v>
      </c>
      <c r="CC300" s="33">
        <f>SUMIFS('Data For Calculation - Insuranc'!K:K,'Data For Calculation - Insuranc'!$A:$A,$A300)</f>
        <v>0</v>
      </c>
      <c r="CD300" s="33">
        <f>IF($CK300 = "Dealer", SUMIFS('Data For Calculation - Insuranc'!I:I,'Data For Calculation - Insuranc'!$B:$B,$A300,'Data For Calculation - Insuranc'!$H:$H,"Master Dealer")) + SUMIFS('Data For Calculation - Insuranc'!I:I,'Data For Calculation - Insuranc'!$A:$A,$A300,'Data For Calculation - Insuranc'!$H:$H,"Self")</f>
        <v>0</v>
      </c>
      <c r="CE300" s="33">
        <f>IF($CK300 = "Dealer", SUMIFS('Data For Calculation - Insuranc'!J:J,'Data For Calculation - Insuranc'!$B:$B,$A300,'Data For Calculation - Insuranc'!$H:$H,"Master Dealer")) + SUMIFS('Data For Calculation - Insuranc'!J:J,'Data For Calculation - Insuranc'!$A:$A,$A300,'Data For Calculation - Insuranc'!$H:$H,"Self")</f>
        <v>0</v>
      </c>
      <c r="CF300" s="33">
        <f>IF($CK300 = "Dealer", SUMIFS('Data For Calculation - Insuranc'!K:K,'Data For Calculation - Insuranc'!$B:$B,$A300,'Data For Calculation - Insuranc'!$H:$H,"Master Dealer")) + SUMIFS('Data For Calculation - Insuranc'!K:K,'Data For Calculation - Insuranc'!$A:$A,$A300,'Data For Calculation - Insuranc'!$H:$H,"Self")</f>
        <v>0</v>
      </c>
      <c r="CG300" s="25" t="str">
        <f>(Sheet1!N300)</f>
        <v>Vikas Autowheels</v>
      </c>
      <c r="CH300" s="25" t="str">
        <f>(Sheet1!O300)</f>
        <v>1944RLX7T1M23YXRXYoMnJ6nD_bKLldQXRpFRA0rDLvg</v>
      </c>
      <c r="CI300" s="25" t="str">
        <f>(Sheet1!AV300)</f>
        <v/>
      </c>
      <c r="CJ300" s="25" t="str">
        <f>(Sheet1!AW300)</f>
        <v/>
      </c>
      <c r="CK300" s="25" t="str">
        <f>(Sheet1!P300)</f>
        <v>Sub Dealer</v>
      </c>
    </row>
    <row r="301">
      <c r="A301" s="26" t="str">
        <f>(Sheet1!A301)</f>
        <v>1AN8rkD7i89vzJPwM9ksH3k-2XvTRN_Wg3aS0QeJ0a2I</v>
      </c>
      <c r="B301" s="26" t="str">
        <f>(Sheet1!B301)</f>
        <v>PASHUPATI HERO - ADCHINI</v>
      </c>
      <c r="C301" s="30" t="str">
        <f>Sheet1!BB301</f>
        <v>Yes</v>
      </c>
      <c r="D301" s="34" t="s">
        <v>13</v>
      </c>
      <c r="E301" s="34" t="s">
        <v>13</v>
      </c>
      <c r="F301" s="34" t="s">
        <v>3929</v>
      </c>
      <c r="G301" s="42" t="s">
        <v>3856</v>
      </c>
      <c r="H301" s="43">
        <v>100.0</v>
      </c>
      <c r="I301" s="42" t="s">
        <v>3855</v>
      </c>
      <c r="J301" s="43">
        <v>2000.0</v>
      </c>
      <c r="K301" s="43">
        <v>0.0</v>
      </c>
      <c r="L301" s="43">
        <v>100.0</v>
      </c>
      <c r="M301" s="43">
        <v>0.0</v>
      </c>
      <c r="N301" s="33">
        <f>COUNTIFS('Data For Calculation - Insuranc'!A:A,A301,'Data For Calculation - Insuranc'!D:D,"Individual",'Data For Calculation - Insuranc'!E:E,"Bundled - 1 Year OD + 5 Year TP")</f>
        <v>0</v>
      </c>
      <c r="O301" s="34" t="s">
        <v>3930</v>
      </c>
      <c r="P301" s="42" t="s">
        <v>3856</v>
      </c>
      <c r="Q301" s="43">
        <v>100.0</v>
      </c>
      <c r="R301" s="42" t="s">
        <v>3855</v>
      </c>
      <c r="S301" s="43">
        <v>2000.0</v>
      </c>
      <c r="T301" s="43">
        <v>0.0</v>
      </c>
      <c r="U301" s="43">
        <v>100.0</v>
      </c>
      <c r="V301" s="43">
        <v>0.0</v>
      </c>
      <c r="W301" s="33">
        <f>COUNTIFS('Data For Calculation - Insuranc'!A:A,A301,'Data For Calculation - Insuranc'!D:D,"Company",'Data For Calculation - Insuranc'!E:E,"Bundled - 1 Year OD + 5 Year TP")</f>
        <v>0</v>
      </c>
      <c r="X301" s="34" t="s">
        <v>3929</v>
      </c>
      <c r="Y301" s="42" t="s">
        <v>3856</v>
      </c>
      <c r="Z301" s="43">
        <v>100.0</v>
      </c>
      <c r="AA301" s="42" t="s">
        <v>3855</v>
      </c>
      <c r="AB301" s="31">
        <v>500.0</v>
      </c>
      <c r="AC301" s="43">
        <v>100.0</v>
      </c>
      <c r="AD301" s="43">
        <v>0.0</v>
      </c>
      <c r="AE301" s="43">
        <v>0.0</v>
      </c>
      <c r="AF301" s="33">
        <f>COUNTIFS('Data For Calculation - Insuranc'!A:A,A301,'Data For Calculation - Insuranc'!D:D,"Individual",'Data For Calculation - Insuranc'!E:E,"Rollover Comprehensive - 1 Year OD + 1 Year TP")</f>
        <v>0</v>
      </c>
      <c r="AG301" s="34" t="s">
        <v>3930</v>
      </c>
      <c r="AH301" s="42" t="s">
        <v>3856</v>
      </c>
      <c r="AI301" s="43">
        <v>100.0</v>
      </c>
      <c r="AJ301" s="42" t="s">
        <v>3855</v>
      </c>
      <c r="AK301" s="31">
        <v>500.0</v>
      </c>
      <c r="AL301" s="43">
        <v>100.0</v>
      </c>
      <c r="AM301" s="43">
        <v>0.0</v>
      </c>
      <c r="AN301" s="43">
        <v>0.0</v>
      </c>
      <c r="AO301" s="33">
        <f>COUNTIFS('Data For Calculation - Insuranc'!A:A,A301,'Data For Calculation - Insuranc'!D:D,"Company",'Data For Calculation - Insuranc'!E:E,"Rollover Comprehensive - 1 Year OD + 1 Year TP")</f>
        <v>0</v>
      </c>
      <c r="AP301" s="34" t="s">
        <v>3929</v>
      </c>
      <c r="AQ301" s="42" t="s">
        <v>3856</v>
      </c>
      <c r="AR301" s="43">
        <v>100.0</v>
      </c>
      <c r="AS301" s="42" t="s">
        <v>3855</v>
      </c>
      <c r="AT301" s="31">
        <v>500.0</v>
      </c>
      <c r="AU301" s="43">
        <v>100.0</v>
      </c>
      <c r="AV301" s="43">
        <v>0.0</v>
      </c>
      <c r="AW301" s="43">
        <v>0.0</v>
      </c>
      <c r="AX301" s="33">
        <f>COUNTIFS('Data For Calculation - Insuranc'!A:A,A301,'Data For Calculation - Insuranc'!D:D,"Individual",'Data For Calculation - Insuranc'!E:E,"Rollover - 1 Year OD Only")</f>
        <v>0</v>
      </c>
      <c r="AY301" s="34" t="s">
        <v>3930</v>
      </c>
      <c r="AZ301" s="42" t="s">
        <v>3856</v>
      </c>
      <c r="BA301" s="43">
        <v>100.0</v>
      </c>
      <c r="BB301" s="42" t="s">
        <v>3855</v>
      </c>
      <c r="BC301" s="31">
        <v>500.0</v>
      </c>
      <c r="BD301" s="43">
        <v>100.0</v>
      </c>
      <c r="BE301" s="43">
        <v>0.0</v>
      </c>
      <c r="BF301" s="43">
        <v>0.0</v>
      </c>
      <c r="BG301" s="33">
        <f>COUNTIFS('Data For Calculation - Insuranc'!A:A,A301,'Data For Calculation - Insuranc'!D:D,"Company",'Data For Calculation - Insuranc'!E:E,"Rollover - 1 Year OD Only")</f>
        <v>0</v>
      </c>
      <c r="BH301" s="34" t="s">
        <v>3931</v>
      </c>
      <c r="BI301" s="42" t="s">
        <v>3856</v>
      </c>
      <c r="BJ301" s="43">
        <v>100.0</v>
      </c>
      <c r="BK301" s="42" t="s">
        <v>3855</v>
      </c>
      <c r="BL301" s="31">
        <v>400.0</v>
      </c>
      <c r="BM301" s="43">
        <v>100.0</v>
      </c>
      <c r="BN301" s="43">
        <v>0.0</v>
      </c>
      <c r="BO301" s="43">
        <v>0.0</v>
      </c>
      <c r="BP301" s="33">
        <f>COUNTIFS('Data For Calculation - Insuranc'!A:A,A301,'Data For Calculation - Insuranc'!D:D,"Individual",'Data For Calculation - Insuranc'!E:E,"Rollover - 1 Year TP Only")</f>
        <v>0</v>
      </c>
      <c r="BQ301" s="34" t="s">
        <v>3932</v>
      </c>
      <c r="BR301" s="42" t="s">
        <v>3856</v>
      </c>
      <c r="BS301" s="43">
        <v>100.0</v>
      </c>
      <c r="BT301" s="42" t="s">
        <v>3855</v>
      </c>
      <c r="BU301" s="31">
        <v>400.0</v>
      </c>
      <c r="BV301" s="43">
        <v>100.0</v>
      </c>
      <c r="BW301" s="43">
        <v>0.0</v>
      </c>
      <c r="BX301" s="43">
        <v>0.0</v>
      </c>
      <c r="BY301" s="33">
        <f>COUNTIFS('Data For Calculation - Insuranc'!A:A,A301,'Data For Calculation - Insuranc'!D:D,"Company",'Data For Calculation - Insuranc'!E:E,"Rollover - 1 Year TP Only")</f>
        <v>0</v>
      </c>
      <c r="BZ301" s="31">
        <f t="shared" si="1"/>
        <v>0</v>
      </c>
      <c r="CA301" s="33">
        <f>SUMIFS('Data For Calculation - Insuranc'!I:I,'Data For Calculation - Insuranc'!$A:$A,$A301)</f>
        <v>0</v>
      </c>
      <c r="CB301" s="33">
        <f>SUMIFS('Data For Calculation - Insuranc'!J:J,'Data For Calculation - Insuranc'!$A:$A,$A301)</f>
        <v>0</v>
      </c>
      <c r="CC301" s="33">
        <f>SUMIFS('Data For Calculation - Insuranc'!K:K,'Data For Calculation - Insuranc'!$A:$A,$A301)</f>
        <v>0</v>
      </c>
      <c r="CD301" s="33">
        <f>IF($CK301 = "Dealer", SUMIFS('Data For Calculation - Insuranc'!I:I,'Data For Calculation - Insuranc'!$B:$B,$A301,'Data For Calculation - Insuranc'!$H:$H,"Master Dealer")) + SUMIFS('Data For Calculation - Insuranc'!I:I,'Data For Calculation - Insuranc'!$A:$A,$A301,'Data For Calculation - Insuranc'!$H:$H,"Self")</f>
        <v>0</v>
      </c>
      <c r="CE301" s="33">
        <f>IF($CK301 = "Dealer", SUMIFS('Data For Calculation - Insuranc'!J:J,'Data For Calculation - Insuranc'!$B:$B,$A301,'Data For Calculation - Insuranc'!$H:$H,"Master Dealer")) + SUMIFS('Data For Calculation - Insuranc'!J:J,'Data For Calculation - Insuranc'!$A:$A,$A301,'Data For Calculation - Insuranc'!$H:$H,"Self")</f>
        <v>0</v>
      </c>
      <c r="CF301" s="33">
        <f>IF($CK301 = "Dealer", SUMIFS('Data For Calculation - Insuranc'!K:K,'Data For Calculation - Insuranc'!$B:$B,$A301,'Data For Calculation - Insuranc'!$H:$H,"Master Dealer")) + SUMIFS('Data For Calculation - Insuranc'!K:K,'Data For Calculation - Insuranc'!$A:$A,$A301,'Data For Calculation - Insuranc'!$H:$H,"Self")</f>
        <v>0</v>
      </c>
      <c r="CG301" s="26" t="str">
        <f>(Sheet1!N301)</f>
        <v>PASHUPATI HERO - ADCHINI</v>
      </c>
      <c r="CH301" s="26" t="str">
        <f>(Sheet1!O301)</f>
        <v>1AN8rkD7i89vzJPwM9ksH3k-2XvTRN_Wg3aS0QeJ0a2I</v>
      </c>
      <c r="CI301" s="25" t="str">
        <f>(Sheet1!AV301)</f>
        <v/>
      </c>
      <c r="CJ301" s="25" t="str">
        <f>(Sheet1!AW301)</f>
        <v/>
      </c>
      <c r="CK301" s="26" t="str">
        <f>(Sheet1!P301)</f>
        <v>Dealer</v>
      </c>
    </row>
    <row r="302">
      <c r="A302" s="26" t="str">
        <f>(Sheet1!A302)</f>
        <v>1wvUK5nYC39vfuy54L8M4AdPHlr4l9KiUbThaTK6U6x8</v>
      </c>
      <c r="B302" s="26" t="str">
        <f>(Sheet1!B302)</f>
        <v>PASHUPATI HERO- DEOLI</v>
      </c>
      <c r="C302" s="30" t="str">
        <f>Sheet1!BB302</f>
        <v>Yes</v>
      </c>
      <c r="D302" s="34" t="s">
        <v>13</v>
      </c>
      <c r="E302" s="34" t="s">
        <v>13</v>
      </c>
      <c r="F302" s="34" t="s">
        <v>3929</v>
      </c>
      <c r="G302" s="42" t="s">
        <v>3856</v>
      </c>
      <c r="H302" s="43">
        <v>100.0</v>
      </c>
      <c r="I302" s="42" t="s">
        <v>3855</v>
      </c>
      <c r="J302" s="43">
        <v>2000.0</v>
      </c>
      <c r="K302" s="43">
        <v>0.0</v>
      </c>
      <c r="L302" s="43">
        <v>100.0</v>
      </c>
      <c r="M302" s="43">
        <v>0.0</v>
      </c>
      <c r="N302" s="33">
        <f>COUNTIFS('Data For Calculation - Insuranc'!A:A,A302,'Data For Calculation - Insuranc'!D:D,"Individual",'Data For Calculation - Insuranc'!E:E,"Bundled - 1 Year OD + 5 Year TP")</f>
        <v>0</v>
      </c>
      <c r="O302" s="34" t="s">
        <v>3930</v>
      </c>
      <c r="P302" s="42" t="s">
        <v>3856</v>
      </c>
      <c r="Q302" s="43">
        <v>100.0</v>
      </c>
      <c r="R302" s="42" t="s">
        <v>3855</v>
      </c>
      <c r="S302" s="43">
        <v>2000.0</v>
      </c>
      <c r="T302" s="43">
        <v>0.0</v>
      </c>
      <c r="U302" s="43">
        <v>100.0</v>
      </c>
      <c r="V302" s="43">
        <v>0.0</v>
      </c>
      <c r="W302" s="33">
        <f>COUNTIFS('Data For Calculation - Insuranc'!A:A,A302,'Data For Calculation - Insuranc'!D:D,"Company",'Data For Calculation - Insuranc'!E:E,"Bundled - 1 Year OD + 5 Year TP")</f>
        <v>0</v>
      </c>
      <c r="X302" s="34" t="s">
        <v>3929</v>
      </c>
      <c r="Y302" s="42" t="s">
        <v>3856</v>
      </c>
      <c r="Z302" s="43">
        <v>100.0</v>
      </c>
      <c r="AA302" s="42" t="s">
        <v>3855</v>
      </c>
      <c r="AB302" s="31">
        <v>500.0</v>
      </c>
      <c r="AC302" s="43">
        <v>100.0</v>
      </c>
      <c r="AD302" s="43">
        <v>0.0</v>
      </c>
      <c r="AE302" s="43">
        <v>0.0</v>
      </c>
      <c r="AF302" s="33">
        <f>COUNTIFS('Data For Calculation - Insuranc'!A:A,A302,'Data For Calculation - Insuranc'!D:D,"Individual",'Data For Calculation - Insuranc'!E:E,"Rollover Comprehensive - 1 Year OD + 1 Year TP")</f>
        <v>0</v>
      </c>
      <c r="AG302" s="34" t="s">
        <v>3930</v>
      </c>
      <c r="AH302" s="42" t="s">
        <v>3856</v>
      </c>
      <c r="AI302" s="43">
        <v>100.0</v>
      </c>
      <c r="AJ302" s="42" t="s">
        <v>3855</v>
      </c>
      <c r="AK302" s="31">
        <v>500.0</v>
      </c>
      <c r="AL302" s="43">
        <v>100.0</v>
      </c>
      <c r="AM302" s="43">
        <v>0.0</v>
      </c>
      <c r="AN302" s="43">
        <v>0.0</v>
      </c>
      <c r="AO302" s="33">
        <f>COUNTIFS('Data For Calculation - Insuranc'!A:A,A302,'Data For Calculation - Insuranc'!D:D,"Company",'Data For Calculation - Insuranc'!E:E,"Rollover Comprehensive - 1 Year OD + 1 Year TP")</f>
        <v>0</v>
      </c>
      <c r="AP302" s="34" t="s">
        <v>3929</v>
      </c>
      <c r="AQ302" s="42" t="s">
        <v>3856</v>
      </c>
      <c r="AR302" s="43">
        <v>100.0</v>
      </c>
      <c r="AS302" s="42" t="s">
        <v>3855</v>
      </c>
      <c r="AT302" s="31">
        <v>500.0</v>
      </c>
      <c r="AU302" s="43">
        <v>100.0</v>
      </c>
      <c r="AV302" s="43">
        <v>0.0</v>
      </c>
      <c r="AW302" s="43">
        <v>0.0</v>
      </c>
      <c r="AX302" s="33">
        <f>COUNTIFS('Data For Calculation - Insuranc'!A:A,A302,'Data For Calculation - Insuranc'!D:D,"Individual",'Data For Calculation - Insuranc'!E:E,"Rollover - 1 Year OD Only")</f>
        <v>0</v>
      </c>
      <c r="AY302" s="34" t="s">
        <v>3930</v>
      </c>
      <c r="AZ302" s="42" t="s">
        <v>3856</v>
      </c>
      <c r="BA302" s="43">
        <v>100.0</v>
      </c>
      <c r="BB302" s="42" t="s">
        <v>3855</v>
      </c>
      <c r="BC302" s="31">
        <v>500.0</v>
      </c>
      <c r="BD302" s="43">
        <v>100.0</v>
      </c>
      <c r="BE302" s="43">
        <v>0.0</v>
      </c>
      <c r="BF302" s="43">
        <v>0.0</v>
      </c>
      <c r="BG302" s="33">
        <f>COUNTIFS('Data For Calculation - Insuranc'!A:A,A302,'Data For Calculation - Insuranc'!D:D,"Company",'Data For Calculation - Insuranc'!E:E,"Rollover - 1 Year OD Only")</f>
        <v>0</v>
      </c>
      <c r="BH302" s="34" t="s">
        <v>3931</v>
      </c>
      <c r="BI302" s="42" t="s">
        <v>3856</v>
      </c>
      <c r="BJ302" s="43">
        <v>100.0</v>
      </c>
      <c r="BK302" s="42" t="s">
        <v>3855</v>
      </c>
      <c r="BL302" s="31">
        <v>400.0</v>
      </c>
      <c r="BM302" s="43">
        <v>100.0</v>
      </c>
      <c r="BN302" s="43">
        <v>0.0</v>
      </c>
      <c r="BO302" s="43">
        <v>0.0</v>
      </c>
      <c r="BP302" s="33">
        <f>COUNTIFS('Data For Calculation - Insuranc'!A:A,A302,'Data For Calculation - Insuranc'!D:D,"Individual",'Data For Calculation - Insuranc'!E:E,"Rollover - 1 Year TP Only")</f>
        <v>0</v>
      </c>
      <c r="BQ302" s="34" t="s">
        <v>3932</v>
      </c>
      <c r="BR302" s="42" t="s">
        <v>3856</v>
      </c>
      <c r="BS302" s="43">
        <v>100.0</v>
      </c>
      <c r="BT302" s="42" t="s">
        <v>3855</v>
      </c>
      <c r="BU302" s="31">
        <v>400.0</v>
      </c>
      <c r="BV302" s="43">
        <v>100.0</v>
      </c>
      <c r="BW302" s="43">
        <v>0.0</v>
      </c>
      <c r="BX302" s="43">
        <v>0.0</v>
      </c>
      <c r="BY302" s="33">
        <f>COUNTIFS('Data For Calculation - Insuranc'!A:A,A302,'Data For Calculation - Insuranc'!D:D,"Company",'Data For Calculation - Insuranc'!E:E,"Rollover - 1 Year TP Only")</f>
        <v>0</v>
      </c>
      <c r="BZ302" s="31">
        <f t="shared" si="1"/>
        <v>0</v>
      </c>
      <c r="CA302" s="33">
        <f>SUMIFS('Data For Calculation - Insuranc'!I:I,'Data For Calculation - Insuranc'!$A:$A,$A302)</f>
        <v>0</v>
      </c>
      <c r="CB302" s="33">
        <f>SUMIFS('Data For Calculation - Insuranc'!J:J,'Data For Calculation - Insuranc'!$A:$A,$A302)</f>
        <v>0</v>
      </c>
      <c r="CC302" s="33">
        <f>SUMIFS('Data For Calculation - Insuranc'!K:K,'Data For Calculation - Insuranc'!$A:$A,$A302)</f>
        <v>0</v>
      </c>
      <c r="CD302" s="33">
        <f>IF($CK302 = "Dealer", SUMIFS('Data For Calculation - Insuranc'!I:I,'Data For Calculation - Insuranc'!$B:$B,$A302,'Data For Calculation - Insuranc'!$H:$H,"Master Dealer")) + SUMIFS('Data For Calculation - Insuranc'!I:I,'Data For Calculation - Insuranc'!$A:$A,$A302,'Data For Calculation - Insuranc'!$H:$H,"Self")</f>
        <v>0</v>
      </c>
      <c r="CE302" s="33">
        <f>IF($CK302 = "Dealer", SUMIFS('Data For Calculation - Insuranc'!J:J,'Data For Calculation - Insuranc'!$B:$B,$A302,'Data For Calculation - Insuranc'!$H:$H,"Master Dealer")) + SUMIFS('Data For Calculation - Insuranc'!J:J,'Data For Calculation - Insuranc'!$A:$A,$A302,'Data For Calculation - Insuranc'!$H:$H,"Self")</f>
        <v>0</v>
      </c>
      <c r="CF302" s="33">
        <f>IF($CK302 = "Dealer", SUMIFS('Data For Calculation - Insuranc'!K:K,'Data For Calculation - Insuranc'!$B:$B,$A302,'Data For Calculation - Insuranc'!$H:$H,"Master Dealer")) + SUMIFS('Data For Calculation - Insuranc'!K:K,'Data For Calculation - Insuranc'!$A:$A,$A302,'Data For Calculation - Insuranc'!$H:$H,"Self")</f>
        <v>0</v>
      </c>
      <c r="CG302" s="26" t="str">
        <f>(Sheet1!N302)</f>
        <v>PASHUPATI HERO - ADCHINI</v>
      </c>
      <c r="CH302" s="26" t="str">
        <f>(Sheet1!O302)</f>
        <v>1AN8rkD7i89vzJPwM9ksH3k-2XvTRN_Wg3aS0QeJ0a2I</v>
      </c>
      <c r="CI302" s="25" t="str">
        <f>(Sheet1!AV302)</f>
        <v/>
      </c>
      <c r="CJ302" s="25" t="str">
        <f>(Sheet1!AW302)</f>
        <v/>
      </c>
      <c r="CK302" s="26" t="str">
        <f>(Sheet1!P302)</f>
        <v>Sub Dealer</v>
      </c>
    </row>
    <row r="303">
      <c r="A303" s="25" t="str">
        <f>(Sheet1!A303)</f>
        <v>1L4bmBANLoZzaH3L_g0lUkCl9uqLxMUm5AXoNn34pTXE</v>
      </c>
      <c r="B303" s="25" t="str">
        <f>(Sheet1!B303)</f>
        <v>ETGO MOTORS - NOIDA</v>
      </c>
      <c r="C303" s="30" t="str">
        <f>Sheet1!BB303</f>
        <v>No</v>
      </c>
      <c r="D303" s="30" t="s">
        <v>13</v>
      </c>
      <c r="E303" s="34" t="s">
        <v>13</v>
      </c>
      <c r="F303" s="34" t="s">
        <v>3929</v>
      </c>
      <c r="G303" s="42" t="s">
        <v>3854</v>
      </c>
      <c r="H303" s="43">
        <v>460.0</v>
      </c>
      <c r="I303" s="42" t="s">
        <v>3853</v>
      </c>
      <c r="J303" s="43">
        <v>20.0</v>
      </c>
      <c r="K303" s="43">
        <v>60.0</v>
      </c>
      <c r="L303" s="43">
        <v>20.0</v>
      </c>
      <c r="M303" s="43">
        <v>20.0</v>
      </c>
      <c r="N303" s="33">
        <f>COUNTIFS('Data For Calculation - Insuranc'!A:A,A303,'Data For Calculation - Insuranc'!D:D,"Individual",'Data For Calculation - Insuranc'!E:E,"Bundled - 1 Year OD + 5 Year TP")</f>
        <v>0</v>
      </c>
      <c r="O303" s="34" t="s">
        <v>3930</v>
      </c>
      <c r="P303" s="42" t="s">
        <v>3854</v>
      </c>
      <c r="Q303" s="43">
        <v>460.0</v>
      </c>
      <c r="R303" s="42" t="s">
        <v>3853</v>
      </c>
      <c r="S303" s="43">
        <v>20.0</v>
      </c>
      <c r="T303" s="43">
        <v>60.0</v>
      </c>
      <c r="U303" s="43">
        <v>20.0</v>
      </c>
      <c r="V303" s="43">
        <v>20.0</v>
      </c>
      <c r="W303" s="33">
        <f>COUNTIFS('Data For Calculation - Insuranc'!A:A,A303,'Data For Calculation - Insuranc'!D:D,"Company",'Data For Calculation - Insuranc'!E:E,"Bundled - 1 Year OD + 5 Year TP")</f>
        <v>0</v>
      </c>
      <c r="X303" s="34" t="s">
        <v>3929</v>
      </c>
      <c r="Y303" s="42" t="s">
        <v>3854</v>
      </c>
      <c r="Z303" s="31">
        <v>290.0</v>
      </c>
      <c r="AA303" s="34" t="s">
        <v>3853</v>
      </c>
      <c r="AB303" s="34">
        <v>0.0</v>
      </c>
      <c r="AC303" s="34">
        <v>100.0</v>
      </c>
      <c r="AD303" s="34">
        <v>0.0</v>
      </c>
      <c r="AE303" s="34">
        <v>0.0</v>
      </c>
      <c r="AF303" s="33">
        <f>COUNTIFS('Data For Calculation - Insuranc'!A:A,A303,'Data For Calculation - Insuranc'!D:D,"Individual",'Data For Calculation - Insuranc'!E:E,"Rollover Comprehensive - 1 Year OD + 1 Year TP")</f>
        <v>0</v>
      </c>
      <c r="AG303" s="34" t="s">
        <v>3930</v>
      </c>
      <c r="AH303" s="42" t="s">
        <v>3854</v>
      </c>
      <c r="AI303" s="31">
        <v>290.0</v>
      </c>
      <c r="AJ303" s="34" t="s">
        <v>3853</v>
      </c>
      <c r="AK303" s="34">
        <v>0.0</v>
      </c>
      <c r="AL303" s="34">
        <v>100.0</v>
      </c>
      <c r="AM303" s="34">
        <v>0.0</v>
      </c>
      <c r="AN303" s="34">
        <v>0.0</v>
      </c>
      <c r="AO303" s="33">
        <f>COUNTIFS('Data For Calculation - Insuranc'!A:A,A303,'Data For Calculation - Insuranc'!D:D,"Company",'Data For Calculation - Insuranc'!E:E,"Rollover Comprehensive - 1 Year OD + 1 Year TP")</f>
        <v>0</v>
      </c>
      <c r="AP303" s="34" t="s">
        <v>3931</v>
      </c>
      <c r="AQ303" s="42" t="s">
        <v>3854</v>
      </c>
      <c r="AR303" s="31">
        <v>290.0</v>
      </c>
      <c r="AS303" s="34" t="s">
        <v>3853</v>
      </c>
      <c r="AT303" s="34">
        <v>0.0</v>
      </c>
      <c r="AU303" s="34">
        <v>100.0</v>
      </c>
      <c r="AV303" s="34">
        <v>0.0</v>
      </c>
      <c r="AW303" s="34">
        <v>0.0</v>
      </c>
      <c r="AX303" s="33">
        <f>COUNTIFS('Data For Calculation - Insuranc'!A:A,A303,'Data For Calculation - Insuranc'!D:D,"Individual",'Data For Calculation - Insuranc'!E:E,"Rollover - 1 Year OD Only")</f>
        <v>0</v>
      </c>
      <c r="AY303" s="34" t="s">
        <v>3932</v>
      </c>
      <c r="AZ303" s="42" t="s">
        <v>3854</v>
      </c>
      <c r="BA303" s="31">
        <v>290.0</v>
      </c>
      <c r="BB303" s="34" t="s">
        <v>3853</v>
      </c>
      <c r="BC303" s="34">
        <v>0.0</v>
      </c>
      <c r="BD303" s="34">
        <v>100.0</v>
      </c>
      <c r="BE303" s="34">
        <v>0.0</v>
      </c>
      <c r="BF303" s="34">
        <v>0.0</v>
      </c>
      <c r="BG303" s="33">
        <f>COUNTIFS('Data For Calculation - Insuranc'!A:A,A303,'Data For Calculation - Insuranc'!D:D,"Company",'Data For Calculation - Insuranc'!E:E,"Rollover - 1 Year OD Only")</f>
        <v>0</v>
      </c>
      <c r="BH303" s="34" t="s">
        <v>3931</v>
      </c>
      <c r="BI303" s="42" t="s">
        <v>3854</v>
      </c>
      <c r="BJ303" s="31">
        <v>290.0</v>
      </c>
      <c r="BK303" s="34" t="s">
        <v>3853</v>
      </c>
      <c r="BL303" s="34">
        <v>0.0</v>
      </c>
      <c r="BM303" s="34">
        <v>100.0</v>
      </c>
      <c r="BN303" s="34">
        <v>0.0</v>
      </c>
      <c r="BO303" s="34">
        <v>0.0</v>
      </c>
      <c r="BP303" s="33">
        <f>COUNTIFS('Data For Calculation - Insuranc'!A:A,A303,'Data For Calculation - Insuranc'!D:D,"Individual",'Data For Calculation - Insuranc'!E:E,"Rollover - 1 Year TP Only")</f>
        <v>0</v>
      </c>
      <c r="BQ303" s="34" t="s">
        <v>3932</v>
      </c>
      <c r="BR303" s="42" t="s">
        <v>3854</v>
      </c>
      <c r="BS303" s="31">
        <v>290.0</v>
      </c>
      <c r="BT303" s="34" t="s">
        <v>3853</v>
      </c>
      <c r="BU303" s="34">
        <v>0.0</v>
      </c>
      <c r="BV303" s="34">
        <v>100.0</v>
      </c>
      <c r="BW303" s="34">
        <v>0.0</v>
      </c>
      <c r="BX303" s="34">
        <v>0.0</v>
      </c>
      <c r="BY303" s="33">
        <f>COUNTIFS('Data For Calculation - Insuranc'!A:A,A303,'Data For Calculation - Insuranc'!D:D,"Company",'Data For Calculation - Insuranc'!E:E,"Rollover - 1 Year TP Only")</f>
        <v>0</v>
      </c>
      <c r="BZ303" s="31">
        <f t="shared" si="1"/>
        <v>0</v>
      </c>
      <c r="CA303" s="33">
        <f>SUMIFS('Data For Calculation - Insuranc'!I:I,'Data For Calculation - Insuranc'!$A:$A,$A303)</f>
        <v>0</v>
      </c>
      <c r="CB303" s="33">
        <f>SUMIFS('Data For Calculation - Insuranc'!J:J,'Data For Calculation - Insuranc'!$A:$A,$A303)</f>
        <v>0</v>
      </c>
      <c r="CC303" s="33">
        <f>SUMIFS('Data For Calculation - Insuranc'!K:K,'Data For Calculation - Insuranc'!$A:$A,$A303)</f>
        <v>0</v>
      </c>
      <c r="CD303" s="33">
        <f>IF($CK303 = "Dealer", SUMIFS('Data For Calculation - Insuranc'!I:I,'Data For Calculation - Insuranc'!$B:$B,$A303,'Data For Calculation - Insuranc'!$H:$H,"Master Dealer")) + SUMIFS('Data For Calculation - Insuranc'!I:I,'Data For Calculation - Insuranc'!$A:$A,$A303,'Data For Calculation - Insuranc'!$H:$H,"Self")</f>
        <v>0</v>
      </c>
      <c r="CE303" s="33">
        <f>IF($CK303 = "Dealer", SUMIFS('Data For Calculation - Insuranc'!J:J,'Data For Calculation - Insuranc'!$B:$B,$A303,'Data For Calculation - Insuranc'!$H:$H,"Master Dealer")) + SUMIFS('Data For Calculation - Insuranc'!J:J,'Data For Calculation - Insuranc'!$A:$A,$A303,'Data For Calculation - Insuranc'!$H:$H,"Self")</f>
        <v>0</v>
      </c>
      <c r="CF303" s="33">
        <f>IF($CK303 = "Dealer", SUMIFS('Data For Calculation - Insuranc'!K:K,'Data For Calculation - Insuranc'!$B:$B,$A303,'Data For Calculation - Insuranc'!$H:$H,"Master Dealer")) + SUMIFS('Data For Calculation - Insuranc'!K:K,'Data For Calculation - Insuranc'!$A:$A,$A303,'Data For Calculation - Insuranc'!$H:$H,"Self")</f>
        <v>0</v>
      </c>
      <c r="CG303" s="25" t="str">
        <f>(Sheet1!N303)</f>
        <v>ETGO MOTORS - NOIDA</v>
      </c>
      <c r="CH303" s="25" t="str">
        <f>(Sheet1!O303)</f>
        <v>1L4bmBANLoZzaH3L_g0lUkCl9uqLxMUm5AXoNn34pTXE</v>
      </c>
      <c r="CI303" s="25" t="str">
        <f>(Sheet1!AV303)</f>
        <v/>
      </c>
      <c r="CJ303" s="25" t="str">
        <f>(Sheet1!AW303)</f>
        <v/>
      </c>
      <c r="CK303" s="26" t="str">
        <f>(Sheet1!P303)</f>
        <v>Dealer</v>
      </c>
    </row>
    <row r="304">
      <c r="A304" s="25" t="str">
        <f>(Sheet1!A304)</f>
        <v>1bezs_AiyqeyfyAOe26bbRn8gMLTreFaNwbIZJkQdpqE</v>
      </c>
      <c r="B304" s="25" t="str">
        <f>(Sheet1!B304)</f>
        <v>ANANT AUTOMOBILES(KHB) - BULANDSHAHAR</v>
      </c>
      <c r="C304" s="30" t="str">
        <f>Sheet1!BB304</f>
        <v>No</v>
      </c>
      <c r="D304" s="30" t="s">
        <v>13</v>
      </c>
      <c r="E304" s="34" t="s">
        <v>13</v>
      </c>
      <c r="F304" s="34" t="s">
        <v>3929</v>
      </c>
      <c r="G304" s="42" t="s">
        <v>3854</v>
      </c>
      <c r="H304" s="43">
        <v>460.0</v>
      </c>
      <c r="I304" s="42" t="s">
        <v>3853</v>
      </c>
      <c r="J304" s="43">
        <v>20.0</v>
      </c>
      <c r="K304" s="43">
        <v>60.0</v>
      </c>
      <c r="L304" s="43">
        <v>20.0</v>
      </c>
      <c r="M304" s="43">
        <v>20.0</v>
      </c>
      <c r="N304" s="33">
        <f>COUNTIFS('Data For Calculation - Insuranc'!A:A,A304,'Data For Calculation - Insuranc'!D:D,"Individual",'Data For Calculation - Insuranc'!E:E,"Bundled - 1 Year OD + 5 Year TP")</f>
        <v>0</v>
      </c>
      <c r="O304" s="34" t="s">
        <v>3930</v>
      </c>
      <c r="P304" s="42" t="s">
        <v>3854</v>
      </c>
      <c r="Q304" s="43">
        <v>460.0</v>
      </c>
      <c r="R304" s="42" t="s">
        <v>3853</v>
      </c>
      <c r="S304" s="43">
        <v>20.0</v>
      </c>
      <c r="T304" s="43">
        <v>60.0</v>
      </c>
      <c r="U304" s="43">
        <v>20.0</v>
      </c>
      <c r="V304" s="43">
        <v>20.0</v>
      </c>
      <c r="W304" s="33">
        <f>COUNTIFS('Data For Calculation - Insuranc'!A:A,A304,'Data For Calculation - Insuranc'!D:D,"Company",'Data For Calculation - Insuranc'!E:E,"Bundled - 1 Year OD + 5 Year TP")</f>
        <v>0</v>
      </c>
      <c r="X304" s="34" t="s">
        <v>3929</v>
      </c>
      <c r="Y304" s="42" t="s">
        <v>3854</v>
      </c>
      <c r="Z304" s="31">
        <v>290.0</v>
      </c>
      <c r="AA304" s="34" t="s">
        <v>3853</v>
      </c>
      <c r="AB304" s="34">
        <v>0.0</v>
      </c>
      <c r="AC304" s="34">
        <v>100.0</v>
      </c>
      <c r="AD304" s="34">
        <v>0.0</v>
      </c>
      <c r="AE304" s="34">
        <v>0.0</v>
      </c>
      <c r="AF304" s="33">
        <f>COUNTIFS('Data For Calculation - Insuranc'!A:A,A304,'Data For Calculation - Insuranc'!D:D,"Individual",'Data For Calculation - Insuranc'!E:E,"Rollover Comprehensive - 1 Year OD + 1 Year TP")</f>
        <v>0</v>
      </c>
      <c r="AG304" s="34" t="s">
        <v>3930</v>
      </c>
      <c r="AH304" s="42" t="s">
        <v>3854</v>
      </c>
      <c r="AI304" s="31">
        <v>290.0</v>
      </c>
      <c r="AJ304" s="34" t="s">
        <v>3853</v>
      </c>
      <c r="AK304" s="34">
        <v>0.0</v>
      </c>
      <c r="AL304" s="34">
        <v>100.0</v>
      </c>
      <c r="AM304" s="34">
        <v>0.0</v>
      </c>
      <c r="AN304" s="34">
        <v>0.0</v>
      </c>
      <c r="AO304" s="33">
        <f>COUNTIFS('Data For Calculation - Insuranc'!A:A,A304,'Data For Calculation - Insuranc'!D:D,"Company",'Data For Calculation - Insuranc'!E:E,"Rollover Comprehensive - 1 Year OD + 1 Year TP")</f>
        <v>0</v>
      </c>
      <c r="AP304" s="34" t="s">
        <v>3931</v>
      </c>
      <c r="AQ304" s="42" t="s">
        <v>3854</v>
      </c>
      <c r="AR304" s="31">
        <v>290.0</v>
      </c>
      <c r="AS304" s="34" t="s">
        <v>3853</v>
      </c>
      <c r="AT304" s="34">
        <v>0.0</v>
      </c>
      <c r="AU304" s="34">
        <v>100.0</v>
      </c>
      <c r="AV304" s="34">
        <v>0.0</v>
      </c>
      <c r="AW304" s="34">
        <v>0.0</v>
      </c>
      <c r="AX304" s="33">
        <f>COUNTIFS('Data For Calculation - Insuranc'!A:A,A304,'Data For Calculation - Insuranc'!D:D,"Individual",'Data For Calculation - Insuranc'!E:E,"Rollover - 1 Year OD Only")</f>
        <v>0</v>
      </c>
      <c r="AY304" s="34" t="s">
        <v>3932</v>
      </c>
      <c r="AZ304" s="42" t="s">
        <v>3854</v>
      </c>
      <c r="BA304" s="31">
        <v>290.0</v>
      </c>
      <c r="BB304" s="34" t="s">
        <v>3853</v>
      </c>
      <c r="BC304" s="34">
        <v>0.0</v>
      </c>
      <c r="BD304" s="34">
        <v>100.0</v>
      </c>
      <c r="BE304" s="34">
        <v>0.0</v>
      </c>
      <c r="BF304" s="34">
        <v>0.0</v>
      </c>
      <c r="BG304" s="33">
        <f>COUNTIFS('Data For Calculation - Insuranc'!A:A,A304,'Data For Calculation - Insuranc'!D:D,"Company",'Data For Calculation - Insuranc'!E:E,"Rollover - 1 Year OD Only")</f>
        <v>0</v>
      </c>
      <c r="BH304" s="34" t="s">
        <v>3931</v>
      </c>
      <c r="BI304" s="42" t="s">
        <v>3854</v>
      </c>
      <c r="BJ304" s="31">
        <v>290.0</v>
      </c>
      <c r="BK304" s="34" t="s">
        <v>3853</v>
      </c>
      <c r="BL304" s="34">
        <v>0.0</v>
      </c>
      <c r="BM304" s="34">
        <v>100.0</v>
      </c>
      <c r="BN304" s="34">
        <v>0.0</v>
      </c>
      <c r="BO304" s="34">
        <v>0.0</v>
      </c>
      <c r="BP304" s="33">
        <f>COUNTIFS('Data For Calculation - Insuranc'!A:A,A304,'Data For Calculation - Insuranc'!D:D,"Individual",'Data For Calculation - Insuranc'!E:E,"Rollover - 1 Year TP Only")</f>
        <v>0</v>
      </c>
      <c r="BQ304" s="34" t="s">
        <v>3932</v>
      </c>
      <c r="BR304" s="42" t="s">
        <v>3854</v>
      </c>
      <c r="BS304" s="31">
        <v>290.0</v>
      </c>
      <c r="BT304" s="34" t="s">
        <v>3853</v>
      </c>
      <c r="BU304" s="34">
        <v>0.0</v>
      </c>
      <c r="BV304" s="34">
        <v>100.0</v>
      </c>
      <c r="BW304" s="34">
        <v>0.0</v>
      </c>
      <c r="BX304" s="34">
        <v>0.0</v>
      </c>
      <c r="BY304" s="33">
        <f>COUNTIFS('Data For Calculation - Insuranc'!A:A,A304,'Data For Calculation - Insuranc'!D:D,"Company",'Data For Calculation - Insuranc'!E:E,"Rollover - 1 Year TP Only")</f>
        <v>0</v>
      </c>
      <c r="BZ304" s="31">
        <f t="shared" si="1"/>
        <v>0</v>
      </c>
      <c r="CA304" s="33">
        <f>SUMIFS('Data For Calculation - Insuranc'!I:I,'Data For Calculation - Insuranc'!$A:$A,$A304)</f>
        <v>0</v>
      </c>
      <c r="CB304" s="33">
        <f>SUMIFS('Data For Calculation - Insuranc'!J:J,'Data For Calculation - Insuranc'!$A:$A,$A304)</f>
        <v>0</v>
      </c>
      <c r="CC304" s="33">
        <f>SUMIFS('Data For Calculation - Insuranc'!K:K,'Data For Calculation - Insuranc'!$A:$A,$A304)</f>
        <v>0</v>
      </c>
      <c r="CD304" s="33">
        <f>IF($CK304 = "Dealer", SUMIFS('Data For Calculation - Insuranc'!I:I,'Data For Calculation - Insuranc'!$B:$B,$A304,'Data For Calculation - Insuranc'!$H:$H,"Master Dealer")) + SUMIFS('Data For Calculation - Insuranc'!I:I,'Data For Calculation - Insuranc'!$A:$A,$A304,'Data For Calculation - Insuranc'!$H:$H,"Self")</f>
        <v>0</v>
      </c>
      <c r="CE304" s="33">
        <f>IF($CK304 = "Dealer", SUMIFS('Data For Calculation - Insuranc'!J:J,'Data For Calculation - Insuranc'!$B:$B,$A304,'Data For Calculation - Insuranc'!$H:$H,"Master Dealer")) + SUMIFS('Data For Calculation - Insuranc'!J:J,'Data For Calculation - Insuranc'!$A:$A,$A304,'Data For Calculation - Insuranc'!$H:$H,"Self")</f>
        <v>0</v>
      </c>
      <c r="CF304" s="33">
        <f>IF($CK304 = "Dealer", SUMIFS('Data For Calculation - Insuranc'!K:K,'Data For Calculation - Insuranc'!$B:$B,$A304,'Data For Calculation - Insuranc'!$H:$H,"Master Dealer")) + SUMIFS('Data For Calculation - Insuranc'!K:K,'Data For Calculation - Insuranc'!$A:$A,$A304,'Data For Calculation - Insuranc'!$H:$H,"Self")</f>
        <v>0</v>
      </c>
      <c r="CG304" s="25" t="str">
        <f>(Sheet1!N304)</f>
        <v>Krishna Hero - Bulandshahr</v>
      </c>
      <c r="CH304" s="25" t="str">
        <f>(Sheet1!O304)</f>
        <v>1mX_ZCiMgVCd3AONQ2zBbbc9wQ6Mlj2RvmkSWdpWht-8</v>
      </c>
      <c r="CI304" s="25" t="str">
        <f>(Sheet1!AV304)</f>
        <v/>
      </c>
      <c r="CJ304" s="25" t="str">
        <f>(Sheet1!AW304)</f>
        <v/>
      </c>
      <c r="CK304" s="26" t="str">
        <f>(Sheet1!P304)</f>
        <v>Sub Dealer</v>
      </c>
    </row>
    <row r="305">
      <c r="A305" s="25" t="str">
        <f>(Sheet1!A305)</f>
        <v>1rxceCPc4ChTPFerx6ZXVu45MWGLeEOukTie7Dj7H2lI</v>
      </c>
      <c r="B305" s="25" t="str">
        <f>(Sheet1!B305)</f>
        <v>JAI DURGA AUTOMOBILES - LAL KUAN</v>
      </c>
      <c r="C305" s="30" t="str">
        <f>Sheet1!BB305</f>
        <v>No</v>
      </c>
      <c r="D305" s="30" t="s">
        <v>13</v>
      </c>
      <c r="E305" s="34" t="s">
        <v>13</v>
      </c>
      <c r="F305" s="34" t="s">
        <v>3929</v>
      </c>
      <c r="G305" s="42" t="s">
        <v>3854</v>
      </c>
      <c r="H305" s="43">
        <v>460.0</v>
      </c>
      <c r="I305" s="42" t="s">
        <v>3853</v>
      </c>
      <c r="J305" s="43">
        <v>20.0</v>
      </c>
      <c r="K305" s="43">
        <v>60.0</v>
      </c>
      <c r="L305" s="43">
        <v>20.0</v>
      </c>
      <c r="M305" s="43">
        <v>20.0</v>
      </c>
      <c r="N305" s="33">
        <f>COUNTIFS('Data For Calculation - Insuranc'!A:A,A305,'Data For Calculation - Insuranc'!D:D,"Individual",'Data For Calculation - Insuranc'!E:E,"Bundled - 1 Year OD + 5 Year TP")</f>
        <v>0</v>
      </c>
      <c r="O305" s="34" t="s">
        <v>3930</v>
      </c>
      <c r="P305" s="42" t="s">
        <v>3854</v>
      </c>
      <c r="Q305" s="43">
        <v>460.0</v>
      </c>
      <c r="R305" s="42" t="s">
        <v>3853</v>
      </c>
      <c r="S305" s="43">
        <v>20.0</v>
      </c>
      <c r="T305" s="43">
        <v>60.0</v>
      </c>
      <c r="U305" s="43">
        <v>20.0</v>
      </c>
      <c r="V305" s="43">
        <v>20.0</v>
      </c>
      <c r="W305" s="33">
        <f>COUNTIFS('Data For Calculation - Insuranc'!A:A,A305,'Data For Calculation - Insuranc'!D:D,"Company",'Data For Calculation - Insuranc'!E:E,"Bundled - 1 Year OD + 5 Year TP")</f>
        <v>0</v>
      </c>
      <c r="X305" s="34" t="s">
        <v>3929</v>
      </c>
      <c r="Y305" s="42" t="s">
        <v>3854</v>
      </c>
      <c r="Z305" s="31">
        <v>290.0</v>
      </c>
      <c r="AA305" s="34" t="s">
        <v>3853</v>
      </c>
      <c r="AB305" s="34">
        <v>0.0</v>
      </c>
      <c r="AC305" s="34">
        <v>100.0</v>
      </c>
      <c r="AD305" s="34">
        <v>0.0</v>
      </c>
      <c r="AE305" s="34">
        <v>0.0</v>
      </c>
      <c r="AF305" s="33">
        <f>COUNTIFS('Data For Calculation - Insuranc'!A:A,A305,'Data For Calculation - Insuranc'!D:D,"Individual",'Data For Calculation - Insuranc'!E:E,"Rollover Comprehensive - 1 Year OD + 1 Year TP")</f>
        <v>0</v>
      </c>
      <c r="AG305" s="34" t="s">
        <v>3930</v>
      </c>
      <c r="AH305" s="42" t="s">
        <v>3854</v>
      </c>
      <c r="AI305" s="31">
        <v>290.0</v>
      </c>
      <c r="AJ305" s="34" t="s">
        <v>3853</v>
      </c>
      <c r="AK305" s="34">
        <v>0.0</v>
      </c>
      <c r="AL305" s="34">
        <v>100.0</v>
      </c>
      <c r="AM305" s="34">
        <v>0.0</v>
      </c>
      <c r="AN305" s="34">
        <v>0.0</v>
      </c>
      <c r="AO305" s="33">
        <f>COUNTIFS('Data For Calculation - Insuranc'!A:A,A305,'Data For Calculation - Insuranc'!D:D,"Company",'Data For Calculation - Insuranc'!E:E,"Rollover Comprehensive - 1 Year OD + 1 Year TP")</f>
        <v>0</v>
      </c>
      <c r="AP305" s="34" t="s">
        <v>3931</v>
      </c>
      <c r="AQ305" s="42" t="s">
        <v>3854</v>
      </c>
      <c r="AR305" s="31">
        <v>290.0</v>
      </c>
      <c r="AS305" s="34" t="s">
        <v>3853</v>
      </c>
      <c r="AT305" s="34">
        <v>0.0</v>
      </c>
      <c r="AU305" s="34">
        <v>100.0</v>
      </c>
      <c r="AV305" s="34">
        <v>0.0</v>
      </c>
      <c r="AW305" s="34">
        <v>0.0</v>
      </c>
      <c r="AX305" s="33">
        <f>COUNTIFS('Data For Calculation - Insuranc'!A:A,A305,'Data For Calculation - Insuranc'!D:D,"Individual",'Data For Calculation - Insuranc'!E:E,"Rollover - 1 Year OD Only")</f>
        <v>0</v>
      </c>
      <c r="AY305" s="34" t="s">
        <v>3932</v>
      </c>
      <c r="AZ305" s="42" t="s">
        <v>3854</v>
      </c>
      <c r="BA305" s="31">
        <v>290.0</v>
      </c>
      <c r="BB305" s="34" t="s">
        <v>3853</v>
      </c>
      <c r="BC305" s="34">
        <v>0.0</v>
      </c>
      <c r="BD305" s="34">
        <v>100.0</v>
      </c>
      <c r="BE305" s="34">
        <v>0.0</v>
      </c>
      <c r="BF305" s="34">
        <v>0.0</v>
      </c>
      <c r="BG305" s="33">
        <f>COUNTIFS('Data For Calculation - Insuranc'!A:A,A305,'Data For Calculation - Insuranc'!D:D,"Company",'Data For Calculation - Insuranc'!E:E,"Rollover - 1 Year OD Only")</f>
        <v>0</v>
      </c>
      <c r="BH305" s="34" t="s">
        <v>3931</v>
      </c>
      <c r="BI305" s="42" t="s">
        <v>3854</v>
      </c>
      <c r="BJ305" s="31">
        <v>290.0</v>
      </c>
      <c r="BK305" s="34" t="s">
        <v>3853</v>
      </c>
      <c r="BL305" s="34">
        <v>0.0</v>
      </c>
      <c r="BM305" s="34">
        <v>100.0</v>
      </c>
      <c r="BN305" s="34">
        <v>0.0</v>
      </c>
      <c r="BO305" s="34">
        <v>0.0</v>
      </c>
      <c r="BP305" s="33">
        <f>COUNTIFS('Data For Calculation - Insuranc'!A:A,A305,'Data For Calculation - Insuranc'!D:D,"Individual",'Data For Calculation - Insuranc'!E:E,"Rollover - 1 Year TP Only")</f>
        <v>0</v>
      </c>
      <c r="BQ305" s="34" t="s">
        <v>3932</v>
      </c>
      <c r="BR305" s="42" t="s">
        <v>3854</v>
      </c>
      <c r="BS305" s="31">
        <v>290.0</v>
      </c>
      <c r="BT305" s="34" t="s">
        <v>3853</v>
      </c>
      <c r="BU305" s="34">
        <v>0.0</v>
      </c>
      <c r="BV305" s="34">
        <v>100.0</v>
      </c>
      <c r="BW305" s="34">
        <v>0.0</v>
      </c>
      <c r="BX305" s="34">
        <v>0.0</v>
      </c>
      <c r="BY305" s="33">
        <f>COUNTIFS('Data For Calculation - Insuranc'!A:A,A305,'Data For Calculation - Insuranc'!D:D,"Company",'Data For Calculation - Insuranc'!E:E,"Rollover - 1 Year TP Only")</f>
        <v>0</v>
      </c>
      <c r="BZ305" s="31">
        <f t="shared" si="1"/>
        <v>0</v>
      </c>
      <c r="CA305" s="33">
        <f>SUMIFS('Data For Calculation - Insuranc'!I:I,'Data For Calculation - Insuranc'!$A:$A,$A305)</f>
        <v>0</v>
      </c>
      <c r="CB305" s="33">
        <f>SUMIFS('Data For Calculation - Insuranc'!J:J,'Data For Calculation - Insuranc'!$A:$A,$A305)</f>
        <v>0</v>
      </c>
      <c r="CC305" s="33">
        <f>SUMIFS('Data For Calculation - Insuranc'!K:K,'Data For Calculation - Insuranc'!$A:$A,$A305)</f>
        <v>0</v>
      </c>
      <c r="CD305" s="33">
        <f>IF($CK305 = "Dealer", SUMIFS('Data For Calculation - Insuranc'!I:I,'Data For Calculation - Insuranc'!$B:$B,$A305,'Data For Calculation - Insuranc'!$H:$H,"Master Dealer")) + SUMIFS('Data For Calculation - Insuranc'!I:I,'Data For Calculation - Insuranc'!$A:$A,$A305,'Data For Calculation - Insuranc'!$H:$H,"Self")</f>
        <v>0</v>
      </c>
      <c r="CE305" s="33">
        <f>IF($CK305 = "Dealer", SUMIFS('Data For Calculation - Insuranc'!J:J,'Data For Calculation - Insuranc'!$B:$B,$A305,'Data For Calculation - Insuranc'!$H:$H,"Master Dealer")) + SUMIFS('Data For Calculation - Insuranc'!J:J,'Data For Calculation - Insuranc'!$A:$A,$A305,'Data For Calculation - Insuranc'!$H:$H,"Self")</f>
        <v>0</v>
      </c>
      <c r="CF305" s="33">
        <f>IF($CK305 = "Dealer", SUMIFS('Data For Calculation - Insuranc'!K:K,'Data For Calculation - Insuranc'!$B:$B,$A305,'Data For Calculation - Insuranc'!$H:$H,"Master Dealer")) + SUMIFS('Data For Calculation - Insuranc'!K:K,'Data For Calculation - Insuranc'!$A:$A,$A305,'Data For Calculation - Insuranc'!$H:$H,"Self")</f>
        <v>0</v>
      </c>
      <c r="CG305" s="25" t="str">
        <f>(Sheet1!N305)</f>
        <v>JAI DURGA AUTOMOBILES - LAL KUAN</v>
      </c>
      <c r="CH305" s="25" t="str">
        <f>(Sheet1!O305)</f>
        <v>1rxceCPc4ChTPFerx6ZXVu45MWGLeEOukTie7Dj7H2lI</v>
      </c>
      <c r="CI305" s="25" t="str">
        <f>(Sheet1!AV305)</f>
        <v/>
      </c>
      <c r="CJ305" s="25" t="str">
        <f>(Sheet1!AW305)</f>
        <v/>
      </c>
      <c r="CK305" s="26" t="str">
        <f>(Sheet1!P305)</f>
        <v>Dealer</v>
      </c>
    </row>
    <row r="306">
      <c r="A306" s="26" t="str">
        <f>(Sheet1!A306)</f>
        <v>1LVNRMyRyFnfxu6UwLDnFcaHRPwib_izj4XjkxL7ErVk</v>
      </c>
      <c r="B306" s="26" t="str">
        <f>(Sheet1!B306)</f>
        <v>RAINBOW AUTOMOBILES - VAISHALI BIHAR</v>
      </c>
      <c r="C306" s="30" t="str">
        <f>Sheet1!BB306</f>
        <v>Yes</v>
      </c>
      <c r="D306" s="34" t="s">
        <v>13</v>
      </c>
      <c r="E306" s="34" t="s">
        <v>13</v>
      </c>
      <c r="F306" s="34" t="s">
        <v>3929</v>
      </c>
      <c r="G306" s="42" t="s">
        <v>3854</v>
      </c>
      <c r="H306" s="43">
        <v>100.0</v>
      </c>
      <c r="I306" s="42" t="s">
        <v>3855</v>
      </c>
      <c r="J306" s="43">
        <v>2000.0</v>
      </c>
      <c r="K306" s="43">
        <v>100.0</v>
      </c>
      <c r="L306" s="43">
        <v>0.0</v>
      </c>
      <c r="M306" s="43">
        <v>0.0</v>
      </c>
      <c r="N306" s="33">
        <f>COUNTIFS('Data For Calculation - Insuranc'!A:A,A306,'Data For Calculation - Insuranc'!D:D,"Individual",'Data For Calculation - Insuranc'!E:E,"Bundled - 1 Year OD + 5 Year TP")</f>
        <v>0</v>
      </c>
      <c r="O306" s="34" t="s">
        <v>3930</v>
      </c>
      <c r="P306" s="42" t="s">
        <v>3854</v>
      </c>
      <c r="Q306" s="43">
        <v>100.0</v>
      </c>
      <c r="R306" s="42" t="s">
        <v>3855</v>
      </c>
      <c r="S306" s="43">
        <v>2000.0</v>
      </c>
      <c r="T306" s="43">
        <v>100.0</v>
      </c>
      <c r="U306" s="43">
        <v>0.0</v>
      </c>
      <c r="V306" s="43">
        <v>0.0</v>
      </c>
      <c r="W306" s="33">
        <f>COUNTIFS('Data For Calculation - Insuranc'!A:A,A306,'Data For Calculation - Insuranc'!D:D,"Company",'Data For Calculation - Insuranc'!E:E,"Bundled - 1 Year OD + 5 Year TP")</f>
        <v>0</v>
      </c>
      <c r="X306" s="34" t="s">
        <v>3929</v>
      </c>
      <c r="Y306" s="42" t="s">
        <v>3854</v>
      </c>
      <c r="Z306" s="43">
        <v>100.0</v>
      </c>
      <c r="AA306" s="42" t="s">
        <v>3855</v>
      </c>
      <c r="AB306" s="31">
        <v>500.0</v>
      </c>
      <c r="AC306" s="43">
        <v>100.0</v>
      </c>
      <c r="AD306" s="43">
        <v>0.0</v>
      </c>
      <c r="AE306" s="43">
        <v>0.0</v>
      </c>
      <c r="AF306" s="33">
        <f>COUNTIFS('Data For Calculation - Insuranc'!A:A,A306,'Data For Calculation - Insuranc'!D:D,"Individual",'Data For Calculation - Insuranc'!E:E,"Rollover Comprehensive - 1 Year OD + 1 Year TP")</f>
        <v>0</v>
      </c>
      <c r="AG306" s="34" t="s">
        <v>3930</v>
      </c>
      <c r="AH306" s="42" t="s">
        <v>3854</v>
      </c>
      <c r="AI306" s="43">
        <v>100.0</v>
      </c>
      <c r="AJ306" s="42" t="s">
        <v>3855</v>
      </c>
      <c r="AK306" s="31">
        <v>500.0</v>
      </c>
      <c r="AL306" s="43">
        <v>100.0</v>
      </c>
      <c r="AM306" s="43">
        <v>0.0</v>
      </c>
      <c r="AN306" s="43">
        <v>0.0</v>
      </c>
      <c r="AO306" s="33">
        <f>COUNTIFS('Data For Calculation - Insuranc'!A:A,A306,'Data For Calculation - Insuranc'!D:D,"Company",'Data For Calculation - Insuranc'!E:E,"Rollover Comprehensive - 1 Year OD + 1 Year TP")</f>
        <v>0</v>
      </c>
      <c r="AP306" s="34" t="s">
        <v>3929</v>
      </c>
      <c r="AQ306" s="42" t="s">
        <v>3854</v>
      </c>
      <c r="AR306" s="43">
        <v>100.0</v>
      </c>
      <c r="AS306" s="42" t="s">
        <v>3855</v>
      </c>
      <c r="AT306" s="31">
        <v>500.0</v>
      </c>
      <c r="AU306" s="43">
        <v>100.0</v>
      </c>
      <c r="AV306" s="43">
        <v>0.0</v>
      </c>
      <c r="AW306" s="43">
        <v>0.0</v>
      </c>
      <c r="AX306" s="33">
        <f>COUNTIFS('Data For Calculation - Insuranc'!A:A,A306,'Data For Calculation - Insuranc'!D:D,"Individual",'Data For Calculation - Insuranc'!E:E,"Rollover - 1 Year OD Only")</f>
        <v>0</v>
      </c>
      <c r="AY306" s="34" t="s">
        <v>3930</v>
      </c>
      <c r="AZ306" s="42" t="s">
        <v>3854</v>
      </c>
      <c r="BA306" s="43">
        <v>100.0</v>
      </c>
      <c r="BB306" s="42" t="s">
        <v>3855</v>
      </c>
      <c r="BC306" s="31">
        <v>500.0</v>
      </c>
      <c r="BD306" s="43">
        <v>100.0</v>
      </c>
      <c r="BE306" s="43">
        <v>0.0</v>
      </c>
      <c r="BF306" s="43">
        <v>0.0</v>
      </c>
      <c r="BG306" s="33">
        <f>COUNTIFS('Data For Calculation - Insuranc'!A:A,A306,'Data For Calculation - Insuranc'!D:D,"Company",'Data For Calculation - Insuranc'!E:E,"Rollover - 1 Year OD Only")</f>
        <v>0</v>
      </c>
      <c r="BH306" s="34" t="s">
        <v>3931</v>
      </c>
      <c r="BI306" s="42" t="s">
        <v>3854</v>
      </c>
      <c r="BJ306" s="43">
        <v>100.0</v>
      </c>
      <c r="BK306" s="42" t="s">
        <v>3855</v>
      </c>
      <c r="BL306" s="31">
        <v>400.0</v>
      </c>
      <c r="BM306" s="43">
        <v>100.0</v>
      </c>
      <c r="BN306" s="43">
        <v>0.0</v>
      </c>
      <c r="BO306" s="43">
        <v>0.0</v>
      </c>
      <c r="BP306" s="33">
        <f>COUNTIFS('Data For Calculation - Insuranc'!A:A,A306,'Data For Calculation - Insuranc'!D:D,"Individual",'Data For Calculation - Insuranc'!E:E,"Rollover - 1 Year TP Only")</f>
        <v>0</v>
      </c>
      <c r="BQ306" s="34" t="s">
        <v>3932</v>
      </c>
      <c r="BR306" s="42" t="s">
        <v>3854</v>
      </c>
      <c r="BS306" s="43">
        <v>100.0</v>
      </c>
      <c r="BT306" s="42" t="s">
        <v>3855</v>
      </c>
      <c r="BU306" s="31">
        <v>400.0</v>
      </c>
      <c r="BV306" s="43">
        <v>100.0</v>
      </c>
      <c r="BW306" s="43">
        <v>0.0</v>
      </c>
      <c r="BX306" s="43">
        <v>0.0</v>
      </c>
      <c r="BY306" s="33">
        <f>COUNTIFS('Data For Calculation - Insuranc'!A:A,A306,'Data For Calculation - Insuranc'!D:D,"Company",'Data For Calculation - Insuranc'!E:E,"Rollover - 1 Year TP Only")</f>
        <v>0</v>
      </c>
      <c r="BZ306" s="31">
        <f t="shared" si="1"/>
        <v>0</v>
      </c>
      <c r="CA306" s="33">
        <f>SUMIFS('Data For Calculation - Insuranc'!I:I,'Data For Calculation - Insuranc'!$A:$A,$A306)</f>
        <v>0</v>
      </c>
      <c r="CB306" s="33">
        <f>SUMIFS('Data For Calculation - Insuranc'!J:J,'Data For Calculation - Insuranc'!$A:$A,$A306)</f>
        <v>0</v>
      </c>
      <c r="CC306" s="33">
        <f>SUMIFS('Data For Calculation - Insuranc'!K:K,'Data For Calculation - Insuranc'!$A:$A,$A306)</f>
        <v>0</v>
      </c>
      <c r="CD306" s="33">
        <f>IF($CK306 = "Dealer", SUMIFS('Data For Calculation - Insuranc'!I:I,'Data For Calculation - Insuranc'!$B:$B,$A306,'Data For Calculation - Insuranc'!$H:$H,"Master Dealer")) + SUMIFS('Data For Calculation - Insuranc'!I:I,'Data For Calculation - Insuranc'!$A:$A,$A306,'Data For Calculation - Insuranc'!$H:$H,"Self")</f>
        <v>0</v>
      </c>
      <c r="CE306" s="33">
        <f>IF($CK306 = "Dealer", SUMIFS('Data For Calculation - Insuranc'!J:J,'Data For Calculation - Insuranc'!$B:$B,$A306,'Data For Calculation - Insuranc'!$H:$H,"Master Dealer")) + SUMIFS('Data For Calculation - Insuranc'!J:J,'Data For Calculation - Insuranc'!$A:$A,$A306,'Data For Calculation - Insuranc'!$H:$H,"Self")</f>
        <v>0</v>
      </c>
      <c r="CF306" s="33">
        <f>IF($CK306 = "Dealer", SUMIFS('Data For Calculation - Insuranc'!K:K,'Data For Calculation - Insuranc'!$B:$B,$A306,'Data For Calculation - Insuranc'!$H:$H,"Master Dealer")) + SUMIFS('Data For Calculation - Insuranc'!K:K,'Data For Calculation - Insuranc'!$A:$A,$A306,'Data For Calculation - Insuranc'!$H:$H,"Self")</f>
        <v>0</v>
      </c>
      <c r="CG306" s="26" t="str">
        <f>(Sheet1!N306)</f>
        <v>RAINBOW AUTOMOBILES - VAISHALI BIHAR</v>
      </c>
      <c r="CH306" s="26" t="str">
        <f>(Sheet1!O306)</f>
        <v>1LVNRMyRyFnfxu6UwLDnFcaHRPwib_izj4XjkxL7ErVk</v>
      </c>
      <c r="CI306" s="25" t="str">
        <f>(Sheet1!AV306)</f>
        <v/>
      </c>
      <c r="CJ306" s="25" t="str">
        <f>(Sheet1!AW306)</f>
        <v/>
      </c>
      <c r="CK306" s="26" t="str">
        <f>(Sheet1!P306)</f>
        <v>Dealer</v>
      </c>
    </row>
    <row r="307">
      <c r="A307" s="25" t="str">
        <f>(Sheet1!A307)</f>
        <v>1QcwlmexfHIgCbHqzkOQkbRw_BUu-91jWceUcx2050FE</v>
      </c>
      <c r="B307" s="25" t="str">
        <f>(Sheet1!B307)</f>
        <v>Sunil Ji Honda - Firozabad</v>
      </c>
      <c r="C307" s="30" t="str">
        <f>Sheet1!BB307</f>
        <v>No</v>
      </c>
      <c r="D307" s="30" t="s">
        <v>13</v>
      </c>
      <c r="E307" s="34" t="s">
        <v>13</v>
      </c>
      <c r="F307" s="34" t="s">
        <v>3929</v>
      </c>
      <c r="G307" s="42" t="s">
        <v>3854</v>
      </c>
      <c r="H307" s="43">
        <v>460.0</v>
      </c>
      <c r="I307" s="42" t="s">
        <v>3853</v>
      </c>
      <c r="J307" s="43">
        <v>20.0</v>
      </c>
      <c r="K307" s="43">
        <v>60.0</v>
      </c>
      <c r="L307" s="43">
        <v>20.0</v>
      </c>
      <c r="M307" s="43">
        <v>20.0</v>
      </c>
      <c r="N307" s="33">
        <f>COUNTIFS('Data For Calculation - Insuranc'!A:A,A307,'Data For Calculation - Insuranc'!D:D,"Individual",'Data For Calculation - Insuranc'!E:E,"Bundled - 1 Year OD + 5 Year TP")</f>
        <v>0</v>
      </c>
      <c r="O307" s="34" t="s">
        <v>3930</v>
      </c>
      <c r="P307" s="42" t="s">
        <v>3854</v>
      </c>
      <c r="Q307" s="43">
        <v>460.0</v>
      </c>
      <c r="R307" s="42" t="s">
        <v>3853</v>
      </c>
      <c r="S307" s="43">
        <v>20.0</v>
      </c>
      <c r="T307" s="43">
        <v>60.0</v>
      </c>
      <c r="U307" s="43">
        <v>20.0</v>
      </c>
      <c r="V307" s="43">
        <v>20.0</v>
      </c>
      <c r="W307" s="33">
        <f>COUNTIFS('Data For Calculation - Insuranc'!A:A,A307,'Data For Calculation - Insuranc'!D:D,"Company",'Data For Calculation - Insuranc'!E:E,"Bundled - 1 Year OD + 5 Year TP")</f>
        <v>0</v>
      </c>
      <c r="X307" s="34" t="s">
        <v>3929</v>
      </c>
      <c r="Y307" s="42" t="s">
        <v>3854</v>
      </c>
      <c r="Z307" s="31">
        <v>290.0</v>
      </c>
      <c r="AA307" s="34" t="s">
        <v>3853</v>
      </c>
      <c r="AB307" s="34">
        <v>0.0</v>
      </c>
      <c r="AC307" s="34">
        <v>100.0</v>
      </c>
      <c r="AD307" s="34">
        <v>0.0</v>
      </c>
      <c r="AE307" s="34">
        <v>0.0</v>
      </c>
      <c r="AF307" s="33">
        <f>COUNTIFS('Data For Calculation - Insuranc'!A:A,A307,'Data For Calculation - Insuranc'!D:D,"Individual",'Data For Calculation - Insuranc'!E:E,"Rollover Comprehensive - 1 Year OD + 1 Year TP")</f>
        <v>0</v>
      </c>
      <c r="AG307" s="34" t="s">
        <v>3930</v>
      </c>
      <c r="AH307" s="42" t="s">
        <v>3854</v>
      </c>
      <c r="AI307" s="31">
        <v>290.0</v>
      </c>
      <c r="AJ307" s="34" t="s">
        <v>3853</v>
      </c>
      <c r="AK307" s="34">
        <v>0.0</v>
      </c>
      <c r="AL307" s="34">
        <v>100.0</v>
      </c>
      <c r="AM307" s="34">
        <v>0.0</v>
      </c>
      <c r="AN307" s="34">
        <v>0.0</v>
      </c>
      <c r="AO307" s="33">
        <f>COUNTIFS('Data For Calculation - Insuranc'!A:A,A307,'Data For Calculation - Insuranc'!D:D,"Company",'Data For Calculation - Insuranc'!E:E,"Rollover Comprehensive - 1 Year OD + 1 Year TP")</f>
        <v>0</v>
      </c>
      <c r="AP307" s="34" t="s">
        <v>3931</v>
      </c>
      <c r="AQ307" s="42" t="s">
        <v>3854</v>
      </c>
      <c r="AR307" s="31">
        <v>290.0</v>
      </c>
      <c r="AS307" s="34" t="s">
        <v>3853</v>
      </c>
      <c r="AT307" s="34">
        <v>0.0</v>
      </c>
      <c r="AU307" s="34">
        <v>100.0</v>
      </c>
      <c r="AV307" s="34">
        <v>0.0</v>
      </c>
      <c r="AW307" s="34">
        <v>0.0</v>
      </c>
      <c r="AX307" s="33">
        <f>COUNTIFS('Data For Calculation - Insuranc'!A:A,A307,'Data For Calculation - Insuranc'!D:D,"Individual",'Data For Calculation - Insuranc'!E:E,"Rollover - 1 Year OD Only")</f>
        <v>0</v>
      </c>
      <c r="AY307" s="34" t="s">
        <v>3932</v>
      </c>
      <c r="AZ307" s="42" t="s">
        <v>3854</v>
      </c>
      <c r="BA307" s="31">
        <v>290.0</v>
      </c>
      <c r="BB307" s="34" t="s">
        <v>3853</v>
      </c>
      <c r="BC307" s="34">
        <v>0.0</v>
      </c>
      <c r="BD307" s="34">
        <v>100.0</v>
      </c>
      <c r="BE307" s="34">
        <v>0.0</v>
      </c>
      <c r="BF307" s="34">
        <v>0.0</v>
      </c>
      <c r="BG307" s="33">
        <f>COUNTIFS('Data For Calculation - Insuranc'!A:A,A307,'Data For Calculation - Insuranc'!D:D,"Company",'Data For Calculation - Insuranc'!E:E,"Rollover - 1 Year OD Only")</f>
        <v>0</v>
      </c>
      <c r="BH307" s="34" t="s">
        <v>3931</v>
      </c>
      <c r="BI307" s="42" t="s">
        <v>3854</v>
      </c>
      <c r="BJ307" s="31">
        <v>290.0</v>
      </c>
      <c r="BK307" s="34" t="s">
        <v>3853</v>
      </c>
      <c r="BL307" s="34">
        <v>0.0</v>
      </c>
      <c r="BM307" s="34">
        <v>100.0</v>
      </c>
      <c r="BN307" s="34">
        <v>0.0</v>
      </c>
      <c r="BO307" s="34">
        <v>0.0</v>
      </c>
      <c r="BP307" s="33">
        <f>COUNTIFS('Data For Calculation - Insuranc'!A:A,A307,'Data For Calculation - Insuranc'!D:D,"Individual",'Data For Calculation - Insuranc'!E:E,"Rollover - 1 Year TP Only")</f>
        <v>0</v>
      </c>
      <c r="BQ307" s="34" t="s">
        <v>3932</v>
      </c>
      <c r="BR307" s="42" t="s">
        <v>3854</v>
      </c>
      <c r="BS307" s="31">
        <v>290.0</v>
      </c>
      <c r="BT307" s="34" t="s">
        <v>3853</v>
      </c>
      <c r="BU307" s="34">
        <v>0.0</v>
      </c>
      <c r="BV307" s="34">
        <v>100.0</v>
      </c>
      <c r="BW307" s="34">
        <v>0.0</v>
      </c>
      <c r="BX307" s="34">
        <v>0.0</v>
      </c>
      <c r="BY307" s="33">
        <f>COUNTIFS('Data For Calculation - Insuranc'!A:A,A307,'Data For Calculation - Insuranc'!D:D,"Company",'Data For Calculation - Insuranc'!E:E,"Rollover - 1 Year TP Only")</f>
        <v>0</v>
      </c>
      <c r="BZ307" s="31">
        <f t="shared" si="1"/>
        <v>0</v>
      </c>
      <c r="CA307" s="33">
        <f>SUMIFS('Data For Calculation - Insuranc'!I:I,'Data For Calculation - Insuranc'!$A:$A,$A307)</f>
        <v>0</v>
      </c>
      <c r="CB307" s="33">
        <f>SUMIFS('Data For Calculation - Insuranc'!J:J,'Data For Calculation - Insuranc'!$A:$A,$A307)</f>
        <v>0</v>
      </c>
      <c r="CC307" s="33">
        <f>SUMIFS('Data For Calculation - Insuranc'!K:K,'Data For Calculation - Insuranc'!$A:$A,$A307)</f>
        <v>0</v>
      </c>
      <c r="CD307" s="33">
        <f>IF($CK307 = "Dealer", SUMIFS('Data For Calculation - Insuranc'!I:I,'Data For Calculation - Insuranc'!$B:$B,$A307,'Data For Calculation - Insuranc'!$H:$H,"Master Dealer")) + SUMIFS('Data For Calculation - Insuranc'!I:I,'Data For Calculation - Insuranc'!$A:$A,$A307,'Data For Calculation - Insuranc'!$H:$H,"Self")</f>
        <v>0</v>
      </c>
      <c r="CE307" s="33">
        <f>IF($CK307 = "Dealer", SUMIFS('Data For Calculation - Insuranc'!J:J,'Data For Calculation - Insuranc'!$B:$B,$A307,'Data For Calculation - Insuranc'!$H:$H,"Master Dealer")) + SUMIFS('Data For Calculation - Insuranc'!J:J,'Data For Calculation - Insuranc'!$A:$A,$A307,'Data For Calculation - Insuranc'!$H:$H,"Self")</f>
        <v>0</v>
      </c>
      <c r="CF307" s="33">
        <f>IF($CK307 = "Dealer", SUMIFS('Data For Calculation - Insuranc'!K:K,'Data For Calculation - Insuranc'!$B:$B,$A307,'Data For Calculation - Insuranc'!$H:$H,"Master Dealer")) + SUMIFS('Data For Calculation - Insuranc'!K:K,'Data For Calculation - Insuranc'!$A:$A,$A307,'Data For Calculation - Insuranc'!$H:$H,"Self")</f>
        <v>0</v>
      </c>
      <c r="CG307" s="25" t="str">
        <f>(Sheet1!N307)</f>
        <v>Sunil Ji Honda - Firozabad</v>
      </c>
      <c r="CH307" s="25" t="str">
        <f>(Sheet1!O307)</f>
        <v>1QcwlmexfHIgCbHqzkOQkbRw_BUu-91jWceUcx2050FE</v>
      </c>
      <c r="CI307" s="25" t="str">
        <f>(Sheet1!AV307)</f>
        <v/>
      </c>
      <c r="CJ307" s="25" t="str">
        <f>(Sheet1!AW307)</f>
        <v/>
      </c>
      <c r="CK307" s="26" t="str">
        <f>(Sheet1!P307)</f>
        <v>Dealer</v>
      </c>
    </row>
    <row r="308">
      <c r="A308" s="25" t="str">
        <f>(Sheet1!A308)</f>
        <v>1LnJ5zdvl1b_4zru0KcAtzT52jepIWcNiSYQkH8Ytlsg</v>
      </c>
      <c r="B308" s="25" t="str">
        <f>(Sheet1!B308)</f>
        <v>JAI DURGA AUTOMOBILES - KICHHA</v>
      </c>
      <c r="C308" s="30" t="str">
        <f>Sheet1!BB308</f>
        <v>No</v>
      </c>
      <c r="D308" s="30" t="s">
        <v>13</v>
      </c>
      <c r="E308" s="34" t="s">
        <v>13</v>
      </c>
      <c r="F308" s="34" t="s">
        <v>3929</v>
      </c>
      <c r="G308" s="42" t="s">
        <v>3854</v>
      </c>
      <c r="H308" s="43">
        <v>460.0</v>
      </c>
      <c r="I308" s="42" t="s">
        <v>3853</v>
      </c>
      <c r="J308" s="43">
        <v>20.0</v>
      </c>
      <c r="K308" s="43">
        <v>60.0</v>
      </c>
      <c r="L308" s="43">
        <v>20.0</v>
      </c>
      <c r="M308" s="43">
        <v>20.0</v>
      </c>
      <c r="N308" s="33">
        <f>COUNTIFS('Data For Calculation - Insuranc'!A:A,A308,'Data For Calculation - Insuranc'!D:D,"Individual",'Data For Calculation - Insuranc'!E:E,"Bundled - 1 Year OD + 5 Year TP")</f>
        <v>0</v>
      </c>
      <c r="O308" s="34" t="s">
        <v>3930</v>
      </c>
      <c r="P308" s="42" t="s">
        <v>3854</v>
      </c>
      <c r="Q308" s="43">
        <v>460.0</v>
      </c>
      <c r="R308" s="42" t="s">
        <v>3853</v>
      </c>
      <c r="S308" s="43">
        <v>20.0</v>
      </c>
      <c r="T308" s="43">
        <v>60.0</v>
      </c>
      <c r="U308" s="43">
        <v>20.0</v>
      </c>
      <c r="V308" s="43">
        <v>20.0</v>
      </c>
      <c r="W308" s="33">
        <f>COUNTIFS('Data For Calculation - Insuranc'!A:A,A308,'Data For Calculation - Insuranc'!D:D,"Company",'Data For Calculation - Insuranc'!E:E,"Bundled - 1 Year OD + 5 Year TP")</f>
        <v>0</v>
      </c>
      <c r="X308" s="34" t="s">
        <v>3929</v>
      </c>
      <c r="Y308" s="42" t="s">
        <v>3854</v>
      </c>
      <c r="Z308" s="31">
        <v>290.0</v>
      </c>
      <c r="AA308" s="34" t="s">
        <v>3853</v>
      </c>
      <c r="AB308" s="34">
        <v>0.0</v>
      </c>
      <c r="AC308" s="34">
        <v>100.0</v>
      </c>
      <c r="AD308" s="34">
        <v>0.0</v>
      </c>
      <c r="AE308" s="34">
        <v>0.0</v>
      </c>
      <c r="AF308" s="33">
        <f>COUNTIFS('Data For Calculation - Insuranc'!A:A,A308,'Data For Calculation - Insuranc'!D:D,"Individual",'Data For Calculation - Insuranc'!E:E,"Rollover Comprehensive - 1 Year OD + 1 Year TP")</f>
        <v>0</v>
      </c>
      <c r="AG308" s="34" t="s">
        <v>3930</v>
      </c>
      <c r="AH308" s="42" t="s">
        <v>3854</v>
      </c>
      <c r="AI308" s="31">
        <v>290.0</v>
      </c>
      <c r="AJ308" s="34" t="s">
        <v>3853</v>
      </c>
      <c r="AK308" s="34">
        <v>0.0</v>
      </c>
      <c r="AL308" s="34">
        <v>100.0</v>
      </c>
      <c r="AM308" s="34">
        <v>0.0</v>
      </c>
      <c r="AN308" s="34">
        <v>0.0</v>
      </c>
      <c r="AO308" s="33">
        <f>COUNTIFS('Data For Calculation - Insuranc'!A:A,A308,'Data For Calculation - Insuranc'!D:D,"Company",'Data For Calculation - Insuranc'!E:E,"Rollover Comprehensive - 1 Year OD + 1 Year TP")</f>
        <v>0</v>
      </c>
      <c r="AP308" s="34" t="s">
        <v>3931</v>
      </c>
      <c r="AQ308" s="42" t="s">
        <v>3854</v>
      </c>
      <c r="AR308" s="31">
        <v>290.0</v>
      </c>
      <c r="AS308" s="34" t="s">
        <v>3853</v>
      </c>
      <c r="AT308" s="34">
        <v>0.0</v>
      </c>
      <c r="AU308" s="34">
        <v>100.0</v>
      </c>
      <c r="AV308" s="34">
        <v>0.0</v>
      </c>
      <c r="AW308" s="34">
        <v>0.0</v>
      </c>
      <c r="AX308" s="33">
        <f>COUNTIFS('Data For Calculation - Insuranc'!A:A,A308,'Data For Calculation - Insuranc'!D:D,"Individual",'Data For Calculation - Insuranc'!E:E,"Rollover - 1 Year OD Only")</f>
        <v>0</v>
      </c>
      <c r="AY308" s="34" t="s">
        <v>3932</v>
      </c>
      <c r="AZ308" s="42" t="s">
        <v>3854</v>
      </c>
      <c r="BA308" s="31">
        <v>290.0</v>
      </c>
      <c r="BB308" s="34" t="s">
        <v>3853</v>
      </c>
      <c r="BC308" s="34">
        <v>0.0</v>
      </c>
      <c r="BD308" s="34">
        <v>100.0</v>
      </c>
      <c r="BE308" s="34">
        <v>0.0</v>
      </c>
      <c r="BF308" s="34">
        <v>0.0</v>
      </c>
      <c r="BG308" s="33">
        <f>COUNTIFS('Data For Calculation - Insuranc'!A:A,A308,'Data For Calculation - Insuranc'!D:D,"Company",'Data For Calculation - Insuranc'!E:E,"Rollover - 1 Year OD Only")</f>
        <v>0</v>
      </c>
      <c r="BH308" s="34" t="s">
        <v>3931</v>
      </c>
      <c r="BI308" s="42" t="s">
        <v>3854</v>
      </c>
      <c r="BJ308" s="31">
        <v>290.0</v>
      </c>
      <c r="BK308" s="34" t="s">
        <v>3853</v>
      </c>
      <c r="BL308" s="34">
        <v>0.0</v>
      </c>
      <c r="BM308" s="34">
        <v>100.0</v>
      </c>
      <c r="BN308" s="34">
        <v>0.0</v>
      </c>
      <c r="BO308" s="34">
        <v>0.0</v>
      </c>
      <c r="BP308" s="33">
        <f>COUNTIFS('Data For Calculation - Insuranc'!A:A,A308,'Data For Calculation - Insuranc'!D:D,"Individual",'Data For Calculation - Insuranc'!E:E,"Rollover - 1 Year TP Only")</f>
        <v>0</v>
      </c>
      <c r="BQ308" s="34" t="s">
        <v>3932</v>
      </c>
      <c r="BR308" s="42" t="s">
        <v>3854</v>
      </c>
      <c r="BS308" s="31">
        <v>290.0</v>
      </c>
      <c r="BT308" s="34" t="s">
        <v>3853</v>
      </c>
      <c r="BU308" s="34">
        <v>0.0</v>
      </c>
      <c r="BV308" s="34">
        <v>100.0</v>
      </c>
      <c r="BW308" s="34">
        <v>0.0</v>
      </c>
      <c r="BX308" s="34">
        <v>0.0</v>
      </c>
      <c r="BY308" s="33">
        <f>COUNTIFS('Data For Calculation - Insuranc'!A:A,A308,'Data For Calculation - Insuranc'!D:D,"Company",'Data For Calculation - Insuranc'!E:E,"Rollover - 1 Year TP Only")</f>
        <v>0</v>
      </c>
      <c r="BZ308" s="31">
        <f t="shared" si="1"/>
        <v>0</v>
      </c>
      <c r="CA308" s="33">
        <f>SUMIFS('Data For Calculation - Insuranc'!I:I,'Data For Calculation - Insuranc'!$A:$A,$A308)</f>
        <v>0</v>
      </c>
      <c r="CB308" s="33">
        <f>SUMIFS('Data For Calculation - Insuranc'!J:J,'Data For Calculation - Insuranc'!$A:$A,$A308)</f>
        <v>0</v>
      </c>
      <c r="CC308" s="33">
        <f>SUMIFS('Data For Calculation - Insuranc'!K:K,'Data For Calculation - Insuranc'!$A:$A,$A308)</f>
        <v>0</v>
      </c>
      <c r="CD308" s="33">
        <f>IF($CK308 = "Dealer", SUMIFS('Data For Calculation - Insuranc'!I:I,'Data For Calculation - Insuranc'!$B:$B,$A308,'Data For Calculation - Insuranc'!$H:$H,"Master Dealer")) + SUMIFS('Data For Calculation - Insuranc'!I:I,'Data For Calculation - Insuranc'!$A:$A,$A308,'Data For Calculation - Insuranc'!$H:$H,"Self")</f>
        <v>0</v>
      </c>
      <c r="CE308" s="33">
        <f>IF($CK308 = "Dealer", SUMIFS('Data For Calculation - Insuranc'!J:J,'Data For Calculation - Insuranc'!$B:$B,$A308,'Data For Calculation - Insuranc'!$H:$H,"Master Dealer")) + SUMIFS('Data For Calculation - Insuranc'!J:J,'Data For Calculation - Insuranc'!$A:$A,$A308,'Data For Calculation - Insuranc'!$H:$H,"Self")</f>
        <v>0</v>
      </c>
      <c r="CF308" s="33">
        <f>IF($CK308 = "Dealer", SUMIFS('Data For Calculation - Insuranc'!K:K,'Data For Calculation - Insuranc'!$B:$B,$A308,'Data For Calculation - Insuranc'!$H:$H,"Master Dealer")) + SUMIFS('Data For Calculation - Insuranc'!K:K,'Data For Calculation - Insuranc'!$A:$A,$A308,'Data For Calculation - Insuranc'!$H:$H,"Self")</f>
        <v>0</v>
      </c>
      <c r="CG308" s="25" t="str">
        <f>(Sheet1!N308)</f>
        <v>JAI DURGA AUTOMOBILES - LAL KUAN</v>
      </c>
      <c r="CH308" s="25" t="str">
        <f>(Sheet1!O308)</f>
        <v>1rxceCPc4ChTPFerx6ZXVu45MWGLeEOukTie7Dj7H2lI</v>
      </c>
      <c r="CI308" s="25" t="str">
        <f>(Sheet1!AV308)</f>
        <v/>
      </c>
      <c r="CJ308" s="25" t="str">
        <f>(Sheet1!AW308)</f>
        <v/>
      </c>
      <c r="CK308" s="26" t="str">
        <f>(Sheet1!P308)</f>
        <v>Sub Dealer</v>
      </c>
    </row>
    <row r="309">
      <c r="A309" s="25" t="str">
        <f>(Sheet1!A309)</f>
        <v>1c4UpmPaXbD24g9f1d-SG1J5R0Bs6d07micvtytMfukg</v>
      </c>
      <c r="B309" s="25" t="str">
        <f>(Sheet1!B309)</f>
        <v>GOPAL AUTOMOBIE- NAJIBABAD</v>
      </c>
      <c r="C309" s="30" t="str">
        <f>Sheet1!BB309</f>
        <v>No</v>
      </c>
      <c r="D309" s="30" t="s">
        <v>13</v>
      </c>
      <c r="E309" s="34" t="s">
        <v>13</v>
      </c>
      <c r="F309" s="34" t="s">
        <v>3929</v>
      </c>
      <c r="G309" s="42" t="s">
        <v>3854</v>
      </c>
      <c r="H309" s="43">
        <v>460.0</v>
      </c>
      <c r="I309" s="42" t="s">
        <v>3853</v>
      </c>
      <c r="J309" s="43">
        <v>20.0</v>
      </c>
      <c r="K309" s="43">
        <v>60.0</v>
      </c>
      <c r="L309" s="43">
        <v>20.0</v>
      </c>
      <c r="M309" s="43">
        <v>20.0</v>
      </c>
      <c r="N309" s="33">
        <f>COUNTIFS('Data For Calculation - Insuranc'!A:A,A309,'Data For Calculation - Insuranc'!D:D,"Individual",'Data For Calculation - Insuranc'!E:E,"Bundled - 1 Year OD + 5 Year TP")</f>
        <v>0</v>
      </c>
      <c r="O309" s="34" t="s">
        <v>3930</v>
      </c>
      <c r="P309" s="42" t="s">
        <v>3854</v>
      </c>
      <c r="Q309" s="43">
        <v>460.0</v>
      </c>
      <c r="R309" s="42" t="s">
        <v>3853</v>
      </c>
      <c r="S309" s="43">
        <v>20.0</v>
      </c>
      <c r="T309" s="43">
        <v>60.0</v>
      </c>
      <c r="U309" s="43">
        <v>20.0</v>
      </c>
      <c r="V309" s="43">
        <v>20.0</v>
      </c>
      <c r="W309" s="33">
        <f>COUNTIFS('Data For Calculation - Insuranc'!A:A,A309,'Data For Calculation - Insuranc'!D:D,"Company",'Data For Calculation - Insuranc'!E:E,"Bundled - 1 Year OD + 5 Year TP")</f>
        <v>0</v>
      </c>
      <c r="X309" s="34" t="s">
        <v>3929</v>
      </c>
      <c r="Y309" s="42" t="s">
        <v>3854</v>
      </c>
      <c r="Z309" s="31">
        <v>290.0</v>
      </c>
      <c r="AA309" s="34" t="s">
        <v>3853</v>
      </c>
      <c r="AB309" s="34">
        <v>0.0</v>
      </c>
      <c r="AC309" s="34">
        <v>100.0</v>
      </c>
      <c r="AD309" s="34">
        <v>0.0</v>
      </c>
      <c r="AE309" s="34">
        <v>0.0</v>
      </c>
      <c r="AF309" s="33">
        <f>COUNTIFS('Data For Calculation - Insuranc'!A:A,A309,'Data For Calculation - Insuranc'!D:D,"Individual",'Data For Calculation - Insuranc'!E:E,"Rollover Comprehensive - 1 Year OD + 1 Year TP")</f>
        <v>0</v>
      </c>
      <c r="AG309" s="34" t="s">
        <v>3930</v>
      </c>
      <c r="AH309" s="42" t="s">
        <v>3854</v>
      </c>
      <c r="AI309" s="31">
        <v>290.0</v>
      </c>
      <c r="AJ309" s="34" t="s">
        <v>3853</v>
      </c>
      <c r="AK309" s="34">
        <v>0.0</v>
      </c>
      <c r="AL309" s="34">
        <v>100.0</v>
      </c>
      <c r="AM309" s="34">
        <v>0.0</v>
      </c>
      <c r="AN309" s="34">
        <v>0.0</v>
      </c>
      <c r="AO309" s="33">
        <f>COUNTIFS('Data For Calculation - Insuranc'!A:A,A309,'Data For Calculation - Insuranc'!D:D,"Company",'Data For Calculation - Insuranc'!E:E,"Rollover Comprehensive - 1 Year OD + 1 Year TP")</f>
        <v>0</v>
      </c>
      <c r="AP309" s="34" t="s">
        <v>3931</v>
      </c>
      <c r="AQ309" s="42" t="s">
        <v>3854</v>
      </c>
      <c r="AR309" s="31">
        <v>290.0</v>
      </c>
      <c r="AS309" s="34" t="s">
        <v>3853</v>
      </c>
      <c r="AT309" s="34">
        <v>0.0</v>
      </c>
      <c r="AU309" s="34">
        <v>100.0</v>
      </c>
      <c r="AV309" s="34">
        <v>0.0</v>
      </c>
      <c r="AW309" s="34">
        <v>0.0</v>
      </c>
      <c r="AX309" s="33">
        <f>COUNTIFS('Data For Calculation - Insuranc'!A:A,A309,'Data For Calculation - Insuranc'!D:D,"Individual",'Data For Calculation - Insuranc'!E:E,"Rollover - 1 Year OD Only")</f>
        <v>0</v>
      </c>
      <c r="AY309" s="34" t="s">
        <v>3932</v>
      </c>
      <c r="AZ309" s="42" t="s">
        <v>3854</v>
      </c>
      <c r="BA309" s="31">
        <v>290.0</v>
      </c>
      <c r="BB309" s="34" t="s">
        <v>3853</v>
      </c>
      <c r="BC309" s="34">
        <v>0.0</v>
      </c>
      <c r="BD309" s="34">
        <v>100.0</v>
      </c>
      <c r="BE309" s="34">
        <v>0.0</v>
      </c>
      <c r="BF309" s="34">
        <v>0.0</v>
      </c>
      <c r="BG309" s="33">
        <f>COUNTIFS('Data For Calculation - Insuranc'!A:A,A309,'Data For Calculation - Insuranc'!D:D,"Company",'Data For Calculation - Insuranc'!E:E,"Rollover - 1 Year OD Only")</f>
        <v>0</v>
      </c>
      <c r="BH309" s="34" t="s">
        <v>3931</v>
      </c>
      <c r="BI309" s="42" t="s">
        <v>3854</v>
      </c>
      <c r="BJ309" s="31">
        <v>290.0</v>
      </c>
      <c r="BK309" s="34" t="s">
        <v>3853</v>
      </c>
      <c r="BL309" s="34">
        <v>0.0</v>
      </c>
      <c r="BM309" s="34">
        <v>100.0</v>
      </c>
      <c r="BN309" s="34">
        <v>0.0</v>
      </c>
      <c r="BO309" s="34">
        <v>0.0</v>
      </c>
      <c r="BP309" s="33">
        <f>COUNTIFS('Data For Calculation - Insuranc'!A:A,A309,'Data For Calculation - Insuranc'!D:D,"Individual",'Data For Calculation - Insuranc'!E:E,"Rollover - 1 Year TP Only")</f>
        <v>0</v>
      </c>
      <c r="BQ309" s="34" t="s">
        <v>3932</v>
      </c>
      <c r="BR309" s="42" t="s">
        <v>3854</v>
      </c>
      <c r="BS309" s="31">
        <v>290.0</v>
      </c>
      <c r="BT309" s="34" t="s">
        <v>3853</v>
      </c>
      <c r="BU309" s="34">
        <v>0.0</v>
      </c>
      <c r="BV309" s="34">
        <v>100.0</v>
      </c>
      <c r="BW309" s="34">
        <v>0.0</v>
      </c>
      <c r="BX309" s="34">
        <v>0.0</v>
      </c>
      <c r="BY309" s="33">
        <f>COUNTIFS('Data For Calculation - Insuranc'!A:A,A309,'Data For Calculation - Insuranc'!D:D,"Company",'Data For Calculation - Insuranc'!E:E,"Rollover - 1 Year TP Only")</f>
        <v>0</v>
      </c>
      <c r="BZ309" s="31">
        <f t="shared" si="1"/>
        <v>0</v>
      </c>
      <c r="CA309" s="33">
        <f>SUMIFS('Data For Calculation - Insuranc'!I:I,'Data For Calculation - Insuranc'!$A:$A,$A309)</f>
        <v>0</v>
      </c>
      <c r="CB309" s="33">
        <f>SUMIFS('Data For Calculation - Insuranc'!J:J,'Data For Calculation - Insuranc'!$A:$A,$A309)</f>
        <v>0</v>
      </c>
      <c r="CC309" s="33">
        <f>SUMIFS('Data For Calculation - Insuranc'!K:K,'Data For Calculation - Insuranc'!$A:$A,$A309)</f>
        <v>0</v>
      </c>
      <c r="CD309" s="33">
        <f>IF($CK309 = "Dealer", SUMIFS('Data For Calculation - Insuranc'!I:I,'Data For Calculation - Insuranc'!$B:$B,$A309,'Data For Calculation - Insuranc'!$H:$H,"Master Dealer")) + SUMIFS('Data For Calculation - Insuranc'!I:I,'Data For Calculation - Insuranc'!$A:$A,$A309,'Data For Calculation - Insuranc'!$H:$H,"Self")</f>
        <v>0</v>
      </c>
      <c r="CE309" s="33">
        <f>IF($CK309 = "Dealer", SUMIFS('Data For Calculation - Insuranc'!J:J,'Data For Calculation - Insuranc'!$B:$B,$A309,'Data For Calculation - Insuranc'!$H:$H,"Master Dealer")) + SUMIFS('Data For Calculation - Insuranc'!J:J,'Data For Calculation - Insuranc'!$A:$A,$A309,'Data For Calculation - Insuranc'!$H:$H,"Self")</f>
        <v>0</v>
      </c>
      <c r="CF309" s="33">
        <f>IF($CK309 = "Dealer", SUMIFS('Data For Calculation - Insuranc'!K:K,'Data For Calculation - Insuranc'!$B:$B,$A309,'Data For Calculation - Insuranc'!$H:$H,"Master Dealer")) + SUMIFS('Data For Calculation - Insuranc'!K:K,'Data For Calculation - Insuranc'!$A:$A,$A309,'Data For Calculation - Insuranc'!$H:$H,"Self")</f>
        <v>0</v>
      </c>
      <c r="CG309" s="25" t="str">
        <f>(Sheet1!N309)</f>
        <v>GOPAL AUTOMOBIE- NAJIBABAD</v>
      </c>
      <c r="CH309" s="25" t="str">
        <f>(Sheet1!O309)</f>
        <v>1c4UpmPaXbD24g9f1d-SG1J5R0Bs6d07micvtytMfukg</v>
      </c>
      <c r="CI309" s="25" t="str">
        <f>(Sheet1!AV309)</f>
        <v/>
      </c>
      <c r="CJ309" s="25" t="str">
        <f>(Sheet1!AW309)</f>
        <v/>
      </c>
      <c r="CK309" s="26" t="str">
        <f>(Sheet1!P309)</f>
        <v>Dealer</v>
      </c>
    </row>
    <row r="310">
      <c r="A310" s="25" t="str">
        <f>(Sheet1!A310)</f>
        <v>1nZkPZljbrv92nXg4QV5T4xeYzH3TvoYL_aCP-Dxrz3U</v>
      </c>
      <c r="B310" s="25" t="str">
        <f>(Sheet1!B310)</f>
        <v>EKAM TVS- PANCHKULA</v>
      </c>
      <c r="C310" s="30" t="str">
        <f>Sheet1!BB310</f>
        <v>Yes</v>
      </c>
      <c r="D310" s="30" t="s">
        <v>13</v>
      </c>
      <c r="E310" s="34" t="s">
        <v>13</v>
      </c>
      <c r="F310" s="34" t="s">
        <v>3929</v>
      </c>
      <c r="G310" s="42" t="s">
        <v>3856</v>
      </c>
      <c r="H310" s="43">
        <v>100.0</v>
      </c>
      <c r="I310" s="42" t="s">
        <v>3855</v>
      </c>
      <c r="J310" s="43">
        <v>2000.0</v>
      </c>
      <c r="K310" s="43">
        <v>0.0</v>
      </c>
      <c r="L310" s="43">
        <v>100.0</v>
      </c>
      <c r="M310" s="43">
        <v>0.0</v>
      </c>
      <c r="N310" s="33">
        <f>COUNTIFS('Data For Calculation - Insuranc'!A:A,A310,'Data For Calculation - Insuranc'!D:D,"Individual",'Data For Calculation - Insuranc'!E:E,"Bundled - 1 Year OD + 5 Year TP")</f>
        <v>0</v>
      </c>
      <c r="O310" s="34" t="s">
        <v>3930</v>
      </c>
      <c r="P310" s="42" t="s">
        <v>3856</v>
      </c>
      <c r="Q310" s="43">
        <v>100.0</v>
      </c>
      <c r="R310" s="42" t="s">
        <v>3855</v>
      </c>
      <c r="S310" s="43">
        <v>2000.0</v>
      </c>
      <c r="T310" s="43">
        <v>0.0</v>
      </c>
      <c r="U310" s="43">
        <v>100.0</v>
      </c>
      <c r="V310" s="43">
        <v>0.0</v>
      </c>
      <c r="W310" s="33">
        <f>COUNTIFS('Data For Calculation - Insuranc'!A:A,A310,'Data For Calculation - Insuranc'!D:D,"Company",'Data For Calculation - Insuranc'!E:E,"Bundled - 1 Year OD + 5 Year TP")</f>
        <v>0</v>
      </c>
      <c r="X310" s="34" t="s">
        <v>3929</v>
      </c>
      <c r="Y310" s="42" t="s">
        <v>3856</v>
      </c>
      <c r="Z310" s="43">
        <v>100.0</v>
      </c>
      <c r="AA310" s="42" t="s">
        <v>3855</v>
      </c>
      <c r="AB310" s="31">
        <v>500.0</v>
      </c>
      <c r="AC310" s="43">
        <v>100.0</v>
      </c>
      <c r="AD310" s="43">
        <v>0.0</v>
      </c>
      <c r="AE310" s="43">
        <v>0.0</v>
      </c>
      <c r="AF310" s="33">
        <f>COUNTIFS('Data For Calculation - Insuranc'!A:A,A310,'Data For Calculation - Insuranc'!D:D,"Individual",'Data For Calculation - Insuranc'!E:E,"Rollover Comprehensive - 1 Year OD + 1 Year TP")</f>
        <v>0</v>
      </c>
      <c r="AG310" s="34" t="s">
        <v>3930</v>
      </c>
      <c r="AH310" s="42" t="s">
        <v>3856</v>
      </c>
      <c r="AI310" s="43">
        <v>100.0</v>
      </c>
      <c r="AJ310" s="42" t="s">
        <v>3855</v>
      </c>
      <c r="AK310" s="31">
        <v>500.0</v>
      </c>
      <c r="AL310" s="43">
        <v>100.0</v>
      </c>
      <c r="AM310" s="43">
        <v>0.0</v>
      </c>
      <c r="AN310" s="43">
        <v>0.0</v>
      </c>
      <c r="AO310" s="33">
        <f>COUNTIFS('Data For Calculation - Insuranc'!A:A,A310,'Data For Calculation - Insuranc'!D:D,"Company",'Data For Calculation - Insuranc'!E:E,"Rollover Comprehensive - 1 Year OD + 1 Year TP")</f>
        <v>0</v>
      </c>
      <c r="AP310" s="34" t="s">
        <v>3929</v>
      </c>
      <c r="AQ310" s="42" t="s">
        <v>3856</v>
      </c>
      <c r="AR310" s="43">
        <v>100.0</v>
      </c>
      <c r="AS310" s="42" t="s">
        <v>3855</v>
      </c>
      <c r="AT310" s="31">
        <v>500.0</v>
      </c>
      <c r="AU310" s="43">
        <v>100.0</v>
      </c>
      <c r="AV310" s="43">
        <v>0.0</v>
      </c>
      <c r="AW310" s="43">
        <v>0.0</v>
      </c>
      <c r="AX310" s="33">
        <f>COUNTIFS('Data For Calculation - Insuranc'!A:A,A310,'Data For Calculation - Insuranc'!D:D,"Individual",'Data For Calculation - Insuranc'!E:E,"Rollover - 1 Year OD Only")</f>
        <v>0</v>
      </c>
      <c r="AY310" s="34" t="s">
        <v>3930</v>
      </c>
      <c r="AZ310" s="42" t="s">
        <v>3856</v>
      </c>
      <c r="BA310" s="43">
        <v>100.0</v>
      </c>
      <c r="BB310" s="42" t="s">
        <v>3855</v>
      </c>
      <c r="BC310" s="31">
        <v>500.0</v>
      </c>
      <c r="BD310" s="43">
        <v>100.0</v>
      </c>
      <c r="BE310" s="43">
        <v>0.0</v>
      </c>
      <c r="BF310" s="43">
        <v>0.0</v>
      </c>
      <c r="BG310" s="33">
        <f>COUNTIFS('Data For Calculation - Insuranc'!A:A,A310,'Data For Calculation - Insuranc'!D:D,"Company",'Data For Calculation - Insuranc'!E:E,"Rollover - 1 Year OD Only")</f>
        <v>0</v>
      </c>
      <c r="BH310" s="34" t="s">
        <v>3931</v>
      </c>
      <c r="BI310" s="42" t="s">
        <v>3856</v>
      </c>
      <c r="BJ310" s="43">
        <v>100.0</v>
      </c>
      <c r="BK310" s="42" t="s">
        <v>3855</v>
      </c>
      <c r="BL310" s="31">
        <v>400.0</v>
      </c>
      <c r="BM310" s="43">
        <v>100.0</v>
      </c>
      <c r="BN310" s="43">
        <v>0.0</v>
      </c>
      <c r="BO310" s="43">
        <v>0.0</v>
      </c>
      <c r="BP310" s="33">
        <f>COUNTIFS('Data For Calculation - Insuranc'!A:A,A310,'Data For Calculation - Insuranc'!D:D,"Individual",'Data For Calculation - Insuranc'!E:E,"Rollover - 1 Year TP Only")</f>
        <v>0</v>
      </c>
      <c r="BQ310" s="34" t="s">
        <v>3932</v>
      </c>
      <c r="BR310" s="42" t="s">
        <v>3856</v>
      </c>
      <c r="BS310" s="43">
        <v>100.0</v>
      </c>
      <c r="BT310" s="42" t="s">
        <v>3855</v>
      </c>
      <c r="BU310" s="31">
        <v>400.0</v>
      </c>
      <c r="BV310" s="43">
        <v>100.0</v>
      </c>
      <c r="BW310" s="43">
        <v>0.0</v>
      </c>
      <c r="BX310" s="43">
        <v>0.0</v>
      </c>
      <c r="BY310" s="33">
        <f>COUNTIFS('Data For Calculation - Insuranc'!A:A,A310,'Data For Calculation - Insuranc'!D:D,"Company",'Data For Calculation - Insuranc'!E:E,"Rollover - 1 Year TP Only")</f>
        <v>0</v>
      </c>
      <c r="BZ310" s="31">
        <f t="shared" si="1"/>
        <v>0</v>
      </c>
      <c r="CA310" s="33">
        <f>SUMIFS('Data For Calculation - Insuranc'!I:I,'Data For Calculation - Insuranc'!$A:$A,$A310)</f>
        <v>0</v>
      </c>
      <c r="CB310" s="33">
        <f>SUMIFS('Data For Calculation - Insuranc'!J:J,'Data For Calculation - Insuranc'!$A:$A,$A310)</f>
        <v>0</v>
      </c>
      <c r="CC310" s="33">
        <f>SUMIFS('Data For Calculation - Insuranc'!K:K,'Data For Calculation - Insuranc'!$A:$A,$A310)</f>
        <v>0</v>
      </c>
      <c r="CD310" s="33">
        <f>IF($CK310 = "Dealer", SUMIFS('Data For Calculation - Insuranc'!I:I,'Data For Calculation - Insuranc'!$B:$B,$A310,'Data For Calculation - Insuranc'!$H:$H,"Master Dealer")) + SUMIFS('Data For Calculation - Insuranc'!I:I,'Data For Calculation - Insuranc'!$A:$A,$A310,'Data For Calculation - Insuranc'!$H:$H,"Self")</f>
        <v>0</v>
      </c>
      <c r="CE310" s="33">
        <f>IF($CK310 = "Dealer", SUMIFS('Data For Calculation - Insuranc'!J:J,'Data For Calculation - Insuranc'!$B:$B,$A310,'Data For Calculation - Insuranc'!$H:$H,"Master Dealer")) + SUMIFS('Data For Calculation - Insuranc'!J:J,'Data For Calculation - Insuranc'!$A:$A,$A310,'Data For Calculation - Insuranc'!$H:$H,"Self")</f>
        <v>0</v>
      </c>
      <c r="CF310" s="33">
        <f>IF($CK310 = "Dealer", SUMIFS('Data For Calculation - Insuranc'!K:K,'Data For Calculation - Insuranc'!$B:$B,$A310,'Data For Calculation - Insuranc'!$H:$H,"Master Dealer")) + SUMIFS('Data For Calculation - Insuranc'!K:K,'Data For Calculation - Insuranc'!$A:$A,$A310,'Data For Calculation - Insuranc'!$H:$H,"Self")</f>
        <v>0</v>
      </c>
      <c r="CG310" s="25" t="str">
        <f>(Sheet1!N310)</f>
        <v>EKAM TVS- PANCHKULA</v>
      </c>
      <c r="CH310" s="25" t="str">
        <f>(Sheet1!O310)</f>
        <v>1nZkPZljbrv92nXg4QV5T4xeYzH3TvoYL_aCP-Dxrz3U</v>
      </c>
      <c r="CI310" s="25" t="str">
        <f>(Sheet1!AV310)</f>
        <v/>
      </c>
      <c r="CJ310" s="25" t="str">
        <f>(Sheet1!AW310)</f>
        <v/>
      </c>
      <c r="CK310" s="26" t="str">
        <f>(Sheet1!P310)</f>
        <v>Dealer</v>
      </c>
    </row>
    <row r="311">
      <c r="A311" s="25" t="str">
        <f>(Sheet1!A311)</f>
        <v>10WPh_WCplOI3MhoycaJcKr3lYMretoJR3ta-W3F9m_c</v>
      </c>
      <c r="B311" s="25" t="str">
        <f>(Sheet1!B311)</f>
        <v>SANSAAR HONDA- HARIDWAR</v>
      </c>
      <c r="C311" s="30" t="str">
        <f>Sheet1!BB311</f>
        <v>No</v>
      </c>
      <c r="D311" s="30" t="s">
        <v>13</v>
      </c>
      <c r="E311" s="34" t="s">
        <v>13</v>
      </c>
      <c r="F311" s="34" t="s">
        <v>3929</v>
      </c>
      <c r="G311" s="42" t="s">
        <v>3854</v>
      </c>
      <c r="H311" s="43">
        <v>460.0</v>
      </c>
      <c r="I311" s="42" t="s">
        <v>3853</v>
      </c>
      <c r="J311" s="43">
        <v>20.0</v>
      </c>
      <c r="K311" s="43">
        <v>60.0</v>
      </c>
      <c r="L311" s="43">
        <v>20.0</v>
      </c>
      <c r="M311" s="43">
        <v>20.0</v>
      </c>
      <c r="N311" s="33">
        <f>COUNTIFS('Data For Calculation - Insuranc'!A:A,A311,'Data For Calculation - Insuranc'!D:D,"Individual",'Data For Calculation - Insuranc'!E:E,"Bundled - 1 Year OD + 5 Year TP")</f>
        <v>0</v>
      </c>
      <c r="O311" s="34" t="s">
        <v>3930</v>
      </c>
      <c r="P311" s="42" t="s">
        <v>3854</v>
      </c>
      <c r="Q311" s="43">
        <v>460.0</v>
      </c>
      <c r="R311" s="42" t="s">
        <v>3853</v>
      </c>
      <c r="S311" s="43">
        <v>20.0</v>
      </c>
      <c r="T311" s="43">
        <v>60.0</v>
      </c>
      <c r="U311" s="43">
        <v>20.0</v>
      </c>
      <c r="V311" s="43">
        <v>20.0</v>
      </c>
      <c r="W311" s="33">
        <f>COUNTIFS('Data For Calculation - Insuranc'!A:A,A311,'Data For Calculation - Insuranc'!D:D,"Company",'Data For Calculation - Insuranc'!E:E,"Bundled - 1 Year OD + 5 Year TP")</f>
        <v>0</v>
      </c>
      <c r="X311" s="34" t="s">
        <v>3929</v>
      </c>
      <c r="Y311" s="42" t="s">
        <v>3854</v>
      </c>
      <c r="Z311" s="31">
        <v>290.0</v>
      </c>
      <c r="AA311" s="34" t="s">
        <v>3853</v>
      </c>
      <c r="AB311" s="34">
        <v>0.0</v>
      </c>
      <c r="AC311" s="34">
        <v>100.0</v>
      </c>
      <c r="AD311" s="34">
        <v>0.0</v>
      </c>
      <c r="AE311" s="34">
        <v>0.0</v>
      </c>
      <c r="AF311" s="33">
        <f>COUNTIFS('Data For Calculation - Insuranc'!A:A,A311,'Data For Calculation - Insuranc'!D:D,"Individual",'Data For Calculation - Insuranc'!E:E,"Rollover Comprehensive - 1 Year OD + 1 Year TP")</f>
        <v>0</v>
      </c>
      <c r="AG311" s="34" t="s">
        <v>3930</v>
      </c>
      <c r="AH311" s="42" t="s">
        <v>3854</v>
      </c>
      <c r="AI311" s="31">
        <v>290.0</v>
      </c>
      <c r="AJ311" s="34" t="s">
        <v>3853</v>
      </c>
      <c r="AK311" s="34">
        <v>0.0</v>
      </c>
      <c r="AL311" s="34">
        <v>100.0</v>
      </c>
      <c r="AM311" s="34">
        <v>0.0</v>
      </c>
      <c r="AN311" s="34">
        <v>0.0</v>
      </c>
      <c r="AO311" s="33">
        <f>COUNTIFS('Data For Calculation - Insuranc'!A:A,A311,'Data For Calculation - Insuranc'!D:D,"Company",'Data For Calculation - Insuranc'!E:E,"Rollover Comprehensive - 1 Year OD + 1 Year TP")</f>
        <v>0</v>
      </c>
      <c r="AP311" s="34" t="s">
        <v>3931</v>
      </c>
      <c r="AQ311" s="42" t="s">
        <v>3854</v>
      </c>
      <c r="AR311" s="31">
        <v>290.0</v>
      </c>
      <c r="AS311" s="34" t="s">
        <v>3853</v>
      </c>
      <c r="AT311" s="34">
        <v>0.0</v>
      </c>
      <c r="AU311" s="34">
        <v>100.0</v>
      </c>
      <c r="AV311" s="34">
        <v>0.0</v>
      </c>
      <c r="AW311" s="34">
        <v>0.0</v>
      </c>
      <c r="AX311" s="33">
        <f>COUNTIFS('Data For Calculation - Insuranc'!A:A,A311,'Data For Calculation - Insuranc'!D:D,"Individual",'Data For Calculation - Insuranc'!E:E,"Rollover - 1 Year OD Only")</f>
        <v>0</v>
      </c>
      <c r="AY311" s="34" t="s">
        <v>3932</v>
      </c>
      <c r="AZ311" s="42" t="s">
        <v>3854</v>
      </c>
      <c r="BA311" s="31">
        <v>290.0</v>
      </c>
      <c r="BB311" s="34" t="s">
        <v>3853</v>
      </c>
      <c r="BC311" s="34">
        <v>0.0</v>
      </c>
      <c r="BD311" s="34">
        <v>100.0</v>
      </c>
      <c r="BE311" s="34">
        <v>0.0</v>
      </c>
      <c r="BF311" s="34">
        <v>0.0</v>
      </c>
      <c r="BG311" s="33">
        <f>COUNTIFS('Data For Calculation - Insuranc'!A:A,A311,'Data For Calculation - Insuranc'!D:D,"Company",'Data For Calculation - Insuranc'!E:E,"Rollover - 1 Year OD Only")</f>
        <v>0</v>
      </c>
      <c r="BH311" s="34" t="s">
        <v>3931</v>
      </c>
      <c r="BI311" s="42" t="s">
        <v>3854</v>
      </c>
      <c r="BJ311" s="31">
        <v>290.0</v>
      </c>
      <c r="BK311" s="34" t="s">
        <v>3853</v>
      </c>
      <c r="BL311" s="34">
        <v>0.0</v>
      </c>
      <c r="BM311" s="34">
        <v>100.0</v>
      </c>
      <c r="BN311" s="34">
        <v>0.0</v>
      </c>
      <c r="BO311" s="34">
        <v>0.0</v>
      </c>
      <c r="BP311" s="33">
        <f>COUNTIFS('Data For Calculation - Insuranc'!A:A,A311,'Data For Calculation - Insuranc'!D:D,"Individual",'Data For Calculation - Insuranc'!E:E,"Rollover - 1 Year TP Only")</f>
        <v>0</v>
      </c>
      <c r="BQ311" s="34" t="s">
        <v>3932</v>
      </c>
      <c r="BR311" s="42" t="s">
        <v>3854</v>
      </c>
      <c r="BS311" s="31">
        <v>290.0</v>
      </c>
      <c r="BT311" s="34" t="s">
        <v>3853</v>
      </c>
      <c r="BU311" s="34">
        <v>0.0</v>
      </c>
      <c r="BV311" s="34">
        <v>100.0</v>
      </c>
      <c r="BW311" s="34">
        <v>0.0</v>
      </c>
      <c r="BX311" s="34">
        <v>0.0</v>
      </c>
      <c r="BY311" s="33">
        <f>COUNTIFS('Data For Calculation - Insuranc'!A:A,A311,'Data For Calculation - Insuranc'!D:D,"Company",'Data For Calculation - Insuranc'!E:E,"Rollover - 1 Year TP Only")</f>
        <v>0</v>
      </c>
      <c r="BZ311" s="31">
        <f t="shared" si="1"/>
        <v>0</v>
      </c>
      <c r="CA311" s="33">
        <f>SUMIFS('Data For Calculation - Insuranc'!I:I,'Data For Calculation - Insuranc'!$A:$A,$A311)</f>
        <v>0</v>
      </c>
      <c r="CB311" s="33">
        <f>SUMIFS('Data For Calculation - Insuranc'!J:J,'Data For Calculation - Insuranc'!$A:$A,$A311)</f>
        <v>0</v>
      </c>
      <c r="CC311" s="33">
        <f>SUMIFS('Data For Calculation - Insuranc'!K:K,'Data For Calculation - Insuranc'!$A:$A,$A311)</f>
        <v>0</v>
      </c>
      <c r="CD311" s="33">
        <f>IF($CK311 = "Dealer", SUMIFS('Data For Calculation - Insuranc'!I:I,'Data For Calculation - Insuranc'!$B:$B,$A311,'Data For Calculation - Insuranc'!$H:$H,"Master Dealer")) + SUMIFS('Data For Calculation - Insuranc'!I:I,'Data For Calculation - Insuranc'!$A:$A,$A311,'Data For Calculation - Insuranc'!$H:$H,"Self")</f>
        <v>0</v>
      </c>
      <c r="CE311" s="33">
        <f>IF($CK311 = "Dealer", SUMIFS('Data For Calculation - Insuranc'!J:J,'Data For Calculation - Insuranc'!$B:$B,$A311,'Data For Calculation - Insuranc'!$H:$H,"Master Dealer")) + SUMIFS('Data For Calculation - Insuranc'!J:J,'Data For Calculation - Insuranc'!$A:$A,$A311,'Data For Calculation - Insuranc'!$H:$H,"Self")</f>
        <v>0</v>
      </c>
      <c r="CF311" s="33">
        <f>IF($CK311 = "Dealer", SUMIFS('Data For Calculation - Insuranc'!K:K,'Data For Calculation - Insuranc'!$B:$B,$A311,'Data For Calculation - Insuranc'!$H:$H,"Master Dealer")) + SUMIFS('Data For Calculation - Insuranc'!K:K,'Data For Calculation - Insuranc'!$A:$A,$A311,'Data For Calculation - Insuranc'!$H:$H,"Self")</f>
        <v>0</v>
      </c>
      <c r="CG311" s="25" t="str">
        <f>(Sheet1!N311)</f>
        <v>SANSAAR HONDA- HARIDWAR</v>
      </c>
      <c r="CH311" s="25" t="str">
        <f>(Sheet1!O311)</f>
        <v>10WPh_WCplOI3MhoycaJcKr3lYMretoJR3ta-W3F9m_c</v>
      </c>
      <c r="CI311" s="25" t="str">
        <f>(Sheet1!AV311)</f>
        <v/>
      </c>
      <c r="CJ311" s="25" t="str">
        <f>(Sheet1!AW311)</f>
        <v/>
      </c>
      <c r="CK311" s="26" t="str">
        <f>(Sheet1!P311)</f>
        <v>Dealer</v>
      </c>
    </row>
    <row r="312">
      <c r="A312" s="25" t="str">
        <f>(Sheet1!A312)</f>
        <v>1Ymh97cWP9AVJD4TFdCUxIgPTHzjxbv5sRAkjPizS2d8</v>
      </c>
      <c r="B312" s="25" t="str">
        <f>(Sheet1!B312)</f>
        <v>TWIN CITY -KHANNA</v>
      </c>
      <c r="C312" s="30" t="str">
        <f>Sheet1!BB312</f>
        <v>No</v>
      </c>
      <c r="D312" s="30" t="s">
        <v>13</v>
      </c>
      <c r="E312" s="34" t="s">
        <v>13</v>
      </c>
      <c r="F312" s="34" t="s">
        <v>3929</v>
      </c>
      <c r="G312" s="42" t="s">
        <v>3854</v>
      </c>
      <c r="H312" s="43">
        <v>460.0</v>
      </c>
      <c r="I312" s="42" t="s">
        <v>3853</v>
      </c>
      <c r="J312" s="43">
        <v>20.0</v>
      </c>
      <c r="K312" s="43">
        <v>60.0</v>
      </c>
      <c r="L312" s="43">
        <v>20.0</v>
      </c>
      <c r="M312" s="43">
        <v>20.0</v>
      </c>
      <c r="N312" s="33">
        <f>COUNTIFS('Data For Calculation - Insuranc'!A:A,A312,'Data For Calculation - Insuranc'!D:D,"Individual",'Data For Calculation - Insuranc'!E:E,"Bundled - 1 Year OD + 5 Year TP")</f>
        <v>0</v>
      </c>
      <c r="O312" s="34" t="s">
        <v>3930</v>
      </c>
      <c r="P312" s="42" t="s">
        <v>3854</v>
      </c>
      <c r="Q312" s="43">
        <v>460.0</v>
      </c>
      <c r="R312" s="42" t="s">
        <v>3853</v>
      </c>
      <c r="S312" s="43">
        <v>20.0</v>
      </c>
      <c r="T312" s="43">
        <v>60.0</v>
      </c>
      <c r="U312" s="43">
        <v>20.0</v>
      </c>
      <c r="V312" s="43">
        <v>20.0</v>
      </c>
      <c r="W312" s="33">
        <f>COUNTIFS('Data For Calculation - Insuranc'!A:A,A312,'Data For Calculation - Insuranc'!D:D,"Company",'Data For Calculation - Insuranc'!E:E,"Bundled - 1 Year OD + 5 Year TP")</f>
        <v>0</v>
      </c>
      <c r="X312" s="34" t="s">
        <v>3929</v>
      </c>
      <c r="Y312" s="42" t="s">
        <v>3854</v>
      </c>
      <c r="Z312" s="31">
        <v>290.0</v>
      </c>
      <c r="AA312" s="34" t="s">
        <v>3853</v>
      </c>
      <c r="AB312" s="34">
        <v>0.0</v>
      </c>
      <c r="AC312" s="34">
        <v>100.0</v>
      </c>
      <c r="AD312" s="34">
        <v>0.0</v>
      </c>
      <c r="AE312" s="34">
        <v>0.0</v>
      </c>
      <c r="AF312" s="33">
        <f>COUNTIFS('Data For Calculation - Insuranc'!A:A,A312,'Data For Calculation - Insuranc'!D:D,"Individual",'Data For Calculation - Insuranc'!E:E,"Rollover Comprehensive - 1 Year OD + 1 Year TP")</f>
        <v>0</v>
      </c>
      <c r="AG312" s="34" t="s">
        <v>3930</v>
      </c>
      <c r="AH312" s="42" t="s">
        <v>3854</v>
      </c>
      <c r="AI312" s="31">
        <v>290.0</v>
      </c>
      <c r="AJ312" s="34" t="s">
        <v>3853</v>
      </c>
      <c r="AK312" s="34">
        <v>0.0</v>
      </c>
      <c r="AL312" s="34">
        <v>100.0</v>
      </c>
      <c r="AM312" s="34">
        <v>0.0</v>
      </c>
      <c r="AN312" s="34">
        <v>0.0</v>
      </c>
      <c r="AO312" s="33">
        <f>COUNTIFS('Data For Calculation - Insuranc'!A:A,A312,'Data For Calculation - Insuranc'!D:D,"Company",'Data For Calculation - Insuranc'!E:E,"Rollover Comprehensive - 1 Year OD + 1 Year TP")</f>
        <v>0</v>
      </c>
      <c r="AP312" s="34" t="s">
        <v>3931</v>
      </c>
      <c r="AQ312" s="42" t="s">
        <v>3854</v>
      </c>
      <c r="AR312" s="31">
        <v>290.0</v>
      </c>
      <c r="AS312" s="34" t="s">
        <v>3853</v>
      </c>
      <c r="AT312" s="34">
        <v>0.0</v>
      </c>
      <c r="AU312" s="34">
        <v>100.0</v>
      </c>
      <c r="AV312" s="34">
        <v>0.0</v>
      </c>
      <c r="AW312" s="34">
        <v>0.0</v>
      </c>
      <c r="AX312" s="33">
        <f>COUNTIFS('Data For Calculation - Insuranc'!A:A,A312,'Data For Calculation - Insuranc'!D:D,"Individual",'Data For Calculation - Insuranc'!E:E,"Rollover - 1 Year OD Only")</f>
        <v>0</v>
      </c>
      <c r="AY312" s="34" t="s">
        <v>3932</v>
      </c>
      <c r="AZ312" s="42" t="s">
        <v>3854</v>
      </c>
      <c r="BA312" s="31">
        <v>290.0</v>
      </c>
      <c r="BB312" s="34" t="s">
        <v>3853</v>
      </c>
      <c r="BC312" s="34">
        <v>0.0</v>
      </c>
      <c r="BD312" s="34">
        <v>100.0</v>
      </c>
      <c r="BE312" s="34">
        <v>0.0</v>
      </c>
      <c r="BF312" s="34">
        <v>0.0</v>
      </c>
      <c r="BG312" s="33">
        <f>COUNTIFS('Data For Calculation - Insuranc'!A:A,A312,'Data For Calculation - Insuranc'!D:D,"Company",'Data For Calculation - Insuranc'!E:E,"Rollover - 1 Year OD Only")</f>
        <v>0</v>
      </c>
      <c r="BH312" s="34" t="s">
        <v>3931</v>
      </c>
      <c r="BI312" s="42" t="s">
        <v>3854</v>
      </c>
      <c r="BJ312" s="31">
        <v>290.0</v>
      </c>
      <c r="BK312" s="34" t="s">
        <v>3853</v>
      </c>
      <c r="BL312" s="34">
        <v>0.0</v>
      </c>
      <c r="BM312" s="34">
        <v>100.0</v>
      </c>
      <c r="BN312" s="34">
        <v>0.0</v>
      </c>
      <c r="BO312" s="34">
        <v>0.0</v>
      </c>
      <c r="BP312" s="33">
        <f>COUNTIFS('Data For Calculation - Insuranc'!A:A,A312,'Data For Calculation - Insuranc'!D:D,"Individual",'Data For Calculation - Insuranc'!E:E,"Rollover - 1 Year TP Only")</f>
        <v>0</v>
      </c>
      <c r="BQ312" s="34" t="s">
        <v>3932</v>
      </c>
      <c r="BR312" s="42" t="s">
        <v>3854</v>
      </c>
      <c r="BS312" s="31">
        <v>290.0</v>
      </c>
      <c r="BT312" s="34" t="s">
        <v>3853</v>
      </c>
      <c r="BU312" s="34">
        <v>0.0</v>
      </c>
      <c r="BV312" s="34">
        <v>100.0</v>
      </c>
      <c r="BW312" s="34">
        <v>0.0</v>
      </c>
      <c r="BX312" s="34">
        <v>0.0</v>
      </c>
      <c r="BY312" s="33">
        <f>COUNTIFS('Data For Calculation - Insuranc'!A:A,A312,'Data For Calculation - Insuranc'!D:D,"Company",'Data For Calculation - Insuranc'!E:E,"Rollover - 1 Year TP Only")</f>
        <v>0</v>
      </c>
      <c r="BZ312" s="31">
        <f t="shared" si="1"/>
        <v>0</v>
      </c>
      <c r="CA312" s="33">
        <f>SUMIFS('Data For Calculation - Insuranc'!I:I,'Data For Calculation - Insuranc'!$A:$A,$A312)</f>
        <v>0</v>
      </c>
      <c r="CB312" s="33">
        <f>SUMIFS('Data For Calculation - Insuranc'!J:J,'Data For Calculation - Insuranc'!$A:$A,$A312)</f>
        <v>0</v>
      </c>
      <c r="CC312" s="33">
        <f>SUMIFS('Data For Calculation - Insuranc'!K:K,'Data For Calculation - Insuranc'!$A:$A,$A312)</f>
        <v>0</v>
      </c>
      <c r="CD312" s="33">
        <f>IF($CK312 = "Dealer", SUMIFS('Data For Calculation - Insuranc'!I:I,'Data For Calculation - Insuranc'!$B:$B,$A312,'Data For Calculation - Insuranc'!$H:$H,"Master Dealer")) + SUMIFS('Data For Calculation - Insuranc'!I:I,'Data For Calculation - Insuranc'!$A:$A,$A312,'Data For Calculation - Insuranc'!$H:$H,"Self")</f>
        <v>0</v>
      </c>
      <c r="CE312" s="33">
        <f>IF($CK312 = "Dealer", SUMIFS('Data For Calculation - Insuranc'!J:J,'Data For Calculation - Insuranc'!$B:$B,$A312,'Data For Calculation - Insuranc'!$H:$H,"Master Dealer")) + SUMIFS('Data For Calculation - Insuranc'!J:J,'Data For Calculation - Insuranc'!$A:$A,$A312,'Data For Calculation - Insuranc'!$H:$H,"Self")</f>
        <v>0</v>
      </c>
      <c r="CF312" s="33">
        <f>IF($CK312 = "Dealer", SUMIFS('Data For Calculation - Insuranc'!K:K,'Data For Calculation - Insuranc'!$B:$B,$A312,'Data For Calculation - Insuranc'!$H:$H,"Master Dealer")) + SUMIFS('Data For Calculation - Insuranc'!K:K,'Data For Calculation - Insuranc'!$A:$A,$A312,'Data For Calculation - Insuranc'!$H:$H,"Self")</f>
        <v>0</v>
      </c>
      <c r="CG312" s="25" t="str">
        <f>(Sheet1!N312)</f>
        <v>TWIN CITY -KHANNA</v>
      </c>
      <c r="CH312" s="25" t="str">
        <f>(Sheet1!O312)</f>
        <v>1Ymh97cWP9AVJD4TFdCUxIgPTHzjxbv5sRAkjPizS2d8</v>
      </c>
      <c r="CI312" s="25" t="str">
        <f>(Sheet1!AV312)</f>
        <v/>
      </c>
      <c r="CJ312" s="25" t="str">
        <f>(Sheet1!AW312)</f>
        <v/>
      </c>
      <c r="CK312" s="26" t="str">
        <f>(Sheet1!P312)</f>
        <v>Dealer</v>
      </c>
    </row>
    <row r="313">
      <c r="A313" s="25" t="str">
        <f>(Sheet1!A313)</f>
        <v>1EeVOkHOYV7m-TXPjCFcVuyRfOfG243WHv6SdA9sNNrA</v>
      </c>
      <c r="B313" s="25" t="str">
        <f>(Sheet1!B313)</f>
        <v>PREM AUTO - HARIDWAR</v>
      </c>
      <c r="C313" s="30" t="str">
        <f>Sheet1!BB313</f>
        <v>No</v>
      </c>
      <c r="D313" s="30" t="s">
        <v>13</v>
      </c>
      <c r="E313" s="34" t="s">
        <v>13</v>
      </c>
      <c r="F313" s="34" t="s">
        <v>3929</v>
      </c>
      <c r="G313" s="42" t="s">
        <v>3854</v>
      </c>
      <c r="H313" s="43">
        <v>460.0</v>
      </c>
      <c r="I313" s="42" t="s">
        <v>3853</v>
      </c>
      <c r="J313" s="43">
        <v>20.0</v>
      </c>
      <c r="K313" s="43">
        <v>60.0</v>
      </c>
      <c r="L313" s="43">
        <v>20.0</v>
      </c>
      <c r="M313" s="43">
        <v>20.0</v>
      </c>
      <c r="N313" s="33">
        <f>COUNTIFS('Data For Calculation - Insuranc'!A:A,A313,'Data For Calculation - Insuranc'!D:D,"Individual",'Data For Calculation - Insuranc'!E:E,"Bundled - 1 Year OD + 5 Year TP")</f>
        <v>0</v>
      </c>
      <c r="O313" s="34" t="s">
        <v>3930</v>
      </c>
      <c r="P313" s="42" t="s">
        <v>3854</v>
      </c>
      <c r="Q313" s="43">
        <v>460.0</v>
      </c>
      <c r="R313" s="42" t="s">
        <v>3853</v>
      </c>
      <c r="S313" s="43">
        <v>20.0</v>
      </c>
      <c r="T313" s="43">
        <v>60.0</v>
      </c>
      <c r="U313" s="43">
        <v>20.0</v>
      </c>
      <c r="V313" s="43">
        <v>20.0</v>
      </c>
      <c r="W313" s="33">
        <f>COUNTIFS('Data For Calculation - Insuranc'!A:A,A313,'Data For Calculation - Insuranc'!D:D,"Company",'Data For Calculation - Insuranc'!E:E,"Bundled - 1 Year OD + 5 Year TP")</f>
        <v>0</v>
      </c>
      <c r="X313" s="34" t="s">
        <v>3929</v>
      </c>
      <c r="Y313" s="42" t="s">
        <v>3854</v>
      </c>
      <c r="Z313" s="31">
        <v>290.0</v>
      </c>
      <c r="AA313" s="34" t="s">
        <v>3853</v>
      </c>
      <c r="AB313" s="34">
        <v>0.0</v>
      </c>
      <c r="AC313" s="34">
        <v>100.0</v>
      </c>
      <c r="AD313" s="34">
        <v>0.0</v>
      </c>
      <c r="AE313" s="34">
        <v>0.0</v>
      </c>
      <c r="AF313" s="33">
        <f>COUNTIFS('Data For Calculation - Insuranc'!A:A,A313,'Data For Calculation - Insuranc'!D:D,"Individual",'Data For Calculation - Insuranc'!E:E,"Rollover Comprehensive - 1 Year OD + 1 Year TP")</f>
        <v>0</v>
      </c>
      <c r="AG313" s="34" t="s">
        <v>3930</v>
      </c>
      <c r="AH313" s="42" t="s">
        <v>3854</v>
      </c>
      <c r="AI313" s="31">
        <v>290.0</v>
      </c>
      <c r="AJ313" s="34" t="s">
        <v>3853</v>
      </c>
      <c r="AK313" s="34">
        <v>0.0</v>
      </c>
      <c r="AL313" s="34">
        <v>100.0</v>
      </c>
      <c r="AM313" s="34">
        <v>0.0</v>
      </c>
      <c r="AN313" s="34">
        <v>0.0</v>
      </c>
      <c r="AO313" s="33">
        <f>COUNTIFS('Data For Calculation - Insuranc'!A:A,A313,'Data For Calculation - Insuranc'!D:D,"Company",'Data For Calculation - Insuranc'!E:E,"Rollover Comprehensive - 1 Year OD + 1 Year TP")</f>
        <v>0</v>
      </c>
      <c r="AP313" s="34" t="s">
        <v>3931</v>
      </c>
      <c r="AQ313" s="42" t="s">
        <v>3854</v>
      </c>
      <c r="AR313" s="31">
        <v>290.0</v>
      </c>
      <c r="AS313" s="34" t="s">
        <v>3853</v>
      </c>
      <c r="AT313" s="34">
        <v>0.0</v>
      </c>
      <c r="AU313" s="34">
        <v>100.0</v>
      </c>
      <c r="AV313" s="34">
        <v>0.0</v>
      </c>
      <c r="AW313" s="34">
        <v>0.0</v>
      </c>
      <c r="AX313" s="33">
        <f>COUNTIFS('Data For Calculation - Insuranc'!A:A,A313,'Data For Calculation - Insuranc'!D:D,"Individual",'Data For Calculation - Insuranc'!E:E,"Rollover - 1 Year OD Only")</f>
        <v>0</v>
      </c>
      <c r="AY313" s="34" t="s">
        <v>3932</v>
      </c>
      <c r="AZ313" s="42" t="s">
        <v>3854</v>
      </c>
      <c r="BA313" s="31">
        <v>290.0</v>
      </c>
      <c r="BB313" s="34" t="s">
        <v>3853</v>
      </c>
      <c r="BC313" s="34">
        <v>0.0</v>
      </c>
      <c r="BD313" s="34">
        <v>100.0</v>
      </c>
      <c r="BE313" s="34">
        <v>0.0</v>
      </c>
      <c r="BF313" s="34">
        <v>0.0</v>
      </c>
      <c r="BG313" s="33">
        <f>COUNTIFS('Data For Calculation - Insuranc'!A:A,A313,'Data For Calculation - Insuranc'!D:D,"Company",'Data For Calculation - Insuranc'!E:E,"Rollover - 1 Year OD Only")</f>
        <v>0</v>
      </c>
      <c r="BH313" s="34" t="s">
        <v>3931</v>
      </c>
      <c r="BI313" s="42" t="s">
        <v>3854</v>
      </c>
      <c r="BJ313" s="31">
        <v>290.0</v>
      </c>
      <c r="BK313" s="34" t="s">
        <v>3853</v>
      </c>
      <c r="BL313" s="34">
        <v>0.0</v>
      </c>
      <c r="BM313" s="34">
        <v>100.0</v>
      </c>
      <c r="BN313" s="34">
        <v>0.0</v>
      </c>
      <c r="BO313" s="34">
        <v>0.0</v>
      </c>
      <c r="BP313" s="33">
        <f>COUNTIFS('Data For Calculation - Insuranc'!A:A,A313,'Data For Calculation - Insuranc'!D:D,"Individual",'Data For Calculation - Insuranc'!E:E,"Rollover - 1 Year TP Only")</f>
        <v>0</v>
      </c>
      <c r="BQ313" s="34" t="s">
        <v>3932</v>
      </c>
      <c r="BR313" s="42" t="s">
        <v>3854</v>
      </c>
      <c r="BS313" s="31">
        <v>290.0</v>
      </c>
      <c r="BT313" s="34" t="s">
        <v>3853</v>
      </c>
      <c r="BU313" s="34">
        <v>0.0</v>
      </c>
      <c r="BV313" s="34">
        <v>100.0</v>
      </c>
      <c r="BW313" s="34">
        <v>0.0</v>
      </c>
      <c r="BX313" s="34">
        <v>0.0</v>
      </c>
      <c r="BY313" s="33">
        <f>COUNTIFS('Data For Calculation - Insuranc'!A:A,A313,'Data For Calculation - Insuranc'!D:D,"Company",'Data For Calculation - Insuranc'!E:E,"Rollover - 1 Year TP Only")</f>
        <v>0</v>
      </c>
      <c r="BZ313" s="31">
        <f t="shared" si="1"/>
        <v>0</v>
      </c>
      <c r="CA313" s="33">
        <f>SUMIFS('Data For Calculation - Insuranc'!I:I,'Data For Calculation - Insuranc'!$A:$A,$A313)</f>
        <v>0</v>
      </c>
      <c r="CB313" s="33">
        <f>SUMIFS('Data For Calculation - Insuranc'!J:J,'Data For Calculation - Insuranc'!$A:$A,$A313)</f>
        <v>0</v>
      </c>
      <c r="CC313" s="33">
        <f>SUMIFS('Data For Calculation - Insuranc'!K:K,'Data For Calculation - Insuranc'!$A:$A,$A313)</f>
        <v>0</v>
      </c>
      <c r="CD313" s="33">
        <f>IF($CK313 = "Dealer", SUMIFS('Data For Calculation - Insuranc'!I:I,'Data For Calculation - Insuranc'!$B:$B,$A313,'Data For Calculation - Insuranc'!$H:$H,"Master Dealer")) + SUMIFS('Data For Calculation - Insuranc'!I:I,'Data For Calculation - Insuranc'!$A:$A,$A313,'Data For Calculation - Insuranc'!$H:$H,"Self")</f>
        <v>0</v>
      </c>
      <c r="CE313" s="33">
        <f>IF($CK313 = "Dealer", SUMIFS('Data For Calculation - Insuranc'!J:J,'Data For Calculation - Insuranc'!$B:$B,$A313,'Data For Calculation - Insuranc'!$H:$H,"Master Dealer")) + SUMIFS('Data For Calculation - Insuranc'!J:J,'Data For Calculation - Insuranc'!$A:$A,$A313,'Data For Calculation - Insuranc'!$H:$H,"Self")</f>
        <v>0</v>
      </c>
      <c r="CF313" s="33">
        <f>IF($CK313 = "Dealer", SUMIFS('Data For Calculation - Insuranc'!K:K,'Data For Calculation - Insuranc'!$B:$B,$A313,'Data For Calculation - Insuranc'!$H:$H,"Master Dealer")) + SUMIFS('Data For Calculation - Insuranc'!K:K,'Data For Calculation - Insuranc'!$A:$A,$A313,'Data For Calculation - Insuranc'!$H:$H,"Self")</f>
        <v>0</v>
      </c>
      <c r="CG313" s="25" t="str">
        <f>(Sheet1!N313)</f>
        <v>PREM AUTO - HARIDWAR</v>
      </c>
      <c r="CH313" s="25" t="str">
        <f>(Sheet1!O313)</f>
        <v>1EeVOkHOYV7m-TXPjCFcVuyRfOfG243WHv6SdA9sNNrA</v>
      </c>
      <c r="CI313" s="25" t="str">
        <f>(Sheet1!AV313)</f>
        <v/>
      </c>
      <c r="CJ313" s="25" t="str">
        <f>(Sheet1!AW313)</f>
        <v/>
      </c>
      <c r="CK313" s="26" t="str">
        <f>(Sheet1!P313)</f>
        <v>Dealer</v>
      </c>
    </row>
    <row r="314">
      <c r="A314" s="25" t="str">
        <f>(Sheet1!A314)</f>
        <v>1HFkcA0tba7UnCoWEw5R4dohMFqwhpltBBsuWOiWeruA</v>
      </c>
      <c r="B314" s="25" t="str">
        <f>(Sheet1!B314)</f>
        <v>LAKHVINDRA KASHIPUR</v>
      </c>
      <c r="C314" s="30" t="str">
        <f>Sheet1!BB314</f>
        <v>No</v>
      </c>
      <c r="D314" s="30" t="s">
        <v>13</v>
      </c>
      <c r="E314" s="34" t="s">
        <v>13</v>
      </c>
      <c r="F314" s="34" t="s">
        <v>3929</v>
      </c>
      <c r="G314" s="42" t="s">
        <v>3854</v>
      </c>
      <c r="H314" s="43">
        <v>460.0</v>
      </c>
      <c r="I314" s="42" t="s">
        <v>3853</v>
      </c>
      <c r="J314" s="43">
        <v>20.0</v>
      </c>
      <c r="K314" s="43">
        <v>60.0</v>
      </c>
      <c r="L314" s="43">
        <v>20.0</v>
      </c>
      <c r="M314" s="43">
        <v>20.0</v>
      </c>
      <c r="N314" s="33">
        <f>COUNTIFS('Data For Calculation - Insuranc'!A:A,A314,'Data For Calculation - Insuranc'!D:D,"Individual",'Data For Calculation - Insuranc'!E:E,"Bundled - 1 Year OD + 5 Year TP")</f>
        <v>0</v>
      </c>
      <c r="O314" s="34" t="s">
        <v>3930</v>
      </c>
      <c r="P314" s="42" t="s">
        <v>3854</v>
      </c>
      <c r="Q314" s="43">
        <v>460.0</v>
      </c>
      <c r="R314" s="42" t="s">
        <v>3853</v>
      </c>
      <c r="S314" s="43">
        <v>20.0</v>
      </c>
      <c r="T314" s="43">
        <v>60.0</v>
      </c>
      <c r="U314" s="43">
        <v>20.0</v>
      </c>
      <c r="V314" s="43">
        <v>20.0</v>
      </c>
      <c r="W314" s="33">
        <f>COUNTIFS('Data For Calculation - Insuranc'!A:A,A314,'Data For Calculation - Insuranc'!D:D,"Company",'Data For Calculation - Insuranc'!E:E,"Bundled - 1 Year OD + 5 Year TP")</f>
        <v>0</v>
      </c>
      <c r="X314" s="34" t="s">
        <v>3929</v>
      </c>
      <c r="Y314" s="42" t="s">
        <v>3854</v>
      </c>
      <c r="Z314" s="31">
        <v>290.0</v>
      </c>
      <c r="AA314" s="34" t="s">
        <v>3853</v>
      </c>
      <c r="AB314" s="34">
        <v>0.0</v>
      </c>
      <c r="AC314" s="34">
        <v>100.0</v>
      </c>
      <c r="AD314" s="34">
        <v>0.0</v>
      </c>
      <c r="AE314" s="34">
        <v>0.0</v>
      </c>
      <c r="AF314" s="33">
        <f>COUNTIFS('Data For Calculation - Insuranc'!A:A,A314,'Data For Calculation - Insuranc'!D:D,"Individual",'Data For Calculation - Insuranc'!E:E,"Rollover Comprehensive - 1 Year OD + 1 Year TP")</f>
        <v>0</v>
      </c>
      <c r="AG314" s="34" t="s">
        <v>3930</v>
      </c>
      <c r="AH314" s="42" t="s">
        <v>3854</v>
      </c>
      <c r="AI314" s="31">
        <v>290.0</v>
      </c>
      <c r="AJ314" s="34" t="s">
        <v>3853</v>
      </c>
      <c r="AK314" s="34">
        <v>0.0</v>
      </c>
      <c r="AL314" s="34">
        <v>100.0</v>
      </c>
      <c r="AM314" s="34">
        <v>0.0</v>
      </c>
      <c r="AN314" s="34">
        <v>0.0</v>
      </c>
      <c r="AO314" s="33">
        <f>COUNTIFS('Data For Calculation - Insuranc'!A:A,A314,'Data For Calculation - Insuranc'!D:D,"Company",'Data For Calculation - Insuranc'!E:E,"Rollover Comprehensive - 1 Year OD + 1 Year TP")</f>
        <v>0</v>
      </c>
      <c r="AP314" s="34" t="s">
        <v>3931</v>
      </c>
      <c r="AQ314" s="42" t="s">
        <v>3854</v>
      </c>
      <c r="AR314" s="31">
        <v>290.0</v>
      </c>
      <c r="AS314" s="34" t="s">
        <v>3853</v>
      </c>
      <c r="AT314" s="34">
        <v>0.0</v>
      </c>
      <c r="AU314" s="34">
        <v>100.0</v>
      </c>
      <c r="AV314" s="34">
        <v>0.0</v>
      </c>
      <c r="AW314" s="34">
        <v>0.0</v>
      </c>
      <c r="AX314" s="33">
        <f>COUNTIFS('Data For Calculation - Insuranc'!A:A,A314,'Data For Calculation - Insuranc'!D:D,"Individual",'Data For Calculation - Insuranc'!E:E,"Rollover - 1 Year OD Only")</f>
        <v>0</v>
      </c>
      <c r="AY314" s="34" t="s">
        <v>3932</v>
      </c>
      <c r="AZ314" s="42" t="s">
        <v>3854</v>
      </c>
      <c r="BA314" s="31">
        <v>290.0</v>
      </c>
      <c r="BB314" s="34" t="s">
        <v>3853</v>
      </c>
      <c r="BC314" s="34">
        <v>0.0</v>
      </c>
      <c r="BD314" s="34">
        <v>100.0</v>
      </c>
      <c r="BE314" s="34">
        <v>0.0</v>
      </c>
      <c r="BF314" s="34">
        <v>0.0</v>
      </c>
      <c r="BG314" s="33">
        <f>COUNTIFS('Data For Calculation - Insuranc'!A:A,A314,'Data For Calculation - Insuranc'!D:D,"Company",'Data For Calculation - Insuranc'!E:E,"Rollover - 1 Year OD Only")</f>
        <v>0</v>
      </c>
      <c r="BH314" s="34" t="s">
        <v>3931</v>
      </c>
      <c r="BI314" s="42" t="s">
        <v>3854</v>
      </c>
      <c r="BJ314" s="31">
        <v>290.0</v>
      </c>
      <c r="BK314" s="34" t="s">
        <v>3853</v>
      </c>
      <c r="BL314" s="34">
        <v>0.0</v>
      </c>
      <c r="BM314" s="34">
        <v>100.0</v>
      </c>
      <c r="BN314" s="34">
        <v>0.0</v>
      </c>
      <c r="BO314" s="34">
        <v>0.0</v>
      </c>
      <c r="BP314" s="33">
        <f>COUNTIFS('Data For Calculation - Insuranc'!A:A,A314,'Data For Calculation - Insuranc'!D:D,"Individual",'Data For Calculation - Insuranc'!E:E,"Rollover - 1 Year TP Only")</f>
        <v>0</v>
      </c>
      <c r="BQ314" s="34" t="s">
        <v>3932</v>
      </c>
      <c r="BR314" s="42" t="s">
        <v>3854</v>
      </c>
      <c r="BS314" s="31">
        <v>290.0</v>
      </c>
      <c r="BT314" s="34" t="s">
        <v>3853</v>
      </c>
      <c r="BU314" s="34">
        <v>0.0</v>
      </c>
      <c r="BV314" s="34">
        <v>100.0</v>
      </c>
      <c r="BW314" s="34">
        <v>0.0</v>
      </c>
      <c r="BX314" s="34">
        <v>0.0</v>
      </c>
      <c r="BY314" s="33">
        <f>COUNTIFS('Data For Calculation - Insuranc'!A:A,A314,'Data For Calculation - Insuranc'!D:D,"Company",'Data For Calculation - Insuranc'!E:E,"Rollover - 1 Year TP Only")</f>
        <v>0</v>
      </c>
      <c r="BZ314" s="31">
        <f t="shared" si="1"/>
        <v>0</v>
      </c>
      <c r="CA314" s="33">
        <f>SUMIFS('Data For Calculation - Insuranc'!I:I,'Data For Calculation - Insuranc'!$A:$A,$A314)</f>
        <v>0</v>
      </c>
      <c r="CB314" s="33">
        <f>SUMIFS('Data For Calculation - Insuranc'!J:J,'Data For Calculation - Insuranc'!$A:$A,$A314)</f>
        <v>0</v>
      </c>
      <c r="CC314" s="33">
        <f>SUMIFS('Data For Calculation - Insuranc'!K:K,'Data For Calculation - Insuranc'!$A:$A,$A314)</f>
        <v>0</v>
      </c>
      <c r="CD314" s="33">
        <f>IF($CK314 = "Dealer", SUMIFS('Data For Calculation - Insuranc'!I:I,'Data For Calculation - Insuranc'!$B:$B,$A314,'Data For Calculation - Insuranc'!$H:$H,"Master Dealer")) + SUMIFS('Data For Calculation - Insuranc'!I:I,'Data For Calculation - Insuranc'!$A:$A,$A314,'Data For Calculation - Insuranc'!$H:$H,"Self")</f>
        <v>0</v>
      </c>
      <c r="CE314" s="33">
        <f>IF($CK314 = "Dealer", SUMIFS('Data For Calculation - Insuranc'!J:J,'Data For Calculation - Insuranc'!$B:$B,$A314,'Data For Calculation - Insuranc'!$H:$H,"Master Dealer")) + SUMIFS('Data For Calculation - Insuranc'!J:J,'Data For Calculation - Insuranc'!$A:$A,$A314,'Data For Calculation - Insuranc'!$H:$H,"Self")</f>
        <v>0</v>
      </c>
      <c r="CF314" s="33">
        <f>IF($CK314 = "Dealer", SUMIFS('Data For Calculation - Insuranc'!K:K,'Data For Calculation - Insuranc'!$B:$B,$A314,'Data For Calculation - Insuranc'!$H:$H,"Master Dealer")) + SUMIFS('Data For Calculation - Insuranc'!K:K,'Data For Calculation - Insuranc'!$A:$A,$A314,'Data For Calculation - Insuranc'!$H:$H,"Self")</f>
        <v>0</v>
      </c>
      <c r="CG314" s="25" t="str">
        <f>(Sheet1!N314)</f>
        <v>LAKHVINDRA KASHIPUR</v>
      </c>
      <c r="CH314" s="25" t="str">
        <f>(Sheet1!O314)</f>
        <v>1HFkcA0tba7UnCoWEw5R4dohMFqwhpltBBsuWOiWeruA</v>
      </c>
      <c r="CI314" s="25" t="str">
        <f>(Sheet1!AV314)</f>
        <v/>
      </c>
      <c r="CJ314" s="25" t="str">
        <f>(Sheet1!AW314)</f>
        <v/>
      </c>
      <c r="CK314" s="26" t="str">
        <f>(Sheet1!P314)</f>
        <v>Dealer</v>
      </c>
    </row>
    <row r="315">
      <c r="A315" s="25" t="str">
        <f>(Sheet1!A315)</f>
        <v>1F9NONXieHjy77H-04YnZVq6s_JxwTeglgZrjTuG8YVo</v>
      </c>
      <c r="B315" s="25" t="str">
        <f>(Sheet1!B315)</f>
        <v>INDER HONDA-KASHIPUR</v>
      </c>
      <c r="C315" s="30" t="str">
        <f>Sheet1!BB315</f>
        <v>No</v>
      </c>
      <c r="D315" s="30" t="s">
        <v>13</v>
      </c>
      <c r="E315" s="34" t="s">
        <v>13</v>
      </c>
      <c r="F315" s="34" t="s">
        <v>3929</v>
      </c>
      <c r="G315" s="42" t="s">
        <v>3854</v>
      </c>
      <c r="H315" s="43">
        <v>460.0</v>
      </c>
      <c r="I315" s="42" t="s">
        <v>3853</v>
      </c>
      <c r="J315" s="43">
        <v>20.0</v>
      </c>
      <c r="K315" s="43">
        <v>60.0</v>
      </c>
      <c r="L315" s="43">
        <v>20.0</v>
      </c>
      <c r="M315" s="43">
        <v>20.0</v>
      </c>
      <c r="N315" s="33">
        <f>COUNTIFS('Data For Calculation - Insuranc'!A:A,A315,'Data For Calculation - Insuranc'!D:D,"Individual",'Data For Calculation - Insuranc'!E:E,"Bundled - 1 Year OD + 5 Year TP")</f>
        <v>0</v>
      </c>
      <c r="O315" s="34" t="s">
        <v>3930</v>
      </c>
      <c r="P315" s="42" t="s">
        <v>3854</v>
      </c>
      <c r="Q315" s="43">
        <v>460.0</v>
      </c>
      <c r="R315" s="42" t="s">
        <v>3853</v>
      </c>
      <c r="S315" s="43">
        <v>20.0</v>
      </c>
      <c r="T315" s="43">
        <v>60.0</v>
      </c>
      <c r="U315" s="43">
        <v>20.0</v>
      </c>
      <c r="V315" s="43">
        <v>20.0</v>
      </c>
      <c r="W315" s="33">
        <f>COUNTIFS('Data For Calculation - Insuranc'!A:A,A315,'Data For Calculation - Insuranc'!D:D,"Company",'Data For Calculation - Insuranc'!E:E,"Bundled - 1 Year OD + 5 Year TP")</f>
        <v>0</v>
      </c>
      <c r="X315" s="34" t="s">
        <v>3929</v>
      </c>
      <c r="Y315" s="42" t="s">
        <v>3854</v>
      </c>
      <c r="Z315" s="31">
        <v>290.0</v>
      </c>
      <c r="AA315" s="34" t="s">
        <v>3853</v>
      </c>
      <c r="AB315" s="34">
        <v>0.0</v>
      </c>
      <c r="AC315" s="34">
        <v>100.0</v>
      </c>
      <c r="AD315" s="34">
        <v>0.0</v>
      </c>
      <c r="AE315" s="34">
        <v>0.0</v>
      </c>
      <c r="AF315" s="33">
        <f>COUNTIFS('Data For Calculation - Insuranc'!A:A,A315,'Data For Calculation - Insuranc'!D:D,"Individual",'Data For Calculation - Insuranc'!E:E,"Rollover Comprehensive - 1 Year OD + 1 Year TP")</f>
        <v>0</v>
      </c>
      <c r="AG315" s="34" t="s">
        <v>3930</v>
      </c>
      <c r="AH315" s="42" t="s">
        <v>3854</v>
      </c>
      <c r="AI315" s="31">
        <v>290.0</v>
      </c>
      <c r="AJ315" s="34" t="s">
        <v>3853</v>
      </c>
      <c r="AK315" s="34">
        <v>0.0</v>
      </c>
      <c r="AL315" s="34">
        <v>100.0</v>
      </c>
      <c r="AM315" s="34">
        <v>0.0</v>
      </c>
      <c r="AN315" s="34">
        <v>0.0</v>
      </c>
      <c r="AO315" s="33">
        <f>COUNTIFS('Data For Calculation - Insuranc'!A:A,A315,'Data For Calculation - Insuranc'!D:D,"Company",'Data For Calculation - Insuranc'!E:E,"Rollover Comprehensive - 1 Year OD + 1 Year TP")</f>
        <v>0</v>
      </c>
      <c r="AP315" s="34" t="s">
        <v>3931</v>
      </c>
      <c r="AQ315" s="42" t="s">
        <v>3854</v>
      </c>
      <c r="AR315" s="31">
        <v>290.0</v>
      </c>
      <c r="AS315" s="34" t="s">
        <v>3853</v>
      </c>
      <c r="AT315" s="34">
        <v>0.0</v>
      </c>
      <c r="AU315" s="34">
        <v>100.0</v>
      </c>
      <c r="AV315" s="34">
        <v>0.0</v>
      </c>
      <c r="AW315" s="34">
        <v>0.0</v>
      </c>
      <c r="AX315" s="33">
        <f>COUNTIFS('Data For Calculation - Insuranc'!A:A,A315,'Data For Calculation - Insuranc'!D:D,"Individual",'Data For Calculation - Insuranc'!E:E,"Rollover - 1 Year OD Only")</f>
        <v>0</v>
      </c>
      <c r="AY315" s="34" t="s">
        <v>3932</v>
      </c>
      <c r="AZ315" s="42" t="s">
        <v>3854</v>
      </c>
      <c r="BA315" s="31">
        <v>290.0</v>
      </c>
      <c r="BB315" s="34" t="s">
        <v>3853</v>
      </c>
      <c r="BC315" s="34">
        <v>0.0</v>
      </c>
      <c r="BD315" s="34">
        <v>100.0</v>
      </c>
      <c r="BE315" s="34">
        <v>0.0</v>
      </c>
      <c r="BF315" s="34">
        <v>0.0</v>
      </c>
      <c r="BG315" s="33">
        <f>COUNTIFS('Data For Calculation - Insuranc'!A:A,A315,'Data For Calculation - Insuranc'!D:D,"Company",'Data For Calculation - Insuranc'!E:E,"Rollover - 1 Year OD Only")</f>
        <v>0</v>
      </c>
      <c r="BH315" s="34" t="s">
        <v>3931</v>
      </c>
      <c r="BI315" s="42" t="s">
        <v>3854</v>
      </c>
      <c r="BJ315" s="31">
        <v>290.0</v>
      </c>
      <c r="BK315" s="34" t="s">
        <v>3853</v>
      </c>
      <c r="BL315" s="34">
        <v>0.0</v>
      </c>
      <c r="BM315" s="34">
        <v>100.0</v>
      </c>
      <c r="BN315" s="34">
        <v>0.0</v>
      </c>
      <c r="BO315" s="34">
        <v>0.0</v>
      </c>
      <c r="BP315" s="33">
        <f>COUNTIFS('Data For Calculation - Insuranc'!A:A,A315,'Data For Calculation - Insuranc'!D:D,"Individual",'Data For Calculation - Insuranc'!E:E,"Rollover - 1 Year TP Only")</f>
        <v>0</v>
      </c>
      <c r="BQ315" s="34" t="s">
        <v>3932</v>
      </c>
      <c r="BR315" s="42" t="s">
        <v>3854</v>
      </c>
      <c r="BS315" s="31">
        <v>290.0</v>
      </c>
      <c r="BT315" s="34" t="s">
        <v>3853</v>
      </c>
      <c r="BU315" s="34">
        <v>0.0</v>
      </c>
      <c r="BV315" s="34">
        <v>100.0</v>
      </c>
      <c r="BW315" s="34">
        <v>0.0</v>
      </c>
      <c r="BX315" s="34">
        <v>0.0</v>
      </c>
      <c r="BY315" s="33">
        <f>COUNTIFS('Data For Calculation - Insuranc'!A:A,A315,'Data For Calculation - Insuranc'!D:D,"Company",'Data For Calculation - Insuranc'!E:E,"Rollover - 1 Year TP Only")</f>
        <v>0</v>
      </c>
      <c r="BZ315" s="31">
        <f t="shared" si="1"/>
        <v>0</v>
      </c>
      <c r="CA315" s="33">
        <f>SUMIFS('Data For Calculation - Insuranc'!I:I,'Data For Calculation - Insuranc'!$A:$A,$A315)</f>
        <v>0</v>
      </c>
      <c r="CB315" s="33">
        <f>SUMIFS('Data For Calculation - Insuranc'!J:J,'Data For Calculation - Insuranc'!$A:$A,$A315)</f>
        <v>0</v>
      </c>
      <c r="CC315" s="33">
        <f>SUMIFS('Data For Calculation - Insuranc'!K:K,'Data For Calculation - Insuranc'!$A:$A,$A315)</f>
        <v>0</v>
      </c>
      <c r="CD315" s="33">
        <f>IF($CK315 = "Dealer", SUMIFS('Data For Calculation - Insuranc'!I:I,'Data For Calculation - Insuranc'!$B:$B,$A315,'Data For Calculation - Insuranc'!$H:$H,"Master Dealer")) + SUMIFS('Data For Calculation - Insuranc'!I:I,'Data For Calculation - Insuranc'!$A:$A,$A315,'Data For Calculation - Insuranc'!$H:$H,"Self")</f>
        <v>0</v>
      </c>
      <c r="CE315" s="33">
        <f>IF($CK315 = "Dealer", SUMIFS('Data For Calculation - Insuranc'!J:J,'Data For Calculation - Insuranc'!$B:$B,$A315,'Data For Calculation - Insuranc'!$H:$H,"Master Dealer")) + SUMIFS('Data For Calculation - Insuranc'!J:J,'Data For Calculation - Insuranc'!$A:$A,$A315,'Data For Calculation - Insuranc'!$H:$H,"Self")</f>
        <v>0</v>
      </c>
      <c r="CF315" s="33">
        <f>IF($CK315 = "Dealer", SUMIFS('Data For Calculation - Insuranc'!K:K,'Data For Calculation - Insuranc'!$B:$B,$A315,'Data For Calculation - Insuranc'!$H:$H,"Master Dealer")) + SUMIFS('Data For Calculation - Insuranc'!K:K,'Data For Calculation - Insuranc'!$A:$A,$A315,'Data For Calculation - Insuranc'!$H:$H,"Self")</f>
        <v>0</v>
      </c>
      <c r="CG315" s="25" t="str">
        <f>(Sheet1!N315)</f>
        <v>INDER HONDA-KASHIPUR</v>
      </c>
      <c r="CH315" s="25" t="str">
        <f>(Sheet1!O315)</f>
        <v>1F9NONXieHjy77H-04YnZVq6s_JxwTeglgZrjTuG8YVo</v>
      </c>
      <c r="CI315" s="25" t="str">
        <f>(Sheet1!AV315)</f>
        <v/>
      </c>
      <c r="CJ315" s="25" t="str">
        <f>(Sheet1!AW315)</f>
        <v/>
      </c>
      <c r="CK315" s="26" t="str">
        <f>(Sheet1!P315)</f>
        <v>Dealer</v>
      </c>
    </row>
    <row r="316">
      <c r="A316" s="25" t="str">
        <f>(Sheet1!A316)</f>
        <v>1-ndxJp3oX17jCcSgSWUUGvqzyoVAJHZBrfGcG-qChjg</v>
      </c>
      <c r="B316" s="25" t="str">
        <f>(Sheet1!B316)</f>
        <v>KHADKA G AUTOMOBILE- AHMEDABAD</v>
      </c>
      <c r="C316" s="30" t="str">
        <f>Sheet1!BB316</f>
        <v>No</v>
      </c>
      <c r="D316" s="30" t="s">
        <v>13</v>
      </c>
      <c r="E316" s="34" t="s">
        <v>13</v>
      </c>
      <c r="F316" s="34" t="s">
        <v>3929</v>
      </c>
      <c r="G316" s="42" t="s">
        <v>3854</v>
      </c>
      <c r="H316" s="43">
        <v>460.0</v>
      </c>
      <c r="I316" s="42" t="s">
        <v>3853</v>
      </c>
      <c r="J316" s="43">
        <v>20.0</v>
      </c>
      <c r="K316" s="43">
        <v>60.0</v>
      </c>
      <c r="L316" s="43">
        <v>20.0</v>
      </c>
      <c r="M316" s="43">
        <v>20.0</v>
      </c>
      <c r="N316" s="33">
        <f>COUNTIFS('Data For Calculation - Insuranc'!A:A,A316,'Data For Calculation - Insuranc'!D:D,"Individual",'Data For Calculation - Insuranc'!E:E,"Bundled - 1 Year OD + 5 Year TP")</f>
        <v>0</v>
      </c>
      <c r="O316" s="34" t="s">
        <v>3930</v>
      </c>
      <c r="P316" s="42" t="s">
        <v>3854</v>
      </c>
      <c r="Q316" s="43">
        <v>460.0</v>
      </c>
      <c r="R316" s="42" t="s">
        <v>3853</v>
      </c>
      <c r="S316" s="43">
        <v>20.0</v>
      </c>
      <c r="T316" s="43">
        <v>60.0</v>
      </c>
      <c r="U316" s="43">
        <v>20.0</v>
      </c>
      <c r="V316" s="43">
        <v>20.0</v>
      </c>
      <c r="W316" s="33">
        <f>COUNTIFS('Data For Calculation - Insuranc'!A:A,A316,'Data For Calculation - Insuranc'!D:D,"Company",'Data For Calculation - Insuranc'!E:E,"Bundled - 1 Year OD + 5 Year TP")</f>
        <v>0</v>
      </c>
      <c r="X316" s="34" t="s">
        <v>3929</v>
      </c>
      <c r="Y316" s="42" t="s">
        <v>3854</v>
      </c>
      <c r="Z316" s="31">
        <v>290.0</v>
      </c>
      <c r="AA316" s="34" t="s">
        <v>3853</v>
      </c>
      <c r="AB316" s="34">
        <v>0.0</v>
      </c>
      <c r="AC316" s="34">
        <v>100.0</v>
      </c>
      <c r="AD316" s="34">
        <v>0.0</v>
      </c>
      <c r="AE316" s="34">
        <v>0.0</v>
      </c>
      <c r="AF316" s="33">
        <f>COUNTIFS('Data For Calculation - Insuranc'!A:A,A316,'Data For Calculation - Insuranc'!D:D,"Individual",'Data For Calculation - Insuranc'!E:E,"Rollover Comprehensive - 1 Year OD + 1 Year TP")</f>
        <v>0</v>
      </c>
      <c r="AG316" s="34" t="s">
        <v>3930</v>
      </c>
      <c r="AH316" s="42" t="s">
        <v>3854</v>
      </c>
      <c r="AI316" s="31">
        <v>290.0</v>
      </c>
      <c r="AJ316" s="34" t="s">
        <v>3853</v>
      </c>
      <c r="AK316" s="34">
        <v>0.0</v>
      </c>
      <c r="AL316" s="34">
        <v>100.0</v>
      </c>
      <c r="AM316" s="34">
        <v>0.0</v>
      </c>
      <c r="AN316" s="34">
        <v>0.0</v>
      </c>
      <c r="AO316" s="33">
        <f>COUNTIFS('Data For Calculation - Insuranc'!A:A,A316,'Data For Calculation - Insuranc'!D:D,"Company",'Data For Calculation - Insuranc'!E:E,"Rollover Comprehensive - 1 Year OD + 1 Year TP")</f>
        <v>0</v>
      </c>
      <c r="AP316" s="34" t="s">
        <v>3931</v>
      </c>
      <c r="AQ316" s="42" t="s">
        <v>3854</v>
      </c>
      <c r="AR316" s="31">
        <v>290.0</v>
      </c>
      <c r="AS316" s="34" t="s">
        <v>3853</v>
      </c>
      <c r="AT316" s="34">
        <v>0.0</v>
      </c>
      <c r="AU316" s="34">
        <v>100.0</v>
      </c>
      <c r="AV316" s="34">
        <v>0.0</v>
      </c>
      <c r="AW316" s="34">
        <v>0.0</v>
      </c>
      <c r="AX316" s="33">
        <f>COUNTIFS('Data For Calculation - Insuranc'!A:A,A316,'Data For Calculation - Insuranc'!D:D,"Individual",'Data For Calculation - Insuranc'!E:E,"Rollover - 1 Year OD Only")</f>
        <v>0</v>
      </c>
      <c r="AY316" s="34" t="s">
        <v>3932</v>
      </c>
      <c r="AZ316" s="42" t="s">
        <v>3854</v>
      </c>
      <c r="BA316" s="31">
        <v>290.0</v>
      </c>
      <c r="BB316" s="34" t="s">
        <v>3853</v>
      </c>
      <c r="BC316" s="34">
        <v>0.0</v>
      </c>
      <c r="BD316" s="34">
        <v>100.0</v>
      </c>
      <c r="BE316" s="34">
        <v>0.0</v>
      </c>
      <c r="BF316" s="34">
        <v>0.0</v>
      </c>
      <c r="BG316" s="33">
        <f>COUNTIFS('Data For Calculation - Insuranc'!A:A,A316,'Data For Calculation - Insuranc'!D:D,"Company",'Data For Calculation - Insuranc'!E:E,"Rollover - 1 Year OD Only")</f>
        <v>0</v>
      </c>
      <c r="BH316" s="34" t="s">
        <v>3931</v>
      </c>
      <c r="BI316" s="42" t="s">
        <v>3854</v>
      </c>
      <c r="BJ316" s="31">
        <v>290.0</v>
      </c>
      <c r="BK316" s="34" t="s">
        <v>3853</v>
      </c>
      <c r="BL316" s="34">
        <v>0.0</v>
      </c>
      <c r="BM316" s="34">
        <v>100.0</v>
      </c>
      <c r="BN316" s="34">
        <v>0.0</v>
      </c>
      <c r="BO316" s="34">
        <v>0.0</v>
      </c>
      <c r="BP316" s="33">
        <f>COUNTIFS('Data For Calculation - Insuranc'!A:A,A316,'Data For Calculation - Insuranc'!D:D,"Individual",'Data For Calculation - Insuranc'!E:E,"Rollover - 1 Year TP Only")</f>
        <v>0</v>
      </c>
      <c r="BQ316" s="34" t="s">
        <v>3932</v>
      </c>
      <c r="BR316" s="42" t="s">
        <v>3854</v>
      </c>
      <c r="BS316" s="31">
        <v>290.0</v>
      </c>
      <c r="BT316" s="34" t="s">
        <v>3853</v>
      </c>
      <c r="BU316" s="34">
        <v>0.0</v>
      </c>
      <c r="BV316" s="34">
        <v>100.0</v>
      </c>
      <c r="BW316" s="34">
        <v>0.0</v>
      </c>
      <c r="BX316" s="34">
        <v>0.0</v>
      </c>
      <c r="BY316" s="33">
        <f>COUNTIFS('Data For Calculation - Insuranc'!A:A,A316,'Data For Calculation - Insuranc'!D:D,"Company",'Data For Calculation - Insuranc'!E:E,"Rollover - 1 Year TP Only")</f>
        <v>0</v>
      </c>
      <c r="BZ316" s="31">
        <f t="shared" si="1"/>
        <v>0</v>
      </c>
      <c r="CA316" s="33">
        <f>SUMIFS('Data For Calculation - Insuranc'!I:I,'Data For Calculation - Insuranc'!$A:$A,$A316)</f>
        <v>0</v>
      </c>
      <c r="CB316" s="33">
        <f>SUMIFS('Data For Calculation - Insuranc'!J:J,'Data For Calculation - Insuranc'!$A:$A,$A316)</f>
        <v>0</v>
      </c>
      <c r="CC316" s="33">
        <f>SUMIFS('Data For Calculation - Insuranc'!K:K,'Data For Calculation - Insuranc'!$A:$A,$A316)</f>
        <v>0</v>
      </c>
      <c r="CD316" s="33">
        <f>IF($CK316 = "Dealer", SUMIFS('Data For Calculation - Insuranc'!I:I,'Data For Calculation - Insuranc'!$B:$B,$A316,'Data For Calculation - Insuranc'!$H:$H,"Master Dealer")) + SUMIFS('Data For Calculation - Insuranc'!I:I,'Data For Calculation - Insuranc'!$A:$A,$A316,'Data For Calculation - Insuranc'!$H:$H,"Self")</f>
        <v>0</v>
      </c>
      <c r="CE316" s="33">
        <f>IF($CK316 = "Dealer", SUMIFS('Data For Calculation - Insuranc'!J:J,'Data For Calculation - Insuranc'!$B:$B,$A316,'Data For Calculation - Insuranc'!$H:$H,"Master Dealer")) + SUMIFS('Data For Calculation - Insuranc'!J:J,'Data For Calculation - Insuranc'!$A:$A,$A316,'Data For Calculation - Insuranc'!$H:$H,"Self")</f>
        <v>0</v>
      </c>
      <c r="CF316" s="33">
        <f>IF($CK316 = "Dealer", SUMIFS('Data For Calculation - Insuranc'!K:K,'Data For Calculation - Insuranc'!$B:$B,$A316,'Data For Calculation - Insuranc'!$H:$H,"Master Dealer")) + SUMIFS('Data For Calculation - Insuranc'!K:K,'Data For Calculation - Insuranc'!$A:$A,$A316,'Data For Calculation - Insuranc'!$H:$H,"Self")</f>
        <v>0</v>
      </c>
      <c r="CG316" s="25" t="str">
        <f>(Sheet1!N316)</f>
        <v>KHADKA G AUTOMOBILE- AHMEDABAD</v>
      </c>
      <c r="CH316" s="25" t="str">
        <f>(Sheet1!O316)</f>
        <v>1-ndxJp3oX17jCcSgSWUUGvqzyoVAJHZBrfGcG-qChjg</v>
      </c>
      <c r="CI316" s="25" t="str">
        <f>(Sheet1!AV316)</f>
        <v/>
      </c>
      <c r="CJ316" s="25" t="str">
        <f>(Sheet1!AW316)</f>
        <v/>
      </c>
      <c r="CK316" s="26" t="str">
        <f>(Sheet1!P316)</f>
        <v>Dealer</v>
      </c>
    </row>
    <row r="317">
      <c r="A317" s="25" t="str">
        <f>(Sheet1!A317)</f>
        <v>1HzstXOBJIBMFHwYm7RpvmCIhHH60rtXQ81VHl3OF7OM</v>
      </c>
      <c r="B317" s="25" t="str">
        <f>(Sheet1!B317)</f>
        <v>SHIVANI MOTORS- ALLAHABAD</v>
      </c>
      <c r="C317" s="30" t="str">
        <f>Sheet1!BB317</f>
        <v>No</v>
      </c>
      <c r="D317" s="30" t="s">
        <v>13</v>
      </c>
      <c r="E317" s="34" t="s">
        <v>13</v>
      </c>
      <c r="F317" s="34" t="s">
        <v>3929</v>
      </c>
      <c r="G317" s="42" t="s">
        <v>3854</v>
      </c>
      <c r="H317" s="43">
        <v>460.0</v>
      </c>
      <c r="I317" s="42" t="s">
        <v>3853</v>
      </c>
      <c r="J317" s="43">
        <v>20.0</v>
      </c>
      <c r="K317" s="43">
        <v>60.0</v>
      </c>
      <c r="L317" s="43">
        <v>20.0</v>
      </c>
      <c r="M317" s="43">
        <v>20.0</v>
      </c>
      <c r="N317" s="33">
        <f>COUNTIFS('Data For Calculation - Insuranc'!A:A,A317,'Data For Calculation - Insuranc'!D:D,"Individual",'Data For Calculation - Insuranc'!E:E,"Bundled - 1 Year OD + 5 Year TP")</f>
        <v>0</v>
      </c>
      <c r="O317" s="34" t="s">
        <v>3930</v>
      </c>
      <c r="P317" s="42" t="s">
        <v>3854</v>
      </c>
      <c r="Q317" s="43">
        <v>460.0</v>
      </c>
      <c r="R317" s="42" t="s">
        <v>3853</v>
      </c>
      <c r="S317" s="43">
        <v>20.0</v>
      </c>
      <c r="T317" s="43">
        <v>60.0</v>
      </c>
      <c r="U317" s="43">
        <v>20.0</v>
      </c>
      <c r="V317" s="43">
        <v>20.0</v>
      </c>
      <c r="W317" s="33">
        <f>COUNTIFS('Data For Calculation - Insuranc'!A:A,A317,'Data For Calculation - Insuranc'!D:D,"Company",'Data For Calculation - Insuranc'!E:E,"Bundled - 1 Year OD + 5 Year TP")</f>
        <v>0</v>
      </c>
      <c r="X317" s="34" t="s">
        <v>3929</v>
      </c>
      <c r="Y317" s="42" t="s">
        <v>3854</v>
      </c>
      <c r="Z317" s="31">
        <v>290.0</v>
      </c>
      <c r="AA317" s="34" t="s">
        <v>3853</v>
      </c>
      <c r="AB317" s="34">
        <v>0.0</v>
      </c>
      <c r="AC317" s="34">
        <v>100.0</v>
      </c>
      <c r="AD317" s="34">
        <v>0.0</v>
      </c>
      <c r="AE317" s="34">
        <v>0.0</v>
      </c>
      <c r="AF317" s="33">
        <f>COUNTIFS('Data For Calculation - Insuranc'!A:A,A317,'Data For Calculation - Insuranc'!D:D,"Individual",'Data For Calculation - Insuranc'!E:E,"Rollover Comprehensive - 1 Year OD + 1 Year TP")</f>
        <v>0</v>
      </c>
      <c r="AG317" s="34" t="s">
        <v>3930</v>
      </c>
      <c r="AH317" s="42" t="s">
        <v>3854</v>
      </c>
      <c r="AI317" s="31">
        <v>290.0</v>
      </c>
      <c r="AJ317" s="34" t="s">
        <v>3853</v>
      </c>
      <c r="AK317" s="34">
        <v>0.0</v>
      </c>
      <c r="AL317" s="34">
        <v>100.0</v>
      </c>
      <c r="AM317" s="34">
        <v>0.0</v>
      </c>
      <c r="AN317" s="34">
        <v>0.0</v>
      </c>
      <c r="AO317" s="33">
        <f>COUNTIFS('Data For Calculation - Insuranc'!A:A,A317,'Data For Calculation - Insuranc'!D:D,"Company",'Data For Calculation - Insuranc'!E:E,"Rollover Comprehensive - 1 Year OD + 1 Year TP")</f>
        <v>0</v>
      </c>
      <c r="AP317" s="34" t="s">
        <v>3931</v>
      </c>
      <c r="AQ317" s="42" t="s">
        <v>3854</v>
      </c>
      <c r="AR317" s="31">
        <v>290.0</v>
      </c>
      <c r="AS317" s="34" t="s">
        <v>3853</v>
      </c>
      <c r="AT317" s="34">
        <v>0.0</v>
      </c>
      <c r="AU317" s="34">
        <v>100.0</v>
      </c>
      <c r="AV317" s="34">
        <v>0.0</v>
      </c>
      <c r="AW317" s="34">
        <v>0.0</v>
      </c>
      <c r="AX317" s="33">
        <f>COUNTIFS('Data For Calculation - Insuranc'!A:A,A317,'Data For Calculation - Insuranc'!D:D,"Individual",'Data For Calculation - Insuranc'!E:E,"Rollover - 1 Year OD Only")</f>
        <v>0</v>
      </c>
      <c r="AY317" s="34" t="s">
        <v>3932</v>
      </c>
      <c r="AZ317" s="42" t="s">
        <v>3854</v>
      </c>
      <c r="BA317" s="31">
        <v>290.0</v>
      </c>
      <c r="BB317" s="34" t="s">
        <v>3853</v>
      </c>
      <c r="BC317" s="34">
        <v>0.0</v>
      </c>
      <c r="BD317" s="34">
        <v>100.0</v>
      </c>
      <c r="BE317" s="34">
        <v>0.0</v>
      </c>
      <c r="BF317" s="34">
        <v>0.0</v>
      </c>
      <c r="BG317" s="33">
        <f>COUNTIFS('Data For Calculation - Insuranc'!A:A,A317,'Data For Calculation - Insuranc'!D:D,"Company",'Data For Calculation - Insuranc'!E:E,"Rollover - 1 Year OD Only")</f>
        <v>0</v>
      </c>
      <c r="BH317" s="34" t="s">
        <v>3931</v>
      </c>
      <c r="BI317" s="42" t="s">
        <v>3854</v>
      </c>
      <c r="BJ317" s="31">
        <v>290.0</v>
      </c>
      <c r="BK317" s="34" t="s">
        <v>3853</v>
      </c>
      <c r="BL317" s="34">
        <v>0.0</v>
      </c>
      <c r="BM317" s="34">
        <v>100.0</v>
      </c>
      <c r="BN317" s="34">
        <v>0.0</v>
      </c>
      <c r="BO317" s="34">
        <v>0.0</v>
      </c>
      <c r="BP317" s="33">
        <f>COUNTIFS('Data For Calculation - Insuranc'!A:A,A317,'Data For Calculation - Insuranc'!D:D,"Individual",'Data For Calculation - Insuranc'!E:E,"Rollover - 1 Year TP Only")</f>
        <v>0</v>
      </c>
      <c r="BQ317" s="34" t="s">
        <v>3932</v>
      </c>
      <c r="BR317" s="42" t="s">
        <v>3854</v>
      </c>
      <c r="BS317" s="31">
        <v>290.0</v>
      </c>
      <c r="BT317" s="34" t="s">
        <v>3853</v>
      </c>
      <c r="BU317" s="34">
        <v>0.0</v>
      </c>
      <c r="BV317" s="34">
        <v>100.0</v>
      </c>
      <c r="BW317" s="34">
        <v>0.0</v>
      </c>
      <c r="BX317" s="34">
        <v>0.0</v>
      </c>
      <c r="BY317" s="33">
        <f>COUNTIFS('Data For Calculation - Insuranc'!A:A,A317,'Data For Calculation - Insuranc'!D:D,"Company",'Data For Calculation - Insuranc'!E:E,"Rollover - 1 Year TP Only")</f>
        <v>0</v>
      </c>
      <c r="BZ317" s="31">
        <f t="shared" si="1"/>
        <v>0</v>
      </c>
      <c r="CA317" s="33">
        <f>SUMIFS('Data For Calculation - Insuranc'!I:I,'Data For Calculation - Insuranc'!$A:$A,$A317)</f>
        <v>0</v>
      </c>
      <c r="CB317" s="33">
        <f>SUMIFS('Data For Calculation - Insuranc'!J:J,'Data For Calculation - Insuranc'!$A:$A,$A317)</f>
        <v>0</v>
      </c>
      <c r="CC317" s="33">
        <f>SUMIFS('Data For Calculation - Insuranc'!K:K,'Data For Calculation - Insuranc'!$A:$A,$A317)</f>
        <v>0</v>
      </c>
      <c r="CD317" s="33">
        <f>IF($CK317 = "Dealer", SUMIFS('Data For Calculation - Insuranc'!I:I,'Data For Calculation - Insuranc'!$B:$B,$A317,'Data For Calculation - Insuranc'!$H:$H,"Master Dealer")) + SUMIFS('Data For Calculation - Insuranc'!I:I,'Data For Calculation - Insuranc'!$A:$A,$A317,'Data For Calculation - Insuranc'!$H:$H,"Self")</f>
        <v>0</v>
      </c>
      <c r="CE317" s="33">
        <f>IF($CK317 = "Dealer", SUMIFS('Data For Calculation - Insuranc'!J:J,'Data For Calculation - Insuranc'!$B:$B,$A317,'Data For Calculation - Insuranc'!$H:$H,"Master Dealer")) + SUMIFS('Data For Calculation - Insuranc'!J:J,'Data For Calculation - Insuranc'!$A:$A,$A317,'Data For Calculation - Insuranc'!$H:$H,"Self")</f>
        <v>0</v>
      </c>
      <c r="CF317" s="33">
        <f>IF($CK317 = "Dealer", SUMIFS('Data For Calculation - Insuranc'!K:K,'Data For Calculation - Insuranc'!$B:$B,$A317,'Data For Calculation - Insuranc'!$H:$H,"Master Dealer")) + SUMIFS('Data For Calculation - Insuranc'!K:K,'Data For Calculation - Insuranc'!$A:$A,$A317,'Data For Calculation - Insuranc'!$H:$H,"Self")</f>
        <v>0</v>
      </c>
      <c r="CG317" s="25" t="str">
        <f>(Sheet1!N317)</f>
        <v>SHIVANI MOTORS- ALLAHABAD</v>
      </c>
      <c r="CH317" s="25" t="str">
        <f>(Sheet1!O317)</f>
        <v>1HzstXOBJIBMFHwYm7RpvmCIhHH60rtXQ81VHl3OF7OM</v>
      </c>
      <c r="CI317" s="25" t="str">
        <f>(Sheet1!AV317)</f>
        <v/>
      </c>
      <c r="CJ317" s="25" t="str">
        <f>(Sheet1!AW317)</f>
        <v/>
      </c>
      <c r="CK317" s="26" t="str">
        <f>(Sheet1!P317)</f>
        <v>Dealer</v>
      </c>
    </row>
    <row r="318">
      <c r="A318" s="25" t="str">
        <f>(Sheet1!A318)</f>
        <v>1YAU91TFMaYFp0IiAMJOnSMw_yeIgNk_GdChvblrhYL8</v>
      </c>
      <c r="B318" s="25" t="str">
        <f>(Sheet1!B318)</f>
        <v>A.R.C.C- HERO(SMA)</v>
      </c>
      <c r="C318" s="30" t="str">
        <f>Sheet1!BB318</f>
        <v>No</v>
      </c>
      <c r="D318" s="30" t="s">
        <v>13</v>
      </c>
      <c r="E318" s="34" t="s">
        <v>13</v>
      </c>
      <c r="F318" s="34" t="s">
        <v>3929</v>
      </c>
      <c r="G318" s="42" t="s">
        <v>3854</v>
      </c>
      <c r="H318" s="43">
        <v>460.0</v>
      </c>
      <c r="I318" s="42" t="s">
        <v>3853</v>
      </c>
      <c r="J318" s="43">
        <v>20.0</v>
      </c>
      <c r="K318" s="43">
        <v>60.0</v>
      </c>
      <c r="L318" s="43">
        <v>20.0</v>
      </c>
      <c r="M318" s="43">
        <v>20.0</v>
      </c>
      <c r="N318" s="33">
        <f>COUNTIFS('Data For Calculation - Insuranc'!A:A,A318,'Data For Calculation - Insuranc'!D:D,"Individual",'Data For Calculation - Insuranc'!E:E,"Bundled - 1 Year OD + 5 Year TP")</f>
        <v>0</v>
      </c>
      <c r="O318" s="34" t="s">
        <v>3930</v>
      </c>
      <c r="P318" s="42" t="s">
        <v>3854</v>
      </c>
      <c r="Q318" s="43">
        <v>460.0</v>
      </c>
      <c r="R318" s="42" t="s">
        <v>3853</v>
      </c>
      <c r="S318" s="43">
        <v>20.0</v>
      </c>
      <c r="T318" s="43">
        <v>60.0</v>
      </c>
      <c r="U318" s="43">
        <v>20.0</v>
      </c>
      <c r="V318" s="43">
        <v>20.0</v>
      </c>
      <c r="W318" s="33">
        <f>COUNTIFS('Data For Calculation - Insuranc'!A:A,A318,'Data For Calculation - Insuranc'!D:D,"Company",'Data For Calculation - Insuranc'!E:E,"Bundled - 1 Year OD + 5 Year TP")</f>
        <v>0</v>
      </c>
      <c r="X318" s="34" t="s">
        <v>3929</v>
      </c>
      <c r="Y318" s="42" t="s">
        <v>3854</v>
      </c>
      <c r="Z318" s="31">
        <v>290.0</v>
      </c>
      <c r="AA318" s="34" t="s">
        <v>3853</v>
      </c>
      <c r="AB318" s="34">
        <v>0.0</v>
      </c>
      <c r="AC318" s="34">
        <v>100.0</v>
      </c>
      <c r="AD318" s="34">
        <v>0.0</v>
      </c>
      <c r="AE318" s="34">
        <v>0.0</v>
      </c>
      <c r="AF318" s="33">
        <f>COUNTIFS('Data For Calculation - Insuranc'!A:A,A318,'Data For Calculation - Insuranc'!D:D,"Individual",'Data For Calculation - Insuranc'!E:E,"Rollover Comprehensive - 1 Year OD + 1 Year TP")</f>
        <v>0</v>
      </c>
      <c r="AG318" s="34" t="s">
        <v>3930</v>
      </c>
      <c r="AH318" s="42" t="s">
        <v>3854</v>
      </c>
      <c r="AI318" s="31">
        <v>290.0</v>
      </c>
      <c r="AJ318" s="34" t="s">
        <v>3853</v>
      </c>
      <c r="AK318" s="34">
        <v>0.0</v>
      </c>
      <c r="AL318" s="34">
        <v>100.0</v>
      </c>
      <c r="AM318" s="34">
        <v>0.0</v>
      </c>
      <c r="AN318" s="34">
        <v>0.0</v>
      </c>
      <c r="AO318" s="33">
        <f>COUNTIFS('Data For Calculation - Insuranc'!A:A,A318,'Data For Calculation - Insuranc'!D:D,"Company",'Data For Calculation - Insuranc'!E:E,"Rollover Comprehensive - 1 Year OD + 1 Year TP")</f>
        <v>0</v>
      </c>
      <c r="AP318" s="34" t="s">
        <v>3931</v>
      </c>
      <c r="AQ318" s="42" t="s">
        <v>3854</v>
      </c>
      <c r="AR318" s="31">
        <v>290.0</v>
      </c>
      <c r="AS318" s="34" t="s">
        <v>3853</v>
      </c>
      <c r="AT318" s="34">
        <v>0.0</v>
      </c>
      <c r="AU318" s="34">
        <v>100.0</v>
      </c>
      <c r="AV318" s="34">
        <v>0.0</v>
      </c>
      <c r="AW318" s="34">
        <v>0.0</v>
      </c>
      <c r="AX318" s="33">
        <f>COUNTIFS('Data For Calculation - Insuranc'!A:A,A318,'Data For Calculation - Insuranc'!D:D,"Individual",'Data For Calculation - Insuranc'!E:E,"Rollover - 1 Year OD Only")</f>
        <v>0</v>
      </c>
      <c r="AY318" s="34" t="s">
        <v>3932</v>
      </c>
      <c r="AZ318" s="42" t="s">
        <v>3854</v>
      </c>
      <c r="BA318" s="31">
        <v>290.0</v>
      </c>
      <c r="BB318" s="34" t="s">
        <v>3853</v>
      </c>
      <c r="BC318" s="34">
        <v>0.0</v>
      </c>
      <c r="BD318" s="34">
        <v>100.0</v>
      </c>
      <c r="BE318" s="34">
        <v>0.0</v>
      </c>
      <c r="BF318" s="34">
        <v>0.0</v>
      </c>
      <c r="BG318" s="33">
        <f>COUNTIFS('Data For Calculation - Insuranc'!A:A,A318,'Data For Calculation - Insuranc'!D:D,"Company",'Data For Calculation - Insuranc'!E:E,"Rollover - 1 Year OD Only")</f>
        <v>0</v>
      </c>
      <c r="BH318" s="34" t="s">
        <v>3931</v>
      </c>
      <c r="BI318" s="42" t="s">
        <v>3854</v>
      </c>
      <c r="BJ318" s="31">
        <v>290.0</v>
      </c>
      <c r="BK318" s="34" t="s">
        <v>3853</v>
      </c>
      <c r="BL318" s="34">
        <v>0.0</v>
      </c>
      <c r="BM318" s="34">
        <v>100.0</v>
      </c>
      <c r="BN318" s="34">
        <v>0.0</v>
      </c>
      <c r="BO318" s="34">
        <v>0.0</v>
      </c>
      <c r="BP318" s="33">
        <f>COUNTIFS('Data For Calculation - Insuranc'!A:A,A318,'Data For Calculation - Insuranc'!D:D,"Individual",'Data For Calculation - Insuranc'!E:E,"Rollover - 1 Year TP Only")</f>
        <v>0</v>
      </c>
      <c r="BQ318" s="34" t="s">
        <v>3932</v>
      </c>
      <c r="BR318" s="42" t="s">
        <v>3854</v>
      </c>
      <c r="BS318" s="31">
        <v>290.0</v>
      </c>
      <c r="BT318" s="34" t="s">
        <v>3853</v>
      </c>
      <c r="BU318" s="34">
        <v>0.0</v>
      </c>
      <c r="BV318" s="34">
        <v>100.0</v>
      </c>
      <c r="BW318" s="34">
        <v>0.0</v>
      </c>
      <c r="BX318" s="34">
        <v>0.0</v>
      </c>
      <c r="BY318" s="33">
        <f>COUNTIFS('Data For Calculation - Insuranc'!A:A,A318,'Data For Calculation - Insuranc'!D:D,"Company",'Data For Calculation - Insuranc'!E:E,"Rollover - 1 Year TP Only")</f>
        <v>0</v>
      </c>
      <c r="BZ318" s="31">
        <f t="shared" si="1"/>
        <v>0</v>
      </c>
      <c r="CA318" s="33">
        <f>SUMIFS('Data For Calculation - Insuranc'!I:I,'Data For Calculation - Insuranc'!$A:$A,$A318)</f>
        <v>0</v>
      </c>
      <c r="CB318" s="33">
        <f>SUMIFS('Data For Calculation - Insuranc'!J:J,'Data For Calculation - Insuranc'!$A:$A,$A318)</f>
        <v>0</v>
      </c>
      <c r="CC318" s="33">
        <f>SUMIFS('Data For Calculation - Insuranc'!K:K,'Data For Calculation - Insuranc'!$A:$A,$A318)</f>
        <v>0</v>
      </c>
      <c r="CD318" s="33">
        <f>IF($CK318 = "Dealer", SUMIFS('Data For Calculation - Insuranc'!I:I,'Data For Calculation - Insuranc'!$B:$B,$A318,'Data For Calculation - Insuranc'!$H:$H,"Master Dealer")) + SUMIFS('Data For Calculation - Insuranc'!I:I,'Data For Calculation - Insuranc'!$A:$A,$A318,'Data For Calculation - Insuranc'!$H:$H,"Self")</f>
        <v>0</v>
      </c>
      <c r="CE318" s="33">
        <f>IF($CK318 = "Dealer", SUMIFS('Data For Calculation - Insuranc'!J:J,'Data For Calculation - Insuranc'!$B:$B,$A318,'Data For Calculation - Insuranc'!$H:$H,"Master Dealer")) + SUMIFS('Data For Calculation - Insuranc'!J:J,'Data For Calculation - Insuranc'!$A:$A,$A318,'Data For Calculation - Insuranc'!$H:$H,"Self")</f>
        <v>0</v>
      </c>
      <c r="CF318" s="33">
        <f>IF($CK318 = "Dealer", SUMIFS('Data For Calculation - Insuranc'!K:K,'Data For Calculation - Insuranc'!$B:$B,$A318,'Data For Calculation - Insuranc'!$H:$H,"Master Dealer")) + SUMIFS('Data For Calculation - Insuranc'!K:K,'Data For Calculation - Insuranc'!$A:$A,$A318,'Data For Calculation - Insuranc'!$H:$H,"Self")</f>
        <v>0</v>
      </c>
      <c r="CG318" s="25" t="str">
        <f>(Sheet1!N318)</f>
        <v>SHIVANI MOTORS- ALLAHABAD</v>
      </c>
      <c r="CH318" s="25" t="str">
        <f>(Sheet1!O318)</f>
        <v>1HzstXOBJIBMFHwYm7RpvmCIhHH60rtXQ81VHl3OF7OM</v>
      </c>
      <c r="CI318" s="25" t="str">
        <f>(Sheet1!AV318)</f>
        <v/>
      </c>
      <c r="CJ318" s="25" t="str">
        <f>(Sheet1!AW318)</f>
        <v/>
      </c>
      <c r="CK318" s="26" t="str">
        <f>(Sheet1!P318)</f>
        <v>Sub Dealer</v>
      </c>
    </row>
    <row r="319">
      <c r="A319" s="25" t="str">
        <f>(Sheet1!A319)</f>
        <v>1Sp6RBtw1AwI4BO_kbbFsvxWE7hmnjkkWSF-2QuN4NUM</v>
      </c>
      <c r="B319" s="25" t="str">
        <f>(Sheet1!B319)</f>
        <v>AMBER MOTORS--HERO-(SMA)</v>
      </c>
      <c r="C319" s="30" t="str">
        <f>Sheet1!BB319</f>
        <v>No</v>
      </c>
      <c r="D319" s="30" t="s">
        <v>13</v>
      </c>
      <c r="E319" s="34" t="s">
        <v>13</v>
      </c>
      <c r="F319" s="34" t="s">
        <v>3929</v>
      </c>
      <c r="G319" s="42" t="s">
        <v>3854</v>
      </c>
      <c r="H319" s="43">
        <v>460.0</v>
      </c>
      <c r="I319" s="42" t="s">
        <v>3853</v>
      </c>
      <c r="J319" s="43">
        <v>20.0</v>
      </c>
      <c r="K319" s="43">
        <v>60.0</v>
      </c>
      <c r="L319" s="43">
        <v>20.0</v>
      </c>
      <c r="M319" s="43">
        <v>20.0</v>
      </c>
      <c r="N319" s="33">
        <f>COUNTIFS('Data For Calculation - Insuranc'!A:A,A319,'Data For Calculation - Insuranc'!D:D,"Individual",'Data For Calculation - Insuranc'!E:E,"Bundled - 1 Year OD + 5 Year TP")</f>
        <v>0</v>
      </c>
      <c r="O319" s="34" t="s">
        <v>3930</v>
      </c>
      <c r="P319" s="42" t="s">
        <v>3854</v>
      </c>
      <c r="Q319" s="43">
        <v>460.0</v>
      </c>
      <c r="R319" s="42" t="s">
        <v>3853</v>
      </c>
      <c r="S319" s="43">
        <v>20.0</v>
      </c>
      <c r="T319" s="43">
        <v>60.0</v>
      </c>
      <c r="U319" s="43">
        <v>20.0</v>
      </c>
      <c r="V319" s="43">
        <v>20.0</v>
      </c>
      <c r="W319" s="33">
        <f>COUNTIFS('Data For Calculation - Insuranc'!A:A,A319,'Data For Calculation - Insuranc'!D:D,"Company",'Data For Calculation - Insuranc'!E:E,"Bundled - 1 Year OD + 5 Year TP")</f>
        <v>0</v>
      </c>
      <c r="X319" s="34" t="s">
        <v>3929</v>
      </c>
      <c r="Y319" s="42" t="s">
        <v>3854</v>
      </c>
      <c r="Z319" s="31">
        <v>290.0</v>
      </c>
      <c r="AA319" s="34" t="s">
        <v>3853</v>
      </c>
      <c r="AB319" s="34">
        <v>0.0</v>
      </c>
      <c r="AC319" s="34">
        <v>100.0</v>
      </c>
      <c r="AD319" s="34">
        <v>0.0</v>
      </c>
      <c r="AE319" s="34">
        <v>0.0</v>
      </c>
      <c r="AF319" s="33">
        <f>COUNTIFS('Data For Calculation - Insuranc'!A:A,A319,'Data For Calculation - Insuranc'!D:D,"Individual",'Data For Calculation - Insuranc'!E:E,"Rollover Comprehensive - 1 Year OD + 1 Year TP")</f>
        <v>0</v>
      </c>
      <c r="AG319" s="34" t="s">
        <v>3930</v>
      </c>
      <c r="AH319" s="42" t="s">
        <v>3854</v>
      </c>
      <c r="AI319" s="31">
        <v>290.0</v>
      </c>
      <c r="AJ319" s="34" t="s">
        <v>3853</v>
      </c>
      <c r="AK319" s="34">
        <v>0.0</v>
      </c>
      <c r="AL319" s="34">
        <v>100.0</v>
      </c>
      <c r="AM319" s="34">
        <v>0.0</v>
      </c>
      <c r="AN319" s="34">
        <v>0.0</v>
      </c>
      <c r="AO319" s="33">
        <f>COUNTIFS('Data For Calculation - Insuranc'!A:A,A319,'Data For Calculation - Insuranc'!D:D,"Company",'Data For Calculation - Insuranc'!E:E,"Rollover Comprehensive - 1 Year OD + 1 Year TP")</f>
        <v>0</v>
      </c>
      <c r="AP319" s="34" t="s">
        <v>3931</v>
      </c>
      <c r="AQ319" s="42" t="s">
        <v>3854</v>
      </c>
      <c r="AR319" s="31">
        <v>290.0</v>
      </c>
      <c r="AS319" s="34" t="s">
        <v>3853</v>
      </c>
      <c r="AT319" s="34">
        <v>0.0</v>
      </c>
      <c r="AU319" s="34">
        <v>100.0</v>
      </c>
      <c r="AV319" s="34">
        <v>0.0</v>
      </c>
      <c r="AW319" s="34">
        <v>0.0</v>
      </c>
      <c r="AX319" s="33">
        <f>COUNTIFS('Data For Calculation - Insuranc'!A:A,A319,'Data For Calculation - Insuranc'!D:D,"Individual",'Data For Calculation - Insuranc'!E:E,"Rollover - 1 Year OD Only")</f>
        <v>0</v>
      </c>
      <c r="AY319" s="34" t="s">
        <v>3932</v>
      </c>
      <c r="AZ319" s="42" t="s">
        <v>3854</v>
      </c>
      <c r="BA319" s="31">
        <v>290.0</v>
      </c>
      <c r="BB319" s="34" t="s">
        <v>3853</v>
      </c>
      <c r="BC319" s="34">
        <v>0.0</v>
      </c>
      <c r="BD319" s="34">
        <v>100.0</v>
      </c>
      <c r="BE319" s="34">
        <v>0.0</v>
      </c>
      <c r="BF319" s="34">
        <v>0.0</v>
      </c>
      <c r="BG319" s="33">
        <f>COUNTIFS('Data For Calculation - Insuranc'!A:A,A319,'Data For Calculation - Insuranc'!D:D,"Company",'Data For Calculation - Insuranc'!E:E,"Rollover - 1 Year OD Only")</f>
        <v>0</v>
      </c>
      <c r="BH319" s="34" t="s">
        <v>3931</v>
      </c>
      <c r="BI319" s="42" t="s">
        <v>3854</v>
      </c>
      <c r="BJ319" s="31">
        <v>290.0</v>
      </c>
      <c r="BK319" s="34" t="s">
        <v>3853</v>
      </c>
      <c r="BL319" s="34">
        <v>0.0</v>
      </c>
      <c r="BM319" s="34">
        <v>100.0</v>
      </c>
      <c r="BN319" s="34">
        <v>0.0</v>
      </c>
      <c r="BO319" s="34">
        <v>0.0</v>
      </c>
      <c r="BP319" s="33">
        <f>COUNTIFS('Data For Calculation - Insuranc'!A:A,A319,'Data For Calculation - Insuranc'!D:D,"Individual",'Data For Calculation - Insuranc'!E:E,"Rollover - 1 Year TP Only")</f>
        <v>0</v>
      </c>
      <c r="BQ319" s="34" t="s">
        <v>3932</v>
      </c>
      <c r="BR319" s="42" t="s">
        <v>3854</v>
      </c>
      <c r="BS319" s="31">
        <v>290.0</v>
      </c>
      <c r="BT319" s="34" t="s">
        <v>3853</v>
      </c>
      <c r="BU319" s="34">
        <v>0.0</v>
      </c>
      <c r="BV319" s="34">
        <v>100.0</v>
      </c>
      <c r="BW319" s="34">
        <v>0.0</v>
      </c>
      <c r="BX319" s="34">
        <v>0.0</v>
      </c>
      <c r="BY319" s="33">
        <f>COUNTIFS('Data For Calculation - Insuranc'!A:A,A319,'Data For Calculation - Insuranc'!D:D,"Company",'Data For Calculation - Insuranc'!E:E,"Rollover - 1 Year TP Only")</f>
        <v>0</v>
      </c>
      <c r="BZ319" s="31">
        <f t="shared" si="1"/>
        <v>0</v>
      </c>
      <c r="CA319" s="33">
        <f>SUMIFS('Data For Calculation - Insuranc'!I:I,'Data For Calculation - Insuranc'!$A:$A,$A319)</f>
        <v>0</v>
      </c>
      <c r="CB319" s="33">
        <f>SUMIFS('Data For Calculation - Insuranc'!J:J,'Data For Calculation - Insuranc'!$A:$A,$A319)</f>
        <v>0</v>
      </c>
      <c r="CC319" s="33">
        <f>SUMIFS('Data For Calculation - Insuranc'!K:K,'Data For Calculation - Insuranc'!$A:$A,$A319)</f>
        <v>0</v>
      </c>
      <c r="CD319" s="33">
        <f>IF($CK319 = "Dealer", SUMIFS('Data For Calculation - Insuranc'!I:I,'Data For Calculation - Insuranc'!$B:$B,$A319,'Data For Calculation - Insuranc'!$H:$H,"Master Dealer")) + SUMIFS('Data For Calculation - Insuranc'!I:I,'Data For Calculation - Insuranc'!$A:$A,$A319,'Data For Calculation - Insuranc'!$H:$H,"Self")</f>
        <v>0</v>
      </c>
      <c r="CE319" s="33">
        <f>IF($CK319 = "Dealer", SUMIFS('Data For Calculation - Insuranc'!J:J,'Data For Calculation - Insuranc'!$B:$B,$A319,'Data For Calculation - Insuranc'!$H:$H,"Master Dealer")) + SUMIFS('Data For Calculation - Insuranc'!J:J,'Data For Calculation - Insuranc'!$A:$A,$A319,'Data For Calculation - Insuranc'!$H:$H,"Self")</f>
        <v>0</v>
      </c>
      <c r="CF319" s="33">
        <f>IF($CK319 = "Dealer", SUMIFS('Data For Calculation - Insuranc'!K:K,'Data For Calculation - Insuranc'!$B:$B,$A319,'Data For Calculation - Insuranc'!$H:$H,"Master Dealer")) + SUMIFS('Data For Calculation - Insuranc'!K:K,'Data For Calculation - Insuranc'!$A:$A,$A319,'Data For Calculation - Insuranc'!$H:$H,"Self")</f>
        <v>0</v>
      </c>
      <c r="CG319" s="25" t="str">
        <f>(Sheet1!N319)</f>
        <v>SHIVANI MOTORS- ALLAHABAD</v>
      </c>
      <c r="CH319" s="25" t="str">
        <f>(Sheet1!O319)</f>
        <v>1HzstXOBJIBMFHwYm7RpvmCIhHH60rtXQ81VHl3OF7OM</v>
      </c>
      <c r="CI319" s="25" t="str">
        <f>(Sheet1!AV319)</f>
        <v/>
      </c>
      <c r="CJ319" s="25" t="str">
        <f>(Sheet1!AW319)</f>
        <v/>
      </c>
      <c r="CK319" s="26" t="str">
        <f>(Sheet1!P319)</f>
        <v>Sub Dealer</v>
      </c>
    </row>
    <row r="320">
      <c r="A320" s="25" t="str">
        <f>(Sheet1!A320)</f>
        <v>12q3xzc4QnJvovb5WwDYonjwLc2kiwxvpEYShhfp6tf4</v>
      </c>
      <c r="B320" s="25" t="str">
        <f>(Sheet1!B320)</f>
        <v>Metro Motors- Narela(MMR)</v>
      </c>
      <c r="C320" s="30" t="str">
        <f>Sheet1!BB320</f>
        <v>Yes</v>
      </c>
      <c r="D320" s="30" t="s">
        <v>13</v>
      </c>
      <c r="E320" s="34" t="s">
        <v>13</v>
      </c>
      <c r="F320" s="34" t="s">
        <v>3929</v>
      </c>
      <c r="G320" s="42" t="s">
        <v>3854</v>
      </c>
      <c r="H320" s="43">
        <v>100.0</v>
      </c>
      <c r="I320" s="42" t="s">
        <v>3855</v>
      </c>
      <c r="J320" s="43">
        <v>2000.0</v>
      </c>
      <c r="K320" s="43">
        <v>100.0</v>
      </c>
      <c r="L320" s="43">
        <v>0.0</v>
      </c>
      <c r="M320" s="43">
        <v>0.0</v>
      </c>
      <c r="N320" s="33">
        <f>COUNTIFS('Data For Calculation - Insuranc'!A:A,A320,'Data For Calculation - Insuranc'!D:D,"Individual",'Data For Calculation - Insuranc'!E:E,"Bundled - 1 Year OD + 5 Year TP")</f>
        <v>6</v>
      </c>
      <c r="O320" s="34" t="s">
        <v>3930</v>
      </c>
      <c r="P320" s="42" t="s">
        <v>3854</v>
      </c>
      <c r="Q320" s="43">
        <v>100.0</v>
      </c>
      <c r="R320" s="42" t="s">
        <v>3855</v>
      </c>
      <c r="S320" s="43">
        <v>2000.0</v>
      </c>
      <c r="T320" s="43">
        <v>100.0</v>
      </c>
      <c r="U320" s="43">
        <v>0.0</v>
      </c>
      <c r="V320" s="43">
        <v>0.0</v>
      </c>
      <c r="W320" s="33">
        <f>COUNTIFS('Data For Calculation - Insuranc'!A:A,A320,'Data For Calculation - Insuranc'!D:D,"Company",'Data For Calculation - Insuranc'!E:E,"Bundled - 1 Year OD + 5 Year TP")</f>
        <v>0</v>
      </c>
      <c r="X320" s="34" t="s">
        <v>3929</v>
      </c>
      <c r="Y320" s="42" t="s">
        <v>3854</v>
      </c>
      <c r="Z320" s="43">
        <v>100.0</v>
      </c>
      <c r="AA320" s="42" t="s">
        <v>3855</v>
      </c>
      <c r="AB320" s="31">
        <v>500.0</v>
      </c>
      <c r="AC320" s="43">
        <v>100.0</v>
      </c>
      <c r="AD320" s="43">
        <v>0.0</v>
      </c>
      <c r="AE320" s="43">
        <v>0.0</v>
      </c>
      <c r="AF320" s="33">
        <f>COUNTIFS('Data For Calculation - Insuranc'!A:A,A320,'Data For Calculation - Insuranc'!D:D,"Individual",'Data For Calculation - Insuranc'!E:E,"Rollover Comprehensive - 1 Year OD + 1 Year TP")</f>
        <v>0</v>
      </c>
      <c r="AG320" s="34" t="s">
        <v>3930</v>
      </c>
      <c r="AH320" s="42" t="s">
        <v>3854</v>
      </c>
      <c r="AI320" s="43">
        <v>100.0</v>
      </c>
      <c r="AJ320" s="42" t="s">
        <v>3855</v>
      </c>
      <c r="AK320" s="31">
        <v>500.0</v>
      </c>
      <c r="AL320" s="43">
        <v>100.0</v>
      </c>
      <c r="AM320" s="43">
        <v>0.0</v>
      </c>
      <c r="AN320" s="43">
        <v>0.0</v>
      </c>
      <c r="AO320" s="33">
        <f>COUNTIFS('Data For Calculation - Insuranc'!A:A,A320,'Data For Calculation - Insuranc'!D:D,"Company",'Data For Calculation - Insuranc'!E:E,"Rollover Comprehensive - 1 Year OD + 1 Year TP")</f>
        <v>0</v>
      </c>
      <c r="AP320" s="34" t="s">
        <v>3929</v>
      </c>
      <c r="AQ320" s="42" t="s">
        <v>3854</v>
      </c>
      <c r="AR320" s="43">
        <v>100.0</v>
      </c>
      <c r="AS320" s="42" t="s">
        <v>3855</v>
      </c>
      <c r="AT320" s="31">
        <v>500.0</v>
      </c>
      <c r="AU320" s="43">
        <v>100.0</v>
      </c>
      <c r="AV320" s="43">
        <v>0.0</v>
      </c>
      <c r="AW320" s="43">
        <v>0.0</v>
      </c>
      <c r="AX320" s="33">
        <f>COUNTIFS('Data For Calculation - Insuranc'!A:A,A320,'Data For Calculation - Insuranc'!D:D,"Individual",'Data For Calculation - Insuranc'!E:E,"Rollover - 1 Year OD Only")</f>
        <v>0</v>
      </c>
      <c r="AY320" s="34" t="s">
        <v>3930</v>
      </c>
      <c r="AZ320" s="42" t="s">
        <v>3854</v>
      </c>
      <c r="BA320" s="43">
        <v>100.0</v>
      </c>
      <c r="BB320" s="42" t="s">
        <v>3855</v>
      </c>
      <c r="BC320" s="31">
        <v>500.0</v>
      </c>
      <c r="BD320" s="43">
        <v>100.0</v>
      </c>
      <c r="BE320" s="43">
        <v>0.0</v>
      </c>
      <c r="BF320" s="43">
        <v>0.0</v>
      </c>
      <c r="BG320" s="33">
        <f>COUNTIFS('Data For Calculation - Insuranc'!A:A,A320,'Data For Calculation - Insuranc'!D:D,"Company",'Data For Calculation - Insuranc'!E:E,"Rollover - 1 Year OD Only")</f>
        <v>0</v>
      </c>
      <c r="BH320" s="34" t="s">
        <v>3931</v>
      </c>
      <c r="BI320" s="42" t="s">
        <v>3854</v>
      </c>
      <c r="BJ320" s="43">
        <v>100.0</v>
      </c>
      <c r="BK320" s="42" t="s">
        <v>3855</v>
      </c>
      <c r="BL320" s="31">
        <v>400.0</v>
      </c>
      <c r="BM320" s="43">
        <v>100.0</v>
      </c>
      <c r="BN320" s="43">
        <v>0.0</v>
      </c>
      <c r="BO320" s="43">
        <v>0.0</v>
      </c>
      <c r="BP320" s="33">
        <f>COUNTIFS('Data For Calculation - Insuranc'!A:A,A320,'Data For Calculation - Insuranc'!D:D,"Individual",'Data For Calculation - Insuranc'!E:E,"Rollover - 1 Year TP Only")</f>
        <v>0</v>
      </c>
      <c r="BQ320" s="34" t="s">
        <v>3932</v>
      </c>
      <c r="BR320" s="42" t="s">
        <v>3854</v>
      </c>
      <c r="BS320" s="43">
        <v>100.0</v>
      </c>
      <c r="BT320" s="42" t="s">
        <v>3855</v>
      </c>
      <c r="BU320" s="31">
        <v>400.0</v>
      </c>
      <c r="BV320" s="43">
        <v>100.0</v>
      </c>
      <c r="BW320" s="43">
        <v>0.0</v>
      </c>
      <c r="BX320" s="43">
        <v>0.0</v>
      </c>
      <c r="BY320" s="33">
        <f>COUNTIFS('Data For Calculation - Insuranc'!A:A,A320,'Data For Calculation - Insuranc'!D:D,"Company",'Data For Calculation - Insuranc'!E:E,"Rollover - 1 Year TP Only")</f>
        <v>0</v>
      </c>
      <c r="BZ320" s="31">
        <f t="shared" si="1"/>
        <v>6</v>
      </c>
      <c r="CA320" s="33">
        <f>SUMIFS('Data For Calculation - Insuranc'!I:I,'Data For Calculation - Insuranc'!$A:$A,$A320)</f>
        <v>-34976.08</v>
      </c>
      <c r="CB320" s="33">
        <f>SUMIFS('Data For Calculation - Insuranc'!J:J,'Data For Calculation - Insuranc'!$A:$A,$A320)</f>
        <v>0</v>
      </c>
      <c r="CC320" s="33">
        <f>SUMIFS('Data For Calculation - Insuranc'!K:K,'Data For Calculation - Insuranc'!$A:$A,$A320)</f>
        <v>-34976.08</v>
      </c>
      <c r="CD320" s="33">
        <f>IF($CK320 = "Dealer", SUMIFS('Data For Calculation - Insuranc'!I:I,'Data For Calculation - Insuranc'!$B:$B,$A320,'Data For Calculation - Insuranc'!$H:$H,"Master Dealer")) + SUMIFS('Data For Calculation - Insuranc'!I:I,'Data For Calculation - Insuranc'!$A:$A,$A320,'Data For Calculation - Insuranc'!$H:$H,"Self")</f>
        <v>-34976.08</v>
      </c>
      <c r="CE320" s="33">
        <f>IF($CK320 = "Dealer", SUMIFS('Data For Calculation - Insuranc'!J:J,'Data For Calculation - Insuranc'!$B:$B,$A320,'Data For Calculation - Insuranc'!$H:$H,"Master Dealer")) + SUMIFS('Data For Calculation - Insuranc'!J:J,'Data For Calculation - Insuranc'!$A:$A,$A320,'Data For Calculation - Insuranc'!$H:$H,"Self")</f>
        <v>0</v>
      </c>
      <c r="CF320" s="33">
        <f>IF($CK320 = "Dealer", SUMIFS('Data For Calculation - Insuranc'!K:K,'Data For Calculation - Insuranc'!$B:$B,$A320,'Data For Calculation - Insuranc'!$H:$H,"Master Dealer")) + SUMIFS('Data For Calculation - Insuranc'!K:K,'Data For Calculation - Insuranc'!$A:$A,$A320,'Data For Calculation - Insuranc'!$H:$H,"Self")</f>
        <v>-34976.08</v>
      </c>
      <c r="CG320" s="25" t="str">
        <f>(Sheet1!N320)</f>
        <v>Metro Motors- Narela(MMR)</v>
      </c>
      <c r="CH320" s="25" t="str">
        <f>(Sheet1!O320)</f>
        <v>12q3xzc4QnJvovb5WwDYonjwLc2kiwxvpEYShhfp6tf4</v>
      </c>
      <c r="CI320" s="25" t="str">
        <f>(Sheet1!AV320)</f>
        <v/>
      </c>
      <c r="CJ320" s="25" t="str">
        <f>(Sheet1!AW320)</f>
        <v/>
      </c>
      <c r="CK320" s="26" t="str">
        <f>(Sheet1!P320)</f>
        <v>Dealer</v>
      </c>
    </row>
    <row r="321">
      <c r="A321" s="25" t="str">
        <f>(Sheet1!A321)</f>
        <v>12Iga9HLmHF1C_B28Sz49zBPBKFPy_vA2jBForRuUnjc</v>
      </c>
      <c r="B321" s="25" t="str">
        <f>(Sheet1!B321)</f>
        <v>JANTA MOTORS (VM) - KUSHINAGAR</v>
      </c>
      <c r="C321" s="30" t="str">
        <f>Sheet1!BB321</f>
        <v>No</v>
      </c>
      <c r="D321" s="30" t="s">
        <v>13</v>
      </c>
      <c r="E321" s="34" t="s">
        <v>13</v>
      </c>
      <c r="F321" s="34" t="s">
        <v>3929</v>
      </c>
      <c r="G321" s="42" t="s">
        <v>3854</v>
      </c>
      <c r="H321" s="43">
        <v>460.0</v>
      </c>
      <c r="I321" s="42" t="s">
        <v>3853</v>
      </c>
      <c r="J321" s="43">
        <v>20.0</v>
      </c>
      <c r="K321" s="43">
        <v>60.0</v>
      </c>
      <c r="L321" s="43">
        <v>20.0</v>
      </c>
      <c r="M321" s="43">
        <v>20.0</v>
      </c>
      <c r="N321" s="33">
        <f>COUNTIFS('Data For Calculation - Insuranc'!A:A,A321,'Data For Calculation - Insuranc'!D:D,"Individual",'Data For Calculation - Insuranc'!E:E,"Bundled - 1 Year OD + 5 Year TP")</f>
        <v>0</v>
      </c>
      <c r="O321" s="34" t="s">
        <v>3930</v>
      </c>
      <c r="P321" s="42" t="s">
        <v>3854</v>
      </c>
      <c r="Q321" s="43">
        <v>460.0</v>
      </c>
      <c r="R321" s="42" t="s">
        <v>3853</v>
      </c>
      <c r="S321" s="43">
        <v>20.0</v>
      </c>
      <c r="T321" s="43">
        <v>60.0</v>
      </c>
      <c r="U321" s="43">
        <v>20.0</v>
      </c>
      <c r="V321" s="43">
        <v>20.0</v>
      </c>
      <c r="W321" s="33">
        <f>COUNTIFS('Data For Calculation - Insuranc'!A:A,A321,'Data For Calculation - Insuranc'!D:D,"Company",'Data For Calculation - Insuranc'!E:E,"Bundled - 1 Year OD + 5 Year TP")</f>
        <v>0</v>
      </c>
      <c r="X321" s="34" t="s">
        <v>3929</v>
      </c>
      <c r="Y321" s="42" t="s">
        <v>3854</v>
      </c>
      <c r="Z321" s="31">
        <v>290.0</v>
      </c>
      <c r="AA321" s="34" t="s">
        <v>3853</v>
      </c>
      <c r="AB321" s="34">
        <v>0.0</v>
      </c>
      <c r="AC321" s="34">
        <v>100.0</v>
      </c>
      <c r="AD321" s="34">
        <v>0.0</v>
      </c>
      <c r="AE321" s="34">
        <v>0.0</v>
      </c>
      <c r="AF321" s="33">
        <f>COUNTIFS('Data For Calculation - Insuranc'!A:A,A321,'Data For Calculation - Insuranc'!D:D,"Individual",'Data For Calculation - Insuranc'!E:E,"Rollover Comprehensive - 1 Year OD + 1 Year TP")</f>
        <v>0</v>
      </c>
      <c r="AG321" s="34" t="s">
        <v>3930</v>
      </c>
      <c r="AH321" s="42" t="s">
        <v>3854</v>
      </c>
      <c r="AI321" s="31">
        <v>290.0</v>
      </c>
      <c r="AJ321" s="34" t="s">
        <v>3853</v>
      </c>
      <c r="AK321" s="34">
        <v>0.0</v>
      </c>
      <c r="AL321" s="34">
        <v>100.0</v>
      </c>
      <c r="AM321" s="34">
        <v>0.0</v>
      </c>
      <c r="AN321" s="34">
        <v>0.0</v>
      </c>
      <c r="AO321" s="33">
        <f>COUNTIFS('Data For Calculation - Insuranc'!A:A,A321,'Data For Calculation - Insuranc'!D:D,"Company",'Data For Calculation - Insuranc'!E:E,"Rollover Comprehensive - 1 Year OD + 1 Year TP")</f>
        <v>0</v>
      </c>
      <c r="AP321" s="34" t="s">
        <v>3931</v>
      </c>
      <c r="AQ321" s="42" t="s">
        <v>3854</v>
      </c>
      <c r="AR321" s="31">
        <v>290.0</v>
      </c>
      <c r="AS321" s="34" t="s">
        <v>3853</v>
      </c>
      <c r="AT321" s="34">
        <v>0.0</v>
      </c>
      <c r="AU321" s="34">
        <v>100.0</v>
      </c>
      <c r="AV321" s="34">
        <v>0.0</v>
      </c>
      <c r="AW321" s="34">
        <v>0.0</v>
      </c>
      <c r="AX321" s="33">
        <f>COUNTIFS('Data For Calculation - Insuranc'!A:A,A321,'Data For Calculation - Insuranc'!D:D,"Individual",'Data For Calculation - Insuranc'!E:E,"Rollover - 1 Year OD Only")</f>
        <v>0</v>
      </c>
      <c r="AY321" s="34" t="s">
        <v>3932</v>
      </c>
      <c r="AZ321" s="42" t="s">
        <v>3854</v>
      </c>
      <c r="BA321" s="31">
        <v>290.0</v>
      </c>
      <c r="BB321" s="34" t="s">
        <v>3853</v>
      </c>
      <c r="BC321" s="34">
        <v>0.0</v>
      </c>
      <c r="BD321" s="34">
        <v>100.0</v>
      </c>
      <c r="BE321" s="34">
        <v>0.0</v>
      </c>
      <c r="BF321" s="34">
        <v>0.0</v>
      </c>
      <c r="BG321" s="33">
        <f>COUNTIFS('Data For Calculation - Insuranc'!A:A,A321,'Data For Calculation - Insuranc'!D:D,"Company",'Data For Calculation - Insuranc'!E:E,"Rollover - 1 Year OD Only")</f>
        <v>0</v>
      </c>
      <c r="BH321" s="34" t="s">
        <v>3931</v>
      </c>
      <c r="BI321" s="42" t="s">
        <v>3854</v>
      </c>
      <c r="BJ321" s="31">
        <v>290.0</v>
      </c>
      <c r="BK321" s="34" t="s">
        <v>3853</v>
      </c>
      <c r="BL321" s="34">
        <v>0.0</v>
      </c>
      <c r="BM321" s="34">
        <v>100.0</v>
      </c>
      <c r="BN321" s="34">
        <v>0.0</v>
      </c>
      <c r="BO321" s="34">
        <v>0.0</v>
      </c>
      <c r="BP321" s="33">
        <f>COUNTIFS('Data For Calculation - Insuranc'!A:A,A321,'Data For Calculation - Insuranc'!D:D,"Individual",'Data For Calculation - Insuranc'!E:E,"Rollover - 1 Year TP Only")</f>
        <v>0</v>
      </c>
      <c r="BQ321" s="34" t="s">
        <v>3932</v>
      </c>
      <c r="BR321" s="42" t="s">
        <v>3854</v>
      </c>
      <c r="BS321" s="31">
        <v>290.0</v>
      </c>
      <c r="BT321" s="34" t="s">
        <v>3853</v>
      </c>
      <c r="BU321" s="34">
        <v>0.0</v>
      </c>
      <c r="BV321" s="34">
        <v>100.0</v>
      </c>
      <c r="BW321" s="34">
        <v>0.0</v>
      </c>
      <c r="BX321" s="34">
        <v>0.0</v>
      </c>
      <c r="BY321" s="33">
        <f>COUNTIFS('Data For Calculation - Insuranc'!A:A,A321,'Data For Calculation - Insuranc'!D:D,"Company",'Data For Calculation - Insuranc'!E:E,"Rollover - 1 Year TP Only")</f>
        <v>0</v>
      </c>
      <c r="BZ321" s="31">
        <f t="shared" si="1"/>
        <v>0</v>
      </c>
      <c r="CA321" s="33">
        <f>SUMIFS('Data For Calculation - Insuranc'!I:I,'Data For Calculation - Insuranc'!$A:$A,$A321)</f>
        <v>0</v>
      </c>
      <c r="CB321" s="33">
        <f>SUMIFS('Data For Calculation - Insuranc'!J:J,'Data For Calculation - Insuranc'!$A:$A,$A321)</f>
        <v>0</v>
      </c>
      <c r="CC321" s="33">
        <f>SUMIFS('Data For Calculation - Insuranc'!K:K,'Data For Calculation - Insuranc'!$A:$A,$A321)</f>
        <v>0</v>
      </c>
      <c r="CD321" s="33">
        <f>IF($CK321 = "Dealer", SUMIFS('Data For Calculation - Insuranc'!I:I,'Data For Calculation - Insuranc'!$B:$B,$A321,'Data For Calculation - Insuranc'!$H:$H,"Master Dealer")) + SUMIFS('Data For Calculation - Insuranc'!I:I,'Data For Calculation - Insuranc'!$A:$A,$A321,'Data For Calculation - Insuranc'!$H:$H,"Self")</f>
        <v>0</v>
      </c>
      <c r="CE321" s="33">
        <f>IF($CK321 = "Dealer", SUMIFS('Data For Calculation - Insuranc'!J:J,'Data For Calculation - Insuranc'!$B:$B,$A321,'Data For Calculation - Insuranc'!$H:$H,"Master Dealer")) + SUMIFS('Data For Calculation - Insuranc'!J:J,'Data For Calculation - Insuranc'!$A:$A,$A321,'Data For Calculation - Insuranc'!$H:$H,"Self")</f>
        <v>0</v>
      </c>
      <c r="CF321" s="33">
        <f>IF($CK321 = "Dealer", SUMIFS('Data For Calculation - Insuranc'!K:K,'Data For Calculation - Insuranc'!$B:$B,$A321,'Data For Calculation - Insuranc'!$H:$H,"Master Dealer")) + SUMIFS('Data For Calculation - Insuranc'!K:K,'Data For Calculation - Insuranc'!$A:$A,$A321,'Data For Calculation - Insuranc'!$H:$H,"Self")</f>
        <v>0</v>
      </c>
      <c r="CG321" s="25" t="str">
        <f>(Sheet1!N321)</f>
        <v>VAISHNO MOTORS - JHUGAWA</v>
      </c>
      <c r="CH321" s="25" t="str">
        <f>(Sheet1!O321)</f>
        <v>1T9TOPNccEkZyvcMjs5_ErkZRFNoV3A33YcZPKCnjNeI</v>
      </c>
      <c r="CI321" s="25" t="str">
        <f>(Sheet1!AV321)</f>
        <v/>
      </c>
      <c r="CJ321" s="25" t="str">
        <f>(Sheet1!AW321)</f>
        <v/>
      </c>
      <c r="CK321" s="26" t="str">
        <f>(Sheet1!P321)</f>
        <v>Sub Dealer</v>
      </c>
    </row>
    <row r="322">
      <c r="A322" s="25" t="str">
        <f>(Sheet1!A322)</f>
        <v>1HsbszineZ8va458kuZefN1vGO1MrkT5vTk2Vpv1-Znw</v>
      </c>
      <c r="B322" s="25" t="str">
        <f>(Sheet1!B322)</f>
        <v>S S MOTORS(VM) - KUSHINAGAR</v>
      </c>
      <c r="C322" s="30" t="str">
        <f>Sheet1!BB322</f>
        <v>No</v>
      </c>
      <c r="D322" s="30" t="s">
        <v>13</v>
      </c>
      <c r="E322" s="34" t="s">
        <v>13</v>
      </c>
      <c r="F322" s="34" t="s">
        <v>3929</v>
      </c>
      <c r="G322" s="42" t="s">
        <v>3854</v>
      </c>
      <c r="H322" s="43">
        <v>460.0</v>
      </c>
      <c r="I322" s="42" t="s">
        <v>3853</v>
      </c>
      <c r="J322" s="43">
        <v>20.0</v>
      </c>
      <c r="K322" s="43">
        <v>60.0</v>
      </c>
      <c r="L322" s="43">
        <v>20.0</v>
      </c>
      <c r="M322" s="43">
        <v>20.0</v>
      </c>
      <c r="N322" s="33">
        <f>COUNTIFS('Data For Calculation - Insuranc'!A:A,A322,'Data For Calculation - Insuranc'!D:D,"Individual",'Data For Calculation - Insuranc'!E:E,"Bundled - 1 Year OD + 5 Year TP")</f>
        <v>0</v>
      </c>
      <c r="O322" s="34" t="s">
        <v>3930</v>
      </c>
      <c r="P322" s="42" t="s">
        <v>3854</v>
      </c>
      <c r="Q322" s="43">
        <v>460.0</v>
      </c>
      <c r="R322" s="42" t="s">
        <v>3853</v>
      </c>
      <c r="S322" s="43">
        <v>20.0</v>
      </c>
      <c r="T322" s="43">
        <v>60.0</v>
      </c>
      <c r="U322" s="43">
        <v>20.0</v>
      </c>
      <c r="V322" s="43">
        <v>20.0</v>
      </c>
      <c r="W322" s="33">
        <f>COUNTIFS('Data For Calculation - Insuranc'!A:A,A322,'Data For Calculation - Insuranc'!D:D,"Company",'Data For Calculation - Insuranc'!E:E,"Bundled - 1 Year OD + 5 Year TP")</f>
        <v>0</v>
      </c>
      <c r="X322" s="34" t="s">
        <v>3929</v>
      </c>
      <c r="Y322" s="42" t="s">
        <v>3854</v>
      </c>
      <c r="Z322" s="31">
        <v>290.0</v>
      </c>
      <c r="AA322" s="34" t="s">
        <v>3853</v>
      </c>
      <c r="AB322" s="34">
        <v>0.0</v>
      </c>
      <c r="AC322" s="34">
        <v>100.0</v>
      </c>
      <c r="AD322" s="34">
        <v>0.0</v>
      </c>
      <c r="AE322" s="34">
        <v>0.0</v>
      </c>
      <c r="AF322" s="33">
        <f>COUNTIFS('Data For Calculation - Insuranc'!A:A,A322,'Data For Calculation - Insuranc'!D:D,"Individual",'Data For Calculation - Insuranc'!E:E,"Rollover Comprehensive - 1 Year OD + 1 Year TP")</f>
        <v>0</v>
      </c>
      <c r="AG322" s="34" t="s">
        <v>3930</v>
      </c>
      <c r="AH322" s="42" t="s">
        <v>3854</v>
      </c>
      <c r="AI322" s="31">
        <v>290.0</v>
      </c>
      <c r="AJ322" s="34" t="s">
        <v>3853</v>
      </c>
      <c r="AK322" s="34">
        <v>0.0</v>
      </c>
      <c r="AL322" s="34">
        <v>100.0</v>
      </c>
      <c r="AM322" s="34">
        <v>0.0</v>
      </c>
      <c r="AN322" s="34">
        <v>0.0</v>
      </c>
      <c r="AO322" s="33">
        <f>COUNTIFS('Data For Calculation - Insuranc'!A:A,A322,'Data For Calculation - Insuranc'!D:D,"Company",'Data For Calculation - Insuranc'!E:E,"Rollover Comprehensive - 1 Year OD + 1 Year TP")</f>
        <v>0</v>
      </c>
      <c r="AP322" s="34" t="s">
        <v>3931</v>
      </c>
      <c r="AQ322" s="42" t="s">
        <v>3854</v>
      </c>
      <c r="AR322" s="31">
        <v>290.0</v>
      </c>
      <c r="AS322" s="34" t="s">
        <v>3853</v>
      </c>
      <c r="AT322" s="34">
        <v>0.0</v>
      </c>
      <c r="AU322" s="34">
        <v>100.0</v>
      </c>
      <c r="AV322" s="34">
        <v>0.0</v>
      </c>
      <c r="AW322" s="34">
        <v>0.0</v>
      </c>
      <c r="AX322" s="33">
        <f>COUNTIFS('Data For Calculation - Insuranc'!A:A,A322,'Data For Calculation - Insuranc'!D:D,"Individual",'Data For Calculation - Insuranc'!E:E,"Rollover - 1 Year OD Only")</f>
        <v>0</v>
      </c>
      <c r="AY322" s="34" t="s">
        <v>3932</v>
      </c>
      <c r="AZ322" s="42" t="s">
        <v>3854</v>
      </c>
      <c r="BA322" s="31">
        <v>290.0</v>
      </c>
      <c r="BB322" s="34" t="s">
        <v>3853</v>
      </c>
      <c r="BC322" s="34">
        <v>0.0</v>
      </c>
      <c r="BD322" s="34">
        <v>100.0</v>
      </c>
      <c r="BE322" s="34">
        <v>0.0</v>
      </c>
      <c r="BF322" s="34">
        <v>0.0</v>
      </c>
      <c r="BG322" s="33">
        <f>COUNTIFS('Data For Calculation - Insuranc'!A:A,A322,'Data For Calculation - Insuranc'!D:D,"Company",'Data For Calculation - Insuranc'!E:E,"Rollover - 1 Year OD Only")</f>
        <v>0</v>
      </c>
      <c r="BH322" s="34" t="s">
        <v>3931</v>
      </c>
      <c r="BI322" s="42" t="s">
        <v>3854</v>
      </c>
      <c r="BJ322" s="31">
        <v>290.0</v>
      </c>
      <c r="BK322" s="34" t="s">
        <v>3853</v>
      </c>
      <c r="BL322" s="34">
        <v>0.0</v>
      </c>
      <c r="BM322" s="34">
        <v>100.0</v>
      </c>
      <c r="BN322" s="34">
        <v>0.0</v>
      </c>
      <c r="BO322" s="34">
        <v>0.0</v>
      </c>
      <c r="BP322" s="33">
        <f>COUNTIFS('Data For Calculation - Insuranc'!A:A,A322,'Data For Calculation - Insuranc'!D:D,"Individual",'Data For Calculation - Insuranc'!E:E,"Rollover - 1 Year TP Only")</f>
        <v>0</v>
      </c>
      <c r="BQ322" s="34" t="s">
        <v>3932</v>
      </c>
      <c r="BR322" s="42" t="s">
        <v>3854</v>
      </c>
      <c r="BS322" s="31">
        <v>290.0</v>
      </c>
      <c r="BT322" s="34" t="s">
        <v>3853</v>
      </c>
      <c r="BU322" s="34">
        <v>0.0</v>
      </c>
      <c r="BV322" s="34">
        <v>100.0</v>
      </c>
      <c r="BW322" s="34">
        <v>0.0</v>
      </c>
      <c r="BX322" s="34">
        <v>0.0</v>
      </c>
      <c r="BY322" s="33">
        <f>COUNTIFS('Data For Calculation - Insuranc'!A:A,A322,'Data For Calculation - Insuranc'!D:D,"Company",'Data For Calculation - Insuranc'!E:E,"Rollover - 1 Year TP Only")</f>
        <v>0</v>
      </c>
      <c r="BZ322" s="31">
        <f t="shared" si="1"/>
        <v>0</v>
      </c>
      <c r="CA322" s="33">
        <f>SUMIFS('Data For Calculation - Insuranc'!I:I,'Data For Calculation - Insuranc'!$A:$A,$A322)</f>
        <v>0</v>
      </c>
      <c r="CB322" s="33">
        <f>SUMIFS('Data For Calculation - Insuranc'!J:J,'Data For Calculation - Insuranc'!$A:$A,$A322)</f>
        <v>0</v>
      </c>
      <c r="CC322" s="33">
        <f>SUMIFS('Data For Calculation - Insuranc'!K:K,'Data For Calculation - Insuranc'!$A:$A,$A322)</f>
        <v>0</v>
      </c>
      <c r="CD322" s="33">
        <f>IF($CK322 = "Dealer", SUMIFS('Data For Calculation - Insuranc'!I:I,'Data For Calculation - Insuranc'!$B:$B,$A322,'Data For Calculation - Insuranc'!$H:$H,"Master Dealer")) + SUMIFS('Data For Calculation - Insuranc'!I:I,'Data For Calculation - Insuranc'!$A:$A,$A322,'Data For Calculation - Insuranc'!$H:$H,"Self")</f>
        <v>0</v>
      </c>
      <c r="CE322" s="33">
        <f>IF($CK322 = "Dealer", SUMIFS('Data For Calculation - Insuranc'!J:J,'Data For Calculation - Insuranc'!$B:$B,$A322,'Data For Calculation - Insuranc'!$H:$H,"Master Dealer")) + SUMIFS('Data For Calculation - Insuranc'!J:J,'Data For Calculation - Insuranc'!$A:$A,$A322,'Data For Calculation - Insuranc'!$H:$H,"Self")</f>
        <v>0</v>
      </c>
      <c r="CF322" s="33">
        <f>IF($CK322 = "Dealer", SUMIFS('Data For Calculation - Insuranc'!K:K,'Data For Calculation - Insuranc'!$B:$B,$A322,'Data For Calculation - Insuranc'!$H:$H,"Master Dealer")) + SUMIFS('Data For Calculation - Insuranc'!K:K,'Data For Calculation - Insuranc'!$A:$A,$A322,'Data For Calculation - Insuranc'!$H:$H,"Self")</f>
        <v>0</v>
      </c>
      <c r="CG322" s="25" t="str">
        <f>(Sheet1!N322)</f>
        <v>VAISHNO MOTORS - JHUGAWA</v>
      </c>
      <c r="CH322" s="25" t="str">
        <f>(Sheet1!O322)</f>
        <v>1T9TOPNccEkZyvcMjs5_ErkZRFNoV3A33YcZPKCnjNeI</v>
      </c>
      <c r="CI322" s="25" t="str">
        <f>(Sheet1!AV322)</f>
        <v/>
      </c>
      <c r="CJ322" s="25" t="str">
        <f>(Sheet1!AW322)</f>
        <v/>
      </c>
      <c r="CK322" s="26" t="str">
        <f>(Sheet1!P322)</f>
        <v>Sub Dealer</v>
      </c>
    </row>
    <row r="323">
      <c r="A323" s="25" t="str">
        <f>(Sheet1!A323)</f>
        <v>1V_fMo1qdnu3csZ89JNIghSxO3e0-gG5YDEzRqHF_0Wk</v>
      </c>
      <c r="B323" s="25" t="str">
        <f>(Sheet1!B323)</f>
        <v>C.K.R MOTORS (VM) - KUSHINAGAR</v>
      </c>
      <c r="C323" s="30" t="str">
        <f>Sheet1!BB323</f>
        <v>No</v>
      </c>
      <c r="D323" s="30" t="s">
        <v>13</v>
      </c>
      <c r="E323" s="34" t="s">
        <v>13</v>
      </c>
      <c r="F323" s="34" t="s">
        <v>3929</v>
      </c>
      <c r="G323" s="42" t="s">
        <v>3854</v>
      </c>
      <c r="H323" s="43">
        <v>460.0</v>
      </c>
      <c r="I323" s="42" t="s">
        <v>3853</v>
      </c>
      <c r="J323" s="43">
        <v>20.0</v>
      </c>
      <c r="K323" s="43">
        <v>60.0</v>
      </c>
      <c r="L323" s="43">
        <v>20.0</v>
      </c>
      <c r="M323" s="43">
        <v>20.0</v>
      </c>
      <c r="N323" s="33">
        <f>COUNTIFS('Data For Calculation - Insuranc'!A:A,A323,'Data For Calculation - Insuranc'!D:D,"Individual",'Data For Calculation - Insuranc'!E:E,"Bundled - 1 Year OD + 5 Year TP")</f>
        <v>0</v>
      </c>
      <c r="O323" s="34" t="s">
        <v>3930</v>
      </c>
      <c r="P323" s="42" t="s">
        <v>3854</v>
      </c>
      <c r="Q323" s="43">
        <v>460.0</v>
      </c>
      <c r="R323" s="42" t="s">
        <v>3853</v>
      </c>
      <c r="S323" s="43">
        <v>20.0</v>
      </c>
      <c r="T323" s="43">
        <v>60.0</v>
      </c>
      <c r="U323" s="43">
        <v>20.0</v>
      </c>
      <c r="V323" s="43">
        <v>20.0</v>
      </c>
      <c r="W323" s="33">
        <f>COUNTIFS('Data For Calculation - Insuranc'!A:A,A323,'Data For Calculation - Insuranc'!D:D,"Company",'Data For Calculation - Insuranc'!E:E,"Bundled - 1 Year OD + 5 Year TP")</f>
        <v>0</v>
      </c>
      <c r="X323" s="34" t="s">
        <v>3929</v>
      </c>
      <c r="Y323" s="42" t="s">
        <v>3854</v>
      </c>
      <c r="Z323" s="31">
        <v>290.0</v>
      </c>
      <c r="AA323" s="34" t="s">
        <v>3853</v>
      </c>
      <c r="AB323" s="34">
        <v>0.0</v>
      </c>
      <c r="AC323" s="34">
        <v>100.0</v>
      </c>
      <c r="AD323" s="34">
        <v>0.0</v>
      </c>
      <c r="AE323" s="34">
        <v>0.0</v>
      </c>
      <c r="AF323" s="33">
        <f>COUNTIFS('Data For Calculation - Insuranc'!A:A,A323,'Data For Calculation - Insuranc'!D:D,"Individual",'Data For Calculation - Insuranc'!E:E,"Rollover Comprehensive - 1 Year OD + 1 Year TP")</f>
        <v>0</v>
      </c>
      <c r="AG323" s="34" t="s">
        <v>3930</v>
      </c>
      <c r="AH323" s="42" t="s">
        <v>3854</v>
      </c>
      <c r="AI323" s="31">
        <v>290.0</v>
      </c>
      <c r="AJ323" s="34" t="s">
        <v>3853</v>
      </c>
      <c r="AK323" s="34">
        <v>0.0</v>
      </c>
      <c r="AL323" s="34">
        <v>100.0</v>
      </c>
      <c r="AM323" s="34">
        <v>0.0</v>
      </c>
      <c r="AN323" s="34">
        <v>0.0</v>
      </c>
      <c r="AO323" s="33">
        <f>COUNTIFS('Data For Calculation - Insuranc'!A:A,A323,'Data For Calculation - Insuranc'!D:D,"Company",'Data For Calculation - Insuranc'!E:E,"Rollover Comprehensive - 1 Year OD + 1 Year TP")</f>
        <v>0</v>
      </c>
      <c r="AP323" s="34" t="s">
        <v>3931</v>
      </c>
      <c r="AQ323" s="42" t="s">
        <v>3854</v>
      </c>
      <c r="AR323" s="31">
        <v>290.0</v>
      </c>
      <c r="AS323" s="34" t="s">
        <v>3853</v>
      </c>
      <c r="AT323" s="34">
        <v>0.0</v>
      </c>
      <c r="AU323" s="34">
        <v>100.0</v>
      </c>
      <c r="AV323" s="34">
        <v>0.0</v>
      </c>
      <c r="AW323" s="34">
        <v>0.0</v>
      </c>
      <c r="AX323" s="33">
        <f>COUNTIFS('Data For Calculation - Insuranc'!A:A,A323,'Data For Calculation - Insuranc'!D:D,"Individual",'Data For Calculation - Insuranc'!E:E,"Rollover - 1 Year OD Only")</f>
        <v>0</v>
      </c>
      <c r="AY323" s="34" t="s">
        <v>3932</v>
      </c>
      <c r="AZ323" s="42" t="s">
        <v>3854</v>
      </c>
      <c r="BA323" s="31">
        <v>290.0</v>
      </c>
      <c r="BB323" s="34" t="s">
        <v>3853</v>
      </c>
      <c r="BC323" s="34">
        <v>0.0</v>
      </c>
      <c r="BD323" s="34">
        <v>100.0</v>
      </c>
      <c r="BE323" s="34">
        <v>0.0</v>
      </c>
      <c r="BF323" s="34">
        <v>0.0</v>
      </c>
      <c r="BG323" s="33">
        <f>COUNTIFS('Data For Calculation - Insuranc'!A:A,A323,'Data For Calculation - Insuranc'!D:D,"Company",'Data For Calculation - Insuranc'!E:E,"Rollover - 1 Year OD Only")</f>
        <v>0</v>
      </c>
      <c r="BH323" s="34" t="s">
        <v>3931</v>
      </c>
      <c r="BI323" s="42" t="s">
        <v>3854</v>
      </c>
      <c r="BJ323" s="31">
        <v>290.0</v>
      </c>
      <c r="BK323" s="34" t="s">
        <v>3853</v>
      </c>
      <c r="BL323" s="34">
        <v>0.0</v>
      </c>
      <c r="BM323" s="34">
        <v>100.0</v>
      </c>
      <c r="BN323" s="34">
        <v>0.0</v>
      </c>
      <c r="BO323" s="34">
        <v>0.0</v>
      </c>
      <c r="BP323" s="33">
        <f>COUNTIFS('Data For Calculation - Insuranc'!A:A,A323,'Data For Calculation - Insuranc'!D:D,"Individual",'Data For Calculation - Insuranc'!E:E,"Rollover - 1 Year TP Only")</f>
        <v>0</v>
      </c>
      <c r="BQ323" s="34" t="s">
        <v>3932</v>
      </c>
      <c r="BR323" s="42" t="s">
        <v>3854</v>
      </c>
      <c r="BS323" s="31">
        <v>290.0</v>
      </c>
      <c r="BT323" s="34" t="s">
        <v>3853</v>
      </c>
      <c r="BU323" s="34">
        <v>0.0</v>
      </c>
      <c r="BV323" s="34">
        <v>100.0</v>
      </c>
      <c r="BW323" s="34">
        <v>0.0</v>
      </c>
      <c r="BX323" s="34">
        <v>0.0</v>
      </c>
      <c r="BY323" s="33">
        <f>COUNTIFS('Data For Calculation - Insuranc'!A:A,A323,'Data For Calculation - Insuranc'!D:D,"Company",'Data For Calculation - Insuranc'!E:E,"Rollover - 1 Year TP Only")</f>
        <v>0</v>
      </c>
      <c r="BZ323" s="31">
        <f t="shared" si="1"/>
        <v>0</v>
      </c>
      <c r="CA323" s="33">
        <f>SUMIFS('Data For Calculation - Insuranc'!I:I,'Data For Calculation - Insuranc'!$A:$A,$A323)</f>
        <v>0</v>
      </c>
      <c r="CB323" s="33">
        <f>SUMIFS('Data For Calculation - Insuranc'!J:J,'Data For Calculation - Insuranc'!$A:$A,$A323)</f>
        <v>0</v>
      </c>
      <c r="CC323" s="33">
        <f>SUMIFS('Data For Calculation - Insuranc'!K:K,'Data For Calculation - Insuranc'!$A:$A,$A323)</f>
        <v>0</v>
      </c>
      <c r="CD323" s="33">
        <f>IF($CK323 = "Dealer", SUMIFS('Data For Calculation - Insuranc'!I:I,'Data For Calculation - Insuranc'!$B:$B,$A323,'Data For Calculation - Insuranc'!$H:$H,"Master Dealer")) + SUMIFS('Data For Calculation - Insuranc'!I:I,'Data For Calculation - Insuranc'!$A:$A,$A323,'Data For Calculation - Insuranc'!$H:$H,"Self")</f>
        <v>0</v>
      </c>
      <c r="CE323" s="33">
        <f>IF($CK323 = "Dealer", SUMIFS('Data For Calculation - Insuranc'!J:J,'Data For Calculation - Insuranc'!$B:$B,$A323,'Data For Calculation - Insuranc'!$H:$H,"Master Dealer")) + SUMIFS('Data For Calculation - Insuranc'!J:J,'Data For Calculation - Insuranc'!$A:$A,$A323,'Data For Calculation - Insuranc'!$H:$H,"Self")</f>
        <v>0</v>
      </c>
      <c r="CF323" s="33">
        <f>IF($CK323 = "Dealer", SUMIFS('Data For Calculation - Insuranc'!K:K,'Data For Calculation - Insuranc'!$B:$B,$A323,'Data For Calculation - Insuranc'!$H:$H,"Master Dealer")) + SUMIFS('Data For Calculation - Insuranc'!K:K,'Data For Calculation - Insuranc'!$A:$A,$A323,'Data For Calculation - Insuranc'!$H:$H,"Self")</f>
        <v>0</v>
      </c>
      <c r="CG323" s="25" t="str">
        <f>(Sheet1!N323)</f>
        <v>VAISHNO MOTORS - JHUGAWA</v>
      </c>
      <c r="CH323" s="25" t="str">
        <f>(Sheet1!O323)</f>
        <v>1T9TOPNccEkZyvcMjs5_ErkZRFNoV3A33YcZPKCnjNeI</v>
      </c>
      <c r="CI323" s="25" t="str">
        <f>(Sheet1!AV323)</f>
        <v/>
      </c>
      <c r="CJ323" s="25" t="str">
        <f>(Sheet1!AW323)</f>
        <v/>
      </c>
      <c r="CK323" s="26" t="str">
        <f>(Sheet1!P323)</f>
        <v>Sub Dealer</v>
      </c>
    </row>
    <row r="324">
      <c r="A324" s="25" t="str">
        <f>(Sheet1!A324)</f>
        <v>1widHkGzeFIwrSJjcgWI00dRaKCvRfPAM7fIXW9w6sfc</v>
      </c>
      <c r="B324" s="25" t="str">
        <f>(Sheet1!B324)</f>
        <v>GOLU AUTOMOBILE (VM) - KUSHINAGAR</v>
      </c>
      <c r="C324" s="30" t="str">
        <f>Sheet1!BB324</f>
        <v>No</v>
      </c>
      <c r="D324" s="30" t="s">
        <v>13</v>
      </c>
      <c r="E324" s="34" t="s">
        <v>13</v>
      </c>
      <c r="F324" s="34" t="s">
        <v>3929</v>
      </c>
      <c r="G324" s="42" t="s">
        <v>3854</v>
      </c>
      <c r="H324" s="43">
        <v>460.0</v>
      </c>
      <c r="I324" s="42" t="s">
        <v>3853</v>
      </c>
      <c r="J324" s="43">
        <v>20.0</v>
      </c>
      <c r="K324" s="43">
        <v>60.0</v>
      </c>
      <c r="L324" s="43">
        <v>20.0</v>
      </c>
      <c r="M324" s="43">
        <v>20.0</v>
      </c>
      <c r="N324" s="33">
        <f>COUNTIFS('Data For Calculation - Insuranc'!A:A,A324,'Data For Calculation - Insuranc'!D:D,"Individual",'Data For Calculation - Insuranc'!E:E,"Bundled - 1 Year OD + 5 Year TP")</f>
        <v>0</v>
      </c>
      <c r="O324" s="34" t="s">
        <v>3930</v>
      </c>
      <c r="P324" s="42" t="s">
        <v>3854</v>
      </c>
      <c r="Q324" s="43">
        <v>460.0</v>
      </c>
      <c r="R324" s="42" t="s">
        <v>3853</v>
      </c>
      <c r="S324" s="43">
        <v>20.0</v>
      </c>
      <c r="T324" s="43">
        <v>60.0</v>
      </c>
      <c r="U324" s="43">
        <v>20.0</v>
      </c>
      <c r="V324" s="43">
        <v>20.0</v>
      </c>
      <c r="W324" s="33">
        <f>COUNTIFS('Data For Calculation - Insuranc'!A:A,A324,'Data For Calculation - Insuranc'!D:D,"Company",'Data For Calculation - Insuranc'!E:E,"Bundled - 1 Year OD + 5 Year TP")</f>
        <v>0</v>
      </c>
      <c r="X324" s="34" t="s">
        <v>3929</v>
      </c>
      <c r="Y324" s="42" t="s">
        <v>3854</v>
      </c>
      <c r="Z324" s="31">
        <v>290.0</v>
      </c>
      <c r="AA324" s="34" t="s">
        <v>3853</v>
      </c>
      <c r="AB324" s="34">
        <v>0.0</v>
      </c>
      <c r="AC324" s="34">
        <v>100.0</v>
      </c>
      <c r="AD324" s="34">
        <v>0.0</v>
      </c>
      <c r="AE324" s="34">
        <v>0.0</v>
      </c>
      <c r="AF324" s="33">
        <f>COUNTIFS('Data For Calculation - Insuranc'!A:A,A324,'Data For Calculation - Insuranc'!D:D,"Individual",'Data For Calculation - Insuranc'!E:E,"Rollover Comprehensive - 1 Year OD + 1 Year TP")</f>
        <v>0</v>
      </c>
      <c r="AG324" s="34" t="s">
        <v>3930</v>
      </c>
      <c r="AH324" s="42" t="s">
        <v>3854</v>
      </c>
      <c r="AI324" s="31">
        <v>290.0</v>
      </c>
      <c r="AJ324" s="34" t="s">
        <v>3853</v>
      </c>
      <c r="AK324" s="34">
        <v>0.0</v>
      </c>
      <c r="AL324" s="34">
        <v>100.0</v>
      </c>
      <c r="AM324" s="34">
        <v>0.0</v>
      </c>
      <c r="AN324" s="34">
        <v>0.0</v>
      </c>
      <c r="AO324" s="33">
        <f>COUNTIFS('Data For Calculation - Insuranc'!A:A,A324,'Data For Calculation - Insuranc'!D:D,"Company",'Data For Calculation - Insuranc'!E:E,"Rollover Comprehensive - 1 Year OD + 1 Year TP")</f>
        <v>0</v>
      </c>
      <c r="AP324" s="34" t="s">
        <v>3931</v>
      </c>
      <c r="AQ324" s="42" t="s">
        <v>3854</v>
      </c>
      <c r="AR324" s="31">
        <v>290.0</v>
      </c>
      <c r="AS324" s="34" t="s">
        <v>3853</v>
      </c>
      <c r="AT324" s="34">
        <v>0.0</v>
      </c>
      <c r="AU324" s="34">
        <v>100.0</v>
      </c>
      <c r="AV324" s="34">
        <v>0.0</v>
      </c>
      <c r="AW324" s="34">
        <v>0.0</v>
      </c>
      <c r="AX324" s="33">
        <f>COUNTIFS('Data For Calculation - Insuranc'!A:A,A324,'Data For Calculation - Insuranc'!D:D,"Individual",'Data For Calculation - Insuranc'!E:E,"Rollover - 1 Year OD Only")</f>
        <v>0</v>
      </c>
      <c r="AY324" s="34" t="s">
        <v>3932</v>
      </c>
      <c r="AZ324" s="42" t="s">
        <v>3854</v>
      </c>
      <c r="BA324" s="31">
        <v>290.0</v>
      </c>
      <c r="BB324" s="34" t="s">
        <v>3853</v>
      </c>
      <c r="BC324" s="34">
        <v>0.0</v>
      </c>
      <c r="BD324" s="34">
        <v>100.0</v>
      </c>
      <c r="BE324" s="34">
        <v>0.0</v>
      </c>
      <c r="BF324" s="34">
        <v>0.0</v>
      </c>
      <c r="BG324" s="33">
        <f>COUNTIFS('Data For Calculation - Insuranc'!A:A,A324,'Data For Calculation - Insuranc'!D:D,"Company",'Data For Calculation - Insuranc'!E:E,"Rollover - 1 Year OD Only")</f>
        <v>0</v>
      </c>
      <c r="BH324" s="34" t="s">
        <v>3931</v>
      </c>
      <c r="BI324" s="42" t="s">
        <v>3854</v>
      </c>
      <c r="BJ324" s="31">
        <v>290.0</v>
      </c>
      <c r="BK324" s="34" t="s">
        <v>3853</v>
      </c>
      <c r="BL324" s="34">
        <v>0.0</v>
      </c>
      <c r="BM324" s="34">
        <v>100.0</v>
      </c>
      <c r="BN324" s="34">
        <v>0.0</v>
      </c>
      <c r="BO324" s="34">
        <v>0.0</v>
      </c>
      <c r="BP324" s="33">
        <f>COUNTIFS('Data For Calculation - Insuranc'!A:A,A324,'Data For Calculation - Insuranc'!D:D,"Individual",'Data For Calculation - Insuranc'!E:E,"Rollover - 1 Year TP Only")</f>
        <v>0</v>
      </c>
      <c r="BQ324" s="34" t="s">
        <v>3932</v>
      </c>
      <c r="BR324" s="42" t="s">
        <v>3854</v>
      </c>
      <c r="BS324" s="31">
        <v>290.0</v>
      </c>
      <c r="BT324" s="34" t="s">
        <v>3853</v>
      </c>
      <c r="BU324" s="34">
        <v>0.0</v>
      </c>
      <c r="BV324" s="34">
        <v>100.0</v>
      </c>
      <c r="BW324" s="34">
        <v>0.0</v>
      </c>
      <c r="BX324" s="34">
        <v>0.0</v>
      </c>
      <c r="BY324" s="33">
        <f>COUNTIFS('Data For Calculation - Insuranc'!A:A,A324,'Data For Calculation - Insuranc'!D:D,"Company",'Data For Calculation - Insuranc'!E:E,"Rollover - 1 Year TP Only")</f>
        <v>0</v>
      </c>
      <c r="BZ324" s="31">
        <f t="shared" si="1"/>
        <v>0</v>
      </c>
      <c r="CA324" s="33">
        <f>SUMIFS('Data For Calculation - Insuranc'!I:I,'Data For Calculation - Insuranc'!$A:$A,$A324)</f>
        <v>0</v>
      </c>
      <c r="CB324" s="33">
        <f>SUMIFS('Data For Calculation - Insuranc'!J:J,'Data For Calculation - Insuranc'!$A:$A,$A324)</f>
        <v>0</v>
      </c>
      <c r="CC324" s="33">
        <f>SUMIFS('Data For Calculation - Insuranc'!K:K,'Data For Calculation - Insuranc'!$A:$A,$A324)</f>
        <v>0</v>
      </c>
      <c r="CD324" s="33">
        <f>IF($CK324 = "Dealer", SUMIFS('Data For Calculation - Insuranc'!I:I,'Data For Calculation - Insuranc'!$B:$B,$A324,'Data For Calculation - Insuranc'!$H:$H,"Master Dealer")) + SUMIFS('Data For Calculation - Insuranc'!I:I,'Data For Calculation - Insuranc'!$A:$A,$A324,'Data For Calculation - Insuranc'!$H:$H,"Self")</f>
        <v>0</v>
      </c>
      <c r="CE324" s="33">
        <f>IF($CK324 = "Dealer", SUMIFS('Data For Calculation - Insuranc'!J:J,'Data For Calculation - Insuranc'!$B:$B,$A324,'Data For Calculation - Insuranc'!$H:$H,"Master Dealer")) + SUMIFS('Data For Calculation - Insuranc'!J:J,'Data For Calculation - Insuranc'!$A:$A,$A324,'Data For Calculation - Insuranc'!$H:$H,"Self")</f>
        <v>0</v>
      </c>
      <c r="CF324" s="33">
        <f>IF($CK324 = "Dealer", SUMIFS('Data For Calculation - Insuranc'!K:K,'Data For Calculation - Insuranc'!$B:$B,$A324,'Data For Calculation - Insuranc'!$H:$H,"Master Dealer")) + SUMIFS('Data For Calculation - Insuranc'!K:K,'Data For Calculation - Insuranc'!$A:$A,$A324,'Data For Calculation - Insuranc'!$H:$H,"Self")</f>
        <v>0</v>
      </c>
      <c r="CG324" s="25" t="str">
        <f>(Sheet1!N324)</f>
        <v>VAISHNO MOTORS - JHUGAWA</v>
      </c>
      <c r="CH324" s="25" t="str">
        <f>(Sheet1!O324)</f>
        <v>1T9TOPNccEkZyvcMjs5_ErkZRFNoV3A33YcZPKCnjNeI</v>
      </c>
      <c r="CI324" s="25" t="str">
        <f>(Sheet1!AV324)</f>
        <v/>
      </c>
      <c r="CJ324" s="25" t="str">
        <f>(Sheet1!AW324)</f>
        <v/>
      </c>
      <c r="CK324" s="26" t="str">
        <f>(Sheet1!P324)</f>
        <v>Sub Dealer</v>
      </c>
    </row>
    <row r="325">
      <c r="A325" s="25" t="str">
        <f>(Sheet1!A325)</f>
        <v>16tjO40jnriUy06QB22S0NR8Wknhx9T0lcBH_yEqsZIw</v>
      </c>
      <c r="B325" s="25" t="str">
        <f>(Sheet1!B325)</f>
        <v>TANUSHKA HERO- GWALIOR</v>
      </c>
      <c r="C325" s="30" t="str">
        <f>Sheet1!BB325</f>
        <v>No</v>
      </c>
      <c r="D325" s="30" t="s">
        <v>13</v>
      </c>
      <c r="E325" s="34" t="s">
        <v>13</v>
      </c>
      <c r="F325" s="34" t="s">
        <v>3929</v>
      </c>
      <c r="G325" s="42" t="s">
        <v>3854</v>
      </c>
      <c r="H325" s="43">
        <v>460.0</v>
      </c>
      <c r="I325" s="42" t="s">
        <v>3853</v>
      </c>
      <c r="J325" s="43">
        <v>20.0</v>
      </c>
      <c r="K325" s="43">
        <v>60.0</v>
      </c>
      <c r="L325" s="43">
        <v>20.0</v>
      </c>
      <c r="M325" s="43">
        <v>20.0</v>
      </c>
      <c r="N325" s="33">
        <f>COUNTIFS('Data For Calculation - Insuranc'!A:A,A325,'Data For Calculation - Insuranc'!D:D,"Individual",'Data For Calculation - Insuranc'!E:E,"Bundled - 1 Year OD + 5 Year TP")</f>
        <v>0</v>
      </c>
      <c r="O325" s="34" t="s">
        <v>3930</v>
      </c>
      <c r="P325" s="42" t="s">
        <v>3854</v>
      </c>
      <c r="Q325" s="43">
        <v>460.0</v>
      </c>
      <c r="R325" s="42" t="s">
        <v>3853</v>
      </c>
      <c r="S325" s="43">
        <v>20.0</v>
      </c>
      <c r="T325" s="43">
        <v>60.0</v>
      </c>
      <c r="U325" s="43">
        <v>20.0</v>
      </c>
      <c r="V325" s="43">
        <v>20.0</v>
      </c>
      <c r="W325" s="33">
        <f>COUNTIFS('Data For Calculation - Insuranc'!A:A,A325,'Data For Calculation - Insuranc'!D:D,"Company",'Data For Calculation - Insuranc'!E:E,"Bundled - 1 Year OD + 5 Year TP")</f>
        <v>0</v>
      </c>
      <c r="X325" s="34" t="s">
        <v>3929</v>
      </c>
      <c r="Y325" s="42" t="s">
        <v>3854</v>
      </c>
      <c r="Z325" s="31">
        <v>290.0</v>
      </c>
      <c r="AA325" s="34" t="s">
        <v>3853</v>
      </c>
      <c r="AB325" s="34">
        <v>0.0</v>
      </c>
      <c r="AC325" s="34">
        <v>100.0</v>
      </c>
      <c r="AD325" s="34">
        <v>0.0</v>
      </c>
      <c r="AE325" s="34">
        <v>0.0</v>
      </c>
      <c r="AF325" s="33">
        <f>COUNTIFS('Data For Calculation - Insuranc'!A:A,A325,'Data For Calculation - Insuranc'!D:D,"Individual",'Data For Calculation - Insuranc'!E:E,"Rollover Comprehensive - 1 Year OD + 1 Year TP")</f>
        <v>0</v>
      </c>
      <c r="AG325" s="34" t="s">
        <v>3930</v>
      </c>
      <c r="AH325" s="42" t="s">
        <v>3854</v>
      </c>
      <c r="AI325" s="31">
        <v>290.0</v>
      </c>
      <c r="AJ325" s="34" t="s">
        <v>3853</v>
      </c>
      <c r="AK325" s="34">
        <v>0.0</v>
      </c>
      <c r="AL325" s="34">
        <v>100.0</v>
      </c>
      <c r="AM325" s="34">
        <v>0.0</v>
      </c>
      <c r="AN325" s="34">
        <v>0.0</v>
      </c>
      <c r="AO325" s="33">
        <f>COUNTIFS('Data For Calculation - Insuranc'!A:A,A325,'Data For Calculation - Insuranc'!D:D,"Company",'Data For Calculation - Insuranc'!E:E,"Rollover Comprehensive - 1 Year OD + 1 Year TP")</f>
        <v>0</v>
      </c>
      <c r="AP325" s="34" t="s">
        <v>3931</v>
      </c>
      <c r="AQ325" s="42" t="s">
        <v>3854</v>
      </c>
      <c r="AR325" s="31">
        <v>290.0</v>
      </c>
      <c r="AS325" s="34" t="s">
        <v>3853</v>
      </c>
      <c r="AT325" s="34">
        <v>0.0</v>
      </c>
      <c r="AU325" s="34">
        <v>100.0</v>
      </c>
      <c r="AV325" s="34">
        <v>0.0</v>
      </c>
      <c r="AW325" s="34">
        <v>0.0</v>
      </c>
      <c r="AX325" s="33">
        <f>COUNTIFS('Data For Calculation - Insuranc'!A:A,A325,'Data For Calculation - Insuranc'!D:D,"Individual",'Data For Calculation - Insuranc'!E:E,"Rollover - 1 Year OD Only")</f>
        <v>0</v>
      </c>
      <c r="AY325" s="34" t="s">
        <v>3932</v>
      </c>
      <c r="AZ325" s="42" t="s">
        <v>3854</v>
      </c>
      <c r="BA325" s="31">
        <v>290.0</v>
      </c>
      <c r="BB325" s="34" t="s">
        <v>3853</v>
      </c>
      <c r="BC325" s="34">
        <v>0.0</v>
      </c>
      <c r="BD325" s="34">
        <v>100.0</v>
      </c>
      <c r="BE325" s="34">
        <v>0.0</v>
      </c>
      <c r="BF325" s="34">
        <v>0.0</v>
      </c>
      <c r="BG325" s="33">
        <f>COUNTIFS('Data For Calculation - Insuranc'!A:A,A325,'Data For Calculation - Insuranc'!D:D,"Company",'Data For Calculation - Insuranc'!E:E,"Rollover - 1 Year OD Only")</f>
        <v>0</v>
      </c>
      <c r="BH325" s="34" t="s">
        <v>3931</v>
      </c>
      <c r="BI325" s="42" t="s">
        <v>3854</v>
      </c>
      <c r="BJ325" s="31">
        <v>290.0</v>
      </c>
      <c r="BK325" s="34" t="s">
        <v>3853</v>
      </c>
      <c r="BL325" s="34">
        <v>0.0</v>
      </c>
      <c r="BM325" s="34">
        <v>100.0</v>
      </c>
      <c r="BN325" s="34">
        <v>0.0</v>
      </c>
      <c r="BO325" s="34">
        <v>0.0</v>
      </c>
      <c r="BP325" s="33">
        <f>COUNTIFS('Data For Calculation - Insuranc'!A:A,A325,'Data For Calculation - Insuranc'!D:D,"Individual",'Data For Calculation - Insuranc'!E:E,"Rollover - 1 Year TP Only")</f>
        <v>0</v>
      </c>
      <c r="BQ325" s="34" t="s">
        <v>3932</v>
      </c>
      <c r="BR325" s="42" t="s">
        <v>3854</v>
      </c>
      <c r="BS325" s="31">
        <v>290.0</v>
      </c>
      <c r="BT325" s="34" t="s">
        <v>3853</v>
      </c>
      <c r="BU325" s="34">
        <v>0.0</v>
      </c>
      <c r="BV325" s="34">
        <v>100.0</v>
      </c>
      <c r="BW325" s="34">
        <v>0.0</v>
      </c>
      <c r="BX325" s="34">
        <v>0.0</v>
      </c>
      <c r="BY325" s="33">
        <f>COUNTIFS('Data For Calculation - Insuranc'!A:A,A325,'Data For Calculation - Insuranc'!D:D,"Company",'Data For Calculation - Insuranc'!E:E,"Rollover - 1 Year TP Only")</f>
        <v>0</v>
      </c>
      <c r="BZ325" s="31">
        <f t="shared" si="1"/>
        <v>0</v>
      </c>
      <c r="CA325" s="33">
        <f>SUMIFS('Data For Calculation - Insuranc'!I:I,'Data For Calculation - Insuranc'!$A:$A,$A325)</f>
        <v>0</v>
      </c>
      <c r="CB325" s="33">
        <f>SUMIFS('Data For Calculation - Insuranc'!J:J,'Data For Calculation - Insuranc'!$A:$A,$A325)</f>
        <v>0</v>
      </c>
      <c r="CC325" s="33">
        <f>SUMIFS('Data For Calculation - Insuranc'!K:K,'Data For Calculation - Insuranc'!$A:$A,$A325)</f>
        <v>0</v>
      </c>
      <c r="CD325" s="33">
        <f>IF($CK325 = "Dealer", SUMIFS('Data For Calculation - Insuranc'!I:I,'Data For Calculation - Insuranc'!$B:$B,$A325,'Data For Calculation - Insuranc'!$H:$H,"Master Dealer")) + SUMIFS('Data For Calculation - Insuranc'!I:I,'Data For Calculation - Insuranc'!$A:$A,$A325,'Data For Calculation - Insuranc'!$H:$H,"Self")</f>
        <v>0</v>
      </c>
      <c r="CE325" s="33">
        <f>IF($CK325 = "Dealer", SUMIFS('Data For Calculation - Insuranc'!J:J,'Data For Calculation - Insuranc'!$B:$B,$A325,'Data For Calculation - Insuranc'!$H:$H,"Master Dealer")) + SUMIFS('Data For Calculation - Insuranc'!J:J,'Data For Calculation - Insuranc'!$A:$A,$A325,'Data For Calculation - Insuranc'!$H:$H,"Self")</f>
        <v>0</v>
      </c>
      <c r="CF325" s="33">
        <f>IF($CK325 = "Dealer", SUMIFS('Data For Calculation - Insuranc'!K:K,'Data For Calculation - Insuranc'!$B:$B,$A325,'Data For Calculation - Insuranc'!$H:$H,"Master Dealer")) + SUMIFS('Data For Calculation - Insuranc'!K:K,'Data For Calculation - Insuranc'!$A:$A,$A325,'Data For Calculation - Insuranc'!$H:$H,"Self")</f>
        <v>0</v>
      </c>
      <c r="CG325" s="25" t="str">
        <f>(Sheet1!N325)</f>
        <v>TANUSHKA HERO- GWALIOR</v>
      </c>
      <c r="CH325" s="25" t="str">
        <f>(Sheet1!O325)</f>
        <v>16tjO40jnriUy06QB22S0NR8Wknhx9T0lcBH_yEqsZIw</v>
      </c>
      <c r="CI325" s="25" t="str">
        <f>(Sheet1!AV325)</f>
        <v/>
      </c>
      <c r="CJ325" s="25" t="str">
        <f>(Sheet1!AW325)</f>
        <v/>
      </c>
      <c r="CK325" s="26" t="str">
        <f>(Sheet1!P325)</f>
        <v>Dealer</v>
      </c>
    </row>
    <row r="326">
      <c r="A326" s="25" t="str">
        <f>(Sheet1!A326)</f>
        <v>1D40bKySVAERErGis9rDO7LQ53qmdU5GNEz2GXvuNXng</v>
      </c>
      <c r="B326" s="25" t="str">
        <f>(Sheet1!B326)</f>
        <v>BABA AUTOMOBILES- SHAJAPUR</v>
      </c>
      <c r="C326" s="30" t="str">
        <f>Sheet1!BB326</f>
        <v>No</v>
      </c>
      <c r="D326" s="30" t="s">
        <v>13</v>
      </c>
      <c r="E326" s="34" t="s">
        <v>13</v>
      </c>
      <c r="F326" s="34" t="s">
        <v>3929</v>
      </c>
      <c r="G326" s="42" t="s">
        <v>3854</v>
      </c>
      <c r="H326" s="43">
        <v>460.0</v>
      </c>
      <c r="I326" s="42" t="s">
        <v>3853</v>
      </c>
      <c r="J326" s="43">
        <v>20.0</v>
      </c>
      <c r="K326" s="43">
        <v>60.0</v>
      </c>
      <c r="L326" s="43">
        <v>20.0</v>
      </c>
      <c r="M326" s="43">
        <v>20.0</v>
      </c>
      <c r="N326" s="33">
        <f>COUNTIFS('Data For Calculation - Insuranc'!A:A,A326,'Data For Calculation - Insuranc'!D:D,"Individual",'Data For Calculation - Insuranc'!E:E,"Bundled - 1 Year OD + 5 Year TP")</f>
        <v>0</v>
      </c>
      <c r="O326" s="34" t="s">
        <v>3930</v>
      </c>
      <c r="P326" s="42" t="s">
        <v>3854</v>
      </c>
      <c r="Q326" s="43">
        <v>460.0</v>
      </c>
      <c r="R326" s="42" t="s">
        <v>3853</v>
      </c>
      <c r="S326" s="43">
        <v>20.0</v>
      </c>
      <c r="T326" s="43">
        <v>60.0</v>
      </c>
      <c r="U326" s="43">
        <v>20.0</v>
      </c>
      <c r="V326" s="43">
        <v>20.0</v>
      </c>
      <c r="W326" s="33">
        <f>COUNTIFS('Data For Calculation - Insuranc'!A:A,A326,'Data For Calculation - Insuranc'!D:D,"Company",'Data For Calculation - Insuranc'!E:E,"Bundled - 1 Year OD + 5 Year TP")</f>
        <v>0</v>
      </c>
      <c r="X326" s="34" t="s">
        <v>3929</v>
      </c>
      <c r="Y326" s="42" t="s">
        <v>3854</v>
      </c>
      <c r="Z326" s="31">
        <v>290.0</v>
      </c>
      <c r="AA326" s="34" t="s">
        <v>3853</v>
      </c>
      <c r="AB326" s="34">
        <v>0.0</v>
      </c>
      <c r="AC326" s="34">
        <v>100.0</v>
      </c>
      <c r="AD326" s="34">
        <v>0.0</v>
      </c>
      <c r="AE326" s="34">
        <v>0.0</v>
      </c>
      <c r="AF326" s="33">
        <f>COUNTIFS('Data For Calculation - Insuranc'!A:A,A326,'Data For Calculation - Insuranc'!D:D,"Individual",'Data For Calculation - Insuranc'!E:E,"Rollover Comprehensive - 1 Year OD + 1 Year TP")</f>
        <v>0</v>
      </c>
      <c r="AG326" s="34" t="s">
        <v>3930</v>
      </c>
      <c r="AH326" s="42" t="s">
        <v>3854</v>
      </c>
      <c r="AI326" s="31">
        <v>290.0</v>
      </c>
      <c r="AJ326" s="34" t="s">
        <v>3853</v>
      </c>
      <c r="AK326" s="34">
        <v>0.0</v>
      </c>
      <c r="AL326" s="34">
        <v>100.0</v>
      </c>
      <c r="AM326" s="34">
        <v>0.0</v>
      </c>
      <c r="AN326" s="34">
        <v>0.0</v>
      </c>
      <c r="AO326" s="33">
        <f>COUNTIFS('Data For Calculation - Insuranc'!A:A,A326,'Data For Calculation - Insuranc'!D:D,"Company",'Data For Calculation - Insuranc'!E:E,"Rollover Comprehensive - 1 Year OD + 1 Year TP")</f>
        <v>0</v>
      </c>
      <c r="AP326" s="34" t="s">
        <v>3931</v>
      </c>
      <c r="AQ326" s="42" t="s">
        <v>3854</v>
      </c>
      <c r="AR326" s="31">
        <v>290.0</v>
      </c>
      <c r="AS326" s="34" t="s">
        <v>3853</v>
      </c>
      <c r="AT326" s="34">
        <v>0.0</v>
      </c>
      <c r="AU326" s="34">
        <v>100.0</v>
      </c>
      <c r="AV326" s="34">
        <v>0.0</v>
      </c>
      <c r="AW326" s="34">
        <v>0.0</v>
      </c>
      <c r="AX326" s="33">
        <f>COUNTIFS('Data For Calculation - Insuranc'!A:A,A326,'Data For Calculation - Insuranc'!D:D,"Individual",'Data For Calculation - Insuranc'!E:E,"Rollover - 1 Year OD Only")</f>
        <v>0</v>
      </c>
      <c r="AY326" s="34" t="s">
        <v>3932</v>
      </c>
      <c r="AZ326" s="42" t="s">
        <v>3854</v>
      </c>
      <c r="BA326" s="31">
        <v>290.0</v>
      </c>
      <c r="BB326" s="34" t="s">
        <v>3853</v>
      </c>
      <c r="BC326" s="34">
        <v>0.0</v>
      </c>
      <c r="BD326" s="34">
        <v>100.0</v>
      </c>
      <c r="BE326" s="34">
        <v>0.0</v>
      </c>
      <c r="BF326" s="34">
        <v>0.0</v>
      </c>
      <c r="BG326" s="33">
        <f>COUNTIFS('Data For Calculation - Insuranc'!A:A,A326,'Data For Calculation - Insuranc'!D:D,"Company",'Data For Calculation - Insuranc'!E:E,"Rollover - 1 Year OD Only")</f>
        <v>0</v>
      </c>
      <c r="BH326" s="34" t="s">
        <v>3931</v>
      </c>
      <c r="BI326" s="42" t="s">
        <v>3854</v>
      </c>
      <c r="BJ326" s="31">
        <v>290.0</v>
      </c>
      <c r="BK326" s="34" t="s">
        <v>3853</v>
      </c>
      <c r="BL326" s="34">
        <v>0.0</v>
      </c>
      <c r="BM326" s="34">
        <v>100.0</v>
      </c>
      <c r="BN326" s="34">
        <v>0.0</v>
      </c>
      <c r="BO326" s="34">
        <v>0.0</v>
      </c>
      <c r="BP326" s="33">
        <f>COUNTIFS('Data For Calculation - Insuranc'!A:A,A326,'Data For Calculation - Insuranc'!D:D,"Individual",'Data For Calculation - Insuranc'!E:E,"Rollover - 1 Year TP Only")</f>
        <v>0</v>
      </c>
      <c r="BQ326" s="34" t="s">
        <v>3932</v>
      </c>
      <c r="BR326" s="42" t="s">
        <v>3854</v>
      </c>
      <c r="BS326" s="31">
        <v>290.0</v>
      </c>
      <c r="BT326" s="34" t="s">
        <v>3853</v>
      </c>
      <c r="BU326" s="34">
        <v>0.0</v>
      </c>
      <c r="BV326" s="34">
        <v>100.0</v>
      </c>
      <c r="BW326" s="34">
        <v>0.0</v>
      </c>
      <c r="BX326" s="34">
        <v>0.0</v>
      </c>
      <c r="BY326" s="33">
        <f>COUNTIFS('Data For Calculation - Insuranc'!A:A,A326,'Data For Calculation - Insuranc'!D:D,"Company",'Data For Calculation - Insuranc'!E:E,"Rollover - 1 Year TP Only")</f>
        <v>0</v>
      </c>
      <c r="BZ326" s="31">
        <f t="shared" si="1"/>
        <v>0</v>
      </c>
      <c r="CA326" s="33">
        <f>SUMIFS('Data For Calculation - Insuranc'!I:I,'Data For Calculation - Insuranc'!$A:$A,$A326)</f>
        <v>0</v>
      </c>
      <c r="CB326" s="33">
        <f>SUMIFS('Data For Calculation - Insuranc'!J:J,'Data For Calculation - Insuranc'!$A:$A,$A326)</f>
        <v>0</v>
      </c>
      <c r="CC326" s="33">
        <f>SUMIFS('Data For Calculation - Insuranc'!K:K,'Data For Calculation - Insuranc'!$A:$A,$A326)</f>
        <v>0</v>
      </c>
      <c r="CD326" s="33">
        <f>IF($CK326 = "Dealer", SUMIFS('Data For Calculation - Insuranc'!I:I,'Data For Calculation - Insuranc'!$B:$B,$A326,'Data For Calculation - Insuranc'!$H:$H,"Master Dealer")) + SUMIFS('Data For Calculation - Insuranc'!I:I,'Data For Calculation - Insuranc'!$A:$A,$A326,'Data For Calculation - Insuranc'!$H:$H,"Self")</f>
        <v>0</v>
      </c>
      <c r="CE326" s="33">
        <f>IF($CK326 = "Dealer", SUMIFS('Data For Calculation - Insuranc'!J:J,'Data For Calculation - Insuranc'!$B:$B,$A326,'Data For Calculation - Insuranc'!$H:$H,"Master Dealer")) + SUMIFS('Data For Calculation - Insuranc'!J:J,'Data For Calculation - Insuranc'!$A:$A,$A326,'Data For Calculation - Insuranc'!$H:$H,"Self")</f>
        <v>0</v>
      </c>
      <c r="CF326" s="33">
        <f>IF($CK326 = "Dealer", SUMIFS('Data For Calculation - Insuranc'!K:K,'Data For Calculation - Insuranc'!$B:$B,$A326,'Data For Calculation - Insuranc'!$H:$H,"Master Dealer")) + SUMIFS('Data For Calculation - Insuranc'!K:K,'Data For Calculation - Insuranc'!$A:$A,$A326,'Data For Calculation - Insuranc'!$H:$H,"Self")</f>
        <v>0</v>
      </c>
      <c r="CG326" s="25" t="str">
        <f>(Sheet1!N326)</f>
        <v>BABA AUTOMOBILES- SHAJAPUR</v>
      </c>
      <c r="CH326" s="25" t="str">
        <f>(Sheet1!O326)</f>
        <v>1D40bKySVAERErGis9rDO7LQ53qmdU5GNEz2GXvuNXng</v>
      </c>
      <c r="CI326" s="25" t="str">
        <f>(Sheet1!AV326)</f>
        <v/>
      </c>
      <c r="CJ326" s="25" t="str">
        <f>(Sheet1!AW326)</f>
        <v/>
      </c>
      <c r="CK326" s="26" t="str">
        <f>(Sheet1!P326)</f>
        <v>Dealer</v>
      </c>
    </row>
    <row r="327">
      <c r="A327" s="25" t="str">
        <f>(Sheet1!A327)</f>
        <v>1kOPQVkAO_ArTU1kAd_VKRa8mVwn2PXu0IkpU2xQgvUI</v>
      </c>
      <c r="B327" s="25" t="str">
        <f>(Sheet1!B327)</f>
        <v>Kapil Vashist Test</v>
      </c>
      <c r="C327" s="30" t="str">
        <f>Sheet1!BB327</f>
        <v>No</v>
      </c>
      <c r="D327" s="30" t="s">
        <v>13</v>
      </c>
      <c r="E327" s="34" t="s">
        <v>13</v>
      </c>
      <c r="F327" s="34" t="s">
        <v>3929</v>
      </c>
      <c r="G327" s="42" t="s">
        <v>3854</v>
      </c>
      <c r="H327" s="43">
        <v>460.0</v>
      </c>
      <c r="I327" s="42" t="s">
        <v>3853</v>
      </c>
      <c r="J327" s="43">
        <v>20.0</v>
      </c>
      <c r="K327" s="43">
        <v>60.0</v>
      </c>
      <c r="L327" s="43">
        <v>20.0</v>
      </c>
      <c r="M327" s="43">
        <v>20.0</v>
      </c>
      <c r="N327" s="33">
        <f>COUNTIFS('Data For Calculation - Insuranc'!A:A,A327,'Data For Calculation - Insuranc'!D:D,"Individual",'Data For Calculation - Insuranc'!E:E,"Bundled - 1 Year OD + 5 Year TP")</f>
        <v>0</v>
      </c>
      <c r="O327" s="34" t="s">
        <v>3930</v>
      </c>
      <c r="P327" s="42" t="s">
        <v>3854</v>
      </c>
      <c r="Q327" s="43">
        <v>460.0</v>
      </c>
      <c r="R327" s="42" t="s">
        <v>3853</v>
      </c>
      <c r="S327" s="43">
        <v>20.0</v>
      </c>
      <c r="T327" s="43">
        <v>60.0</v>
      </c>
      <c r="U327" s="43">
        <v>20.0</v>
      </c>
      <c r="V327" s="43">
        <v>20.0</v>
      </c>
      <c r="W327" s="33">
        <f>COUNTIFS('Data For Calculation - Insuranc'!A:A,A327,'Data For Calculation - Insuranc'!D:D,"Company",'Data For Calculation - Insuranc'!E:E,"Bundled - 1 Year OD + 5 Year TP")</f>
        <v>0</v>
      </c>
      <c r="X327" s="34" t="s">
        <v>3929</v>
      </c>
      <c r="Y327" s="42" t="s">
        <v>3854</v>
      </c>
      <c r="Z327" s="31">
        <v>290.0</v>
      </c>
      <c r="AA327" s="34" t="s">
        <v>3853</v>
      </c>
      <c r="AB327" s="34">
        <v>0.0</v>
      </c>
      <c r="AC327" s="34">
        <v>100.0</v>
      </c>
      <c r="AD327" s="34">
        <v>0.0</v>
      </c>
      <c r="AE327" s="34">
        <v>0.0</v>
      </c>
      <c r="AF327" s="33">
        <f>COUNTIFS('Data For Calculation - Insuranc'!A:A,A327,'Data For Calculation - Insuranc'!D:D,"Individual",'Data For Calculation - Insuranc'!E:E,"Rollover Comprehensive - 1 Year OD + 1 Year TP")</f>
        <v>0</v>
      </c>
      <c r="AG327" s="34" t="s">
        <v>3930</v>
      </c>
      <c r="AH327" s="42" t="s">
        <v>3854</v>
      </c>
      <c r="AI327" s="31">
        <v>290.0</v>
      </c>
      <c r="AJ327" s="34" t="s">
        <v>3853</v>
      </c>
      <c r="AK327" s="34">
        <v>0.0</v>
      </c>
      <c r="AL327" s="34">
        <v>100.0</v>
      </c>
      <c r="AM327" s="34">
        <v>0.0</v>
      </c>
      <c r="AN327" s="34">
        <v>0.0</v>
      </c>
      <c r="AO327" s="33">
        <f>COUNTIFS('Data For Calculation - Insuranc'!A:A,A327,'Data For Calculation - Insuranc'!D:D,"Company",'Data For Calculation - Insuranc'!E:E,"Rollover Comprehensive - 1 Year OD + 1 Year TP")</f>
        <v>0</v>
      </c>
      <c r="AP327" s="34" t="s">
        <v>3931</v>
      </c>
      <c r="AQ327" s="42" t="s">
        <v>3854</v>
      </c>
      <c r="AR327" s="31">
        <v>290.0</v>
      </c>
      <c r="AS327" s="34" t="s">
        <v>3853</v>
      </c>
      <c r="AT327" s="34">
        <v>0.0</v>
      </c>
      <c r="AU327" s="34">
        <v>100.0</v>
      </c>
      <c r="AV327" s="34">
        <v>0.0</v>
      </c>
      <c r="AW327" s="34">
        <v>0.0</v>
      </c>
      <c r="AX327" s="33">
        <f>COUNTIFS('Data For Calculation - Insuranc'!A:A,A327,'Data For Calculation - Insuranc'!D:D,"Individual",'Data For Calculation - Insuranc'!E:E,"Rollover - 1 Year OD Only")</f>
        <v>0</v>
      </c>
      <c r="AY327" s="34" t="s">
        <v>3932</v>
      </c>
      <c r="AZ327" s="42" t="s">
        <v>3854</v>
      </c>
      <c r="BA327" s="31">
        <v>290.0</v>
      </c>
      <c r="BB327" s="34" t="s">
        <v>3853</v>
      </c>
      <c r="BC327" s="34">
        <v>0.0</v>
      </c>
      <c r="BD327" s="34">
        <v>100.0</v>
      </c>
      <c r="BE327" s="34">
        <v>0.0</v>
      </c>
      <c r="BF327" s="34">
        <v>0.0</v>
      </c>
      <c r="BG327" s="33">
        <f>COUNTIFS('Data For Calculation - Insuranc'!A:A,A327,'Data For Calculation - Insuranc'!D:D,"Company",'Data For Calculation - Insuranc'!E:E,"Rollover - 1 Year OD Only")</f>
        <v>0</v>
      </c>
      <c r="BH327" s="34" t="s">
        <v>3931</v>
      </c>
      <c r="BI327" s="42" t="s">
        <v>3854</v>
      </c>
      <c r="BJ327" s="31">
        <v>290.0</v>
      </c>
      <c r="BK327" s="34" t="s">
        <v>3853</v>
      </c>
      <c r="BL327" s="34">
        <v>0.0</v>
      </c>
      <c r="BM327" s="34">
        <v>100.0</v>
      </c>
      <c r="BN327" s="34">
        <v>0.0</v>
      </c>
      <c r="BO327" s="34">
        <v>0.0</v>
      </c>
      <c r="BP327" s="33">
        <f>COUNTIFS('Data For Calculation - Insuranc'!A:A,A327,'Data For Calculation - Insuranc'!D:D,"Individual",'Data For Calculation - Insuranc'!E:E,"Rollover - 1 Year TP Only")</f>
        <v>0</v>
      </c>
      <c r="BQ327" s="34" t="s">
        <v>3932</v>
      </c>
      <c r="BR327" s="42" t="s">
        <v>3854</v>
      </c>
      <c r="BS327" s="31">
        <v>290.0</v>
      </c>
      <c r="BT327" s="34" t="s">
        <v>3853</v>
      </c>
      <c r="BU327" s="34">
        <v>0.0</v>
      </c>
      <c r="BV327" s="34">
        <v>100.0</v>
      </c>
      <c r="BW327" s="34">
        <v>0.0</v>
      </c>
      <c r="BX327" s="34">
        <v>0.0</v>
      </c>
      <c r="BY327" s="33">
        <f>COUNTIFS('Data For Calculation - Insuranc'!A:A,A327,'Data For Calculation - Insuranc'!D:D,"Company",'Data For Calculation - Insuranc'!E:E,"Rollover - 1 Year TP Only")</f>
        <v>0</v>
      </c>
      <c r="BZ327" s="31">
        <f t="shared" si="1"/>
        <v>0</v>
      </c>
      <c r="CA327" s="33">
        <f>SUMIFS('Data For Calculation - Insuranc'!I:I,'Data For Calculation - Insuranc'!$A:$A,$A327)</f>
        <v>0</v>
      </c>
      <c r="CB327" s="33">
        <f>SUMIFS('Data For Calculation - Insuranc'!J:J,'Data For Calculation - Insuranc'!$A:$A,$A327)</f>
        <v>0</v>
      </c>
      <c r="CC327" s="33">
        <f>SUMIFS('Data For Calculation - Insuranc'!K:K,'Data For Calculation - Insuranc'!$A:$A,$A327)</f>
        <v>0</v>
      </c>
      <c r="CD327" s="33">
        <f>IF($CK327 = "Dealer", SUMIFS('Data For Calculation - Insuranc'!I:I,'Data For Calculation - Insuranc'!$B:$B,$A327,'Data For Calculation - Insuranc'!$H:$H,"Master Dealer")) + SUMIFS('Data For Calculation - Insuranc'!I:I,'Data For Calculation - Insuranc'!$A:$A,$A327,'Data For Calculation - Insuranc'!$H:$H,"Self")</f>
        <v>0</v>
      </c>
      <c r="CE327" s="33">
        <f>IF($CK327 = "Dealer", SUMIFS('Data For Calculation - Insuranc'!J:J,'Data For Calculation - Insuranc'!$B:$B,$A327,'Data For Calculation - Insuranc'!$H:$H,"Master Dealer")) + SUMIFS('Data For Calculation - Insuranc'!J:J,'Data For Calculation - Insuranc'!$A:$A,$A327,'Data For Calculation - Insuranc'!$H:$H,"Self")</f>
        <v>0</v>
      </c>
      <c r="CF327" s="33">
        <f>IF($CK327 = "Dealer", SUMIFS('Data For Calculation - Insuranc'!K:K,'Data For Calculation - Insuranc'!$B:$B,$A327,'Data For Calculation - Insuranc'!$H:$H,"Master Dealer")) + SUMIFS('Data For Calculation - Insuranc'!K:K,'Data For Calculation - Insuranc'!$A:$A,$A327,'Data For Calculation - Insuranc'!$H:$H,"Self")</f>
        <v>0</v>
      </c>
      <c r="CG327" s="25" t="str">
        <f>(Sheet1!N327)</f>
        <v>MPS</v>
      </c>
      <c r="CH327" s="25" t="str">
        <f>(Sheet1!O327)</f>
        <v>1ClXh28BQwwGN7Q42xt0Dc8b_R_3jweBItLcbwVq3Rj0</v>
      </c>
      <c r="CI327" s="25" t="str">
        <f>(Sheet1!AV327)</f>
        <v/>
      </c>
      <c r="CJ327" s="25" t="str">
        <f>(Sheet1!AW327)</f>
        <v/>
      </c>
      <c r="CK327" s="26" t="str">
        <f>(Sheet1!P327)</f>
        <v>Sub Dealer</v>
      </c>
    </row>
    <row r="328">
      <c r="A328" s="25" t="str">
        <f>(Sheet1!A328)</f>
        <v>1mxT1doFWSIKC49QGKrgrgC6fUkICfT4DLlAcSQC9Pc4</v>
      </c>
      <c r="B328" s="25" t="str">
        <f>(Sheet1!B328)</f>
        <v>KSHIPRA HERO-UJJAIN</v>
      </c>
      <c r="C328" s="30" t="str">
        <f>Sheet1!BB328</f>
        <v>No</v>
      </c>
      <c r="D328" s="30" t="s">
        <v>13</v>
      </c>
      <c r="E328" s="34" t="s">
        <v>13</v>
      </c>
      <c r="F328" s="34" t="s">
        <v>3929</v>
      </c>
      <c r="G328" s="42" t="s">
        <v>3854</v>
      </c>
      <c r="H328" s="43">
        <v>460.0</v>
      </c>
      <c r="I328" s="42" t="s">
        <v>3853</v>
      </c>
      <c r="J328" s="43">
        <v>20.0</v>
      </c>
      <c r="K328" s="43">
        <v>60.0</v>
      </c>
      <c r="L328" s="43">
        <v>20.0</v>
      </c>
      <c r="M328" s="43">
        <v>20.0</v>
      </c>
      <c r="N328" s="33">
        <f>COUNTIFS('Data For Calculation - Insuranc'!A:A,A328,'Data For Calculation - Insuranc'!D:D,"Individual",'Data For Calculation - Insuranc'!E:E,"Bundled - 1 Year OD + 5 Year TP")</f>
        <v>0</v>
      </c>
      <c r="O328" s="34" t="s">
        <v>3930</v>
      </c>
      <c r="P328" s="42" t="s">
        <v>3854</v>
      </c>
      <c r="Q328" s="43">
        <v>460.0</v>
      </c>
      <c r="R328" s="42" t="s">
        <v>3853</v>
      </c>
      <c r="S328" s="43">
        <v>20.0</v>
      </c>
      <c r="T328" s="43">
        <v>60.0</v>
      </c>
      <c r="U328" s="43">
        <v>20.0</v>
      </c>
      <c r="V328" s="43">
        <v>20.0</v>
      </c>
      <c r="W328" s="33">
        <f>COUNTIFS('Data For Calculation - Insuranc'!A:A,A328,'Data For Calculation - Insuranc'!D:D,"Company",'Data For Calculation - Insuranc'!E:E,"Bundled - 1 Year OD + 5 Year TP")</f>
        <v>0</v>
      </c>
      <c r="X328" s="34" t="s">
        <v>3929</v>
      </c>
      <c r="Y328" s="42" t="s">
        <v>3854</v>
      </c>
      <c r="Z328" s="31">
        <v>290.0</v>
      </c>
      <c r="AA328" s="34" t="s">
        <v>3853</v>
      </c>
      <c r="AB328" s="34">
        <v>0.0</v>
      </c>
      <c r="AC328" s="34">
        <v>100.0</v>
      </c>
      <c r="AD328" s="34">
        <v>0.0</v>
      </c>
      <c r="AE328" s="34">
        <v>0.0</v>
      </c>
      <c r="AF328" s="33">
        <f>COUNTIFS('Data For Calculation - Insuranc'!A:A,A328,'Data For Calculation - Insuranc'!D:D,"Individual",'Data For Calculation - Insuranc'!E:E,"Rollover Comprehensive - 1 Year OD + 1 Year TP")</f>
        <v>0</v>
      </c>
      <c r="AG328" s="34" t="s">
        <v>3930</v>
      </c>
      <c r="AH328" s="42" t="s">
        <v>3854</v>
      </c>
      <c r="AI328" s="31">
        <v>290.0</v>
      </c>
      <c r="AJ328" s="34" t="s">
        <v>3853</v>
      </c>
      <c r="AK328" s="34">
        <v>0.0</v>
      </c>
      <c r="AL328" s="34">
        <v>100.0</v>
      </c>
      <c r="AM328" s="34">
        <v>0.0</v>
      </c>
      <c r="AN328" s="34">
        <v>0.0</v>
      </c>
      <c r="AO328" s="33">
        <f>COUNTIFS('Data For Calculation - Insuranc'!A:A,A328,'Data For Calculation - Insuranc'!D:D,"Company",'Data For Calculation - Insuranc'!E:E,"Rollover Comprehensive - 1 Year OD + 1 Year TP")</f>
        <v>0</v>
      </c>
      <c r="AP328" s="34" t="s">
        <v>3931</v>
      </c>
      <c r="AQ328" s="42" t="s">
        <v>3854</v>
      </c>
      <c r="AR328" s="31">
        <v>290.0</v>
      </c>
      <c r="AS328" s="34" t="s">
        <v>3853</v>
      </c>
      <c r="AT328" s="34">
        <v>0.0</v>
      </c>
      <c r="AU328" s="34">
        <v>100.0</v>
      </c>
      <c r="AV328" s="34">
        <v>0.0</v>
      </c>
      <c r="AW328" s="34">
        <v>0.0</v>
      </c>
      <c r="AX328" s="33">
        <f>COUNTIFS('Data For Calculation - Insuranc'!A:A,A328,'Data For Calculation - Insuranc'!D:D,"Individual",'Data For Calculation - Insuranc'!E:E,"Rollover - 1 Year OD Only")</f>
        <v>0</v>
      </c>
      <c r="AY328" s="34" t="s">
        <v>3932</v>
      </c>
      <c r="AZ328" s="42" t="s">
        <v>3854</v>
      </c>
      <c r="BA328" s="31">
        <v>290.0</v>
      </c>
      <c r="BB328" s="34" t="s">
        <v>3853</v>
      </c>
      <c r="BC328" s="34">
        <v>0.0</v>
      </c>
      <c r="BD328" s="34">
        <v>100.0</v>
      </c>
      <c r="BE328" s="34">
        <v>0.0</v>
      </c>
      <c r="BF328" s="34">
        <v>0.0</v>
      </c>
      <c r="BG328" s="33">
        <f>COUNTIFS('Data For Calculation - Insuranc'!A:A,A328,'Data For Calculation - Insuranc'!D:D,"Company",'Data For Calculation - Insuranc'!E:E,"Rollover - 1 Year OD Only")</f>
        <v>0</v>
      </c>
      <c r="BH328" s="34" t="s">
        <v>3931</v>
      </c>
      <c r="BI328" s="42" t="s">
        <v>3854</v>
      </c>
      <c r="BJ328" s="31">
        <v>290.0</v>
      </c>
      <c r="BK328" s="34" t="s">
        <v>3853</v>
      </c>
      <c r="BL328" s="34">
        <v>0.0</v>
      </c>
      <c r="BM328" s="34">
        <v>100.0</v>
      </c>
      <c r="BN328" s="34">
        <v>0.0</v>
      </c>
      <c r="BO328" s="34">
        <v>0.0</v>
      </c>
      <c r="BP328" s="33">
        <f>COUNTIFS('Data For Calculation - Insuranc'!A:A,A328,'Data For Calculation - Insuranc'!D:D,"Individual",'Data For Calculation - Insuranc'!E:E,"Rollover - 1 Year TP Only")</f>
        <v>0</v>
      </c>
      <c r="BQ328" s="34" t="s">
        <v>3932</v>
      </c>
      <c r="BR328" s="42" t="s">
        <v>3854</v>
      </c>
      <c r="BS328" s="31">
        <v>290.0</v>
      </c>
      <c r="BT328" s="34" t="s">
        <v>3853</v>
      </c>
      <c r="BU328" s="34">
        <v>0.0</v>
      </c>
      <c r="BV328" s="34">
        <v>100.0</v>
      </c>
      <c r="BW328" s="34">
        <v>0.0</v>
      </c>
      <c r="BX328" s="34">
        <v>0.0</v>
      </c>
      <c r="BY328" s="33">
        <f>COUNTIFS('Data For Calculation - Insuranc'!A:A,A328,'Data For Calculation - Insuranc'!D:D,"Company",'Data For Calculation - Insuranc'!E:E,"Rollover - 1 Year TP Only")</f>
        <v>0</v>
      </c>
      <c r="BZ328" s="31">
        <f t="shared" si="1"/>
        <v>0</v>
      </c>
      <c r="CA328" s="33">
        <f>SUMIFS('Data For Calculation - Insuranc'!I:I,'Data For Calculation - Insuranc'!$A:$A,$A328)</f>
        <v>0</v>
      </c>
      <c r="CB328" s="33">
        <f>SUMIFS('Data For Calculation - Insuranc'!J:J,'Data For Calculation - Insuranc'!$A:$A,$A328)</f>
        <v>0</v>
      </c>
      <c r="CC328" s="33">
        <f>SUMIFS('Data For Calculation - Insuranc'!K:K,'Data For Calculation - Insuranc'!$A:$A,$A328)</f>
        <v>0</v>
      </c>
      <c r="CD328" s="33">
        <f>IF($CK328 = "Dealer", SUMIFS('Data For Calculation - Insuranc'!I:I,'Data For Calculation - Insuranc'!$B:$B,$A328,'Data For Calculation - Insuranc'!$H:$H,"Master Dealer")) + SUMIFS('Data For Calculation - Insuranc'!I:I,'Data For Calculation - Insuranc'!$A:$A,$A328,'Data For Calculation - Insuranc'!$H:$H,"Self")</f>
        <v>0</v>
      </c>
      <c r="CE328" s="33">
        <f>IF($CK328 = "Dealer", SUMIFS('Data For Calculation - Insuranc'!J:J,'Data For Calculation - Insuranc'!$B:$B,$A328,'Data For Calculation - Insuranc'!$H:$H,"Master Dealer")) + SUMIFS('Data For Calculation - Insuranc'!J:J,'Data For Calculation - Insuranc'!$A:$A,$A328,'Data For Calculation - Insuranc'!$H:$H,"Self")</f>
        <v>0</v>
      </c>
      <c r="CF328" s="33">
        <f>IF($CK328 = "Dealer", SUMIFS('Data For Calculation - Insuranc'!K:K,'Data For Calculation - Insuranc'!$B:$B,$A328,'Data For Calculation - Insuranc'!$H:$H,"Master Dealer")) + SUMIFS('Data For Calculation - Insuranc'!K:K,'Data For Calculation - Insuranc'!$A:$A,$A328,'Data For Calculation - Insuranc'!$H:$H,"Self")</f>
        <v>0</v>
      </c>
      <c r="CG328" s="25" t="str">
        <f>(Sheet1!N328)</f>
        <v>KSHIPRA HERO-UJJAIN</v>
      </c>
      <c r="CH328" s="25" t="str">
        <f>(Sheet1!O328)</f>
        <v>1mxT1doFWSIKC49QGKrgrgC6fUkICfT4DLlAcSQC9Pc4</v>
      </c>
      <c r="CI328" s="25" t="str">
        <f>(Sheet1!AV328)</f>
        <v/>
      </c>
      <c r="CJ328" s="25" t="str">
        <f>(Sheet1!AW328)</f>
        <v/>
      </c>
      <c r="CK328" s="26" t="str">
        <f>(Sheet1!P328)</f>
        <v>Dealer</v>
      </c>
    </row>
    <row r="329">
      <c r="A329" s="25" t="str">
        <f>(Sheet1!A329)</f>
        <v>1Glot5DmufEUxf7sEoY2RAdbIWFVDuW2SHPtNIbHYEdc</v>
      </c>
      <c r="B329" s="25" t="str">
        <f>(Sheet1!B329)</f>
        <v>UPPER INDIA -DELHI</v>
      </c>
      <c r="C329" s="30" t="str">
        <f>Sheet1!BB329</f>
        <v>Yes</v>
      </c>
      <c r="D329" s="30" t="s">
        <v>13</v>
      </c>
      <c r="E329" s="34" t="s">
        <v>13</v>
      </c>
      <c r="F329" s="34" t="s">
        <v>3929</v>
      </c>
      <c r="G329" s="42" t="s">
        <v>3856</v>
      </c>
      <c r="H329" s="43">
        <v>100.0</v>
      </c>
      <c r="I329" s="42" t="s">
        <v>3855</v>
      </c>
      <c r="J329" s="43">
        <v>2000.0</v>
      </c>
      <c r="K329" s="43">
        <v>0.0</v>
      </c>
      <c r="L329" s="43">
        <v>100.0</v>
      </c>
      <c r="M329" s="43">
        <v>0.0</v>
      </c>
      <c r="N329" s="33">
        <f>COUNTIFS('Data For Calculation - Insuranc'!A:A,A329,'Data For Calculation - Insuranc'!D:D,"Individual",'Data For Calculation - Insuranc'!E:E,"Bundled - 1 Year OD + 5 Year TP")</f>
        <v>7</v>
      </c>
      <c r="O329" s="34" t="s">
        <v>3930</v>
      </c>
      <c r="P329" s="42" t="s">
        <v>3856</v>
      </c>
      <c r="Q329" s="43">
        <v>100.0</v>
      </c>
      <c r="R329" s="42" t="s">
        <v>3855</v>
      </c>
      <c r="S329" s="43">
        <v>2000.0</v>
      </c>
      <c r="T329" s="43">
        <v>0.0</v>
      </c>
      <c r="U329" s="43">
        <v>100.0</v>
      </c>
      <c r="V329" s="43">
        <v>0.0</v>
      </c>
      <c r="W329" s="33">
        <f>COUNTIFS('Data For Calculation - Insuranc'!A:A,A329,'Data For Calculation - Insuranc'!D:D,"Company",'Data For Calculation - Insuranc'!E:E,"Bundled - 1 Year OD + 5 Year TP")</f>
        <v>1</v>
      </c>
      <c r="X329" s="34" t="s">
        <v>3929</v>
      </c>
      <c r="Y329" s="42" t="s">
        <v>3856</v>
      </c>
      <c r="Z329" s="43">
        <v>100.0</v>
      </c>
      <c r="AA329" s="42" t="s">
        <v>3855</v>
      </c>
      <c r="AB329" s="31">
        <v>500.0</v>
      </c>
      <c r="AC329" s="43">
        <v>100.0</v>
      </c>
      <c r="AD329" s="43">
        <v>0.0</v>
      </c>
      <c r="AE329" s="43">
        <v>0.0</v>
      </c>
      <c r="AF329" s="33">
        <f>COUNTIFS('Data For Calculation - Insuranc'!A:A,A329,'Data For Calculation - Insuranc'!D:D,"Individual",'Data For Calculation - Insuranc'!E:E,"Rollover Comprehensive - 1 Year OD + 1 Year TP")</f>
        <v>0</v>
      </c>
      <c r="AG329" s="34" t="s">
        <v>3930</v>
      </c>
      <c r="AH329" s="42" t="s">
        <v>3856</v>
      </c>
      <c r="AI329" s="43">
        <v>100.0</v>
      </c>
      <c r="AJ329" s="42" t="s">
        <v>3855</v>
      </c>
      <c r="AK329" s="31">
        <v>500.0</v>
      </c>
      <c r="AL329" s="43">
        <v>100.0</v>
      </c>
      <c r="AM329" s="43">
        <v>0.0</v>
      </c>
      <c r="AN329" s="43">
        <v>0.0</v>
      </c>
      <c r="AO329" s="33">
        <f>COUNTIFS('Data For Calculation - Insuranc'!A:A,A329,'Data For Calculation - Insuranc'!D:D,"Company",'Data For Calculation - Insuranc'!E:E,"Rollover Comprehensive - 1 Year OD + 1 Year TP")</f>
        <v>0</v>
      </c>
      <c r="AP329" s="34" t="s">
        <v>3929</v>
      </c>
      <c r="AQ329" s="42" t="s">
        <v>3856</v>
      </c>
      <c r="AR329" s="43">
        <v>100.0</v>
      </c>
      <c r="AS329" s="42" t="s">
        <v>3855</v>
      </c>
      <c r="AT329" s="31">
        <v>500.0</v>
      </c>
      <c r="AU329" s="43">
        <v>100.0</v>
      </c>
      <c r="AV329" s="43">
        <v>0.0</v>
      </c>
      <c r="AW329" s="43">
        <v>0.0</v>
      </c>
      <c r="AX329" s="33">
        <f>COUNTIFS('Data For Calculation - Insuranc'!A:A,A329,'Data For Calculation - Insuranc'!D:D,"Individual",'Data For Calculation - Insuranc'!E:E,"Rollover - 1 Year OD Only")</f>
        <v>0</v>
      </c>
      <c r="AY329" s="34" t="s">
        <v>3930</v>
      </c>
      <c r="AZ329" s="42" t="s">
        <v>3856</v>
      </c>
      <c r="BA329" s="43">
        <v>100.0</v>
      </c>
      <c r="BB329" s="42" t="s">
        <v>3855</v>
      </c>
      <c r="BC329" s="31">
        <v>500.0</v>
      </c>
      <c r="BD329" s="43">
        <v>100.0</v>
      </c>
      <c r="BE329" s="43">
        <v>0.0</v>
      </c>
      <c r="BF329" s="43">
        <v>0.0</v>
      </c>
      <c r="BG329" s="33">
        <f>COUNTIFS('Data For Calculation - Insuranc'!A:A,A329,'Data For Calculation - Insuranc'!D:D,"Company",'Data For Calculation - Insuranc'!E:E,"Rollover - 1 Year OD Only")</f>
        <v>0</v>
      </c>
      <c r="BH329" s="34" t="s">
        <v>3931</v>
      </c>
      <c r="BI329" s="42" t="s">
        <v>3856</v>
      </c>
      <c r="BJ329" s="43">
        <v>100.0</v>
      </c>
      <c r="BK329" s="42" t="s">
        <v>3855</v>
      </c>
      <c r="BL329" s="31">
        <v>400.0</v>
      </c>
      <c r="BM329" s="43">
        <v>100.0</v>
      </c>
      <c r="BN329" s="43">
        <v>0.0</v>
      </c>
      <c r="BO329" s="43">
        <v>0.0</v>
      </c>
      <c r="BP329" s="33">
        <f>COUNTIFS('Data For Calculation - Insuranc'!A:A,A329,'Data For Calculation - Insuranc'!D:D,"Individual",'Data For Calculation - Insuranc'!E:E,"Rollover - 1 Year TP Only")</f>
        <v>0</v>
      </c>
      <c r="BQ329" s="34" t="s">
        <v>3932</v>
      </c>
      <c r="BR329" s="42" t="s">
        <v>3856</v>
      </c>
      <c r="BS329" s="43">
        <v>100.0</v>
      </c>
      <c r="BT329" s="42" t="s">
        <v>3855</v>
      </c>
      <c r="BU329" s="31">
        <v>400.0</v>
      </c>
      <c r="BV329" s="43">
        <v>100.0</v>
      </c>
      <c r="BW329" s="43">
        <v>0.0</v>
      </c>
      <c r="BX329" s="43">
        <v>0.0</v>
      </c>
      <c r="BY329" s="33">
        <f>COUNTIFS('Data For Calculation - Insuranc'!A:A,A329,'Data For Calculation - Insuranc'!D:D,"Company",'Data For Calculation - Insuranc'!E:E,"Rollover - 1 Year TP Only")</f>
        <v>0</v>
      </c>
      <c r="BZ329" s="31">
        <f t="shared" si="1"/>
        <v>8</v>
      </c>
      <c r="CA329" s="33">
        <f>SUMIFS('Data For Calculation - Insuranc'!I:I,'Data For Calculation - Insuranc'!$A:$A,$A329)</f>
        <v>-47457.4</v>
      </c>
      <c r="CB329" s="33">
        <f>SUMIFS('Data For Calculation - Insuranc'!J:J,'Data For Calculation - Insuranc'!$A:$A,$A329)</f>
        <v>15200</v>
      </c>
      <c r="CC329" s="33">
        <f>SUMIFS('Data For Calculation - Insuranc'!K:K,'Data For Calculation - Insuranc'!$A:$A,$A329)</f>
        <v>-32257.4</v>
      </c>
      <c r="CD329" s="33">
        <f>IF($CK329 = "Dealer", SUMIFS('Data For Calculation - Insuranc'!I:I,'Data For Calculation - Insuranc'!$B:$B,$A329,'Data For Calculation - Insuranc'!$H:$H,"Master Dealer")) + SUMIFS('Data For Calculation - Insuranc'!I:I,'Data For Calculation - Insuranc'!$A:$A,$A329,'Data For Calculation - Insuranc'!$H:$H,"Self")</f>
        <v>-47457.4</v>
      </c>
      <c r="CE329" s="33">
        <f>IF($CK329 = "Dealer", SUMIFS('Data For Calculation - Insuranc'!J:J,'Data For Calculation - Insuranc'!$B:$B,$A329,'Data For Calculation - Insuranc'!$H:$H,"Master Dealer")) + SUMIFS('Data For Calculation - Insuranc'!J:J,'Data For Calculation - Insuranc'!$A:$A,$A329,'Data For Calculation - Insuranc'!$H:$H,"Self")</f>
        <v>15200</v>
      </c>
      <c r="CF329" s="33">
        <f>IF($CK329 = "Dealer", SUMIFS('Data For Calculation - Insuranc'!K:K,'Data For Calculation - Insuranc'!$B:$B,$A329,'Data For Calculation - Insuranc'!$H:$H,"Master Dealer")) + SUMIFS('Data For Calculation - Insuranc'!K:K,'Data For Calculation - Insuranc'!$A:$A,$A329,'Data For Calculation - Insuranc'!$H:$H,"Self")</f>
        <v>-32257.4</v>
      </c>
      <c r="CG329" s="25" t="str">
        <f>(Sheet1!N329)</f>
        <v>UPPER INDIA -DELHI</v>
      </c>
      <c r="CH329" s="25" t="str">
        <f>(Sheet1!O329)</f>
        <v>1Glot5DmufEUxf7sEoY2RAdbIWFVDuW2SHPtNIbHYEdc</v>
      </c>
      <c r="CI329" s="25" t="str">
        <f>(Sheet1!AV329)</f>
        <v/>
      </c>
      <c r="CJ329" s="25" t="str">
        <f>(Sheet1!AW329)</f>
        <v/>
      </c>
      <c r="CK329" s="26" t="str">
        <f>(Sheet1!P329)</f>
        <v>Dealer</v>
      </c>
    </row>
    <row r="330">
      <c r="A330" s="25" t="str">
        <f>(Sheet1!A330)</f>
        <v>1KWrdiOy0dFeVUlvkflxUZSwfdTKjD2WtnSGQxGgKBiw</v>
      </c>
      <c r="B330" s="25" t="str">
        <f>(Sheet1!B330)</f>
        <v>NAKODA AUTOMOBILES- JHABUA</v>
      </c>
      <c r="C330" s="30" t="str">
        <f>Sheet1!BB330</f>
        <v>No</v>
      </c>
      <c r="D330" s="30" t="s">
        <v>13</v>
      </c>
      <c r="E330" s="34" t="s">
        <v>13</v>
      </c>
      <c r="F330" s="34" t="s">
        <v>3929</v>
      </c>
      <c r="G330" s="30" t="s">
        <v>3817</v>
      </c>
      <c r="H330" s="31">
        <v>290.0</v>
      </c>
      <c r="I330" s="34" t="s">
        <v>3853</v>
      </c>
      <c r="J330" s="34">
        <v>0.0</v>
      </c>
      <c r="K330" s="34">
        <v>100.0</v>
      </c>
      <c r="L330" s="34">
        <v>0.0</v>
      </c>
      <c r="M330" s="34">
        <v>0.0</v>
      </c>
      <c r="N330" s="33">
        <f>COUNTIFS('Data For Calculation - Insuranc'!A:A,A330,'Data For Calculation - Insuranc'!D:D,"Individual",'Data For Calculation - Insuranc'!E:E,"Bundled - 1 Year OD + 5 Year TP")</f>
        <v>0</v>
      </c>
      <c r="O330" s="34" t="s">
        <v>3930</v>
      </c>
      <c r="P330" s="30" t="s">
        <v>3817</v>
      </c>
      <c r="Q330" s="31">
        <v>290.0</v>
      </c>
      <c r="R330" s="34" t="s">
        <v>3853</v>
      </c>
      <c r="S330" s="34">
        <v>0.0</v>
      </c>
      <c r="T330" s="34">
        <v>100.0</v>
      </c>
      <c r="U330" s="34">
        <v>0.0</v>
      </c>
      <c r="V330" s="34">
        <v>0.0</v>
      </c>
      <c r="W330" s="33">
        <f>COUNTIFS('Data For Calculation - Insuranc'!A:A,A330,'Data For Calculation - Insuranc'!D:D,"Company",'Data For Calculation - Insuranc'!E:E,"Bundled - 1 Year OD + 5 Year TP")</f>
        <v>0</v>
      </c>
      <c r="X330" s="34" t="s">
        <v>3929</v>
      </c>
      <c r="Y330" s="30" t="s">
        <v>3817</v>
      </c>
      <c r="Z330" s="31">
        <v>290.0</v>
      </c>
      <c r="AA330" s="34" t="s">
        <v>3853</v>
      </c>
      <c r="AB330" s="34">
        <v>0.0</v>
      </c>
      <c r="AC330" s="34">
        <v>100.0</v>
      </c>
      <c r="AD330" s="34">
        <v>0.0</v>
      </c>
      <c r="AE330" s="34">
        <v>0.0</v>
      </c>
      <c r="AF330" s="33">
        <f>COUNTIFS('Data For Calculation - Insuranc'!A:A,A330,'Data For Calculation - Insuranc'!D:D,"Individual",'Data For Calculation - Insuranc'!E:E,"Rollover Comprehensive - 1 Year OD + 1 Year TP")</f>
        <v>0</v>
      </c>
      <c r="AG330" s="34" t="s">
        <v>3930</v>
      </c>
      <c r="AH330" s="30" t="s">
        <v>3817</v>
      </c>
      <c r="AI330" s="31">
        <v>290.0</v>
      </c>
      <c r="AJ330" s="34" t="s">
        <v>3853</v>
      </c>
      <c r="AK330" s="34">
        <v>0.0</v>
      </c>
      <c r="AL330" s="34">
        <v>100.0</v>
      </c>
      <c r="AM330" s="34">
        <v>0.0</v>
      </c>
      <c r="AN330" s="34">
        <v>0.0</v>
      </c>
      <c r="AO330" s="33">
        <f>COUNTIFS('Data For Calculation - Insuranc'!A:A,A330,'Data For Calculation - Insuranc'!D:D,"Company",'Data For Calculation - Insuranc'!E:E,"Rollover Comprehensive - 1 Year OD + 1 Year TP")</f>
        <v>0</v>
      </c>
      <c r="AP330" s="34" t="s">
        <v>3931</v>
      </c>
      <c r="AQ330" s="30" t="s">
        <v>3817</v>
      </c>
      <c r="AR330" s="31">
        <v>290.0</v>
      </c>
      <c r="AS330" s="34" t="s">
        <v>3853</v>
      </c>
      <c r="AT330" s="34">
        <v>0.0</v>
      </c>
      <c r="AU330" s="34">
        <v>100.0</v>
      </c>
      <c r="AV330" s="34">
        <v>0.0</v>
      </c>
      <c r="AW330" s="34">
        <v>0.0</v>
      </c>
      <c r="AX330" s="33">
        <f>COUNTIFS('Data For Calculation - Insuranc'!A:A,A330,'Data For Calculation - Insuranc'!D:D,"Individual",'Data For Calculation - Insuranc'!E:E,"Rollover - 1 Year OD Only")</f>
        <v>0</v>
      </c>
      <c r="AY330" s="34" t="s">
        <v>3932</v>
      </c>
      <c r="AZ330" s="30" t="s">
        <v>3817</v>
      </c>
      <c r="BA330" s="31">
        <v>290.0</v>
      </c>
      <c r="BB330" s="34" t="s">
        <v>3853</v>
      </c>
      <c r="BC330" s="34">
        <v>0.0</v>
      </c>
      <c r="BD330" s="34">
        <v>100.0</v>
      </c>
      <c r="BE330" s="34">
        <v>0.0</v>
      </c>
      <c r="BF330" s="34">
        <v>0.0</v>
      </c>
      <c r="BG330" s="33">
        <f>COUNTIFS('Data For Calculation - Insuranc'!A:A,A330,'Data For Calculation - Insuranc'!D:D,"Company",'Data For Calculation - Insuranc'!E:E,"Rollover - 1 Year OD Only")</f>
        <v>0</v>
      </c>
      <c r="BH330" s="34" t="s">
        <v>3931</v>
      </c>
      <c r="BI330" s="30" t="s">
        <v>3817</v>
      </c>
      <c r="BJ330" s="31">
        <v>290.0</v>
      </c>
      <c r="BK330" s="34" t="s">
        <v>3853</v>
      </c>
      <c r="BL330" s="34">
        <v>0.0</v>
      </c>
      <c r="BM330" s="34">
        <v>100.0</v>
      </c>
      <c r="BN330" s="34">
        <v>0.0</v>
      </c>
      <c r="BO330" s="34">
        <v>0.0</v>
      </c>
      <c r="BP330" s="33">
        <f>COUNTIFS('Data For Calculation - Insuranc'!A:A,A330,'Data For Calculation - Insuranc'!D:D,"Individual",'Data For Calculation - Insuranc'!E:E,"Rollover - 1 Year TP Only")</f>
        <v>0</v>
      </c>
      <c r="BQ330" s="34" t="s">
        <v>3932</v>
      </c>
      <c r="BR330" s="30" t="s">
        <v>3817</v>
      </c>
      <c r="BS330" s="31">
        <v>290.0</v>
      </c>
      <c r="BT330" s="34" t="s">
        <v>3853</v>
      </c>
      <c r="BU330" s="34">
        <v>0.0</v>
      </c>
      <c r="BV330" s="34">
        <v>100.0</v>
      </c>
      <c r="BW330" s="34">
        <v>0.0</v>
      </c>
      <c r="BX330" s="34">
        <v>0.0</v>
      </c>
      <c r="BY330" s="33">
        <f>COUNTIFS('Data For Calculation - Insuranc'!A:A,A330,'Data For Calculation - Insuranc'!D:D,"Company",'Data For Calculation - Insuranc'!E:E,"Rollover - 1 Year TP Only")</f>
        <v>0</v>
      </c>
      <c r="BZ330" s="31">
        <f t="shared" si="1"/>
        <v>0</v>
      </c>
      <c r="CA330" s="33">
        <f>SUMIFS('Data For Calculation - Insuranc'!I:I,'Data For Calculation - Insuranc'!$A:$A,$A330)</f>
        <v>0</v>
      </c>
      <c r="CB330" s="33">
        <f>SUMIFS('Data For Calculation - Insuranc'!J:J,'Data For Calculation - Insuranc'!$A:$A,$A330)</f>
        <v>0</v>
      </c>
      <c r="CC330" s="33">
        <f>SUMIFS('Data For Calculation - Insuranc'!K:K,'Data For Calculation - Insuranc'!$A:$A,$A330)</f>
        <v>0</v>
      </c>
      <c r="CD330" s="33">
        <f>IF($CK330 = "Dealer", SUMIFS('Data For Calculation - Insuranc'!I:I,'Data For Calculation - Insuranc'!$B:$B,$A330,'Data For Calculation - Insuranc'!$H:$H,"Master Dealer")) + SUMIFS('Data For Calculation - Insuranc'!I:I,'Data For Calculation - Insuranc'!$A:$A,$A330,'Data For Calculation - Insuranc'!$H:$H,"Self")</f>
        <v>0</v>
      </c>
      <c r="CE330" s="33">
        <f>IF($CK330 = "Dealer", SUMIFS('Data For Calculation - Insuranc'!J:J,'Data For Calculation - Insuranc'!$B:$B,$A330,'Data For Calculation - Insuranc'!$H:$H,"Master Dealer")) + SUMIFS('Data For Calculation - Insuranc'!J:J,'Data For Calculation - Insuranc'!$A:$A,$A330,'Data For Calculation - Insuranc'!$H:$H,"Self")</f>
        <v>0</v>
      </c>
      <c r="CF330" s="33">
        <f>IF($CK330 = "Dealer", SUMIFS('Data For Calculation - Insuranc'!K:K,'Data For Calculation - Insuranc'!$B:$B,$A330,'Data For Calculation - Insuranc'!$H:$H,"Master Dealer")) + SUMIFS('Data For Calculation - Insuranc'!K:K,'Data For Calculation - Insuranc'!$A:$A,$A330,'Data For Calculation - Insuranc'!$H:$H,"Self")</f>
        <v>0</v>
      </c>
      <c r="CG330" s="25" t="str">
        <f>(Sheet1!N330)</f>
        <v>NAKODA AUTOMOBILES- JHABUA</v>
      </c>
      <c r="CH330" s="25" t="str">
        <f>(Sheet1!O330)</f>
        <v>1KWrdiOy0dFeVUlvkflxUZSwfdTKjD2WtnSGQxGgKBiw</v>
      </c>
      <c r="CI330" s="25" t="str">
        <f>(Sheet1!AV330)</f>
        <v/>
      </c>
      <c r="CJ330" s="25" t="str">
        <f>(Sheet1!AW330)</f>
        <v/>
      </c>
      <c r="CK330" s="26" t="str">
        <f>(Sheet1!P330)</f>
        <v>Dealer</v>
      </c>
    </row>
    <row r="331">
      <c r="A331" s="25" t="str">
        <f>(Sheet1!A331)</f>
        <v>16Y3kc7OuouK5OrrRt3JjXIhTWz_IEXjAkD1IjXmm9J8</v>
      </c>
      <c r="B331" s="25" t="str">
        <f>(Sheet1!B331)</f>
        <v>SHREE LAXMINARAYAN AUTOMOBILES-DAHOD</v>
      </c>
      <c r="C331" s="30" t="str">
        <f>Sheet1!BB331</f>
        <v>No</v>
      </c>
      <c r="D331" s="30" t="s">
        <v>13</v>
      </c>
      <c r="E331" s="34" t="s">
        <v>13</v>
      </c>
      <c r="F331" s="34" t="s">
        <v>3929</v>
      </c>
      <c r="G331" s="30" t="s">
        <v>3820</v>
      </c>
      <c r="H331" s="31">
        <v>290.0</v>
      </c>
      <c r="I331" s="34" t="s">
        <v>3853</v>
      </c>
      <c r="J331" s="34">
        <v>0.0</v>
      </c>
      <c r="K331" s="34">
        <v>100.0</v>
      </c>
      <c r="L331" s="34">
        <v>0.0</v>
      </c>
      <c r="M331" s="34">
        <v>0.0</v>
      </c>
      <c r="N331" s="33">
        <f>COUNTIFS('Data For Calculation - Insuranc'!A:A,A331,'Data For Calculation - Insuranc'!D:D,"Individual",'Data For Calculation - Insuranc'!E:E,"Bundled - 1 Year OD + 5 Year TP")</f>
        <v>0</v>
      </c>
      <c r="O331" s="34" t="s">
        <v>3930</v>
      </c>
      <c r="P331" s="30" t="s">
        <v>3820</v>
      </c>
      <c r="Q331" s="31">
        <v>290.0</v>
      </c>
      <c r="R331" s="34" t="s">
        <v>3853</v>
      </c>
      <c r="S331" s="34">
        <v>0.0</v>
      </c>
      <c r="T331" s="34">
        <v>100.0</v>
      </c>
      <c r="U331" s="34">
        <v>0.0</v>
      </c>
      <c r="V331" s="34">
        <v>0.0</v>
      </c>
      <c r="W331" s="33">
        <f>COUNTIFS('Data For Calculation - Insuranc'!A:A,A331,'Data For Calculation - Insuranc'!D:D,"Company",'Data For Calculation - Insuranc'!E:E,"Bundled - 1 Year OD + 5 Year TP")</f>
        <v>0</v>
      </c>
      <c r="X331" s="34" t="s">
        <v>3929</v>
      </c>
      <c r="Y331" s="30" t="s">
        <v>3820</v>
      </c>
      <c r="Z331" s="31">
        <v>290.0</v>
      </c>
      <c r="AA331" s="34" t="s">
        <v>3853</v>
      </c>
      <c r="AB331" s="34">
        <v>0.0</v>
      </c>
      <c r="AC331" s="34">
        <v>100.0</v>
      </c>
      <c r="AD331" s="34">
        <v>0.0</v>
      </c>
      <c r="AE331" s="34">
        <v>0.0</v>
      </c>
      <c r="AF331" s="33">
        <f>COUNTIFS('Data For Calculation - Insuranc'!A:A,A331,'Data For Calculation - Insuranc'!D:D,"Individual",'Data For Calculation - Insuranc'!E:E,"Rollover Comprehensive - 1 Year OD + 1 Year TP")</f>
        <v>0</v>
      </c>
      <c r="AG331" s="34" t="s">
        <v>3930</v>
      </c>
      <c r="AH331" s="30" t="s">
        <v>3820</v>
      </c>
      <c r="AI331" s="31">
        <v>290.0</v>
      </c>
      <c r="AJ331" s="34" t="s">
        <v>3853</v>
      </c>
      <c r="AK331" s="34">
        <v>0.0</v>
      </c>
      <c r="AL331" s="34">
        <v>100.0</v>
      </c>
      <c r="AM331" s="34">
        <v>0.0</v>
      </c>
      <c r="AN331" s="34">
        <v>0.0</v>
      </c>
      <c r="AO331" s="33">
        <f>COUNTIFS('Data For Calculation - Insuranc'!A:A,A331,'Data For Calculation - Insuranc'!D:D,"Company",'Data For Calculation - Insuranc'!E:E,"Rollover Comprehensive - 1 Year OD + 1 Year TP")</f>
        <v>0</v>
      </c>
      <c r="AP331" s="34" t="s">
        <v>3931</v>
      </c>
      <c r="AQ331" s="30" t="s">
        <v>3820</v>
      </c>
      <c r="AR331" s="31">
        <v>290.0</v>
      </c>
      <c r="AS331" s="34" t="s">
        <v>3853</v>
      </c>
      <c r="AT331" s="34">
        <v>0.0</v>
      </c>
      <c r="AU331" s="34">
        <v>100.0</v>
      </c>
      <c r="AV331" s="34">
        <v>0.0</v>
      </c>
      <c r="AW331" s="34">
        <v>0.0</v>
      </c>
      <c r="AX331" s="33">
        <f>COUNTIFS('Data For Calculation - Insuranc'!A:A,A331,'Data For Calculation - Insuranc'!D:D,"Individual",'Data For Calculation - Insuranc'!E:E,"Rollover - 1 Year OD Only")</f>
        <v>0</v>
      </c>
      <c r="AY331" s="34" t="s">
        <v>3932</v>
      </c>
      <c r="AZ331" s="30" t="s">
        <v>3820</v>
      </c>
      <c r="BA331" s="31">
        <v>290.0</v>
      </c>
      <c r="BB331" s="34" t="s">
        <v>3853</v>
      </c>
      <c r="BC331" s="34">
        <v>0.0</v>
      </c>
      <c r="BD331" s="34">
        <v>100.0</v>
      </c>
      <c r="BE331" s="34">
        <v>0.0</v>
      </c>
      <c r="BF331" s="34">
        <v>0.0</v>
      </c>
      <c r="BG331" s="33">
        <f>COUNTIFS('Data For Calculation - Insuranc'!A:A,A331,'Data For Calculation - Insuranc'!D:D,"Company",'Data For Calculation - Insuranc'!E:E,"Rollover - 1 Year OD Only")</f>
        <v>0</v>
      </c>
      <c r="BH331" s="34" t="s">
        <v>3931</v>
      </c>
      <c r="BI331" s="30" t="s">
        <v>3820</v>
      </c>
      <c r="BJ331" s="31">
        <v>290.0</v>
      </c>
      <c r="BK331" s="34" t="s">
        <v>3853</v>
      </c>
      <c r="BL331" s="34">
        <v>0.0</v>
      </c>
      <c r="BM331" s="34">
        <v>100.0</v>
      </c>
      <c r="BN331" s="34">
        <v>0.0</v>
      </c>
      <c r="BO331" s="34">
        <v>0.0</v>
      </c>
      <c r="BP331" s="33">
        <f>COUNTIFS('Data For Calculation - Insuranc'!A:A,A331,'Data For Calculation - Insuranc'!D:D,"Individual",'Data For Calculation - Insuranc'!E:E,"Rollover - 1 Year TP Only")</f>
        <v>0</v>
      </c>
      <c r="BQ331" s="34" t="s">
        <v>3932</v>
      </c>
      <c r="BR331" s="30" t="s">
        <v>3820</v>
      </c>
      <c r="BS331" s="31">
        <v>290.0</v>
      </c>
      <c r="BT331" s="34" t="s">
        <v>3853</v>
      </c>
      <c r="BU331" s="34">
        <v>0.0</v>
      </c>
      <c r="BV331" s="34">
        <v>100.0</v>
      </c>
      <c r="BW331" s="34">
        <v>0.0</v>
      </c>
      <c r="BX331" s="34">
        <v>0.0</v>
      </c>
      <c r="BY331" s="33">
        <f>COUNTIFS('Data For Calculation - Insuranc'!A:A,A331,'Data For Calculation - Insuranc'!D:D,"Company",'Data For Calculation - Insuranc'!E:E,"Rollover - 1 Year TP Only")</f>
        <v>0</v>
      </c>
      <c r="BZ331" s="31">
        <f t="shared" si="1"/>
        <v>0</v>
      </c>
      <c r="CA331" s="33">
        <f>SUMIFS('Data For Calculation - Insuranc'!I:I,'Data For Calculation - Insuranc'!$A:$A,$A331)</f>
        <v>0</v>
      </c>
      <c r="CB331" s="33">
        <f>SUMIFS('Data For Calculation - Insuranc'!J:J,'Data For Calculation - Insuranc'!$A:$A,$A331)</f>
        <v>0</v>
      </c>
      <c r="CC331" s="33">
        <f>SUMIFS('Data For Calculation - Insuranc'!K:K,'Data For Calculation - Insuranc'!$A:$A,$A331)</f>
        <v>0</v>
      </c>
      <c r="CD331" s="33">
        <f>IF($CK331 = "Dealer", SUMIFS('Data For Calculation - Insuranc'!I:I,'Data For Calculation - Insuranc'!$B:$B,$A331,'Data For Calculation - Insuranc'!$H:$H,"Master Dealer")) + SUMIFS('Data For Calculation - Insuranc'!I:I,'Data For Calculation - Insuranc'!$A:$A,$A331,'Data For Calculation - Insuranc'!$H:$H,"Self")</f>
        <v>0</v>
      </c>
      <c r="CE331" s="33">
        <f>IF($CK331 = "Dealer", SUMIFS('Data For Calculation - Insuranc'!J:J,'Data For Calculation - Insuranc'!$B:$B,$A331,'Data For Calculation - Insuranc'!$H:$H,"Master Dealer")) + SUMIFS('Data For Calculation - Insuranc'!J:J,'Data For Calculation - Insuranc'!$A:$A,$A331,'Data For Calculation - Insuranc'!$H:$H,"Self")</f>
        <v>0</v>
      </c>
      <c r="CF331" s="33">
        <f>IF($CK331 = "Dealer", SUMIFS('Data For Calculation - Insuranc'!K:K,'Data For Calculation - Insuranc'!$B:$B,$A331,'Data For Calculation - Insuranc'!$H:$H,"Master Dealer")) + SUMIFS('Data For Calculation - Insuranc'!K:K,'Data For Calculation - Insuranc'!$A:$A,$A331,'Data For Calculation - Insuranc'!$H:$H,"Self")</f>
        <v>0</v>
      </c>
      <c r="CG331" s="25" t="str">
        <f>(Sheet1!N331)</f>
        <v>SHREE LAXMINARAYAN AUTOMOBILES-DAHOD</v>
      </c>
      <c r="CH331" s="25" t="str">
        <f>(Sheet1!O331)</f>
        <v>16Y3kc7OuouK5OrrRt3JjXIhTWz_IEXjAkD1IjXmm9J8</v>
      </c>
      <c r="CI331" s="25" t="str">
        <f>(Sheet1!AV331)</f>
        <v/>
      </c>
      <c r="CJ331" s="25" t="str">
        <f>(Sheet1!AW331)</f>
        <v/>
      </c>
      <c r="CK331" s="26" t="str">
        <f>(Sheet1!P331)</f>
        <v>Dealer</v>
      </c>
    </row>
    <row r="332">
      <c r="A332" s="25" t="str">
        <f>(Sheet1!A332)</f>
        <v>1Z0RLxeDSU2deGe-M9N2_xaGVhFQVJm_tASIMLykuH6Q</v>
      </c>
      <c r="B332" s="25" t="str">
        <f>(Sheet1!B332)</f>
        <v>APPLE HONDA- VADODARA</v>
      </c>
      <c r="C332" s="30" t="str">
        <f>Sheet1!BB332</f>
        <v>No</v>
      </c>
      <c r="D332" s="30" t="s">
        <v>13</v>
      </c>
      <c r="E332" s="34" t="s">
        <v>13</v>
      </c>
      <c r="F332" s="34" t="s">
        <v>3929</v>
      </c>
      <c r="G332" s="30" t="s">
        <v>3817</v>
      </c>
      <c r="H332" s="31">
        <v>290.0</v>
      </c>
      <c r="I332" s="34" t="s">
        <v>3853</v>
      </c>
      <c r="J332" s="34">
        <v>0.0</v>
      </c>
      <c r="K332" s="34">
        <v>100.0</v>
      </c>
      <c r="L332" s="34">
        <v>0.0</v>
      </c>
      <c r="M332" s="34">
        <v>0.0</v>
      </c>
      <c r="N332" s="33">
        <f>COUNTIFS('Data For Calculation - Insuranc'!A:A,A332,'Data For Calculation - Insuranc'!D:D,"Individual",'Data For Calculation - Insuranc'!E:E,"Bundled - 1 Year OD + 5 Year TP")</f>
        <v>0</v>
      </c>
      <c r="O332" s="34" t="s">
        <v>3930</v>
      </c>
      <c r="P332" s="30" t="s">
        <v>3817</v>
      </c>
      <c r="Q332" s="31">
        <v>290.0</v>
      </c>
      <c r="R332" s="34" t="s">
        <v>3853</v>
      </c>
      <c r="S332" s="34">
        <v>0.0</v>
      </c>
      <c r="T332" s="34">
        <v>100.0</v>
      </c>
      <c r="U332" s="34">
        <v>0.0</v>
      </c>
      <c r="V332" s="34">
        <v>0.0</v>
      </c>
      <c r="W332" s="33">
        <f>COUNTIFS('Data For Calculation - Insuranc'!A:A,A332,'Data For Calculation - Insuranc'!D:D,"Company",'Data For Calculation - Insuranc'!E:E,"Bundled - 1 Year OD + 5 Year TP")</f>
        <v>0</v>
      </c>
      <c r="X332" s="34" t="s">
        <v>3929</v>
      </c>
      <c r="Y332" s="30" t="s">
        <v>3817</v>
      </c>
      <c r="Z332" s="31">
        <v>290.0</v>
      </c>
      <c r="AA332" s="34" t="s">
        <v>3853</v>
      </c>
      <c r="AB332" s="34">
        <v>0.0</v>
      </c>
      <c r="AC332" s="34">
        <v>100.0</v>
      </c>
      <c r="AD332" s="34">
        <v>0.0</v>
      </c>
      <c r="AE332" s="34">
        <v>0.0</v>
      </c>
      <c r="AF332" s="33">
        <f>COUNTIFS('Data For Calculation - Insuranc'!A:A,A332,'Data For Calculation - Insuranc'!D:D,"Individual",'Data For Calculation - Insuranc'!E:E,"Rollover Comprehensive - 1 Year OD + 1 Year TP")</f>
        <v>0</v>
      </c>
      <c r="AG332" s="34" t="s">
        <v>3930</v>
      </c>
      <c r="AH332" s="30" t="s">
        <v>3817</v>
      </c>
      <c r="AI332" s="31">
        <v>290.0</v>
      </c>
      <c r="AJ332" s="34" t="s">
        <v>3853</v>
      </c>
      <c r="AK332" s="34">
        <v>0.0</v>
      </c>
      <c r="AL332" s="34">
        <v>100.0</v>
      </c>
      <c r="AM332" s="34">
        <v>0.0</v>
      </c>
      <c r="AN332" s="34">
        <v>0.0</v>
      </c>
      <c r="AO332" s="33">
        <f>COUNTIFS('Data For Calculation - Insuranc'!A:A,A332,'Data For Calculation - Insuranc'!D:D,"Company",'Data For Calculation - Insuranc'!E:E,"Rollover Comprehensive - 1 Year OD + 1 Year TP")</f>
        <v>0</v>
      </c>
      <c r="AP332" s="34" t="s">
        <v>3931</v>
      </c>
      <c r="AQ332" s="30" t="s">
        <v>3817</v>
      </c>
      <c r="AR332" s="31">
        <v>290.0</v>
      </c>
      <c r="AS332" s="34" t="s">
        <v>3853</v>
      </c>
      <c r="AT332" s="34">
        <v>0.0</v>
      </c>
      <c r="AU332" s="34">
        <v>100.0</v>
      </c>
      <c r="AV332" s="34">
        <v>0.0</v>
      </c>
      <c r="AW332" s="34">
        <v>0.0</v>
      </c>
      <c r="AX332" s="33">
        <f>COUNTIFS('Data For Calculation - Insuranc'!A:A,A332,'Data For Calculation - Insuranc'!D:D,"Individual",'Data For Calculation - Insuranc'!E:E,"Rollover - 1 Year OD Only")</f>
        <v>0</v>
      </c>
      <c r="AY332" s="34" t="s">
        <v>3932</v>
      </c>
      <c r="AZ332" s="30" t="s">
        <v>3817</v>
      </c>
      <c r="BA332" s="31">
        <v>290.0</v>
      </c>
      <c r="BB332" s="34" t="s">
        <v>3853</v>
      </c>
      <c r="BC332" s="34">
        <v>0.0</v>
      </c>
      <c r="BD332" s="34">
        <v>100.0</v>
      </c>
      <c r="BE332" s="34">
        <v>0.0</v>
      </c>
      <c r="BF332" s="34">
        <v>0.0</v>
      </c>
      <c r="BG332" s="33">
        <f>COUNTIFS('Data For Calculation - Insuranc'!A:A,A332,'Data For Calculation - Insuranc'!D:D,"Company",'Data For Calculation - Insuranc'!E:E,"Rollover - 1 Year OD Only")</f>
        <v>0</v>
      </c>
      <c r="BH332" s="34" t="s">
        <v>3931</v>
      </c>
      <c r="BI332" s="30" t="s">
        <v>3817</v>
      </c>
      <c r="BJ332" s="31">
        <v>290.0</v>
      </c>
      <c r="BK332" s="34" t="s">
        <v>3853</v>
      </c>
      <c r="BL332" s="34">
        <v>0.0</v>
      </c>
      <c r="BM332" s="34">
        <v>100.0</v>
      </c>
      <c r="BN332" s="34">
        <v>0.0</v>
      </c>
      <c r="BO332" s="34">
        <v>0.0</v>
      </c>
      <c r="BP332" s="33">
        <f>COUNTIFS('Data For Calculation - Insuranc'!A:A,A332,'Data For Calculation - Insuranc'!D:D,"Individual",'Data For Calculation - Insuranc'!E:E,"Rollover - 1 Year TP Only")</f>
        <v>0</v>
      </c>
      <c r="BQ332" s="34" t="s">
        <v>3932</v>
      </c>
      <c r="BR332" s="30" t="s">
        <v>3817</v>
      </c>
      <c r="BS332" s="31">
        <v>290.0</v>
      </c>
      <c r="BT332" s="34" t="s">
        <v>3853</v>
      </c>
      <c r="BU332" s="34">
        <v>0.0</v>
      </c>
      <c r="BV332" s="34">
        <v>100.0</v>
      </c>
      <c r="BW332" s="34">
        <v>0.0</v>
      </c>
      <c r="BX332" s="34">
        <v>0.0</v>
      </c>
      <c r="BY332" s="33">
        <f>COUNTIFS('Data For Calculation - Insuranc'!A:A,A332,'Data For Calculation - Insuranc'!D:D,"Company",'Data For Calculation - Insuranc'!E:E,"Rollover - 1 Year TP Only")</f>
        <v>0</v>
      </c>
      <c r="BZ332" s="31">
        <f t="shared" si="1"/>
        <v>0</v>
      </c>
      <c r="CA332" s="33">
        <f>SUMIFS('Data For Calculation - Insuranc'!I:I,'Data For Calculation - Insuranc'!$A:$A,$A332)</f>
        <v>0</v>
      </c>
      <c r="CB332" s="33">
        <f>SUMIFS('Data For Calculation - Insuranc'!J:J,'Data For Calculation - Insuranc'!$A:$A,$A332)</f>
        <v>0</v>
      </c>
      <c r="CC332" s="33">
        <f>SUMIFS('Data For Calculation - Insuranc'!K:K,'Data For Calculation - Insuranc'!$A:$A,$A332)</f>
        <v>0</v>
      </c>
      <c r="CD332" s="33">
        <f>IF($CK332 = "Dealer", SUMIFS('Data For Calculation - Insuranc'!I:I,'Data For Calculation - Insuranc'!$B:$B,$A332,'Data For Calculation - Insuranc'!$H:$H,"Master Dealer")) + SUMIFS('Data For Calculation - Insuranc'!I:I,'Data For Calculation - Insuranc'!$A:$A,$A332,'Data For Calculation - Insuranc'!$H:$H,"Self")</f>
        <v>0</v>
      </c>
      <c r="CE332" s="33">
        <f>IF($CK332 = "Dealer", SUMIFS('Data For Calculation - Insuranc'!J:J,'Data For Calculation - Insuranc'!$B:$B,$A332,'Data For Calculation - Insuranc'!$H:$H,"Master Dealer")) + SUMIFS('Data For Calculation - Insuranc'!J:J,'Data For Calculation - Insuranc'!$A:$A,$A332,'Data For Calculation - Insuranc'!$H:$H,"Self")</f>
        <v>0</v>
      </c>
      <c r="CF332" s="33">
        <f>IF($CK332 = "Dealer", SUMIFS('Data For Calculation - Insuranc'!K:K,'Data For Calculation - Insuranc'!$B:$B,$A332,'Data For Calculation - Insuranc'!$H:$H,"Master Dealer")) + SUMIFS('Data For Calculation - Insuranc'!K:K,'Data For Calculation - Insuranc'!$A:$A,$A332,'Data For Calculation - Insuranc'!$H:$H,"Self")</f>
        <v>0</v>
      </c>
      <c r="CG332" s="25" t="str">
        <f>(Sheet1!N332)</f>
        <v>APPLE HONDA- VADODARA</v>
      </c>
      <c r="CH332" s="25" t="str">
        <f>(Sheet1!O332)</f>
        <v>1Z0RLxeDSU2deGe-M9N2_xaGVhFQVJm_tASIMLykuH6Q</v>
      </c>
      <c r="CI332" s="25" t="str">
        <f>(Sheet1!AV332)</f>
        <v/>
      </c>
      <c r="CJ332" s="25" t="str">
        <f>(Sheet1!AW332)</f>
        <v/>
      </c>
      <c r="CK332" s="26" t="str">
        <f>(Sheet1!P332)</f>
        <v>Dealer</v>
      </c>
    </row>
    <row r="333">
      <c r="A333" s="25" t="str">
        <f>(Sheet1!A333)</f>
        <v>1yvsl28_lUG4aa66iIPEwfNrCt2m4Np6IsUERJv8hjf4</v>
      </c>
      <c r="B333" s="25" t="str">
        <f>(Sheet1!B333)</f>
        <v>UTTAM MOTORS- Neemuch</v>
      </c>
      <c r="C333" s="30" t="str">
        <f>Sheet1!BB333</f>
        <v>No</v>
      </c>
      <c r="D333" s="30" t="s">
        <v>13</v>
      </c>
      <c r="E333" s="34" t="s">
        <v>13</v>
      </c>
      <c r="F333" s="34" t="s">
        <v>3929</v>
      </c>
      <c r="G333" s="30" t="s">
        <v>3820</v>
      </c>
      <c r="H333" s="31">
        <v>290.0</v>
      </c>
      <c r="I333" s="34" t="s">
        <v>3853</v>
      </c>
      <c r="J333" s="34">
        <v>0.0</v>
      </c>
      <c r="K333" s="34">
        <v>100.0</v>
      </c>
      <c r="L333" s="34">
        <v>0.0</v>
      </c>
      <c r="M333" s="34">
        <v>0.0</v>
      </c>
      <c r="N333" s="33">
        <f>COUNTIFS('Data For Calculation - Insuranc'!A:A,A333,'Data For Calculation - Insuranc'!D:D,"Individual",'Data For Calculation - Insuranc'!E:E,"Bundled - 1 Year OD + 5 Year TP")</f>
        <v>0</v>
      </c>
      <c r="O333" s="34" t="s">
        <v>3930</v>
      </c>
      <c r="P333" s="30" t="s">
        <v>3820</v>
      </c>
      <c r="Q333" s="31">
        <v>290.0</v>
      </c>
      <c r="R333" s="34" t="s">
        <v>3853</v>
      </c>
      <c r="S333" s="34">
        <v>0.0</v>
      </c>
      <c r="T333" s="34">
        <v>100.0</v>
      </c>
      <c r="U333" s="34">
        <v>0.0</v>
      </c>
      <c r="V333" s="34">
        <v>0.0</v>
      </c>
      <c r="W333" s="33">
        <f>COUNTIFS('Data For Calculation - Insuranc'!A:A,A333,'Data For Calculation - Insuranc'!D:D,"Company",'Data For Calculation - Insuranc'!E:E,"Bundled - 1 Year OD + 5 Year TP")</f>
        <v>0</v>
      </c>
      <c r="X333" s="34" t="s">
        <v>3929</v>
      </c>
      <c r="Y333" s="30" t="s">
        <v>3820</v>
      </c>
      <c r="Z333" s="31">
        <v>290.0</v>
      </c>
      <c r="AA333" s="34" t="s">
        <v>3853</v>
      </c>
      <c r="AB333" s="34">
        <v>0.0</v>
      </c>
      <c r="AC333" s="34">
        <v>100.0</v>
      </c>
      <c r="AD333" s="34">
        <v>0.0</v>
      </c>
      <c r="AE333" s="34">
        <v>0.0</v>
      </c>
      <c r="AF333" s="33">
        <f>COUNTIFS('Data For Calculation - Insuranc'!A:A,A333,'Data For Calculation - Insuranc'!D:D,"Individual",'Data For Calculation - Insuranc'!E:E,"Rollover Comprehensive - 1 Year OD + 1 Year TP")</f>
        <v>0</v>
      </c>
      <c r="AG333" s="34" t="s">
        <v>3930</v>
      </c>
      <c r="AH333" s="30" t="s">
        <v>3820</v>
      </c>
      <c r="AI333" s="31">
        <v>290.0</v>
      </c>
      <c r="AJ333" s="34" t="s">
        <v>3853</v>
      </c>
      <c r="AK333" s="34">
        <v>0.0</v>
      </c>
      <c r="AL333" s="34">
        <v>100.0</v>
      </c>
      <c r="AM333" s="34">
        <v>0.0</v>
      </c>
      <c r="AN333" s="34">
        <v>0.0</v>
      </c>
      <c r="AO333" s="33">
        <f>COUNTIFS('Data For Calculation - Insuranc'!A:A,A333,'Data For Calculation - Insuranc'!D:D,"Company",'Data For Calculation - Insuranc'!E:E,"Rollover Comprehensive - 1 Year OD + 1 Year TP")</f>
        <v>0</v>
      </c>
      <c r="AP333" s="34" t="s">
        <v>3931</v>
      </c>
      <c r="AQ333" s="30" t="s">
        <v>3820</v>
      </c>
      <c r="AR333" s="31">
        <v>290.0</v>
      </c>
      <c r="AS333" s="34" t="s">
        <v>3853</v>
      </c>
      <c r="AT333" s="34">
        <v>0.0</v>
      </c>
      <c r="AU333" s="34">
        <v>100.0</v>
      </c>
      <c r="AV333" s="34">
        <v>0.0</v>
      </c>
      <c r="AW333" s="34">
        <v>0.0</v>
      </c>
      <c r="AX333" s="33">
        <f>COUNTIFS('Data For Calculation - Insuranc'!A:A,A333,'Data For Calculation - Insuranc'!D:D,"Individual",'Data For Calculation - Insuranc'!E:E,"Rollover - 1 Year OD Only")</f>
        <v>0</v>
      </c>
      <c r="AY333" s="34" t="s">
        <v>3932</v>
      </c>
      <c r="AZ333" s="30" t="s">
        <v>3820</v>
      </c>
      <c r="BA333" s="31">
        <v>290.0</v>
      </c>
      <c r="BB333" s="34" t="s">
        <v>3853</v>
      </c>
      <c r="BC333" s="34">
        <v>0.0</v>
      </c>
      <c r="BD333" s="34">
        <v>100.0</v>
      </c>
      <c r="BE333" s="34">
        <v>0.0</v>
      </c>
      <c r="BF333" s="34">
        <v>0.0</v>
      </c>
      <c r="BG333" s="33">
        <f>COUNTIFS('Data For Calculation - Insuranc'!A:A,A333,'Data For Calculation - Insuranc'!D:D,"Company",'Data For Calculation - Insuranc'!E:E,"Rollover - 1 Year OD Only")</f>
        <v>0</v>
      </c>
      <c r="BH333" s="34" t="s">
        <v>3931</v>
      </c>
      <c r="BI333" s="30" t="s">
        <v>3820</v>
      </c>
      <c r="BJ333" s="31">
        <v>290.0</v>
      </c>
      <c r="BK333" s="34" t="s">
        <v>3853</v>
      </c>
      <c r="BL333" s="34">
        <v>0.0</v>
      </c>
      <c r="BM333" s="34">
        <v>100.0</v>
      </c>
      <c r="BN333" s="34">
        <v>0.0</v>
      </c>
      <c r="BO333" s="34">
        <v>0.0</v>
      </c>
      <c r="BP333" s="33">
        <f>COUNTIFS('Data For Calculation - Insuranc'!A:A,A333,'Data For Calculation - Insuranc'!D:D,"Individual",'Data For Calculation - Insuranc'!E:E,"Rollover - 1 Year TP Only")</f>
        <v>0</v>
      </c>
      <c r="BQ333" s="34" t="s">
        <v>3932</v>
      </c>
      <c r="BR333" s="30" t="s">
        <v>3820</v>
      </c>
      <c r="BS333" s="31">
        <v>290.0</v>
      </c>
      <c r="BT333" s="34" t="s">
        <v>3853</v>
      </c>
      <c r="BU333" s="34">
        <v>0.0</v>
      </c>
      <c r="BV333" s="34">
        <v>100.0</v>
      </c>
      <c r="BW333" s="34">
        <v>0.0</v>
      </c>
      <c r="BX333" s="34">
        <v>0.0</v>
      </c>
      <c r="BY333" s="33">
        <f>COUNTIFS('Data For Calculation - Insuranc'!A:A,A333,'Data For Calculation - Insuranc'!D:D,"Company",'Data For Calculation - Insuranc'!E:E,"Rollover - 1 Year TP Only")</f>
        <v>0</v>
      </c>
      <c r="BZ333" s="31">
        <f t="shared" si="1"/>
        <v>0</v>
      </c>
      <c r="CA333" s="33">
        <f>SUMIFS('Data For Calculation - Insuranc'!I:I,'Data For Calculation - Insuranc'!$A:$A,$A333)</f>
        <v>0</v>
      </c>
      <c r="CB333" s="33">
        <f>SUMIFS('Data For Calculation - Insuranc'!J:J,'Data For Calculation - Insuranc'!$A:$A,$A333)</f>
        <v>0</v>
      </c>
      <c r="CC333" s="33">
        <f>SUMIFS('Data For Calculation - Insuranc'!K:K,'Data For Calculation - Insuranc'!$A:$A,$A333)</f>
        <v>0</v>
      </c>
      <c r="CD333" s="33">
        <f>IF($CK333 = "Dealer", SUMIFS('Data For Calculation - Insuranc'!I:I,'Data For Calculation - Insuranc'!$B:$B,$A333,'Data For Calculation - Insuranc'!$H:$H,"Master Dealer")) + SUMIFS('Data For Calculation - Insuranc'!I:I,'Data For Calculation - Insuranc'!$A:$A,$A333,'Data For Calculation - Insuranc'!$H:$H,"Self")</f>
        <v>0</v>
      </c>
      <c r="CE333" s="33">
        <f>IF($CK333 = "Dealer", SUMIFS('Data For Calculation - Insuranc'!J:J,'Data For Calculation - Insuranc'!$B:$B,$A333,'Data For Calculation - Insuranc'!$H:$H,"Master Dealer")) + SUMIFS('Data For Calculation - Insuranc'!J:J,'Data For Calculation - Insuranc'!$A:$A,$A333,'Data For Calculation - Insuranc'!$H:$H,"Self")</f>
        <v>0</v>
      </c>
      <c r="CF333" s="33">
        <f>IF($CK333 = "Dealer", SUMIFS('Data For Calculation - Insuranc'!K:K,'Data For Calculation - Insuranc'!$B:$B,$A333,'Data For Calculation - Insuranc'!$H:$H,"Master Dealer")) + SUMIFS('Data For Calculation - Insuranc'!K:K,'Data For Calculation - Insuranc'!$A:$A,$A333,'Data For Calculation - Insuranc'!$H:$H,"Self")</f>
        <v>0</v>
      </c>
      <c r="CG333" s="25" t="str">
        <f>(Sheet1!N333)</f>
        <v>UTTAM MOTORS- Neemuch</v>
      </c>
      <c r="CH333" s="25" t="str">
        <f>(Sheet1!O333)</f>
        <v>1yvsl28_lUG4aa66iIPEwfNrCt2m4Np6IsUERJv8hjf4</v>
      </c>
      <c r="CI333" s="25" t="str">
        <f>(Sheet1!AV333)</f>
        <v/>
      </c>
      <c r="CJ333" s="25" t="str">
        <f>(Sheet1!AW333)</f>
        <v/>
      </c>
      <c r="CK333" s="26" t="str">
        <f>(Sheet1!P333)</f>
        <v>Dealer</v>
      </c>
    </row>
    <row r="334">
      <c r="A334" s="25" t="str">
        <f>(Sheet1!A334)</f>
        <v>1e3aaOiXSZCQrn6e8SubsYYbeE8N1r6f9D083h9kT6V4</v>
      </c>
      <c r="B334" s="25" t="str">
        <f>(Sheet1!B334)</f>
        <v>Jaydeep Auto - Vadodra</v>
      </c>
      <c r="C334" s="30" t="str">
        <f>Sheet1!BB334</f>
        <v>No</v>
      </c>
      <c r="D334" s="30" t="s">
        <v>13</v>
      </c>
      <c r="E334" s="34" t="s">
        <v>13</v>
      </c>
      <c r="F334" s="34" t="s">
        <v>3929</v>
      </c>
      <c r="G334" s="30" t="s">
        <v>3817</v>
      </c>
      <c r="H334" s="31">
        <v>290.0</v>
      </c>
      <c r="I334" s="34" t="s">
        <v>3853</v>
      </c>
      <c r="J334" s="34">
        <v>0.0</v>
      </c>
      <c r="K334" s="34">
        <v>100.0</v>
      </c>
      <c r="L334" s="34">
        <v>0.0</v>
      </c>
      <c r="M334" s="34">
        <v>0.0</v>
      </c>
      <c r="N334" s="33">
        <f>COUNTIFS('Data For Calculation - Insuranc'!A:A,A334,'Data For Calculation - Insuranc'!D:D,"Individual",'Data For Calculation - Insuranc'!E:E,"Bundled - 1 Year OD + 5 Year TP")</f>
        <v>0</v>
      </c>
      <c r="O334" s="34" t="s">
        <v>3930</v>
      </c>
      <c r="P334" s="30" t="s">
        <v>3817</v>
      </c>
      <c r="Q334" s="31">
        <v>290.0</v>
      </c>
      <c r="R334" s="34" t="s">
        <v>3853</v>
      </c>
      <c r="S334" s="34">
        <v>0.0</v>
      </c>
      <c r="T334" s="34">
        <v>100.0</v>
      </c>
      <c r="U334" s="34">
        <v>0.0</v>
      </c>
      <c r="V334" s="34">
        <v>0.0</v>
      </c>
      <c r="W334" s="33">
        <f>COUNTIFS('Data For Calculation - Insuranc'!A:A,A334,'Data For Calculation - Insuranc'!D:D,"Company",'Data For Calculation - Insuranc'!E:E,"Bundled - 1 Year OD + 5 Year TP")</f>
        <v>0</v>
      </c>
      <c r="X334" s="34" t="s">
        <v>3929</v>
      </c>
      <c r="Y334" s="30" t="s">
        <v>3817</v>
      </c>
      <c r="Z334" s="31">
        <v>290.0</v>
      </c>
      <c r="AA334" s="34" t="s">
        <v>3853</v>
      </c>
      <c r="AB334" s="34">
        <v>0.0</v>
      </c>
      <c r="AC334" s="34">
        <v>100.0</v>
      </c>
      <c r="AD334" s="34">
        <v>0.0</v>
      </c>
      <c r="AE334" s="34">
        <v>0.0</v>
      </c>
      <c r="AF334" s="33">
        <f>COUNTIFS('Data For Calculation - Insuranc'!A:A,A334,'Data For Calculation - Insuranc'!D:D,"Individual",'Data For Calculation - Insuranc'!E:E,"Rollover Comprehensive - 1 Year OD + 1 Year TP")</f>
        <v>0</v>
      </c>
      <c r="AG334" s="34" t="s">
        <v>3930</v>
      </c>
      <c r="AH334" s="30" t="s">
        <v>3817</v>
      </c>
      <c r="AI334" s="31">
        <v>290.0</v>
      </c>
      <c r="AJ334" s="34" t="s">
        <v>3853</v>
      </c>
      <c r="AK334" s="34">
        <v>0.0</v>
      </c>
      <c r="AL334" s="34">
        <v>100.0</v>
      </c>
      <c r="AM334" s="34">
        <v>0.0</v>
      </c>
      <c r="AN334" s="34">
        <v>0.0</v>
      </c>
      <c r="AO334" s="33">
        <f>COUNTIFS('Data For Calculation - Insuranc'!A:A,A334,'Data For Calculation - Insuranc'!D:D,"Company",'Data For Calculation - Insuranc'!E:E,"Rollover Comprehensive - 1 Year OD + 1 Year TP")</f>
        <v>0</v>
      </c>
      <c r="AP334" s="34" t="s">
        <v>3931</v>
      </c>
      <c r="AQ334" s="30" t="s">
        <v>3817</v>
      </c>
      <c r="AR334" s="31">
        <v>290.0</v>
      </c>
      <c r="AS334" s="34" t="s">
        <v>3853</v>
      </c>
      <c r="AT334" s="34">
        <v>0.0</v>
      </c>
      <c r="AU334" s="34">
        <v>100.0</v>
      </c>
      <c r="AV334" s="34">
        <v>0.0</v>
      </c>
      <c r="AW334" s="34">
        <v>0.0</v>
      </c>
      <c r="AX334" s="33">
        <f>COUNTIFS('Data For Calculation - Insuranc'!A:A,A334,'Data For Calculation - Insuranc'!D:D,"Individual",'Data For Calculation - Insuranc'!E:E,"Rollover - 1 Year OD Only")</f>
        <v>0</v>
      </c>
      <c r="AY334" s="34" t="s">
        <v>3932</v>
      </c>
      <c r="AZ334" s="30" t="s">
        <v>3817</v>
      </c>
      <c r="BA334" s="31">
        <v>290.0</v>
      </c>
      <c r="BB334" s="34" t="s">
        <v>3853</v>
      </c>
      <c r="BC334" s="34">
        <v>0.0</v>
      </c>
      <c r="BD334" s="34">
        <v>100.0</v>
      </c>
      <c r="BE334" s="34">
        <v>0.0</v>
      </c>
      <c r="BF334" s="34">
        <v>0.0</v>
      </c>
      <c r="BG334" s="33">
        <f>COUNTIFS('Data For Calculation - Insuranc'!A:A,A334,'Data For Calculation - Insuranc'!D:D,"Company",'Data For Calculation - Insuranc'!E:E,"Rollover - 1 Year OD Only")</f>
        <v>0</v>
      </c>
      <c r="BH334" s="34" t="s">
        <v>3931</v>
      </c>
      <c r="BI334" s="30" t="s">
        <v>3817</v>
      </c>
      <c r="BJ334" s="31">
        <v>290.0</v>
      </c>
      <c r="BK334" s="34" t="s">
        <v>3853</v>
      </c>
      <c r="BL334" s="34">
        <v>0.0</v>
      </c>
      <c r="BM334" s="34">
        <v>100.0</v>
      </c>
      <c r="BN334" s="34">
        <v>0.0</v>
      </c>
      <c r="BO334" s="34">
        <v>0.0</v>
      </c>
      <c r="BP334" s="33">
        <f>COUNTIFS('Data For Calculation - Insuranc'!A:A,A334,'Data For Calculation - Insuranc'!D:D,"Individual",'Data For Calculation - Insuranc'!E:E,"Rollover - 1 Year TP Only")</f>
        <v>0</v>
      </c>
      <c r="BQ334" s="34" t="s">
        <v>3932</v>
      </c>
      <c r="BR334" s="30" t="s">
        <v>3817</v>
      </c>
      <c r="BS334" s="31">
        <v>290.0</v>
      </c>
      <c r="BT334" s="34" t="s">
        <v>3853</v>
      </c>
      <c r="BU334" s="34">
        <v>0.0</v>
      </c>
      <c r="BV334" s="34">
        <v>100.0</v>
      </c>
      <c r="BW334" s="34">
        <v>0.0</v>
      </c>
      <c r="BX334" s="34">
        <v>0.0</v>
      </c>
      <c r="BY334" s="33">
        <f>COUNTIFS('Data For Calculation - Insuranc'!A:A,A334,'Data For Calculation - Insuranc'!D:D,"Company",'Data For Calculation - Insuranc'!E:E,"Rollover - 1 Year TP Only")</f>
        <v>0</v>
      </c>
      <c r="BZ334" s="31">
        <f t="shared" si="1"/>
        <v>0</v>
      </c>
      <c r="CA334" s="33">
        <f>SUMIFS('Data For Calculation - Insuranc'!I:I,'Data For Calculation - Insuranc'!$A:$A,$A334)</f>
        <v>0</v>
      </c>
      <c r="CB334" s="33">
        <f>SUMIFS('Data For Calculation - Insuranc'!J:J,'Data For Calculation - Insuranc'!$A:$A,$A334)</f>
        <v>0</v>
      </c>
      <c r="CC334" s="33">
        <f>SUMIFS('Data For Calculation - Insuranc'!K:K,'Data For Calculation - Insuranc'!$A:$A,$A334)</f>
        <v>0</v>
      </c>
      <c r="CD334" s="33">
        <f>IF($CK334 = "Dealer", SUMIFS('Data For Calculation - Insuranc'!I:I,'Data For Calculation - Insuranc'!$B:$B,$A334,'Data For Calculation - Insuranc'!$H:$H,"Master Dealer")) + SUMIFS('Data For Calculation - Insuranc'!I:I,'Data For Calculation - Insuranc'!$A:$A,$A334,'Data For Calculation - Insuranc'!$H:$H,"Self")</f>
        <v>0</v>
      </c>
      <c r="CE334" s="33">
        <f>IF($CK334 = "Dealer", SUMIFS('Data For Calculation - Insuranc'!J:J,'Data For Calculation - Insuranc'!$B:$B,$A334,'Data For Calculation - Insuranc'!$H:$H,"Master Dealer")) + SUMIFS('Data For Calculation - Insuranc'!J:J,'Data For Calculation - Insuranc'!$A:$A,$A334,'Data For Calculation - Insuranc'!$H:$H,"Self")</f>
        <v>0</v>
      </c>
      <c r="CF334" s="33">
        <f>IF($CK334 = "Dealer", SUMIFS('Data For Calculation - Insuranc'!K:K,'Data For Calculation - Insuranc'!$B:$B,$A334,'Data For Calculation - Insuranc'!$H:$H,"Master Dealer")) + SUMIFS('Data For Calculation - Insuranc'!K:K,'Data For Calculation - Insuranc'!$A:$A,$A334,'Data For Calculation - Insuranc'!$H:$H,"Self")</f>
        <v>0</v>
      </c>
      <c r="CG334" s="25" t="str">
        <f>(Sheet1!N334)</f>
        <v>Jaydeep Auto - Vadodra</v>
      </c>
      <c r="CH334" s="25" t="str">
        <f>(Sheet1!O334)</f>
        <v>1e3aaOiXSZCQrn6e8SubsYYbeE8N1r6f9D083h9kT6V4</v>
      </c>
      <c r="CI334" s="25" t="str">
        <f>(Sheet1!AV334)</f>
        <v/>
      </c>
      <c r="CJ334" s="25" t="str">
        <f>(Sheet1!AW334)</f>
        <v/>
      </c>
      <c r="CK334" s="26" t="str">
        <f>(Sheet1!P334)</f>
        <v>Dealer</v>
      </c>
    </row>
    <row r="335">
      <c r="A335" s="25" t="str">
        <f>(Sheet1!A335)</f>
        <v>1r0KUrXS28gDx7-fgD3zjnrel7PaC3KXGiEtHPv0wv_M</v>
      </c>
      <c r="B335" s="25" t="str">
        <f>(Sheet1!B335)</f>
        <v>PAL ENTERPRISE- VIDISHA</v>
      </c>
      <c r="C335" s="30" t="str">
        <f>Sheet1!BB335</f>
        <v>No</v>
      </c>
      <c r="D335" s="30" t="s">
        <v>13</v>
      </c>
      <c r="E335" s="34" t="s">
        <v>13</v>
      </c>
      <c r="F335" s="34" t="s">
        <v>3929</v>
      </c>
      <c r="G335" s="30" t="s">
        <v>3820</v>
      </c>
      <c r="H335" s="31">
        <v>290.0</v>
      </c>
      <c r="I335" s="34" t="s">
        <v>3853</v>
      </c>
      <c r="J335" s="34">
        <v>0.0</v>
      </c>
      <c r="K335" s="34">
        <v>100.0</v>
      </c>
      <c r="L335" s="34">
        <v>0.0</v>
      </c>
      <c r="M335" s="34">
        <v>0.0</v>
      </c>
      <c r="N335" s="33">
        <f>COUNTIFS('Data For Calculation - Insuranc'!A:A,A335,'Data For Calculation - Insuranc'!D:D,"Individual",'Data For Calculation - Insuranc'!E:E,"Bundled - 1 Year OD + 5 Year TP")</f>
        <v>0</v>
      </c>
      <c r="O335" s="34" t="s">
        <v>3930</v>
      </c>
      <c r="P335" s="30" t="s">
        <v>3820</v>
      </c>
      <c r="Q335" s="31">
        <v>290.0</v>
      </c>
      <c r="R335" s="34" t="s">
        <v>3853</v>
      </c>
      <c r="S335" s="34">
        <v>0.0</v>
      </c>
      <c r="T335" s="34">
        <v>100.0</v>
      </c>
      <c r="U335" s="34">
        <v>0.0</v>
      </c>
      <c r="V335" s="34">
        <v>0.0</v>
      </c>
      <c r="W335" s="33">
        <f>COUNTIFS('Data For Calculation - Insuranc'!A:A,A335,'Data For Calculation - Insuranc'!D:D,"Company",'Data For Calculation - Insuranc'!E:E,"Bundled - 1 Year OD + 5 Year TP")</f>
        <v>0</v>
      </c>
      <c r="X335" s="34" t="s">
        <v>3929</v>
      </c>
      <c r="Y335" s="30" t="s">
        <v>3820</v>
      </c>
      <c r="Z335" s="31">
        <v>290.0</v>
      </c>
      <c r="AA335" s="34" t="s">
        <v>3853</v>
      </c>
      <c r="AB335" s="34">
        <v>0.0</v>
      </c>
      <c r="AC335" s="34">
        <v>100.0</v>
      </c>
      <c r="AD335" s="34">
        <v>0.0</v>
      </c>
      <c r="AE335" s="34">
        <v>0.0</v>
      </c>
      <c r="AF335" s="33">
        <f>COUNTIFS('Data For Calculation - Insuranc'!A:A,A335,'Data For Calculation - Insuranc'!D:D,"Individual",'Data For Calculation - Insuranc'!E:E,"Rollover Comprehensive - 1 Year OD + 1 Year TP")</f>
        <v>0</v>
      </c>
      <c r="AG335" s="34" t="s">
        <v>3930</v>
      </c>
      <c r="AH335" s="30" t="s">
        <v>3820</v>
      </c>
      <c r="AI335" s="31">
        <v>290.0</v>
      </c>
      <c r="AJ335" s="34" t="s">
        <v>3853</v>
      </c>
      <c r="AK335" s="34">
        <v>0.0</v>
      </c>
      <c r="AL335" s="34">
        <v>100.0</v>
      </c>
      <c r="AM335" s="34">
        <v>0.0</v>
      </c>
      <c r="AN335" s="34">
        <v>0.0</v>
      </c>
      <c r="AO335" s="33">
        <f>COUNTIFS('Data For Calculation - Insuranc'!A:A,A335,'Data For Calculation - Insuranc'!D:D,"Company",'Data For Calculation - Insuranc'!E:E,"Rollover Comprehensive - 1 Year OD + 1 Year TP")</f>
        <v>0</v>
      </c>
      <c r="AP335" s="34" t="s">
        <v>3931</v>
      </c>
      <c r="AQ335" s="30" t="s">
        <v>3820</v>
      </c>
      <c r="AR335" s="31">
        <v>290.0</v>
      </c>
      <c r="AS335" s="34" t="s">
        <v>3853</v>
      </c>
      <c r="AT335" s="34">
        <v>0.0</v>
      </c>
      <c r="AU335" s="34">
        <v>100.0</v>
      </c>
      <c r="AV335" s="34">
        <v>0.0</v>
      </c>
      <c r="AW335" s="34">
        <v>0.0</v>
      </c>
      <c r="AX335" s="33">
        <f>COUNTIFS('Data For Calculation - Insuranc'!A:A,A335,'Data For Calculation - Insuranc'!D:D,"Individual",'Data For Calculation - Insuranc'!E:E,"Rollover - 1 Year OD Only")</f>
        <v>0</v>
      </c>
      <c r="AY335" s="34" t="s">
        <v>3932</v>
      </c>
      <c r="AZ335" s="30" t="s">
        <v>3820</v>
      </c>
      <c r="BA335" s="31">
        <v>290.0</v>
      </c>
      <c r="BB335" s="34" t="s">
        <v>3853</v>
      </c>
      <c r="BC335" s="34">
        <v>0.0</v>
      </c>
      <c r="BD335" s="34">
        <v>100.0</v>
      </c>
      <c r="BE335" s="34">
        <v>0.0</v>
      </c>
      <c r="BF335" s="34">
        <v>0.0</v>
      </c>
      <c r="BG335" s="33">
        <f>COUNTIFS('Data For Calculation - Insuranc'!A:A,A335,'Data For Calculation - Insuranc'!D:D,"Company",'Data For Calculation - Insuranc'!E:E,"Rollover - 1 Year OD Only")</f>
        <v>0</v>
      </c>
      <c r="BH335" s="34" t="s">
        <v>3931</v>
      </c>
      <c r="BI335" s="30" t="s">
        <v>3820</v>
      </c>
      <c r="BJ335" s="31">
        <v>290.0</v>
      </c>
      <c r="BK335" s="34" t="s">
        <v>3853</v>
      </c>
      <c r="BL335" s="34">
        <v>0.0</v>
      </c>
      <c r="BM335" s="34">
        <v>100.0</v>
      </c>
      <c r="BN335" s="34">
        <v>0.0</v>
      </c>
      <c r="BO335" s="34">
        <v>0.0</v>
      </c>
      <c r="BP335" s="33">
        <f>COUNTIFS('Data For Calculation - Insuranc'!A:A,A335,'Data For Calculation - Insuranc'!D:D,"Individual",'Data For Calculation - Insuranc'!E:E,"Rollover - 1 Year TP Only")</f>
        <v>0</v>
      </c>
      <c r="BQ335" s="34" t="s">
        <v>3932</v>
      </c>
      <c r="BR335" s="30" t="s">
        <v>3820</v>
      </c>
      <c r="BS335" s="31">
        <v>290.0</v>
      </c>
      <c r="BT335" s="34" t="s">
        <v>3853</v>
      </c>
      <c r="BU335" s="34">
        <v>0.0</v>
      </c>
      <c r="BV335" s="34">
        <v>100.0</v>
      </c>
      <c r="BW335" s="34">
        <v>0.0</v>
      </c>
      <c r="BX335" s="34">
        <v>0.0</v>
      </c>
      <c r="BY335" s="33">
        <f>COUNTIFS('Data For Calculation - Insuranc'!A:A,A335,'Data For Calculation - Insuranc'!D:D,"Company",'Data For Calculation - Insuranc'!E:E,"Rollover - 1 Year TP Only")</f>
        <v>0</v>
      </c>
      <c r="BZ335" s="31">
        <f t="shared" si="1"/>
        <v>0</v>
      </c>
      <c r="CA335" s="33">
        <f>SUMIFS('Data For Calculation - Insuranc'!I:I,'Data For Calculation - Insuranc'!$A:$A,$A335)</f>
        <v>0</v>
      </c>
      <c r="CB335" s="33">
        <f>SUMIFS('Data For Calculation - Insuranc'!J:J,'Data For Calculation - Insuranc'!$A:$A,$A335)</f>
        <v>0</v>
      </c>
      <c r="CC335" s="33">
        <f>SUMIFS('Data For Calculation - Insuranc'!K:K,'Data For Calculation - Insuranc'!$A:$A,$A335)</f>
        <v>0</v>
      </c>
      <c r="CD335" s="33">
        <f>IF($CK335 = "Dealer", SUMIFS('Data For Calculation - Insuranc'!I:I,'Data For Calculation - Insuranc'!$B:$B,$A335,'Data For Calculation - Insuranc'!$H:$H,"Master Dealer")) + SUMIFS('Data For Calculation - Insuranc'!I:I,'Data For Calculation - Insuranc'!$A:$A,$A335,'Data For Calculation - Insuranc'!$H:$H,"Self")</f>
        <v>0</v>
      </c>
      <c r="CE335" s="33">
        <f>IF($CK335 = "Dealer", SUMIFS('Data For Calculation - Insuranc'!J:J,'Data For Calculation - Insuranc'!$B:$B,$A335,'Data For Calculation - Insuranc'!$H:$H,"Master Dealer")) + SUMIFS('Data For Calculation - Insuranc'!J:J,'Data For Calculation - Insuranc'!$A:$A,$A335,'Data For Calculation - Insuranc'!$H:$H,"Self")</f>
        <v>0</v>
      </c>
      <c r="CF335" s="33">
        <f>IF($CK335 = "Dealer", SUMIFS('Data For Calculation - Insuranc'!K:K,'Data For Calculation - Insuranc'!$B:$B,$A335,'Data For Calculation - Insuranc'!$H:$H,"Master Dealer")) + SUMIFS('Data For Calculation - Insuranc'!K:K,'Data For Calculation - Insuranc'!$A:$A,$A335,'Data For Calculation - Insuranc'!$H:$H,"Self")</f>
        <v>0</v>
      </c>
      <c r="CG335" s="25" t="str">
        <f>(Sheet1!N335)</f>
        <v>PAL ENTERPRISE- VIDISHA</v>
      </c>
      <c r="CH335" s="25" t="str">
        <f>(Sheet1!O335)</f>
        <v>1r0KUrXS28gDx7-fgD3zjnrel7PaC3KXGiEtHPv0wv_M</v>
      </c>
      <c r="CI335" s="25" t="str">
        <f>(Sheet1!AV335)</f>
        <v/>
      </c>
      <c r="CJ335" s="25" t="str">
        <f>(Sheet1!AW335)</f>
        <v/>
      </c>
      <c r="CK335" s="26" t="str">
        <f>(Sheet1!P335)</f>
        <v>Dealer</v>
      </c>
    </row>
    <row r="336">
      <c r="A336" s="25" t="str">
        <f>(Sheet1!A336)</f>
        <v>1BMhoyJRK7DCg_LO256ufPw72_BuKa1iu3f1v8JCofH0</v>
      </c>
      <c r="B336" s="25" t="str">
        <f>(Sheet1!B336)</f>
        <v>North Bihar Agro Agencies</v>
      </c>
      <c r="C336" s="30" t="str">
        <f>Sheet1!BB336</f>
        <v>No</v>
      </c>
      <c r="D336" s="30" t="s">
        <v>13</v>
      </c>
      <c r="E336" s="34" t="s">
        <v>13</v>
      </c>
      <c r="F336" s="34" t="s">
        <v>3929</v>
      </c>
      <c r="G336" s="30" t="s">
        <v>3817</v>
      </c>
      <c r="H336" s="31">
        <v>290.0</v>
      </c>
      <c r="I336" s="34" t="s">
        <v>3853</v>
      </c>
      <c r="J336" s="34">
        <v>0.0</v>
      </c>
      <c r="K336" s="34">
        <v>100.0</v>
      </c>
      <c r="L336" s="34">
        <v>0.0</v>
      </c>
      <c r="M336" s="34">
        <v>0.0</v>
      </c>
      <c r="N336" s="33">
        <f>COUNTIFS('Data For Calculation - Insuranc'!A:A,A336,'Data For Calculation - Insuranc'!D:D,"Individual",'Data For Calculation - Insuranc'!E:E,"Bundled - 1 Year OD + 5 Year TP")</f>
        <v>0</v>
      </c>
      <c r="O336" s="34" t="s">
        <v>3930</v>
      </c>
      <c r="P336" s="30" t="s">
        <v>3817</v>
      </c>
      <c r="Q336" s="31">
        <v>290.0</v>
      </c>
      <c r="R336" s="34" t="s">
        <v>3853</v>
      </c>
      <c r="S336" s="34">
        <v>0.0</v>
      </c>
      <c r="T336" s="34">
        <v>100.0</v>
      </c>
      <c r="U336" s="34">
        <v>0.0</v>
      </c>
      <c r="V336" s="34">
        <v>0.0</v>
      </c>
      <c r="W336" s="33">
        <f>COUNTIFS('Data For Calculation - Insuranc'!A:A,A336,'Data For Calculation - Insuranc'!D:D,"Company",'Data For Calculation - Insuranc'!E:E,"Bundled - 1 Year OD + 5 Year TP")</f>
        <v>0</v>
      </c>
      <c r="X336" s="34" t="s">
        <v>3929</v>
      </c>
      <c r="Y336" s="30" t="s">
        <v>3817</v>
      </c>
      <c r="Z336" s="31">
        <v>290.0</v>
      </c>
      <c r="AA336" s="34" t="s">
        <v>3853</v>
      </c>
      <c r="AB336" s="34">
        <v>0.0</v>
      </c>
      <c r="AC336" s="34">
        <v>100.0</v>
      </c>
      <c r="AD336" s="34">
        <v>0.0</v>
      </c>
      <c r="AE336" s="34">
        <v>0.0</v>
      </c>
      <c r="AF336" s="33">
        <f>COUNTIFS('Data For Calculation - Insuranc'!A:A,A336,'Data For Calculation - Insuranc'!D:D,"Individual",'Data For Calculation - Insuranc'!E:E,"Rollover Comprehensive - 1 Year OD + 1 Year TP")</f>
        <v>0</v>
      </c>
      <c r="AG336" s="34" t="s">
        <v>3930</v>
      </c>
      <c r="AH336" s="30" t="s">
        <v>3817</v>
      </c>
      <c r="AI336" s="31">
        <v>290.0</v>
      </c>
      <c r="AJ336" s="34" t="s">
        <v>3853</v>
      </c>
      <c r="AK336" s="34">
        <v>0.0</v>
      </c>
      <c r="AL336" s="34">
        <v>100.0</v>
      </c>
      <c r="AM336" s="34">
        <v>0.0</v>
      </c>
      <c r="AN336" s="34">
        <v>0.0</v>
      </c>
      <c r="AO336" s="33">
        <f>COUNTIFS('Data For Calculation - Insuranc'!A:A,A336,'Data For Calculation - Insuranc'!D:D,"Company",'Data For Calculation - Insuranc'!E:E,"Rollover Comprehensive - 1 Year OD + 1 Year TP")</f>
        <v>0</v>
      </c>
      <c r="AP336" s="34" t="s">
        <v>3931</v>
      </c>
      <c r="AQ336" s="30" t="s">
        <v>3817</v>
      </c>
      <c r="AR336" s="31">
        <v>290.0</v>
      </c>
      <c r="AS336" s="34" t="s">
        <v>3853</v>
      </c>
      <c r="AT336" s="34">
        <v>0.0</v>
      </c>
      <c r="AU336" s="34">
        <v>100.0</v>
      </c>
      <c r="AV336" s="34">
        <v>0.0</v>
      </c>
      <c r="AW336" s="34">
        <v>0.0</v>
      </c>
      <c r="AX336" s="33">
        <f>COUNTIFS('Data For Calculation - Insuranc'!A:A,A336,'Data For Calculation - Insuranc'!D:D,"Individual",'Data For Calculation - Insuranc'!E:E,"Rollover - 1 Year OD Only")</f>
        <v>0</v>
      </c>
      <c r="AY336" s="34" t="s">
        <v>3932</v>
      </c>
      <c r="AZ336" s="30" t="s">
        <v>3817</v>
      </c>
      <c r="BA336" s="31">
        <v>290.0</v>
      </c>
      <c r="BB336" s="34" t="s">
        <v>3853</v>
      </c>
      <c r="BC336" s="34">
        <v>0.0</v>
      </c>
      <c r="BD336" s="34">
        <v>100.0</v>
      </c>
      <c r="BE336" s="34">
        <v>0.0</v>
      </c>
      <c r="BF336" s="34">
        <v>0.0</v>
      </c>
      <c r="BG336" s="33">
        <f>COUNTIFS('Data For Calculation - Insuranc'!A:A,A336,'Data For Calculation - Insuranc'!D:D,"Company",'Data For Calculation - Insuranc'!E:E,"Rollover - 1 Year OD Only")</f>
        <v>0</v>
      </c>
      <c r="BH336" s="34" t="s">
        <v>3931</v>
      </c>
      <c r="BI336" s="30" t="s">
        <v>3817</v>
      </c>
      <c r="BJ336" s="31">
        <v>290.0</v>
      </c>
      <c r="BK336" s="34" t="s">
        <v>3853</v>
      </c>
      <c r="BL336" s="34">
        <v>0.0</v>
      </c>
      <c r="BM336" s="34">
        <v>100.0</v>
      </c>
      <c r="BN336" s="34">
        <v>0.0</v>
      </c>
      <c r="BO336" s="34">
        <v>0.0</v>
      </c>
      <c r="BP336" s="33">
        <f>COUNTIFS('Data For Calculation - Insuranc'!A:A,A336,'Data For Calculation - Insuranc'!D:D,"Individual",'Data For Calculation - Insuranc'!E:E,"Rollover - 1 Year TP Only")</f>
        <v>0</v>
      </c>
      <c r="BQ336" s="34" t="s">
        <v>3932</v>
      </c>
      <c r="BR336" s="30" t="s">
        <v>3817</v>
      </c>
      <c r="BS336" s="31">
        <v>290.0</v>
      </c>
      <c r="BT336" s="34" t="s">
        <v>3853</v>
      </c>
      <c r="BU336" s="34">
        <v>0.0</v>
      </c>
      <c r="BV336" s="34">
        <v>100.0</v>
      </c>
      <c r="BW336" s="34">
        <v>0.0</v>
      </c>
      <c r="BX336" s="34">
        <v>0.0</v>
      </c>
      <c r="BY336" s="33">
        <f>COUNTIFS('Data For Calculation - Insuranc'!A:A,A336,'Data For Calculation - Insuranc'!D:D,"Company",'Data For Calculation - Insuranc'!E:E,"Rollover - 1 Year TP Only")</f>
        <v>0</v>
      </c>
      <c r="BZ336" s="31">
        <f t="shared" si="1"/>
        <v>0</v>
      </c>
      <c r="CA336" s="33">
        <f>SUMIFS('Data For Calculation - Insuranc'!I:I,'Data For Calculation - Insuranc'!$A:$A,$A336)</f>
        <v>0</v>
      </c>
      <c r="CB336" s="33">
        <f>SUMIFS('Data For Calculation - Insuranc'!J:J,'Data For Calculation - Insuranc'!$A:$A,$A336)</f>
        <v>0</v>
      </c>
      <c r="CC336" s="33">
        <f>SUMIFS('Data For Calculation - Insuranc'!K:K,'Data For Calculation - Insuranc'!$A:$A,$A336)</f>
        <v>0</v>
      </c>
      <c r="CD336" s="33">
        <f>IF($CK336 = "Dealer", SUMIFS('Data For Calculation - Insuranc'!I:I,'Data For Calculation - Insuranc'!$B:$B,$A336,'Data For Calculation - Insuranc'!$H:$H,"Master Dealer")) + SUMIFS('Data For Calculation - Insuranc'!I:I,'Data For Calculation - Insuranc'!$A:$A,$A336,'Data For Calculation - Insuranc'!$H:$H,"Self")</f>
        <v>0</v>
      </c>
      <c r="CE336" s="33">
        <f>IF($CK336 = "Dealer", SUMIFS('Data For Calculation - Insuranc'!J:J,'Data For Calculation - Insuranc'!$B:$B,$A336,'Data For Calculation - Insuranc'!$H:$H,"Master Dealer")) + SUMIFS('Data For Calculation - Insuranc'!J:J,'Data For Calculation - Insuranc'!$A:$A,$A336,'Data For Calculation - Insuranc'!$H:$H,"Self")</f>
        <v>0</v>
      </c>
      <c r="CF336" s="33">
        <f>IF($CK336 = "Dealer", SUMIFS('Data For Calculation - Insuranc'!K:K,'Data For Calculation - Insuranc'!$B:$B,$A336,'Data For Calculation - Insuranc'!$H:$H,"Master Dealer")) + SUMIFS('Data For Calculation - Insuranc'!K:K,'Data For Calculation - Insuranc'!$A:$A,$A336,'Data For Calculation - Insuranc'!$H:$H,"Self")</f>
        <v>0</v>
      </c>
      <c r="CG336" s="25" t="str">
        <f>(Sheet1!N336)</f>
        <v>North Bihar Agro Agencies</v>
      </c>
      <c r="CH336" s="25" t="str">
        <f>(Sheet1!O336)</f>
        <v>1BMhoyJRK7DCg_LO256ufPw72_BuKa1iu3f1v8JCofH0</v>
      </c>
      <c r="CI336" s="25" t="str">
        <f>(Sheet1!AV336)</f>
        <v/>
      </c>
      <c r="CJ336" s="25" t="str">
        <f>(Sheet1!AW336)</f>
        <v/>
      </c>
      <c r="CK336" s="26" t="str">
        <f>(Sheet1!P336)</f>
        <v>Dealer</v>
      </c>
    </row>
    <row r="337">
      <c r="A337" s="25" t="str">
        <f>(Sheet1!A337)</f>
        <v>1SFJDdnhDWiLN-lR4hWAV93N4rK3ge8yCJzFkfHhJbDU</v>
      </c>
      <c r="B337" s="25" t="str">
        <f>(Sheet1!B337)</f>
        <v>AWADH AUTOMOBILES (GA) - CHHITAUNI</v>
      </c>
      <c r="C337" s="30" t="str">
        <f>Sheet1!BB337</f>
        <v>No</v>
      </c>
      <c r="D337" s="30" t="s">
        <v>13</v>
      </c>
      <c r="E337" s="34" t="s">
        <v>13</v>
      </c>
      <c r="F337" s="34" t="s">
        <v>3929</v>
      </c>
      <c r="G337" s="30" t="s">
        <v>3817</v>
      </c>
      <c r="H337" s="31">
        <v>290.0</v>
      </c>
      <c r="I337" s="34" t="s">
        <v>3853</v>
      </c>
      <c r="J337" s="34">
        <v>0.0</v>
      </c>
      <c r="K337" s="34">
        <v>100.0</v>
      </c>
      <c r="L337" s="34">
        <v>0.0</v>
      </c>
      <c r="M337" s="34">
        <v>0.0</v>
      </c>
      <c r="N337" s="33">
        <f>COUNTIFS('Data For Calculation - Insuranc'!A:A,A337,'Data For Calculation - Insuranc'!D:D,"Individual",'Data For Calculation - Insuranc'!E:E,"Bundled - 1 Year OD + 5 Year TP")</f>
        <v>0</v>
      </c>
      <c r="O337" s="34" t="s">
        <v>3930</v>
      </c>
      <c r="P337" s="30" t="s">
        <v>3817</v>
      </c>
      <c r="Q337" s="31">
        <v>290.0</v>
      </c>
      <c r="R337" s="34" t="s">
        <v>3853</v>
      </c>
      <c r="S337" s="34">
        <v>0.0</v>
      </c>
      <c r="T337" s="34">
        <v>100.0</v>
      </c>
      <c r="U337" s="34">
        <v>0.0</v>
      </c>
      <c r="V337" s="34">
        <v>0.0</v>
      </c>
      <c r="W337" s="33">
        <f>COUNTIFS('Data For Calculation - Insuranc'!A:A,A337,'Data For Calculation - Insuranc'!D:D,"Company",'Data For Calculation - Insuranc'!E:E,"Bundled - 1 Year OD + 5 Year TP")</f>
        <v>0</v>
      </c>
      <c r="X337" s="34" t="s">
        <v>3929</v>
      </c>
      <c r="Y337" s="30" t="s">
        <v>3817</v>
      </c>
      <c r="Z337" s="31">
        <v>290.0</v>
      </c>
      <c r="AA337" s="34" t="s">
        <v>3853</v>
      </c>
      <c r="AB337" s="34">
        <v>0.0</v>
      </c>
      <c r="AC337" s="34">
        <v>100.0</v>
      </c>
      <c r="AD337" s="34">
        <v>0.0</v>
      </c>
      <c r="AE337" s="34">
        <v>0.0</v>
      </c>
      <c r="AF337" s="33">
        <f>COUNTIFS('Data For Calculation - Insuranc'!A:A,A337,'Data For Calculation - Insuranc'!D:D,"Individual",'Data For Calculation - Insuranc'!E:E,"Rollover Comprehensive - 1 Year OD + 1 Year TP")</f>
        <v>0</v>
      </c>
      <c r="AG337" s="34" t="s">
        <v>3930</v>
      </c>
      <c r="AH337" s="30" t="s">
        <v>3817</v>
      </c>
      <c r="AI337" s="31">
        <v>290.0</v>
      </c>
      <c r="AJ337" s="34" t="s">
        <v>3853</v>
      </c>
      <c r="AK337" s="34">
        <v>0.0</v>
      </c>
      <c r="AL337" s="34">
        <v>100.0</v>
      </c>
      <c r="AM337" s="34">
        <v>0.0</v>
      </c>
      <c r="AN337" s="34">
        <v>0.0</v>
      </c>
      <c r="AO337" s="33">
        <f>COUNTIFS('Data For Calculation - Insuranc'!A:A,A337,'Data For Calculation - Insuranc'!D:D,"Company",'Data For Calculation - Insuranc'!E:E,"Rollover Comprehensive - 1 Year OD + 1 Year TP")</f>
        <v>0</v>
      </c>
      <c r="AP337" s="34" t="s">
        <v>3931</v>
      </c>
      <c r="AQ337" s="30" t="s">
        <v>3817</v>
      </c>
      <c r="AR337" s="31">
        <v>290.0</v>
      </c>
      <c r="AS337" s="34" t="s">
        <v>3853</v>
      </c>
      <c r="AT337" s="34">
        <v>0.0</v>
      </c>
      <c r="AU337" s="34">
        <v>100.0</v>
      </c>
      <c r="AV337" s="34">
        <v>0.0</v>
      </c>
      <c r="AW337" s="34">
        <v>0.0</v>
      </c>
      <c r="AX337" s="33">
        <f>COUNTIFS('Data For Calculation - Insuranc'!A:A,A337,'Data For Calculation - Insuranc'!D:D,"Individual",'Data For Calculation - Insuranc'!E:E,"Rollover - 1 Year OD Only")</f>
        <v>0</v>
      </c>
      <c r="AY337" s="34" t="s">
        <v>3932</v>
      </c>
      <c r="AZ337" s="30" t="s">
        <v>3817</v>
      </c>
      <c r="BA337" s="31">
        <v>290.0</v>
      </c>
      <c r="BB337" s="34" t="s">
        <v>3853</v>
      </c>
      <c r="BC337" s="34">
        <v>0.0</v>
      </c>
      <c r="BD337" s="34">
        <v>100.0</v>
      </c>
      <c r="BE337" s="34">
        <v>0.0</v>
      </c>
      <c r="BF337" s="34">
        <v>0.0</v>
      </c>
      <c r="BG337" s="33">
        <f>COUNTIFS('Data For Calculation - Insuranc'!A:A,A337,'Data For Calculation - Insuranc'!D:D,"Company",'Data For Calculation - Insuranc'!E:E,"Rollover - 1 Year OD Only")</f>
        <v>0</v>
      </c>
      <c r="BH337" s="34" t="s">
        <v>3931</v>
      </c>
      <c r="BI337" s="30" t="s">
        <v>3817</v>
      </c>
      <c r="BJ337" s="31">
        <v>290.0</v>
      </c>
      <c r="BK337" s="34" t="s">
        <v>3853</v>
      </c>
      <c r="BL337" s="34">
        <v>0.0</v>
      </c>
      <c r="BM337" s="34">
        <v>100.0</v>
      </c>
      <c r="BN337" s="34">
        <v>0.0</v>
      </c>
      <c r="BO337" s="34">
        <v>0.0</v>
      </c>
      <c r="BP337" s="33">
        <f>COUNTIFS('Data For Calculation - Insuranc'!A:A,A337,'Data For Calculation - Insuranc'!D:D,"Individual",'Data For Calculation - Insuranc'!E:E,"Rollover - 1 Year TP Only")</f>
        <v>0</v>
      </c>
      <c r="BQ337" s="34" t="s">
        <v>3932</v>
      </c>
      <c r="BR337" s="30" t="s">
        <v>3817</v>
      </c>
      <c r="BS337" s="31">
        <v>290.0</v>
      </c>
      <c r="BT337" s="34" t="s">
        <v>3853</v>
      </c>
      <c r="BU337" s="34">
        <v>0.0</v>
      </c>
      <c r="BV337" s="34">
        <v>100.0</v>
      </c>
      <c r="BW337" s="34">
        <v>0.0</v>
      </c>
      <c r="BX337" s="34">
        <v>0.0</v>
      </c>
      <c r="BY337" s="33">
        <f>COUNTIFS('Data For Calculation - Insuranc'!A:A,A337,'Data For Calculation - Insuranc'!D:D,"Company",'Data For Calculation - Insuranc'!E:E,"Rollover - 1 Year TP Only")</f>
        <v>0</v>
      </c>
      <c r="BZ337" s="31">
        <f t="shared" si="1"/>
        <v>0</v>
      </c>
      <c r="CA337" s="33">
        <f>SUMIFS('Data For Calculation - Insuranc'!I:I,'Data For Calculation - Insuranc'!$A:$A,$A337)</f>
        <v>0</v>
      </c>
      <c r="CB337" s="33">
        <f>SUMIFS('Data For Calculation - Insuranc'!J:J,'Data For Calculation - Insuranc'!$A:$A,$A337)</f>
        <v>0</v>
      </c>
      <c r="CC337" s="33">
        <f>SUMIFS('Data For Calculation - Insuranc'!K:K,'Data For Calculation - Insuranc'!$A:$A,$A337)</f>
        <v>0</v>
      </c>
      <c r="CD337" s="33">
        <f>IF($CK337 = "Dealer", SUMIFS('Data For Calculation - Insuranc'!I:I,'Data For Calculation - Insuranc'!$B:$B,$A337,'Data For Calculation - Insuranc'!$H:$H,"Master Dealer")) + SUMIFS('Data For Calculation - Insuranc'!I:I,'Data For Calculation - Insuranc'!$A:$A,$A337,'Data For Calculation - Insuranc'!$H:$H,"Self")</f>
        <v>0</v>
      </c>
      <c r="CE337" s="33">
        <f>IF($CK337 = "Dealer", SUMIFS('Data For Calculation - Insuranc'!J:J,'Data For Calculation - Insuranc'!$B:$B,$A337,'Data For Calculation - Insuranc'!$H:$H,"Master Dealer")) + SUMIFS('Data For Calculation - Insuranc'!J:J,'Data For Calculation - Insuranc'!$A:$A,$A337,'Data For Calculation - Insuranc'!$H:$H,"Self")</f>
        <v>0</v>
      </c>
      <c r="CF337" s="33">
        <f>IF($CK337 = "Dealer", SUMIFS('Data For Calculation - Insuranc'!K:K,'Data For Calculation - Insuranc'!$B:$B,$A337,'Data For Calculation - Insuranc'!$H:$H,"Master Dealer")) + SUMIFS('Data For Calculation - Insuranc'!K:K,'Data For Calculation - Insuranc'!$A:$A,$A337,'Data For Calculation - Insuranc'!$H:$H,"Self")</f>
        <v>0</v>
      </c>
      <c r="CG337" s="25" t="str">
        <f>(Sheet1!N337)</f>
        <v>Gupta Automobiles - Padrauna</v>
      </c>
      <c r="CH337" s="25" t="str">
        <f>(Sheet1!O337)</f>
        <v>1Ql_6BdBcHGAyITSZt1pNUK3bW54CzeThIBXr7aH7K3Y</v>
      </c>
      <c r="CI337" s="25" t="str">
        <f>(Sheet1!AV337)</f>
        <v/>
      </c>
      <c r="CJ337" s="25" t="str">
        <f>(Sheet1!AW337)</f>
        <v/>
      </c>
      <c r="CK337" s="26" t="str">
        <f>(Sheet1!P337)</f>
        <v>Sub Dealer</v>
      </c>
    </row>
    <row r="338">
      <c r="A338" s="25" t="str">
        <f>(Sheet1!A338)</f>
        <v>1LVFmg-oYUYvWwI6u3WOnpzEWG7hGErkioBifgg4ml3c</v>
      </c>
      <c r="B338" s="25" t="str">
        <f>(Sheet1!B338)</f>
        <v>J.M Motors- Forbesganj</v>
      </c>
      <c r="C338" s="30" t="str">
        <f>Sheet1!BB338</f>
        <v>No</v>
      </c>
      <c r="D338" s="30" t="s">
        <v>13</v>
      </c>
      <c r="E338" s="34" t="s">
        <v>13</v>
      </c>
      <c r="F338" s="34" t="s">
        <v>3929</v>
      </c>
      <c r="G338" s="30" t="s">
        <v>3820</v>
      </c>
      <c r="H338" s="31">
        <v>290.0</v>
      </c>
      <c r="I338" s="34" t="s">
        <v>3853</v>
      </c>
      <c r="J338" s="34">
        <v>0.0</v>
      </c>
      <c r="K338" s="34">
        <v>100.0</v>
      </c>
      <c r="L338" s="34">
        <v>0.0</v>
      </c>
      <c r="M338" s="34">
        <v>0.0</v>
      </c>
      <c r="N338" s="33">
        <f>COUNTIFS('Data For Calculation - Insuranc'!A:A,A338,'Data For Calculation - Insuranc'!D:D,"Individual",'Data For Calculation - Insuranc'!E:E,"Bundled - 1 Year OD + 5 Year TP")</f>
        <v>0</v>
      </c>
      <c r="O338" s="34" t="s">
        <v>3930</v>
      </c>
      <c r="P338" s="30" t="s">
        <v>3820</v>
      </c>
      <c r="Q338" s="31">
        <v>290.0</v>
      </c>
      <c r="R338" s="34" t="s">
        <v>3853</v>
      </c>
      <c r="S338" s="34">
        <v>0.0</v>
      </c>
      <c r="T338" s="34">
        <v>100.0</v>
      </c>
      <c r="U338" s="34">
        <v>0.0</v>
      </c>
      <c r="V338" s="34">
        <v>0.0</v>
      </c>
      <c r="W338" s="33">
        <f>COUNTIFS('Data For Calculation - Insuranc'!A:A,A338,'Data For Calculation - Insuranc'!D:D,"Company",'Data For Calculation - Insuranc'!E:E,"Bundled - 1 Year OD + 5 Year TP")</f>
        <v>0</v>
      </c>
      <c r="X338" s="34" t="s">
        <v>3929</v>
      </c>
      <c r="Y338" s="30" t="s">
        <v>3820</v>
      </c>
      <c r="Z338" s="31">
        <v>290.0</v>
      </c>
      <c r="AA338" s="34" t="s">
        <v>3853</v>
      </c>
      <c r="AB338" s="34">
        <v>0.0</v>
      </c>
      <c r="AC338" s="34">
        <v>100.0</v>
      </c>
      <c r="AD338" s="34">
        <v>0.0</v>
      </c>
      <c r="AE338" s="34">
        <v>0.0</v>
      </c>
      <c r="AF338" s="33">
        <f>COUNTIFS('Data For Calculation - Insuranc'!A:A,A338,'Data For Calculation - Insuranc'!D:D,"Individual",'Data For Calculation - Insuranc'!E:E,"Rollover Comprehensive - 1 Year OD + 1 Year TP")</f>
        <v>0</v>
      </c>
      <c r="AG338" s="34" t="s">
        <v>3930</v>
      </c>
      <c r="AH338" s="30" t="s">
        <v>3820</v>
      </c>
      <c r="AI338" s="31">
        <v>290.0</v>
      </c>
      <c r="AJ338" s="34" t="s">
        <v>3853</v>
      </c>
      <c r="AK338" s="34">
        <v>0.0</v>
      </c>
      <c r="AL338" s="34">
        <v>100.0</v>
      </c>
      <c r="AM338" s="34">
        <v>0.0</v>
      </c>
      <c r="AN338" s="34">
        <v>0.0</v>
      </c>
      <c r="AO338" s="33">
        <f>COUNTIFS('Data For Calculation - Insuranc'!A:A,A338,'Data For Calculation - Insuranc'!D:D,"Company",'Data For Calculation - Insuranc'!E:E,"Rollover Comprehensive - 1 Year OD + 1 Year TP")</f>
        <v>0</v>
      </c>
      <c r="AP338" s="34" t="s">
        <v>3931</v>
      </c>
      <c r="AQ338" s="30" t="s">
        <v>3820</v>
      </c>
      <c r="AR338" s="31">
        <v>290.0</v>
      </c>
      <c r="AS338" s="34" t="s">
        <v>3853</v>
      </c>
      <c r="AT338" s="34">
        <v>0.0</v>
      </c>
      <c r="AU338" s="34">
        <v>100.0</v>
      </c>
      <c r="AV338" s="34">
        <v>0.0</v>
      </c>
      <c r="AW338" s="34">
        <v>0.0</v>
      </c>
      <c r="AX338" s="33">
        <f>COUNTIFS('Data For Calculation - Insuranc'!A:A,A338,'Data For Calculation - Insuranc'!D:D,"Individual",'Data For Calculation - Insuranc'!E:E,"Rollover - 1 Year OD Only")</f>
        <v>0</v>
      </c>
      <c r="AY338" s="34" t="s">
        <v>3932</v>
      </c>
      <c r="AZ338" s="30" t="s">
        <v>3820</v>
      </c>
      <c r="BA338" s="31">
        <v>290.0</v>
      </c>
      <c r="BB338" s="34" t="s">
        <v>3853</v>
      </c>
      <c r="BC338" s="34">
        <v>0.0</v>
      </c>
      <c r="BD338" s="34">
        <v>100.0</v>
      </c>
      <c r="BE338" s="34">
        <v>0.0</v>
      </c>
      <c r="BF338" s="34">
        <v>0.0</v>
      </c>
      <c r="BG338" s="33">
        <f>COUNTIFS('Data For Calculation - Insuranc'!A:A,A338,'Data For Calculation - Insuranc'!D:D,"Company",'Data For Calculation - Insuranc'!E:E,"Rollover - 1 Year OD Only")</f>
        <v>0</v>
      </c>
      <c r="BH338" s="34" t="s">
        <v>3931</v>
      </c>
      <c r="BI338" s="30" t="s">
        <v>3820</v>
      </c>
      <c r="BJ338" s="31">
        <v>290.0</v>
      </c>
      <c r="BK338" s="34" t="s">
        <v>3853</v>
      </c>
      <c r="BL338" s="34">
        <v>0.0</v>
      </c>
      <c r="BM338" s="34">
        <v>100.0</v>
      </c>
      <c r="BN338" s="34">
        <v>0.0</v>
      </c>
      <c r="BO338" s="34">
        <v>0.0</v>
      </c>
      <c r="BP338" s="33">
        <f>COUNTIFS('Data For Calculation - Insuranc'!A:A,A338,'Data For Calculation - Insuranc'!D:D,"Individual",'Data For Calculation - Insuranc'!E:E,"Rollover - 1 Year TP Only")</f>
        <v>0</v>
      </c>
      <c r="BQ338" s="34" t="s">
        <v>3932</v>
      </c>
      <c r="BR338" s="30" t="s">
        <v>3820</v>
      </c>
      <c r="BS338" s="31">
        <v>290.0</v>
      </c>
      <c r="BT338" s="34" t="s">
        <v>3853</v>
      </c>
      <c r="BU338" s="34">
        <v>0.0</v>
      </c>
      <c r="BV338" s="34">
        <v>100.0</v>
      </c>
      <c r="BW338" s="34">
        <v>0.0</v>
      </c>
      <c r="BX338" s="34">
        <v>0.0</v>
      </c>
      <c r="BY338" s="33">
        <f>COUNTIFS('Data For Calculation - Insuranc'!A:A,A338,'Data For Calculation - Insuranc'!D:D,"Company",'Data For Calculation - Insuranc'!E:E,"Rollover - 1 Year TP Only")</f>
        <v>0</v>
      </c>
      <c r="BZ338" s="31">
        <f t="shared" si="1"/>
        <v>0</v>
      </c>
      <c r="CA338" s="33">
        <f>SUMIFS('Data For Calculation - Insuranc'!I:I,'Data For Calculation - Insuranc'!$A:$A,$A338)</f>
        <v>0</v>
      </c>
      <c r="CB338" s="33">
        <f>SUMIFS('Data For Calculation - Insuranc'!J:J,'Data For Calculation - Insuranc'!$A:$A,$A338)</f>
        <v>0</v>
      </c>
      <c r="CC338" s="33">
        <f>SUMIFS('Data For Calculation - Insuranc'!K:K,'Data For Calculation - Insuranc'!$A:$A,$A338)</f>
        <v>0</v>
      </c>
      <c r="CD338" s="33">
        <f>IF($CK338 = "Dealer", SUMIFS('Data For Calculation - Insuranc'!I:I,'Data For Calculation - Insuranc'!$B:$B,$A338,'Data For Calculation - Insuranc'!$H:$H,"Master Dealer")) + SUMIFS('Data For Calculation - Insuranc'!I:I,'Data For Calculation - Insuranc'!$A:$A,$A338,'Data For Calculation - Insuranc'!$H:$H,"Self")</f>
        <v>0</v>
      </c>
      <c r="CE338" s="33">
        <f>IF($CK338 = "Dealer", SUMIFS('Data For Calculation - Insuranc'!J:J,'Data For Calculation - Insuranc'!$B:$B,$A338,'Data For Calculation - Insuranc'!$H:$H,"Master Dealer")) + SUMIFS('Data For Calculation - Insuranc'!J:J,'Data For Calculation - Insuranc'!$A:$A,$A338,'Data For Calculation - Insuranc'!$H:$H,"Self")</f>
        <v>0</v>
      </c>
      <c r="CF338" s="33">
        <f>IF($CK338 = "Dealer", SUMIFS('Data For Calculation - Insuranc'!K:K,'Data For Calculation - Insuranc'!$B:$B,$A338,'Data For Calculation - Insuranc'!$H:$H,"Master Dealer")) + SUMIFS('Data For Calculation - Insuranc'!K:K,'Data For Calculation - Insuranc'!$A:$A,$A338,'Data For Calculation - Insuranc'!$H:$H,"Self")</f>
        <v>0</v>
      </c>
      <c r="CG338" s="25" t="str">
        <f>(Sheet1!N338)</f>
        <v>J.M Motors- Forbesganj</v>
      </c>
      <c r="CH338" s="25" t="str">
        <f>(Sheet1!O338)</f>
        <v>1LVFmg-oYUYvWwI6u3WOnpzEWG7hGErkioBifgg4ml3c</v>
      </c>
      <c r="CI338" s="25" t="str">
        <f>(Sheet1!AV338)</f>
        <v/>
      </c>
      <c r="CJ338" s="25" t="str">
        <f>(Sheet1!AW338)</f>
        <v/>
      </c>
      <c r="CK338" s="26" t="str">
        <f>(Sheet1!P338)</f>
        <v>Dealer</v>
      </c>
    </row>
    <row r="339">
      <c r="A339" s="25" t="str">
        <f>(Sheet1!A339)</f>
        <v>1fHCHQnIWmfXqP4jwi-agXjfK1q2zM0BUeG3fwB0qApc</v>
      </c>
      <c r="B339" s="25" t="str">
        <f>(Sheet1!B339)</f>
        <v>Mahabir Automobiles -Sultanpur</v>
      </c>
      <c r="C339" s="30" t="str">
        <f>Sheet1!BB339</f>
        <v>No</v>
      </c>
      <c r="D339" s="30" t="s">
        <v>13</v>
      </c>
      <c r="E339" s="34" t="s">
        <v>13</v>
      </c>
      <c r="F339" s="34" t="s">
        <v>3929</v>
      </c>
      <c r="G339" s="30" t="s">
        <v>3817</v>
      </c>
      <c r="H339" s="31">
        <v>290.0</v>
      </c>
      <c r="I339" s="34" t="s">
        <v>3853</v>
      </c>
      <c r="J339" s="34">
        <v>0.0</v>
      </c>
      <c r="K339" s="34">
        <v>100.0</v>
      </c>
      <c r="L339" s="34">
        <v>0.0</v>
      </c>
      <c r="M339" s="34">
        <v>0.0</v>
      </c>
      <c r="N339" s="33">
        <f>COUNTIFS('Data For Calculation - Insuranc'!A:A,A339,'Data For Calculation - Insuranc'!D:D,"Individual",'Data For Calculation - Insuranc'!E:E,"Bundled - 1 Year OD + 5 Year TP")</f>
        <v>0</v>
      </c>
      <c r="O339" s="34" t="s">
        <v>3930</v>
      </c>
      <c r="P339" s="30" t="s">
        <v>3817</v>
      </c>
      <c r="Q339" s="31">
        <v>290.0</v>
      </c>
      <c r="R339" s="34" t="s">
        <v>3853</v>
      </c>
      <c r="S339" s="34">
        <v>0.0</v>
      </c>
      <c r="T339" s="34">
        <v>100.0</v>
      </c>
      <c r="U339" s="34">
        <v>0.0</v>
      </c>
      <c r="V339" s="34">
        <v>0.0</v>
      </c>
      <c r="W339" s="33">
        <f>COUNTIFS('Data For Calculation - Insuranc'!A:A,A339,'Data For Calculation - Insuranc'!D:D,"Company",'Data For Calculation - Insuranc'!E:E,"Bundled - 1 Year OD + 5 Year TP")</f>
        <v>0</v>
      </c>
      <c r="X339" s="34" t="s">
        <v>3929</v>
      </c>
      <c r="Y339" s="30" t="s">
        <v>3817</v>
      </c>
      <c r="Z339" s="31">
        <v>290.0</v>
      </c>
      <c r="AA339" s="34" t="s">
        <v>3853</v>
      </c>
      <c r="AB339" s="34">
        <v>0.0</v>
      </c>
      <c r="AC339" s="34">
        <v>100.0</v>
      </c>
      <c r="AD339" s="34">
        <v>0.0</v>
      </c>
      <c r="AE339" s="34">
        <v>0.0</v>
      </c>
      <c r="AF339" s="33">
        <f>COUNTIFS('Data For Calculation - Insuranc'!A:A,A339,'Data For Calculation - Insuranc'!D:D,"Individual",'Data For Calculation - Insuranc'!E:E,"Rollover Comprehensive - 1 Year OD + 1 Year TP")</f>
        <v>0</v>
      </c>
      <c r="AG339" s="34" t="s">
        <v>3930</v>
      </c>
      <c r="AH339" s="30" t="s">
        <v>3817</v>
      </c>
      <c r="AI339" s="31">
        <v>290.0</v>
      </c>
      <c r="AJ339" s="34" t="s">
        <v>3853</v>
      </c>
      <c r="AK339" s="34">
        <v>0.0</v>
      </c>
      <c r="AL339" s="34">
        <v>100.0</v>
      </c>
      <c r="AM339" s="34">
        <v>0.0</v>
      </c>
      <c r="AN339" s="34">
        <v>0.0</v>
      </c>
      <c r="AO339" s="33">
        <f>COUNTIFS('Data For Calculation - Insuranc'!A:A,A339,'Data For Calculation - Insuranc'!D:D,"Company",'Data For Calculation - Insuranc'!E:E,"Rollover Comprehensive - 1 Year OD + 1 Year TP")</f>
        <v>0</v>
      </c>
      <c r="AP339" s="34" t="s">
        <v>3931</v>
      </c>
      <c r="AQ339" s="30" t="s">
        <v>3817</v>
      </c>
      <c r="AR339" s="31">
        <v>290.0</v>
      </c>
      <c r="AS339" s="34" t="s">
        <v>3853</v>
      </c>
      <c r="AT339" s="34">
        <v>0.0</v>
      </c>
      <c r="AU339" s="34">
        <v>100.0</v>
      </c>
      <c r="AV339" s="34">
        <v>0.0</v>
      </c>
      <c r="AW339" s="34">
        <v>0.0</v>
      </c>
      <c r="AX339" s="33">
        <f>COUNTIFS('Data For Calculation - Insuranc'!A:A,A339,'Data For Calculation - Insuranc'!D:D,"Individual",'Data For Calculation - Insuranc'!E:E,"Rollover - 1 Year OD Only")</f>
        <v>0</v>
      </c>
      <c r="AY339" s="34" t="s">
        <v>3932</v>
      </c>
      <c r="AZ339" s="30" t="s">
        <v>3817</v>
      </c>
      <c r="BA339" s="31">
        <v>290.0</v>
      </c>
      <c r="BB339" s="34" t="s">
        <v>3853</v>
      </c>
      <c r="BC339" s="34">
        <v>0.0</v>
      </c>
      <c r="BD339" s="34">
        <v>100.0</v>
      </c>
      <c r="BE339" s="34">
        <v>0.0</v>
      </c>
      <c r="BF339" s="34">
        <v>0.0</v>
      </c>
      <c r="BG339" s="33">
        <f>COUNTIFS('Data For Calculation - Insuranc'!A:A,A339,'Data For Calculation - Insuranc'!D:D,"Company",'Data For Calculation - Insuranc'!E:E,"Rollover - 1 Year OD Only")</f>
        <v>0</v>
      </c>
      <c r="BH339" s="34" t="s">
        <v>3931</v>
      </c>
      <c r="BI339" s="30" t="s">
        <v>3817</v>
      </c>
      <c r="BJ339" s="31">
        <v>290.0</v>
      </c>
      <c r="BK339" s="34" t="s">
        <v>3853</v>
      </c>
      <c r="BL339" s="34">
        <v>0.0</v>
      </c>
      <c r="BM339" s="34">
        <v>100.0</v>
      </c>
      <c r="BN339" s="34">
        <v>0.0</v>
      </c>
      <c r="BO339" s="34">
        <v>0.0</v>
      </c>
      <c r="BP339" s="33">
        <f>COUNTIFS('Data For Calculation - Insuranc'!A:A,A339,'Data For Calculation - Insuranc'!D:D,"Individual",'Data For Calculation - Insuranc'!E:E,"Rollover - 1 Year TP Only")</f>
        <v>0</v>
      </c>
      <c r="BQ339" s="34" t="s">
        <v>3932</v>
      </c>
      <c r="BR339" s="30" t="s">
        <v>3817</v>
      </c>
      <c r="BS339" s="31">
        <v>290.0</v>
      </c>
      <c r="BT339" s="34" t="s">
        <v>3853</v>
      </c>
      <c r="BU339" s="34">
        <v>0.0</v>
      </c>
      <c r="BV339" s="34">
        <v>100.0</v>
      </c>
      <c r="BW339" s="34">
        <v>0.0</v>
      </c>
      <c r="BX339" s="34">
        <v>0.0</v>
      </c>
      <c r="BY339" s="33">
        <f>COUNTIFS('Data For Calculation - Insuranc'!A:A,A339,'Data For Calculation - Insuranc'!D:D,"Company",'Data For Calculation - Insuranc'!E:E,"Rollover - 1 Year TP Only")</f>
        <v>0</v>
      </c>
      <c r="BZ339" s="31">
        <f t="shared" si="1"/>
        <v>0</v>
      </c>
      <c r="CA339" s="33">
        <f>SUMIFS('Data For Calculation - Insuranc'!I:I,'Data For Calculation - Insuranc'!$A:$A,$A339)</f>
        <v>0</v>
      </c>
      <c r="CB339" s="33">
        <f>SUMIFS('Data For Calculation - Insuranc'!J:J,'Data For Calculation - Insuranc'!$A:$A,$A339)</f>
        <v>0</v>
      </c>
      <c r="CC339" s="33">
        <f>SUMIFS('Data For Calculation - Insuranc'!K:K,'Data For Calculation - Insuranc'!$A:$A,$A339)</f>
        <v>0</v>
      </c>
      <c r="CD339" s="33">
        <f>IF($CK339 = "Dealer", SUMIFS('Data For Calculation - Insuranc'!I:I,'Data For Calculation - Insuranc'!$B:$B,$A339,'Data For Calculation - Insuranc'!$H:$H,"Master Dealer")) + SUMIFS('Data For Calculation - Insuranc'!I:I,'Data For Calculation - Insuranc'!$A:$A,$A339,'Data For Calculation - Insuranc'!$H:$H,"Self")</f>
        <v>0</v>
      </c>
      <c r="CE339" s="33">
        <f>IF($CK339 = "Dealer", SUMIFS('Data For Calculation - Insuranc'!J:J,'Data For Calculation - Insuranc'!$B:$B,$A339,'Data For Calculation - Insuranc'!$H:$H,"Master Dealer")) + SUMIFS('Data For Calculation - Insuranc'!J:J,'Data For Calculation - Insuranc'!$A:$A,$A339,'Data For Calculation - Insuranc'!$H:$H,"Self")</f>
        <v>0</v>
      </c>
      <c r="CF339" s="33">
        <f>IF($CK339 = "Dealer", SUMIFS('Data For Calculation - Insuranc'!K:K,'Data For Calculation - Insuranc'!$B:$B,$A339,'Data For Calculation - Insuranc'!$H:$H,"Master Dealer")) + SUMIFS('Data For Calculation - Insuranc'!K:K,'Data For Calculation - Insuranc'!$A:$A,$A339,'Data For Calculation - Insuranc'!$H:$H,"Self")</f>
        <v>0</v>
      </c>
      <c r="CG339" s="25" t="str">
        <f>(Sheet1!N339)</f>
        <v>Mahabir Automobiles -Sultanpur</v>
      </c>
      <c r="CH339" s="25" t="str">
        <f>(Sheet1!O339)</f>
        <v>1fHCHQnIWmfXqP4jwi-agXjfK1q2zM0BUeG3fwB0qApc</v>
      </c>
      <c r="CI339" s="25" t="str">
        <f>(Sheet1!AV339)</f>
        <v/>
      </c>
      <c r="CJ339" s="25" t="str">
        <f>(Sheet1!AW339)</f>
        <v/>
      </c>
      <c r="CK339" s="26" t="str">
        <f>(Sheet1!P339)</f>
        <v>Dealer</v>
      </c>
    </row>
    <row r="340">
      <c r="A340" s="25" t="str">
        <f>(Sheet1!A340)</f>
        <v>1q0ZY1YodurXjGSqWho0k_uF6nV5Cwr8l1g1rbo_fC4Y</v>
      </c>
      <c r="B340" s="25" t="str">
        <f>(Sheet1!B340)</f>
        <v>SHIVAM HERO- GORAKHPUR</v>
      </c>
      <c r="C340" s="30" t="str">
        <f>Sheet1!BB340</f>
        <v>No</v>
      </c>
      <c r="D340" s="30" t="s">
        <v>13</v>
      </c>
      <c r="E340" s="34" t="s">
        <v>13</v>
      </c>
      <c r="F340" s="34" t="s">
        <v>3929</v>
      </c>
      <c r="G340" s="30" t="s">
        <v>3820</v>
      </c>
      <c r="H340" s="31">
        <v>290.0</v>
      </c>
      <c r="I340" s="34" t="s">
        <v>3853</v>
      </c>
      <c r="J340" s="34">
        <v>0.0</v>
      </c>
      <c r="K340" s="34">
        <v>100.0</v>
      </c>
      <c r="L340" s="34">
        <v>0.0</v>
      </c>
      <c r="M340" s="34">
        <v>0.0</v>
      </c>
      <c r="N340" s="33">
        <f>COUNTIFS('Data For Calculation - Insuranc'!A:A,A340,'Data For Calculation - Insuranc'!D:D,"Individual",'Data For Calculation - Insuranc'!E:E,"Bundled - 1 Year OD + 5 Year TP")</f>
        <v>0</v>
      </c>
      <c r="O340" s="34" t="s">
        <v>3930</v>
      </c>
      <c r="P340" s="30" t="s">
        <v>3820</v>
      </c>
      <c r="Q340" s="31">
        <v>290.0</v>
      </c>
      <c r="R340" s="34" t="s">
        <v>3853</v>
      </c>
      <c r="S340" s="34">
        <v>0.0</v>
      </c>
      <c r="T340" s="34">
        <v>100.0</v>
      </c>
      <c r="U340" s="34">
        <v>0.0</v>
      </c>
      <c r="V340" s="34">
        <v>0.0</v>
      </c>
      <c r="W340" s="33">
        <f>COUNTIFS('Data For Calculation - Insuranc'!A:A,A340,'Data For Calculation - Insuranc'!D:D,"Company",'Data For Calculation - Insuranc'!E:E,"Bundled - 1 Year OD + 5 Year TP")</f>
        <v>0</v>
      </c>
      <c r="X340" s="34" t="s">
        <v>3929</v>
      </c>
      <c r="Y340" s="30" t="s">
        <v>3820</v>
      </c>
      <c r="Z340" s="31">
        <v>290.0</v>
      </c>
      <c r="AA340" s="34" t="s">
        <v>3853</v>
      </c>
      <c r="AB340" s="34">
        <v>0.0</v>
      </c>
      <c r="AC340" s="34">
        <v>100.0</v>
      </c>
      <c r="AD340" s="34">
        <v>0.0</v>
      </c>
      <c r="AE340" s="34">
        <v>0.0</v>
      </c>
      <c r="AF340" s="33">
        <f>COUNTIFS('Data For Calculation - Insuranc'!A:A,A340,'Data For Calculation - Insuranc'!D:D,"Individual",'Data For Calculation - Insuranc'!E:E,"Rollover Comprehensive - 1 Year OD + 1 Year TP")</f>
        <v>0</v>
      </c>
      <c r="AG340" s="34" t="s">
        <v>3930</v>
      </c>
      <c r="AH340" s="30" t="s">
        <v>3820</v>
      </c>
      <c r="AI340" s="31">
        <v>290.0</v>
      </c>
      <c r="AJ340" s="34" t="s">
        <v>3853</v>
      </c>
      <c r="AK340" s="34">
        <v>0.0</v>
      </c>
      <c r="AL340" s="34">
        <v>100.0</v>
      </c>
      <c r="AM340" s="34">
        <v>0.0</v>
      </c>
      <c r="AN340" s="34">
        <v>0.0</v>
      </c>
      <c r="AO340" s="33">
        <f>COUNTIFS('Data For Calculation - Insuranc'!A:A,A340,'Data For Calculation - Insuranc'!D:D,"Company",'Data For Calculation - Insuranc'!E:E,"Rollover Comprehensive - 1 Year OD + 1 Year TP")</f>
        <v>0</v>
      </c>
      <c r="AP340" s="34" t="s">
        <v>3931</v>
      </c>
      <c r="AQ340" s="30" t="s">
        <v>3820</v>
      </c>
      <c r="AR340" s="31">
        <v>290.0</v>
      </c>
      <c r="AS340" s="34" t="s">
        <v>3853</v>
      </c>
      <c r="AT340" s="34">
        <v>0.0</v>
      </c>
      <c r="AU340" s="34">
        <v>100.0</v>
      </c>
      <c r="AV340" s="34">
        <v>0.0</v>
      </c>
      <c r="AW340" s="34">
        <v>0.0</v>
      </c>
      <c r="AX340" s="33">
        <f>COUNTIFS('Data For Calculation - Insuranc'!A:A,A340,'Data For Calculation - Insuranc'!D:D,"Individual",'Data For Calculation - Insuranc'!E:E,"Rollover - 1 Year OD Only")</f>
        <v>0</v>
      </c>
      <c r="AY340" s="34" t="s">
        <v>3932</v>
      </c>
      <c r="AZ340" s="30" t="s">
        <v>3820</v>
      </c>
      <c r="BA340" s="31">
        <v>290.0</v>
      </c>
      <c r="BB340" s="34" t="s">
        <v>3853</v>
      </c>
      <c r="BC340" s="34">
        <v>0.0</v>
      </c>
      <c r="BD340" s="34">
        <v>100.0</v>
      </c>
      <c r="BE340" s="34">
        <v>0.0</v>
      </c>
      <c r="BF340" s="34">
        <v>0.0</v>
      </c>
      <c r="BG340" s="33">
        <f>COUNTIFS('Data For Calculation - Insuranc'!A:A,A340,'Data For Calculation - Insuranc'!D:D,"Company",'Data For Calculation - Insuranc'!E:E,"Rollover - 1 Year OD Only")</f>
        <v>0</v>
      </c>
      <c r="BH340" s="34" t="s">
        <v>3931</v>
      </c>
      <c r="BI340" s="30" t="s">
        <v>3820</v>
      </c>
      <c r="BJ340" s="31">
        <v>290.0</v>
      </c>
      <c r="BK340" s="34" t="s">
        <v>3853</v>
      </c>
      <c r="BL340" s="34">
        <v>0.0</v>
      </c>
      <c r="BM340" s="34">
        <v>100.0</v>
      </c>
      <c r="BN340" s="34">
        <v>0.0</v>
      </c>
      <c r="BO340" s="34">
        <v>0.0</v>
      </c>
      <c r="BP340" s="33">
        <f>COUNTIFS('Data For Calculation - Insuranc'!A:A,A340,'Data For Calculation - Insuranc'!D:D,"Individual",'Data For Calculation - Insuranc'!E:E,"Rollover - 1 Year TP Only")</f>
        <v>0</v>
      </c>
      <c r="BQ340" s="34" t="s">
        <v>3932</v>
      </c>
      <c r="BR340" s="30" t="s">
        <v>3820</v>
      </c>
      <c r="BS340" s="31">
        <v>290.0</v>
      </c>
      <c r="BT340" s="34" t="s">
        <v>3853</v>
      </c>
      <c r="BU340" s="34">
        <v>0.0</v>
      </c>
      <c r="BV340" s="34">
        <v>100.0</v>
      </c>
      <c r="BW340" s="34">
        <v>0.0</v>
      </c>
      <c r="BX340" s="34">
        <v>0.0</v>
      </c>
      <c r="BY340" s="33">
        <f>COUNTIFS('Data For Calculation - Insuranc'!A:A,A340,'Data For Calculation - Insuranc'!D:D,"Company",'Data For Calculation - Insuranc'!E:E,"Rollover - 1 Year TP Only")</f>
        <v>0</v>
      </c>
      <c r="BZ340" s="31">
        <f t="shared" si="1"/>
        <v>0</v>
      </c>
      <c r="CA340" s="33">
        <f>SUMIFS('Data For Calculation - Insuranc'!I:I,'Data For Calculation - Insuranc'!$A:$A,$A340)</f>
        <v>0</v>
      </c>
      <c r="CB340" s="33">
        <f>SUMIFS('Data For Calculation - Insuranc'!J:J,'Data For Calculation - Insuranc'!$A:$A,$A340)</f>
        <v>0</v>
      </c>
      <c r="CC340" s="33">
        <f>SUMIFS('Data For Calculation - Insuranc'!K:K,'Data For Calculation - Insuranc'!$A:$A,$A340)</f>
        <v>0</v>
      </c>
      <c r="CD340" s="33">
        <f>IF($CK340 = "Dealer", SUMIFS('Data For Calculation - Insuranc'!I:I,'Data For Calculation - Insuranc'!$B:$B,$A340,'Data For Calculation - Insuranc'!$H:$H,"Master Dealer")) + SUMIFS('Data For Calculation - Insuranc'!I:I,'Data For Calculation - Insuranc'!$A:$A,$A340,'Data For Calculation - Insuranc'!$H:$H,"Self")</f>
        <v>0</v>
      </c>
      <c r="CE340" s="33">
        <f>IF($CK340 = "Dealer", SUMIFS('Data For Calculation - Insuranc'!J:J,'Data For Calculation - Insuranc'!$B:$B,$A340,'Data For Calculation - Insuranc'!$H:$H,"Master Dealer")) + SUMIFS('Data For Calculation - Insuranc'!J:J,'Data For Calculation - Insuranc'!$A:$A,$A340,'Data For Calculation - Insuranc'!$H:$H,"Self")</f>
        <v>0</v>
      </c>
      <c r="CF340" s="33">
        <f>IF($CK340 = "Dealer", SUMIFS('Data For Calculation - Insuranc'!K:K,'Data For Calculation - Insuranc'!$B:$B,$A340,'Data For Calculation - Insuranc'!$H:$H,"Master Dealer")) + SUMIFS('Data For Calculation - Insuranc'!K:K,'Data For Calculation - Insuranc'!$A:$A,$A340,'Data For Calculation - Insuranc'!$H:$H,"Self")</f>
        <v>0</v>
      </c>
      <c r="CG340" s="25" t="str">
        <f>(Sheet1!N340)</f>
        <v>NITIN MATANHELIA - GORAKHPUR</v>
      </c>
      <c r="CH340" s="25" t="str">
        <f>(Sheet1!O340)</f>
        <v>1pIkLTEq99ZID0V0k8H0hOFXZDJQMaAoy2fsIol-e81k</v>
      </c>
      <c r="CI340" s="25" t="str">
        <f>(Sheet1!AV340)</f>
        <v/>
      </c>
      <c r="CJ340" s="25" t="str">
        <f>(Sheet1!AW340)</f>
        <v/>
      </c>
      <c r="CK340" s="26" t="str">
        <f>(Sheet1!P340)</f>
        <v>Sub Dealer</v>
      </c>
    </row>
    <row r="341">
      <c r="A341" s="25" t="str">
        <f>(Sheet1!A341)</f>
        <v>1bfx7eMh4Ac2mO8jnga0N0Mq4i3FWPf37yxKEAzBtjPM</v>
      </c>
      <c r="B341" s="25" t="str">
        <f>(Sheet1!B341)</f>
        <v>D P MOTORS 2 - GORAKHPUR</v>
      </c>
      <c r="C341" s="30" t="str">
        <f>Sheet1!BB341</f>
        <v>No</v>
      </c>
      <c r="D341" s="30" t="s">
        <v>13</v>
      </c>
      <c r="E341" s="34" t="s">
        <v>13</v>
      </c>
      <c r="F341" s="34" t="s">
        <v>3929</v>
      </c>
      <c r="G341" s="25" t="s">
        <v>3820</v>
      </c>
      <c r="H341" s="31">
        <v>290.0</v>
      </c>
      <c r="I341" s="34" t="s">
        <v>3853</v>
      </c>
      <c r="J341" s="34">
        <v>0.0</v>
      </c>
      <c r="K341" s="34">
        <v>100.0</v>
      </c>
      <c r="L341" s="34">
        <v>0.0</v>
      </c>
      <c r="M341" s="34">
        <v>0.0</v>
      </c>
      <c r="N341" s="33">
        <f>COUNTIFS('Data For Calculation - Insuranc'!A:A,A341,'Data For Calculation - Insuranc'!D:D,"Individual",'Data For Calculation - Insuranc'!E:E,"Bundled - 1 Year OD + 5 Year TP")</f>
        <v>0</v>
      </c>
      <c r="O341" s="34" t="s">
        <v>3930</v>
      </c>
      <c r="P341" s="25" t="s">
        <v>3820</v>
      </c>
      <c r="Q341" s="31">
        <v>290.0</v>
      </c>
      <c r="R341" s="34" t="s">
        <v>3853</v>
      </c>
      <c r="S341" s="34">
        <v>0.0</v>
      </c>
      <c r="T341" s="34">
        <v>100.0</v>
      </c>
      <c r="U341" s="34">
        <v>0.0</v>
      </c>
      <c r="V341" s="34">
        <v>0.0</v>
      </c>
      <c r="W341" s="33">
        <f>COUNTIFS('Data For Calculation - Insuranc'!A:A,A341,'Data For Calculation - Insuranc'!D:D,"Company",'Data For Calculation - Insuranc'!E:E,"Bundled - 1 Year OD + 5 Year TP")</f>
        <v>0</v>
      </c>
      <c r="X341" s="34" t="s">
        <v>3929</v>
      </c>
      <c r="Y341" s="25" t="s">
        <v>3820</v>
      </c>
      <c r="Z341" s="31">
        <v>290.0</v>
      </c>
      <c r="AA341" s="34" t="s">
        <v>3853</v>
      </c>
      <c r="AB341" s="34">
        <v>0.0</v>
      </c>
      <c r="AC341" s="34">
        <v>100.0</v>
      </c>
      <c r="AD341" s="34">
        <v>0.0</v>
      </c>
      <c r="AE341" s="34">
        <v>0.0</v>
      </c>
      <c r="AF341" s="33">
        <f>COUNTIFS('Data For Calculation - Insuranc'!A:A,A341,'Data For Calculation - Insuranc'!D:D,"Individual",'Data For Calculation - Insuranc'!E:E,"Rollover Comprehensive - 1 Year OD + 1 Year TP")</f>
        <v>0</v>
      </c>
      <c r="AG341" s="34" t="s">
        <v>3930</v>
      </c>
      <c r="AH341" s="25" t="s">
        <v>3820</v>
      </c>
      <c r="AI341" s="31">
        <v>290.0</v>
      </c>
      <c r="AJ341" s="34" t="s">
        <v>3853</v>
      </c>
      <c r="AK341" s="34">
        <v>0.0</v>
      </c>
      <c r="AL341" s="34">
        <v>100.0</v>
      </c>
      <c r="AM341" s="34">
        <v>0.0</v>
      </c>
      <c r="AN341" s="34">
        <v>0.0</v>
      </c>
      <c r="AO341" s="33">
        <f>COUNTIFS('Data For Calculation - Insuranc'!A:A,A341,'Data For Calculation - Insuranc'!D:D,"Company",'Data For Calculation - Insuranc'!E:E,"Rollover Comprehensive - 1 Year OD + 1 Year TP")</f>
        <v>0</v>
      </c>
      <c r="AP341" s="34" t="s">
        <v>3931</v>
      </c>
      <c r="AQ341" s="25" t="s">
        <v>3820</v>
      </c>
      <c r="AR341" s="31">
        <v>290.0</v>
      </c>
      <c r="AS341" s="34" t="s">
        <v>3853</v>
      </c>
      <c r="AT341" s="34">
        <v>0.0</v>
      </c>
      <c r="AU341" s="34">
        <v>100.0</v>
      </c>
      <c r="AV341" s="34">
        <v>0.0</v>
      </c>
      <c r="AW341" s="34">
        <v>0.0</v>
      </c>
      <c r="AX341" s="33">
        <f>COUNTIFS('Data For Calculation - Insuranc'!A:A,A341,'Data For Calculation - Insuranc'!D:D,"Individual",'Data For Calculation - Insuranc'!E:E,"Rollover - 1 Year OD Only")</f>
        <v>0</v>
      </c>
      <c r="AY341" s="34" t="s">
        <v>3932</v>
      </c>
      <c r="AZ341" s="25" t="s">
        <v>3820</v>
      </c>
      <c r="BA341" s="31">
        <v>290.0</v>
      </c>
      <c r="BB341" s="34" t="s">
        <v>3853</v>
      </c>
      <c r="BC341" s="34">
        <v>0.0</v>
      </c>
      <c r="BD341" s="34">
        <v>100.0</v>
      </c>
      <c r="BE341" s="34">
        <v>0.0</v>
      </c>
      <c r="BF341" s="34">
        <v>0.0</v>
      </c>
      <c r="BG341" s="33">
        <f>COUNTIFS('Data For Calculation - Insuranc'!A:A,A341,'Data For Calculation - Insuranc'!D:D,"Company",'Data For Calculation - Insuranc'!E:E,"Rollover - 1 Year OD Only")</f>
        <v>0</v>
      </c>
      <c r="BH341" s="34" t="s">
        <v>3931</v>
      </c>
      <c r="BI341" s="25" t="s">
        <v>3820</v>
      </c>
      <c r="BJ341" s="31">
        <v>290.0</v>
      </c>
      <c r="BK341" s="34" t="s">
        <v>3853</v>
      </c>
      <c r="BL341" s="34">
        <v>0.0</v>
      </c>
      <c r="BM341" s="34">
        <v>100.0</v>
      </c>
      <c r="BN341" s="34">
        <v>0.0</v>
      </c>
      <c r="BO341" s="34">
        <v>0.0</v>
      </c>
      <c r="BP341" s="33">
        <f>COUNTIFS('Data For Calculation - Insuranc'!A:A,A341,'Data For Calculation - Insuranc'!D:D,"Individual",'Data For Calculation - Insuranc'!E:E,"Rollover - 1 Year TP Only")</f>
        <v>0</v>
      </c>
      <c r="BQ341" s="34" t="s">
        <v>3932</v>
      </c>
      <c r="BR341" s="25" t="s">
        <v>3820</v>
      </c>
      <c r="BS341" s="31">
        <v>290.0</v>
      </c>
      <c r="BT341" s="34" t="s">
        <v>3853</v>
      </c>
      <c r="BU341" s="34">
        <v>0.0</v>
      </c>
      <c r="BV341" s="34">
        <v>100.0</v>
      </c>
      <c r="BW341" s="34">
        <v>0.0</v>
      </c>
      <c r="BX341" s="34">
        <v>0.0</v>
      </c>
      <c r="BY341" s="33">
        <f>COUNTIFS('Data For Calculation - Insuranc'!A:A,A341,'Data For Calculation - Insuranc'!D:D,"Company",'Data For Calculation - Insuranc'!E:E,"Rollover - 1 Year TP Only")</f>
        <v>0</v>
      </c>
      <c r="BZ341" s="31">
        <f t="shared" si="1"/>
        <v>0</v>
      </c>
      <c r="CA341" s="33">
        <f>SUMIFS('Data For Calculation - Insuranc'!I:I,'Data For Calculation - Insuranc'!$A:$A,$A341)</f>
        <v>0</v>
      </c>
      <c r="CB341" s="33">
        <f>SUMIFS('Data For Calculation - Insuranc'!J:J,'Data For Calculation - Insuranc'!$A:$A,$A341)</f>
        <v>0</v>
      </c>
      <c r="CC341" s="33">
        <f>SUMIFS('Data For Calculation - Insuranc'!K:K,'Data For Calculation - Insuranc'!$A:$A,$A341)</f>
        <v>0</v>
      </c>
      <c r="CD341" s="33">
        <f>IF($CK341 = "Dealer", SUMIFS('Data For Calculation - Insuranc'!I:I,'Data For Calculation - Insuranc'!$B:$B,$A341,'Data For Calculation - Insuranc'!$H:$H,"Master Dealer")) + SUMIFS('Data For Calculation - Insuranc'!I:I,'Data For Calculation - Insuranc'!$A:$A,$A341,'Data For Calculation - Insuranc'!$H:$H,"Self")</f>
        <v>0</v>
      </c>
      <c r="CE341" s="33">
        <f>IF($CK341 = "Dealer", SUMIFS('Data For Calculation - Insuranc'!J:J,'Data For Calculation - Insuranc'!$B:$B,$A341,'Data For Calculation - Insuranc'!$H:$H,"Master Dealer")) + SUMIFS('Data For Calculation - Insuranc'!J:J,'Data For Calculation - Insuranc'!$A:$A,$A341,'Data For Calculation - Insuranc'!$H:$H,"Self")</f>
        <v>0</v>
      </c>
      <c r="CF341" s="33">
        <f>IF($CK341 = "Dealer", SUMIFS('Data For Calculation - Insuranc'!K:K,'Data For Calculation - Insuranc'!$B:$B,$A341,'Data For Calculation - Insuranc'!$H:$H,"Master Dealer")) + SUMIFS('Data For Calculation - Insuranc'!K:K,'Data For Calculation - Insuranc'!$A:$A,$A341,'Data For Calculation - Insuranc'!$H:$H,"Self")</f>
        <v>0</v>
      </c>
      <c r="CG341" s="25" t="str">
        <f>(Sheet1!N341)</f>
        <v>NITIN MATANHELIA - GORAKHPUR</v>
      </c>
      <c r="CH341" s="25" t="str">
        <f>(Sheet1!O341)</f>
        <v>1pIkLTEq99ZID0V0k8H0hOFXZDJQMaAoy2fsIol-e81k</v>
      </c>
      <c r="CI341" s="25" t="str">
        <f>(Sheet1!AV341)</f>
        <v/>
      </c>
      <c r="CJ341" s="25" t="str">
        <f>(Sheet1!AW341)</f>
        <v/>
      </c>
      <c r="CK341" s="26" t="str">
        <f>(Sheet1!P341)</f>
        <v>Sub Dealer</v>
      </c>
    </row>
    <row r="342">
      <c r="A342" s="25" t="str">
        <f>(Sheet1!A342)</f>
        <v>1Bgq0uJUKdFTQouDxCzlEEpEbjOG76Fl_PVNJNSPhG8Y</v>
      </c>
      <c r="B342" s="25" t="str">
        <f>(Sheet1!B342)</f>
        <v>KANHAIYA MOTORS- BHADARUGANJ</v>
      </c>
      <c r="C342" s="30" t="str">
        <f>Sheet1!BB342</f>
        <v>No</v>
      </c>
      <c r="D342" s="30" t="s">
        <v>13</v>
      </c>
      <c r="E342" s="34" t="s">
        <v>13</v>
      </c>
      <c r="F342" s="34" t="s">
        <v>3929</v>
      </c>
      <c r="G342" s="34" t="s">
        <v>3820</v>
      </c>
      <c r="H342" s="31">
        <v>290.0</v>
      </c>
      <c r="I342" s="34" t="s">
        <v>3853</v>
      </c>
      <c r="J342" s="34">
        <v>0.0</v>
      </c>
      <c r="K342" s="34">
        <v>100.0</v>
      </c>
      <c r="L342" s="34">
        <v>0.0</v>
      </c>
      <c r="M342" s="34">
        <v>0.0</v>
      </c>
      <c r="N342" s="33">
        <f>COUNTIFS('Data For Calculation - Insuranc'!A:A,A342,'Data For Calculation - Insuranc'!D:D,"Individual",'Data For Calculation - Insuranc'!E:E,"Bundled - 1 Year OD + 5 Year TP")</f>
        <v>0</v>
      </c>
      <c r="O342" s="34" t="s">
        <v>3930</v>
      </c>
      <c r="P342" s="34" t="s">
        <v>3820</v>
      </c>
      <c r="Q342" s="31">
        <v>290.0</v>
      </c>
      <c r="R342" s="34" t="s">
        <v>3853</v>
      </c>
      <c r="S342" s="34">
        <v>0.0</v>
      </c>
      <c r="T342" s="34">
        <v>100.0</v>
      </c>
      <c r="U342" s="34">
        <v>0.0</v>
      </c>
      <c r="V342" s="34">
        <v>0.0</v>
      </c>
      <c r="W342" s="33">
        <f>COUNTIFS('Data For Calculation - Insuranc'!A:A,A342,'Data For Calculation - Insuranc'!D:D,"Company",'Data For Calculation - Insuranc'!E:E,"Bundled - 1 Year OD + 5 Year TP")</f>
        <v>0</v>
      </c>
      <c r="X342" s="34" t="s">
        <v>3929</v>
      </c>
      <c r="Y342" s="34" t="s">
        <v>3820</v>
      </c>
      <c r="Z342" s="31">
        <v>290.0</v>
      </c>
      <c r="AA342" s="34" t="s">
        <v>3853</v>
      </c>
      <c r="AB342" s="34">
        <v>0.0</v>
      </c>
      <c r="AC342" s="34">
        <v>100.0</v>
      </c>
      <c r="AD342" s="34">
        <v>0.0</v>
      </c>
      <c r="AE342" s="34">
        <v>0.0</v>
      </c>
      <c r="AF342" s="33">
        <f>COUNTIFS('Data For Calculation - Insuranc'!A:A,A342,'Data For Calculation - Insuranc'!D:D,"Individual",'Data For Calculation - Insuranc'!E:E,"Rollover Comprehensive - 1 Year OD + 1 Year TP")</f>
        <v>0</v>
      </c>
      <c r="AG342" s="34" t="s">
        <v>3930</v>
      </c>
      <c r="AH342" s="34" t="s">
        <v>3820</v>
      </c>
      <c r="AI342" s="31">
        <v>290.0</v>
      </c>
      <c r="AJ342" s="34" t="s">
        <v>3853</v>
      </c>
      <c r="AK342" s="34">
        <v>0.0</v>
      </c>
      <c r="AL342" s="34">
        <v>100.0</v>
      </c>
      <c r="AM342" s="34">
        <v>0.0</v>
      </c>
      <c r="AN342" s="34">
        <v>0.0</v>
      </c>
      <c r="AO342" s="33">
        <f>COUNTIFS('Data For Calculation - Insuranc'!A:A,A342,'Data For Calculation - Insuranc'!D:D,"Company",'Data For Calculation - Insuranc'!E:E,"Rollover Comprehensive - 1 Year OD + 1 Year TP")</f>
        <v>0</v>
      </c>
      <c r="AP342" s="34" t="s">
        <v>3931</v>
      </c>
      <c r="AQ342" s="34" t="s">
        <v>3820</v>
      </c>
      <c r="AR342" s="31">
        <v>290.0</v>
      </c>
      <c r="AS342" s="34" t="s">
        <v>3853</v>
      </c>
      <c r="AT342" s="34">
        <v>0.0</v>
      </c>
      <c r="AU342" s="34">
        <v>100.0</v>
      </c>
      <c r="AV342" s="34">
        <v>0.0</v>
      </c>
      <c r="AW342" s="34">
        <v>0.0</v>
      </c>
      <c r="AX342" s="33">
        <f>COUNTIFS('Data For Calculation - Insuranc'!A:A,A342,'Data For Calculation - Insuranc'!D:D,"Individual",'Data For Calculation - Insuranc'!E:E,"Rollover - 1 Year OD Only")</f>
        <v>0</v>
      </c>
      <c r="AY342" s="34" t="s">
        <v>3932</v>
      </c>
      <c r="AZ342" s="34" t="s">
        <v>3820</v>
      </c>
      <c r="BA342" s="31">
        <v>290.0</v>
      </c>
      <c r="BB342" s="34" t="s">
        <v>3853</v>
      </c>
      <c r="BC342" s="34">
        <v>0.0</v>
      </c>
      <c r="BD342" s="34">
        <v>100.0</v>
      </c>
      <c r="BE342" s="34">
        <v>0.0</v>
      </c>
      <c r="BF342" s="34">
        <v>0.0</v>
      </c>
      <c r="BG342" s="33">
        <f>COUNTIFS('Data For Calculation - Insuranc'!A:A,A342,'Data For Calculation - Insuranc'!D:D,"Company",'Data For Calculation - Insuranc'!E:E,"Rollover - 1 Year OD Only")</f>
        <v>0</v>
      </c>
      <c r="BH342" s="34" t="s">
        <v>3931</v>
      </c>
      <c r="BI342" s="34" t="s">
        <v>3820</v>
      </c>
      <c r="BJ342" s="31">
        <v>290.0</v>
      </c>
      <c r="BK342" s="34" t="s">
        <v>3853</v>
      </c>
      <c r="BL342" s="34">
        <v>0.0</v>
      </c>
      <c r="BM342" s="34">
        <v>100.0</v>
      </c>
      <c r="BN342" s="34">
        <v>0.0</v>
      </c>
      <c r="BO342" s="34">
        <v>0.0</v>
      </c>
      <c r="BP342" s="33">
        <f>COUNTIFS('Data For Calculation - Insuranc'!A:A,A342,'Data For Calculation - Insuranc'!D:D,"Individual",'Data For Calculation - Insuranc'!E:E,"Rollover - 1 Year TP Only")</f>
        <v>0</v>
      </c>
      <c r="BQ342" s="34" t="s">
        <v>3932</v>
      </c>
      <c r="BR342" s="34" t="s">
        <v>3820</v>
      </c>
      <c r="BS342" s="31">
        <v>290.0</v>
      </c>
      <c r="BT342" s="34" t="s">
        <v>3853</v>
      </c>
      <c r="BU342" s="34">
        <v>0.0</v>
      </c>
      <c r="BV342" s="34">
        <v>100.0</v>
      </c>
      <c r="BW342" s="34">
        <v>0.0</v>
      </c>
      <c r="BX342" s="34">
        <v>0.0</v>
      </c>
      <c r="BY342" s="33">
        <f>COUNTIFS('Data For Calculation - Insuranc'!A:A,A342,'Data For Calculation - Insuranc'!D:D,"Company",'Data For Calculation - Insuranc'!E:E,"Rollover - 1 Year TP Only")</f>
        <v>0</v>
      </c>
      <c r="BZ342" s="31">
        <f t="shared" si="1"/>
        <v>0</v>
      </c>
      <c r="CA342" s="33">
        <f>SUMIFS('Data For Calculation - Insuranc'!I:I,'Data For Calculation - Insuranc'!$A:$A,$A342)</f>
        <v>0</v>
      </c>
      <c r="CB342" s="33">
        <f>SUMIFS('Data For Calculation - Insuranc'!J:J,'Data For Calculation - Insuranc'!$A:$A,$A342)</f>
        <v>0</v>
      </c>
      <c r="CC342" s="33">
        <f>SUMIFS('Data For Calculation - Insuranc'!K:K,'Data For Calculation - Insuranc'!$A:$A,$A342)</f>
        <v>0</v>
      </c>
      <c r="CD342" s="33">
        <f>IF($CK342 = "Dealer", SUMIFS('Data For Calculation - Insuranc'!I:I,'Data For Calculation - Insuranc'!$B:$B,$A342,'Data For Calculation - Insuranc'!$H:$H,"Master Dealer")) + SUMIFS('Data For Calculation - Insuranc'!I:I,'Data For Calculation - Insuranc'!$A:$A,$A342,'Data For Calculation - Insuranc'!$H:$H,"Self")</f>
        <v>0</v>
      </c>
      <c r="CE342" s="33">
        <f>IF($CK342 = "Dealer", SUMIFS('Data For Calculation - Insuranc'!J:J,'Data For Calculation - Insuranc'!$B:$B,$A342,'Data For Calculation - Insuranc'!$H:$H,"Master Dealer")) + SUMIFS('Data For Calculation - Insuranc'!J:J,'Data For Calculation - Insuranc'!$A:$A,$A342,'Data For Calculation - Insuranc'!$H:$H,"Self")</f>
        <v>0</v>
      </c>
      <c r="CF342" s="33">
        <f>IF($CK342 = "Dealer", SUMIFS('Data For Calculation - Insuranc'!K:K,'Data For Calculation - Insuranc'!$B:$B,$A342,'Data For Calculation - Insuranc'!$H:$H,"Master Dealer")) + SUMIFS('Data For Calculation - Insuranc'!K:K,'Data For Calculation - Insuranc'!$A:$A,$A342,'Data For Calculation - Insuranc'!$H:$H,"Self")</f>
        <v>0</v>
      </c>
      <c r="CG342" s="25" t="str">
        <f>(Sheet1!N342)</f>
        <v>KANHAIYA MOTORS- BHADARUGANJ</v>
      </c>
      <c r="CH342" s="25" t="str">
        <f>(Sheet1!O342)</f>
        <v>1Bgq0uJUKdFTQouDxCzlEEpEbjOG76Fl_PVNJNSPhG8Y</v>
      </c>
      <c r="CI342" s="25" t="str">
        <f>(Sheet1!AV342)</f>
        <v/>
      </c>
      <c r="CJ342" s="25" t="str">
        <f>(Sheet1!AW342)</f>
        <v/>
      </c>
      <c r="CK342" s="26" t="str">
        <f>(Sheet1!P342)</f>
        <v>Dealer</v>
      </c>
    </row>
    <row r="343">
      <c r="A343" s="25" t="str">
        <f>(Sheet1!A343)</f>
        <v>1QVBShIrTLBej8s_qXhBmCICNAN5JsR5KakezwfMLZV0</v>
      </c>
      <c r="B343" s="25" t="str">
        <f>(Sheet1!B343)</f>
        <v>ANAS MOTORS- SUPAUL</v>
      </c>
      <c r="C343" s="30" t="str">
        <f>Sheet1!BB343</f>
        <v>No</v>
      </c>
      <c r="D343" s="30" t="s">
        <v>13</v>
      </c>
      <c r="E343" s="34" t="s">
        <v>13</v>
      </c>
      <c r="F343" s="34" t="s">
        <v>3929</v>
      </c>
      <c r="G343" s="34" t="s">
        <v>3817</v>
      </c>
      <c r="H343" s="31">
        <v>290.0</v>
      </c>
      <c r="I343" s="34" t="s">
        <v>3853</v>
      </c>
      <c r="J343" s="34">
        <v>0.0</v>
      </c>
      <c r="K343" s="34">
        <v>100.0</v>
      </c>
      <c r="L343" s="34">
        <v>0.0</v>
      </c>
      <c r="M343" s="34">
        <v>0.0</v>
      </c>
      <c r="N343" s="33">
        <f>COUNTIFS('Data For Calculation - Insuranc'!A:A,A343,'Data For Calculation - Insuranc'!D:D,"Individual",'Data For Calculation - Insuranc'!E:E,"Bundled - 1 Year OD + 5 Year TP")</f>
        <v>0</v>
      </c>
      <c r="O343" s="34" t="s">
        <v>3930</v>
      </c>
      <c r="P343" s="34" t="s">
        <v>3817</v>
      </c>
      <c r="Q343" s="31">
        <v>290.0</v>
      </c>
      <c r="R343" s="34" t="s">
        <v>3853</v>
      </c>
      <c r="S343" s="34">
        <v>0.0</v>
      </c>
      <c r="T343" s="34">
        <v>100.0</v>
      </c>
      <c r="U343" s="34">
        <v>0.0</v>
      </c>
      <c r="V343" s="34">
        <v>0.0</v>
      </c>
      <c r="W343" s="33">
        <f>COUNTIFS('Data For Calculation - Insuranc'!A:A,A343,'Data For Calculation - Insuranc'!D:D,"Company",'Data For Calculation - Insuranc'!E:E,"Bundled - 1 Year OD + 5 Year TP")</f>
        <v>0</v>
      </c>
      <c r="X343" s="34" t="s">
        <v>3929</v>
      </c>
      <c r="Y343" s="34" t="s">
        <v>3817</v>
      </c>
      <c r="Z343" s="31">
        <v>290.0</v>
      </c>
      <c r="AA343" s="34" t="s">
        <v>3853</v>
      </c>
      <c r="AB343" s="34">
        <v>0.0</v>
      </c>
      <c r="AC343" s="34">
        <v>100.0</v>
      </c>
      <c r="AD343" s="34">
        <v>0.0</v>
      </c>
      <c r="AE343" s="34">
        <v>0.0</v>
      </c>
      <c r="AF343" s="33">
        <f>COUNTIFS('Data For Calculation - Insuranc'!A:A,A343,'Data For Calculation - Insuranc'!D:D,"Individual",'Data For Calculation - Insuranc'!E:E,"Rollover Comprehensive - 1 Year OD + 1 Year TP")</f>
        <v>0</v>
      </c>
      <c r="AG343" s="34" t="s">
        <v>3930</v>
      </c>
      <c r="AH343" s="34" t="s">
        <v>3817</v>
      </c>
      <c r="AI343" s="31">
        <v>290.0</v>
      </c>
      <c r="AJ343" s="34" t="s">
        <v>3853</v>
      </c>
      <c r="AK343" s="34">
        <v>0.0</v>
      </c>
      <c r="AL343" s="34">
        <v>100.0</v>
      </c>
      <c r="AM343" s="34">
        <v>0.0</v>
      </c>
      <c r="AN343" s="34">
        <v>0.0</v>
      </c>
      <c r="AO343" s="33">
        <f>COUNTIFS('Data For Calculation - Insuranc'!A:A,A343,'Data For Calculation - Insuranc'!D:D,"Company",'Data For Calculation - Insuranc'!E:E,"Rollover Comprehensive - 1 Year OD + 1 Year TP")</f>
        <v>0</v>
      </c>
      <c r="AP343" s="34" t="s">
        <v>3931</v>
      </c>
      <c r="AQ343" s="34" t="s">
        <v>3817</v>
      </c>
      <c r="AR343" s="31">
        <v>290.0</v>
      </c>
      <c r="AS343" s="34" t="s">
        <v>3853</v>
      </c>
      <c r="AT343" s="34">
        <v>0.0</v>
      </c>
      <c r="AU343" s="34">
        <v>100.0</v>
      </c>
      <c r="AV343" s="34">
        <v>0.0</v>
      </c>
      <c r="AW343" s="34">
        <v>0.0</v>
      </c>
      <c r="AX343" s="33">
        <f>COUNTIFS('Data For Calculation - Insuranc'!A:A,A343,'Data For Calculation - Insuranc'!D:D,"Individual",'Data For Calculation - Insuranc'!E:E,"Rollover - 1 Year OD Only")</f>
        <v>0</v>
      </c>
      <c r="AY343" s="34" t="s">
        <v>3932</v>
      </c>
      <c r="AZ343" s="34" t="s">
        <v>3817</v>
      </c>
      <c r="BA343" s="31">
        <v>290.0</v>
      </c>
      <c r="BB343" s="34" t="s">
        <v>3853</v>
      </c>
      <c r="BC343" s="34">
        <v>0.0</v>
      </c>
      <c r="BD343" s="34">
        <v>100.0</v>
      </c>
      <c r="BE343" s="34">
        <v>0.0</v>
      </c>
      <c r="BF343" s="34">
        <v>0.0</v>
      </c>
      <c r="BG343" s="33">
        <f>COUNTIFS('Data For Calculation - Insuranc'!A:A,A343,'Data For Calculation - Insuranc'!D:D,"Company",'Data For Calculation - Insuranc'!E:E,"Rollover - 1 Year OD Only")</f>
        <v>0</v>
      </c>
      <c r="BH343" s="34" t="s">
        <v>3931</v>
      </c>
      <c r="BI343" s="34" t="s">
        <v>3817</v>
      </c>
      <c r="BJ343" s="31">
        <v>290.0</v>
      </c>
      <c r="BK343" s="34" t="s">
        <v>3853</v>
      </c>
      <c r="BL343" s="34">
        <v>0.0</v>
      </c>
      <c r="BM343" s="34">
        <v>100.0</v>
      </c>
      <c r="BN343" s="34">
        <v>0.0</v>
      </c>
      <c r="BO343" s="34">
        <v>0.0</v>
      </c>
      <c r="BP343" s="33">
        <f>COUNTIFS('Data For Calculation - Insuranc'!A:A,A343,'Data For Calculation - Insuranc'!D:D,"Individual",'Data For Calculation - Insuranc'!E:E,"Rollover - 1 Year TP Only")</f>
        <v>0</v>
      </c>
      <c r="BQ343" s="34" t="s">
        <v>3932</v>
      </c>
      <c r="BR343" s="34" t="s">
        <v>3817</v>
      </c>
      <c r="BS343" s="31">
        <v>290.0</v>
      </c>
      <c r="BT343" s="34" t="s">
        <v>3853</v>
      </c>
      <c r="BU343" s="34">
        <v>0.0</v>
      </c>
      <c r="BV343" s="34">
        <v>100.0</v>
      </c>
      <c r="BW343" s="34">
        <v>0.0</v>
      </c>
      <c r="BX343" s="34">
        <v>0.0</v>
      </c>
      <c r="BY343" s="33">
        <f>COUNTIFS('Data For Calculation - Insuranc'!A:A,A343,'Data For Calculation - Insuranc'!D:D,"Company",'Data For Calculation - Insuranc'!E:E,"Rollover - 1 Year TP Only")</f>
        <v>0</v>
      </c>
      <c r="BZ343" s="31">
        <f t="shared" si="1"/>
        <v>0</v>
      </c>
      <c r="CA343" s="33">
        <f>SUMIFS('Data For Calculation - Insuranc'!I:I,'Data For Calculation - Insuranc'!$A:$A,$A343)</f>
        <v>0</v>
      </c>
      <c r="CB343" s="33">
        <f>SUMIFS('Data For Calculation - Insuranc'!J:J,'Data For Calculation - Insuranc'!$A:$A,$A343)</f>
        <v>0</v>
      </c>
      <c r="CC343" s="33">
        <f>SUMIFS('Data For Calculation - Insuranc'!K:K,'Data For Calculation - Insuranc'!$A:$A,$A343)</f>
        <v>0</v>
      </c>
      <c r="CD343" s="33">
        <f>IF($CK343 = "Dealer", SUMIFS('Data For Calculation - Insuranc'!I:I,'Data For Calculation - Insuranc'!$B:$B,$A343,'Data For Calculation - Insuranc'!$H:$H,"Master Dealer")) + SUMIFS('Data For Calculation - Insuranc'!I:I,'Data For Calculation - Insuranc'!$A:$A,$A343,'Data For Calculation - Insuranc'!$H:$H,"Self")</f>
        <v>0</v>
      </c>
      <c r="CE343" s="33">
        <f>IF($CK343 = "Dealer", SUMIFS('Data For Calculation - Insuranc'!J:J,'Data For Calculation - Insuranc'!$B:$B,$A343,'Data For Calculation - Insuranc'!$H:$H,"Master Dealer")) + SUMIFS('Data For Calculation - Insuranc'!J:J,'Data For Calculation - Insuranc'!$A:$A,$A343,'Data For Calculation - Insuranc'!$H:$H,"Self")</f>
        <v>0</v>
      </c>
      <c r="CF343" s="33">
        <f>IF($CK343 = "Dealer", SUMIFS('Data For Calculation - Insuranc'!K:K,'Data For Calculation - Insuranc'!$B:$B,$A343,'Data For Calculation - Insuranc'!$H:$H,"Master Dealer")) + SUMIFS('Data For Calculation - Insuranc'!K:K,'Data For Calculation - Insuranc'!$A:$A,$A343,'Data For Calculation - Insuranc'!$H:$H,"Self")</f>
        <v>0</v>
      </c>
      <c r="CG343" s="25" t="str">
        <f>(Sheet1!N343)</f>
        <v>ANAS MOTORS- SUPAUL</v>
      </c>
      <c r="CH343" s="25" t="str">
        <f>(Sheet1!O343)</f>
        <v>1QVBShIrTLBej8s_qXhBmCICNAN5JsR5KakezwfMLZV0</v>
      </c>
      <c r="CI343" s="25" t="str">
        <f>(Sheet1!AV343)</f>
        <v/>
      </c>
      <c r="CJ343" s="25" t="str">
        <f>(Sheet1!AW343)</f>
        <v/>
      </c>
      <c r="CK343" s="26" t="str">
        <f>(Sheet1!P343)</f>
        <v>Dealer</v>
      </c>
    </row>
    <row r="344">
      <c r="A344" s="25" t="str">
        <f>(Sheet1!A344)</f>
        <v>1lHqETbIH4pLQdUL2QQgIDownEvMU9QozqqnIMcLSCfg</v>
      </c>
      <c r="B344" s="25" t="str">
        <f>(Sheet1!B344)</f>
        <v>SHRI RAM AUTOMOBILES - HATPIPLIYA</v>
      </c>
      <c r="C344" s="30" t="str">
        <f>Sheet1!BB344</f>
        <v>No</v>
      </c>
      <c r="D344" s="30" t="s">
        <v>13</v>
      </c>
      <c r="E344" s="34" t="s">
        <v>13</v>
      </c>
      <c r="F344" s="34" t="s">
        <v>3929</v>
      </c>
      <c r="G344" s="34" t="s">
        <v>3817</v>
      </c>
      <c r="H344" s="31">
        <v>290.0</v>
      </c>
      <c r="I344" s="34" t="s">
        <v>3853</v>
      </c>
      <c r="J344" s="34">
        <v>0.0</v>
      </c>
      <c r="K344" s="34">
        <v>100.0</v>
      </c>
      <c r="L344" s="34">
        <v>0.0</v>
      </c>
      <c r="M344" s="34">
        <v>0.0</v>
      </c>
      <c r="N344" s="33">
        <f>COUNTIFS('Data For Calculation - Insuranc'!A:A,A344,'Data For Calculation - Insuranc'!D:D,"Individual",'Data For Calculation - Insuranc'!E:E,"Bundled - 1 Year OD + 5 Year TP")</f>
        <v>0</v>
      </c>
      <c r="O344" s="34" t="s">
        <v>3930</v>
      </c>
      <c r="P344" s="34" t="s">
        <v>3817</v>
      </c>
      <c r="Q344" s="31">
        <v>290.0</v>
      </c>
      <c r="R344" s="34" t="s">
        <v>3853</v>
      </c>
      <c r="S344" s="34">
        <v>0.0</v>
      </c>
      <c r="T344" s="34">
        <v>100.0</v>
      </c>
      <c r="U344" s="34">
        <v>0.0</v>
      </c>
      <c r="V344" s="34">
        <v>0.0</v>
      </c>
      <c r="W344" s="33">
        <f>COUNTIFS('Data For Calculation - Insuranc'!A:A,A344,'Data For Calculation - Insuranc'!D:D,"Company",'Data For Calculation - Insuranc'!E:E,"Bundled - 1 Year OD + 5 Year TP")</f>
        <v>0</v>
      </c>
      <c r="X344" s="34" t="s">
        <v>3929</v>
      </c>
      <c r="Y344" s="34" t="s">
        <v>3817</v>
      </c>
      <c r="Z344" s="31">
        <v>290.0</v>
      </c>
      <c r="AA344" s="34" t="s">
        <v>3853</v>
      </c>
      <c r="AB344" s="34">
        <v>0.0</v>
      </c>
      <c r="AC344" s="34">
        <v>100.0</v>
      </c>
      <c r="AD344" s="34">
        <v>0.0</v>
      </c>
      <c r="AE344" s="34">
        <v>0.0</v>
      </c>
      <c r="AF344" s="33">
        <f>COUNTIFS('Data For Calculation - Insuranc'!A:A,A344,'Data For Calculation - Insuranc'!D:D,"Individual",'Data For Calculation - Insuranc'!E:E,"Rollover Comprehensive - 1 Year OD + 1 Year TP")</f>
        <v>0</v>
      </c>
      <c r="AG344" s="34" t="s">
        <v>3930</v>
      </c>
      <c r="AH344" s="34" t="s">
        <v>3817</v>
      </c>
      <c r="AI344" s="31">
        <v>290.0</v>
      </c>
      <c r="AJ344" s="34" t="s">
        <v>3853</v>
      </c>
      <c r="AK344" s="34">
        <v>0.0</v>
      </c>
      <c r="AL344" s="34">
        <v>100.0</v>
      </c>
      <c r="AM344" s="34">
        <v>0.0</v>
      </c>
      <c r="AN344" s="34">
        <v>0.0</v>
      </c>
      <c r="AO344" s="33">
        <f>COUNTIFS('Data For Calculation - Insuranc'!A:A,A344,'Data For Calculation - Insuranc'!D:D,"Company",'Data For Calculation - Insuranc'!E:E,"Rollover Comprehensive - 1 Year OD + 1 Year TP")</f>
        <v>0</v>
      </c>
      <c r="AP344" s="34" t="s">
        <v>3931</v>
      </c>
      <c r="AQ344" s="34" t="s">
        <v>3817</v>
      </c>
      <c r="AR344" s="31">
        <v>290.0</v>
      </c>
      <c r="AS344" s="34" t="s">
        <v>3853</v>
      </c>
      <c r="AT344" s="34">
        <v>0.0</v>
      </c>
      <c r="AU344" s="34">
        <v>100.0</v>
      </c>
      <c r="AV344" s="34">
        <v>0.0</v>
      </c>
      <c r="AW344" s="34">
        <v>0.0</v>
      </c>
      <c r="AX344" s="33">
        <f>COUNTIFS('Data For Calculation - Insuranc'!A:A,A344,'Data For Calculation - Insuranc'!D:D,"Individual",'Data For Calculation - Insuranc'!E:E,"Rollover - 1 Year OD Only")</f>
        <v>0</v>
      </c>
      <c r="AY344" s="34" t="s">
        <v>3932</v>
      </c>
      <c r="AZ344" s="34" t="s">
        <v>3817</v>
      </c>
      <c r="BA344" s="31">
        <v>290.0</v>
      </c>
      <c r="BB344" s="34" t="s">
        <v>3853</v>
      </c>
      <c r="BC344" s="34">
        <v>0.0</v>
      </c>
      <c r="BD344" s="34">
        <v>100.0</v>
      </c>
      <c r="BE344" s="34">
        <v>0.0</v>
      </c>
      <c r="BF344" s="34">
        <v>0.0</v>
      </c>
      <c r="BG344" s="33">
        <f>COUNTIFS('Data For Calculation - Insuranc'!A:A,A344,'Data For Calculation - Insuranc'!D:D,"Company",'Data For Calculation - Insuranc'!E:E,"Rollover - 1 Year OD Only")</f>
        <v>0</v>
      </c>
      <c r="BH344" s="34" t="s">
        <v>3931</v>
      </c>
      <c r="BI344" s="34" t="s">
        <v>3817</v>
      </c>
      <c r="BJ344" s="31">
        <v>290.0</v>
      </c>
      <c r="BK344" s="34" t="s">
        <v>3853</v>
      </c>
      <c r="BL344" s="34">
        <v>0.0</v>
      </c>
      <c r="BM344" s="34">
        <v>100.0</v>
      </c>
      <c r="BN344" s="34">
        <v>0.0</v>
      </c>
      <c r="BO344" s="34">
        <v>0.0</v>
      </c>
      <c r="BP344" s="33">
        <f>COUNTIFS('Data For Calculation - Insuranc'!A:A,A344,'Data For Calculation - Insuranc'!D:D,"Individual",'Data For Calculation - Insuranc'!E:E,"Rollover - 1 Year TP Only")</f>
        <v>0</v>
      </c>
      <c r="BQ344" s="34" t="s">
        <v>3932</v>
      </c>
      <c r="BR344" s="34" t="s">
        <v>3817</v>
      </c>
      <c r="BS344" s="31">
        <v>290.0</v>
      </c>
      <c r="BT344" s="34" t="s">
        <v>3853</v>
      </c>
      <c r="BU344" s="34">
        <v>0.0</v>
      </c>
      <c r="BV344" s="34">
        <v>100.0</v>
      </c>
      <c r="BW344" s="34">
        <v>0.0</v>
      </c>
      <c r="BX344" s="34">
        <v>0.0</v>
      </c>
      <c r="BY344" s="33">
        <f>COUNTIFS('Data For Calculation - Insuranc'!A:A,A344,'Data For Calculation - Insuranc'!D:D,"Company",'Data For Calculation - Insuranc'!E:E,"Rollover - 1 Year TP Only")</f>
        <v>0</v>
      </c>
      <c r="BZ344" s="31">
        <f t="shared" si="1"/>
        <v>0</v>
      </c>
      <c r="CA344" s="33">
        <f>SUMIFS('Data For Calculation - Insuranc'!I:I,'Data For Calculation - Insuranc'!$A:$A,$A344)</f>
        <v>0</v>
      </c>
      <c r="CB344" s="33">
        <f>SUMIFS('Data For Calculation - Insuranc'!J:J,'Data For Calculation - Insuranc'!$A:$A,$A344)</f>
        <v>0</v>
      </c>
      <c r="CC344" s="33">
        <f>SUMIFS('Data For Calculation - Insuranc'!K:K,'Data For Calculation - Insuranc'!$A:$A,$A344)</f>
        <v>0</v>
      </c>
      <c r="CD344" s="33">
        <f>IF($CK344 = "Dealer", SUMIFS('Data For Calculation - Insuranc'!I:I,'Data For Calculation - Insuranc'!$B:$B,$A344,'Data For Calculation - Insuranc'!$H:$H,"Master Dealer")) + SUMIFS('Data For Calculation - Insuranc'!I:I,'Data For Calculation - Insuranc'!$A:$A,$A344,'Data For Calculation - Insuranc'!$H:$H,"Self")</f>
        <v>0</v>
      </c>
      <c r="CE344" s="33">
        <f>IF($CK344 = "Dealer", SUMIFS('Data For Calculation - Insuranc'!J:J,'Data For Calculation - Insuranc'!$B:$B,$A344,'Data For Calculation - Insuranc'!$H:$H,"Master Dealer")) + SUMIFS('Data For Calculation - Insuranc'!J:J,'Data For Calculation - Insuranc'!$A:$A,$A344,'Data For Calculation - Insuranc'!$H:$H,"Self")</f>
        <v>0</v>
      </c>
      <c r="CF344" s="33">
        <f>IF($CK344 = "Dealer", SUMIFS('Data For Calculation - Insuranc'!K:K,'Data For Calculation - Insuranc'!$B:$B,$A344,'Data For Calculation - Insuranc'!$H:$H,"Master Dealer")) + SUMIFS('Data For Calculation - Insuranc'!K:K,'Data For Calculation - Insuranc'!$A:$A,$A344,'Data For Calculation - Insuranc'!$H:$H,"Self")</f>
        <v>0</v>
      </c>
      <c r="CG344" s="25" t="str">
        <f>(Sheet1!N344)</f>
        <v>SHRI RAM AUTOMOBILES - HATPIPLIYA</v>
      </c>
      <c r="CH344" s="25" t="str">
        <f>(Sheet1!O344)</f>
        <v>1lHqETbIH4pLQdUL2QQgIDownEvMU9QozqqnIMcLSCfg</v>
      </c>
      <c r="CI344" s="25" t="str">
        <f>(Sheet1!AV344)</f>
        <v/>
      </c>
      <c r="CJ344" s="25" t="str">
        <f>(Sheet1!AW344)</f>
        <v/>
      </c>
      <c r="CK344" s="26" t="str">
        <f>(Sheet1!P344)</f>
        <v>Dealer</v>
      </c>
    </row>
    <row r="345">
      <c r="A345" s="25" t="str">
        <f>(Sheet1!A345)</f>
        <v>1igxhDrZmAR4XaBSU0Vyrw9LNbKLoFuELF4hEOFDqD9M</v>
      </c>
      <c r="B345" s="25" t="str">
        <f>(Sheet1!B345)</f>
        <v>KHAGARIA AUTO AGENCY- KHAGARIA</v>
      </c>
      <c r="C345" s="30" t="str">
        <f>Sheet1!BB345</f>
        <v>No</v>
      </c>
      <c r="D345" s="30" t="s">
        <v>13</v>
      </c>
      <c r="E345" s="34" t="s">
        <v>13</v>
      </c>
      <c r="F345" s="34" t="s">
        <v>3929</v>
      </c>
      <c r="G345" s="34" t="s">
        <v>3820</v>
      </c>
      <c r="H345" s="31">
        <v>290.0</v>
      </c>
      <c r="I345" s="34" t="s">
        <v>3853</v>
      </c>
      <c r="J345" s="34">
        <v>0.0</v>
      </c>
      <c r="K345" s="34">
        <v>100.0</v>
      </c>
      <c r="L345" s="34">
        <v>0.0</v>
      </c>
      <c r="M345" s="34">
        <v>0.0</v>
      </c>
      <c r="N345" s="33">
        <f>COUNTIFS('Data For Calculation - Insuranc'!A:A,A345,'Data For Calculation - Insuranc'!D:D,"Individual",'Data For Calculation - Insuranc'!E:E,"Bundled - 1 Year OD + 5 Year TP")</f>
        <v>0</v>
      </c>
      <c r="O345" s="34" t="s">
        <v>3930</v>
      </c>
      <c r="P345" s="34" t="s">
        <v>3820</v>
      </c>
      <c r="Q345" s="31">
        <v>290.0</v>
      </c>
      <c r="R345" s="34" t="s">
        <v>3853</v>
      </c>
      <c r="S345" s="34">
        <v>0.0</v>
      </c>
      <c r="T345" s="34">
        <v>100.0</v>
      </c>
      <c r="U345" s="34">
        <v>0.0</v>
      </c>
      <c r="V345" s="34">
        <v>0.0</v>
      </c>
      <c r="W345" s="33">
        <f>COUNTIFS('Data For Calculation - Insuranc'!A:A,A345,'Data For Calculation - Insuranc'!D:D,"Company",'Data For Calculation - Insuranc'!E:E,"Bundled - 1 Year OD + 5 Year TP")</f>
        <v>0</v>
      </c>
      <c r="X345" s="34" t="s">
        <v>3929</v>
      </c>
      <c r="Y345" s="34" t="s">
        <v>3820</v>
      </c>
      <c r="Z345" s="31">
        <v>290.0</v>
      </c>
      <c r="AA345" s="34" t="s">
        <v>3853</v>
      </c>
      <c r="AB345" s="34">
        <v>0.0</v>
      </c>
      <c r="AC345" s="34">
        <v>100.0</v>
      </c>
      <c r="AD345" s="34">
        <v>0.0</v>
      </c>
      <c r="AE345" s="34">
        <v>0.0</v>
      </c>
      <c r="AF345" s="33">
        <f>COUNTIFS('Data For Calculation - Insuranc'!A:A,A345,'Data For Calculation - Insuranc'!D:D,"Individual",'Data For Calculation - Insuranc'!E:E,"Rollover Comprehensive - 1 Year OD + 1 Year TP")</f>
        <v>0</v>
      </c>
      <c r="AG345" s="34" t="s">
        <v>3930</v>
      </c>
      <c r="AH345" s="34" t="s">
        <v>3820</v>
      </c>
      <c r="AI345" s="31">
        <v>290.0</v>
      </c>
      <c r="AJ345" s="34" t="s">
        <v>3853</v>
      </c>
      <c r="AK345" s="34">
        <v>0.0</v>
      </c>
      <c r="AL345" s="34">
        <v>100.0</v>
      </c>
      <c r="AM345" s="34">
        <v>0.0</v>
      </c>
      <c r="AN345" s="34">
        <v>0.0</v>
      </c>
      <c r="AO345" s="33">
        <f>COUNTIFS('Data For Calculation - Insuranc'!A:A,A345,'Data For Calculation - Insuranc'!D:D,"Company",'Data For Calculation - Insuranc'!E:E,"Rollover Comprehensive - 1 Year OD + 1 Year TP")</f>
        <v>0</v>
      </c>
      <c r="AP345" s="34" t="s">
        <v>3931</v>
      </c>
      <c r="AQ345" s="34" t="s">
        <v>3820</v>
      </c>
      <c r="AR345" s="31">
        <v>290.0</v>
      </c>
      <c r="AS345" s="34" t="s">
        <v>3853</v>
      </c>
      <c r="AT345" s="34">
        <v>0.0</v>
      </c>
      <c r="AU345" s="34">
        <v>100.0</v>
      </c>
      <c r="AV345" s="34">
        <v>0.0</v>
      </c>
      <c r="AW345" s="34">
        <v>0.0</v>
      </c>
      <c r="AX345" s="33">
        <f>COUNTIFS('Data For Calculation - Insuranc'!A:A,A345,'Data For Calculation - Insuranc'!D:D,"Individual",'Data For Calculation - Insuranc'!E:E,"Rollover - 1 Year OD Only")</f>
        <v>0</v>
      </c>
      <c r="AY345" s="34" t="s">
        <v>3932</v>
      </c>
      <c r="AZ345" s="34" t="s">
        <v>3820</v>
      </c>
      <c r="BA345" s="31">
        <v>290.0</v>
      </c>
      <c r="BB345" s="34" t="s">
        <v>3853</v>
      </c>
      <c r="BC345" s="34">
        <v>0.0</v>
      </c>
      <c r="BD345" s="34">
        <v>100.0</v>
      </c>
      <c r="BE345" s="34">
        <v>0.0</v>
      </c>
      <c r="BF345" s="34">
        <v>0.0</v>
      </c>
      <c r="BG345" s="33">
        <f>COUNTIFS('Data For Calculation - Insuranc'!A:A,A345,'Data For Calculation - Insuranc'!D:D,"Company",'Data For Calculation - Insuranc'!E:E,"Rollover - 1 Year OD Only")</f>
        <v>0</v>
      </c>
      <c r="BH345" s="34" t="s">
        <v>3931</v>
      </c>
      <c r="BI345" s="34" t="s">
        <v>3820</v>
      </c>
      <c r="BJ345" s="31">
        <v>290.0</v>
      </c>
      <c r="BK345" s="34" t="s">
        <v>3853</v>
      </c>
      <c r="BL345" s="34">
        <v>0.0</v>
      </c>
      <c r="BM345" s="34">
        <v>100.0</v>
      </c>
      <c r="BN345" s="34">
        <v>0.0</v>
      </c>
      <c r="BO345" s="34">
        <v>0.0</v>
      </c>
      <c r="BP345" s="33">
        <f>COUNTIFS('Data For Calculation - Insuranc'!A:A,A345,'Data For Calculation - Insuranc'!D:D,"Individual",'Data For Calculation - Insuranc'!E:E,"Rollover - 1 Year TP Only")</f>
        <v>0</v>
      </c>
      <c r="BQ345" s="34" t="s">
        <v>3932</v>
      </c>
      <c r="BR345" s="34" t="s">
        <v>3820</v>
      </c>
      <c r="BS345" s="31">
        <v>290.0</v>
      </c>
      <c r="BT345" s="34" t="s">
        <v>3853</v>
      </c>
      <c r="BU345" s="34">
        <v>0.0</v>
      </c>
      <c r="BV345" s="34">
        <v>100.0</v>
      </c>
      <c r="BW345" s="34">
        <v>0.0</v>
      </c>
      <c r="BX345" s="34">
        <v>0.0</v>
      </c>
      <c r="BY345" s="33">
        <f>COUNTIFS('Data For Calculation - Insuranc'!A:A,A345,'Data For Calculation - Insuranc'!D:D,"Company",'Data For Calculation - Insuranc'!E:E,"Rollover - 1 Year TP Only")</f>
        <v>0</v>
      </c>
      <c r="BZ345" s="31">
        <f t="shared" si="1"/>
        <v>0</v>
      </c>
      <c r="CA345" s="33">
        <f>SUMIFS('Data For Calculation - Insuranc'!I:I,'Data For Calculation - Insuranc'!$A:$A,$A345)</f>
        <v>0</v>
      </c>
      <c r="CB345" s="33">
        <f>SUMIFS('Data For Calculation - Insuranc'!J:J,'Data For Calculation - Insuranc'!$A:$A,$A345)</f>
        <v>0</v>
      </c>
      <c r="CC345" s="33">
        <f>SUMIFS('Data For Calculation - Insuranc'!K:K,'Data For Calculation - Insuranc'!$A:$A,$A345)</f>
        <v>0</v>
      </c>
      <c r="CD345" s="33">
        <f>IF($CK345 = "Dealer", SUMIFS('Data For Calculation - Insuranc'!I:I,'Data For Calculation - Insuranc'!$B:$B,$A345,'Data For Calculation - Insuranc'!$H:$H,"Master Dealer")) + SUMIFS('Data For Calculation - Insuranc'!I:I,'Data For Calculation - Insuranc'!$A:$A,$A345,'Data For Calculation - Insuranc'!$H:$H,"Self")</f>
        <v>0</v>
      </c>
      <c r="CE345" s="33">
        <f>IF($CK345 = "Dealer", SUMIFS('Data For Calculation - Insuranc'!J:J,'Data For Calculation - Insuranc'!$B:$B,$A345,'Data For Calculation - Insuranc'!$H:$H,"Master Dealer")) + SUMIFS('Data For Calculation - Insuranc'!J:J,'Data For Calculation - Insuranc'!$A:$A,$A345,'Data For Calculation - Insuranc'!$H:$H,"Self")</f>
        <v>0</v>
      </c>
      <c r="CF345" s="33">
        <f>IF($CK345 = "Dealer", SUMIFS('Data For Calculation - Insuranc'!K:K,'Data For Calculation - Insuranc'!$B:$B,$A345,'Data For Calculation - Insuranc'!$H:$H,"Master Dealer")) + SUMIFS('Data For Calculation - Insuranc'!K:K,'Data For Calculation - Insuranc'!$A:$A,$A345,'Data For Calculation - Insuranc'!$H:$H,"Self")</f>
        <v>0</v>
      </c>
      <c r="CG345" s="25" t="str">
        <f>(Sheet1!N345)</f>
        <v>KHAGARIA AUTO AGENCY- KHAGARIA</v>
      </c>
      <c r="CH345" s="25" t="str">
        <f>(Sheet1!O345)</f>
        <v>1igxhDrZmAR4XaBSU0Vyrw9LNbKLoFuELF4hEOFDqD9M</v>
      </c>
      <c r="CI345" s="25" t="str">
        <f>(Sheet1!AV345)</f>
        <v/>
      </c>
      <c r="CJ345" s="25" t="str">
        <f>(Sheet1!AW345)</f>
        <v/>
      </c>
      <c r="CK345" s="26" t="str">
        <f>(Sheet1!P345)</f>
        <v>Dealer</v>
      </c>
    </row>
    <row r="346">
      <c r="A346" s="25" t="str">
        <f>(Sheet1!A346)</f>
        <v>1_-Np_EbJqeVZ8B325ImuW6uakkiS-qdfsGdlzPQkB_o</v>
      </c>
      <c r="B346" s="25" t="str">
        <f>(Sheet1!B346)</f>
        <v>Unique Motors (ANS) -Madhepura </v>
      </c>
      <c r="C346" s="30" t="str">
        <f>Sheet1!BB346</f>
        <v>No</v>
      </c>
      <c r="D346" s="30" t="s">
        <v>13</v>
      </c>
      <c r="E346" s="34" t="s">
        <v>13</v>
      </c>
      <c r="F346" s="34" t="s">
        <v>3929</v>
      </c>
      <c r="G346" s="34" t="s">
        <v>3817</v>
      </c>
      <c r="H346" s="31">
        <v>290.0</v>
      </c>
      <c r="I346" s="34" t="s">
        <v>3853</v>
      </c>
      <c r="J346" s="34">
        <v>0.0</v>
      </c>
      <c r="K346" s="34">
        <v>100.0</v>
      </c>
      <c r="L346" s="34">
        <v>0.0</v>
      </c>
      <c r="M346" s="34">
        <v>0.0</v>
      </c>
      <c r="N346" s="33">
        <f>COUNTIFS('Data For Calculation - Insuranc'!A:A,A346,'Data For Calculation - Insuranc'!D:D,"Individual",'Data For Calculation - Insuranc'!E:E,"Bundled - 1 Year OD + 5 Year TP")</f>
        <v>0</v>
      </c>
      <c r="O346" s="34" t="s">
        <v>3930</v>
      </c>
      <c r="P346" s="34" t="s">
        <v>3817</v>
      </c>
      <c r="Q346" s="31">
        <v>290.0</v>
      </c>
      <c r="R346" s="34" t="s">
        <v>3853</v>
      </c>
      <c r="S346" s="34">
        <v>0.0</v>
      </c>
      <c r="T346" s="34">
        <v>100.0</v>
      </c>
      <c r="U346" s="34">
        <v>0.0</v>
      </c>
      <c r="V346" s="34">
        <v>0.0</v>
      </c>
      <c r="W346" s="33">
        <f>COUNTIFS('Data For Calculation - Insuranc'!A:A,A346,'Data For Calculation - Insuranc'!D:D,"Company",'Data For Calculation - Insuranc'!E:E,"Bundled - 1 Year OD + 5 Year TP")</f>
        <v>0</v>
      </c>
      <c r="X346" s="34" t="s">
        <v>3929</v>
      </c>
      <c r="Y346" s="34" t="s">
        <v>3817</v>
      </c>
      <c r="Z346" s="31">
        <v>290.0</v>
      </c>
      <c r="AA346" s="34" t="s">
        <v>3853</v>
      </c>
      <c r="AB346" s="34">
        <v>0.0</v>
      </c>
      <c r="AC346" s="34">
        <v>100.0</v>
      </c>
      <c r="AD346" s="34">
        <v>0.0</v>
      </c>
      <c r="AE346" s="34">
        <v>0.0</v>
      </c>
      <c r="AF346" s="33">
        <f>COUNTIFS('Data For Calculation - Insuranc'!A:A,A346,'Data For Calculation - Insuranc'!D:D,"Individual",'Data For Calculation - Insuranc'!E:E,"Rollover Comprehensive - 1 Year OD + 1 Year TP")</f>
        <v>0</v>
      </c>
      <c r="AG346" s="34" t="s">
        <v>3930</v>
      </c>
      <c r="AH346" s="34" t="s">
        <v>3817</v>
      </c>
      <c r="AI346" s="31">
        <v>290.0</v>
      </c>
      <c r="AJ346" s="34" t="s">
        <v>3853</v>
      </c>
      <c r="AK346" s="34">
        <v>0.0</v>
      </c>
      <c r="AL346" s="34">
        <v>100.0</v>
      </c>
      <c r="AM346" s="34">
        <v>0.0</v>
      </c>
      <c r="AN346" s="34">
        <v>0.0</v>
      </c>
      <c r="AO346" s="33">
        <f>COUNTIFS('Data For Calculation - Insuranc'!A:A,A346,'Data For Calculation - Insuranc'!D:D,"Company",'Data For Calculation - Insuranc'!E:E,"Rollover Comprehensive - 1 Year OD + 1 Year TP")</f>
        <v>0</v>
      </c>
      <c r="AP346" s="34" t="s">
        <v>3931</v>
      </c>
      <c r="AQ346" s="34" t="s">
        <v>3817</v>
      </c>
      <c r="AR346" s="31">
        <v>290.0</v>
      </c>
      <c r="AS346" s="34" t="s">
        <v>3853</v>
      </c>
      <c r="AT346" s="34">
        <v>0.0</v>
      </c>
      <c r="AU346" s="34">
        <v>100.0</v>
      </c>
      <c r="AV346" s="34">
        <v>0.0</v>
      </c>
      <c r="AW346" s="34">
        <v>0.0</v>
      </c>
      <c r="AX346" s="33">
        <f>COUNTIFS('Data For Calculation - Insuranc'!A:A,A346,'Data For Calculation - Insuranc'!D:D,"Individual",'Data For Calculation - Insuranc'!E:E,"Rollover - 1 Year OD Only")</f>
        <v>0</v>
      </c>
      <c r="AY346" s="34" t="s">
        <v>3932</v>
      </c>
      <c r="AZ346" s="34" t="s">
        <v>3817</v>
      </c>
      <c r="BA346" s="31">
        <v>290.0</v>
      </c>
      <c r="BB346" s="34" t="s">
        <v>3853</v>
      </c>
      <c r="BC346" s="34">
        <v>0.0</v>
      </c>
      <c r="BD346" s="34">
        <v>100.0</v>
      </c>
      <c r="BE346" s="34">
        <v>0.0</v>
      </c>
      <c r="BF346" s="34">
        <v>0.0</v>
      </c>
      <c r="BG346" s="33">
        <f>COUNTIFS('Data For Calculation - Insuranc'!A:A,A346,'Data For Calculation - Insuranc'!D:D,"Company",'Data For Calculation - Insuranc'!E:E,"Rollover - 1 Year OD Only")</f>
        <v>0</v>
      </c>
      <c r="BH346" s="34" t="s">
        <v>3931</v>
      </c>
      <c r="BI346" s="34" t="s">
        <v>3817</v>
      </c>
      <c r="BJ346" s="31">
        <v>290.0</v>
      </c>
      <c r="BK346" s="34" t="s">
        <v>3853</v>
      </c>
      <c r="BL346" s="34">
        <v>0.0</v>
      </c>
      <c r="BM346" s="34">
        <v>100.0</v>
      </c>
      <c r="BN346" s="34">
        <v>0.0</v>
      </c>
      <c r="BO346" s="34">
        <v>0.0</v>
      </c>
      <c r="BP346" s="33">
        <f>COUNTIFS('Data For Calculation - Insuranc'!A:A,A346,'Data For Calculation - Insuranc'!D:D,"Individual",'Data For Calculation - Insuranc'!E:E,"Rollover - 1 Year TP Only")</f>
        <v>0</v>
      </c>
      <c r="BQ346" s="34" t="s">
        <v>3932</v>
      </c>
      <c r="BR346" s="34" t="s">
        <v>3817</v>
      </c>
      <c r="BS346" s="31">
        <v>290.0</v>
      </c>
      <c r="BT346" s="34" t="s">
        <v>3853</v>
      </c>
      <c r="BU346" s="34">
        <v>0.0</v>
      </c>
      <c r="BV346" s="34">
        <v>100.0</v>
      </c>
      <c r="BW346" s="34">
        <v>0.0</v>
      </c>
      <c r="BX346" s="34">
        <v>0.0</v>
      </c>
      <c r="BY346" s="33">
        <f>COUNTIFS('Data For Calculation - Insuranc'!A:A,A346,'Data For Calculation - Insuranc'!D:D,"Company",'Data For Calculation - Insuranc'!E:E,"Rollover - 1 Year TP Only")</f>
        <v>0</v>
      </c>
      <c r="BZ346" s="31">
        <f t="shared" si="1"/>
        <v>0</v>
      </c>
      <c r="CA346" s="33">
        <f>SUMIFS('Data For Calculation - Insuranc'!I:I,'Data For Calculation - Insuranc'!$A:$A,$A346)</f>
        <v>0</v>
      </c>
      <c r="CB346" s="33">
        <f>SUMIFS('Data For Calculation - Insuranc'!J:J,'Data For Calculation - Insuranc'!$A:$A,$A346)</f>
        <v>0</v>
      </c>
      <c r="CC346" s="33">
        <f>SUMIFS('Data For Calculation - Insuranc'!K:K,'Data For Calculation - Insuranc'!$A:$A,$A346)</f>
        <v>0</v>
      </c>
      <c r="CD346" s="33">
        <f>IF($CK346 = "Dealer", SUMIFS('Data For Calculation - Insuranc'!I:I,'Data For Calculation - Insuranc'!$B:$B,$A346,'Data For Calculation - Insuranc'!$H:$H,"Master Dealer")) + SUMIFS('Data For Calculation - Insuranc'!I:I,'Data For Calculation - Insuranc'!$A:$A,$A346,'Data For Calculation - Insuranc'!$H:$H,"Self")</f>
        <v>0</v>
      </c>
      <c r="CE346" s="33">
        <f>IF($CK346 = "Dealer", SUMIFS('Data For Calculation - Insuranc'!J:J,'Data For Calculation - Insuranc'!$B:$B,$A346,'Data For Calculation - Insuranc'!$H:$H,"Master Dealer")) + SUMIFS('Data For Calculation - Insuranc'!J:J,'Data For Calculation - Insuranc'!$A:$A,$A346,'Data For Calculation - Insuranc'!$H:$H,"Self")</f>
        <v>0</v>
      </c>
      <c r="CF346" s="33">
        <f>IF($CK346 = "Dealer", SUMIFS('Data For Calculation - Insuranc'!K:K,'Data For Calculation - Insuranc'!$B:$B,$A346,'Data For Calculation - Insuranc'!$H:$H,"Master Dealer")) + SUMIFS('Data For Calculation - Insuranc'!K:K,'Data For Calculation - Insuranc'!$A:$A,$A346,'Data For Calculation - Insuranc'!$H:$H,"Self")</f>
        <v>0</v>
      </c>
      <c r="CG346" s="25" t="str">
        <f>(Sheet1!N346)</f>
        <v>ANAS MOTORS- SUPAUL</v>
      </c>
      <c r="CH346" s="25" t="str">
        <f>(Sheet1!O346)</f>
        <v>1QVBShIrTLBej8s_qXhBmCICNAN5JsR5KakezwfMLZV0</v>
      </c>
      <c r="CI346" s="25" t="str">
        <f>(Sheet1!AV346)</f>
        <v/>
      </c>
      <c r="CJ346" s="25" t="str">
        <f>(Sheet1!AW346)</f>
        <v/>
      </c>
      <c r="CK346" s="26" t="str">
        <f>(Sheet1!P346)</f>
        <v>Sub Dealer</v>
      </c>
    </row>
    <row r="347">
      <c r="A347" s="25" t="str">
        <f>(Sheet1!A347)</f>
        <v>1ijZUuNYW1E8zpyUwJzSL5TYbwYKb9s-saRb04DNVH0s</v>
      </c>
      <c r="B347" s="25" t="str">
        <f>(Sheet1!B347)</f>
        <v>Unique Motors (ANS) - Saharsa</v>
      </c>
      <c r="C347" s="30" t="str">
        <f>Sheet1!BB347</f>
        <v>No</v>
      </c>
      <c r="D347" s="30" t="s">
        <v>13</v>
      </c>
      <c r="E347" s="34" t="s">
        <v>13</v>
      </c>
      <c r="F347" s="34" t="s">
        <v>3929</v>
      </c>
      <c r="G347" s="34" t="s">
        <v>3817</v>
      </c>
      <c r="H347" s="31">
        <v>290.0</v>
      </c>
      <c r="I347" s="34" t="s">
        <v>3853</v>
      </c>
      <c r="J347" s="34">
        <v>0.0</v>
      </c>
      <c r="K347" s="34">
        <v>100.0</v>
      </c>
      <c r="L347" s="34">
        <v>0.0</v>
      </c>
      <c r="M347" s="34">
        <v>0.0</v>
      </c>
      <c r="N347" s="33">
        <f>COUNTIFS('Data For Calculation - Insuranc'!A:A,A347,'Data For Calculation - Insuranc'!D:D,"Individual",'Data For Calculation - Insuranc'!E:E,"Bundled - 1 Year OD + 5 Year TP")</f>
        <v>0</v>
      </c>
      <c r="O347" s="34" t="s">
        <v>3930</v>
      </c>
      <c r="P347" s="34" t="s">
        <v>3817</v>
      </c>
      <c r="Q347" s="31">
        <v>290.0</v>
      </c>
      <c r="R347" s="34" t="s">
        <v>3853</v>
      </c>
      <c r="S347" s="34">
        <v>0.0</v>
      </c>
      <c r="T347" s="34">
        <v>100.0</v>
      </c>
      <c r="U347" s="34">
        <v>0.0</v>
      </c>
      <c r="V347" s="34">
        <v>0.0</v>
      </c>
      <c r="W347" s="33">
        <f>COUNTIFS('Data For Calculation - Insuranc'!A:A,A347,'Data For Calculation - Insuranc'!D:D,"Company",'Data For Calculation - Insuranc'!E:E,"Bundled - 1 Year OD + 5 Year TP")</f>
        <v>0</v>
      </c>
      <c r="X347" s="34" t="s">
        <v>3929</v>
      </c>
      <c r="Y347" s="34" t="s">
        <v>3817</v>
      </c>
      <c r="Z347" s="31">
        <v>290.0</v>
      </c>
      <c r="AA347" s="34" t="s">
        <v>3853</v>
      </c>
      <c r="AB347" s="34">
        <v>0.0</v>
      </c>
      <c r="AC347" s="34">
        <v>100.0</v>
      </c>
      <c r="AD347" s="34">
        <v>0.0</v>
      </c>
      <c r="AE347" s="34">
        <v>0.0</v>
      </c>
      <c r="AF347" s="33">
        <f>COUNTIFS('Data For Calculation - Insuranc'!A:A,A347,'Data For Calculation - Insuranc'!D:D,"Individual",'Data For Calculation - Insuranc'!E:E,"Rollover Comprehensive - 1 Year OD + 1 Year TP")</f>
        <v>0</v>
      </c>
      <c r="AG347" s="34" t="s">
        <v>3930</v>
      </c>
      <c r="AH347" s="34" t="s">
        <v>3817</v>
      </c>
      <c r="AI347" s="31">
        <v>290.0</v>
      </c>
      <c r="AJ347" s="34" t="s">
        <v>3853</v>
      </c>
      <c r="AK347" s="34">
        <v>0.0</v>
      </c>
      <c r="AL347" s="34">
        <v>100.0</v>
      </c>
      <c r="AM347" s="34">
        <v>0.0</v>
      </c>
      <c r="AN347" s="34">
        <v>0.0</v>
      </c>
      <c r="AO347" s="33">
        <f>COUNTIFS('Data For Calculation - Insuranc'!A:A,A347,'Data For Calculation - Insuranc'!D:D,"Company",'Data For Calculation - Insuranc'!E:E,"Rollover Comprehensive - 1 Year OD + 1 Year TP")</f>
        <v>0</v>
      </c>
      <c r="AP347" s="34" t="s">
        <v>3931</v>
      </c>
      <c r="AQ347" s="34" t="s">
        <v>3817</v>
      </c>
      <c r="AR347" s="31">
        <v>290.0</v>
      </c>
      <c r="AS347" s="34" t="s">
        <v>3853</v>
      </c>
      <c r="AT347" s="34">
        <v>0.0</v>
      </c>
      <c r="AU347" s="34">
        <v>100.0</v>
      </c>
      <c r="AV347" s="34">
        <v>0.0</v>
      </c>
      <c r="AW347" s="34">
        <v>0.0</v>
      </c>
      <c r="AX347" s="33">
        <f>COUNTIFS('Data For Calculation - Insuranc'!A:A,A347,'Data For Calculation - Insuranc'!D:D,"Individual",'Data For Calculation - Insuranc'!E:E,"Rollover - 1 Year OD Only")</f>
        <v>0</v>
      </c>
      <c r="AY347" s="34" t="s">
        <v>3932</v>
      </c>
      <c r="AZ347" s="34" t="s">
        <v>3817</v>
      </c>
      <c r="BA347" s="31">
        <v>290.0</v>
      </c>
      <c r="BB347" s="34" t="s">
        <v>3853</v>
      </c>
      <c r="BC347" s="34">
        <v>0.0</v>
      </c>
      <c r="BD347" s="34">
        <v>100.0</v>
      </c>
      <c r="BE347" s="34">
        <v>0.0</v>
      </c>
      <c r="BF347" s="34">
        <v>0.0</v>
      </c>
      <c r="BG347" s="33">
        <f>COUNTIFS('Data For Calculation - Insuranc'!A:A,A347,'Data For Calculation - Insuranc'!D:D,"Company",'Data For Calculation - Insuranc'!E:E,"Rollover - 1 Year OD Only")</f>
        <v>0</v>
      </c>
      <c r="BH347" s="34" t="s">
        <v>3931</v>
      </c>
      <c r="BI347" s="34" t="s">
        <v>3817</v>
      </c>
      <c r="BJ347" s="31">
        <v>290.0</v>
      </c>
      <c r="BK347" s="34" t="s">
        <v>3853</v>
      </c>
      <c r="BL347" s="34">
        <v>0.0</v>
      </c>
      <c r="BM347" s="34">
        <v>100.0</v>
      </c>
      <c r="BN347" s="34">
        <v>0.0</v>
      </c>
      <c r="BO347" s="34">
        <v>0.0</v>
      </c>
      <c r="BP347" s="33">
        <f>COUNTIFS('Data For Calculation - Insuranc'!A:A,A347,'Data For Calculation - Insuranc'!D:D,"Individual",'Data For Calculation - Insuranc'!E:E,"Rollover - 1 Year TP Only")</f>
        <v>0</v>
      </c>
      <c r="BQ347" s="34" t="s">
        <v>3932</v>
      </c>
      <c r="BR347" s="34" t="s">
        <v>3817</v>
      </c>
      <c r="BS347" s="31">
        <v>290.0</v>
      </c>
      <c r="BT347" s="34" t="s">
        <v>3853</v>
      </c>
      <c r="BU347" s="34">
        <v>0.0</v>
      </c>
      <c r="BV347" s="34">
        <v>100.0</v>
      </c>
      <c r="BW347" s="34">
        <v>0.0</v>
      </c>
      <c r="BX347" s="34">
        <v>0.0</v>
      </c>
      <c r="BY347" s="33">
        <f>COUNTIFS('Data For Calculation - Insuranc'!A:A,A347,'Data For Calculation - Insuranc'!D:D,"Company",'Data For Calculation - Insuranc'!E:E,"Rollover - 1 Year TP Only")</f>
        <v>0</v>
      </c>
      <c r="BZ347" s="31">
        <f t="shared" si="1"/>
        <v>0</v>
      </c>
      <c r="CA347" s="33">
        <f>SUMIFS('Data For Calculation - Insuranc'!I:I,'Data For Calculation - Insuranc'!$A:$A,$A347)</f>
        <v>0</v>
      </c>
      <c r="CB347" s="33">
        <f>SUMIFS('Data For Calculation - Insuranc'!J:J,'Data For Calculation - Insuranc'!$A:$A,$A347)</f>
        <v>0</v>
      </c>
      <c r="CC347" s="33">
        <f>SUMIFS('Data For Calculation - Insuranc'!K:K,'Data For Calculation - Insuranc'!$A:$A,$A347)</f>
        <v>0</v>
      </c>
      <c r="CD347" s="33">
        <f>IF($CK347 = "Dealer", SUMIFS('Data For Calculation - Insuranc'!I:I,'Data For Calculation - Insuranc'!$B:$B,$A347,'Data For Calculation - Insuranc'!$H:$H,"Master Dealer")) + SUMIFS('Data For Calculation - Insuranc'!I:I,'Data For Calculation - Insuranc'!$A:$A,$A347,'Data For Calculation - Insuranc'!$H:$H,"Self")</f>
        <v>0</v>
      </c>
      <c r="CE347" s="33">
        <f>IF($CK347 = "Dealer", SUMIFS('Data For Calculation - Insuranc'!J:J,'Data For Calculation - Insuranc'!$B:$B,$A347,'Data For Calculation - Insuranc'!$H:$H,"Master Dealer")) + SUMIFS('Data For Calculation - Insuranc'!J:J,'Data For Calculation - Insuranc'!$A:$A,$A347,'Data For Calculation - Insuranc'!$H:$H,"Self")</f>
        <v>0</v>
      </c>
      <c r="CF347" s="33">
        <f>IF($CK347 = "Dealer", SUMIFS('Data For Calculation - Insuranc'!K:K,'Data For Calculation - Insuranc'!$B:$B,$A347,'Data For Calculation - Insuranc'!$H:$H,"Master Dealer")) + SUMIFS('Data For Calculation - Insuranc'!K:K,'Data For Calculation - Insuranc'!$A:$A,$A347,'Data For Calculation - Insuranc'!$H:$H,"Self")</f>
        <v>0</v>
      </c>
      <c r="CG347" s="25" t="str">
        <f>(Sheet1!N347)</f>
        <v>ANAS MOTORS- SUPAUL</v>
      </c>
      <c r="CH347" s="25" t="str">
        <f>(Sheet1!O347)</f>
        <v>1QVBShIrTLBej8s_qXhBmCICNAN5JsR5KakezwfMLZV0</v>
      </c>
      <c r="CI347" s="25" t="str">
        <f>(Sheet1!AV347)</f>
        <v/>
      </c>
      <c r="CJ347" s="25" t="str">
        <f>(Sheet1!AW347)</f>
        <v/>
      </c>
      <c r="CK347" s="26" t="str">
        <f>(Sheet1!P347)</f>
        <v>Sub Dealer</v>
      </c>
    </row>
    <row r="348">
      <c r="A348" s="25" t="str">
        <f>(Sheet1!A348)</f>
        <v>1OmbiJkLdWoT3pUPafzGjcE6RP8KNKayDMZiTcehiZhY</v>
      </c>
      <c r="B348" s="25" t="str">
        <f>(Sheet1!B348)</f>
        <v>Autobikes (ANS) - Murliganj </v>
      </c>
      <c r="C348" s="30" t="str">
        <f>Sheet1!BB348</f>
        <v>No</v>
      </c>
      <c r="D348" s="30" t="s">
        <v>13</v>
      </c>
      <c r="E348" s="34" t="s">
        <v>13</v>
      </c>
      <c r="F348" s="34" t="s">
        <v>3929</v>
      </c>
      <c r="G348" s="34" t="s">
        <v>3817</v>
      </c>
      <c r="H348" s="31">
        <v>290.0</v>
      </c>
      <c r="I348" s="34" t="s">
        <v>3853</v>
      </c>
      <c r="J348" s="34">
        <v>0.0</v>
      </c>
      <c r="K348" s="34">
        <v>100.0</v>
      </c>
      <c r="L348" s="34">
        <v>0.0</v>
      </c>
      <c r="M348" s="34">
        <v>0.0</v>
      </c>
      <c r="N348" s="33">
        <f>COUNTIFS('Data For Calculation - Insuranc'!A:A,A348,'Data For Calculation - Insuranc'!D:D,"Individual",'Data For Calculation - Insuranc'!E:E,"Bundled - 1 Year OD + 5 Year TP")</f>
        <v>0</v>
      </c>
      <c r="O348" s="34" t="s">
        <v>3930</v>
      </c>
      <c r="P348" s="34" t="s">
        <v>3817</v>
      </c>
      <c r="Q348" s="31">
        <v>290.0</v>
      </c>
      <c r="R348" s="34" t="s">
        <v>3853</v>
      </c>
      <c r="S348" s="34">
        <v>0.0</v>
      </c>
      <c r="T348" s="34">
        <v>100.0</v>
      </c>
      <c r="U348" s="34">
        <v>0.0</v>
      </c>
      <c r="V348" s="34">
        <v>0.0</v>
      </c>
      <c r="W348" s="33">
        <f>COUNTIFS('Data For Calculation - Insuranc'!A:A,A348,'Data For Calculation - Insuranc'!D:D,"Company",'Data For Calculation - Insuranc'!E:E,"Bundled - 1 Year OD + 5 Year TP")</f>
        <v>0</v>
      </c>
      <c r="X348" s="34" t="s">
        <v>3929</v>
      </c>
      <c r="Y348" s="34" t="s">
        <v>3817</v>
      </c>
      <c r="Z348" s="31">
        <v>290.0</v>
      </c>
      <c r="AA348" s="34" t="s">
        <v>3853</v>
      </c>
      <c r="AB348" s="34">
        <v>0.0</v>
      </c>
      <c r="AC348" s="34">
        <v>100.0</v>
      </c>
      <c r="AD348" s="34">
        <v>0.0</v>
      </c>
      <c r="AE348" s="34">
        <v>0.0</v>
      </c>
      <c r="AF348" s="33">
        <f>COUNTIFS('Data For Calculation - Insuranc'!A:A,A348,'Data For Calculation - Insuranc'!D:D,"Individual",'Data For Calculation - Insuranc'!E:E,"Rollover Comprehensive - 1 Year OD + 1 Year TP")</f>
        <v>0</v>
      </c>
      <c r="AG348" s="34" t="s">
        <v>3930</v>
      </c>
      <c r="AH348" s="34" t="s">
        <v>3817</v>
      </c>
      <c r="AI348" s="31">
        <v>290.0</v>
      </c>
      <c r="AJ348" s="34" t="s">
        <v>3853</v>
      </c>
      <c r="AK348" s="34">
        <v>0.0</v>
      </c>
      <c r="AL348" s="34">
        <v>100.0</v>
      </c>
      <c r="AM348" s="34">
        <v>0.0</v>
      </c>
      <c r="AN348" s="34">
        <v>0.0</v>
      </c>
      <c r="AO348" s="33">
        <f>COUNTIFS('Data For Calculation - Insuranc'!A:A,A348,'Data For Calculation - Insuranc'!D:D,"Company",'Data For Calculation - Insuranc'!E:E,"Rollover Comprehensive - 1 Year OD + 1 Year TP")</f>
        <v>0</v>
      </c>
      <c r="AP348" s="34" t="s">
        <v>3931</v>
      </c>
      <c r="AQ348" s="34" t="s">
        <v>3817</v>
      </c>
      <c r="AR348" s="31">
        <v>290.0</v>
      </c>
      <c r="AS348" s="34" t="s">
        <v>3853</v>
      </c>
      <c r="AT348" s="34">
        <v>0.0</v>
      </c>
      <c r="AU348" s="34">
        <v>100.0</v>
      </c>
      <c r="AV348" s="34">
        <v>0.0</v>
      </c>
      <c r="AW348" s="34">
        <v>0.0</v>
      </c>
      <c r="AX348" s="33">
        <f>COUNTIFS('Data For Calculation - Insuranc'!A:A,A348,'Data For Calculation - Insuranc'!D:D,"Individual",'Data For Calculation - Insuranc'!E:E,"Rollover - 1 Year OD Only")</f>
        <v>0</v>
      </c>
      <c r="AY348" s="34" t="s">
        <v>3932</v>
      </c>
      <c r="AZ348" s="34" t="s">
        <v>3817</v>
      </c>
      <c r="BA348" s="31">
        <v>290.0</v>
      </c>
      <c r="BB348" s="34" t="s">
        <v>3853</v>
      </c>
      <c r="BC348" s="34">
        <v>0.0</v>
      </c>
      <c r="BD348" s="34">
        <v>100.0</v>
      </c>
      <c r="BE348" s="34">
        <v>0.0</v>
      </c>
      <c r="BF348" s="34">
        <v>0.0</v>
      </c>
      <c r="BG348" s="33">
        <f>COUNTIFS('Data For Calculation - Insuranc'!A:A,A348,'Data For Calculation - Insuranc'!D:D,"Company",'Data For Calculation - Insuranc'!E:E,"Rollover - 1 Year OD Only")</f>
        <v>0</v>
      </c>
      <c r="BH348" s="34" t="s">
        <v>3931</v>
      </c>
      <c r="BI348" s="34" t="s">
        <v>3817</v>
      </c>
      <c r="BJ348" s="31">
        <v>290.0</v>
      </c>
      <c r="BK348" s="34" t="s">
        <v>3853</v>
      </c>
      <c r="BL348" s="34">
        <v>0.0</v>
      </c>
      <c r="BM348" s="34">
        <v>100.0</v>
      </c>
      <c r="BN348" s="34">
        <v>0.0</v>
      </c>
      <c r="BO348" s="34">
        <v>0.0</v>
      </c>
      <c r="BP348" s="33">
        <f>COUNTIFS('Data For Calculation - Insuranc'!A:A,A348,'Data For Calculation - Insuranc'!D:D,"Individual",'Data For Calculation - Insuranc'!E:E,"Rollover - 1 Year TP Only")</f>
        <v>0</v>
      </c>
      <c r="BQ348" s="34" t="s">
        <v>3932</v>
      </c>
      <c r="BR348" s="34" t="s">
        <v>3817</v>
      </c>
      <c r="BS348" s="31">
        <v>290.0</v>
      </c>
      <c r="BT348" s="34" t="s">
        <v>3853</v>
      </c>
      <c r="BU348" s="34">
        <v>0.0</v>
      </c>
      <c r="BV348" s="34">
        <v>100.0</v>
      </c>
      <c r="BW348" s="34">
        <v>0.0</v>
      </c>
      <c r="BX348" s="34">
        <v>0.0</v>
      </c>
      <c r="BY348" s="33">
        <f>COUNTIFS('Data For Calculation - Insuranc'!A:A,A348,'Data For Calculation - Insuranc'!D:D,"Company",'Data For Calculation - Insuranc'!E:E,"Rollover - 1 Year TP Only")</f>
        <v>0</v>
      </c>
      <c r="BZ348" s="31">
        <f t="shared" si="1"/>
        <v>0</v>
      </c>
      <c r="CA348" s="33">
        <f>SUMIFS('Data For Calculation - Insuranc'!I:I,'Data For Calculation - Insuranc'!$A:$A,$A348)</f>
        <v>0</v>
      </c>
      <c r="CB348" s="33">
        <f>SUMIFS('Data For Calculation - Insuranc'!J:J,'Data For Calculation - Insuranc'!$A:$A,$A348)</f>
        <v>0</v>
      </c>
      <c r="CC348" s="33">
        <f>SUMIFS('Data For Calculation - Insuranc'!K:K,'Data For Calculation - Insuranc'!$A:$A,$A348)</f>
        <v>0</v>
      </c>
      <c r="CD348" s="33">
        <f>IF($CK348 = "Dealer", SUMIFS('Data For Calculation - Insuranc'!I:I,'Data For Calculation - Insuranc'!$B:$B,$A348,'Data For Calculation - Insuranc'!$H:$H,"Master Dealer")) + SUMIFS('Data For Calculation - Insuranc'!I:I,'Data For Calculation - Insuranc'!$A:$A,$A348,'Data For Calculation - Insuranc'!$H:$H,"Self")</f>
        <v>0</v>
      </c>
      <c r="CE348" s="33">
        <f>IF($CK348 = "Dealer", SUMIFS('Data For Calculation - Insuranc'!J:J,'Data For Calculation - Insuranc'!$B:$B,$A348,'Data For Calculation - Insuranc'!$H:$H,"Master Dealer")) + SUMIFS('Data For Calculation - Insuranc'!J:J,'Data For Calculation - Insuranc'!$A:$A,$A348,'Data For Calculation - Insuranc'!$H:$H,"Self")</f>
        <v>0</v>
      </c>
      <c r="CF348" s="33">
        <f>IF($CK348 = "Dealer", SUMIFS('Data For Calculation - Insuranc'!K:K,'Data For Calculation - Insuranc'!$B:$B,$A348,'Data For Calculation - Insuranc'!$H:$H,"Master Dealer")) + SUMIFS('Data For Calculation - Insuranc'!K:K,'Data For Calculation - Insuranc'!$A:$A,$A348,'Data For Calculation - Insuranc'!$H:$H,"Self")</f>
        <v>0</v>
      </c>
      <c r="CG348" s="25" t="str">
        <f>(Sheet1!N348)</f>
        <v>ANAS MOTORS- SUPAUL</v>
      </c>
      <c r="CH348" s="25" t="str">
        <f>(Sheet1!O348)</f>
        <v>1QVBShIrTLBej8s_qXhBmCICNAN5JsR5KakezwfMLZV0</v>
      </c>
      <c r="CI348" s="25" t="str">
        <f>(Sheet1!AV348)</f>
        <v/>
      </c>
      <c r="CJ348" s="25" t="str">
        <f>(Sheet1!AW348)</f>
        <v/>
      </c>
      <c r="CK348" s="26" t="str">
        <f>(Sheet1!P348)</f>
        <v>Sub Dealer</v>
      </c>
    </row>
    <row r="349">
      <c r="A349" s="25" t="str">
        <f>(Sheet1!A349)</f>
        <v>14l8FM3O22akR8Zv19TVsq4w4zJQUjB8fnfZsvPRyvqM</v>
      </c>
      <c r="B349" s="25" t="str">
        <f>(Sheet1!B349)</f>
        <v>Autoplaza (ANS) -Simrahi </v>
      </c>
      <c r="C349" s="30" t="str">
        <f>Sheet1!BB349</f>
        <v>No</v>
      </c>
      <c r="D349" s="30" t="s">
        <v>13</v>
      </c>
      <c r="E349" s="34" t="s">
        <v>13</v>
      </c>
      <c r="F349" s="34" t="s">
        <v>3929</v>
      </c>
      <c r="G349" s="34" t="s">
        <v>3817</v>
      </c>
      <c r="H349" s="31">
        <v>290.0</v>
      </c>
      <c r="I349" s="34" t="s">
        <v>3853</v>
      </c>
      <c r="J349" s="34">
        <v>0.0</v>
      </c>
      <c r="K349" s="34">
        <v>100.0</v>
      </c>
      <c r="L349" s="34">
        <v>0.0</v>
      </c>
      <c r="M349" s="34">
        <v>0.0</v>
      </c>
      <c r="N349" s="33">
        <f>COUNTIFS('Data For Calculation - Insuranc'!A:A,A349,'Data For Calculation - Insuranc'!D:D,"Individual",'Data For Calculation - Insuranc'!E:E,"Bundled - 1 Year OD + 5 Year TP")</f>
        <v>0</v>
      </c>
      <c r="O349" s="34" t="s">
        <v>3930</v>
      </c>
      <c r="P349" s="34" t="s">
        <v>3817</v>
      </c>
      <c r="Q349" s="31">
        <v>290.0</v>
      </c>
      <c r="R349" s="34" t="s">
        <v>3853</v>
      </c>
      <c r="S349" s="34">
        <v>0.0</v>
      </c>
      <c r="T349" s="34">
        <v>100.0</v>
      </c>
      <c r="U349" s="34">
        <v>0.0</v>
      </c>
      <c r="V349" s="34">
        <v>0.0</v>
      </c>
      <c r="W349" s="33">
        <f>COUNTIFS('Data For Calculation - Insuranc'!A:A,A349,'Data For Calculation - Insuranc'!D:D,"Company",'Data For Calculation - Insuranc'!E:E,"Bundled - 1 Year OD + 5 Year TP")</f>
        <v>0</v>
      </c>
      <c r="X349" s="34" t="s">
        <v>3929</v>
      </c>
      <c r="Y349" s="34" t="s">
        <v>3817</v>
      </c>
      <c r="Z349" s="31">
        <v>290.0</v>
      </c>
      <c r="AA349" s="34" t="s">
        <v>3853</v>
      </c>
      <c r="AB349" s="34">
        <v>0.0</v>
      </c>
      <c r="AC349" s="34">
        <v>100.0</v>
      </c>
      <c r="AD349" s="34">
        <v>0.0</v>
      </c>
      <c r="AE349" s="34">
        <v>0.0</v>
      </c>
      <c r="AF349" s="33">
        <f>COUNTIFS('Data For Calculation - Insuranc'!A:A,A349,'Data For Calculation - Insuranc'!D:D,"Individual",'Data For Calculation - Insuranc'!E:E,"Rollover Comprehensive - 1 Year OD + 1 Year TP")</f>
        <v>0</v>
      </c>
      <c r="AG349" s="34" t="s">
        <v>3930</v>
      </c>
      <c r="AH349" s="34" t="s">
        <v>3817</v>
      </c>
      <c r="AI349" s="31">
        <v>290.0</v>
      </c>
      <c r="AJ349" s="34" t="s">
        <v>3853</v>
      </c>
      <c r="AK349" s="34">
        <v>0.0</v>
      </c>
      <c r="AL349" s="34">
        <v>100.0</v>
      </c>
      <c r="AM349" s="34">
        <v>0.0</v>
      </c>
      <c r="AN349" s="34">
        <v>0.0</v>
      </c>
      <c r="AO349" s="33">
        <f>COUNTIFS('Data For Calculation - Insuranc'!A:A,A349,'Data For Calculation - Insuranc'!D:D,"Company",'Data For Calculation - Insuranc'!E:E,"Rollover Comprehensive - 1 Year OD + 1 Year TP")</f>
        <v>0</v>
      </c>
      <c r="AP349" s="34" t="s">
        <v>3931</v>
      </c>
      <c r="AQ349" s="34" t="s">
        <v>3817</v>
      </c>
      <c r="AR349" s="31">
        <v>290.0</v>
      </c>
      <c r="AS349" s="34" t="s">
        <v>3853</v>
      </c>
      <c r="AT349" s="34">
        <v>0.0</v>
      </c>
      <c r="AU349" s="34">
        <v>100.0</v>
      </c>
      <c r="AV349" s="34">
        <v>0.0</v>
      </c>
      <c r="AW349" s="34">
        <v>0.0</v>
      </c>
      <c r="AX349" s="33">
        <f>COUNTIFS('Data For Calculation - Insuranc'!A:A,A349,'Data For Calculation - Insuranc'!D:D,"Individual",'Data For Calculation - Insuranc'!E:E,"Rollover - 1 Year OD Only")</f>
        <v>0</v>
      </c>
      <c r="AY349" s="34" t="s">
        <v>3932</v>
      </c>
      <c r="AZ349" s="34" t="s">
        <v>3817</v>
      </c>
      <c r="BA349" s="31">
        <v>290.0</v>
      </c>
      <c r="BB349" s="34" t="s">
        <v>3853</v>
      </c>
      <c r="BC349" s="34">
        <v>0.0</v>
      </c>
      <c r="BD349" s="34">
        <v>100.0</v>
      </c>
      <c r="BE349" s="34">
        <v>0.0</v>
      </c>
      <c r="BF349" s="34">
        <v>0.0</v>
      </c>
      <c r="BG349" s="33">
        <f>COUNTIFS('Data For Calculation - Insuranc'!A:A,A349,'Data For Calculation - Insuranc'!D:D,"Company",'Data For Calculation - Insuranc'!E:E,"Rollover - 1 Year OD Only")</f>
        <v>0</v>
      </c>
      <c r="BH349" s="34" t="s">
        <v>3931</v>
      </c>
      <c r="BI349" s="34" t="s">
        <v>3817</v>
      </c>
      <c r="BJ349" s="31">
        <v>290.0</v>
      </c>
      <c r="BK349" s="34" t="s">
        <v>3853</v>
      </c>
      <c r="BL349" s="34">
        <v>0.0</v>
      </c>
      <c r="BM349" s="34">
        <v>100.0</v>
      </c>
      <c r="BN349" s="34">
        <v>0.0</v>
      </c>
      <c r="BO349" s="34">
        <v>0.0</v>
      </c>
      <c r="BP349" s="33">
        <f>COUNTIFS('Data For Calculation - Insuranc'!A:A,A349,'Data For Calculation - Insuranc'!D:D,"Individual",'Data For Calculation - Insuranc'!E:E,"Rollover - 1 Year TP Only")</f>
        <v>0</v>
      </c>
      <c r="BQ349" s="34" t="s">
        <v>3932</v>
      </c>
      <c r="BR349" s="34" t="s">
        <v>3817</v>
      </c>
      <c r="BS349" s="31">
        <v>290.0</v>
      </c>
      <c r="BT349" s="34" t="s">
        <v>3853</v>
      </c>
      <c r="BU349" s="34">
        <v>0.0</v>
      </c>
      <c r="BV349" s="34">
        <v>100.0</v>
      </c>
      <c r="BW349" s="34">
        <v>0.0</v>
      </c>
      <c r="BX349" s="34">
        <v>0.0</v>
      </c>
      <c r="BY349" s="33">
        <f>COUNTIFS('Data For Calculation - Insuranc'!A:A,A349,'Data For Calculation - Insuranc'!D:D,"Company",'Data For Calculation - Insuranc'!E:E,"Rollover - 1 Year TP Only")</f>
        <v>0</v>
      </c>
      <c r="BZ349" s="31">
        <f t="shared" si="1"/>
        <v>0</v>
      </c>
      <c r="CA349" s="33">
        <f>SUMIFS('Data For Calculation - Insuranc'!I:I,'Data For Calculation - Insuranc'!$A:$A,$A349)</f>
        <v>0</v>
      </c>
      <c r="CB349" s="33">
        <f>SUMIFS('Data For Calculation - Insuranc'!J:J,'Data For Calculation - Insuranc'!$A:$A,$A349)</f>
        <v>0</v>
      </c>
      <c r="CC349" s="33">
        <f>SUMIFS('Data For Calculation - Insuranc'!K:K,'Data For Calculation - Insuranc'!$A:$A,$A349)</f>
        <v>0</v>
      </c>
      <c r="CD349" s="33">
        <f>IF($CK349 = "Dealer", SUMIFS('Data For Calculation - Insuranc'!I:I,'Data For Calculation - Insuranc'!$B:$B,$A349,'Data For Calculation - Insuranc'!$H:$H,"Master Dealer")) + SUMIFS('Data For Calculation - Insuranc'!I:I,'Data For Calculation - Insuranc'!$A:$A,$A349,'Data For Calculation - Insuranc'!$H:$H,"Self")</f>
        <v>0</v>
      </c>
      <c r="CE349" s="33">
        <f>IF($CK349 = "Dealer", SUMIFS('Data For Calculation - Insuranc'!J:J,'Data For Calculation - Insuranc'!$B:$B,$A349,'Data For Calculation - Insuranc'!$H:$H,"Master Dealer")) + SUMIFS('Data For Calculation - Insuranc'!J:J,'Data For Calculation - Insuranc'!$A:$A,$A349,'Data For Calculation - Insuranc'!$H:$H,"Self")</f>
        <v>0</v>
      </c>
      <c r="CF349" s="33">
        <f>IF($CK349 = "Dealer", SUMIFS('Data For Calculation - Insuranc'!K:K,'Data For Calculation - Insuranc'!$B:$B,$A349,'Data For Calculation - Insuranc'!$H:$H,"Master Dealer")) + SUMIFS('Data For Calculation - Insuranc'!K:K,'Data For Calculation - Insuranc'!$A:$A,$A349,'Data For Calculation - Insuranc'!$H:$H,"Self")</f>
        <v>0</v>
      </c>
      <c r="CG349" s="25" t="str">
        <f>(Sheet1!N349)</f>
        <v>ANAS MOTORS- SUPAUL</v>
      </c>
      <c r="CH349" s="25" t="str">
        <f>(Sheet1!O349)</f>
        <v>1QVBShIrTLBej8s_qXhBmCICNAN5JsR5KakezwfMLZV0</v>
      </c>
      <c r="CI349" s="25" t="str">
        <f>(Sheet1!AV349)</f>
        <v/>
      </c>
      <c r="CJ349" s="25" t="str">
        <f>(Sheet1!AW349)</f>
        <v/>
      </c>
      <c r="CK349" s="26" t="str">
        <f>(Sheet1!P349)</f>
        <v>Sub Dealer</v>
      </c>
    </row>
    <row r="350">
      <c r="A350" s="25" t="str">
        <f>(Sheet1!A350)</f>
        <v>15UOdwT--s7Zl9Su2K5mgFsbjsO9NxCbTdpJ5AlQkVMM</v>
      </c>
      <c r="B350" s="25" t="str">
        <f>(Sheet1!B350)</f>
        <v>KHURANA MOTORS- DEWAS</v>
      </c>
      <c r="C350" s="30" t="str">
        <f>Sheet1!BB350</f>
        <v>No</v>
      </c>
      <c r="D350" s="30" t="s">
        <v>13</v>
      </c>
      <c r="E350" s="34" t="s">
        <v>13</v>
      </c>
      <c r="F350" s="34" t="s">
        <v>3929</v>
      </c>
      <c r="G350" s="34" t="s">
        <v>3817</v>
      </c>
      <c r="H350" s="31">
        <v>290.0</v>
      </c>
      <c r="I350" s="34" t="s">
        <v>3853</v>
      </c>
      <c r="J350" s="34">
        <v>0.0</v>
      </c>
      <c r="K350" s="34">
        <v>100.0</v>
      </c>
      <c r="L350" s="34">
        <v>0.0</v>
      </c>
      <c r="M350" s="34">
        <v>0.0</v>
      </c>
      <c r="N350" s="33">
        <f>COUNTIFS('Data For Calculation - Insuranc'!A:A,A350,'Data For Calculation - Insuranc'!D:D,"Individual",'Data For Calculation - Insuranc'!E:E,"Bundled - 1 Year OD + 5 Year TP")</f>
        <v>0</v>
      </c>
      <c r="O350" s="34" t="s">
        <v>3930</v>
      </c>
      <c r="P350" s="34" t="s">
        <v>3817</v>
      </c>
      <c r="Q350" s="31">
        <v>290.0</v>
      </c>
      <c r="R350" s="34" t="s">
        <v>3853</v>
      </c>
      <c r="S350" s="34">
        <v>0.0</v>
      </c>
      <c r="T350" s="34">
        <v>100.0</v>
      </c>
      <c r="U350" s="34">
        <v>0.0</v>
      </c>
      <c r="V350" s="34">
        <v>0.0</v>
      </c>
      <c r="W350" s="33">
        <f>COUNTIFS('Data For Calculation - Insuranc'!A:A,A350,'Data For Calculation - Insuranc'!D:D,"Company",'Data For Calculation - Insuranc'!E:E,"Bundled - 1 Year OD + 5 Year TP")</f>
        <v>0</v>
      </c>
      <c r="X350" s="34" t="s">
        <v>3929</v>
      </c>
      <c r="Y350" s="34" t="s">
        <v>3817</v>
      </c>
      <c r="Z350" s="31">
        <v>290.0</v>
      </c>
      <c r="AA350" s="34" t="s">
        <v>3853</v>
      </c>
      <c r="AB350" s="34">
        <v>0.0</v>
      </c>
      <c r="AC350" s="34">
        <v>100.0</v>
      </c>
      <c r="AD350" s="34">
        <v>0.0</v>
      </c>
      <c r="AE350" s="34">
        <v>0.0</v>
      </c>
      <c r="AF350" s="33">
        <f>COUNTIFS('Data For Calculation - Insuranc'!A:A,A350,'Data For Calculation - Insuranc'!D:D,"Individual",'Data For Calculation - Insuranc'!E:E,"Rollover Comprehensive - 1 Year OD + 1 Year TP")</f>
        <v>0</v>
      </c>
      <c r="AG350" s="34" t="s">
        <v>3930</v>
      </c>
      <c r="AH350" s="34" t="s">
        <v>3817</v>
      </c>
      <c r="AI350" s="31">
        <v>290.0</v>
      </c>
      <c r="AJ350" s="34" t="s">
        <v>3853</v>
      </c>
      <c r="AK350" s="34">
        <v>0.0</v>
      </c>
      <c r="AL350" s="34">
        <v>100.0</v>
      </c>
      <c r="AM350" s="34">
        <v>0.0</v>
      </c>
      <c r="AN350" s="34">
        <v>0.0</v>
      </c>
      <c r="AO350" s="33">
        <f>COUNTIFS('Data For Calculation - Insuranc'!A:A,A350,'Data For Calculation - Insuranc'!D:D,"Company",'Data For Calculation - Insuranc'!E:E,"Rollover Comprehensive - 1 Year OD + 1 Year TP")</f>
        <v>0</v>
      </c>
      <c r="AP350" s="34" t="s">
        <v>3931</v>
      </c>
      <c r="AQ350" s="34" t="s">
        <v>3817</v>
      </c>
      <c r="AR350" s="31">
        <v>290.0</v>
      </c>
      <c r="AS350" s="34" t="s">
        <v>3853</v>
      </c>
      <c r="AT350" s="34">
        <v>0.0</v>
      </c>
      <c r="AU350" s="34">
        <v>100.0</v>
      </c>
      <c r="AV350" s="34">
        <v>0.0</v>
      </c>
      <c r="AW350" s="34">
        <v>0.0</v>
      </c>
      <c r="AX350" s="33">
        <f>COUNTIFS('Data For Calculation - Insuranc'!A:A,A350,'Data For Calculation - Insuranc'!D:D,"Individual",'Data For Calculation - Insuranc'!E:E,"Rollover - 1 Year OD Only")</f>
        <v>0</v>
      </c>
      <c r="AY350" s="34" t="s">
        <v>3932</v>
      </c>
      <c r="AZ350" s="34" t="s">
        <v>3817</v>
      </c>
      <c r="BA350" s="31">
        <v>290.0</v>
      </c>
      <c r="BB350" s="34" t="s">
        <v>3853</v>
      </c>
      <c r="BC350" s="34">
        <v>0.0</v>
      </c>
      <c r="BD350" s="34">
        <v>100.0</v>
      </c>
      <c r="BE350" s="34">
        <v>0.0</v>
      </c>
      <c r="BF350" s="34">
        <v>0.0</v>
      </c>
      <c r="BG350" s="33">
        <f>COUNTIFS('Data For Calculation - Insuranc'!A:A,A350,'Data For Calculation - Insuranc'!D:D,"Company",'Data For Calculation - Insuranc'!E:E,"Rollover - 1 Year OD Only")</f>
        <v>0</v>
      </c>
      <c r="BH350" s="34" t="s">
        <v>3931</v>
      </c>
      <c r="BI350" s="34" t="s">
        <v>3817</v>
      </c>
      <c r="BJ350" s="31">
        <v>290.0</v>
      </c>
      <c r="BK350" s="34" t="s">
        <v>3853</v>
      </c>
      <c r="BL350" s="34">
        <v>0.0</v>
      </c>
      <c r="BM350" s="34">
        <v>100.0</v>
      </c>
      <c r="BN350" s="34">
        <v>0.0</v>
      </c>
      <c r="BO350" s="34">
        <v>0.0</v>
      </c>
      <c r="BP350" s="33">
        <f>COUNTIFS('Data For Calculation - Insuranc'!A:A,A350,'Data For Calculation - Insuranc'!D:D,"Individual",'Data For Calculation - Insuranc'!E:E,"Rollover - 1 Year TP Only")</f>
        <v>0</v>
      </c>
      <c r="BQ350" s="34" t="s">
        <v>3932</v>
      </c>
      <c r="BR350" s="34" t="s">
        <v>3817</v>
      </c>
      <c r="BS350" s="31">
        <v>290.0</v>
      </c>
      <c r="BT350" s="34" t="s">
        <v>3853</v>
      </c>
      <c r="BU350" s="34">
        <v>0.0</v>
      </c>
      <c r="BV350" s="34">
        <v>100.0</v>
      </c>
      <c r="BW350" s="34">
        <v>0.0</v>
      </c>
      <c r="BX350" s="34">
        <v>0.0</v>
      </c>
      <c r="BY350" s="33">
        <f>COUNTIFS('Data For Calculation - Insuranc'!A:A,A350,'Data For Calculation - Insuranc'!D:D,"Company",'Data For Calculation - Insuranc'!E:E,"Rollover - 1 Year TP Only")</f>
        <v>0</v>
      </c>
      <c r="BZ350" s="31">
        <f t="shared" si="1"/>
        <v>0</v>
      </c>
      <c r="CA350" s="33">
        <f>SUMIFS('Data For Calculation - Insuranc'!I:I,'Data For Calculation - Insuranc'!$A:$A,$A350)</f>
        <v>0</v>
      </c>
      <c r="CB350" s="33">
        <f>SUMIFS('Data For Calculation - Insuranc'!J:J,'Data For Calculation - Insuranc'!$A:$A,$A350)</f>
        <v>0</v>
      </c>
      <c r="CC350" s="33">
        <f>SUMIFS('Data For Calculation - Insuranc'!K:K,'Data For Calculation - Insuranc'!$A:$A,$A350)</f>
        <v>0</v>
      </c>
      <c r="CD350" s="33">
        <f>IF($CK350 = "Dealer", SUMIFS('Data For Calculation - Insuranc'!I:I,'Data For Calculation - Insuranc'!$B:$B,$A350,'Data For Calculation - Insuranc'!$H:$H,"Master Dealer")) + SUMIFS('Data For Calculation - Insuranc'!I:I,'Data For Calculation - Insuranc'!$A:$A,$A350,'Data For Calculation - Insuranc'!$H:$H,"Self")</f>
        <v>0</v>
      </c>
      <c r="CE350" s="33">
        <f>IF($CK350 = "Dealer", SUMIFS('Data For Calculation - Insuranc'!J:J,'Data For Calculation - Insuranc'!$B:$B,$A350,'Data For Calculation - Insuranc'!$H:$H,"Master Dealer")) + SUMIFS('Data For Calculation - Insuranc'!J:J,'Data For Calculation - Insuranc'!$A:$A,$A350,'Data For Calculation - Insuranc'!$H:$H,"Self")</f>
        <v>0</v>
      </c>
      <c r="CF350" s="33">
        <f>IF($CK350 = "Dealer", SUMIFS('Data For Calculation - Insuranc'!K:K,'Data For Calculation - Insuranc'!$B:$B,$A350,'Data For Calculation - Insuranc'!$H:$H,"Master Dealer")) + SUMIFS('Data For Calculation - Insuranc'!K:K,'Data For Calculation - Insuranc'!$A:$A,$A350,'Data For Calculation - Insuranc'!$H:$H,"Self")</f>
        <v>0</v>
      </c>
      <c r="CG350" s="25" t="str">
        <f>(Sheet1!N350)</f>
        <v>KHURANA MOTORS- DEWAS</v>
      </c>
      <c r="CH350" s="25" t="str">
        <f>(Sheet1!O350)</f>
        <v>15UOdwT--s7Zl9Su2K5mgFsbjsO9NxCbTdpJ5AlQkVMM</v>
      </c>
      <c r="CI350" s="25" t="str">
        <f>(Sheet1!AV350)</f>
        <v/>
      </c>
      <c r="CJ350" s="25" t="str">
        <f>(Sheet1!AW350)</f>
        <v/>
      </c>
      <c r="CK350" s="26" t="str">
        <f>(Sheet1!P350)</f>
        <v>Dealer</v>
      </c>
    </row>
    <row r="351">
      <c r="A351" s="25" t="str">
        <f>(Sheet1!A351)</f>
        <v>19TIXHN68VS31AYbvTLVgoT7ur3ACdybUa6Tgr2NssIw</v>
      </c>
      <c r="B351" s="25" t="str">
        <f>(Sheet1!B351)</f>
        <v>KISHAN AUTOMOBILE- (MA)</v>
      </c>
      <c r="C351" s="30" t="str">
        <f>Sheet1!BB351</f>
        <v>No</v>
      </c>
      <c r="D351" s="30" t="s">
        <v>13</v>
      </c>
      <c r="E351" s="34" t="s">
        <v>13</v>
      </c>
      <c r="F351" s="34" t="s">
        <v>3929</v>
      </c>
      <c r="G351" s="34" t="s">
        <v>3817</v>
      </c>
      <c r="H351" s="31">
        <v>290.0</v>
      </c>
      <c r="I351" s="34" t="s">
        <v>3853</v>
      </c>
      <c r="J351" s="34">
        <v>0.0</v>
      </c>
      <c r="K351" s="34">
        <v>100.0</v>
      </c>
      <c r="L351" s="34">
        <v>0.0</v>
      </c>
      <c r="M351" s="34">
        <v>0.0</v>
      </c>
      <c r="N351" s="33">
        <f>COUNTIFS('Data For Calculation - Insuranc'!A:A,A351,'Data For Calculation - Insuranc'!D:D,"Individual",'Data For Calculation - Insuranc'!E:E,"Bundled - 1 Year OD + 5 Year TP")</f>
        <v>0</v>
      </c>
      <c r="O351" s="34" t="s">
        <v>3930</v>
      </c>
      <c r="P351" s="34" t="s">
        <v>3817</v>
      </c>
      <c r="Q351" s="31">
        <v>290.0</v>
      </c>
      <c r="R351" s="34" t="s">
        <v>3853</v>
      </c>
      <c r="S351" s="34">
        <v>0.0</v>
      </c>
      <c r="T351" s="34">
        <v>100.0</v>
      </c>
      <c r="U351" s="34">
        <v>0.0</v>
      </c>
      <c r="V351" s="34">
        <v>0.0</v>
      </c>
      <c r="W351" s="33">
        <f>COUNTIFS('Data For Calculation - Insuranc'!A:A,A351,'Data For Calculation - Insuranc'!D:D,"Company",'Data For Calculation - Insuranc'!E:E,"Bundled - 1 Year OD + 5 Year TP")</f>
        <v>0</v>
      </c>
      <c r="X351" s="34" t="s">
        <v>3929</v>
      </c>
      <c r="Y351" s="34" t="s">
        <v>3817</v>
      </c>
      <c r="Z351" s="31">
        <v>290.0</v>
      </c>
      <c r="AA351" s="34" t="s">
        <v>3853</v>
      </c>
      <c r="AB351" s="34">
        <v>0.0</v>
      </c>
      <c r="AC351" s="34">
        <v>100.0</v>
      </c>
      <c r="AD351" s="34">
        <v>0.0</v>
      </c>
      <c r="AE351" s="34">
        <v>0.0</v>
      </c>
      <c r="AF351" s="33">
        <f>COUNTIFS('Data For Calculation - Insuranc'!A:A,A351,'Data For Calculation - Insuranc'!D:D,"Individual",'Data For Calculation - Insuranc'!E:E,"Rollover Comprehensive - 1 Year OD + 1 Year TP")</f>
        <v>0</v>
      </c>
      <c r="AG351" s="34" t="s">
        <v>3930</v>
      </c>
      <c r="AH351" s="34" t="s">
        <v>3817</v>
      </c>
      <c r="AI351" s="31">
        <v>290.0</v>
      </c>
      <c r="AJ351" s="34" t="s">
        <v>3853</v>
      </c>
      <c r="AK351" s="34">
        <v>0.0</v>
      </c>
      <c r="AL351" s="34">
        <v>100.0</v>
      </c>
      <c r="AM351" s="34">
        <v>0.0</v>
      </c>
      <c r="AN351" s="34">
        <v>0.0</v>
      </c>
      <c r="AO351" s="33">
        <f>COUNTIFS('Data For Calculation - Insuranc'!A:A,A351,'Data For Calculation - Insuranc'!D:D,"Company",'Data For Calculation - Insuranc'!E:E,"Rollover Comprehensive - 1 Year OD + 1 Year TP")</f>
        <v>0</v>
      </c>
      <c r="AP351" s="34" t="s">
        <v>3931</v>
      </c>
      <c r="AQ351" s="34" t="s">
        <v>3817</v>
      </c>
      <c r="AR351" s="31">
        <v>290.0</v>
      </c>
      <c r="AS351" s="34" t="s">
        <v>3853</v>
      </c>
      <c r="AT351" s="34">
        <v>0.0</v>
      </c>
      <c r="AU351" s="34">
        <v>100.0</v>
      </c>
      <c r="AV351" s="34">
        <v>0.0</v>
      </c>
      <c r="AW351" s="34">
        <v>0.0</v>
      </c>
      <c r="AX351" s="33">
        <f>COUNTIFS('Data For Calculation - Insuranc'!A:A,A351,'Data For Calculation - Insuranc'!D:D,"Individual",'Data For Calculation - Insuranc'!E:E,"Rollover - 1 Year OD Only")</f>
        <v>0</v>
      </c>
      <c r="AY351" s="34" t="s">
        <v>3932</v>
      </c>
      <c r="AZ351" s="34" t="s">
        <v>3817</v>
      </c>
      <c r="BA351" s="31">
        <v>290.0</v>
      </c>
      <c r="BB351" s="34" t="s">
        <v>3853</v>
      </c>
      <c r="BC351" s="34">
        <v>0.0</v>
      </c>
      <c r="BD351" s="34">
        <v>100.0</v>
      </c>
      <c r="BE351" s="34">
        <v>0.0</v>
      </c>
      <c r="BF351" s="34">
        <v>0.0</v>
      </c>
      <c r="BG351" s="33">
        <f>COUNTIFS('Data For Calculation - Insuranc'!A:A,A351,'Data For Calculation - Insuranc'!D:D,"Company",'Data For Calculation - Insuranc'!E:E,"Rollover - 1 Year OD Only")</f>
        <v>0</v>
      </c>
      <c r="BH351" s="34" t="s">
        <v>3931</v>
      </c>
      <c r="BI351" s="34" t="s">
        <v>3817</v>
      </c>
      <c r="BJ351" s="31">
        <v>290.0</v>
      </c>
      <c r="BK351" s="34" t="s">
        <v>3853</v>
      </c>
      <c r="BL351" s="34">
        <v>0.0</v>
      </c>
      <c r="BM351" s="34">
        <v>100.0</v>
      </c>
      <c r="BN351" s="34">
        <v>0.0</v>
      </c>
      <c r="BO351" s="34">
        <v>0.0</v>
      </c>
      <c r="BP351" s="33">
        <f>COUNTIFS('Data For Calculation - Insuranc'!A:A,A351,'Data For Calculation - Insuranc'!D:D,"Individual",'Data For Calculation - Insuranc'!E:E,"Rollover - 1 Year TP Only")</f>
        <v>0</v>
      </c>
      <c r="BQ351" s="34" t="s">
        <v>3932</v>
      </c>
      <c r="BR351" s="34" t="s">
        <v>3817</v>
      </c>
      <c r="BS351" s="31">
        <v>290.0</v>
      </c>
      <c r="BT351" s="34" t="s">
        <v>3853</v>
      </c>
      <c r="BU351" s="34">
        <v>0.0</v>
      </c>
      <c r="BV351" s="34">
        <v>100.0</v>
      </c>
      <c r="BW351" s="34">
        <v>0.0</v>
      </c>
      <c r="BX351" s="34">
        <v>0.0</v>
      </c>
      <c r="BY351" s="33">
        <f>COUNTIFS('Data For Calculation - Insuranc'!A:A,A351,'Data For Calculation - Insuranc'!D:D,"Company",'Data For Calculation - Insuranc'!E:E,"Rollover - 1 Year TP Only")</f>
        <v>0</v>
      </c>
      <c r="BZ351" s="31">
        <f t="shared" si="1"/>
        <v>0</v>
      </c>
      <c r="CA351" s="33">
        <f>SUMIFS('Data For Calculation - Insuranc'!I:I,'Data For Calculation - Insuranc'!$A:$A,$A351)</f>
        <v>0</v>
      </c>
      <c r="CB351" s="33">
        <f>SUMIFS('Data For Calculation - Insuranc'!J:J,'Data For Calculation - Insuranc'!$A:$A,$A351)</f>
        <v>0</v>
      </c>
      <c r="CC351" s="33">
        <f>SUMIFS('Data For Calculation - Insuranc'!K:K,'Data For Calculation - Insuranc'!$A:$A,$A351)</f>
        <v>0</v>
      </c>
      <c r="CD351" s="33">
        <f>IF($CK351 = "Dealer", SUMIFS('Data For Calculation - Insuranc'!I:I,'Data For Calculation - Insuranc'!$B:$B,$A351,'Data For Calculation - Insuranc'!$H:$H,"Master Dealer")) + SUMIFS('Data For Calculation - Insuranc'!I:I,'Data For Calculation - Insuranc'!$A:$A,$A351,'Data For Calculation - Insuranc'!$H:$H,"Self")</f>
        <v>0</v>
      </c>
      <c r="CE351" s="33">
        <f>IF($CK351 = "Dealer", SUMIFS('Data For Calculation - Insuranc'!J:J,'Data For Calculation - Insuranc'!$B:$B,$A351,'Data For Calculation - Insuranc'!$H:$H,"Master Dealer")) + SUMIFS('Data For Calculation - Insuranc'!J:J,'Data For Calculation - Insuranc'!$A:$A,$A351,'Data For Calculation - Insuranc'!$H:$H,"Self")</f>
        <v>0</v>
      </c>
      <c r="CF351" s="33">
        <f>IF($CK351 = "Dealer", SUMIFS('Data For Calculation - Insuranc'!K:K,'Data For Calculation - Insuranc'!$B:$B,$A351,'Data For Calculation - Insuranc'!$H:$H,"Master Dealer")) + SUMIFS('Data For Calculation - Insuranc'!K:K,'Data For Calculation - Insuranc'!$A:$A,$A351,'Data For Calculation - Insuranc'!$H:$H,"Self")</f>
        <v>0</v>
      </c>
      <c r="CG351" s="25" t="str">
        <f>(Sheet1!N351)</f>
        <v>Mahabir Automobiles -Sultanpur</v>
      </c>
      <c r="CH351" s="25" t="str">
        <f>(Sheet1!O351)</f>
        <v>1fHCHQnIWmfXqP4jwi-agXjfK1q2zM0BUeG3fwB0qApc</v>
      </c>
      <c r="CI351" s="25" t="str">
        <f>(Sheet1!AV351)</f>
        <v/>
      </c>
      <c r="CJ351" s="25" t="str">
        <f>(Sheet1!AW351)</f>
        <v/>
      </c>
      <c r="CK351" s="26" t="str">
        <f>(Sheet1!P351)</f>
        <v>Sub Dealer</v>
      </c>
    </row>
    <row r="352">
      <c r="A352" s="25" t="str">
        <f>(Sheet1!A352)</f>
        <v>1pgLMvBNo6E9kbkAnv0QBIhYBBR1IrW1G6mYv4sWfOmc</v>
      </c>
      <c r="B352" s="25" t="str">
        <f>(Sheet1!B352)</f>
        <v>KISANSKB-(MA)</v>
      </c>
      <c r="C352" s="30" t="str">
        <f>Sheet1!BB352</f>
        <v>No</v>
      </c>
      <c r="D352" s="30" t="s">
        <v>13</v>
      </c>
      <c r="E352" s="34" t="s">
        <v>13</v>
      </c>
      <c r="F352" s="34" t="s">
        <v>3929</v>
      </c>
      <c r="G352" s="34" t="s">
        <v>3817</v>
      </c>
      <c r="H352" s="31">
        <v>290.0</v>
      </c>
      <c r="I352" s="34" t="s">
        <v>3853</v>
      </c>
      <c r="J352" s="34">
        <v>0.0</v>
      </c>
      <c r="K352" s="34">
        <v>100.0</v>
      </c>
      <c r="L352" s="34">
        <v>0.0</v>
      </c>
      <c r="M352" s="34">
        <v>0.0</v>
      </c>
      <c r="N352" s="33">
        <f>COUNTIFS('Data For Calculation - Insuranc'!A:A,A352,'Data For Calculation - Insuranc'!D:D,"Individual",'Data For Calculation - Insuranc'!E:E,"Bundled - 1 Year OD + 5 Year TP")</f>
        <v>0</v>
      </c>
      <c r="O352" s="34" t="s">
        <v>3930</v>
      </c>
      <c r="P352" s="34" t="s">
        <v>3817</v>
      </c>
      <c r="Q352" s="31">
        <v>290.0</v>
      </c>
      <c r="R352" s="34" t="s">
        <v>3853</v>
      </c>
      <c r="S352" s="34">
        <v>0.0</v>
      </c>
      <c r="T352" s="34">
        <v>100.0</v>
      </c>
      <c r="U352" s="34">
        <v>0.0</v>
      </c>
      <c r="V352" s="34">
        <v>0.0</v>
      </c>
      <c r="W352" s="33">
        <f>COUNTIFS('Data For Calculation - Insuranc'!A:A,A352,'Data For Calculation - Insuranc'!D:D,"Company",'Data For Calculation - Insuranc'!E:E,"Bundled - 1 Year OD + 5 Year TP")</f>
        <v>0</v>
      </c>
      <c r="X352" s="34" t="s">
        <v>3929</v>
      </c>
      <c r="Y352" s="34" t="s">
        <v>3817</v>
      </c>
      <c r="Z352" s="31">
        <v>290.0</v>
      </c>
      <c r="AA352" s="34" t="s">
        <v>3853</v>
      </c>
      <c r="AB352" s="34">
        <v>0.0</v>
      </c>
      <c r="AC352" s="34">
        <v>100.0</v>
      </c>
      <c r="AD352" s="34">
        <v>0.0</v>
      </c>
      <c r="AE352" s="34">
        <v>0.0</v>
      </c>
      <c r="AF352" s="33">
        <f>COUNTIFS('Data For Calculation - Insuranc'!A:A,A352,'Data For Calculation - Insuranc'!D:D,"Individual",'Data For Calculation - Insuranc'!E:E,"Rollover Comprehensive - 1 Year OD + 1 Year TP")</f>
        <v>0</v>
      </c>
      <c r="AG352" s="34" t="s">
        <v>3930</v>
      </c>
      <c r="AH352" s="34" t="s">
        <v>3817</v>
      </c>
      <c r="AI352" s="31">
        <v>290.0</v>
      </c>
      <c r="AJ352" s="34" t="s">
        <v>3853</v>
      </c>
      <c r="AK352" s="34">
        <v>0.0</v>
      </c>
      <c r="AL352" s="34">
        <v>100.0</v>
      </c>
      <c r="AM352" s="34">
        <v>0.0</v>
      </c>
      <c r="AN352" s="34">
        <v>0.0</v>
      </c>
      <c r="AO352" s="33">
        <f>COUNTIFS('Data For Calculation - Insuranc'!A:A,A352,'Data For Calculation - Insuranc'!D:D,"Company",'Data For Calculation - Insuranc'!E:E,"Rollover Comprehensive - 1 Year OD + 1 Year TP")</f>
        <v>0</v>
      </c>
      <c r="AP352" s="34" t="s">
        <v>3931</v>
      </c>
      <c r="AQ352" s="34" t="s">
        <v>3817</v>
      </c>
      <c r="AR352" s="31">
        <v>290.0</v>
      </c>
      <c r="AS352" s="34" t="s">
        <v>3853</v>
      </c>
      <c r="AT352" s="34">
        <v>0.0</v>
      </c>
      <c r="AU352" s="34">
        <v>100.0</v>
      </c>
      <c r="AV352" s="34">
        <v>0.0</v>
      </c>
      <c r="AW352" s="34">
        <v>0.0</v>
      </c>
      <c r="AX352" s="33">
        <f>COUNTIFS('Data For Calculation - Insuranc'!A:A,A352,'Data For Calculation - Insuranc'!D:D,"Individual",'Data For Calculation - Insuranc'!E:E,"Rollover - 1 Year OD Only")</f>
        <v>0</v>
      </c>
      <c r="AY352" s="34" t="s">
        <v>3932</v>
      </c>
      <c r="AZ352" s="34" t="s">
        <v>3817</v>
      </c>
      <c r="BA352" s="31">
        <v>290.0</v>
      </c>
      <c r="BB352" s="34" t="s">
        <v>3853</v>
      </c>
      <c r="BC352" s="34">
        <v>0.0</v>
      </c>
      <c r="BD352" s="34">
        <v>100.0</v>
      </c>
      <c r="BE352" s="34">
        <v>0.0</v>
      </c>
      <c r="BF352" s="34">
        <v>0.0</v>
      </c>
      <c r="BG352" s="33">
        <f>COUNTIFS('Data For Calculation - Insuranc'!A:A,A352,'Data For Calculation - Insuranc'!D:D,"Company",'Data For Calculation - Insuranc'!E:E,"Rollover - 1 Year OD Only")</f>
        <v>0</v>
      </c>
      <c r="BH352" s="34" t="s">
        <v>3931</v>
      </c>
      <c r="BI352" s="34" t="s">
        <v>3817</v>
      </c>
      <c r="BJ352" s="31">
        <v>290.0</v>
      </c>
      <c r="BK352" s="34" t="s">
        <v>3853</v>
      </c>
      <c r="BL352" s="34">
        <v>0.0</v>
      </c>
      <c r="BM352" s="34">
        <v>100.0</v>
      </c>
      <c r="BN352" s="34">
        <v>0.0</v>
      </c>
      <c r="BO352" s="34">
        <v>0.0</v>
      </c>
      <c r="BP352" s="33">
        <f>COUNTIFS('Data For Calculation - Insuranc'!A:A,A352,'Data For Calculation - Insuranc'!D:D,"Individual",'Data For Calculation - Insuranc'!E:E,"Rollover - 1 Year TP Only")</f>
        <v>0</v>
      </c>
      <c r="BQ352" s="34" t="s">
        <v>3932</v>
      </c>
      <c r="BR352" s="34" t="s">
        <v>3817</v>
      </c>
      <c r="BS352" s="31">
        <v>290.0</v>
      </c>
      <c r="BT352" s="34" t="s">
        <v>3853</v>
      </c>
      <c r="BU352" s="34">
        <v>0.0</v>
      </c>
      <c r="BV352" s="34">
        <v>100.0</v>
      </c>
      <c r="BW352" s="34">
        <v>0.0</v>
      </c>
      <c r="BX352" s="34">
        <v>0.0</v>
      </c>
      <c r="BY352" s="33">
        <f>COUNTIFS('Data For Calculation - Insuranc'!A:A,A352,'Data For Calculation - Insuranc'!D:D,"Company",'Data For Calculation - Insuranc'!E:E,"Rollover - 1 Year TP Only")</f>
        <v>0</v>
      </c>
      <c r="BZ352" s="31">
        <f t="shared" si="1"/>
        <v>0</v>
      </c>
      <c r="CA352" s="33">
        <f>SUMIFS('Data For Calculation - Insuranc'!I:I,'Data For Calculation - Insuranc'!$A:$A,$A352)</f>
        <v>0</v>
      </c>
      <c r="CB352" s="33">
        <f>SUMIFS('Data For Calculation - Insuranc'!J:J,'Data For Calculation - Insuranc'!$A:$A,$A352)</f>
        <v>0</v>
      </c>
      <c r="CC352" s="33">
        <f>SUMIFS('Data For Calculation - Insuranc'!K:K,'Data For Calculation - Insuranc'!$A:$A,$A352)</f>
        <v>0</v>
      </c>
      <c r="CD352" s="33">
        <f>IF($CK352 = "Dealer", SUMIFS('Data For Calculation - Insuranc'!I:I,'Data For Calculation - Insuranc'!$B:$B,$A352,'Data For Calculation - Insuranc'!$H:$H,"Master Dealer")) + SUMIFS('Data For Calculation - Insuranc'!I:I,'Data For Calculation - Insuranc'!$A:$A,$A352,'Data For Calculation - Insuranc'!$H:$H,"Self")</f>
        <v>0</v>
      </c>
      <c r="CE352" s="33">
        <f>IF($CK352 = "Dealer", SUMIFS('Data For Calculation - Insuranc'!J:J,'Data For Calculation - Insuranc'!$B:$B,$A352,'Data For Calculation - Insuranc'!$H:$H,"Master Dealer")) + SUMIFS('Data For Calculation - Insuranc'!J:J,'Data For Calculation - Insuranc'!$A:$A,$A352,'Data For Calculation - Insuranc'!$H:$H,"Self")</f>
        <v>0</v>
      </c>
      <c r="CF352" s="33">
        <f>IF($CK352 = "Dealer", SUMIFS('Data For Calculation - Insuranc'!K:K,'Data For Calculation - Insuranc'!$B:$B,$A352,'Data For Calculation - Insuranc'!$H:$H,"Master Dealer")) + SUMIFS('Data For Calculation - Insuranc'!K:K,'Data For Calculation - Insuranc'!$A:$A,$A352,'Data For Calculation - Insuranc'!$H:$H,"Self")</f>
        <v>0</v>
      </c>
      <c r="CG352" s="25" t="str">
        <f>(Sheet1!N352)</f>
        <v>Mahabir Automobiles -Sultanpur</v>
      </c>
      <c r="CH352" s="25" t="str">
        <f>(Sheet1!O352)</f>
        <v>1fHCHQnIWmfXqP4jwi-agXjfK1q2zM0BUeG3fwB0qApc</v>
      </c>
      <c r="CI352" s="25" t="str">
        <f>(Sheet1!AV352)</f>
        <v/>
      </c>
      <c r="CJ352" s="25" t="str">
        <f>(Sheet1!AW352)</f>
        <v/>
      </c>
      <c r="CK352" s="26" t="str">
        <f>(Sheet1!P352)</f>
        <v>Sub Dealer</v>
      </c>
    </row>
    <row r="353">
      <c r="A353" s="25" t="str">
        <f>(Sheet1!A353)</f>
        <v>1_wqbP8y90HVN-akJ64Qqd1i2hjJPFweXimmLRe7vvbg</v>
      </c>
      <c r="B353" s="25" t="str">
        <f>(Sheet1!B353)</f>
        <v>Kanha automobiles-Baldirai(MA)</v>
      </c>
      <c r="C353" s="30" t="str">
        <f>Sheet1!BB353</f>
        <v>No</v>
      </c>
      <c r="D353" s="30" t="s">
        <v>13</v>
      </c>
      <c r="E353" s="34" t="s">
        <v>13</v>
      </c>
      <c r="F353" s="34" t="s">
        <v>3929</v>
      </c>
      <c r="G353" s="34" t="s">
        <v>3817</v>
      </c>
      <c r="H353" s="31">
        <v>290.0</v>
      </c>
      <c r="I353" s="34" t="s">
        <v>3853</v>
      </c>
      <c r="J353" s="34">
        <v>0.0</v>
      </c>
      <c r="K353" s="34">
        <v>100.0</v>
      </c>
      <c r="L353" s="34">
        <v>0.0</v>
      </c>
      <c r="M353" s="34">
        <v>0.0</v>
      </c>
      <c r="N353" s="33">
        <f>COUNTIFS('Data For Calculation - Insuranc'!A:A,A353,'Data For Calculation - Insuranc'!D:D,"Individual",'Data For Calculation - Insuranc'!E:E,"Bundled - 1 Year OD + 5 Year TP")</f>
        <v>0</v>
      </c>
      <c r="O353" s="34" t="s">
        <v>3930</v>
      </c>
      <c r="P353" s="34" t="s">
        <v>3817</v>
      </c>
      <c r="Q353" s="31">
        <v>290.0</v>
      </c>
      <c r="R353" s="34" t="s">
        <v>3853</v>
      </c>
      <c r="S353" s="34">
        <v>0.0</v>
      </c>
      <c r="T353" s="34">
        <v>100.0</v>
      </c>
      <c r="U353" s="34">
        <v>0.0</v>
      </c>
      <c r="V353" s="34">
        <v>0.0</v>
      </c>
      <c r="W353" s="33">
        <f>COUNTIFS('Data For Calculation - Insuranc'!A:A,A353,'Data For Calculation - Insuranc'!D:D,"Company",'Data For Calculation - Insuranc'!E:E,"Bundled - 1 Year OD + 5 Year TP")</f>
        <v>0</v>
      </c>
      <c r="X353" s="34" t="s">
        <v>3929</v>
      </c>
      <c r="Y353" s="34" t="s">
        <v>3817</v>
      </c>
      <c r="Z353" s="31">
        <v>290.0</v>
      </c>
      <c r="AA353" s="34" t="s">
        <v>3853</v>
      </c>
      <c r="AB353" s="34">
        <v>0.0</v>
      </c>
      <c r="AC353" s="34">
        <v>100.0</v>
      </c>
      <c r="AD353" s="34">
        <v>0.0</v>
      </c>
      <c r="AE353" s="34">
        <v>0.0</v>
      </c>
      <c r="AF353" s="33">
        <f>COUNTIFS('Data For Calculation - Insuranc'!A:A,A353,'Data For Calculation - Insuranc'!D:D,"Individual",'Data For Calculation - Insuranc'!E:E,"Rollover Comprehensive - 1 Year OD + 1 Year TP")</f>
        <v>0</v>
      </c>
      <c r="AG353" s="34" t="s">
        <v>3930</v>
      </c>
      <c r="AH353" s="34" t="s">
        <v>3817</v>
      </c>
      <c r="AI353" s="31">
        <v>290.0</v>
      </c>
      <c r="AJ353" s="34" t="s">
        <v>3853</v>
      </c>
      <c r="AK353" s="34">
        <v>0.0</v>
      </c>
      <c r="AL353" s="34">
        <v>100.0</v>
      </c>
      <c r="AM353" s="34">
        <v>0.0</v>
      </c>
      <c r="AN353" s="34">
        <v>0.0</v>
      </c>
      <c r="AO353" s="33">
        <f>COUNTIFS('Data For Calculation - Insuranc'!A:A,A353,'Data For Calculation - Insuranc'!D:D,"Company",'Data For Calculation - Insuranc'!E:E,"Rollover Comprehensive - 1 Year OD + 1 Year TP")</f>
        <v>0</v>
      </c>
      <c r="AP353" s="34" t="s">
        <v>3931</v>
      </c>
      <c r="AQ353" s="34" t="s">
        <v>3817</v>
      </c>
      <c r="AR353" s="31">
        <v>290.0</v>
      </c>
      <c r="AS353" s="34" t="s">
        <v>3853</v>
      </c>
      <c r="AT353" s="34">
        <v>0.0</v>
      </c>
      <c r="AU353" s="34">
        <v>100.0</v>
      </c>
      <c r="AV353" s="34">
        <v>0.0</v>
      </c>
      <c r="AW353" s="34">
        <v>0.0</v>
      </c>
      <c r="AX353" s="33">
        <f>COUNTIFS('Data For Calculation - Insuranc'!A:A,A353,'Data For Calculation - Insuranc'!D:D,"Individual",'Data For Calculation - Insuranc'!E:E,"Rollover - 1 Year OD Only")</f>
        <v>0</v>
      </c>
      <c r="AY353" s="34" t="s">
        <v>3932</v>
      </c>
      <c r="AZ353" s="34" t="s">
        <v>3817</v>
      </c>
      <c r="BA353" s="31">
        <v>290.0</v>
      </c>
      <c r="BB353" s="34" t="s">
        <v>3853</v>
      </c>
      <c r="BC353" s="34">
        <v>0.0</v>
      </c>
      <c r="BD353" s="34">
        <v>100.0</v>
      </c>
      <c r="BE353" s="34">
        <v>0.0</v>
      </c>
      <c r="BF353" s="34">
        <v>0.0</v>
      </c>
      <c r="BG353" s="33">
        <f>COUNTIFS('Data For Calculation - Insuranc'!A:A,A353,'Data For Calculation - Insuranc'!D:D,"Company",'Data For Calculation - Insuranc'!E:E,"Rollover - 1 Year OD Only")</f>
        <v>0</v>
      </c>
      <c r="BH353" s="34" t="s">
        <v>3931</v>
      </c>
      <c r="BI353" s="34" t="s">
        <v>3817</v>
      </c>
      <c r="BJ353" s="31">
        <v>290.0</v>
      </c>
      <c r="BK353" s="34" t="s">
        <v>3853</v>
      </c>
      <c r="BL353" s="34">
        <v>0.0</v>
      </c>
      <c r="BM353" s="34">
        <v>100.0</v>
      </c>
      <c r="BN353" s="34">
        <v>0.0</v>
      </c>
      <c r="BO353" s="34">
        <v>0.0</v>
      </c>
      <c r="BP353" s="33">
        <f>COUNTIFS('Data For Calculation - Insuranc'!A:A,A353,'Data For Calculation - Insuranc'!D:D,"Individual",'Data For Calculation - Insuranc'!E:E,"Rollover - 1 Year TP Only")</f>
        <v>0</v>
      </c>
      <c r="BQ353" s="34" t="s">
        <v>3932</v>
      </c>
      <c r="BR353" s="34" t="s">
        <v>3817</v>
      </c>
      <c r="BS353" s="31">
        <v>290.0</v>
      </c>
      <c r="BT353" s="34" t="s">
        <v>3853</v>
      </c>
      <c r="BU353" s="34">
        <v>0.0</v>
      </c>
      <c r="BV353" s="34">
        <v>100.0</v>
      </c>
      <c r="BW353" s="34">
        <v>0.0</v>
      </c>
      <c r="BX353" s="34">
        <v>0.0</v>
      </c>
      <c r="BY353" s="33">
        <f>COUNTIFS('Data For Calculation - Insuranc'!A:A,A353,'Data For Calculation - Insuranc'!D:D,"Company",'Data For Calculation - Insuranc'!E:E,"Rollover - 1 Year TP Only")</f>
        <v>0</v>
      </c>
      <c r="BZ353" s="31">
        <f t="shared" si="1"/>
        <v>0</v>
      </c>
      <c r="CA353" s="33">
        <f>SUMIFS('Data For Calculation - Insuranc'!I:I,'Data For Calculation - Insuranc'!$A:$A,$A353)</f>
        <v>0</v>
      </c>
      <c r="CB353" s="33">
        <f>SUMIFS('Data For Calculation - Insuranc'!J:J,'Data For Calculation - Insuranc'!$A:$A,$A353)</f>
        <v>0</v>
      </c>
      <c r="CC353" s="33">
        <f>SUMIFS('Data For Calculation - Insuranc'!K:K,'Data For Calculation - Insuranc'!$A:$A,$A353)</f>
        <v>0</v>
      </c>
      <c r="CD353" s="33">
        <f>IF($CK353 = "Dealer", SUMIFS('Data For Calculation - Insuranc'!I:I,'Data For Calculation - Insuranc'!$B:$B,$A353,'Data For Calculation - Insuranc'!$H:$H,"Master Dealer")) + SUMIFS('Data For Calculation - Insuranc'!I:I,'Data For Calculation - Insuranc'!$A:$A,$A353,'Data For Calculation - Insuranc'!$H:$H,"Self")</f>
        <v>0</v>
      </c>
      <c r="CE353" s="33">
        <f>IF($CK353 = "Dealer", SUMIFS('Data For Calculation - Insuranc'!J:J,'Data For Calculation - Insuranc'!$B:$B,$A353,'Data For Calculation - Insuranc'!$H:$H,"Master Dealer")) + SUMIFS('Data For Calculation - Insuranc'!J:J,'Data For Calculation - Insuranc'!$A:$A,$A353,'Data For Calculation - Insuranc'!$H:$H,"Self")</f>
        <v>0</v>
      </c>
      <c r="CF353" s="33">
        <f>IF($CK353 = "Dealer", SUMIFS('Data For Calculation - Insuranc'!K:K,'Data For Calculation - Insuranc'!$B:$B,$A353,'Data For Calculation - Insuranc'!$H:$H,"Master Dealer")) + SUMIFS('Data For Calculation - Insuranc'!K:K,'Data For Calculation - Insuranc'!$A:$A,$A353,'Data For Calculation - Insuranc'!$H:$H,"Self")</f>
        <v>0</v>
      </c>
      <c r="CG353" s="25" t="str">
        <f>(Sheet1!N353)</f>
        <v>Mahabir Automobiles -Sultanpur</v>
      </c>
      <c r="CH353" s="25" t="str">
        <f>(Sheet1!O353)</f>
        <v>1fHCHQnIWmfXqP4jwi-agXjfK1q2zM0BUeG3fwB0qApc</v>
      </c>
      <c r="CI353" s="25" t="str">
        <f>(Sheet1!AV353)</f>
        <v/>
      </c>
      <c r="CJ353" s="25" t="str">
        <f>(Sheet1!AW353)</f>
        <v/>
      </c>
      <c r="CK353" s="26" t="str">
        <f>(Sheet1!P353)</f>
        <v>Sub Dealer</v>
      </c>
    </row>
    <row r="354">
      <c r="A354" s="25" t="str">
        <f>(Sheet1!A354)</f>
        <v>19NDu3EYtq9wEdW_s5MHQnnQjuWO6F7LAEyvadXaaoHg</v>
      </c>
      <c r="B354" s="25" t="str">
        <f>(Sheet1!B354)</f>
        <v>Sharan automobiles-Wallipur(MA)</v>
      </c>
      <c r="C354" s="30" t="str">
        <f>Sheet1!BB354</f>
        <v>No</v>
      </c>
      <c r="D354" s="30" t="s">
        <v>13</v>
      </c>
      <c r="E354" s="34" t="s">
        <v>13</v>
      </c>
      <c r="F354" s="34" t="s">
        <v>3929</v>
      </c>
      <c r="G354" s="34" t="s">
        <v>3817</v>
      </c>
      <c r="H354" s="31">
        <v>290.0</v>
      </c>
      <c r="I354" s="34" t="s">
        <v>3853</v>
      </c>
      <c r="J354" s="34">
        <v>0.0</v>
      </c>
      <c r="K354" s="34">
        <v>100.0</v>
      </c>
      <c r="L354" s="34">
        <v>0.0</v>
      </c>
      <c r="M354" s="34">
        <v>0.0</v>
      </c>
      <c r="N354" s="33">
        <f>COUNTIFS('Data For Calculation - Insuranc'!A:A,A354,'Data For Calculation - Insuranc'!D:D,"Individual",'Data For Calculation - Insuranc'!E:E,"Bundled - 1 Year OD + 5 Year TP")</f>
        <v>0</v>
      </c>
      <c r="O354" s="34" t="s">
        <v>3930</v>
      </c>
      <c r="P354" s="34" t="s">
        <v>3817</v>
      </c>
      <c r="Q354" s="31">
        <v>290.0</v>
      </c>
      <c r="R354" s="34" t="s">
        <v>3853</v>
      </c>
      <c r="S354" s="34">
        <v>0.0</v>
      </c>
      <c r="T354" s="34">
        <v>100.0</v>
      </c>
      <c r="U354" s="34">
        <v>0.0</v>
      </c>
      <c r="V354" s="34">
        <v>0.0</v>
      </c>
      <c r="W354" s="33">
        <f>COUNTIFS('Data For Calculation - Insuranc'!A:A,A354,'Data For Calculation - Insuranc'!D:D,"Company",'Data For Calculation - Insuranc'!E:E,"Bundled - 1 Year OD + 5 Year TP")</f>
        <v>0</v>
      </c>
      <c r="X354" s="34" t="s">
        <v>3929</v>
      </c>
      <c r="Y354" s="34" t="s">
        <v>3817</v>
      </c>
      <c r="Z354" s="31">
        <v>290.0</v>
      </c>
      <c r="AA354" s="34" t="s">
        <v>3853</v>
      </c>
      <c r="AB354" s="34">
        <v>0.0</v>
      </c>
      <c r="AC354" s="34">
        <v>100.0</v>
      </c>
      <c r="AD354" s="34">
        <v>0.0</v>
      </c>
      <c r="AE354" s="34">
        <v>0.0</v>
      </c>
      <c r="AF354" s="33">
        <f>COUNTIFS('Data For Calculation - Insuranc'!A:A,A354,'Data For Calculation - Insuranc'!D:D,"Individual",'Data For Calculation - Insuranc'!E:E,"Rollover Comprehensive - 1 Year OD + 1 Year TP")</f>
        <v>0</v>
      </c>
      <c r="AG354" s="34" t="s">
        <v>3930</v>
      </c>
      <c r="AH354" s="34" t="s">
        <v>3817</v>
      </c>
      <c r="AI354" s="31">
        <v>290.0</v>
      </c>
      <c r="AJ354" s="34" t="s">
        <v>3853</v>
      </c>
      <c r="AK354" s="34">
        <v>0.0</v>
      </c>
      <c r="AL354" s="34">
        <v>100.0</v>
      </c>
      <c r="AM354" s="34">
        <v>0.0</v>
      </c>
      <c r="AN354" s="34">
        <v>0.0</v>
      </c>
      <c r="AO354" s="33">
        <f>COUNTIFS('Data For Calculation - Insuranc'!A:A,A354,'Data For Calculation - Insuranc'!D:D,"Company",'Data For Calculation - Insuranc'!E:E,"Rollover Comprehensive - 1 Year OD + 1 Year TP")</f>
        <v>0</v>
      </c>
      <c r="AP354" s="34" t="s">
        <v>3931</v>
      </c>
      <c r="AQ354" s="34" t="s">
        <v>3817</v>
      </c>
      <c r="AR354" s="31">
        <v>290.0</v>
      </c>
      <c r="AS354" s="34" t="s">
        <v>3853</v>
      </c>
      <c r="AT354" s="34">
        <v>0.0</v>
      </c>
      <c r="AU354" s="34">
        <v>100.0</v>
      </c>
      <c r="AV354" s="34">
        <v>0.0</v>
      </c>
      <c r="AW354" s="34">
        <v>0.0</v>
      </c>
      <c r="AX354" s="33">
        <f>COUNTIFS('Data For Calculation - Insuranc'!A:A,A354,'Data For Calculation - Insuranc'!D:D,"Individual",'Data For Calculation - Insuranc'!E:E,"Rollover - 1 Year OD Only")</f>
        <v>0</v>
      </c>
      <c r="AY354" s="34" t="s">
        <v>3932</v>
      </c>
      <c r="AZ354" s="34" t="s">
        <v>3817</v>
      </c>
      <c r="BA354" s="31">
        <v>290.0</v>
      </c>
      <c r="BB354" s="34" t="s">
        <v>3853</v>
      </c>
      <c r="BC354" s="34">
        <v>0.0</v>
      </c>
      <c r="BD354" s="34">
        <v>100.0</v>
      </c>
      <c r="BE354" s="34">
        <v>0.0</v>
      </c>
      <c r="BF354" s="34">
        <v>0.0</v>
      </c>
      <c r="BG354" s="33">
        <f>COUNTIFS('Data For Calculation - Insuranc'!A:A,A354,'Data For Calculation - Insuranc'!D:D,"Company",'Data For Calculation - Insuranc'!E:E,"Rollover - 1 Year OD Only")</f>
        <v>0</v>
      </c>
      <c r="BH354" s="34" t="s">
        <v>3931</v>
      </c>
      <c r="BI354" s="34" t="s">
        <v>3817</v>
      </c>
      <c r="BJ354" s="31">
        <v>290.0</v>
      </c>
      <c r="BK354" s="34" t="s">
        <v>3853</v>
      </c>
      <c r="BL354" s="34">
        <v>0.0</v>
      </c>
      <c r="BM354" s="34">
        <v>100.0</v>
      </c>
      <c r="BN354" s="34">
        <v>0.0</v>
      </c>
      <c r="BO354" s="34">
        <v>0.0</v>
      </c>
      <c r="BP354" s="33">
        <f>COUNTIFS('Data For Calculation - Insuranc'!A:A,A354,'Data For Calculation - Insuranc'!D:D,"Individual",'Data For Calculation - Insuranc'!E:E,"Rollover - 1 Year TP Only")</f>
        <v>0</v>
      </c>
      <c r="BQ354" s="34" t="s">
        <v>3932</v>
      </c>
      <c r="BR354" s="34" t="s">
        <v>3817</v>
      </c>
      <c r="BS354" s="31">
        <v>290.0</v>
      </c>
      <c r="BT354" s="34" t="s">
        <v>3853</v>
      </c>
      <c r="BU354" s="34">
        <v>0.0</v>
      </c>
      <c r="BV354" s="34">
        <v>100.0</v>
      </c>
      <c r="BW354" s="34">
        <v>0.0</v>
      </c>
      <c r="BX354" s="34">
        <v>0.0</v>
      </c>
      <c r="BY354" s="33">
        <f>COUNTIFS('Data For Calculation - Insuranc'!A:A,A354,'Data For Calculation - Insuranc'!D:D,"Company",'Data For Calculation - Insuranc'!E:E,"Rollover - 1 Year TP Only")</f>
        <v>0</v>
      </c>
      <c r="BZ354" s="31">
        <f t="shared" si="1"/>
        <v>0</v>
      </c>
      <c r="CA354" s="33">
        <f>SUMIFS('Data For Calculation - Insuranc'!I:I,'Data For Calculation - Insuranc'!$A:$A,$A354)</f>
        <v>0</v>
      </c>
      <c r="CB354" s="33">
        <f>SUMIFS('Data For Calculation - Insuranc'!J:J,'Data For Calculation - Insuranc'!$A:$A,$A354)</f>
        <v>0</v>
      </c>
      <c r="CC354" s="33">
        <f>SUMIFS('Data For Calculation - Insuranc'!K:K,'Data For Calculation - Insuranc'!$A:$A,$A354)</f>
        <v>0</v>
      </c>
      <c r="CD354" s="33">
        <f>IF($CK354 = "Dealer", SUMIFS('Data For Calculation - Insuranc'!I:I,'Data For Calculation - Insuranc'!$B:$B,$A354,'Data For Calculation - Insuranc'!$H:$H,"Master Dealer")) + SUMIFS('Data For Calculation - Insuranc'!I:I,'Data For Calculation - Insuranc'!$A:$A,$A354,'Data For Calculation - Insuranc'!$H:$H,"Self")</f>
        <v>0</v>
      </c>
      <c r="CE354" s="33">
        <f>IF($CK354 = "Dealer", SUMIFS('Data For Calculation - Insuranc'!J:J,'Data For Calculation - Insuranc'!$B:$B,$A354,'Data For Calculation - Insuranc'!$H:$H,"Master Dealer")) + SUMIFS('Data For Calculation - Insuranc'!J:J,'Data For Calculation - Insuranc'!$A:$A,$A354,'Data For Calculation - Insuranc'!$H:$H,"Self")</f>
        <v>0</v>
      </c>
      <c r="CF354" s="33">
        <f>IF($CK354 = "Dealer", SUMIFS('Data For Calculation - Insuranc'!K:K,'Data For Calculation - Insuranc'!$B:$B,$A354,'Data For Calculation - Insuranc'!$H:$H,"Master Dealer")) + SUMIFS('Data For Calculation - Insuranc'!K:K,'Data For Calculation - Insuranc'!$A:$A,$A354,'Data For Calculation - Insuranc'!$H:$H,"Self")</f>
        <v>0</v>
      </c>
      <c r="CG354" s="25" t="str">
        <f>(Sheet1!N354)</f>
        <v>Mahabir Automobiles -Sultanpur</v>
      </c>
      <c r="CH354" s="25" t="str">
        <f>(Sheet1!O354)</f>
        <v>1fHCHQnIWmfXqP4jwi-agXjfK1q2zM0BUeG3fwB0qApc</v>
      </c>
      <c r="CI354" s="25" t="str">
        <f>(Sheet1!AV354)</f>
        <v/>
      </c>
      <c r="CJ354" s="25" t="str">
        <f>(Sheet1!AW354)</f>
        <v/>
      </c>
      <c r="CK354" s="26" t="str">
        <f>(Sheet1!P354)</f>
        <v>Sub Dealer</v>
      </c>
    </row>
    <row r="355">
      <c r="A355" s="25" t="str">
        <f>(Sheet1!A355)</f>
        <v>1KUr1bjytPw-Vpy-d3SSzwdi3dOB5ZCQ6mJezbdLS4wo</v>
      </c>
      <c r="B355" s="25" t="str">
        <f>(Sheet1!B355)</f>
        <v>Hind Automobiles-Munsiganj(MA)</v>
      </c>
      <c r="C355" s="30" t="str">
        <f>Sheet1!BB355</f>
        <v>No</v>
      </c>
      <c r="D355" s="30" t="s">
        <v>13</v>
      </c>
      <c r="E355" s="34" t="s">
        <v>13</v>
      </c>
      <c r="F355" s="34" t="s">
        <v>3929</v>
      </c>
      <c r="G355" s="34" t="s">
        <v>3817</v>
      </c>
      <c r="H355" s="31">
        <v>290.0</v>
      </c>
      <c r="I355" s="34" t="s">
        <v>3853</v>
      </c>
      <c r="J355" s="34">
        <v>0.0</v>
      </c>
      <c r="K355" s="34">
        <v>100.0</v>
      </c>
      <c r="L355" s="34">
        <v>0.0</v>
      </c>
      <c r="M355" s="34">
        <v>0.0</v>
      </c>
      <c r="N355" s="33">
        <f>COUNTIFS('Data For Calculation - Insuranc'!A:A,A355,'Data For Calculation - Insuranc'!D:D,"Individual",'Data For Calculation - Insuranc'!E:E,"Bundled - 1 Year OD + 5 Year TP")</f>
        <v>0</v>
      </c>
      <c r="O355" s="34" t="s">
        <v>3930</v>
      </c>
      <c r="P355" s="34" t="s">
        <v>3817</v>
      </c>
      <c r="Q355" s="31">
        <v>290.0</v>
      </c>
      <c r="R355" s="34" t="s">
        <v>3853</v>
      </c>
      <c r="S355" s="34">
        <v>0.0</v>
      </c>
      <c r="T355" s="34">
        <v>100.0</v>
      </c>
      <c r="U355" s="34">
        <v>0.0</v>
      </c>
      <c r="V355" s="34">
        <v>0.0</v>
      </c>
      <c r="W355" s="33">
        <f>COUNTIFS('Data For Calculation - Insuranc'!A:A,A355,'Data For Calculation - Insuranc'!D:D,"Company",'Data For Calculation - Insuranc'!E:E,"Bundled - 1 Year OD + 5 Year TP")</f>
        <v>0</v>
      </c>
      <c r="X355" s="34" t="s">
        <v>3929</v>
      </c>
      <c r="Y355" s="34" t="s">
        <v>3817</v>
      </c>
      <c r="Z355" s="31">
        <v>290.0</v>
      </c>
      <c r="AA355" s="34" t="s">
        <v>3853</v>
      </c>
      <c r="AB355" s="34">
        <v>0.0</v>
      </c>
      <c r="AC355" s="34">
        <v>100.0</v>
      </c>
      <c r="AD355" s="34">
        <v>0.0</v>
      </c>
      <c r="AE355" s="34">
        <v>0.0</v>
      </c>
      <c r="AF355" s="33">
        <f>COUNTIFS('Data For Calculation - Insuranc'!A:A,A355,'Data For Calculation - Insuranc'!D:D,"Individual",'Data For Calculation - Insuranc'!E:E,"Rollover Comprehensive - 1 Year OD + 1 Year TP")</f>
        <v>0</v>
      </c>
      <c r="AG355" s="34" t="s">
        <v>3930</v>
      </c>
      <c r="AH355" s="34" t="s">
        <v>3817</v>
      </c>
      <c r="AI355" s="31">
        <v>290.0</v>
      </c>
      <c r="AJ355" s="34" t="s">
        <v>3853</v>
      </c>
      <c r="AK355" s="34">
        <v>0.0</v>
      </c>
      <c r="AL355" s="34">
        <v>100.0</v>
      </c>
      <c r="AM355" s="34">
        <v>0.0</v>
      </c>
      <c r="AN355" s="34">
        <v>0.0</v>
      </c>
      <c r="AO355" s="33">
        <f>COUNTIFS('Data For Calculation - Insuranc'!A:A,A355,'Data For Calculation - Insuranc'!D:D,"Company",'Data For Calculation - Insuranc'!E:E,"Rollover Comprehensive - 1 Year OD + 1 Year TP")</f>
        <v>0</v>
      </c>
      <c r="AP355" s="34" t="s">
        <v>3931</v>
      </c>
      <c r="AQ355" s="34" t="s">
        <v>3817</v>
      </c>
      <c r="AR355" s="31">
        <v>290.0</v>
      </c>
      <c r="AS355" s="34" t="s">
        <v>3853</v>
      </c>
      <c r="AT355" s="34">
        <v>0.0</v>
      </c>
      <c r="AU355" s="34">
        <v>100.0</v>
      </c>
      <c r="AV355" s="34">
        <v>0.0</v>
      </c>
      <c r="AW355" s="34">
        <v>0.0</v>
      </c>
      <c r="AX355" s="33">
        <f>COUNTIFS('Data For Calculation - Insuranc'!A:A,A355,'Data For Calculation - Insuranc'!D:D,"Individual",'Data For Calculation - Insuranc'!E:E,"Rollover - 1 Year OD Only")</f>
        <v>0</v>
      </c>
      <c r="AY355" s="34" t="s">
        <v>3932</v>
      </c>
      <c r="AZ355" s="34" t="s">
        <v>3817</v>
      </c>
      <c r="BA355" s="31">
        <v>290.0</v>
      </c>
      <c r="BB355" s="34" t="s">
        <v>3853</v>
      </c>
      <c r="BC355" s="34">
        <v>0.0</v>
      </c>
      <c r="BD355" s="34">
        <v>100.0</v>
      </c>
      <c r="BE355" s="34">
        <v>0.0</v>
      </c>
      <c r="BF355" s="34">
        <v>0.0</v>
      </c>
      <c r="BG355" s="33">
        <f>COUNTIFS('Data For Calculation - Insuranc'!A:A,A355,'Data For Calculation - Insuranc'!D:D,"Company",'Data For Calculation - Insuranc'!E:E,"Rollover - 1 Year OD Only")</f>
        <v>0</v>
      </c>
      <c r="BH355" s="34" t="s">
        <v>3931</v>
      </c>
      <c r="BI355" s="34" t="s">
        <v>3817</v>
      </c>
      <c r="BJ355" s="31">
        <v>290.0</v>
      </c>
      <c r="BK355" s="34" t="s">
        <v>3853</v>
      </c>
      <c r="BL355" s="34">
        <v>0.0</v>
      </c>
      <c r="BM355" s="34">
        <v>100.0</v>
      </c>
      <c r="BN355" s="34">
        <v>0.0</v>
      </c>
      <c r="BO355" s="34">
        <v>0.0</v>
      </c>
      <c r="BP355" s="33">
        <f>COUNTIFS('Data For Calculation - Insuranc'!A:A,A355,'Data For Calculation - Insuranc'!D:D,"Individual",'Data For Calculation - Insuranc'!E:E,"Rollover - 1 Year TP Only")</f>
        <v>0</v>
      </c>
      <c r="BQ355" s="34" t="s">
        <v>3932</v>
      </c>
      <c r="BR355" s="34" t="s">
        <v>3817</v>
      </c>
      <c r="BS355" s="31">
        <v>290.0</v>
      </c>
      <c r="BT355" s="34" t="s">
        <v>3853</v>
      </c>
      <c r="BU355" s="34">
        <v>0.0</v>
      </c>
      <c r="BV355" s="34">
        <v>100.0</v>
      </c>
      <c r="BW355" s="34">
        <v>0.0</v>
      </c>
      <c r="BX355" s="34">
        <v>0.0</v>
      </c>
      <c r="BY355" s="33">
        <f>COUNTIFS('Data For Calculation - Insuranc'!A:A,A355,'Data For Calculation - Insuranc'!D:D,"Company",'Data For Calculation - Insuranc'!E:E,"Rollover - 1 Year TP Only")</f>
        <v>0</v>
      </c>
      <c r="BZ355" s="31">
        <f t="shared" si="1"/>
        <v>0</v>
      </c>
      <c r="CA355" s="33">
        <f>SUMIFS('Data For Calculation - Insuranc'!I:I,'Data For Calculation - Insuranc'!$A:$A,$A355)</f>
        <v>0</v>
      </c>
      <c r="CB355" s="33">
        <f>SUMIFS('Data For Calculation - Insuranc'!J:J,'Data For Calculation - Insuranc'!$A:$A,$A355)</f>
        <v>0</v>
      </c>
      <c r="CC355" s="33">
        <f>SUMIFS('Data For Calculation - Insuranc'!K:K,'Data For Calculation - Insuranc'!$A:$A,$A355)</f>
        <v>0</v>
      </c>
      <c r="CD355" s="33">
        <f>IF($CK355 = "Dealer", SUMIFS('Data For Calculation - Insuranc'!I:I,'Data For Calculation - Insuranc'!$B:$B,$A355,'Data For Calculation - Insuranc'!$H:$H,"Master Dealer")) + SUMIFS('Data For Calculation - Insuranc'!I:I,'Data For Calculation - Insuranc'!$A:$A,$A355,'Data For Calculation - Insuranc'!$H:$H,"Self")</f>
        <v>0</v>
      </c>
      <c r="CE355" s="33">
        <f>IF($CK355 = "Dealer", SUMIFS('Data For Calculation - Insuranc'!J:J,'Data For Calculation - Insuranc'!$B:$B,$A355,'Data For Calculation - Insuranc'!$H:$H,"Master Dealer")) + SUMIFS('Data For Calculation - Insuranc'!J:J,'Data For Calculation - Insuranc'!$A:$A,$A355,'Data For Calculation - Insuranc'!$H:$H,"Self")</f>
        <v>0</v>
      </c>
      <c r="CF355" s="33">
        <f>IF($CK355 = "Dealer", SUMIFS('Data For Calculation - Insuranc'!K:K,'Data For Calculation - Insuranc'!$B:$B,$A355,'Data For Calculation - Insuranc'!$H:$H,"Master Dealer")) + SUMIFS('Data For Calculation - Insuranc'!K:K,'Data For Calculation - Insuranc'!$A:$A,$A355,'Data For Calculation - Insuranc'!$H:$H,"Self")</f>
        <v>0</v>
      </c>
      <c r="CG355" s="25" t="str">
        <f>(Sheet1!N355)</f>
        <v>Mahabir Automobiles -Sultanpur</v>
      </c>
      <c r="CH355" s="25" t="str">
        <f>(Sheet1!O355)</f>
        <v>1fHCHQnIWmfXqP4jwi-agXjfK1q2zM0BUeG3fwB0qApc</v>
      </c>
      <c r="CI355" s="25" t="str">
        <f>(Sheet1!AV355)</f>
        <v/>
      </c>
      <c r="CJ355" s="25" t="str">
        <f>(Sheet1!AW355)</f>
        <v/>
      </c>
      <c r="CK355" s="26" t="str">
        <f>(Sheet1!P355)</f>
        <v>Sub Dealer</v>
      </c>
    </row>
    <row r="356">
      <c r="A356" s="25" t="str">
        <f>(Sheet1!A356)</f>
        <v>1tTA5e4_FfYUM4c7CROCUCMKoFZEqa0MTF7qor1K6Di4</v>
      </c>
      <c r="B356" s="25" t="str">
        <f>(Sheet1!B356)</f>
        <v>Haji Saleemuddin Automobiles (BA) - Sahawar</v>
      </c>
      <c r="C356" s="30" t="str">
        <f>Sheet1!BB356</f>
        <v>No</v>
      </c>
      <c r="D356" s="30" t="s">
        <v>13</v>
      </c>
      <c r="E356" s="34" t="s">
        <v>13</v>
      </c>
      <c r="F356" s="34" t="s">
        <v>3929</v>
      </c>
      <c r="G356" s="34" t="s">
        <v>3820</v>
      </c>
      <c r="H356" s="31">
        <v>290.0</v>
      </c>
      <c r="I356" s="34" t="s">
        <v>3853</v>
      </c>
      <c r="J356" s="34">
        <v>0.0</v>
      </c>
      <c r="K356" s="34">
        <v>100.0</v>
      </c>
      <c r="L356" s="34">
        <v>0.0</v>
      </c>
      <c r="M356" s="34">
        <v>0.0</v>
      </c>
      <c r="N356" s="33">
        <f>COUNTIFS('Data For Calculation - Insuranc'!A:A,A356,'Data For Calculation - Insuranc'!D:D,"Individual",'Data For Calculation - Insuranc'!E:E,"Bundled - 1 Year OD + 5 Year TP")</f>
        <v>0</v>
      </c>
      <c r="O356" s="34" t="s">
        <v>3930</v>
      </c>
      <c r="P356" s="34" t="s">
        <v>3820</v>
      </c>
      <c r="Q356" s="31">
        <v>290.0</v>
      </c>
      <c r="R356" s="34" t="s">
        <v>3853</v>
      </c>
      <c r="S356" s="34">
        <v>0.0</v>
      </c>
      <c r="T356" s="34">
        <v>100.0</v>
      </c>
      <c r="U356" s="34">
        <v>0.0</v>
      </c>
      <c r="V356" s="34">
        <v>0.0</v>
      </c>
      <c r="W356" s="33">
        <f>COUNTIFS('Data For Calculation - Insuranc'!A:A,A356,'Data For Calculation - Insuranc'!D:D,"Company",'Data For Calculation - Insuranc'!E:E,"Bundled - 1 Year OD + 5 Year TP")</f>
        <v>0</v>
      </c>
      <c r="X356" s="34" t="s">
        <v>3929</v>
      </c>
      <c r="Y356" s="34" t="s">
        <v>3820</v>
      </c>
      <c r="Z356" s="31">
        <v>290.0</v>
      </c>
      <c r="AA356" s="34" t="s">
        <v>3853</v>
      </c>
      <c r="AB356" s="34">
        <v>0.0</v>
      </c>
      <c r="AC356" s="34">
        <v>100.0</v>
      </c>
      <c r="AD356" s="34">
        <v>0.0</v>
      </c>
      <c r="AE356" s="34">
        <v>0.0</v>
      </c>
      <c r="AF356" s="33">
        <f>COUNTIFS('Data For Calculation - Insuranc'!A:A,A356,'Data For Calculation - Insuranc'!D:D,"Individual",'Data For Calculation - Insuranc'!E:E,"Rollover Comprehensive - 1 Year OD + 1 Year TP")</f>
        <v>0</v>
      </c>
      <c r="AG356" s="34" t="s">
        <v>3930</v>
      </c>
      <c r="AH356" s="34" t="s">
        <v>3820</v>
      </c>
      <c r="AI356" s="31">
        <v>290.0</v>
      </c>
      <c r="AJ356" s="34" t="s">
        <v>3853</v>
      </c>
      <c r="AK356" s="34">
        <v>0.0</v>
      </c>
      <c r="AL356" s="34">
        <v>100.0</v>
      </c>
      <c r="AM356" s="34">
        <v>0.0</v>
      </c>
      <c r="AN356" s="34">
        <v>0.0</v>
      </c>
      <c r="AO356" s="33">
        <f>COUNTIFS('Data For Calculation - Insuranc'!A:A,A356,'Data For Calculation - Insuranc'!D:D,"Company",'Data For Calculation - Insuranc'!E:E,"Rollover Comprehensive - 1 Year OD + 1 Year TP")</f>
        <v>0</v>
      </c>
      <c r="AP356" s="34" t="s">
        <v>3931</v>
      </c>
      <c r="AQ356" s="34" t="s">
        <v>3820</v>
      </c>
      <c r="AR356" s="31">
        <v>290.0</v>
      </c>
      <c r="AS356" s="34" t="s">
        <v>3853</v>
      </c>
      <c r="AT356" s="34">
        <v>0.0</v>
      </c>
      <c r="AU356" s="34">
        <v>100.0</v>
      </c>
      <c r="AV356" s="34">
        <v>0.0</v>
      </c>
      <c r="AW356" s="34">
        <v>0.0</v>
      </c>
      <c r="AX356" s="33">
        <f>COUNTIFS('Data For Calculation - Insuranc'!A:A,A356,'Data For Calculation - Insuranc'!D:D,"Individual",'Data For Calculation - Insuranc'!E:E,"Rollover - 1 Year OD Only")</f>
        <v>0</v>
      </c>
      <c r="AY356" s="34" t="s">
        <v>3932</v>
      </c>
      <c r="AZ356" s="34" t="s">
        <v>3820</v>
      </c>
      <c r="BA356" s="31">
        <v>290.0</v>
      </c>
      <c r="BB356" s="34" t="s">
        <v>3853</v>
      </c>
      <c r="BC356" s="34">
        <v>0.0</v>
      </c>
      <c r="BD356" s="34">
        <v>100.0</v>
      </c>
      <c r="BE356" s="34">
        <v>0.0</v>
      </c>
      <c r="BF356" s="34">
        <v>0.0</v>
      </c>
      <c r="BG356" s="33">
        <f>COUNTIFS('Data For Calculation - Insuranc'!A:A,A356,'Data For Calculation - Insuranc'!D:D,"Company",'Data For Calculation - Insuranc'!E:E,"Rollover - 1 Year OD Only")</f>
        <v>0</v>
      </c>
      <c r="BH356" s="34" t="s">
        <v>3931</v>
      </c>
      <c r="BI356" s="34" t="s">
        <v>3820</v>
      </c>
      <c r="BJ356" s="31">
        <v>290.0</v>
      </c>
      <c r="BK356" s="34" t="s">
        <v>3853</v>
      </c>
      <c r="BL356" s="34">
        <v>0.0</v>
      </c>
      <c r="BM356" s="34">
        <v>100.0</v>
      </c>
      <c r="BN356" s="34">
        <v>0.0</v>
      </c>
      <c r="BO356" s="34">
        <v>0.0</v>
      </c>
      <c r="BP356" s="33">
        <f>COUNTIFS('Data For Calculation - Insuranc'!A:A,A356,'Data For Calculation - Insuranc'!D:D,"Individual",'Data For Calculation - Insuranc'!E:E,"Rollover - 1 Year TP Only")</f>
        <v>0</v>
      </c>
      <c r="BQ356" s="34" t="s">
        <v>3932</v>
      </c>
      <c r="BR356" s="34" t="s">
        <v>3820</v>
      </c>
      <c r="BS356" s="31">
        <v>290.0</v>
      </c>
      <c r="BT356" s="34" t="s">
        <v>3853</v>
      </c>
      <c r="BU356" s="34">
        <v>0.0</v>
      </c>
      <c r="BV356" s="34">
        <v>100.0</v>
      </c>
      <c r="BW356" s="34">
        <v>0.0</v>
      </c>
      <c r="BX356" s="34">
        <v>0.0</v>
      </c>
      <c r="BY356" s="33">
        <f>COUNTIFS('Data For Calculation - Insuranc'!A:A,A356,'Data For Calculation - Insuranc'!D:D,"Company",'Data For Calculation - Insuranc'!E:E,"Rollover - 1 Year TP Only")</f>
        <v>0</v>
      </c>
      <c r="BZ356" s="31">
        <f t="shared" si="1"/>
        <v>0</v>
      </c>
      <c r="CA356" s="33">
        <f>SUMIFS('Data For Calculation - Insuranc'!I:I,'Data For Calculation - Insuranc'!$A:$A,$A356)</f>
        <v>0</v>
      </c>
      <c r="CB356" s="33">
        <f>SUMIFS('Data For Calculation - Insuranc'!J:J,'Data For Calculation - Insuranc'!$A:$A,$A356)</f>
        <v>0</v>
      </c>
      <c r="CC356" s="33">
        <f>SUMIFS('Data For Calculation - Insuranc'!K:K,'Data For Calculation - Insuranc'!$A:$A,$A356)</f>
        <v>0</v>
      </c>
      <c r="CD356" s="33">
        <f>IF($CK356 = "Dealer", SUMIFS('Data For Calculation - Insuranc'!I:I,'Data For Calculation - Insuranc'!$B:$B,$A356,'Data For Calculation - Insuranc'!$H:$H,"Master Dealer")) + SUMIFS('Data For Calculation - Insuranc'!I:I,'Data For Calculation - Insuranc'!$A:$A,$A356,'Data For Calculation - Insuranc'!$H:$H,"Self")</f>
        <v>0</v>
      </c>
      <c r="CE356" s="33">
        <f>IF($CK356 = "Dealer", SUMIFS('Data For Calculation - Insuranc'!J:J,'Data For Calculation - Insuranc'!$B:$B,$A356,'Data For Calculation - Insuranc'!$H:$H,"Master Dealer")) + SUMIFS('Data For Calculation - Insuranc'!J:J,'Data For Calculation - Insuranc'!$A:$A,$A356,'Data For Calculation - Insuranc'!$H:$H,"Self")</f>
        <v>0</v>
      </c>
      <c r="CF356" s="33">
        <f>IF($CK356 = "Dealer", SUMIFS('Data For Calculation - Insuranc'!K:K,'Data For Calculation - Insuranc'!$B:$B,$A356,'Data For Calculation - Insuranc'!$H:$H,"Master Dealer")) + SUMIFS('Data For Calculation - Insuranc'!K:K,'Data For Calculation - Insuranc'!$A:$A,$A356,'Data For Calculation - Insuranc'!$H:$H,"Self")</f>
        <v>0</v>
      </c>
      <c r="CG356" s="25" t="str">
        <f>(Sheet1!N356)</f>
        <v>Bharat Auto - Kasganj</v>
      </c>
      <c r="CH356" s="25" t="str">
        <f>(Sheet1!O356)</f>
        <v>14s_HeeebHqLRTUCX5FSlJ3K7aiTvnkajbPMefm6jg1M</v>
      </c>
      <c r="CI356" s="25" t="str">
        <f>(Sheet1!AV356)</f>
        <v/>
      </c>
      <c r="CJ356" s="25" t="str">
        <f>(Sheet1!AW356)</f>
        <v/>
      </c>
      <c r="CK356" s="26" t="str">
        <f>(Sheet1!P356)</f>
        <v>Sub Dealer</v>
      </c>
    </row>
    <row r="357">
      <c r="A357" s="25" t="str">
        <f>(Sheet1!A357)</f>
        <v>1zpjD0n2MDMpnv6d3XmAb2OMfLjhiWI0P_3JnMudl7oI</v>
      </c>
      <c r="B357" s="25" t="str">
        <f>(Sheet1!B357)</f>
        <v>BHARAT HERO - ISLAMPUR</v>
      </c>
      <c r="C357" s="30" t="str">
        <f>Sheet1!BB357</f>
        <v>No</v>
      </c>
      <c r="D357" s="30" t="s">
        <v>13</v>
      </c>
      <c r="E357" s="34" t="s">
        <v>13</v>
      </c>
      <c r="F357" s="34" t="s">
        <v>3929</v>
      </c>
      <c r="G357" s="34" t="s">
        <v>3817</v>
      </c>
      <c r="H357" s="31">
        <v>290.0</v>
      </c>
      <c r="I357" s="34" t="s">
        <v>3853</v>
      </c>
      <c r="J357" s="34">
        <v>0.0</v>
      </c>
      <c r="K357" s="34">
        <v>100.0</v>
      </c>
      <c r="L357" s="34">
        <v>0.0</v>
      </c>
      <c r="M357" s="34">
        <v>0.0</v>
      </c>
      <c r="N357" s="33">
        <f>COUNTIFS('Data For Calculation - Insuranc'!A:A,A357,'Data For Calculation - Insuranc'!D:D,"Individual",'Data For Calculation - Insuranc'!E:E,"Bundled - 1 Year OD + 5 Year TP")</f>
        <v>0</v>
      </c>
      <c r="O357" s="34" t="s">
        <v>3930</v>
      </c>
      <c r="P357" s="34" t="s">
        <v>3817</v>
      </c>
      <c r="Q357" s="31">
        <v>290.0</v>
      </c>
      <c r="R357" s="34" t="s">
        <v>3853</v>
      </c>
      <c r="S357" s="34">
        <v>0.0</v>
      </c>
      <c r="T357" s="34">
        <v>100.0</v>
      </c>
      <c r="U357" s="34">
        <v>0.0</v>
      </c>
      <c r="V357" s="34">
        <v>0.0</v>
      </c>
      <c r="W357" s="33">
        <f>COUNTIFS('Data For Calculation - Insuranc'!A:A,A357,'Data For Calculation - Insuranc'!D:D,"Company",'Data For Calculation - Insuranc'!E:E,"Bundled - 1 Year OD + 5 Year TP")</f>
        <v>0</v>
      </c>
      <c r="X357" s="34" t="s">
        <v>3929</v>
      </c>
      <c r="Y357" s="34" t="s">
        <v>3817</v>
      </c>
      <c r="Z357" s="31">
        <v>290.0</v>
      </c>
      <c r="AA357" s="34" t="s">
        <v>3853</v>
      </c>
      <c r="AB357" s="34">
        <v>0.0</v>
      </c>
      <c r="AC357" s="34">
        <v>100.0</v>
      </c>
      <c r="AD357" s="34">
        <v>0.0</v>
      </c>
      <c r="AE357" s="34">
        <v>0.0</v>
      </c>
      <c r="AF357" s="33">
        <f>COUNTIFS('Data For Calculation - Insuranc'!A:A,A357,'Data For Calculation - Insuranc'!D:D,"Individual",'Data For Calculation - Insuranc'!E:E,"Rollover Comprehensive - 1 Year OD + 1 Year TP")</f>
        <v>0</v>
      </c>
      <c r="AG357" s="34" t="s">
        <v>3930</v>
      </c>
      <c r="AH357" s="34" t="s">
        <v>3817</v>
      </c>
      <c r="AI357" s="31">
        <v>290.0</v>
      </c>
      <c r="AJ357" s="34" t="s">
        <v>3853</v>
      </c>
      <c r="AK357" s="34">
        <v>0.0</v>
      </c>
      <c r="AL357" s="34">
        <v>100.0</v>
      </c>
      <c r="AM357" s="34">
        <v>0.0</v>
      </c>
      <c r="AN357" s="34">
        <v>0.0</v>
      </c>
      <c r="AO357" s="33">
        <f>COUNTIFS('Data For Calculation - Insuranc'!A:A,A357,'Data For Calculation - Insuranc'!D:D,"Company",'Data For Calculation - Insuranc'!E:E,"Rollover Comprehensive - 1 Year OD + 1 Year TP")</f>
        <v>0</v>
      </c>
      <c r="AP357" s="34" t="s">
        <v>3931</v>
      </c>
      <c r="AQ357" s="34" t="s">
        <v>3817</v>
      </c>
      <c r="AR357" s="31">
        <v>290.0</v>
      </c>
      <c r="AS357" s="34" t="s">
        <v>3853</v>
      </c>
      <c r="AT357" s="34">
        <v>0.0</v>
      </c>
      <c r="AU357" s="34">
        <v>100.0</v>
      </c>
      <c r="AV357" s="34">
        <v>0.0</v>
      </c>
      <c r="AW357" s="34">
        <v>0.0</v>
      </c>
      <c r="AX357" s="33">
        <f>COUNTIFS('Data For Calculation - Insuranc'!A:A,A357,'Data For Calculation - Insuranc'!D:D,"Individual",'Data For Calculation - Insuranc'!E:E,"Rollover - 1 Year OD Only")</f>
        <v>0</v>
      </c>
      <c r="AY357" s="34" t="s">
        <v>3932</v>
      </c>
      <c r="AZ357" s="34" t="s">
        <v>3817</v>
      </c>
      <c r="BA357" s="31">
        <v>290.0</v>
      </c>
      <c r="BB357" s="34" t="s">
        <v>3853</v>
      </c>
      <c r="BC357" s="34">
        <v>0.0</v>
      </c>
      <c r="BD357" s="34">
        <v>100.0</v>
      </c>
      <c r="BE357" s="34">
        <v>0.0</v>
      </c>
      <c r="BF357" s="34">
        <v>0.0</v>
      </c>
      <c r="BG357" s="33">
        <f>COUNTIFS('Data For Calculation - Insuranc'!A:A,A357,'Data For Calculation - Insuranc'!D:D,"Company",'Data For Calculation - Insuranc'!E:E,"Rollover - 1 Year OD Only")</f>
        <v>0</v>
      </c>
      <c r="BH357" s="34" t="s">
        <v>3931</v>
      </c>
      <c r="BI357" s="34" t="s">
        <v>3817</v>
      </c>
      <c r="BJ357" s="31">
        <v>290.0</v>
      </c>
      <c r="BK357" s="34" t="s">
        <v>3853</v>
      </c>
      <c r="BL357" s="34">
        <v>0.0</v>
      </c>
      <c r="BM357" s="34">
        <v>100.0</v>
      </c>
      <c r="BN357" s="34">
        <v>0.0</v>
      </c>
      <c r="BO357" s="34">
        <v>0.0</v>
      </c>
      <c r="BP357" s="33">
        <f>COUNTIFS('Data For Calculation - Insuranc'!A:A,A357,'Data For Calculation - Insuranc'!D:D,"Individual",'Data For Calculation - Insuranc'!E:E,"Rollover - 1 Year TP Only")</f>
        <v>0</v>
      </c>
      <c r="BQ357" s="34" t="s">
        <v>3932</v>
      </c>
      <c r="BR357" s="34" t="s">
        <v>3817</v>
      </c>
      <c r="BS357" s="31">
        <v>290.0</v>
      </c>
      <c r="BT357" s="34" t="s">
        <v>3853</v>
      </c>
      <c r="BU357" s="34">
        <v>0.0</v>
      </c>
      <c r="BV357" s="34">
        <v>100.0</v>
      </c>
      <c r="BW357" s="34">
        <v>0.0</v>
      </c>
      <c r="BX357" s="34">
        <v>0.0</v>
      </c>
      <c r="BY357" s="33">
        <f>COUNTIFS('Data For Calculation - Insuranc'!A:A,A357,'Data For Calculation - Insuranc'!D:D,"Company",'Data For Calculation - Insuranc'!E:E,"Rollover - 1 Year TP Only")</f>
        <v>0</v>
      </c>
      <c r="BZ357" s="31">
        <f t="shared" si="1"/>
        <v>0</v>
      </c>
      <c r="CA357" s="33">
        <f>SUMIFS('Data For Calculation - Insuranc'!I:I,'Data For Calculation - Insuranc'!$A:$A,$A357)</f>
        <v>0</v>
      </c>
      <c r="CB357" s="33">
        <f>SUMIFS('Data For Calculation - Insuranc'!J:J,'Data For Calculation - Insuranc'!$A:$A,$A357)</f>
        <v>0</v>
      </c>
      <c r="CC357" s="33">
        <f>SUMIFS('Data For Calculation - Insuranc'!K:K,'Data For Calculation - Insuranc'!$A:$A,$A357)</f>
        <v>0</v>
      </c>
      <c r="CD357" s="33">
        <f>IF($CK357 = "Dealer", SUMIFS('Data For Calculation - Insuranc'!I:I,'Data For Calculation - Insuranc'!$B:$B,$A357,'Data For Calculation - Insuranc'!$H:$H,"Master Dealer")) + SUMIFS('Data For Calculation - Insuranc'!I:I,'Data For Calculation - Insuranc'!$A:$A,$A357,'Data For Calculation - Insuranc'!$H:$H,"Self")</f>
        <v>0</v>
      </c>
      <c r="CE357" s="33">
        <f>IF($CK357 = "Dealer", SUMIFS('Data For Calculation - Insuranc'!J:J,'Data For Calculation - Insuranc'!$B:$B,$A357,'Data For Calculation - Insuranc'!$H:$H,"Master Dealer")) + SUMIFS('Data For Calculation - Insuranc'!J:J,'Data For Calculation - Insuranc'!$A:$A,$A357,'Data For Calculation - Insuranc'!$H:$H,"Self")</f>
        <v>0</v>
      </c>
      <c r="CF357" s="33">
        <f>IF($CK357 = "Dealer", SUMIFS('Data For Calculation - Insuranc'!K:K,'Data For Calculation - Insuranc'!$B:$B,$A357,'Data For Calculation - Insuranc'!$H:$H,"Master Dealer")) + SUMIFS('Data For Calculation - Insuranc'!K:K,'Data For Calculation - Insuranc'!$A:$A,$A357,'Data For Calculation - Insuranc'!$H:$H,"Self")</f>
        <v>0</v>
      </c>
      <c r="CG357" s="25" t="str">
        <f>(Sheet1!N357)</f>
        <v>BHARAT HERO - ISLAMPUR</v>
      </c>
      <c r="CH357" s="25" t="str">
        <f>(Sheet1!O357)</f>
        <v>1zpjD0n2MDMpnv6d3XmAb2OMfLjhiWI0P_3JnMudl7oI</v>
      </c>
      <c r="CI357" s="25" t="str">
        <f>(Sheet1!AV357)</f>
        <v/>
      </c>
      <c r="CJ357" s="25" t="str">
        <f>(Sheet1!AW357)</f>
        <v/>
      </c>
      <c r="CK357" s="26" t="str">
        <f>(Sheet1!P357)</f>
        <v>Dealer</v>
      </c>
    </row>
    <row r="358">
      <c r="A358" s="25" t="str">
        <f>(Sheet1!A358)</f>
        <v>1jfpEW8cuuUihhL5SOgSGnhE6g038H7_TOjUmP2QGajY</v>
      </c>
      <c r="B358" s="25" t="str">
        <f>(Sheet1!B358)</f>
        <v>ZUMMERWALA TVS- VADODRA</v>
      </c>
      <c r="C358" s="30" t="str">
        <f>Sheet1!BB358</f>
        <v>No</v>
      </c>
      <c r="D358" s="30" t="s">
        <v>13</v>
      </c>
      <c r="E358" s="34" t="s">
        <v>13</v>
      </c>
      <c r="F358" s="34" t="s">
        <v>3929</v>
      </c>
      <c r="G358" s="34" t="s">
        <v>3817</v>
      </c>
      <c r="H358" s="31">
        <v>290.0</v>
      </c>
      <c r="I358" s="34" t="s">
        <v>3853</v>
      </c>
      <c r="J358" s="34">
        <v>0.0</v>
      </c>
      <c r="K358" s="34">
        <v>100.0</v>
      </c>
      <c r="L358" s="34">
        <v>0.0</v>
      </c>
      <c r="M358" s="34">
        <v>0.0</v>
      </c>
      <c r="N358" s="33">
        <f>COUNTIFS('Data For Calculation - Insuranc'!A:A,A358,'Data For Calculation - Insuranc'!D:D,"Individual",'Data For Calculation - Insuranc'!E:E,"Bundled - 1 Year OD + 5 Year TP")</f>
        <v>0</v>
      </c>
      <c r="O358" s="34" t="s">
        <v>3930</v>
      </c>
      <c r="P358" s="34" t="s">
        <v>3817</v>
      </c>
      <c r="Q358" s="31">
        <v>290.0</v>
      </c>
      <c r="R358" s="34" t="s">
        <v>3853</v>
      </c>
      <c r="S358" s="34">
        <v>0.0</v>
      </c>
      <c r="T358" s="34">
        <v>100.0</v>
      </c>
      <c r="U358" s="34">
        <v>0.0</v>
      </c>
      <c r="V358" s="34">
        <v>0.0</v>
      </c>
      <c r="W358" s="33">
        <f>COUNTIFS('Data For Calculation - Insuranc'!A:A,A358,'Data For Calculation - Insuranc'!D:D,"Company",'Data For Calculation - Insuranc'!E:E,"Bundled - 1 Year OD + 5 Year TP")</f>
        <v>0</v>
      </c>
      <c r="X358" s="34" t="s">
        <v>3929</v>
      </c>
      <c r="Y358" s="34" t="s">
        <v>3817</v>
      </c>
      <c r="Z358" s="31">
        <v>290.0</v>
      </c>
      <c r="AA358" s="34" t="s">
        <v>3853</v>
      </c>
      <c r="AB358" s="34">
        <v>0.0</v>
      </c>
      <c r="AC358" s="34">
        <v>100.0</v>
      </c>
      <c r="AD358" s="34">
        <v>0.0</v>
      </c>
      <c r="AE358" s="34">
        <v>0.0</v>
      </c>
      <c r="AF358" s="33">
        <f>COUNTIFS('Data For Calculation - Insuranc'!A:A,A358,'Data For Calculation - Insuranc'!D:D,"Individual",'Data For Calculation - Insuranc'!E:E,"Rollover Comprehensive - 1 Year OD + 1 Year TP")</f>
        <v>0</v>
      </c>
      <c r="AG358" s="34" t="s">
        <v>3930</v>
      </c>
      <c r="AH358" s="34" t="s">
        <v>3817</v>
      </c>
      <c r="AI358" s="31">
        <v>290.0</v>
      </c>
      <c r="AJ358" s="34" t="s">
        <v>3853</v>
      </c>
      <c r="AK358" s="34">
        <v>0.0</v>
      </c>
      <c r="AL358" s="34">
        <v>100.0</v>
      </c>
      <c r="AM358" s="34">
        <v>0.0</v>
      </c>
      <c r="AN358" s="34">
        <v>0.0</v>
      </c>
      <c r="AO358" s="33">
        <f>COUNTIFS('Data For Calculation - Insuranc'!A:A,A358,'Data For Calculation - Insuranc'!D:D,"Company",'Data For Calculation - Insuranc'!E:E,"Rollover Comprehensive - 1 Year OD + 1 Year TP")</f>
        <v>0</v>
      </c>
      <c r="AP358" s="34" t="s">
        <v>3931</v>
      </c>
      <c r="AQ358" s="34" t="s">
        <v>3817</v>
      </c>
      <c r="AR358" s="31">
        <v>290.0</v>
      </c>
      <c r="AS358" s="34" t="s">
        <v>3853</v>
      </c>
      <c r="AT358" s="34">
        <v>0.0</v>
      </c>
      <c r="AU358" s="34">
        <v>100.0</v>
      </c>
      <c r="AV358" s="34">
        <v>0.0</v>
      </c>
      <c r="AW358" s="34">
        <v>0.0</v>
      </c>
      <c r="AX358" s="33">
        <f>COUNTIFS('Data For Calculation - Insuranc'!A:A,A358,'Data For Calculation - Insuranc'!D:D,"Individual",'Data For Calculation - Insuranc'!E:E,"Rollover - 1 Year OD Only")</f>
        <v>0</v>
      </c>
      <c r="AY358" s="34" t="s">
        <v>3932</v>
      </c>
      <c r="AZ358" s="34" t="s">
        <v>3817</v>
      </c>
      <c r="BA358" s="31">
        <v>290.0</v>
      </c>
      <c r="BB358" s="34" t="s">
        <v>3853</v>
      </c>
      <c r="BC358" s="34">
        <v>0.0</v>
      </c>
      <c r="BD358" s="34">
        <v>100.0</v>
      </c>
      <c r="BE358" s="34">
        <v>0.0</v>
      </c>
      <c r="BF358" s="34">
        <v>0.0</v>
      </c>
      <c r="BG358" s="33">
        <f>COUNTIFS('Data For Calculation - Insuranc'!A:A,A358,'Data For Calculation - Insuranc'!D:D,"Company",'Data For Calculation - Insuranc'!E:E,"Rollover - 1 Year OD Only")</f>
        <v>0</v>
      </c>
      <c r="BH358" s="34" t="s">
        <v>3931</v>
      </c>
      <c r="BI358" s="34" t="s">
        <v>3817</v>
      </c>
      <c r="BJ358" s="31">
        <v>290.0</v>
      </c>
      <c r="BK358" s="34" t="s">
        <v>3853</v>
      </c>
      <c r="BL358" s="34">
        <v>0.0</v>
      </c>
      <c r="BM358" s="34">
        <v>100.0</v>
      </c>
      <c r="BN358" s="34">
        <v>0.0</v>
      </c>
      <c r="BO358" s="34">
        <v>0.0</v>
      </c>
      <c r="BP358" s="33">
        <f>COUNTIFS('Data For Calculation - Insuranc'!A:A,A358,'Data For Calculation - Insuranc'!D:D,"Individual",'Data For Calculation - Insuranc'!E:E,"Rollover - 1 Year TP Only")</f>
        <v>0</v>
      </c>
      <c r="BQ358" s="34" t="s">
        <v>3932</v>
      </c>
      <c r="BR358" s="34" t="s">
        <v>3817</v>
      </c>
      <c r="BS358" s="31">
        <v>290.0</v>
      </c>
      <c r="BT358" s="34" t="s">
        <v>3853</v>
      </c>
      <c r="BU358" s="34">
        <v>0.0</v>
      </c>
      <c r="BV358" s="34">
        <v>100.0</v>
      </c>
      <c r="BW358" s="34">
        <v>0.0</v>
      </c>
      <c r="BX358" s="34">
        <v>0.0</v>
      </c>
      <c r="BY358" s="33">
        <f>COUNTIFS('Data For Calculation - Insuranc'!A:A,A358,'Data For Calculation - Insuranc'!D:D,"Company",'Data For Calculation - Insuranc'!E:E,"Rollover - 1 Year TP Only")</f>
        <v>0</v>
      </c>
      <c r="BZ358" s="31">
        <f t="shared" si="1"/>
        <v>0</v>
      </c>
      <c r="CA358" s="33">
        <f>SUMIFS('Data For Calculation - Insuranc'!I:I,'Data For Calculation - Insuranc'!$A:$A,$A358)</f>
        <v>0</v>
      </c>
      <c r="CB358" s="33">
        <f>SUMIFS('Data For Calculation - Insuranc'!J:J,'Data For Calculation - Insuranc'!$A:$A,$A358)</f>
        <v>0</v>
      </c>
      <c r="CC358" s="33">
        <f>SUMIFS('Data For Calculation - Insuranc'!K:K,'Data For Calculation - Insuranc'!$A:$A,$A358)</f>
        <v>0</v>
      </c>
      <c r="CD358" s="33">
        <f>IF($CK358 = "Dealer", SUMIFS('Data For Calculation - Insuranc'!I:I,'Data For Calculation - Insuranc'!$B:$B,$A358,'Data For Calculation - Insuranc'!$H:$H,"Master Dealer")) + SUMIFS('Data For Calculation - Insuranc'!I:I,'Data For Calculation - Insuranc'!$A:$A,$A358,'Data For Calculation - Insuranc'!$H:$H,"Self")</f>
        <v>0</v>
      </c>
      <c r="CE358" s="33">
        <f>IF($CK358 = "Dealer", SUMIFS('Data For Calculation - Insuranc'!J:J,'Data For Calculation - Insuranc'!$B:$B,$A358,'Data For Calculation - Insuranc'!$H:$H,"Master Dealer")) + SUMIFS('Data For Calculation - Insuranc'!J:J,'Data For Calculation - Insuranc'!$A:$A,$A358,'Data For Calculation - Insuranc'!$H:$H,"Self")</f>
        <v>0</v>
      </c>
      <c r="CF358" s="33">
        <f>IF($CK358 = "Dealer", SUMIFS('Data For Calculation - Insuranc'!K:K,'Data For Calculation - Insuranc'!$B:$B,$A358,'Data For Calculation - Insuranc'!$H:$H,"Master Dealer")) + SUMIFS('Data For Calculation - Insuranc'!K:K,'Data For Calculation - Insuranc'!$A:$A,$A358,'Data For Calculation - Insuranc'!$H:$H,"Self")</f>
        <v>0</v>
      </c>
      <c r="CG358" s="25" t="str">
        <f>(Sheet1!N358)</f>
        <v>ZUMMERWALA TVS- VADODRA</v>
      </c>
      <c r="CH358" s="25" t="str">
        <f>(Sheet1!O358)</f>
        <v>1jfpEW8cuuUihhL5SOgSGnhE6g038H7_TOjUmP2QGajY</v>
      </c>
      <c r="CI358" s="25" t="str">
        <f>(Sheet1!AV358)</f>
        <v/>
      </c>
      <c r="CJ358" s="25" t="str">
        <f>(Sheet1!AW358)</f>
        <v/>
      </c>
      <c r="CK358" s="26" t="str">
        <f>(Sheet1!P358)</f>
        <v>Dealer</v>
      </c>
    </row>
  </sheetData>
  <conditionalFormatting sqref="K2:M299 T2:V299 AC2:AE299 AL2:AN299 AU2:AW299 BD2:BF299 BM2:BO299 BV2:BX299 K301:M358 T301:V358 AC301:AE358 AL301:AN358 AU301:AW358 BD301:BF358 BM301:BO358 BV301:BX358">
    <cfRule type="expression" dxfId="4" priority="1">
      <formula>SUM($K2, $L2, $M2)&lt;100</formula>
    </cfRule>
  </conditionalFormatting>
  <dataValidations>
    <dataValidation type="list" allowBlank="1" showInputMessage="1" showErrorMessage="1" prompt="Invalid value" sqref="E2:E299 E301:E358">
      <formula1>"Master Dealer,Self"</formula1>
    </dataValidation>
    <dataValidation type="custom" allowBlank="1" showDropDown="1" showInputMessage="1" showErrorMessage="1" prompt="Sum of &quot;Master Dealer's Payout Percentage (%)&quot;,  &quot;Dealer's Payout Percentage (%)&quot; and &quot;Distributor's Payout Percentage (%)&quot; cannot be more than 100" sqref="K2:M299 T2:V299 AC2:AE299 AL2:AN299 AU2:AW299 BD2:BF299 BM2:BO299 BV2:BX299 K301:M358 T301:V358 AC301:AE358 AL301:AN358 AU301:AW358 BD301:BF358 BM301:BO358 BV301:BX358">
      <formula1>SUM($K2, $L2, $M2)&lt;=100</formula1>
    </dataValidation>
    <dataValidation type="list" allowBlank="1" showInputMessage="1" showErrorMessage="1" prompt="Invalid value" sqref="F2:F358 O2:O358 X2:X358 AG2:AG358 AP2:AP358 AY2:AY358 BH2:BH358 BQ2:BQ358">
      <formula1>"Assistance + CPA,Assistance + CPA : 5 Years,Assistance + CPA + AHDC + DOC,CPA + RSA,CPA + RSA : 5 Years,CPA + RSA + AHDC + DOC,RSA,RSA + AHDC + DOC"</formula1>
    </dataValidation>
    <dataValidation type="list" allowBlank="1" sqref="C2:C299 C301:C358">
      <formula1>"Yes,No"</formula1>
    </dataValidation>
    <dataValidation type="list" allowBlank="1" showErrorMessage="1" sqref="D2:D299 D301:D358">
      <formula1>"Master Dealer,Self"</formula1>
    </dataValidation>
    <dataValidation type="list" allowBlank="1" showInputMessage="1" showErrorMessage="1" prompt="Invalid value" sqref="I2:I299 R2:R299 AA2:AA299 AJ2:AJ299 AS2:AS299 BB2:BB299 BK2:BK299 BT2:BT299 I301:I358 R301:R358 AA301:AA358 AJ301:AJ358 AS301:AS358 BB301:BB358 BK301:BK358 BT301:BT358">
      <formula1>"Fixed Amount (₹),Percentage on Net (%),ACPL Plan Value,ACPL + Insurance Percent (%)"</formula1>
    </dataValidation>
    <dataValidation type="list" allowBlank="1" showErrorMessage="1" sqref="G2:G358 P2:P358 Y2:Y358 AH2:AH358 AQ2:AQ358 AZ2:AZ358 BI2:BI358 BR2:BR358">
      <formula1>"Base Pay,Cut &amp; Pay,Cut &amp; Pay (Base Pay),Full Pay,Full Pay (Base Pay)"</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75"/>
    <col customWidth="1" min="2" max="2" width="14.5"/>
    <col customWidth="1" min="3" max="3" width="11.5"/>
    <col customWidth="1" min="4" max="4" width="12.25"/>
    <col customWidth="1" min="5" max="5" width="25.5"/>
    <col customWidth="1" min="6" max="6" width="13.0"/>
    <col customWidth="1" min="7" max="7" width="11.13"/>
    <col customWidth="1" min="8" max="8" width="11.5"/>
    <col customWidth="1" min="9" max="9" width="19.88"/>
    <col customWidth="1" min="10" max="10" width="21.38"/>
    <col customWidth="1" min="11" max="11" width="18.0"/>
    <col customWidth="1" min="12" max="12" width="5.75"/>
  </cols>
  <sheetData>
    <row r="1">
      <c r="A1" s="26" t="str">
        <f>IFERROR(__xludf.DUMMYFUNCTION("IMPORTRANGE(""1yQP5I8fRtMHcALInbNvZjzkY_j42YJvgC-_GMrX-76s"", ""Policies!DO:DO"")"),"Dealer ID")</f>
        <v>Dealer ID</v>
      </c>
      <c r="B1" s="26" t="str">
        <f>IFERROR(__xludf.DUMMYFUNCTION("IMPORTRANGE(""1yQP5I8fRtMHcALInbNvZjzkY_j42YJvgC-_GMrX-76s"", ""Policies!DQ:DQ"")"),"Master Dealer ID")</f>
        <v>Master Dealer ID</v>
      </c>
      <c r="C1" s="26" t="str">
        <f>IFERROR(__xludf.DUMMYFUNCTION("IMPORTRANGE(""1yQP5I8fRtMHcALInbNvZjzkY_j42YJvgC-_GMrX-76s"", ""Policies!DS:DS"")"),"Distributor ID")</f>
        <v>Distributor ID</v>
      </c>
      <c r="D1" s="26" t="str">
        <f>IFERROR(__xludf.DUMMYFUNCTION("IMPORTRANGE(""1yQP5I8fRtMHcALInbNvZjzkY_j42YJvgC-_GMrX-76s"", ""Policies!N:N"")"),"Customer Type")</f>
        <v>Customer Type</v>
      </c>
      <c r="E1" s="26" t="str">
        <f>IFERROR(__xludf.DUMMYFUNCTION("IMPORTRANGE(""1yQP5I8fRtMHcALInbNvZjzkY_j42YJvgC-_GMrX-76s"", ""Policies!AV:AV"")"),"Insurance Type")</f>
        <v>Insurance Type</v>
      </c>
      <c r="F1" s="26" t="str">
        <f>IFERROR(__xludf.DUMMYFUNCTION("IMPORTRANGE(""1yQP5I8fRtMHcALInbNvZjzkY_j42YJvgC-_GMrX-76s"", ""Policies!DV:DV"")"),"Dealer Payment Terms")</f>
        <v>Dealer Payment Terms</v>
      </c>
      <c r="G1" s="26" t="str">
        <f>IFERROR(__xludf.DUMMYFUNCTION("IMPORTRANGE(""1yQP5I8fRtMHcALInbNvZjzkY_j42YJvgC-_GMrX-76s"", ""Policies!DW:DW"")"),"Master Dealer Payment Terms")</f>
        <v>Master Dealer Payment Terms</v>
      </c>
      <c r="H1" s="26" t="str">
        <f>IFERROR(__xludf.DUMMYFUNCTION("IMPORTRANGE(""1yQP5I8fRtMHcALInbNvZjzkY_j42YJvgC-_GMrX-76s"", ""Policies!DX:DX"")"),"Paid By")</f>
        <v>Paid By</v>
      </c>
      <c r="I1" s="26" t="str">
        <f>IFERROR(__xludf.DUMMYFUNCTION("IMPORTRANGE(""1yQP5I8fRtMHcALInbNvZjzkY_j42YJvgC-_GMrX-76s"", ""Policies!EX:EX"")"),"Gross Balance Deduction")</f>
        <v>Gross Balance Deduction</v>
      </c>
      <c r="J1" s="26" t="str">
        <f>IFERROR(__xludf.DUMMYFUNCTION("IMPORTRANGE(""1yQP5I8fRtMHcALInbNvZjzkY_j42YJvgC-_GMrX-76s"", ""Policies!EY:EY"")"),"Payout Adjusted in Balance")</f>
        <v>Payout Adjusted in Balance</v>
      </c>
      <c r="K1" s="26" t="str">
        <f>IFERROR(__xludf.DUMMYFUNCTION("IMPORTRANGE(""1yQP5I8fRtMHcALInbNvZjzkY_j42YJvgC-_GMrX-76s"", ""Policies!EZ:EZ"")"),"Net Balance Deduction")</f>
        <v>Net Balance Deduction</v>
      </c>
      <c r="L1" s="26" t="str">
        <f>IFERROR(__xludf.DUMMYFUNCTION("IMPORTRANGE(""1yQP5I8fRtMHcALInbNvZjzkY_j42YJvgC-_GMrX-76s"", ""Policies!FA:FA"")"),"Status")</f>
        <v>Status</v>
      </c>
    </row>
    <row r="2">
      <c r="A2" s="26" t="str">
        <f>IFERROR(__xludf.DUMMYFUNCTION("""COMPUTED_VALUE"""),"1Glot5DmufEUxf7sEoY2RAdbIWFVDuW2SHPtNIbHYEdc")</f>
        <v>1Glot5DmufEUxf7sEoY2RAdbIWFVDuW2SHPtNIbHYEdc</v>
      </c>
      <c r="B2" s="26" t="str">
        <f>IFERROR(__xludf.DUMMYFUNCTION("""COMPUTED_VALUE"""),"1Glot5DmufEUxf7sEoY2RAdbIWFVDuW2SHPtNIbHYEdc")</f>
        <v>1Glot5DmufEUxf7sEoY2RAdbIWFVDuW2SHPtNIbHYEdc</v>
      </c>
      <c r="C2" s="26"/>
      <c r="D2" s="26" t="str">
        <f>IFERROR(__xludf.DUMMYFUNCTION("""COMPUTED_VALUE"""),"Individual")</f>
        <v>Individual</v>
      </c>
      <c r="E2" s="26" t="str">
        <f>IFERROR(__xludf.DUMMYFUNCTION("""COMPUTED_VALUE"""),"Bundled - 1 Year OD + 5 Year TP")</f>
        <v>Bundled - 1 Year OD + 5 Year TP</v>
      </c>
      <c r="F2" s="26" t="str">
        <f>IFERROR(__xludf.DUMMYFUNCTION("""COMPUTED_VALUE"""),"Cut &amp; Pay (Base Pay)")</f>
        <v>Cut &amp; Pay (Base Pay)</v>
      </c>
      <c r="G2" s="26" t="str">
        <f>IFERROR(__xludf.DUMMYFUNCTION("""COMPUTED_VALUE"""),"Cut &amp; Pay (Base Pay)")</f>
        <v>Cut &amp; Pay (Base Pay)</v>
      </c>
      <c r="H2" s="26" t="str">
        <f>IFERROR(__xludf.DUMMYFUNCTION("""COMPUTED_VALUE"""),"Master Dealer")</f>
        <v>Master Dealer</v>
      </c>
      <c r="I2" s="26">
        <f>IFERROR(__xludf.DUMMYFUNCTION("""COMPUTED_VALUE"""),-5818.24)</f>
        <v>-5818.24</v>
      </c>
      <c r="J2" s="26">
        <f>IFERROR(__xludf.DUMMYFUNCTION("""COMPUTED_VALUE"""),1900.0)</f>
        <v>1900</v>
      </c>
      <c r="K2" s="26">
        <f>IFERROR(__xludf.DUMMYFUNCTION("""COMPUTED_VALUE"""),-3918.24)</f>
        <v>-3918.24</v>
      </c>
      <c r="L2" s="26" t="str">
        <f>IFERROR(__xludf.DUMMYFUNCTION("""COMPUTED_VALUE"""),"Active")</f>
        <v>Active</v>
      </c>
    </row>
    <row r="3">
      <c r="A3" s="26" t="str">
        <f>IFERROR(__xludf.DUMMYFUNCTION("""COMPUTED_VALUE"""),"12q3xzc4QnJvovb5WwDYonjwLc2kiwxvpEYShhfp6tf4")</f>
        <v>12q3xzc4QnJvovb5WwDYonjwLc2kiwxvpEYShhfp6tf4</v>
      </c>
      <c r="B3" s="26" t="str">
        <f>IFERROR(__xludf.DUMMYFUNCTION("""COMPUTED_VALUE"""),"12q3xzc4QnJvovb5WwDYonjwLc2kiwxvpEYShhfp6tf4")</f>
        <v>12q3xzc4QnJvovb5WwDYonjwLc2kiwxvpEYShhfp6tf4</v>
      </c>
      <c r="C3" s="26"/>
      <c r="D3" s="26" t="str">
        <f>IFERROR(__xludf.DUMMYFUNCTION("""COMPUTED_VALUE"""),"Individual")</f>
        <v>Individual</v>
      </c>
      <c r="E3" s="26" t="str">
        <f>IFERROR(__xludf.DUMMYFUNCTION("""COMPUTED_VALUE"""),"Bundled - 1 Year OD + 5 Year TP")</f>
        <v>Bundled - 1 Year OD + 5 Year TP</v>
      </c>
      <c r="F3" s="26" t="str">
        <f>IFERROR(__xludf.DUMMYFUNCTION("""COMPUTED_VALUE"""),"Full Pay (Base Pay)")</f>
        <v>Full Pay (Base Pay)</v>
      </c>
      <c r="G3" s="26" t="str">
        <f>IFERROR(__xludf.DUMMYFUNCTION("""COMPUTED_VALUE"""),"Full Pay (Base Pay)")</f>
        <v>Full Pay (Base Pay)</v>
      </c>
      <c r="H3" s="26" t="str">
        <f>IFERROR(__xludf.DUMMYFUNCTION("""COMPUTED_VALUE"""),"Master Dealer")</f>
        <v>Master Dealer</v>
      </c>
      <c r="I3" s="26">
        <f>IFERROR(__xludf.DUMMYFUNCTION("""COMPUTED_VALUE"""),-5849.48)</f>
        <v>-5849.48</v>
      </c>
      <c r="J3" s="26">
        <f>IFERROR(__xludf.DUMMYFUNCTION("""COMPUTED_VALUE"""),0.0)</f>
        <v>0</v>
      </c>
      <c r="K3" s="26">
        <f>IFERROR(__xludf.DUMMYFUNCTION("""COMPUTED_VALUE"""),-5849.48)</f>
        <v>-5849.48</v>
      </c>
      <c r="L3" s="26" t="str">
        <f>IFERROR(__xludf.DUMMYFUNCTION("""COMPUTED_VALUE"""),"Active")</f>
        <v>Active</v>
      </c>
    </row>
    <row r="4">
      <c r="A4" s="26" t="str">
        <f>IFERROR(__xludf.DUMMYFUNCTION("""COMPUTED_VALUE"""),"1050xuIkuCwbciPjL7NYnIQd49nor1NbjSoUBzXpeVrU")</f>
        <v>1050xuIkuCwbciPjL7NYnIQd49nor1NbjSoUBzXpeVrU</v>
      </c>
      <c r="B4" s="26" t="str">
        <f>IFERROR(__xludf.DUMMYFUNCTION("""COMPUTED_VALUE"""),"1050xuIkuCwbciPjL7NYnIQd49nor1NbjSoUBzXpeVrU")</f>
        <v>1050xuIkuCwbciPjL7NYnIQd49nor1NbjSoUBzXpeVrU</v>
      </c>
      <c r="C4" s="26"/>
      <c r="D4" s="26" t="str">
        <f>IFERROR(__xludf.DUMMYFUNCTION("""COMPUTED_VALUE"""),"Individual")</f>
        <v>Individual</v>
      </c>
      <c r="E4" s="26" t="str">
        <f>IFERROR(__xludf.DUMMYFUNCTION("""COMPUTED_VALUE"""),"Bundled - 1 Year OD + 5 Year TP")</f>
        <v>Bundled - 1 Year OD + 5 Year TP</v>
      </c>
      <c r="F4" s="26" t="str">
        <f>IFERROR(__xludf.DUMMYFUNCTION("""COMPUTED_VALUE"""),"Full Pay (Base Pay)")</f>
        <v>Full Pay (Base Pay)</v>
      </c>
      <c r="G4" s="26" t="str">
        <f>IFERROR(__xludf.DUMMYFUNCTION("""COMPUTED_VALUE"""),"Full Pay (Base Pay)")</f>
        <v>Full Pay (Base Pay)</v>
      </c>
      <c r="H4" s="26" t="str">
        <f>IFERROR(__xludf.DUMMYFUNCTION("""COMPUTED_VALUE"""),"Master Dealer")</f>
        <v>Master Dealer</v>
      </c>
      <c r="I4" s="26">
        <f>IFERROR(__xludf.DUMMYFUNCTION("""COMPUTED_VALUE"""),-5806.44)</f>
        <v>-5806.44</v>
      </c>
      <c r="J4" s="26">
        <f>IFERROR(__xludf.DUMMYFUNCTION("""COMPUTED_VALUE"""),0.0)</f>
        <v>0</v>
      </c>
      <c r="K4" s="26">
        <f>IFERROR(__xludf.DUMMYFUNCTION("""COMPUTED_VALUE"""),-5806.44)</f>
        <v>-5806.44</v>
      </c>
      <c r="L4" s="26" t="str">
        <f>IFERROR(__xludf.DUMMYFUNCTION("""COMPUTED_VALUE"""),"Active")</f>
        <v>Active</v>
      </c>
    </row>
    <row r="5">
      <c r="A5" s="26" t="str">
        <f>IFERROR(__xludf.DUMMYFUNCTION("""COMPUTED_VALUE"""),"1050xuIkuCwbciPjL7NYnIQd49nor1NbjSoUBzXpeVrU")</f>
        <v>1050xuIkuCwbciPjL7NYnIQd49nor1NbjSoUBzXpeVrU</v>
      </c>
      <c r="B5" s="26" t="str">
        <f>IFERROR(__xludf.DUMMYFUNCTION("""COMPUTED_VALUE"""),"1050xuIkuCwbciPjL7NYnIQd49nor1NbjSoUBzXpeVrU")</f>
        <v>1050xuIkuCwbciPjL7NYnIQd49nor1NbjSoUBzXpeVrU</v>
      </c>
      <c r="C5" s="26"/>
      <c r="D5" s="26" t="str">
        <f>IFERROR(__xludf.DUMMYFUNCTION("""COMPUTED_VALUE"""),"Individual")</f>
        <v>Individual</v>
      </c>
      <c r="E5" s="26" t="str">
        <f>IFERROR(__xludf.DUMMYFUNCTION("""COMPUTED_VALUE"""),"Bundled - 1 Year OD + 5 Year TP")</f>
        <v>Bundled - 1 Year OD + 5 Year TP</v>
      </c>
      <c r="F5" s="26" t="str">
        <f>IFERROR(__xludf.DUMMYFUNCTION("""COMPUTED_VALUE"""),"Full Pay (Base Pay)")</f>
        <v>Full Pay (Base Pay)</v>
      </c>
      <c r="G5" s="26" t="str">
        <f>IFERROR(__xludf.DUMMYFUNCTION("""COMPUTED_VALUE"""),"Full Pay (Base Pay)")</f>
        <v>Full Pay (Base Pay)</v>
      </c>
      <c r="H5" s="26" t="str">
        <f>IFERROR(__xludf.DUMMYFUNCTION("""COMPUTED_VALUE"""),"Master Dealer")</f>
        <v>Master Dealer</v>
      </c>
      <c r="I5" s="26">
        <f>IFERROR(__xludf.DUMMYFUNCTION("""COMPUTED_VALUE"""),-5992.46)</f>
        <v>-5992.46</v>
      </c>
      <c r="J5" s="26">
        <f>IFERROR(__xludf.DUMMYFUNCTION("""COMPUTED_VALUE"""),0.0)</f>
        <v>0</v>
      </c>
      <c r="K5" s="26">
        <f>IFERROR(__xludf.DUMMYFUNCTION("""COMPUTED_VALUE"""),-5992.46)</f>
        <v>-5992.46</v>
      </c>
      <c r="L5" s="26" t="str">
        <f>IFERROR(__xludf.DUMMYFUNCTION("""COMPUTED_VALUE"""),"Active")</f>
        <v>Active</v>
      </c>
    </row>
    <row r="6">
      <c r="A6" s="26" t="str">
        <f>IFERROR(__xludf.DUMMYFUNCTION("""COMPUTED_VALUE"""),"14mB4gV5ERRUfHqgfkG9Y3k4vrKZM_vGy769D96a1XRs")</f>
        <v>14mB4gV5ERRUfHqgfkG9Y3k4vrKZM_vGy769D96a1XRs</v>
      </c>
      <c r="B6" s="26" t="str">
        <f>IFERROR(__xludf.DUMMYFUNCTION("""COMPUTED_VALUE"""),"14mB4gV5ERRUfHqgfkG9Y3k4vrKZM_vGy769D96a1XRs")</f>
        <v>14mB4gV5ERRUfHqgfkG9Y3k4vrKZM_vGy769D96a1XRs</v>
      </c>
      <c r="C6" s="26"/>
      <c r="D6" s="26" t="str">
        <f>IFERROR(__xludf.DUMMYFUNCTION("""COMPUTED_VALUE"""),"Individual")</f>
        <v>Individual</v>
      </c>
      <c r="E6" s="26" t="str">
        <f>IFERROR(__xludf.DUMMYFUNCTION("""COMPUTED_VALUE"""),"Bundled - 1 Year OD + 5 Year TP")</f>
        <v>Bundled - 1 Year OD + 5 Year TP</v>
      </c>
      <c r="F6" s="26" t="str">
        <f>IFERROR(__xludf.DUMMYFUNCTION("""COMPUTED_VALUE"""),"Full Pay (Base Pay)")</f>
        <v>Full Pay (Base Pay)</v>
      </c>
      <c r="G6" s="26" t="str">
        <f>IFERROR(__xludf.DUMMYFUNCTION("""COMPUTED_VALUE"""),"Full Pay (Base Pay)")</f>
        <v>Full Pay (Base Pay)</v>
      </c>
      <c r="H6" s="26" t="str">
        <f>IFERROR(__xludf.DUMMYFUNCTION("""COMPUTED_VALUE"""),"Master Dealer")</f>
        <v>Master Dealer</v>
      </c>
      <c r="I6" s="26">
        <f>IFERROR(__xludf.DUMMYFUNCTION("""COMPUTED_VALUE"""),-6060.68)</f>
        <v>-6060.68</v>
      </c>
      <c r="J6" s="26">
        <f>IFERROR(__xludf.DUMMYFUNCTION("""COMPUTED_VALUE"""),0.0)</f>
        <v>0</v>
      </c>
      <c r="K6" s="26">
        <f>IFERROR(__xludf.DUMMYFUNCTION("""COMPUTED_VALUE"""),-6060.68)</f>
        <v>-6060.68</v>
      </c>
      <c r="L6" s="26" t="str">
        <f>IFERROR(__xludf.DUMMYFUNCTION("""COMPUTED_VALUE"""),"Active")</f>
        <v>Active</v>
      </c>
    </row>
    <row r="7">
      <c r="A7" s="26" t="str">
        <f>IFERROR(__xludf.DUMMYFUNCTION("""COMPUTED_VALUE"""),"1050xuIkuCwbciPjL7NYnIQd49nor1NbjSoUBzXpeVrU")</f>
        <v>1050xuIkuCwbciPjL7NYnIQd49nor1NbjSoUBzXpeVrU</v>
      </c>
      <c r="B7" s="26" t="str">
        <f>IFERROR(__xludf.DUMMYFUNCTION("""COMPUTED_VALUE"""),"1050xuIkuCwbciPjL7NYnIQd49nor1NbjSoUBzXpeVrU")</f>
        <v>1050xuIkuCwbciPjL7NYnIQd49nor1NbjSoUBzXpeVrU</v>
      </c>
      <c r="C7" s="26"/>
      <c r="D7" s="26" t="str">
        <f>IFERROR(__xludf.DUMMYFUNCTION("""COMPUTED_VALUE"""),"Individual")</f>
        <v>Individual</v>
      </c>
      <c r="E7" s="26" t="str">
        <f>IFERROR(__xludf.DUMMYFUNCTION("""COMPUTED_VALUE"""),"Bundled - 1 Year OD + 5 Year TP")</f>
        <v>Bundled - 1 Year OD + 5 Year TP</v>
      </c>
      <c r="F7" s="26" t="str">
        <f>IFERROR(__xludf.DUMMYFUNCTION("""COMPUTED_VALUE"""),"Full Pay (Base Pay)")</f>
        <v>Full Pay (Base Pay)</v>
      </c>
      <c r="G7" s="26" t="str">
        <f>IFERROR(__xludf.DUMMYFUNCTION("""COMPUTED_VALUE"""),"Full Pay (Base Pay)")</f>
        <v>Full Pay (Base Pay)</v>
      </c>
      <c r="H7" s="26" t="str">
        <f>IFERROR(__xludf.DUMMYFUNCTION("""COMPUTED_VALUE"""),"Master Dealer")</f>
        <v>Master Dealer</v>
      </c>
      <c r="I7" s="26">
        <f>IFERROR(__xludf.DUMMYFUNCTION("""COMPUTED_VALUE"""),-5805.26)</f>
        <v>-5805.26</v>
      </c>
      <c r="J7" s="26">
        <f>IFERROR(__xludf.DUMMYFUNCTION("""COMPUTED_VALUE"""),0.0)</f>
        <v>0</v>
      </c>
      <c r="K7" s="26">
        <f>IFERROR(__xludf.DUMMYFUNCTION("""COMPUTED_VALUE"""),-5805.26)</f>
        <v>-5805.26</v>
      </c>
      <c r="L7" s="26" t="str">
        <f>IFERROR(__xludf.DUMMYFUNCTION("""COMPUTED_VALUE"""),"Active")</f>
        <v>Active</v>
      </c>
    </row>
    <row r="8">
      <c r="A8" s="26" t="str">
        <f>IFERROR(__xludf.DUMMYFUNCTION("""COMPUTED_VALUE"""),"1050xuIkuCwbciPjL7NYnIQd49nor1NbjSoUBzXpeVrU")</f>
        <v>1050xuIkuCwbciPjL7NYnIQd49nor1NbjSoUBzXpeVrU</v>
      </c>
      <c r="B8" s="26" t="str">
        <f>IFERROR(__xludf.DUMMYFUNCTION("""COMPUTED_VALUE"""),"1050xuIkuCwbciPjL7NYnIQd49nor1NbjSoUBzXpeVrU")</f>
        <v>1050xuIkuCwbciPjL7NYnIQd49nor1NbjSoUBzXpeVrU</v>
      </c>
      <c r="C8" s="26"/>
      <c r="D8" s="26" t="str">
        <f>IFERROR(__xludf.DUMMYFUNCTION("""COMPUTED_VALUE"""),"Individual")</f>
        <v>Individual</v>
      </c>
      <c r="E8" s="26" t="str">
        <f>IFERROR(__xludf.DUMMYFUNCTION("""COMPUTED_VALUE"""),"Bundled - 1 Year OD + 5 Year TP")</f>
        <v>Bundled - 1 Year OD + 5 Year TP</v>
      </c>
      <c r="F8" s="26" t="str">
        <f>IFERROR(__xludf.DUMMYFUNCTION("""COMPUTED_VALUE"""),"Full Pay (Base Pay)")</f>
        <v>Full Pay (Base Pay)</v>
      </c>
      <c r="G8" s="26" t="str">
        <f>IFERROR(__xludf.DUMMYFUNCTION("""COMPUTED_VALUE"""),"Full Pay (Base Pay)")</f>
        <v>Full Pay (Base Pay)</v>
      </c>
      <c r="H8" s="26" t="str">
        <f>IFERROR(__xludf.DUMMYFUNCTION("""COMPUTED_VALUE"""),"Master Dealer")</f>
        <v>Master Dealer</v>
      </c>
      <c r="I8" s="26">
        <f>IFERROR(__xludf.DUMMYFUNCTION("""COMPUTED_VALUE"""),-5839.76)</f>
        <v>-5839.76</v>
      </c>
      <c r="J8" s="26">
        <f>IFERROR(__xludf.DUMMYFUNCTION("""COMPUTED_VALUE"""),0.0)</f>
        <v>0</v>
      </c>
      <c r="K8" s="26">
        <f>IFERROR(__xludf.DUMMYFUNCTION("""COMPUTED_VALUE"""),-5839.76)</f>
        <v>-5839.76</v>
      </c>
      <c r="L8" s="26" t="str">
        <f>IFERROR(__xludf.DUMMYFUNCTION("""COMPUTED_VALUE"""),"Active")</f>
        <v>Active</v>
      </c>
    </row>
    <row r="9">
      <c r="A9" s="26" t="str">
        <f>IFERROR(__xludf.DUMMYFUNCTION("""COMPUTED_VALUE"""),"1Glot5DmufEUxf7sEoY2RAdbIWFVDuW2SHPtNIbHYEdc")</f>
        <v>1Glot5DmufEUxf7sEoY2RAdbIWFVDuW2SHPtNIbHYEdc</v>
      </c>
      <c r="B9" s="26" t="str">
        <f>IFERROR(__xludf.DUMMYFUNCTION("""COMPUTED_VALUE"""),"1Glot5DmufEUxf7sEoY2RAdbIWFVDuW2SHPtNIbHYEdc")</f>
        <v>1Glot5DmufEUxf7sEoY2RAdbIWFVDuW2SHPtNIbHYEdc</v>
      </c>
      <c r="C9" s="26"/>
      <c r="D9" s="26" t="str">
        <f>IFERROR(__xludf.DUMMYFUNCTION("""COMPUTED_VALUE"""),"Company")</f>
        <v>Company</v>
      </c>
      <c r="E9" s="26" t="str">
        <f>IFERROR(__xludf.DUMMYFUNCTION("""COMPUTED_VALUE"""),"Bundled - 1 Year OD + 5 Year TP")</f>
        <v>Bundled - 1 Year OD + 5 Year TP</v>
      </c>
      <c r="F9" s="26" t="str">
        <f>IFERROR(__xludf.DUMMYFUNCTION("""COMPUTED_VALUE"""),"Cut &amp; Pay (Base Pay)")</f>
        <v>Cut &amp; Pay (Base Pay)</v>
      </c>
      <c r="G9" s="26" t="str">
        <f>IFERROR(__xludf.DUMMYFUNCTION("""COMPUTED_VALUE"""),"Cut &amp; Pay (Base Pay)")</f>
        <v>Cut &amp; Pay (Base Pay)</v>
      </c>
      <c r="H9" s="26" t="str">
        <f>IFERROR(__xludf.DUMMYFUNCTION("""COMPUTED_VALUE"""),"Master Dealer")</f>
        <v>Master Dealer</v>
      </c>
      <c r="I9" s="26">
        <f>IFERROR(__xludf.DUMMYFUNCTION("""COMPUTED_VALUE"""),-5801.72)</f>
        <v>-5801.72</v>
      </c>
      <c r="J9" s="26">
        <f>IFERROR(__xludf.DUMMYFUNCTION("""COMPUTED_VALUE"""),1900.0)</f>
        <v>1900</v>
      </c>
      <c r="K9" s="26">
        <f>IFERROR(__xludf.DUMMYFUNCTION("""COMPUTED_VALUE"""),-3901.72)</f>
        <v>-3901.72</v>
      </c>
      <c r="L9" s="26" t="str">
        <f>IFERROR(__xludf.DUMMYFUNCTION("""COMPUTED_VALUE"""),"Active")</f>
        <v>Active</v>
      </c>
    </row>
    <row r="10">
      <c r="A10" s="26" t="str">
        <f>IFERROR(__xludf.DUMMYFUNCTION("""COMPUTED_VALUE"""),"1050xuIkuCwbciPjL7NYnIQd49nor1NbjSoUBzXpeVrU")</f>
        <v>1050xuIkuCwbciPjL7NYnIQd49nor1NbjSoUBzXpeVrU</v>
      </c>
      <c r="B10" s="26" t="str">
        <f>IFERROR(__xludf.DUMMYFUNCTION("""COMPUTED_VALUE"""),"1050xuIkuCwbciPjL7NYnIQd49nor1NbjSoUBzXpeVrU")</f>
        <v>1050xuIkuCwbciPjL7NYnIQd49nor1NbjSoUBzXpeVrU</v>
      </c>
      <c r="C10" s="26"/>
      <c r="D10" s="26" t="str">
        <f>IFERROR(__xludf.DUMMYFUNCTION("""COMPUTED_VALUE"""),"Individual")</f>
        <v>Individual</v>
      </c>
      <c r="E10" s="26" t="str">
        <f>IFERROR(__xludf.DUMMYFUNCTION("""COMPUTED_VALUE"""),"Bundled - 1 Year OD + 5 Year TP")</f>
        <v>Bundled - 1 Year OD + 5 Year TP</v>
      </c>
      <c r="F10" s="26" t="str">
        <f>IFERROR(__xludf.DUMMYFUNCTION("""COMPUTED_VALUE"""),"Full Pay (Base Pay)")</f>
        <v>Full Pay (Base Pay)</v>
      </c>
      <c r="G10" s="26" t="str">
        <f>IFERROR(__xludf.DUMMYFUNCTION("""COMPUTED_VALUE"""),"Full Pay (Base Pay)")</f>
        <v>Full Pay (Base Pay)</v>
      </c>
      <c r="H10" s="26" t="str">
        <f>IFERROR(__xludf.DUMMYFUNCTION("""COMPUTED_VALUE"""),"Master Dealer")</f>
        <v>Master Dealer</v>
      </c>
      <c r="I10" s="26">
        <f>IFERROR(__xludf.DUMMYFUNCTION("""COMPUTED_VALUE"""),-5818.24)</f>
        <v>-5818.24</v>
      </c>
      <c r="J10" s="26">
        <f>IFERROR(__xludf.DUMMYFUNCTION("""COMPUTED_VALUE"""),0.0)</f>
        <v>0</v>
      </c>
      <c r="K10" s="26">
        <f>IFERROR(__xludf.DUMMYFUNCTION("""COMPUTED_VALUE"""),-5818.24)</f>
        <v>-5818.24</v>
      </c>
      <c r="L10" s="26" t="str">
        <f>IFERROR(__xludf.DUMMYFUNCTION("""COMPUTED_VALUE"""),"Active")</f>
        <v>Active</v>
      </c>
    </row>
    <row r="11">
      <c r="A11" s="26" t="str">
        <f>IFERROR(__xludf.DUMMYFUNCTION("""COMPUTED_VALUE"""),"1050xuIkuCwbciPjL7NYnIQd49nor1NbjSoUBzXpeVrU")</f>
        <v>1050xuIkuCwbciPjL7NYnIQd49nor1NbjSoUBzXpeVrU</v>
      </c>
      <c r="B11" s="26" t="str">
        <f>IFERROR(__xludf.DUMMYFUNCTION("""COMPUTED_VALUE"""),"1050xuIkuCwbciPjL7NYnIQd49nor1NbjSoUBzXpeVrU")</f>
        <v>1050xuIkuCwbciPjL7NYnIQd49nor1NbjSoUBzXpeVrU</v>
      </c>
      <c r="C11" s="26"/>
      <c r="D11" s="26" t="str">
        <f>IFERROR(__xludf.DUMMYFUNCTION("""COMPUTED_VALUE"""),"Individual")</f>
        <v>Individual</v>
      </c>
      <c r="E11" s="26" t="str">
        <f>IFERROR(__xludf.DUMMYFUNCTION("""COMPUTED_VALUE"""),"Bundled - 1 Year OD + 5 Year TP")</f>
        <v>Bundled - 1 Year OD + 5 Year TP</v>
      </c>
      <c r="F11" s="26" t="str">
        <f>IFERROR(__xludf.DUMMYFUNCTION("""COMPUTED_VALUE"""),"Full Pay (Base Pay)")</f>
        <v>Full Pay (Base Pay)</v>
      </c>
      <c r="G11" s="26" t="str">
        <f>IFERROR(__xludf.DUMMYFUNCTION("""COMPUTED_VALUE"""),"Full Pay (Base Pay)")</f>
        <v>Full Pay (Base Pay)</v>
      </c>
      <c r="H11" s="26" t="str">
        <f>IFERROR(__xludf.DUMMYFUNCTION("""COMPUTED_VALUE"""),"Master Dealer")</f>
        <v>Master Dealer</v>
      </c>
      <c r="I11" s="26">
        <f>IFERROR(__xludf.DUMMYFUNCTION("""COMPUTED_VALUE"""),-5818.24)</f>
        <v>-5818.24</v>
      </c>
      <c r="J11" s="26">
        <f>IFERROR(__xludf.DUMMYFUNCTION("""COMPUTED_VALUE"""),0.0)</f>
        <v>0</v>
      </c>
      <c r="K11" s="26">
        <f>IFERROR(__xludf.DUMMYFUNCTION("""COMPUTED_VALUE"""),-5818.24)</f>
        <v>-5818.24</v>
      </c>
      <c r="L11" s="26" t="str">
        <f>IFERROR(__xludf.DUMMYFUNCTION("""COMPUTED_VALUE"""),"Active")</f>
        <v>Active</v>
      </c>
    </row>
    <row r="12">
      <c r="A12" s="26" t="str">
        <f>IFERROR(__xludf.DUMMYFUNCTION("""COMPUTED_VALUE"""),"1050xuIkuCwbciPjL7NYnIQd49nor1NbjSoUBzXpeVrU")</f>
        <v>1050xuIkuCwbciPjL7NYnIQd49nor1NbjSoUBzXpeVrU</v>
      </c>
      <c r="B12" s="26" t="str">
        <f>IFERROR(__xludf.DUMMYFUNCTION("""COMPUTED_VALUE"""),"1050xuIkuCwbciPjL7NYnIQd49nor1NbjSoUBzXpeVrU")</f>
        <v>1050xuIkuCwbciPjL7NYnIQd49nor1NbjSoUBzXpeVrU</v>
      </c>
      <c r="C12" s="26"/>
      <c r="D12" s="26" t="str">
        <f>IFERROR(__xludf.DUMMYFUNCTION("""COMPUTED_VALUE"""),"Individual")</f>
        <v>Individual</v>
      </c>
      <c r="E12" s="26" t="str">
        <f>IFERROR(__xludf.DUMMYFUNCTION("""COMPUTED_VALUE"""),"Bundled - 1 Year OD + 5 Year TP")</f>
        <v>Bundled - 1 Year OD + 5 Year TP</v>
      </c>
      <c r="F12" s="26" t="str">
        <f>IFERROR(__xludf.DUMMYFUNCTION("""COMPUTED_VALUE"""),"Full Pay (Base Pay)")</f>
        <v>Full Pay (Base Pay)</v>
      </c>
      <c r="G12" s="26" t="str">
        <f>IFERROR(__xludf.DUMMYFUNCTION("""COMPUTED_VALUE"""),"Full Pay (Base Pay)")</f>
        <v>Full Pay (Base Pay)</v>
      </c>
      <c r="H12" s="26" t="str">
        <f>IFERROR(__xludf.DUMMYFUNCTION("""COMPUTED_VALUE"""),"Master Dealer")</f>
        <v>Master Dealer</v>
      </c>
      <c r="I12" s="26">
        <f>IFERROR(__xludf.DUMMYFUNCTION("""COMPUTED_VALUE"""),-5818.24)</f>
        <v>-5818.24</v>
      </c>
      <c r="J12" s="26">
        <f>IFERROR(__xludf.DUMMYFUNCTION("""COMPUTED_VALUE"""),0.0)</f>
        <v>0</v>
      </c>
      <c r="K12" s="26">
        <f>IFERROR(__xludf.DUMMYFUNCTION("""COMPUTED_VALUE"""),-5818.24)</f>
        <v>-5818.24</v>
      </c>
      <c r="L12" s="26" t="str">
        <f>IFERROR(__xludf.DUMMYFUNCTION("""COMPUTED_VALUE"""),"Active")</f>
        <v>Active</v>
      </c>
    </row>
    <row r="13">
      <c r="A13" s="26" t="str">
        <f>IFERROR(__xludf.DUMMYFUNCTION("""COMPUTED_VALUE"""),"1050xuIkuCwbciPjL7NYnIQd49nor1NbjSoUBzXpeVrU")</f>
        <v>1050xuIkuCwbciPjL7NYnIQd49nor1NbjSoUBzXpeVrU</v>
      </c>
      <c r="B13" s="26" t="str">
        <f>IFERROR(__xludf.DUMMYFUNCTION("""COMPUTED_VALUE"""),"1050xuIkuCwbciPjL7NYnIQd49nor1NbjSoUBzXpeVrU")</f>
        <v>1050xuIkuCwbciPjL7NYnIQd49nor1NbjSoUBzXpeVrU</v>
      </c>
      <c r="C13" s="26"/>
      <c r="D13" s="26" t="str">
        <f>IFERROR(__xludf.DUMMYFUNCTION("""COMPUTED_VALUE"""),"Individual")</f>
        <v>Individual</v>
      </c>
      <c r="E13" s="26" t="str">
        <f>IFERROR(__xludf.DUMMYFUNCTION("""COMPUTED_VALUE"""),"Bundled - 1 Year OD + 5 Year TP")</f>
        <v>Bundled - 1 Year OD + 5 Year TP</v>
      </c>
      <c r="F13" s="26" t="str">
        <f>IFERROR(__xludf.DUMMYFUNCTION("""COMPUTED_VALUE"""),"Full Pay (Base Pay)")</f>
        <v>Full Pay (Base Pay)</v>
      </c>
      <c r="G13" s="26" t="str">
        <f>IFERROR(__xludf.DUMMYFUNCTION("""COMPUTED_VALUE"""),"Full Pay (Base Pay)")</f>
        <v>Full Pay (Base Pay)</v>
      </c>
      <c r="H13" s="26" t="str">
        <f>IFERROR(__xludf.DUMMYFUNCTION("""COMPUTED_VALUE"""),"Master Dealer")</f>
        <v>Master Dealer</v>
      </c>
      <c r="I13" s="26">
        <f>IFERROR(__xludf.DUMMYFUNCTION("""COMPUTED_VALUE"""),-5818.24)</f>
        <v>-5818.24</v>
      </c>
      <c r="J13" s="26">
        <f>IFERROR(__xludf.DUMMYFUNCTION("""COMPUTED_VALUE"""),0.0)</f>
        <v>0</v>
      </c>
      <c r="K13" s="26">
        <f>IFERROR(__xludf.DUMMYFUNCTION("""COMPUTED_VALUE"""),-5818.24)</f>
        <v>-5818.24</v>
      </c>
      <c r="L13" s="26" t="str">
        <f>IFERROR(__xludf.DUMMYFUNCTION("""COMPUTED_VALUE"""),"Active")</f>
        <v>Active</v>
      </c>
    </row>
    <row r="14">
      <c r="A14" s="26" t="str">
        <f>IFERROR(__xludf.DUMMYFUNCTION("""COMPUTED_VALUE"""),"1050xuIkuCwbciPjL7NYnIQd49nor1NbjSoUBzXpeVrU")</f>
        <v>1050xuIkuCwbciPjL7NYnIQd49nor1NbjSoUBzXpeVrU</v>
      </c>
      <c r="B14" s="26" t="str">
        <f>IFERROR(__xludf.DUMMYFUNCTION("""COMPUTED_VALUE"""),"1050xuIkuCwbciPjL7NYnIQd49nor1NbjSoUBzXpeVrU")</f>
        <v>1050xuIkuCwbciPjL7NYnIQd49nor1NbjSoUBzXpeVrU</v>
      </c>
      <c r="C14" s="26"/>
      <c r="D14" s="26" t="str">
        <f>IFERROR(__xludf.DUMMYFUNCTION("""COMPUTED_VALUE"""),"Individual")</f>
        <v>Individual</v>
      </c>
      <c r="E14" s="26" t="str">
        <f>IFERROR(__xludf.DUMMYFUNCTION("""COMPUTED_VALUE"""),"Bundled - 1 Year OD + 5 Year TP")</f>
        <v>Bundled - 1 Year OD + 5 Year TP</v>
      </c>
      <c r="F14" s="26" t="str">
        <f>IFERROR(__xludf.DUMMYFUNCTION("""COMPUTED_VALUE"""),"Full Pay (Base Pay)")</f>
        <v>Full Pay (Base Pay)</v>
      </c>
      <c r="G14" s="26" t="str">
        <f>IFERROR(__xludf.DUMMYFUNCTION("""COMPUTED_VALUE"""),"Full Pay (Base Pay)")</f>
        <v>Full Pay (Base Pay)</v>
      </c>
      <c r="H14" s="26" t="str">
        <f>IFERROR(__xludf.DUMMYFUNCTION("""COMPUTED_VALUE"""),"Master Dealer")</f>
        <v>Master Dealer</v>
      </c>
      <c r="I14" s="26">
        <f>IFERROR(__xludf.DUMMYFUNCTION("""COMPUTED_VALUE"""),-5720.3)</f>
        <v>-5720.3</v>
      </c>
      <c r="J14" s="26">
        <f>IFERROR(__xludf.DUMMYFUNCTION("""COMPUTED_VALUE"""),0.0)</f>
        <v>0</v>
      </c>
      <c r="K14" s="26">
        <f>IFERROR(__xludf.DUMMYFUNCTION("""COMPUTED_VALUE"""),-5720.3)</f>
        <v>-5720.3</v>
      </c>
      <c r="L14" s="26" t="str">
        <f>IFERROR(__xludf.DUMMYFUNCTION("""COMPUTED_VALUE"""),"Active")</f>
        <v>Active</v>
      </c>
    </row>
    <row r="15">
      <c r="A15" s="26" t="str">
        <f>IFERROR(__xludf.DUMMYFUNCTION("""COMPUTED_VALUE"""),"1Glot5DmufEUxf7sEoY2RAdbIWFVDuW2SHPtNIbHYEdc")</f>
        <v>1Glot5DmufEUxf7sEoY2RAdbIWFVDuW2SHPtNIbHYEdc</v>
      </c>
      <c r="B15" s="26" t="str">
        <f>IFERROR(__xludf.DUMMYFUNCTION("""COMPUTED_VALUE"""),"1Glot5DmufEUxf7sEoY2RAdbIWFVDuW2SHPtNIbHYEdc")</f>
        <v>1Glot5DmufEUxf7sEoY2RAdbIWFVDuW2SHPtNIbHYEdc</v>
      </c>
      <c r="C15" s="26"/>
      <c r="D15" s="26" t="str">
        <f>IFERROR(__xludf.DUMMYFUNCTION("""COMPUTED_VALUE"""),"Individual")</f>
        <v>Individual</v>
      </c>
      <c r="E15" s="26" t="str">
        <f>IFERROR(__xludf.DUMMYFUNCTION("""COMPUTED_VALUE"""),"Bundled - 1 Year OD + 5 Year TP")</f>
        <v>Bundled - 1 Year OD + 5 Year TP</v>
      </c>
      <c r="F15" s="26" t="str">
        <f>IFERROR(__xludf.DUMMYFUNCTION("""COMPUTED_VALUE"""),"Cut &amp; Pay (Base Pay)")</f>
        <v>Cut &amp; Pay (Base Pay)</v>
      </c>
      <c r="G15" s="26" t="str">
        <f>IFERROR(__xludf.DUMMYFUNCTION("""COMPUTED_VALUE"""),"Cut &amp; Pay (Base Pay)")</f>
        <v>Cut &amp; Pay (Base Pay)</v>
      </c>
      <c r="H15" s="26" t="str">
        <f>IFERROR(__xludf.DUMMYFUNCTION("""COMPUTED_VALUE"""),"Master Dealer")</f>
        <v>Master Dealer</v>
      </c>
      <c r="I15" s="26">
        <f>IFERROR(__xludf.DUMMYFUNCTION("""COMPUTED_VALUE"""),-6060.68)</f>
        <v>-6060.68</v>
      </c>
      <c r="J15" s="26">
        <f>IFERROR(__xludf.DUMMYFUNCTION("""COMPUTED_VALUE"""),1900.0)</f>
        <v>1900</v>
      </c>
      <c r="K15" s="26">
        <f>IFERROR(__xludf.DUMMYFUNCTION("""COMPUTED_VALUE"""),-4160.68)</f>
        <v>-4160.68</v>
      </c>
      <c r="L15" s="26" t="str">
        <f>IFERROR(__xludf.DUMMYFUNCTION("""COMPUTED_VALUE"""),"Active")</f>
        <v>Active</v>
      </c>
    </row>
    <row r="16">
      <c r="A16" s="26" t="str">
        <f>IFERROR(__xludf.DUMMYFUNCTION("""COMPUTED_VALUE"""),"12q3xzc4QnJvovb5WwDYonjwLc2kiwxvpEYShhfp6tf4")</f>
        <v>12q3xzc4QnJvovb5WwDYonjwLc2kiwxvpEYShhfp6tf4</v>
      </c>
      <c r="B16" s="26" t="str">
        <f>IFERROR(__xludf.DUMMYFUNCTION("""COMPUTED_VALUE"""),"12q3xzc4QnJvovb5WwDYonjwLc2kiwxvpEYShhfp6tf4")</f>
        <v>12q3xzc4QnJvovb5WwDYonjwLc2kiwxvpEYShhfp6tf4</v>
      </c>
      <c r="C16" s="26"/>
      <c r="D16" s="26" t="str">
        <f>IFERROR(__xludf.DUMMYFUNCTION("""COMPUTED_VALUE"""),"Individual")</f>
        <v>Individual</v>
      </c>
      <c r="E16" s="26" t="str">
        <f>IFERROR(__xludf.DUMMYFUNCTION("""COMPUTED_VALUE"""),"Bundled - 1 Year OD + 5 Year TP")</f>
        <v>Bundled - 1 Year OD + 5 Year TP</v>
      </c>
      <c r="F16" s="26" t="str">
        <f>IFERROR(__xludf.DUMMYFUNCTION("""COMPUTED_VALUE"""),"Full Pay (Base Pay)")</f>
        <v>Full Pay (Base Pay)</v>
      </c>
      <c r="G16" s="26" t="str">
        <f>IFERROR(__xludf.DUMMYFUNCTION("""COMPUTED_VALUE"""),"Full Pay (Base Pay)")</f>
        <v>Full Pay (Base Pay)</v>
      </c>
      <c r="H16" s="26" t="str">
        <f>IFERROR(__xludf.DUMMYFUNCTION("""COMPUTED_VALUE"""),"Master Dealer")</f>
        <v>Master Dealer</v>
      </c>
      <c r="I16" s="26">
        <f>IFERROR(__xludf.DUMMYFUNCTION("""COMPUTED_VALUE"""),-5664.84)</f>
        <v>-5664.84</v>
      </c>
      <c r="J16" s="26">
        <f>IFERROR(__xludf.DUMMYFUNCTION("""COMPUTED_VALUE"""),0.0)</f>
        <v>0</v>
      </c>
      <c r="K16" s="26">
        <f>IFERROR(__xludf.DUMMYFUNCTION("""COMPUTED_VALUE"""),-5664.84)</f>
        <v>-5664.84</v>
      </c>
      <c r="L16" s="26" t="str">
        <f>IFERROR(__xludf.DUMMYFUNCTION("""COMPUTED_VALUE"""),"Active")</f>
        <v>Active</v>
      </c>
    </row>
    <row r="17">
      <c r="A17" s="26" t="str">
        <f>IFERROR(__xludf.DUMMYFUNCTION("""COMPUTED_VALUE"""),"1050xuIkuCwbciPjL7NYnIQd49nor1NbjSoUBzXpeVrU")</f>
        <v>1050xuIkuCwbciPjL7NYnIQd49nor1NbjSoUBzXpeVrU</v>
      </c>
      <c r="B17" s="26" t="str">
        <f>IFERROR(__xludf.DUMMYFUNCTION("""COMPUTED_VALUE"""),"1050xuIkuCwbciPjL7NYnIQd49nor1NbjSoUBzXpeVrU")</f>
        <v>1050xuIkuCwbciPjL7NYnIQd49nor1NbjSoUBzXpeVrU</v>
      </c>
      <c r="C17" s="26"/>
      <c r="D17" s="26" t="str">
        <f>IFERROR(__xludf.DUMMYFUNCTION("""COMPUTED_VALUE"""),"Individual")</f>
        <v>Individual</v>
      </c>
      <c r="E17" s="26" t="str">
        <f>IFERROR(__xludf.DUMMYFUNCTION("""COMPUTED_VALUE"""),"Bundled - 1 Year OD + 5 Year TP")</f>
        <v>Bundled - 1 Year OD + 5 Year TP</v>
      </c>
      <c r="F17" s="26" t="str">
        <f>IFERROR(__xludf.DUMMYFUNCTION("""COMPUTED_VALUE"""),"Full Pay (Base Pay)")</f>
        <v>Full Pay (Base Pay)</v>
      </c>
      <c r="G17" s="26" t="str">
        <f>IFERROR(__xludf.DUMMYFUNCTION("""COMPUTED_VALUE"""),"Full Pay (Base Pay)")</f>
        <v>Full Pay (Base Pay)</v>
      </c>
      <c r="H17" s="26" t="str">
        <f>IFERROR(__xludf.DUMMYFUNCTION("""COMPUTED_VALUE"""),"Master Dealer")</f>
        <v>Master Dealer</v>
      </c>
      <c r="I17" s="26">
        <f>IFERROR(__xludf.DUMMYFUNCTION("""COMPUTED_VALUE"""),-5873.28)</f>
        <v>-5873.28</v>
      </c>
      <c r="J17" s="26">
        <f>IFERROR(__xludf.DUMMYFUNCTION("""COMPUTED_VALUE"""),0.0)</f>
        <v>0</v>
      </c>
      <c r="K17" s="26">
        <f>IFERROR(__xludf.DUMMYFUNCTION("""COMPUTED_VALUE"""),-5873.28)</f>
        <v>-5873.28</v>
      </c>
      <c r="L17" s="26" t="str">
        <f>IFERROR(__xludf.DUMMYFUNCTION("""COMPUTED_VALUE"""),"Active")</f>
        <v>Active</v>
      </c>
    </row>
    <row r="18">
      <c r="A18" s="26" t="str">
        <f>IFERROR(__xludf.DUMMYFUNCTION("""COMPUTED_VALUE"""),"1050xuIkuCwbciPjL7NYnIQd49nor1NbjSoUBzXpeVrU")</f>
        <v>1050xuIkuCwbciPjL7NYnIQd49nor1NbjSoUBzXpeVrU</v>
      </c>
      <c r="B18" s="26" t="str">
        <f>IFERROR(__xludf.DUMMYFUNCTION("""COMPUTED_VALUE"""),"1050xuIkuCwbciPjL7NYnIQd49nor1NbjSoUBzXpeVrU")</f>
        <v>1050xuIkuCwbciPjL7NYnIQd49nor1NbjSoUBzXpeVrU</v>
      </c>
      <c r="C18" s="26"/>
      <c r="D18" s="26" t="str">
        <f>IFERROR(__xludf.DUMMYFUNCTION("""COMPUTED_VALUE"""),"Individual")</f>
        <v>Individual</v>
      </c>
      <c r="E18" s="26" t="str">
        <f>IFERROR(__xludf.DUMMYFUNCTION("""COMPUTED_VALUE"""),"Bundled - 1 Year OD + 5 Year TP")</f>
        <v>Bundled - 1 Year OD + 5 Year TP</v>
      </c>
      <c r="F18" s="26" t="str">
        <f>IFERROR(__xludf.DUMMYFUNCTION("""COMPUTED_VALUE"""),"Full Pay (Base Pay)")</f>
        <v>Full Pay (Base Pay)</v>
      </c>
      <c r="G18" s="26" t="str">
        <f>IFERROR(__xludf.DUMMYFUNCTION("""COMPUTED_VALUE"""),"Full Pay (Base Pay)")</f>
        <v>Full Pay (Base Pay)</v>
      </c>
      <c r="H18" s="26" t="str">
        <f>IFERROR(__xludf.DUMMYFUNCTION("""COMPUTED_VALUE"""),"Master Dealer")</f>
        <v>Master Dealer</v>
      </c>
      <c r="I18" s="26">
        <f>IFERROR(__xludf.DUMMYFUNCTION("""COMPUTED_VALUE"""),-6017.26)</f>
        <v>-6017.26</v>
      </c>
      <c r="J18" s="26">
        <f>IFERROR(__xludf.DUMMYFUNCTION("""COMPUTED_VALUE"""),0.0)</f>
        <v>0</v>
      </c>
      <c r="K18" s="26">
        <f>IFERROR(__xludf.DUMMYFUNCTION("""COMPUTED_VALUE"""),-6017.26)</f>
        <v>-6017.26</v>
      </c>
      <c r="L18" s="26" t="str">
        <f>IFERROR(__xludf.DUMMYFUNCTION("""COMPUTED_VALUE"""),"Active")</f>
        <v>Active</v>
      </c>
    </row>
    <row r="19">
      <c r="A19" s="26" t="str">
        <f>IFERROR(__xludf.DUMMYFUNCTION("""COMPUTED_VALUE"""),"12q3xzc4QnJvovb5WwDYonjwLc2kiwxvpEYShhfp6tf4")</f>
        <v>12q3xzc4QnJvovb5WwDYonjwLc2kiwxvpEYShhfp6tf4</v>
      </c>
      <c r="B19" s="26" t="str">
        <f>IFERROR(__xludf.DUMMYFUNCTION("""COMPUTED_VALUE"""),"12q3xzc4QnJvovb5WwDYonjwLc2kiwxvpEYShhfp6tf4")</f>
        <v>12q3xzc4QnJvovb5WwDYonjwLc2kiwxvpEYShhfp6tf4</v>
      </c>
      <c r="C19" s="26"/>
      <c r="D19" s="26" t="str">
        <f>IFERROR(__xludf.DUMMYFUNCTION("""COMPUTED_VALUE"""),"Individual")</f>
        <v>Individual</v>
      </c>
      <c r="E19" s="26" t="str">
        <f>IFERROR(__xludf.DUMMYFUNCTION("""COMPUTED_VALUE"""),"Bundled - 1 Year OD + 5 Year TP")</f>
        <v>Bundled - 1 Year OD + 5 Year TP</v>
      </c>
      <c r="F19" s="26" t="str">
        <f>IFERROR(__xludf.DUMMYFUNCTION("""COMPUTED_VALUE"""),"Full Pay (Base Pay)")</f>
        <v>Full Pay (Base Pay)</v>
      </c>
      <c r="G19" s="26" t="str">
        <f>IFERROR(__xludf.DUMMYFUNCTION("""COMPUTED_VALUE"""),"Full Pay (Base Pay)")</f>
        <v>Full Pay (Base Pay)</v>
      </c>
      <c r="H19" s="26" t="str">
        <f>IFERROR(__xludf.DUMMYFUNCTION("""COMPUTED_VALUE"""),"Master Dealer")</f>
        <v>Master Dealer</v>
      </c>
      <c r="I19" s="26">
        <f>IFERROR(__xludf.DUMMYFUNCTION("""COMPUTED_VALUE"""),-6139.2)</f>
        <v>-6139.2</v>
      </c>
      <c r="J19" s="26">
        <f>IFERROR(__xludf.DUMMYFUNCTION("""COMPUTED_VALUE"""),0.0)</f>
        <v>0</v>
      </c>
      <c r="K19" s="26">
        <f>IFERROR(__xludf.DUMMYFUNCTION("""COMPUTED_VALUE"""),-6139.2)</f>
        <v>-6139.2</v>
      </c>
      <c r="L19" s="26" t="str">
        <f>IFERROR(__xludf.DUMMYFUNCTION("""COMPUTED_VALUE"""),"Active")</f>
        <v>Active</v>
      </c>
    </row>
    <row r="20">
      <c r="A20" s="26" t="str">
        <f>IFERROR(__xludf.DUMMYFUNCTION("""COMPUTED_VALUE"""),"1050xuIkuCwbciPjL7NYnIQd49nor1NbjSoUBzXpeVrU")</f>
        <v>1050xuIkuCwbciPjL7NYnIQd49nor1NbjSoUBzXpeVrU</v>
      </c>
      <c r="B20" s="26" t="str">
        <f>IFERROR(__xludf.DUMMYFUNCTION("""COMPUTED_VALUE"""),"1050xuIkuCwbciPjL7NYnIQd49nor1NbjSoUBzXpeVrU")</f>
        <v>1050xuIkuCwbciPjL7NYnIQd49nor1NbjSoUBzXpeVrU</v>
      </c>
      <c r="C20" s="26"/>
      <c r="D20" s="26" t="str">
        <f>IFERROR(__xludf.DUMMYFUNCTION("""COMPUTED_VALUE"""),"Individual")</f>
        <v>Individual</v>
      </c>
      <c r="E20" s="26" t="str">
        <f>IFERROR(__xludf.DUMMYFUNCTION("""COMPUTED_VALUE"""),"Bundled - 1 Year OD + 5 Year TP")</f>
        <v>Bundled - 1 Year OD + 5 Year TP</v>
      </c>
      <c r="F20" s="26" t="str">
        <f>IFERROR(__xludf.DUMMYFUNCTION("""COMPUTED_VALUE"""),"Full Pay (Base Pay)")</f>
        <v>Full Pay (Base Pay)</v>
      </c>
      <c r="G20" s="26" t="str">
        <f>IFERROR(__xludf.DUMMYFUNCTION("""COMPUTED_VALUE"""),"Full Pay (Base Pay)")</f>
        <v>Full Pay (Base Pay)</v>
      </c>
      <c r="H20" s="26" t="str">
        <f>IFERROR(__xludf.DUMMYFUNCTION("""COMPUTED_VALUE"""),"Master Dealer")</f>
        <v>Master Dealer</v>
      </c>
      <c r="I20" s="26">
        <f>IFERROR(__xludf.DUMMYFUNCTION("""COMPUTED_VALUE"""),-5809.98)</f>
        <v>-5809.98</v>
      </c>
      <c r="J20" s="26">
        <f>IFERROR(__xludf.DUMMYFUNCTION("""COMPUTED_VALUE"""),0.0)</f>
        <v>0</v>
      </c>
      <c r="K20" s="26">
        <f>IFERROR(__xludf.DUMMYFUNCTION("""COMPUTED_VALUE"""),-5809.98)</f>
        <v>-5809.98</v>
      </c>
      <c r="L20" s="26" t="str">
        <f>IFERROR(__xludf.DUMMYFUNCTION("""COMPUTED_VALUE"""),"Active")</f>
        <v>Active</v>
      </c>
    </row>
    <row r="21">
      <c r="A21" s="26" t="str">
        <f>IFERROR(__xludf.DUMMYFUNCTION("""COMPUTED_VALUE"""),"1050xuIkuCwbciPjL7NYnIQd49nor1NbjSoUBzXpeVrU")</f>
        <v>1050xuIkuCwbciPjL7NYnIQd49nor1NbjSoUBzXpeVrU</v>
      </c>
      <c r="B21" s="26" t="str">
        <f>IFERROR(__xludf.DUMMYFUNCTION("""COMPUTED_VALUE"""),"1050xuIkuCwbciPjL7NYnIQd49nor1NbjSoUBzXpeVrU")</f>
        <v>1050xuIkuCwbciPjL7NYnIQd49nor1NbjSoUBzXpeVrU</v>
      </c>
      <c r="C21" s="26"/>
      <c r="D21" s="26" t="str">
        <f>IFERROR(__xludf.DUMMYFUNCTION("""COMPUTED_VALUE"""),"Individual")</f>
        <v>Individual</v>
      </c>
      <c r="E21" s="26" t="str">
        <f>IFERROR(__xludf.DUMMYFUNCTION("""COMPUTED_VALUE"""),"Bundled - 1 Year OD + 5 Year TP")</f>
        <v>Bundled - 1 Year OD + 5 Year TP</v>
      </c>
      <c r="F21" s="26" t="str">
        <f>IFERROR(__xludf.DUMMYFUNCTION("""COMPUTED_VALUE"""),"Full Pay (Base Pay)")</f>
        <v>Full Pay (Base Pay)</v>
      </c>
      <c r="G21" s="26" t="str">
        <f>IFERROR(__xludf.DUMMYFUNCTION("""COMPUTED_VALUE"""),"Full Pay (Base Pay)")</f>
        <v>Full Pay (Base Pay)</v>
      </c>
      <c r="H21" s="26" t="str">
        <f>IFERROR(__xludf.DUMMYFUNCTION("""COMPUTED_VALUE"""),"Master Dealer")</f>
        <v>Master Dealer</v>
      </c>
      <c r="I21" s="26">
        <f>IFERROR(__xludf.DUMMYFUNCTION("""COMPUTED_VALUE"""),-6160.44)</f>
        <v>-6160.44</v>
      </c>
      <c r="J21" s="26">
        <f>IFERROR(__xludf.DUMMYFUNCTION("""COMPUTED_VALUE"""),0.0)</f>
        <v>0</v>
      </c>
      <c r="K21" s="26">
        <f>IFERROR(__xludf.DUMMYFUNCTION("""COMPUTED_VALUE"""),-6160.44)</f>
        <v>-6160.44</v>
      </c>
      <c r="L21" s="26" t="str">
        <f>IFERROR(__xludf.DUMMYFUNCTION("""COMPUTED_VALUE"""),"Active")</f>
        <v>Active</v>
      </c>
    </row>
    <row r="22">
      <c r="A22" s="26" t="str">
        <f>IFERROR(__xludf.DUMMYFUNCTION("""COMPUTED_VALUE"""),"1050xuIkuCwbciPjL7NYnIQd49nor1NbjSoUBzXpeVrU")</f>
        <v>1050xuIkuCwbciPjL7NYnIQd49nor1NbjSoUBzXpeVrU</v>
      </c>
      <c r="B22" s="26" t="str">
        <f>IFERROR(__xludf.DUMMYFUNCTION("""COMPUTED_VALUE"""),"1050xuIkuCwbciPjL7NYnIQd49nor1NbjSoUBzXpeVrU")</f>
        <v>1050xuIkuCwbciPjL7NYnIQd49nor1NbjSoUBzXpeVrU</v>
      </c>
      <c r="C22" s="26"/>
      <c r="D22" s="26" t="str">
        <f>IFERROR(__xludf.DUMMYFUNCTION("""COMPUTED_VALUE"""),"Individual")</f>
        <v>Individual</v>
      </c>
      <c r="E22" s="26" t="str">
        <f>IFERROR(__xludf.DUMMYFUNCTION("""COMPUTED_VALUE"""),"Bundled - 1 Year OD + 5 Year TP")</f>
        <v>Bundled - 1 Year OD + 5 Year TP</v>
      </c>
      <c r="F22" s="26" t="str">
        <f>IFERROR(__xludf.DUMMYFUNCTION("""COMPUTED_VALUE"""),"Full Pay (Base Pay)")</f>
        <v>Full Pay (Base Pay)</v>
      </c>
      <c r="G22" s="26" t="str">
        <f>IFERROR(__xludf.DUMMYFUNCTION("""COMPUTED_VALUE"""),"Full Pay (Base Pay)")</f>
        <v>Full Pay (Base Pay)</v>
      </c>
      <c r="H22" s="26" t="str">
        <f>IFERROR(__xludf.DUMMYFUNCTION("""COMPUTED_VALUE"""),"Master Dealer")</f>
        <v>Master Dealer</v>
      </c>
      <c r="I22" s="26">
        <f>IFERROR(__xludf.DUMMYFUNCTION("""COMPUTED_VALUE"""),-5818.24)</f>
        <v>-5818.24</v>
      </c>
      <c r="J22" s="26">
        <f>IFERROR(__xludf.DUMMYFUNCTION("""COMPUTED_VALUE"""),0.0)</f>
        <v>0</v>
      </c>
      <c r="K22" s="26">
        <f>IFERROR(__xludf.DUMMYFUNCTION("""COMPUTED_VALUE"""),-5818.24)</f>
        <v>-5818.24</v>
      </c>
      <c r="L22" s="26" t="str">
        <f>IFERROR(__xludf.DUMMYFUNCTION("""COMPUTED_VALUE"""),"Active")</f>
        <v>Active</v>
      </c>
    </row>
    <row r="23">
      <c r="A23" s="26" t="str">
        <f>IFERROR(__xludf.DUMMYFUNCTION("""COMPUTED_VALUE"""),"1050xuIkuCwbciPjL7NYnIQd49nor1NbjSoUBzXpeVrU")</f>
        <v>1050xuIkuCwbciPjL7NYnIQd49nor1NbjSoUBzXpeVrU</v>
      </c>
      <c r="B23" s="26" t="str">
        <f>IFERROR(__xludf.DUMMYFUNCTION("""COMPUTED_VALUE"""),"1050xuIkuCwbciPjL7NYnIQd49nor1NbjSoUBzXpeVrU")</f>
        <v>1050xuIkuCwbciPjL7NYnIQd49nor1NbjSoUBzXpeVrU</v>
      </c>
      <c r="C23" s="26"/>
      <c r="D23" s="26" t="str">
        <f>IFERROR(__xludf.DUMMYFUNCTION("""COMPUTED_VALUE"""),"Company")</f>
        <v>Company</v>
      </c>
      <c r="E23" s="26" t="str">
        <f>IFERROR(__xludf.DUMMYFUNCTION("""COMPUTED_VALUE"""),"Bundled - 1 Year OD + 5 Year TP")</f>
        <v>Bundled - 1 Year OD + 5 Year TP</v>
      </c>
      <c r="F23" s="26" t="str">
        <f>IFERROR(__xludf.DUMMYFUNCTION("""COMPUTED_VALUE"""),"Full Pay (Base Pay)")</f>
        <v>Full Pay (Base Pay)</v>
      </c>
      <c r="G23" s="26" t="str">
        <f>IFERROR(__xludf.DUMMYFUNCTION("""COMPUTED_VALUE"""),"Full Pay (Base Pay)")</f>
        <v>Full Pay (Base Pay)</v>
      </c>
      <c r="H23" s="26" t="str">
        <f>IFERROR(__xludf.DUMMYFUNCTION("""COMPUTED_VALUE"""),"Master Dealer")</f>
        <v>Master Dealer</v>
      </c>
      <c r="I23" s="26">
        <f>IFERROR(__xludf.DUMMYFUNCTION("""COMPUTED_VALUE"""),-6215.9)</f>
        <v>-6215.9</v>
      </c>
      <c r="J23" s="26">
        <f>IFERROR(__xludf.DUMMYFUNCTION("""COMPUTED_VALUE"""),0.0)</f>
        <v>0</v>
      </c>
      <c r="K23" s="26">
        <f>IFERROR(__xludf.DUMMYFUNCTION("""COMPUTED_VALUE"""),-6215.9)</f>
        <v>-6215.9</v>
      </c>
      <c r="L23" s="26" t="str">
        <f>IFERROR(__xludf.DUMMYFUNCTION("""COMPUTED_VALUE"""),"Active")</f>
        <v>Active</v>
      </c>
    </row>
    <row r="24">
      <c r="A24" s="26" t="str">
        <f>IFERROR(__xludf.DUMMYFUNCTION("""COMPUTED_VALUE"""),"1Glot5DmufEUxf7sEoY2RAdbIWFVDuW2SHPtNIbHYEdc")</f>
        <v>1Glot5DmufEUxf7sEoY2RAdbIWFVDuW2SHPtNIbHYEdc</v>
      </c>
      <c r="B24" s="26" t="str">
        <f>IFERROR(__xludf.DUMMYFUNCTION("""COMPUTED_VALUE"""),"1Glot5DmufEUxf7sEoY2RAdbIWFVDuW2SHPtNIbHYEdc")</f>
        <v>1Glot5DmufEUxf7sEoY2RAdbIWFVDuW2SHPtNIbHYEdc</v>
      </c>
      <c r="C24" s="26"/>
      <c r="D24" s="26" t="str">
        <f>IFERROR(__xludf.DUMMYFUNCTION("""COMPUTED_VALUE"""),"Individual")</f>
        <v>Individual</v>
      </c>
      <c r="E24" s="26" t="str">
        <f>IFERROR(__xludf.DUMMYFUNCTION("""COMPUTED_VALUE"""),"Bundled - 1 Year OD + 5 Year TP")</f>
        <v>Bundled - 1 Year OD + 5 Year TP</v>
      </c>
      <c r="F24" s="26" t="str">
        <f>IFERROR(__xludf.DUMMYFUNCTION("""COMPUTED_VALUE"""),"Cut &amp; Pay (Base Pay)")</f>
        <v>Cut &amp; Pay (Base Pay)</v>
      </c>
      <c r="G24" s="26" t="str">
        <f>IFERROR(__xludf.DUMMYFUNCTION("""COMPUTED_VALUE"""),"Cut &amp; Pay (Base Pay)")</f>
        <v>Cut &amp; Pay (Base Pay)</v>
      </c>
      <c r="H24" s="26" t="str">
        <f>IFERROR(__xludf.DUMMYFUNCTION("""COMPUTED_VALUE"""),"Master Dealer")</f>
        <v>Master Dealer</v>
      </c>
      <c r="I24" s="26">
        <f>IFERROR(__xludf.DUMMYFUNCTION("""COMPUTED_VALUE"""),-6060.68)</f>
        <v>-6060.68</v>
      </c>
      <c r="J24" s="26">
        <f>IFERROR(__xludf.DUMMYFUNCTION("""COMPUTED_VALUE"""),1900.0)</f>
        <v>1900</v>
      </c>
      <c r="K24" s="26">
        <f>IFERROR(__xludf.DUMMYFUNCTION("""COMPUTED_VALUE"""),-4160.68)</f>
        <v>-4160.68</v>
      </c>
      <c r="L24" s="26" t="str">
        <f>IFERROR(__xludf.DUMMYFUNCTION("""COMPUTED_VALUE"""),"Active")</f>
        <v>Active</v>
      </c>
    </row>
    <row r="25">
      <c r="A25" s="26" t="str">
        <f>IFERROR(__xludf.DUMMYFUNCTION("""COMPUTED_VALUE"""),"1Glot5DmufEUxf7sEoY2RAdbIWFVDuW2SHPtNIbHYEdc")</f>
        <v>1Glot5DmufEUxf7sEoY2RAdbIWFVDuW2SHPtNIbHYEdc</v>
      </c>
      <c r="B25" s="26" t="str">
        <f>IFERROR(__xludf.DUMMYFUNCTION("""COMPUTED_VALUE"""),"1Glot5DmufEUxf7sEoY2RAdbIWFVDuW2SHPtNIbHYEdc")</f>
        <v>1Glot5DmufEUxf7sEoY2RAdbIWFVDuW2SHPtNIbHYEdc</v>
      </c>
      <c r="C25" s="26"/>
      <c r="D25" s="26" t="str">
        <f>IFERROR(__xludf.DUMMYFUNCTION("""COMPUTED_VALUE"""),"Individual")</f>
        <v>Individual</v>
      </c>
      <c r="E25" s="26" t="str">
        <f>IFERROR(__xludf.DUMMYFUNCTION("""COMPUTED_VALUE"""),"Bundled - 1 Year OD + 5 Year TP")</f>
        <v>Bundled - 1 Year OD + 5 Year TP</v>
      </c>
      <c r="F25" s="26" t="str">
        <f>IFERROR(__xludf.DUMMYFUNCTION("""COMPUTED_VALUE"""),"Cut &amp; Pay (Base Pay)")</f>
        <v>Cut &amp; Pay (Base Pay)</v>
      </c>
      <c r="G25" s="26" t="str">
        <f>IFERROR(__xludf.DUMMYFUNCTION("""COMPUTED_VALUE"""),"Cut &amp; Pay (Base Pay)")</f>
        <v>Cut &amp; Pay (Base Pay)</v>
      </c>
      <c r="H25" s="26" t="str">
        <f>IFERROR(__xludf.DUMMYFUNCTION("""COMPUTED_VALUE"""),"Master Dealer")</f>
        <v>Master Dealer</v>
      </c>
      <c r="I25" s="26">
        <f>IFERROR(__xludf.DUMMYFUNCTION("""COMPUTED_VALUE"""),-5997.82)</f>
        <v>-5997.82</v>
      </c>
      <c r="J25" s="26">
        <f>IFERROR(__xludf.DUMMYFUNCTION("""COMPUTED_VALUE"""),1900.0)</f>
        <v>1900</v>
      </c>
      <c r="K25" s="26">
        <f>IFERROR(__xludf.DUMMYFUNCTION("""COMPUTED_VALUE"""),-4097.82)</f>
        <v>-4097.82</v>
      </c>
      <c r="L25" s="26" t="str">
        <f>IFERROR(__xludf.DUMMYFUNCTION("""COMPUTED_VALUE"""),"Active")</f>
        <v>Active</v>
      </c>
    </row>
    <row r="26">
      <c r="A26" s="26" t="str">
        <f>IFERROR(__xludf.DUMMYFUNCTION("""COMPUTED_VALUE"""),"12q3xzc4QnJvovb5WwDYonjwLc2kiwxvpEYShhfp6tf4")</f>
        <v>12q3xzc4QnJvovb5WwDYonjwLc2kiwxvpEYShhfp6tf4</v>
      </c>
      <c r="B26" s="26" t="str">
        <f>IFERROR(__xludf.DUMMYFUNCTION("""COMPUTED_VALUE"""),"12q3xzc4QnJvovb5WwDYonjwLc2kiwxvpEYShhfp6tf4")</f>
        <v>12q3xzc4QnJvovb5WwDYonjwLc2kiwxvpEYShhfp6tf4</v>
      </c>
      <c r="C26" s="26"/>
      <c r="D26" s="26" t="str">
        <f>IFERROR(__xludf.DUMMYFUNCTION("""COMPUTED_VALUE"""),"Individual")</f>
        <v>Individual</v>
      </c>
      <c r="E26" s="26" t="str">
        <f>IFERROR(__xludf.DUMMYFUNCTION("""COMPUTED_VALUE"""),"Bundled - 1 Year OD + 5 Year TP")</f>
        <v>Bundled - 1 Year OD + 5 Year TP</v>
      </c>
      <c r="F26" s="26" t="str">
        <f>IFERROR(__xludf.DUMMYFUNCTION("""COMPUTED_VALUE"""),"Full Pay (Base Pay)")</f>
        <v>Full Pay (Base Pay)</v>
      </c>
      <c r="G26" s="26" t="str">
        <f>IFERROR(__xludf.DUMMYFUNCTION("""COMPUTED_VALUE"""),"Full Pay (Base Pay)")</f>
        <v>Full Pay (Base Pay)</v>
      </c>
      <c r="H26" s="26" t="str">
        <f>IFERROR(__xludf.DUMMYFUNCTION("""COMPUTED_VALUE"""),"Master Dealer")</f>
        <v>Master Dealer</v>
      </c>
      <c r="I26" s="26">
        <f>IFERROR(__xludf.DUMMYFUNCTION("""COMPUTED_VALUE"""),-5715.58)</f>
        <v>-5715.58</v>
      </c>
      <c r="J26" s="26">
        <f>IFERROR(__xludf.DUMMYFUNCTION("""COMPUTED_VALUE"""),0.0)</f>
        <v>0</v>
      </c>
      <c r="K26" s="26">
        <f>IFERROR(__xludf.DUMMYFUNCTION("""COMPUTED_VALUE"""),-5715.58)</f>
        <v>-5715.58</v>
      </c>
      <c r="L26" s="26" t="str">
        <f>IFERROR(__xludf.DUMMYFUNCTION("""COMPUTED_VALUE"""),"Active")</f>
        <v>Active</v>
      </c>
    </row>
    <row r="27">
      <c r="A27" s="26" t="str">
        <f>IFERROR(__xludf.DUMMYFUNCTION("""COMPUTED_VALUE"""),"1050xuIkuCwbciPjL7NYnIQd49nor1NbjSoUBzXpeVrU")</f>
        <v>1050xuIkuCwbciPjL7NYnIQd49nor1NbjSoUBzXpeVrU</v>
      </c>
      <c r="B27" s="26" t="str">
        <f>IFERROR(__xludf.DUMMYFUNCTION("""COMPUTED_VALUE"""),"1050xuIkuCwbciPjL7NYnIQd49nor1NbjSoUBzXpeVrU")</f>
        <v>1050xuIkuCwbciPjL7NYnIQd49nor1NbjSoUBzXpeVrU</v>
      </c>
      <c r="C27" s="26"/>
      <c r="D27" s="26" t="str">
        <f>IFERROR(__xludf.DUMMYFUNCTION("""COMPUTED_VALUE"""),"Individual")</f>
        <v>Individual</v>
      </c>
      <c r="E27" s="26" t="str">
        <f>IFERROR(__xludf.DUMMYFUNCTION("""COMPUTED_VALUE"""),"Bundled - 1 Year OD + 5 Year TP")</f>
        <v>Bundled - 1 Year OD + 5 Year TP</v>
      </c>
      <c r="F27" s="26" t="str">
        <f>IFERROR(__xludf.DUMMYFUNCTION("""COMPUTED_VALUE"""),"Full Pay (Base Pay)")</f>
        <v>Full Pay (Base Pay)</v>
      </c>
      <c r="G27" s="26" t="str">
        <f>IFERROR(__xludf.DUMMYFUNCTION("""COMPUTED_VALUE"""),"Full Pay (Base Pay)")</f>
        <v>Full Pay (Base Pay)</v>
      </c>
      <c r="H27" s="26" t="str">
        <f>IFERROR(__xludf.DUMMYFUNCTION("""COMPUTED_VALUE"""),"Master Dealer")</f>
        <v>Master Dealer</v>
      </c>
      <c r="I27" s="26">
        <f>IFERROR(__xludf.DUMMYFUNCTION("""COMPUTED_VALUE"""),-5809.98)</f>
        <v>-5809.98</v>
      </c>
      <c r="J27" s="26">
        <f>IFERROR(__xludf.DUMMYFUNCTION("""COMPUTED_VALUE"""),0.0)</f>
        <v>0</v>
      </c>
      <c r="K27" s="26">
        <f>IFERROR(__xludf.DUMMYFUNCTION("""COMPUTED_VALUE"""),-5809.98)</f>
        <v>-5809.98</v>
      </c>
      <c r="L27" s="26" t="str">
        <f>IFERROR(__xludf.DUMMYFUNCTION("""COMPUTED_VALUE"""),"Active")</f>
        <v>Active</v>
      </c>
    </row>
    <row r="28">
      <c r="A28" s="26" t="str">
        <f>IFERROR(__xludf.DUMMYFUNCTION("""COMPUTED_VALUE"""),"1050xuIkuCwbciPjL7NYnIQd49nor1NbjSoUBzXpeVrU")</f>
        <v>1050xuIkuCwbciPjL7NYnIQd49nor1NbjSoUBzXpeVrU</v>
      </c>
      <c r="B28" s="26" t="str">
        <f>IFERROR(__xludf.DUMMYFUNCTION("""COMPUTED_VALUE"""),"1050xuIkuCwbciPjL7NYnIQd49nor1NbjSoUBzXpeVrU")</f>
        <v>1050xuIkuCwbciPjL7NYnIQd49nor1NbjSoUBzXpeVrU</v>
      </c>
      <c r="C28" s="26"/>
      <c r="D28" s="26" t="str">
        <f>IFERROR(__xludf.DUMMYFUNCTION("""COMPUTED_VALUE"""),"Individual")</f>
        <v>Individual</v>
      </c>
      <c r="E28" s="26" t="str">
        <f>IFERROR(__xludf.DUMMYFUNCTION("""COMPUTED_VALUE"""),"Bundled - 1 Year OD + 5 Year TP")</f>
        <v>Bundled - 1 Year OD + 5 Year TP</v>
      </c>
      <c r="F28" s="26" t="str">
        <f>IFERROR(__xludf.DUMMYFUNCTION("""COMPUTED_VALUE"""),"Full Pay (Base Pay)")</f>
        <v>Full Pay (Base Pay)</v>
      </c>
      <c r="G28" s="26" t="str">
        <f>IFERROR(__xludf.DUMMYFUNCTION("""COMPUTED_VALUE"""),"Full Pay (Base Pay)")</f>
        <v>Full Pay (Base Pay)</v>
      </c>
      <c r="H28" s="26" t="str">
        <f>IFERROR(__xludf.DUMMYFUNCTION("""COMPUTED_VALUE"""),"Master Dealer")</f>
        <v>Master Dealer</v>
      </c>
      <c r="I28" s="26">
        <f>IFERROR(__xludf.DUMMYFUNCTION("""COMPUTED_VALUE"""),-5809.98)</f>
        <v>-5809.98</v>
      </c>
      <c r="J28" s="26">
        <f>IFERROR(__xludf.DUMMYFUNCTION("""COMPUTED_VALUE"""),0.0)</f>
        <v>0</v>
      </c>
      <c r="K28" s="26">
        <f>IFERROR(__xludf.DUMMYFUNCTION("""COMPUTED_VALUE"""),-5809.98)</f>
        <v>-5809.98</v>
      </c>
      <c r="L28" s="26" t="str">
        <f>IFERROR(__xludf.DUMMYFUNCTION("""COMPUTED_VALUE"""),"Active")</f>
        <v>Active</v>
      </c>
    </row>
    <row r="29">
      <c r="A29" s="26" t="str">
        <f>IFERROR(__xludf.DUMMYFUNCTION("""COMPUTED_VALUE"""),"12q3xzc4QnJvovb5WwDYonjwLc2kiwxvpEYShhfp6tf4")</f>
        <v>12q3xzc4QnJvovb5WwDYonjwLc2kiwxvpEYShhfp6tf4</v>
      </c>
      <c r="B29" s="26" t="str">
        <f>IFERROR(__xludf.DUMMYFUNCTION("""COMPUTED_VALUE"""),"12q3xzc4QnJvovb5WwDYonjwLc2kiwxvpEYShhfp6tf4")</f>
        <v>12q3xzc4QnJvovb5WwDYonjwLc2kiwxvpEYShhfp6tf4</v>
      </c>
      <c r="C29" s="26"/>
      <c r="D29" s="26" t="str">
        <f>IFERROR(__xludf.DUMMYFUNCTION("""COMPUTED_VALUE"""),"Individual")</f>
        <v>Individual</v>
      </c>
      <c r="E29" s="26" t="str">
        <f>IFERROR(__xludf.DUMMYFUNCTION("""COMPUTED_VALUE"""),"Bundled - 1 Year OD + 5 Year TP")</f>
        <v>Bundled - 1 Year OD + 5 Year TP</v>
      </c>
      <c r="F29" s="26" t="str">
        <f>IFERROR(__xludf.DUMMYFUNCTION("""COMPUTED_VALUE"""),"Full Pay (Base Pay)")</f>
        <v>Full Pay (Base Pay)</v>
      </c>
      <c r="G29" s="26" t="str">
        <f>IFERROR(__xludf.DUMMYFUNCTION("""COMPUTED_VALUE"""),"Full Pay (Base Pay)")</f>
        <v>Full Pay (Base Pay)</v>
      </c>
      <c r="H29" s="26" t="str">
        <f>IFERROR(__xludf.DUMMYFUNCTION("""COMPUTED_VALUE"""),"Master Dealer")</f>
        <v>Master Dealer</v>
      </c>
      <c r="I29" s="26">
        <f>IFERROR(__xludf.DUMMYFUNCTION("""COMPUTED_VALUE"""),-5818.24)</f>
        <v>-5818.24</v>
      </c>
      <c r="J29" s="26">
        <f>IFERROR(__xludf.DUMMYFUNCTION("""COMPUTED_VALUE"""),0.0)</f>
        <v>0</v>
      </c>
      <c r="K29" s="26">
        <f>IFERROR(__xludf.DUMMYFUNCTION("""COMPUTED_VALUE"""),-5818.24)</f>
        <v>-5818.24</v>
      </c>
      <c r="L29" s="26" t="str">
        <f>IFERROR(__xludf.DUMMYFUNCTION("""COMPUTED_VALUE"""),"Active")</f>
        <v>Active</v>
      </c>
    </row>
    <row r="30">
      <c r="A30" s="26" t="str">
        <f>IFERROR(__xludf.DUMMYFUNCTION("""COMPUTED_VALUE"""),"1Glot5DmufEUxf7sEoY2RAdbIWFVDuW2SHPtNIbHYEdc")</f>
        <v>1Glot5DmufEUxf7sEoY2RAdbIWFVDuW2SHPtNIbHYEdc</v>
      </c>
      <c r="B30" s="26" t="str">
        <f>IFERROR(__xludf.DUMMYFUNCTION("""COMPUTED_VALUE"""),"1Glot5DmufEUxf7sEoY2RAdbIWFVDuW2SHPtNIbHYEdc")</f>
        <v>1Glot5DmufEUxf7sEoY2RAdbIWFVDuW2SHPtNIbHYEdc</v>
      </c>
      <c r="C30" s="26"/>
      <c r="D30" s="26" t="str">
        <f>IFERROR(__xludf.DUMMYFUNCTION("""COMPUTED_VALUE"""),"Individual")</f>
        <v>Individual</v>
      </c>
      <c r="E30" s="26" t="str">
        <f>IFERROR(__xludf.DUMMYFUNCTION("""COMPUTED_VALUE"""),"Bundled - 1 Year OD + 5 Year TP")</f>
        <v>Bundled - 1 Year OD + 5 Year TP</v>
      </c>
      <c r="F30" s="26" t="str">
        <f>IFERROR(__xludf.DUMMYFUNCTION("""COMPUTED_VALUE"""),"Cut &amp; Pay (Base Pay)")</f>
        <v>Cut &amp; Pay (Base Pay)</v>
      </c>
      <c r="G30" s="26" t="str">
        <f>IFERROR(__xludf.DUMMYFUNCTION("""COMPUTED_VALUE"""),"Cut &amp; Pay (Base Pay)")</f>
        <v>Cut &amp; Pay (Base Pay)</v>
      </c>
      <c r="H30" s="26" t="str">
        <f>IFERROR(__xludf.DUMMYFUNCTION("""COMPUTED_VALUE"""),"Master Dealer")</f>
        <v>Master Dealer</v>
      </c>
      <c r="I30" s="26">
        <f>IFERROR(__xludf.DUMMYFUNCTION("""COMPUTED_VALUE"""),-5818.24)</f>
        <v>-5818.24</v>
      </c>
      <c r="J30" s="26">
        <f>IFERROR(__xludf.DUMMYFUNCTION("""COMPUTED_VALUE"""),1900.0)</f>
        <v>1900</v>
      </c>
      <c r="K30" s="26">
        <f>IFERROR(__xludf.DUMMYFUNCTION("""COMPUTED_VALUE"""),-3918.24)</f>
        <v>-3918.24</v>
      </c>
      <c r="L30" s="26" t="str">
        <f>IFERROR(__xludf.DUMMYFUNCTION("""COMPUTED_VALUE"""),"Active")</f>
        <v>Active</v>
      </c>
    </row>
    <row r="31">
      <c r="A31" s="26" t="str">
        <f>IFERROR(__xludf.DUMMYFUNCTION("""COMPUTED_VALUE"""),"1050xuIkuCwbciPjL7NYnIQd49nor1NbjSoUBzXpeVrU")</f>
        <v>1050xuIkuCwbciPjL7NYnIQd49nor1NbjSoUBzXpeVrU</v>
      </c>
      <c r="B31" s="26" t="str">
        <f>IFERROR(__xludf.DUMMYFUNCTION("""COMPUTED_VALUE"""),"1050xuIkuCwbciPjL7NYnIQd49nor1NbjSoUBzXpeVrU")</f>
        <v>1050xuIkuCwbciPjL7NYnIQd49nor1NbjSoUBzXpeVrU</v>
      </c>
      <c r="C31" s="26"/>
      <c r="D31" s="26" t="str">
        <f>IFERROR(__xludf.DUMMYFUNCTION("""COMPUTED_VALUE"""),"Individual")</f>
        <v>Individual</v>
      </c>
      <c r="E31" s="26" t="str">
        <f>IFERROR(__xludf.DUMMYFUNCTION("""COMPUTED_VALUE"""),"Bundled - 1 Year OD + 5 Year TP")</f>
        <v>Bundled - 1 Year OD + 5 Year TP</v>
      </c>
      <c r="F31" s="26" t="str">
        <f>IFERROR(__xludf.DUMMYFUNCTION("""COMPUTED_VALUE"""),"Full Pay (Base Pay)")</f>
        <v>Full Pay (Base Pay)</v>
      </c>
      <c r="G31" s="26" t="str">
        <f>IFERROR(__xludf.DUMMYFUNCTION("""COMPUTED_VALUE"""),"Full Pay (Base Pay)")</f>
        <v>Full Pay (Base Pay)</v>
      </c>
      <c r="H31" s="26" t="str">
        <f>IFERROR(__xludf.DUMMYFUNCTION("""COMPUTED_VALUE"""),"Master Dealer")</f>
        <v>Master Dealer</v>
      </c>
      <c r="I31" s="26">
        <f>IFERROR(__xludf.DUMMYFUNCTION("""COMPUTED_VALUE"""),-6060.68)</f>
        <v>-6060.68</v>
      </c>
      <c r="J31" s="26">
        <f>IFERROR(__xludf.DUMMYFUNCTION("""COMPUTED_VALUE"""),0.0)</f>
        <v>0</v>
      </c>
      <c r="K31" s="26">
        <f>IFERROR(__xludf.DUMMYFUNCTION("""COMPUTED_VALUE"""),-6060.68)</f>
        <v>-6060.68</v>
      </c>
      <c r="L31" s="26" t="str">
        <f>IFERROR(__xludf.DUMMYFUNCTION("""COMPUTED_VALUE"""),"Active")</f>
        <v>Active</v>
      </c>
    </row>
    <row r="32">
      <c r="A32" s="26" t="str">
        <f>IFERROR(__xludf.DUMMYFUNCTION("""COMPUTED_VALUE"""),"1050xuIkuCwbciPjL7NYnIQd49nor1NbjSoUBzXpeVrU")</f>
        <v>1050xuIkuCwbciPjL7NYnIQd49nor1NbjSoUBzXpeVrU</v>
      </c>
      <c r="B32" s="26" t="str">
        <f>IFERROR(__xludf.DUMMYFUNCTION("""COMPUTED_VALUE"""),"1050xuIkuCwbciPjL7NYnIQd49nor1NbjSoUBzXpeVrU")</f>
        <v>1050xuIkuCwbciPjL7NYnIQd49nor1NbjSoUBzXpeVrU</v>
      </c>
      <c r="C32" s="26"/>
      <c r="D32" s="26" t="str">
        <f>IFERROR(__xludf.DUMMYFUNCTION("""COMPUTED_VALUE"""),"Individual")</f>
        <v>Individual</v>
      </c>
      <c r="E32" s="26" t="str">
        <f>IFERROR(__xludf.DUMMYFUNCTION("""COMPUTED_VALUE"""),"Bundled - 1 Year OD + 5 Year TP")</f>
        <v>Bundled - 1 Year OD + 5 Year TP</v>
      </c>
      <c r="F32" s="26" t="str">
        <f>IFERROR(__xludf.DUMMYFUNCTION("""COMPUTED_VALUE"""),"Full Pay (Base Pay)")</f>
        <v>Full Pay (Base Pay)</v>
      </c>
      <c r="G32" s="26" t="str">
        <f>IFERROR(__xludf.DUMMYFUNCTION("""COMPUTED_VALUE"""),"Full Pay (Base Pay)")</f>
        <v>Full Pay (Base Pay)</v>
      </c>
      <c r="H32" s="26" t="str">
        <f>IFERROR(__xludf.DUMMYFUNCTION("""COMPUTED_VALUE"""),"Master Dealer")</f>
        <v>Master Dealer</v>
      </c>
      <c r="I32" s="26">
        <f>IFERROR(__xludf.DUMMYFUNCTION("""COMPUTED_VALUE"""),-5992.46)</f>
        <v>-5992.46</v>
      </c>
      <c r="J32" s="26">
        <f>IFERROR(__xludf.DUMMYFUNCTION("""COMPUTED_VALUE"""),0.0)</f>
        <v>0</v>
      </c>
      <c r="K32" s="26">
        <f>IFERROR(__xludf.DUMMYFUNCTION("""COMPUTED_VALUE"""),-5992.46)</f>
        <v>-5992.46</v>
      </c>
      <c r="L32" s="26" t="str">
        <f>IFERROR(__xludf.DUMMYFUNCTION("""COMPUTED_VALUE"""),"Active")</f>
        <v>Active</v>
      </c>
    </row>
    <row r="33">
      <c r="A33" s="26" t="str">
        <f>IFERROR(__xludf.DUMMYFUNCTION("""COMPUTED_VALUE"""),"12q3xzc4QnJvovb5WwDYonjwLc2kiwxvpEYShhfp6tf4")</f>
        <v>12q3xzc4QnJvovb5WwDYonjwLc2kiwxvpEYShhfp6tf4</v>
      </c>
      <c r="B33" s="26" t="str">
        <f>IFERROR(__xludf.DUMMYFUNCTION("""COMPUTED_VALUE"""),"12q3xzc4QnJvovb5WwDYonjwLc2kiwxvpEYShhfp6tf4")</f>
        <v>12q3xzc4QnJvovb5WwDYonjwLc2kiwxvpEYShhfp6tf4</v>
      </c>
      <c r="C33" s="26"/>
      <c r="D33" s="26" t="str">
        <f>IFERROR(__xludf.DUMMYFUNCTION("""COMPUTED_VALUE"""),"Individual")</f>
        <v>Individual</v>
      </c>
      <c r="E33" s="26" t="str">
        <f>IFERROR(__xludf.DUMMYFUNCTION("""COMPUTED_VALUE"""),"Bundled - 1 Year OD + 5 Year TP")</f>
        <v>Bundled - 1 Year OD + 5 Year TP</v>
      </c>
      <c r="F33" s="26" t="str">
        <f>IFERROR(__xludf.DUMMYFUNCTION("""COMPUTED_VALUE"""),"Full Pay (Base Pay)")</f>
        <v>Full Pay (Base Pay)</v>
      </c>
      <c r="G33" s="26" t="str">
        <f>IFERROR(__xludf.DUMMYFUNCTION("""COMPUTED_VALUE"""),"Full Pay (Base Pay)")</f>
        <v>Full Pay (Base Pay)</v>
      </c>
      <c r="H33" s="26" t="str">
        <f>IFERROR(__xludf.DUMMYFUNCTION("""COMPUTED_VALUE"""),"Master Dealer")</f>
        <v>Master Dealer</v>
      </c>
      <c r="I33" s="26">
        <f>IFERROR(__xludf.DUMMYFUNCTION("""COMPUTED_VALUE"""),-5788.74)</f>
        <v>-5788.74</v>
      </c>
      <c r="J33" s="26">
        <f>IFERROR(__xludf.DUMMYFUNCTION("""COMPUTED_VALUE"""),0.0)</f>
        <v>0</v>
      </c>
      <c r="K33" s="26">
        <f>IFERROR(__xludf.DUMMYFUNCTION("""COMPUTED_VALUE"""),-5788.74)</f>
        <v>-5788.74</v>
      </c>
      <c r="L33" s="26" t="str">
        <f>IFERROR(__xludf.DUMMYFUNCTION("""COMPUTED_VALUE"""),"Active")</f>
        <v>Active</v>
      </c>
    </row>
    <row r="34">
      <c r="A34" s="26" t="str">
        <f>IFERROR(__xludf.DUMMYFUNCTION("""COMPUTED_VALUE"""),"1050xuIkuCwbciPjL7NYnIQd49nor1NbjSoUBzXpeVrU")</f>
        <v>1050xuIkuCwbciPjL7NYnIQd49nor1NbjSoUBzXpeVrU</v>
      </c>
      <c r="B34" s="26" t="str">
        <f>IFERROR(__xludf.DUMMYFUNCTION("""COMPUTED_VALUE"""),"1050xuIkuCwbciPjL7NYnIQd49nor1NbjSoUBzXpeVrU")</f>
        <v>1050xuIkuCwbciPjL7NYnIQd49nor1NbjSoUBzXpeVrU</v>
      </c>
      <c r="C34" s="26"/>
      <c r="D34" s="26" t="str">
        <f>IFERROR(__xludf.DUMMYFUNCTION("""COMPUTED_VALUE"""),"Individual")</f>
        <v>Individual</v>
      </c>
      <c r="E34" s="26" t="str">
        <f>IFERROR(__xludf.DUMMYFUNCTION("""COMPUTED_VALUE"""),"Bundled - 1 Year OD + 5 Year TP")</f>
        <v>Bundled - 1 Year OD + 5 Year TP</v>
      </c>
      <c r="F34" s="26" t="str">
        <f>IFERROR(__xludf.DUMMYFUNCTION("""COMPUTED_VALUE"""),"Full Pay (Base Pay)")</f>
        <v>Full Pay (Base Pay)</v>
      </c>
      <c r="G34" s="26" t="str">
        <f>IFERROR(__xludf.DUMMYFUNCTION("""COMPUTED_VALUE"""),"Full Pay (Base Pay)")</f>
        <v>Full Pay (Base Pay)</v>
      </c>
      <c r="H34" s="26" t="str">
        <f>IFERROR(__xludf.DUMMYFUNCTION("""COMPUTED_VALUE"""),"Master Dealer")</f>
        <v>Master Dealer</v>
      </c>
      <c r="I34" s="26">
        <f>IFERROR(__xludf.DUMMYFUNCTION("""COMPUTED_VALUE"""),-5809.98)</f>
        <v>-5809.98</v>
      </c>
      <c r="J34" s="26">
        <f>IFERROR(__xludf.DUMMYFUNCTION("""COMPUTED_VALUE"""),0.0)</f>
        <v>0</v>
      </c>
      <c r="K34" s="26">
        <f>IFERROR(__xludf.DUMMYFUNCTION("""COMPUTED_VALUE"""),-5809.98)</f>
        <v>-5809.98</v>
      </c>
      <c r="L34" s="26" t="str">
        <f>IFERROR(__xludf.DUMMYFUNCTION("""COMPUTED_VALUE"""),"Active")</f>
        <v>Active</v>
      </c>
    </row>
    <row r="35">
      <c r="A35" s="26" t="str">
        <f>IFERROR(__xludf.DUMMYFUNCTION("""COMPUTED_VALUE"""),"1Glot5DmufEUxf7sEoY2RAdbIWFVDuW2SHPtNIbHYEdc")</f>
        <v>1Glot5DmufEUxf7sEoY2RAdbIWFVDuW2SHPtNIbHYEdc</v>
      </c>
      <c r="B35" s="26" t="str">
        <f>IFERROR(__xludf.DUMMYFUNCTION("""COMPUTED_VALUE"""),"1Glot5DmufEUxf7sEoY2RAdbIWFVDuW2SHPtNIbHYEdc")</f>
        <v>1Glot5DmufEUxf7sEoY2RAdbIWFVDuW2SHPtNIbHYEdc</v>
      </c>
      <c r="C35" s="26"/>
      <c r="D35" s="26" t="str">
        <f>IFERROR(__xludf.DUMMYFUNCTION("""COMPUTED_VALUE"""),"Individual")</f>
        <v>Individual</v>
      </c>
      <c r="E35" s="26" t="str">
        <f>IFERROR(__xludf.DUMMYFUNCTION("""COMPUTED_VALUE"""),"Bundled - 1 Year OD + 5 Year TP")</f>
        <v>Bundled - 1 Year OD + 5 Year TP</v>
      </c>
      <c r="F35" s="26" t="str">
        <f>IFERROR(__xludf.DUMMYFUNCTION("""COMPUTED_VALUE"""),"Cut &amp; Pay (Base Pay)")</f>
        <v>Cut &amp; Pay (Base Pay)</v>
      </c>
      <c r="G35" s="26" t="str">
        <f>IFERROR(__xludf.DUMMYFUNCTION("""COMPUTED_VALUE"""),"Cut &amp; Pay (Base Pay)")</f>
        <v>Cut &amp; Pay (Base Pay)</v>
      </c>
      <c r="H35" s="26" t="str">
        <f>IFERROR(__xludf.DUMMYFUNCTION("""COMPUTED_VALUE"""),"Master Dealer")</f>
        <v>Master Dealer</v>
      </c>
      <c r="I35" s="26">
        <f>IFERROR(__xludf.DUMMYFUNCTION("""COMPUTED_VALUE"""),-6232.82)</f>
        <v>-6232.82</v>
      </c>
      <c r="J35" s="26">
        <f>IFERROR(__xludf.DUMMYFUNCTION("""COMPUTED_VALUE"""),1900.0)</f>
        <v>1900</v>
      </c>
      <c r="K35" s="26">
        <f>IFERROR(__xludf.DUMMYFUNCTION("""COMPUTED_VALUE"""),-4332.82)</f>
        <v>-4332.82</v>
      </c>
      <c r="L35" s="26" t="str">
        <f>IFERROR(__xludf.DUMMYFUNCTION("""COMPUTED_VALUE"""),"Active")</f>
        <v>Active</v>
      </c>
    </row>
    <row r="36">
      <c r="A36" s="26" t="str">
        <f>IFERROR(__xludf.DUMMYFUNCTION("""COMPUTED_VALUE"""),"1Glot5DmufEUxf7sEoY2RAdbIWFVDuW2SHPtNIbHYEdc")</f>
        <v>1Glot5DmufEUxf7sEoY2RAdbIWFVDuW2SHPtNIbHYEdc</v>
      </c>
      <c r="B36" s="26" t="str">
        <f>IFERROR(__xludf.DUMMYFUNCTION("""COMPUTED_VALUE"""),"1Glot5DmufEUxf7sEoY2RAdbIWFVDuW2SHPtNIbHYEdc")</f>
        <v>1Glot5DmufEUxf7sEoY2RAdbIWFVDuW2SHPtNIbHYEdc</v>
      </c>
      <c r="C36" s="26"/>
      <c r="D36" s="26" t="str">
        <f>IFERROR(__xludf.DUMMYFUNCTION("""COMPUTED_VALUE"""),"Individual")</f>
        <v>Individual</v>
      </c>
      <c r="E36" s="26" t="str">
        <f>IFERROR(__xludf.DUMMYFUNCTION("""COMPUTED_VALUE"""),"Bundled - 1 Year OD + 5 Year TP")</f>
        <v>Bundled - 1 Year OD + 5 Year TP</v>
      </c>
      <c r="F36" s="26" t="str">
        <f>IFERROR(__xludf.DUMMYFUNCTION("""COMPUTED_VALUE"""),"Cut &amp; Pay (Base Pay)")</f>
        <v>Cut &amp; Pay (Base Pay)</v>
      </c>
      <c r="G36" s="26" t="str">
        <f>IFERROR(__xludf.DUMMYFUNCTION("""COMPUTED_VALUE"""),"Cut &amp; Pay (Base Pay)")</f>
        <v>Cut &amp; Pay (Base Pay)</v>
      </c>
      <c r="H36" s="26" t="str">
        <f>IFERROR(__xludf.DUMMYFUNCTION("""COMPUTED_VALUE"""),"Master Dealer")</f>
        <v>Master Dealer</v>
      </c>
      <c r="I36" s="26">
        <f>IFERROR(__xludf.DUMMYFUNCTION("""COMPUTED_VALUE"""),-5667.2)</f>
        <v>-5667.2</v>
      </c>
      <c r="J36" s="26">
        <f>IFERROR(__xludf.DUMMYFUNCTION("""COMPUTED_VALUE"""),1900.0)</f>
        <v>1900</v>
      </c>
      <c r="K36" s="26">
        <f>IFERROR(__xludf.DUMMYFUNCTION("""COMPUTED_VALUE"""),-3767.2)</f>
        <v>-3767.2</v>
      </c>
      <c r="L36" s="26" t="str">
        <f>IFERROR(__xludf.DUMMYFUNCTION("""COMPUTED_VALUE"""),"Active")</f>
        <v>Active</v>
      </c>
    </row>
    <row r="37">
      <c r="A37" s="26"/>
      <c r="B37" s="26"/>
      <c r="C37" s="26"/>
      <c r="D37" s="26"/>
      <c r="E37" s="26"/>
      <c r="F37" s="26"/>
      <c r="G37" s="26"/>
      <c r="H37" s="26"/>
      <c r="I37" s="26"/>
      <c r="J37" s="26"/>
      <c r="K37" s="26"/>
      <c r="L37" s="26"/>
    </row>
    <row r="38">
      <c r="A38" s="26"/>
      <c r="B38" s="26"/>
      <c r="C38" s="26"/>
      <c r="D38" s="26"/>
      <c r="E38" s="26"/>
      <c r="F38" s="26"/>
      <c r="G38" s="26"/>
      <c r="H38" s="26"/>
      <c r="I38" s="26"/>
      <c r="J38" s="26"/>
      <c r="K38" s="26"/>
      <c r="L38" s="26"/>
    </row>
    <row r="39">
      <c r="A39" s="26"/>
      <c r="B39" s="26"/>
      <c r="C39" s="26"/>
      <c r="D39" s="26"/>
      <c r="E39" s="26"/>
      <c r="F39" s="26"/>
      <c r="G39" s="26"/>
      <c r="H39" s="26"/>
      <c r="I39" s="26"/>
      <c r="J39" s="26"/>
      <c r="K39" s="26"/>
      <c r="L39" s="26"/>
    </row>
    <row r="40">
      <c r="A40" s="26"/>
      <c r="B40" s="26"/>
      <c r="C40" s="26"/>
      <c r="D40" s="26"/>
      <c r="E40" s="26"/>
      <c r="F40" s="26"/>
      <c r="G40" s="26"/>
      <c r="H40" s="26"/>
      <c r="I40" s="26"/>
      <c r="J40" s="26"/>
      <c r="K40" s="26"/>
      <c r="L40" s="26"/>
    </row>
    <row r="41">
      <c r="A41" s="26"/>
      <c r="B41" s="26"/>
      <c r="C41" s="26"/>
      <c r="D41" s="26"/>
      <c r="E41" s="26"/>
      <c r="F41" s="26"/>
      <c r="G41" s="26"/>
      <c r="H41" s="26"/>
      <c r="I41" s="26"/>
      <c r="J41" s="26"/>
      <c r="K41" s="26"/>
      <c r="L41" s="26"/>
    </row>
    <row r="42">
      <c r="A42" s="26"/>
      <c r="B42" s="26"/>
      <c r="C42" s="26"/>
      <c r="D42" s="26"/>
      <c r="E42" s="26"/>
      <c r="F42" s="26"/>
      <c r="G42" s="26"/>
      <c r="H42" s="26"/>
      <c r="I42" s="26"/>
      <c r="J42" s="26"/>
      <c r="K42" s="26"/>
      <c r="L42" s="26"/>
    </row>
    <row r="43">
      <c r="A43" s="26"/>
      <c r="B43" s="26"/>
      <c r="C43" s="26"/>
      <c r="D43" s="26"/>
      <c r="E43" s="26"/>
      <c r="F43" s="26"/>
      <c r="G43" s="26"/>
      <c r="H43" s="26"/>
      <c r="I43" s="26"/>
      <c r="J43" s="26"/>
      <c r="K43" s="26"/>
      <c r="L43" s="26"/>
    </row>
    <row r="44">
      <c r="A44" s="26"/>
      <c r="B44" s="26"/>
      <c r="C44" s="26"/>
      <c r="D44" s="26"/>
      <c r="E44" s="26"/>
      <c r="F44" s="26"/>
      <c r="G44" s="26"/>
      <c r="H44" s="26"/>
      <c r="I44" s="26"/>
      <c r="J44" s="26"/>
      <c r="K44" s="26"/>
      <c r="L44" s="26"/>
    </row>
    <row r="45">
      <c r="A45" s="26"/>
      <c r="B45" s="26"/>
      <c r="C45" s="26"/>
      <c r="D45" s="26"/>
      <c r="E45" s="26"/>
      <c r="F45" s="26"/>
      <c r="G45" s="26"/>
      <c r="H45" s="26"/>
      <c r="I45" s="26"/>
      <c r="J45" s="26"/>
      <c r="K45" s="26"/>
      <c r="L45" s="26"/>
    </row>
    <row r="46">
      <c r="A46" s="26"/>
      <c r="B46" s="26"/>
      <c r="C46" s="26"/>
      <c r="D46" s="26"/>
      <c r="E46" s="26"/>
      <c r="F46" s="26"/>
      <c r="G46" s="26"/>
      <c r="H46" s="26"/>
      <c r="I46" s="26"/>
      <c r="J46" s="26"/>
      <c r="K46" s="26"/>
      <c r="L46" s="26"/>
    </row>
    <row r="47">
      <c r="A47" s="26"/>
      <c r="B47" s="26"/>
      <c r="C47" s="26"/>
      <c r="D47" s="26"/>
      <c r="E47" s="26"/>
      <c r="F47" s="26"/>
      <c r="G47" s="26"/>
      <c r="H47" s="26"/>
      <c r="I47" s="26"/>
      <c r="J47" s="26"/>
      <c r="K47" s="26"/>
      <c r="L47" s="26"/>
    </row>
    <row r="48">
      <c r="A48" s="26"/>
      <c r="B48" s="26"/>
      <c r="C48" s="26"/>
      <c r="D48" s="26"/>
      <c r="E48" s="26"/>
      <c r="F48" s="26"/>
      <c r="G48" s="26"/>
      <c r="H48" s="26"/>
      <c r="I48" s="26"/>
      <c r="J48" s="26"/>
      <c r="K48" s="26"/>
      <c r="L48" s="26"/>
    </row>
    <row r="49">
      <c r="A49" s="26"/>
      <c r="B49" s="26"/>
      <c r="C49" s="26"/>
      <c r="D49" s="26"/>
      <c r="E49" s="26"/>
      <c r="F49" s="26"/>
      <c r="G49" s="26"/>
      <c r="H49" s="26"/>
      <c r="I49" s="26"/>
      <c r="J49" s="26"/>
      <c r="K49" s="26"/>
      <c r="L49" s="26"/>
    </row>
    <row r="50">
      <c r="A50" s="26"/>
      <c r="B50" s="26"/>
      <c r="C50" s="26"/>
      <c r="D50" s="26"/>
      <c r="E50" s="26"/>
      <c r="F50" s="26"/>
      <c r="G50" s="26"/>
      <c r="H50" s="26"/>
      <c r="I50" s="26"/>
      <c r="J50" s="26"/>
      <c r="K50" s="26"/>
      <c r="L50" s="26"/>
    </row>
    <row r="51">
      <c r="A51" s="26"/>
      <c r="B51" s="26"/>
      <c r="C51" s="26"/>
      <c r="D51" s="26"/>
      <c r="E51" s="26"/>
      <c r="F51" s="26"/>
      <c r="G51" s="26"/>
      <c r="H51" s="26"/>
      <c r="I51" s="26"/>
      <c r="J51" s="26"/>
      <c r="K51" s="26"/>
      <c r="L51" s="26"/>
    </row>
    <row r="52">
      <c r="A52" s="26"/>
      <c r="B52" s="26"/>
      <c r="C52" s="26"/>
      <c r="D52" s="26"/>
      <c r="E52" s="26"/>
      <c r="F52" s="26"/>
      <c r="G52" s="26"/>
      <c r="H52" s="26"/>
      <c r="I52" s="26"/>
      <c r="J52" s="26"/>
      <c r="K52" s="26"/>
      <c r="L52" s="26"/>
    </row>
    <row r="53">
      <c r="A53" s="26"/>
      <c r="B53" s="26"/>
      <c r="C53" s="26"/>
      <c r="D53" s="26"/>
      <c r="E53" s="26"/>
      <c r="F53" s="26"/>
      <c r="G53" s="26"/>
      <c r="H53" s="26"/>
      <c r="I53" s="26"/>
      <c r="J53" s="26"/>
      <c r="K53" s="26"/>
      <c r="L53" s="26"/>
    </row>
    <row r="54">
      <c r="A54" s="26"/>
      <c r="B54" s="26"/>
      <c r="C54" s="26"/>
      <c r="D54" s="26"/>
      <c r="E54" s="26"/>
      <c r="F54" s="26"/>
      <c r="G54" s="26"/>
      <c r="H54" s="26"/>
      <c r="I54" s="26"/>
      <c r="J54" s="26"/>
      <c r="K54" s="26"/>
      <c r="L54" s="26"/>
    </row>
    <row r="55">
      <c r="A55" s="26"/>
      <c r="B55" s="26"/>
      <c r="C55" s="26"/>
      <c r="D55" s="26"/>
      <c r="E55" s="26"/>
      <c r="F55" s="26"/>
      <c r="G55" s="26"/>
      <c r="H55" s="26"/>
      <c r="I55" s="26"/>
      <c r="J55" s="26"/>
      <c r="K55" s="26"/>
      <c r="L55" s="26"/>
    </row>
    <row r="56">
      <c r="A56" s="26"/>
      <c r="B56" s="26"/>
      <c r="C56" s="26"/>
      <c r="D56" s="26"/>
      <c r="E56" s="26"/>
      <c r="F56" s="26"/>
      <c r="G56" s="26"/>
      <c r="H56" s="26"/>
      <c r="I56" s="26"/>
      <c r="J56" s="26"/>
      <c r="K56" s="26"/>
      <c r="L56" s="26"/>
    </row>
    <row r="57">
      <c r="A57" s="26"/>
      <c r="B57" s="26"/>
      <c r="C57" s="26"/>
      <c r="D57" s="26"/>
      <c r="E57" s="26"/>
      <c r="F57" s="26"/>
      <c r="G57" s="26"/>
      <c r="H57" s="26"/>
      <c r="I57" s="26"/>
      <c r="J57" s="26"/>
      <c r="K57" s="26"/>
      <c r="L57" s="26"/>
    </row>
    <row r="58">
      <c r="A58" s="26"/>
      <c r="B58" s="26"/>
      <c r="C58" s="26"/>
      <c r="D58" s="26"/>
      <c r="E58" s="26"/>
      <c r="F58" s="26"/>
      <c r="G58" s="26"/>
      <c r="H58" s="26"/>
      <c r="I58" s="26"/>
      <c r="J58" s="26"/>
      <c r="K58" s="26"/>
      <c r="L58" s="26"/>
    </row>
    <row r="59">
      <c r="A59" s="26"/>
      <c r="B59" s="26"/>
      <c r="C59" s="26"/>
      <c r="D59" s="26"/>
      <c r="E59" s="26"/>
      <c r="F59" s="26"/>
      <c r="G59" s="26"/>
      <c r="H59" s="26"/>
      <c r="I59" s="26"/>
      <c r="J59" s="26"/>
      <c r="K59" s="26"/>
      <c r="L59" s="26"/>
    </row>
    <row r="60">
      <c r="A60" s="26"/>
      <c r="B60" s="26"/>
      <c r="C60" s="26"/>
      <c r="D60" s="26"/>
      <c r="E60" s="26"/>
      <c r="F60" s="26"/>
      <c r="G60" s="26"/>
      <c r="H60" s="26"/>
      <c r="I60" s="26"/>
      <c r="J60" s="26"/>
      <c r="K60" s="26"/>
      <c r="L60" s="26"/>
    </row>
    <row r="61">
      <c r="A61" s="26"/>
      <c r="B61" s="26"/>
      <c r="C61" s="26"/>
      <c r="D61" s="26"/>
      <c r="E61" s="26"/>
      <c r="F61" s="26"/>
      <c r="G61" s="26"/>
      <c r="H61" s="26"/>
      <c r="I61" s="26"/>
      <c r="J61" s="26"/>
      <c r="K61" s="26"/>
      <c r="L61" s="26"/>
    </row>
    <row r="62">
      <c r="A62" s="26"/>
      <c r="B62" s="26"/>
      <c r="C62" s="26"/>
      <c r="D62" s="26"/>
      <c r="E62" s="26"/>
      <c r="F62" s="26"/>
      <c r="G62" s="26"/>
      <c r="H62" s="26"/>
      <c r="I62" s="26"/>
      <c r="J62" s="26"/>
      <c r="K62" s="26"/>
      <c r="L62" s="26"/>
    </row>
    <row r="63">
      <c r="A63" s="26"/>
      <c r="B63" s="26"/>
      <c r="C63" s="26"/>
      <c r="D63" s="26"/>
      <c r="E63" s="26"/>
      <c r="F63" s="26"/>
      <c r="G63" s="26"/>
      <c r="H63" s="26"/>
      <c r="I63" s="26"/>
      <c r="J63" s="26"/>
      <c r="K63" s="26"/>
      <c r="L63" s="26"/>
    </row>
    <row r="64">
      <c r="A64" s="26"/>
      <c r="B64" s="26"/>
      <c r="C64" s="26"/>
      <c r="D64" s="26"/>
      <c r="E64" s="26"/>
      <c r="F64" s="26"/>
      <c r="G64" s="26"/>
      <c r="H64" s="26"/>
      <c r="I64" s="26"/>
      <c r="J64" s="26"/>
      <c r="K64" s="26"/>
      <c r="L64" s="26"/>
    </row>
    <row r="65">
      <c r="A65" s="26"/>
      <c r="B65" s="26"/>
      <c r="C65" s="26"/>
      <c r="D65" s="26"/>
      <c r="E65" s="26"/>
      <c r="F65" s="26"/>
      <c r="G65" s="26"/>
      <c r="H65" s="26"/>
      <c r="I65" s="26"/>
      <c r="J65" s="26"/>
      <c r="K65" s="26"/>
      <c r="L65" s="26"/>
    </row>
    <row r="66">
      <c r="A66" s="26"/>
      <c r="B66" s="26"/>
      <c r="C66" s="26"/>
      <c r="D66" s="26"/>
      <c r="E66" s="26"/>
      <c r="F66" s="26"/>
      <c r="G66" s="26"/>
      <c r="H66" s="26"/>
      <c r="I66" s="26"/>
      <c r="J66" s="26"/>
      <c r="K66" s="26"/>
      <c r="L66" s="26"/>
    </row>
    <row r="67">
      <c r="A67" s="26"/>
      <c r="B67" s="26"/>
      <c r="C67" s="26"/>
      <c r="D67" s="26"/>
      <c r="E67" s="26"/>
      <c r="F67" s="26"/>
      <c r="G67" s="26"/>
      <c r="H67" s="26"/>
      <c r="I67" s="26"/>
      <c r="J67" s="26"/>
      <c r="K67" s="26"/>
      <c r="L67" s="26"/>
    </row>
    <row r="68">
      <c r="A68" s="26"/>
      <c r="B68" s="26"/>
      <c r="C68" s="26"/>
      <c r="D68" s="26"/>
      <c r="E68" s="26"/>
      <c r="F68" s="26"/>
      <c r="G68" s="26"/>
      <c r="H68" s="26"/>
      <c r="I68" s="26"/>
      <c r="J68" s="26"/>
      <c r="K68" s="26"/>
      <c r="L68" s="26"/>
    </row>
    <row r="69">
      <c r="A69" s="26"/>
      <c r="B69" s="26"/>
      <c r="C69" s="26"/>
      <c r="D69" s="26"/>
      <c r="E69" s="26"/>
      <c r="F69" s="26"/>
      <c r="G69" s="26"/>
      <c r="H69" s="26"/>
      <c r="I69" s="26"/>
      <c r="J69" s="26"/>
      <c r="K69" s="26"/>
      <c r="L69" s="26"/>
    </row>
    <row r="70">
      <c r="A70" s="26"/>
      <c r="B70" s="26"/>
      <c r="C70" s="26"/>
      <c r="D70" s="26"/>
      <c r="E70" s="26"/>
      <c r="F70" s="26"/>
      <c r="G70" s="26"/>
      <c r="H70" s="26"/>
      <c r="I70" s="26"/>
      <c r="J70" s="26"/>
      <c r="K70" s="26"/>
      <c r="L70" s="26"/>
    </row>
    <row r="71">
      <c r="A71" s="26"/>
      <c r="B71" s="26"/>
      <c r="C71" s="26"/>
      <c r="D71" s="26"/>
      <c r="E71" s="26"/>
      <c r="F71" s="26"/>
      <c r="G71" s="26"/>
      <c r="H71" s="26"/>
      <c r="I71" s="26"/>
      <c r="J71" s="26"/>
      <c r="K71" s="26"/>
      <c r="L71" s="26"/>
    </row>
    <row r="72">
      <c r="A72" s="26"/>
      <c r="B72" s="26"/>
      <c r="C72" s="26"/>
      <c r="D72" s="26"/>
      <c r="E72" s="26"/>
      <c r="F72" s="26"/>
      <c r="G72" s="26"/>
      <c r="H72" s="26"/>
      <c r="I72" s="26"/>
      <c r="J72" s="26"/>
      <c r="K72" s="26"/>
      <c r="L72" s="26"/>
    </row>
    <row r="73">
      <c r="A73" s="26"/>
      <c r="B73" s="26"/>
      <c r="C73" s="26"/>
      <c r="D73" s="26"/>
      <c r="E73" s="26"/>
      <c r="F73" s="26"/>
      <c r="G73" s="26"/>
      <c r="H73" s="26"/>
      <c r="I73" s="26"/>
      <c r="J73" s="26"/>
      <c r="K73" s="26"/>
      <c r="L73" s="26"/>
    </row>
    <row r="74">
      <c r="A74" s="26"/>
      <c r="B74" s="26"/>
      <c r="C74" s="26"/>
      <c r="D74" s="26"/>
      <c r="E74" s="26"/>
      <c r="F74" s="26"/>
      <c r="G74" s="26"/>
      <c r="H74" s="26"/>
      <c r="I74" s="26"/>
      <c r="J74" s="26"/>
      <c r="K74" s="26"/>
      <c r="L74" s="26"/>
    </row>
    <row r="75">
      <c r="A75" s="26"/>
      <c r="B75" s="26"/>
      <c r="C75" s="26"/>
      <c r="D75" s="26"/>
      <c r="E75" s="26"/>
      <c r="F75" s="26"/>
      <c r="G75" s="26"/>
      <c r="H75" s="26"/>
      <c r="I75" s="26"/>
      <c r="J75" s="26"/>
      <c r="K75" s="26"/>
      <c r="L75" s="26"/>
    </row>
    <row r="76">
      <c r="A76" s="26"/>
      <c r="B76" s="26"/>
      <c r="C76" s="26"/>
      <c r="D76" s="26"/>
      <c r="E76" s="26"/>
      <c r="F76" s="26"/>
      <c r="G76" s="26"/>
      <c r="H76" s="26"/>
      <c r="I76" s="26"/>
      <c r="J76" s="26"/>
      <c r="K76" s="26"/>
      <c r="L76" s="26"/>
    </row>
    <row r="77">
      <c r="A77" s="26"/>
      <c r="B77" s="26"/>
      <c r="C77" s="26"/>
      <c r="D77" s="26"/>
      <c r="E77" s="26"/>
      <c r="F77" s="26"/>
      <c r="G77" s="26"/>
      <c r="H77" s="26"/>
      <c r="I77" s="26"/>
      <c r="J77" s="26"/>
      <c r="K77" s="26"/>
      <c r="L77" s="26"/>
    </row>
    <row r="78">
      <c r="A78" s="26"/>
      <c r="B78" s="26"/>
      <c r="C78" s="26"/>
      <c r="D78" s="26"/>
      <c r="E78" s="26"/>
      <c r="F78" s="26"/>
      <c r="G78" s="26"/>
      <c r="H78" s="26"/>
      <c r="I78" s="26"/>
      <c r="J78" s="26"/>
      <c r="K78" s="26"/>
      <c r="L78" s="26"/>
    </row>
    <row r="79">
      <c r="A79" s="26"/>
      <c r="B79" s="26"/>
      <c r="C79" s="26"/>
      <c r="D79" s="26"/>
      <c r="E79" s="26"/>
      <c r="F79" s="26"/>
      <c r="G79" s="26"/>
      <c r="H79" s="26"/>
      <c r="I79" s="26"/>
      <c r="J79" s="26"/>
      <c r="K79" s="26"/>
      <c r="L79" s="26"/>
    </row>
    <row r="80">
      <c r="A80" s="26"/>
      <c r="B80" s="26"/>
      <c r="C80" s="26"/>
      <c r="D80" s="26"/>
      <c r="E80" s="26"/>
      <c r="F80" s="26"/>
      <c r="G80" s="26"/>
      <c r="H80" s="26"/>
      <c r="I80" s="26"/>
      <c r="J80" s="26"/>
      <c r="K80" s="26"/>
      <c r="L80" s="26"/>
    </row>
    <row r="81">
      <c r="A81" s="26"/>
      <c r="B81" s="26"/>
      <c r="C81" s="26"/>
      <c r="D81" s="26"/>
      <c r="E81" s="26"/>
      <c r="F81" s="26"/>
      <c r="G81" s="26"/>
      <c r="H81" s="26"/>
      <c r="I81" s="26"/>
      <c r="J81" s="26"/>
      <c r="K81" s="26"/>
      <c r="L81" s="26"/>
    </row>
    <row r="82">
      <c r="A82" s="26"/>
      <c r="B82" s="26"/>
      <c r="C82" s="26"/>
      <c r="D82" s="26"/>
      <c r="E82" s="26"/>
      <c r="F82" s="26"/>
      <c r="G82" s="26"/>
      <c r="H82" s="26"/>
      <c r="I82" s="26"/>
      <c r="J82" s="26"/>
      <c r="K82" s="26"/>
      <c r="L82" s="26"/>
    </row>
    <row r="83">
      <c r="A83" s="26"/>
      <c r="B83" s="26"/>
      <c r="C83" s="26"/>
      <c r="D83" s="26"/>
      <c r="E83" s="26"/>
      <c r="F83" s="26"/>
      <c r="G83" s="26"/>
      <c r="H83" s="26"/>
      <c r="I83" s="26"/>
      <c r="J83" s="26"/>
      <c r="K83" s="26"/>
      <c r="L83" s="26"/>
    </row>
    <row r="84">
      <c r="A84" s="26"/>
      <c r="B84" s="26"/>
      <c r="C84" s="26"/>
      <c r="D84" s="26"/>
      <c r="E84" s="26"/>
      <c r="F84" s="26"/>
      <c r="G84" s="26"/>
      <c r="H84" s="26"/>
      <c r="I84" s="26"/>
      <c r="J84" s="26"/>
      <c r="K84" s="26"/>
      <c r="L84" s="26"/>
    </row>
    <row r="85">
      <c r="A85" s="26"/>
      <c r="B85" s="26"/>
      <c r="C85" s="26"/>
      <c r="D85" s="26"/>
      <c r="E85" s="26"/>
      <c r="F85" s="26"/>
      <c r="G85" s="26"/>
      <c r="H85" s="26"/>
      <c r="I85" s="26"/>
      <c r="J85" s="26"/>
      <c r="K85" s="26"/>
      <c r="L85" s="26"/>
    </row>
    <row r="86">
      <c r="A86" s="26"/>
      <c r="B86" s="26"/>
      <c r="C86" s="26"/>
      <c r="D86" s="26"/>
      <c r="E86" s="26"/>
      <c r="F86" s="26"/>
      <c r="G86" s="26"/>
      <c r="H86" s="26"/>
      <c r="I86" s="26"/>
      <c r="J86" s="26"/>
      <c r="K86" s="26"/>
      <c r="L86" s="26"/>
    </row>
    <row r="87">
      <c r="A87" s="26"/>
      <c r="B87" s="26"/>
      <c r="C87" s="26"/>
      <c r="D87" s="26"/>
      <c r="E87" s="26"/>
      <c r="F87" s="26"/>
      <c r="G87" s="26"/>
      <c r="H87" s="26"/>
      <c r="I87" s="26"/>
      <c r="J87" s="26"/>
      <c r="K87" s="26"/>
      <c r="L87" s="26"/>
    </row>
    <row r="88">
      <c r="A88" s="26"/>
      <c r="B88" s="26"/>
      <c r="C88" s="26"/>
      <c r="D88" s="26"/>
      <c r="E88" s="26"/>
      <c r="F88" s="26"/>
      <c r="G88" s="26"/>
      <c r="H88" s="26"/>
      <c r="I88" s="26"/>
      <c r="J88" s="26"/>
      <c r="K88" s="26"/>
      <c r="L88" s="26"/>
    </row>
    <row r="89">
      <c r="A89" s="26"/>
      <c r="B89" s="26"/>
      <c r="C89" s="26"/>
      <c r="D89" s="26"/>
      <c r="E89" s="26"/>
      <c r="F89" s="26"/>
      <c r="G89" s="26"/>
      <c r="H89" s="26"/>
      <c r="I89" s="26"/>
      <c r="J89" s="26"/>
      <c r="K89" s="26"/>
      <c r="L89" s="26"/>
    </row>
    <row r="90">
      <c r="A90" s="26"/>
      <c r="B90" s="26"/>
      <c r="C90" s="26"/>
      <c r="D90" s="26"/>
      <c r="E90" s="26"/>
      <c r="F90" s="26"/>
      <c r="G90" s="26"/>
      <c r="H90" s="26"/>
      <c r="I90" s="26"/>
      <c r="J90" s="26"/>
      <c r="K90" s="26"/>
      <c r="L90" s="26"/>
    </row>
    <row r="91">
      <c r="A91" s="26"/>
      <c r="B91" s="26"/>
      <c r="C91" s="26"/>
      <c r="D91" s="26"/>
      <c r="E91" s="26"/>
      <c r="F91" s="26"/>
      <c r="G91" s="26"/>
      <c r="H91" s="26"/>
      <c r="I91" s="26"/>
      <c r="J91" s="26"/>
      <c r="K91" s="26"/>
      <c r="L91" s="26"/>
    </row>
    <row r="92">
      <c r="A92" s="26"/>
      <c r="B92" s="26"/>
      <c r="C92" s="26"/>
      <c r="D92" s="26"/>
      <c r="E92" s="26"/>
      <c r="F92" s="26"/>
      <c r="G92" s="26"/>
      <c r="H92" s="26"/>
      <c r="I92" s="26"/>
      <c r="J92" s="26"/>
      <c r="K92" s="26"/>
      <c r="L92" s="26"/>
    </row>
    <row r="93">
      <c r="A93" s="26"/>
      <c r="B93" s="26"/>
      <c r="C93" s="26"/>
      <c r="D93" s="26"/>
      <c r="E93" s="26"/>
      <c r="F93" s="26"/>
      <c r="G93" s="26"/>
      <c r="H93" s="26"/>
      <c r="I93" s="26"/>
      <c r="J93" s="26"/>
      <c r="K93" s="26"/>
      <c r="L93" s="26"/>
    </row>
    <row r="94">
      <c r="A94" s="26"/>
      <c r="B94" s="26"/>
      <c r="C94" s="26"/>
      <c r="D94" s="26"/>
      <c r="E94" s="26"/>
      <c r="F94" s="26"/>
      <c r="G94" s="26"/>
      <c r="H94" s="26"/>
      <c r="I94" s="26"/>
      <c r="J94" s="26"/>
      <c r="K94" s="26"/>
      <c r="L94" s="26"/>
    </row>
    <row r="95">
      <c r="A95" s="26"/>
      <c r="B95" s="26"/>
      <c r="C95" s="26"/>
      <c r="D95" s="26"/>
      <c r="E95" s="26"/>
      <c r="F95" s="26"/>
      <c r="G95" s="26"/>
      <c r="H95" s="26"/>
      <c r="I95" s="26"/>
      <c r="J95" s="26"/>
      <c r="K95" s="26"/>
      <c r="L95" s="26"/>
    </row>
    <row r="96">
      <c r="A96" s="26"/>
      <c r="B96" s="26"/>
      <c r="C96" s="26"/>
      <c r="D96" s="26"/>
      <c r="E96" s="26"/>
      <c r="F96" s="26"/>
      <c r="G96" s="26"/>
      <c r="H96" s="26"/>
      <c r="I96" s="26"/>
      <c r="J96" s="26"/>
      <c r="K96" s="26"/>
      <c r="L96" s="26"/>
    </row>
    <row r="97">
      <c r="A97" s="26"/>
      <c r="B97" s="26"/>
      <c r="C97" s="26"/>
      <c r="D97" s="26"/>
      <c r="E97" s="26"/>
      <c r="F97" s="26"/>
      <c r="G97" s="26"/>
      <c r="H97" s="26"/>
      <c r="I97" s="26"/>
      <c r="J97" s="26"/>
      <c r="K97" s="26"/>
      <c r="L97" s="26"/>
    </row>
    <row r="98">
      <c r="A98" s="26"/>
      <c r="B98" s="26"/>
      <c r="C98" s="26"/>
      <c r="D98" s="26"/>
      <c r="E98" s="26"/>
      <c r="F98" s="26"/>
      <c r="G98" s="26"/>
      <c r="H98" s="26"/>
      <c r="I98" s="26"/>
      <c r="J98" s="26"/>
      <c r="K98" s="26"/>
      <c r="L98" s="26"/>
    </row>
    <row r="99">
      <c r="A99" s="26"/>
      <c r="B99" s="26"/>
      <c r="C99" s="26"/>
      <c r="D99" s="26"/>
      <c r="E99" s="26"/>
      <c r="F99" s="26"/>
      <c r="G99" s="26"/>
      <c r="H99" s="26"/>
      <c r="I99" s="26"/>
      <c r="J99" s="26"/>
      <c r="K99" s="26"/>
      <c r="L99" s="26"/>
    </row>
    <row r="100">
      <c r="A100" s="26"/>
      <c r="B100" s="26"/>
      <c r="C100" s="26"/>
      <c r="D100" s="26"/>
      <c r="E100" s="26"/>
      <c r="F100" s="26"/>
      <c r="G100" s="26"/>
      <c r="H100" s="26"/>
      <c r="I100" s="26"/>
      <c r="J100" s="26"/>
      <c r="K100" s="26"/>
      <c r="L100" s="26"/>
    </row>
    <row r="101">
      <c r="A101" s="26"/>
      <c r="B101" s="26"/>
      <c r="C101" s="26"/>
      <c r="D101" s="26"/>
      <c r="E101" s="26"/>
      <c r="F101" s="26"/>
      <c r="G101" s="26"/>
      <c r="H101" s="26"/>
      <c r="I101" s="26"/>
      <c r="J101" s="26"/>
      <c r="K101" s="26"/>
      <c r="L101" s="26"/>
    </row>
    <row r="102">
      <c r="A102" s="26"/>
      <c r="B102" s="26"/>
      <c r="C102" s="26"/>
      <c r="D102" s="26"/>
      <c r="E102" s="26"/>
      <c r="F102" s="26"/>
      <c r="G102" s="26"/>
      <c r="H102" s="26"/>
      <c r="I102" s="26"/>
      <c r="J102" s="26"/>
      <c r="K102" s="26"/>
      <c r="L102" s="26"/>
    </row>
    <row r="103">
      <c r="A103" s="26"/>
      <c r="B103" s="26"/>
      <c r="C103" s="26"/>
      <c r="D103" s="26"/>
      <c r="E103" s="26"/>
      <c r="F103" s="26"/>
      <c r="G103" s="26"/>
      <c r="H103" s="26"/>
      <c r="I103" s="26"/>
      <c r="J103" s="26"/>
      <c r="K103" s="26"/>
      <c r="L103" s="26"/>
    </row>
    <row r="104">
      <c r="A104" s="26"/>
      <c r="B104" s="26"/>
      <c r="C104" s="26"/>
      <c r="D104" s="26"/>
      <c r="E104" s="26"/>
      <c r="F104" s="26"/>
      <c r="G104" s="26"/>
      <c r="H104" s="26"/>
      <c r="I104" s="26"/>
      <c r="J104" s="26"/>
      <c r="K104" s="26"/>
      <c r="L104" s="26"/>
    </row>
    <row r="105">
      <c r="A105" s="26"/>
      <c r="B105" s="26"/>
      <c r="C105" s="26"/>
      <c r="D105" s="26"/>
      <c r="E105" s="26"/>
      <c r="F105" s="26"/>
      <c r="G105" s="26"/>
      <c r="H105" s="26"/>
      <c r="I105" s="26"/>
      <c r="J105" s="26"/>
      <c r="K105" s="26"/>
      <c r="L105" s="26"/>
    </row>
    <row r="106">
      <c r="A106" s="26"/>
      <c r="B106" s="26"/>
      <c r="C106" s="26"/>
      <c r="D106" s="26"/>
      <c r="E106" s="26"/>
      <c r="F106" s="26"/>
      <c r="G106" s="26"/>
      <c r="H106" s="26"/>
      <c r="I106" s="26"/>
      <c r="J106" s="26"/>
      <c r="K106" s="26"/>
      <c r="L106" s="26"/>
    </row>
    <row r="107">
      <c r="A107" s="26"/>
      <c r="B107" s="26"/>
      <c r="C107" s="26"/>
      <c r="D107" s="26"/>
      <c r="E107" s="26"/>
      <c r="F107" s="26"/>
      <c r="G107" s="26"/>
      <c r="H107" s="26"/>
      <c r="I107" s="26"/>
      <c r="J107" s="26"/>
      <c r="K107" s="26"/>
      <c r="L107" s="26"/>
    </row>
    <row r="108">
      <c r="A108" s="26"/>
      <c r="B108" s="26"/>
      <c r="C108" s="26"/>
      <c r="D108" s="26"/>
      <c r="E108" s="26"/>
      <c r="F108" s="26"/>
      <c r="G108" s="26"/>
      <c r="H108" s="26"/>
      <c r="I108" s="26"/>
      <c r="J108" s="26"/>
      <c r="K108" s="26"/>
      <c r="L108" s="26"/>
    </row>
    <row r="109">
      <c r="A109" s="26"/>
      <c r="B109" s="26"/>
      <c r="C109" s="26"/>
      <c r="D109" s="26"/>
      <c r="E109" s="26"/>
      <c r="F109" s="26"/>
      <c r="G109" s="26"/>
      <c r="H109" s="26"/>
      <c r="I109" s="26"/>
      <c r="J109" s="26"/>
      <c r="K109" s="26"/>
      <c r="L109" s="26"/>
    </row>
    <row r="110">
      <c r="A110" s="26"/>
      <c r="B110" s="26"/>
      <c r="C110" s="26"/>
      <c r="D110" s="26"/>
      <c r="E110" s="26"/>
      <c r="F110" s="26"/>
      <c r="G110" s="26"/>
      <c r="H110" s="26"/>
      <c r="I110" s="26"/>
      <c r="J110" s="26"/>
      <c r="K110" s="26"/>
      <c r="L110" s="26"/>
    </row>
    <row r="111">
      <c r="A111" s="26"/>
      <c r="B111" s="26"/>
      <c r="C111" s="26"/>
      <c r="D111" s="26"/>
      <c r="E111" s="26"/>
      <c r="F111" s="26"/>
      <c r="G111" s="26"/>
      <c r="H111" s="26"/>
      <c r="I111" s="26"/>
      <c r="J111" s="26"/>
      <c r="K111" s="26"/>
      <c r="L111" s="26"/>
    </row>
    <row r="112">
      <c r="A112" s="26"/>
      <c r="B112" s="26"/>
      <c r="C112" s="26"/>
      <c r="D112" s="26"/>
      <c r="E112" s="26"/>
      <c r="F112" s="26"/>
      <c r="G112" s="26"/>
      <c r="H112" s="26"/>
      <c r="I112" s="26"/>
      <c r="J112" s="26"/>
      <c r="K112" s="26"/>
      <c r="L112" s="26"/>
    </row>
    <row r="113">
      <c r="A113" s="26"/>
      <c r="B113" s="26"/>
      <c r="C113" s="26"/>
      <c r="D113" s="26"/>
      <c r="E113" s="26"/>
      <c r="F113" s="26"/>
      <c r="G113" s="26"/>
      <c r="H113" s="26"/>
      <c r="I113" s="26"/>
      <c r="J113" s="26"/>
      <c r="K113" s="26"/>
      <c r="L113" s="26"/>
    </row>
    <row r="114">
      <c r="A114" s="26"/>
      <c r="B114" s="26"/>
      <c r="C114" s="26"/>
      <c r="D114" s="26"/>
      <c r="E114" s="26"/>
      <c r="F114" s="26"/>
      <c r="G114" s="26"/>
      <c r="H114" s="26"/>
      <c r="I114" s="26"/>
      <c r="J114" s="26"/>
      <c r="K114" s="26"/>
      <c r="L114" s="26"/>
    </row>
    <row r="115">
      <c r="A115" s="26"/>
      <c r="B115" s="26"/>
      <c r="C115" s="26"/>
      <c r="D115" s="26"/>
      <c r="E115" s="26"/>
      <c r="F115" s="26"/>
      <c r="G115" s="26"/>
      <c r="H115" s="26"/>
      <c r="I115" s="26"/>
      <c r="J115" s="26"/>
      <c r="K115" s="26"/>
      <c r="L115" s="26"/>
    </row>
    <row r="116">
      <c r="A116" s="26"/>
      <c r="B116" s="26"/>
      <c r="C116" s="26"/>
      <c r="D116" s="26"/>
      <c r="E116" s="26"/>
      <c r="F116" s="26"/>
      <c r="G116" s="26"/>
      <c r="H116" s="26"/>
      <c r="I116" s="26"/>
      <c r="J116" s="26"/>
      <c r="K116" s="26"/>
      <c r="L116" s="26"/>
    </row>
    <row r="117">
      <c r="A117" s="26"/>
      <c r="B117" s="26"/>
      <c r="C117" s="26"/>
      <c r="D117" s="26"/>
      <c r="E117" s="26"/>
      <c r="F117" s="26"/>
      <c r="G117" s="26"/>
      <c r="H117" s="26"/>
      <c r="I117" s="26"/>
      <c r="J117" s="26"/>
      <c r="K117" s="26"/>
      <c r="L117" s="26"/>
    </row>
    <row r="118">
      <c r="A118" s="26"/>
      <c r="B118" s="26"/>
      <c r="C118" s="26"/>
      <c r="D118" s="26"/>
      <c r="E118" s="26"/>
      <c r="F118" s="26"/>
      <c r="G118" s="26"/>
      <c r="H118" s="26"/>
      <c r="I118" s="26"/>
      <c r="J118" s="26"/>
      <c r="K118" s="26"/>
      <c r="L118" s="26"/>
    </row>
    <row r="119">
      <c r="A119" s="26"/>
      <c r="B119" s="26"/>
      <c r="C119" s="26"/>
      <c r="D119" s="26"/>
      <c r="E119" s="26"/>
      <c r="F119" s="26"/>
      <c r="G119" s="26"/>
      <c r="H119" s="26"/>
      <c r="I119" s="26"/>
      <c r="J119" s="26"/>
      <c r="K119" s="26"/>
      <c r="L119" s="26"/>
    </row>
    <row r="120">
      <c r="A120" s="26"/>
      <c r="B120" s="26"/>
      <c r="C120" s="26"/>
      <c r="D120" s="26"/>
      <c r="E120" s="26"/>
      <c r="F120" s="26"/>
      <c r="G120" s="26"/>
      <c r="H120" s="26"/>
      <c r="I120" s="26"/>
      <c r="J120" s="26"/>
      <c r="K120" s="26"/>
      <c r="L120" s="26"/>
    </row>
    <row r="121">
      <c r="A121" s="26"/>
      <c r="B121" s="26"/>
      <c r="C121" s="26"/>
      <c r="D121" s="26"/>
      <c r="E121" s="26"/>
      <c r="F121" s="26"/>
      <c r="G121" s="26"/>
      <c r="H121" s="26"/>
      <c r="I121" s="26"/>
      <c r="J121" s="26"/>
      <c r="K121" s="26"/>
      <c r="L121" s="26"/>
    </row>
    <row r="122">
      <c r="A122" s="26"/>
      <c r="B122" s="26"/>
      <c r="C122" s="26"/>
      <c r="D122" s="26"/>
      <c r="E122" s="26"/>
      <c r="F122" s="26"/>
      <c r="G122" s="26"/>
      <c r="H122" s="26"/>
      <c r="I122" s="26"/>
      <c r="J122" s="26"/>
      <c r="K122" s="26"/>
      <c r="L122" s="26"/>
    </row>
    <row r="123">
      <c r="A123" s="26"/>
      <c r="B123" s="26"/>
      <c r="C123" s="26"/>
      <c r="D123" s="26"/>
      <c r="E123" s="26"/>
      <c r="F123" s="26"/>
      <c r="G123" s="26"/>
      <c r="H123" s="26"/>
      <c r="I123" s="26"/>
      <c r="J123" s="26"/>
      <c r="K123" s="26"/>
      <c r="L123" s="26"/>
    </row>
    <row r="124">
      <c r="A124" s="26"/>
      <c r="B124" s="26"/>
      <c r="C124" s="26"/>
      <c r="D124" s="26"/>
      <c r="E124" s="26"/>
      <c r="F124" s="26"/>
      <c r="G124" s="26"/>
      <c r="H124" s="26"/>
      <c r="I124" s="26"/>
      <c r="J124" s="26"/>
      <c r="K124" s="26"/>
      <c r="L124" s="26"/>
    </row>
    <row r="125">
      <c r="A125" s="26"/>
      <c r="B125" s="26"/>
      <c r="C125" s="26"/>
      <c r="D125" s="26"/>
      <c r="E125" s="26"/>
      <c r="F125" s="26"/>
      <c r="G125" s="26"/>
      <c r="H125" s="26"/>
      <c r="I125" s="26"/>
      <c r="J125" s="26"/>
      <c r="K125" s="26"/>
      <c r="L125" s="26"/>
    </row>
    <row r="126">
      <c r="A126" s="26"/>
      <c r="B126" s="26"/>
      <c r="C126" s="26"/>
      <c r="D126" s="26"/>
      <c r="E126" s="26"/>
      <c r="F126" s="26"/>
      <c r="G126" s="26"/>
      <c r="H126" s="26"/>
      <c r="I126" s="26"/>
      <c r="J126" s="26"/>
      <c r="K126" s="26"/>
      <c r="L126" s="26"/>
    </row>
    <row r="127">
      <c r="A127" s="26"/>
      <c r="B127" s="26"/>
      <c r="C127" s="26"/>
      <c r="D127" s="26"/>
      <c r="E127" s="26"/>
      <c r="F127" s="26"/>
      <c r="G127" s="26"/>
      <c r="H127" s="26"/>
      <c r="I127" s="26"/>
      <c r="J127" s="26"/>
      <c r="K127" s="26"/>
      <c r="L127" s="26"/>
    </row>
    <row r="128">
      <c r="A128" s="26"/>
      <c r="B128" s="26"/>
      <c r="C128" s="26"/>
      <c r="D128" s="26"/>
      <c r="E128" s="26"/>
      <c r="F128" s="26"/>
      <c r="G128" s="26"/>
      <c r="H128" s="26"/>
      <c r="I128" s="26"/>
      <c r="J128" s="26"/>
      <c r="K128" s="26"/>
      <c r="L128" s="26"/>
    </row>
    <row r="129">
      <c r="A129" s="26"/>
      <c r="B129" s="26"/>
      <c r="C129" s="26"/>
      <c r="D129" s="26"/>
      <c r="E129" s="26"/>
      <c r="F129" s="26"/>
      <c r="G129" s="26"/>
      <c r="H129" s="26"/>
      <c r="I129" s="26"/>
      <c r="J129" s="26"/>
      <c r="K129" s="26"/>
      <c r="L129" s="26"/>
    </row>
    <row r="130">
      <c r="A130" s="26"/>
      <c r="B130" s="26"/>
      <c r="C130" s="26"/>
      <c r="D130" s="26"/>
      <c r="E130" s="26"/>
      <c r="F130" s="26"/>
      <c r="G130" s="26"/>
      <c r="H130" s="26"/>
      <c r="I130" s="26"/>
      <c r="J130" s="26"/>
      <c r="K130" s="26"/>
      <c r="L130" s="26"/>
    </row>
    <row r="131">
      <c r="A131" s="26"/>
      <c r="B131" s="26"/>
      <c r="C131" s="26"/>
      <c r="D131" s="26"/>
      <c r="E131" s="26"/>
      <c r="F131" s="26"/>
      <c r="G131" s="26"/>
      <c r="H131" s="26"/>
      <c r="I131" s="26"/>
      <c r="J131" s="26"/>
      <c r="K131" s="26"/>
      <c r="L131" s="26"/>
    </row>
    <row r="132">
      <c r="A132" s="26"/>
      <c r="B132" s="26"/>
      <c r="C132" s="26"/>
      <c r="D132" s="26"/>
      <c r="E132" s="26"/>
      <c r="F132" s="26"/>
      <c r="G132" s="26"/>
      <c r="H132" s="26"/>
      <c r="I132" s="26"/>
      <c r="J132" s="26"/>
      <c r="K132" s="26"/>
      <c r="L132" s="26"/>
    </row>
    <row r="133">
      <c r="A133" s="26"/>
      <c r="B133" s="26"/>
      <c r="C133" s="26"/>
      <c r="D133" s="26"/>
      <c r="E133" s="26"/>
      <c r="F133" s="26"/>
      <c r="G133" s="26"/>
      <c r="H133" s="26"/>
      <c r="I133" s="26"/>
      <c r="J133" s="26"/>
      <c r="K133" s="26"/>
      <c r="L133" s="26"/>
    </row>
    <row r="134">
      <c r="A134" s="26"/>
      <c r="B134" s="26"/>
      <c r="C134" s="26"/>
      <c r="D134" s="26"/>
      <c r="E134" s="26"/>
      <c r="F134" s="26"/>
      <c r="G134" s="26"/>
      <c r="H134" s="26"/>
      <c r="I134" s="26"/>
      <c r="J134" s="26"/>
      <c r="K134" s="26"/>
      <c r="L134" s="26"/>
    </row>
    <row r="135">
      <c r="A135" s="26"/>
      <c r="B135" s="26"/>
      <c r="C135" s="26"/>
      <c r="D135" s="26"/>
      <c r="E135" s="26"/>
      <c r="F135" s="26"/>
      <c r="G135" s="26"/>
      <c r="H135" s="26"/>
      <c r="I135" s="26"/>
      <c r="J135" s="26"/>
      <c r="K135" s="26"/>
      <c r="L135" s="26"/>
    </row>
    <row r="136">
      <c r="A136" s="26"/>
      <c r="B136" s="26"/>
      <c r="C136" s="26"/>
      <c r="D136" s="26"/>
      <c r="E136" s="26"/>
      <c r="F136" s="26"/>
      <c r="G136" s="26"/>
      <c r="H136" s="26"/>
      <c r="I136" s="26"/>
      <c r="J136" s="26"/>
      <c r="K136" s="26"/>
      <c r="L136" s="2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38"/>
    <col customWidth="1" min="2" max="2" width="13.5"/>
  </cols>
  <sheetData>
    <row r="1">
      <c r="A1" s="34" t="s">
        <v>47</v>
      </c>
      <c r="B1" s="34" t="s">
        <v>48</v>
      </c>
    </row>
    <row r="2">
      <c r="A2" s="34" t="s">
        <v>3933</v>
      </c>
      <c r="B2" s="34" t="s">
        <v>3934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75"/>
    <col customWidth="1" min="2" max="2" width="8.0"/>
    <col customWidth="1" min="3" max="3" width="29.13"/>
    <col customWidth="1" min="4" max="4" width="6.75"/>
    <col customWidth="1" min="5" max="5" width="13.63"/>
    <col customWidth="1" min="6" max="6" width="22.63"/>
    <col customWidth="1" min="7" max="7" width="60.0"/>
    <col customWidth="1" min="8" max="8" width="17.0"/>
    <col customWidth="1" min="9" max="9" width="16.5"/>
    <col customWidth="1" min="10" max="10" width="18.5"/>
    <col customWidth="1" min="11" max="11" width="18.13"/>
    <col customWidth="1" min="12" max="12" width="10.63"/>
    <col customWidth="1" min="13" max="13" width="16.75"/>
    <col customWidth="1" min="14" max="14" width="15.75"/>
  </cols>
  <sheetData>
    <row r="1">
      <c r="A1" s="27" t="s">
        <v>3935</v>
      </c>
      <c r="B1" s="28" t="s">
        <v>3707</v>
      </c>
      <c r="C1" s="28" t="s">
        <v>1</v>
      </c>
      <c r="D1" s="48" t="s">
        <v>3936</v>
      </c>
      <c r="E1" s="48" t="s">
        <v>3937</v>
      </c>
      <c r="F1" s="48" t="s">
        <v>3938</v>
      </c>
      <c r="G1" s="48" t="s">
        <v>3939</v>
      </c>
      <c r="H1" s="48" t="s">
        <v>3940</v>
      </c>
      <c r="I1" s="48" t="s">
        <v>3941</v>
      </c>
      <c r="J1" s="48" t="s">
        <v>3942</v>
      </c>
      <c r="K1" s="48" t="s">
        <v>3943</v>
      </c>
      <c r="L1" s="48" t="s">
        <v>3944</v>
      </c>
      <c r="M1" s="48" t="s">
        <v>3945</v>
      </c>
      <c r="N1" s="48" t="s">
        <v>3946</v>
      </c>
    </row>
    <row r="2">
      <c r="A2" s="30" t="s">
        <v>3947</v>
      </c>
      <c r="B2" s="25" t="str">
        <f>(Sheet1!A48)</f>
        <v>14s_HeeebHqLRTUCX5FSlJ3K7aiTvnkajbPMefm6jg1M</v>
      </c>
      <c r="C2" s="25" t="str">
        <f>(Sheet1!B48)</f>
        <v>Bharat Auto - Kasganj</v>
      </c>
      <c r="D2" s="34">
        <v>17315.0</v>
      </c>
      <c r="E2" s="49">
        <v>44651.0</v>
      </c>
      <c r="F2" s="34" t="s">
        <v>3948</v>
      </c>
      <c r="G2" s="34" t="s">
        <v>3949</v>
      </c>
      <c r="H2" s="34" t="s">
        <v>3950</v>
      </c>
      <c r="I2" s="50">
        <v>44652.46650462963</v>
      </c>
      <c r="J2" s="34" t="s">
        <v>3951</v>
      </c>
      <c r="K2" s="50">
        <v>44652.52119212963</v>
      </c>
      <c r="L2" s="34" t="s">
        <v>3952</v>
      </c>
      <c r="M2" s="34" t="s">
        <v>3953</v>
      </c>
      <c r="N2" s="34">
        <v>2.0220401111146E13</v>
      </c>
    </row>
    <row r="3">
      <c r="A3" s="30" t="s">
        <v>3954</v>
      </c>
      <c r="B3" s="25" t="str">
        <f>(Sheet1!A259)</f>
        <v>18YeFXhbwOry3OVJYZRIqhn6Omyqh0U-ahQsWUD0TmFQ</v>
      </c>
      <c r="C3" s="25" t="str">
        <f>(Sheet1!B259)</f>
        <v>SILVER WHEELS - KANPUR</v>
      </c>
      <c r="D3" s="34">
        <v>12000.0</v>
      </c>
      <c r="E3" s="49">
        <v>44651.0</v>
      </c>
      <c r="F3" s="34" t="s">
        <v>3955</v>
      </c>
      <c r="G3" s="34" t="s">
        <v>3956</v>
      </c>
      <c r="H3" s="34" t="s">
        <v>3950</v>
      </c>
      <c r="I3" s="50">
        <v>44652.46748842593</v>
      </c>
      <c r="J3" s="34" t="s">
        <v>3951</v>
      </c>
      <c r="K3" s="50">
        <v>44652.52186342593</v>
      </c>
      <c r="L3" s="34" t="s">
        <v>3952</v>
      </c>
      <c r="M3" s="34" t="s">
        <v>3953</v>
      </c>
      <c r="N3" s="34">
        <v>2.0220401111311E13</v>
      </c>
    </row>
    <row r="4">
      <c r="A4" s="30" t="s">
        <v>3957</v>
      </c>
      <c r="B4" s="25" t="str">
        <f>(Sheet1!A217)</f>
        <v>19J_y8BUN9RSe9TTg9cxKYBBv29Tfi7RwvKo8Va7MJRQ</v>
      </c>
      <c r="C4" s="25" t="str">
        <f>(Sheet1!B217)</f>
        <v>Kshitij Auto Wheelers - Mirzapur</v>
      </c>
      <c r="D4" s="34">
        <v>70000.0</v>
      </c>
      <c r="E4" s="49">
        <v>44651.0</v>
      </c>
      <c r="F4" s="34" t="s">
        <v>3958</v>
      </c>
      <c r="G4" s="34" t="s">
        <v>3959</v>
      </c>
      <c r="H4" s="34" t="s">
        <v>3950</v>
      </c>
      <c r="I4" s="50">
        <v>44652.468298611115</v>
      </c>
      <c r="J4" s="34" t="s">
        <v>3951</v>
      </c>
      <c r="K4" s="50">
        <v>44652.521631944444</v>
      </c>
      <c r="L4" s="34" t="s">
        <v>3952</v>
      </c>
      <c r="M4" s="34" t="s">
        <v>3953</v>
      </c>
      <c r="N4" s="34">
        <v>2.0220401111421E13</v>
      </c>
    </row>
    <row r="5">
      <c r="A5" s="30" t="s">
        <v>3960</v>
      </c>
      <c r="B5" s="25" t="str">
        <f>(Sheet1!A296)</f>
        <v>1050xuIkuCwbciPjL7NYnIQd49nor1NbjSoUBzXpeVrU</v>
      </c>
      <c r="C5" s="25" t="str">
        <f>(Sheet1!B296)</f>
        <v>ARC HERO- MAHIPALPUR</v>
      </c>
      <c r="D5" s="34">
        <v>12000.0</v>
      </c>
      <c r="E5" s="49">
        <v>44652.0</v>
      </c>
      <c r="F5" s="34">
        <v>1.28828993E8</v>
      </c>
      <c r="G5" s="34" t="s">
        <v>3961</v>
      </c>
      <c r="H5" s="34" t="s">
        <v>3950</v>
      </c>
      <c r="I5" s="50">
        <v>44652.54546296296</v>
      </c>
      <c r="J5" s="34" t="s">
        <v>3951</v>
      </c>
      <c r="K5" s="50">
        <v>44652.54578703704</v>
      </c>
      <c r="L5" s="34" t="s">
        <v>3952</v>
      </c>
      <c r="M5" s="34" t="s">
        <v>3953</v>
      </c>
      <c r="N5" s="34">
        <v>2.0220401130528E13</v>
      </c>
    </row>
    <row r="6">
      <c r="A6" s="30" t="s">
        <v>3962</v>
      </c>
      <c r="B6" s="25" t="str">
        <f>(Sheet1!A296)</f>
        <v>1050xuIkuCwbciPjL7NYnIQd49nor1NbjSoUBzXpeVrU</v>
      </c>
      <c r="C6" s="25" t="str">
        <f>(Sheet1!B296)</f>
        <v>ARC HERO- MAHIPALPUR</v>
      </c>
      <c r="D6" s="34">
        <v>6000.0</v>
      </c>
      <c r="E6" s="49">
        <v>44652.0</v>
      </c>
      <c r="F6" s="34">
        <v>1.32851946E8</v>
      </c>
      <c r="G6" s="34" t="s">
        <v>3963</v>
      </c>
      <c r="H6" s="34" t="s">
        <v>3950</v>
      </c>
      <c r="I6" s="50">
        <v>44652.60296296296</v>
      </c>
      <c r="J6" s="34" t="s">
        <v>3951</v>
      </c>
      <c r="K6" s="50">
        <v>44652.63417824074</v>
      </c>
      <c r="L6" s="34" t="s">
        <v>3952</v>
      </c>
      <c r="M6" s="34" t="s">
        <v>3953</v>
      </c>
      <c r="N6" s="34">
        <v>2.0220401142816E13</v>
      </c>
    </row>
    <row r="7">
      <c r="A7" s="30" t="s">
        <v>3964</v>
      </c>
      <c r="B7" s="25" t="str">
        <f>(Sheet1!A296)</f>
        <v>1050xuIkuCwbciPjL7NYnIQd49nor1NbjSoUBzXpeVrU</v>
      </c>
      <c r="C7" s="25" t="str">
        <f>(Sheet1!B296)</f>
        <v>ARC HERO- MAHIPALPUR</v>
      </c>
      <c r="D7" s="34">
        <v>20000.0</v>
      </c>
      <c r="E7" s="49">
        <v>44652.0</v>
      </c>
      <c r="F7" s="34">
        <v>1.36283793E8</v>
      </c>
      <c r="G7" s="34" t="s">
        <v>3963</v>
      </c>
      <c r="H7" s="34" t="s">
        <v>3950</v>
      </c>
      <c r="I7" s="50">
        <v>44652.66287037037</v>
      </c>
      <c r="J7" s="34" t="s">
        <v>3951</v>
      </c>
      <c r="K7" s="50">
        <v>44652.6719212963</v>
      </c>
      <c r="L7" s="34" t="s">
        <v>3952</v>
      </c>
      <c r="M7" s="34" t="s">
        <v>3953</v>
      </c>
      <c r="N7" s="34">
        <v>2.0220401155432E13</v>
      </c>
    </row>
    <row r="8">
      <c r="A8" s="30" t="s">
        <v>3965</v>
      </c>
      <c r="B8" s="25" t="str">
        <f>(Sheet1!A161)</f>
        <v>1424BF0G1OZasQ2pfFa99AWqhw7W1Y3ykkj8Wf5aSWWc</v>
      </c>
      <c r="C8" s="25" t="str">
        <f>(Sheet1!B161)</f>
        <v>GOKULAUTOWORLD - AHMEDABAD</v>
      </c>
      <c r="D8" s="34">
        <v>25000.0</v>
      </c>
      <c r="E8" s="49">
        <v>44652.0</v>
      </c>
      <c r="F8" s="34">
        <v>1.3775392E8</v>
      </c>
      <c r="G8" s="34" t="s">
        <v>3966</v>
      </c>
      <c r="H8" s="34" t="s">
        <v>3950</v>
      </c>
      <c r="I8" s="50">
        <v>44652.696388888886</v>
      </c>
      <c r="J8" s="34" t="s">
        <v>3951</v>
      </c>
      <c r="K8" s="50">
        <v>44652.6977662037</v>
      </c>
      <c r="L8" s="34" t="s">
        <v>3952</v>
      </c>
      <c r="M8" s="34" t="s">
        <v>3953</v>
      </c>
      <c r="N8" s="34">
        <v>2.0220401164248E13</v>
      </c>
    </row>
    <row r="9">
      <c r="A9" s="30" t="s">
        <v>3967</v>
      </c>
      <c r="B9" s="25" t="str">
        <f>(Sheet1!A296)</f>
        <v>1050xuIkuCwbciPjL7NYnIQd49nor1NbjSoUBzXpeVrU</v>
      </c>
      <c r="C9" s="25" t="str">
        <f>(Sheet1!B296)</f>
        <v>ARC HERO- MAHIPALPUR</v>
      </c>
      <c r="D9" s="34">
        <v>12000.0</v>
      </c>
      <c r="E9" s="49">
        <v>44652.0</v>
      </c>
      <c r="F9" s="34">
        <v>1.41398854E8</v>
      </c>
      <c r="G9" s="34" t="s">
        <v>3963</v>
      </c>
      <c r="H9" s="34" t="s">
        <v>3950</v>
      </c>
      <c r="I9" s="50">
        <v>44652.81760416667</v>
      </c>
      <c r="J9" s="34" t="s">
        <v>3951</v>
      </c>
      <c r="K9" s="50">
        <v>44652.81835648148</v>
      </c>
      <c r="L9" s="34" t="s">
        <v>3952</v>
      </c>
      <c r="M9" s="34" t="s">
        <v>3953</v>
      </c>
      <c r="N9" s="34">
        <v>2.0220401193721E13</v>
      </c>
    </row>
    <row r="10">
      <c r="A10" s="30" t="s">
        <v>3968</v>
      </c>
      <c r="B10" s="25" t="str">
        <f>(Sheet1!A214)</f>
        <v>1cVGXbO2lp52NndvygvM_F7Cqcy0EMGxzT1ZUlpTQeiI</v>
      </c>
      <c r="C10" s="25" t="str">
        <f>(Sheet1!B214)</f>
        <v>BARABANKI MOTORS</v>
      </c>
      <c r="D10" s="34">
        <v>19500.0</v>
      </c>
      <c r="E10" s="49">
        <v>44652.0</v>
      </c>
      <c r="F10" s="34" t="s">
        <v>3969</v>
      </c>
      <c r="G10" s="34" t="s">
        <v>3970</v>
      </c>
      <c r="H10" s="34" t="s">
        <v>3950</v>
      </c>
      <c r="I10" s="50">
        <v>44653.30200231481</v>
      </c>
      <c r="J10" s="34" t="s">
        <v>3951</v>
      </c>
      <c r="K10" s="50">
        <v>44653.45459490741</v>
      </c>
      <c r="L10" s="34" t="s">
        <v>3952</v>
      </c>
      <c r="M10" s="34" t="s">
        <v>3953</v>
      </c>
      <c r="N10" s="34">
        <v>2.0220402071453E13</v>
      </c>
    </row>
    <row r="11">
      <c r="A11" s="30" t="s">
        <v>3971</v>
      </c>
      <c r="B11" s="25" t="str">
        <f>(Sheet1!A269)</f>
        <v>1Ql_6BdBcHGAyITSZt1pNUK3bW54CzeThIBXr7aH7K3Y</v>
      </c>
      <c r="C11" s="25" t="str">
        <f>(Sheet1!B269)</f>
        <v>Gupta Automobiles - Padrauna</v>
      </c>
      <c r="D11" s="34">
        <v>200000.0</v>
      </c>
      <c r="E11" s="49">
        <v>44652.0</v>
      </c>
      <c r="F11" s="34" t="s">
        <v>3972</v>
      </c>
      <c r="G11" s="34" t="s">
        <v>3973</v>
      </c>
      <c r="H11" s="34" t="s">
        <v>3950</v>
      </c>
      <c r="I11" s="50">
        <v>44653.303402777776</v>
      </c>
      <c r="J11" s="34" t="s">
        <v>3951</v>
      </c>
      <c r="K11" s="50">
        <v>44653.454664351855</v>
      </c>
      <c r="L11" s="34" t="s">
        <v>3952</v>
      </c>
      <c r="M11" s="34" t="s">
        <v>3953</v>
      </c>
      <c r="N11" s="34">
        <v>2.0220402071654E13</v>
      </c>
    </row>
    <row r="12">
      <c r="A12" s="30" t="s">
        <v>3974</v>
      </c>
      <c r="B12" s="25" t="str">
        <f>(Sheet1!A173)</f>
        <v>1_UtGSoyOsljQXvmry7gfXGYwjwEjQbghQQGZebnq45M</v>
      </c>
      <c r="C12" s="25" t="str">
        <f>(Sheet1!B173)</f>
        <v>Modern Auto Agency - Bettiah</v>
      </c>
      <c r="D12" s="34">
        <v>750122.0</v>
      </c>
      <c r="E12" s="49">
        <v>44653.0</v>
      </c>
      <c r="F12" s="34">
        <v>3.50965224E8</v>
      </c>
      <c r="G12" s="34" t="s">
        <v>3975</v>
      </c>
      <c r="H12" s="34" t="s">
        <v>3950</v>
      </c>
      <c r="I12" s="50">
        <v>44653.430983796294</v>
      </c>
      <c r="J12" s="34" t="s">
        <v>3951</v>
      </c>
      <c r="K12" s="50">
        <v>44653.4540625</v>
      </c>
      <c r="L12" s="34" t="s">
        <v>3952</v>
      </c>
      <c r="M12" s="34" t="s">
        <v>3953</v>
      </c>
      <c r="N12" s="34">
        <v>2.0220402102037E13</v>
      </c>
    </row>
    <row r="13">
      <c r="A13" s="30" t="s">
        <v>3976</v>
      </c>
      <c r="B13" s="25" t="str">
        <f>(Sheet1!A8)</f>
        <v>150xD2ZWlv_NqqijpFlWWgIoGhpbdGM3zmaQdQAd1q5M</v>
      </c>
      <c r="C13" s="25" t="str">
        <f>(Sheet1!B8)</f>
        <v>Singla Automobiles (Main Branch)</v>
      </c>
      <c r="D13" s="34">
        <v>150000.0</v>
      </c>
      <c r="E13" s="49">
        <v>44653.0</v>
      </c>
      <c r="F13" s="34">
        <v>3.55182231E8</v>
      </c>
      <c r="G13" s="34" t="s">
        <v>3977</v>
      </c>
      <c r="H13" s="34" t="s">
        <v>3950</v>
      </c>
      <c r="I13" s="50">
        <v>44653.530856481484</v>
      </c>
      <c r="J13" s="34" t="s">
        <v>3951</v>
      </c>
      <c r="K13" s="50">
        <v>44653.53150462963</v>
      </c>
      <c r="L13" s="34" t="s">
        <v>3952</v>
      </c>
      <c r="M13" s="34" t="s">
        <v>3953</v>
      </c>
      <c r="N13" s="34">
        <v>2.0220402124426E13</v>
      </c>
    </row>
    <row r="14">
      <c r="A14" s="30" t="s">
        <v>3978</v>
      </c>
      <c r="B14" s="25" t="str">
        <f>(Sheet1!A262)</f>
        <v>14mB4gV5ERRUfHqgfkG9Y3k4vrKZM_vGy769D96a1XRs</v>
      </c>
      <c r="C14" s="25" t="str">
        <f>(Sheet1!B262)</f>
        <v>SHIV GANGA AUTOMOBILES  - DELHI</v>
      </c>
      <c r="D14" s="34">
        <v>300000.0</v>
      </c>
      <c r="E14" s="49">
        <v>44653.0</v>
      </c>
      <c r="F14" s="34" t="s">
        <v>3979</v>
      </c>
      <c r="G14" s="34" t="s">
        <v>3980</v>
      </c>
      <c r="H14" s="34" t="s">
        <v>3950</v>
      </c>
      <c r="I14" s="50">
        <v>44653.65483796296</v>
      </c>
      <c r="J14" s="34" t="s">
        <v>3951</v>
      </c>
      <c r="K14" s="50">
        <v>44653.65645833333</v>
      </c>
      <c r="L14" s="34" t="s">
        <v>3952</v>
      </c>
      <c r="M14" s="34" t="s">
        <v>3953</v>
      </c>
      <c r="N14" s="34">
        <v>2.0220402154258E13</v>
      </c>
    </row>
    <row r="15">
      <c r="A15" s="30" t="s">
        <v>3981</v>
      </c>
      <c r="B15" s="25" t="str">
        <f>(Sheet1!A333)</f>
        <v>1yvsl28_lUG4aa66iIPEwfNrCt2m4Np6IsUERJv8hjf4</v>
      </c>
      <c r="C15" s="25" t="str">
        <f>(Sheet1!B333)</f>
        <v>UTTAM MOTORS- Neemuch</v>
      </c>
      <c r="D15" s="34">
        <v>1000.0</v>
      </c>
      <c r="E15" s="49">
        <v>44653.0</v>
      </c>
      <c r="F15" s="34">
        <v>2.09285847005E11</v>
      </c>
      <c r="G15" s="34" t="s">
        <v>3982</v>
      </c>
      <c r="H15" s="34" t="s">
        <v>3950</v>
      </c>
      <c r="I15" s="50">
        <v>44653.702893518515</v>
      </c>
      <c r="J15" s="34" t="s">
        <v>3951</v>
      </c>
      <c r="K15" s="50">
        <v>44653.70390046296</v>
      </c>
      <c r="L15" s="34" t="s">
        <v>3952</v>
      </c>
      <c r="M15" s="34" t="s">
        <v>3953</v>
      </c>
      <c r="N15" s="34">
        <v>2.022040216521E13</v>
      </c>
    </row>
    <row r="16">
      <c r="A16" s="30" t="s">
        <v>3983</v>
      </c>
      <c r="B16" s="25" t="str">
        <f>(Sheet1!A329)</f>
        <v>1Glot5DmufEUxf7sEoY2RAdbIWFVDuW2SHPtNIbHYEdc</v>
      </c>
      <c r="C16" s="25" t="str">
        <f>(Sheet1!B329)</f>
        <v>UPPER INDIA -DELHI</v>
      </c>
      <c r="D16" s="34">
        <v>25000.0</v>
      </c>
      <c r="E16" s="49">
        <v>44653.0</v>
      </c>
      <c r="F16" s="34">
        <v>3.62444398E8</v>
      </c>
      <c r="G16" s="34" t="s">
        <v>3984</v>
      </c>
      <c r="H16" s="34" t="s">
        <v>3950</v>
      </c>
      <c r="I16" s="50">
        <v>44653.706238425926</v>
      </c>
      <c r="J16" s="34" t="s">
        <v>3951</v>
      </c>
      <c r="K16" s="50">
        <v>44653.75591435185</v>
      </c>
      <c r="L16" s="34" t="s">
        <v>3952</v>
      </c>
      <c r="M16" s="34" t="s">
        <v>3953</v>
      </c>
      <c r="N16" s="34">
        <v>2.0220402165659E13</v>
      </c>
    </row>
    <row r="17">
      <c r="A17" s="30" t="s">
        <v>3985</v>
      </c>
      <c r="B17" s="25" t="str">
        <f>(Sheet1!A174)</f>
        <v>1NEcDRVp7-BhxvyRG6JkeAHZpznEr-vKt291CED4WZPk</v>
      </c>
      <c r="C17" s="25" t="str">
        <f>(Sheet1!B174)</f>
        <v>Bal Mukund Hero - Etah</v>
      </c>
      <c r="D17" s="34">
        <v>25000.0</v>
      </c>
      <c r="E17" s="49">
        <v>44653.0</v>
      </c>
      <c r="F17" s="34" t="s">
        <v>3986</v>
      </c>
      <c r="G17" s="34" t="s">
        <v>3987</v>
      </c>
      <c r="H17" s="34" t="s">
        <v>3950</v>
      </c>
      <c r="I17" s="50">
        <v>44653.707094907404</v>
      </c>
      <c r="J17" s="34" t="s">
        <v>3951</v>
      </c>
      <c r="K17" s="50">
        <v>44653.75711805555</v>
      </c>
      <c r="L17" s="34" t="s">
        <v>3952</v>
      </c>
      <c r="M17" s="34" t="s">
        <v>3953</v>
      </c>
      <c r="N17" s="34">
        <v>2.0220402165813E13</v>
      </c>
    </row>
    <row r="18">
      <c r="A18" s="30" t="s">
        <v>3988</v>
      </c>
      <c r="B18" s="25" t="str">
        <f>(Sheet1!A222)</f>
        <v>1Y48WevU4dZlpN_oRadqFSD4ED20x97CYUdeAzWdn3go</v>
      </c>
      <c r="C18" s="25" t="str">
        <f>(Sheet1!B222)</f>
        <v>Mahalaxmi TVS- AHEMDABAD</v>
      </c>
      <c r="D18" s="34">
        <v>50000.0</v>
      </c>
      <c r="E18" s="49">
        <v>44653.0</v>
      </c>
      <c r="F18" s="34" t="s">
        <v>3989</v>
      </c>
      <c r="G18" s="34" t="s">
        <v>3990</v>
      </c>
      <c r="H18" s="34" t="s">
        <v>3950</v>
      </c>
      <c r="I18" s="50">
        <v>44653.763391203705</v>
      </c>
      <c r="J18" s="34" t="s">
        <v>3951</v>
      </c>
      <c r="K18" s="50">
        <v>44653.76483796296</v>
      </c>
      <c r="L18" s="34" t="s">
        <v>3952</v>
      </c>
      <c r="M18" s="34" t="s">
        <v>3953</v>
      </c>
      <c r="N18" s="34">
        <v>2.0220402181917E13</v>
      </c>
    </row>
    <row r="19">
      <c r="A19" s="30" t="s">
        <v>3991</v>
      </c>
      <c r="B19" s="25" t="str">
        <f>(Sheet1!A180)</f>
        <v>15if03Q4YLoDcHi2HznX5QBpY6yQHJPDyifJKxRYKV-8</v>
      </c>
      <c r="C19" s="25" t="str">
        <f>(Sheet1!B180)</f>
        <v>SATKAR HONDA - RUDRAPUR</v>
      </c>
      <c r="D19" s="34">
        <v>11050.0</v>
      </c>
      <c r="E19" s="49">
        <v>44653.0</v>
      </c>
      <c r="F19" s="34" t="s">
        <v>3992</v>
      </c>
      <c r="G19" s="34" t="s">
        <v>3993</v>
      </c>
      <c r="H19" s="34" t="s">
        <v>3950</v>
      </c>
      <c r="I19" s="50">
        <v>44653.76417824074</v>
      </c>
      <c r="J19" s="34" t="s">
        <v>3951</v>
      </c>
      <c r="K19" s="50">
        <v>44653.76497685185</v>
      </c>
      <c r="L19" s="34" t="s">
        <v>3952</v>
      </c>
      <c r="M19" s="34" t="s">
        <v>3953</v>
      </c>
      <c r="N19" s="34">
        <v>2.0220402182025E13</v>
      </c>
    </row>
    <row r="20">
      <c r="A20" s="30" t="s">
        <v>3994</v>
      </c>
      <c r="B20" s="25" t="str">
        <f>(Sheet1!A49)</f>
        <v>1IGdLk1wrvnQTH7dsivMQu4VKWg4A7FvDBYsKsxwLpsE</v>
      </c>
      <c r="C20" s="25" t="str">
        <f>(Sheet1!B49)</f>
        <v>Gupta HERO</v>
      </c>
      <c r="D20" s="34">
        <v>157940.0</v>
      </c>
      <c r="E20" s="49">
        <v>44653.0</v>
      </c>
      <c r="F20" s="34" t="s">
        <v>3995</v>
      </c>
      <c r="G20" s="34" t="s">
        <v>3996</v>
      </c>
      <c r="H20" s="34" t="s">
        <v>3950</v>
      </c>
      <c r="I20" s="50">
        <v>44654.36828703704</v>
      </c>
      <c r="J20" s="34" t="s">
        <v>3951</v>
      </c>
      <c r="K20" s="50">
        <v>44654.50724537037</v>
      </c>
      <c r="L20" s="34" t="s">
        <v>3952</v>
      </c>
      <c r="M20" s="34" t="s">
        <v>3953</v>
      </c>
      <c r="N20" s="34">
        <v>2.022040308502E13</v>
      </c>
    </row>
    <row r="21">
      <c r="A21" s="30" t="s">
        <v>3997</v>
      </c>
      <c r="B21" s="25" t="str">
        <f>(Sheet1!A234)</f>
        <v>1R0uwjETF80Vss8P2a0gSsIF2iqphq4WIGrUlHbCVjKw</v>
      </c>
      <c r="C21" s="25" t="str">
        <f>(Sheet1!B234)</f>
        <v>VTECH TVS- AHMEDABAD</v>
      </c>
      <c r="D21" s="34">
        <v>15000.0</v>
      </c>
      <c r="E21" s="49">
        <v>44653.0</v>
      </c>
      <c r="F21" s="34" t="s">
        <v>3998</v>
      </c>
      <c r="G21" s="34" t="s">
        <v>3999</v>
      </c>
      <c r="H21" s="34" t="s">
        <v>3950</v>
      </c>
      <c r="I21" s="50">
        <v>44654.36928240741</v>
      </c>
      <c r="J21" s="34" t="s">
        <v>3951</v>
      </c>
      <c r="K21" s="50">
        <v>44654.50730324074</v>
      </c>
      <c r="L21" s="34" t="s">
        <v>3952</v>
      </c>
      <c r="M21" s="34" t="s">
        <v>3953</v>
      </c>
      <c r="N21" s="34">
        <v>2.0220403085146E13</v>
      </c>
    </row>
    <row r="22">
      <c r="A22" s="30" t="s">
        <v>4000</v>
      </c>
      <c r="B22" s="25" t="str">
        <f>(Sheet1!A296)</f>
        <v>1050xuIkuCwbciPjL7NYnIQd49nor1NbjSoUBzXpeVrU</v>
      </c>
      <c r="C22" s="25" t="str">
        <f>(Sheet1!B296)</f>
        <v>ARC HERO- MAHIPALPUR</v>
      </c>
      <c r="D22" s="34">
        <v>30000.0</v>
      </c>
      <c r="E22" s="49">
        <v>44654.0</v>
      </c>
      <c r="F22" s="34">
        <v>2.74090362E8</v>
      </c>
      <c r="G22" s="34" t="s">
        <v>4001</v>
      </c>
      <c r="H22" s="34" t="s">
        <v>3950</v>
      </c>
      <c r="I22" s="50">
        <v>44654.47630787037</v>
      </c>
      <c r="J22" s="34" t="s">
        <v>3951</v>
      </c>
      <c r="K22" s="50">
        <v>44654.507372685184</v>
      </c>
      <c r="L22" s="34" t="s">
        <v>3952</v>
      </c>
      <c r="M22" s="34" t="s">
        <v>3953</v>
      </c>
      <c r="N22" s="34">
        <v>2.0220403112553E13</v>
      </c>
    </row>
    <row r="23">
      <c r="A23" s="30" t="s">
        <v>4002</v>
      </c>
      <c r="B23" s="25" t="str">
        <f>(Sheet1!A318)</f>
        <v>1YAU91TFMaYFp0IiAMJOnSMw_yeIgNk_GdChvblrhYL8</v>
      </c>
      <c r="C23" s="25" t="str">
        <f>(Sheet1!B318)</f>
        <v>A.R.C.C- HERO(SMA)</v>
      </c>
      <c r="D23" s="34">
        <v>3000.0</v>
      </c>
      <c r="E23" s="49">
        <v>44654.0</v>
      </c>
      <c r="F23" s="34">
        <v>2.09340257491E11</v>
      </c>
      <c r="G23" s="34" t="s">
        <v>4003</v>
      </c>
      <c r="H23" s="34" t="s">
        <v>3950</v>
      </c>
      <c r="I23" s="50">
        <v>44654.50451388889</v>
      </c>
      <c r="J23" s="34" t="s">
        <v>3951</v>
      </c>
      <c r="K23" s="50">
        <v>44654.50744212963</v>
      </c>
      <c r="L23" s="34" t="s">
        <v>3952</v>
      </c>
      <c r="M23" s="34" t="s">
        <v>3953</v>
      </c>
      <c r="N23" s="34">
        <v>2.022040312063E13</v>
      </c>
    </row>
    <row r="24">
      <c r="A24" s="30" t="s">
        <v>4004</v>
      </c>
      <c r="B24" s="25" t="str">
        <f>(Sheet1!A296)</f>
        <v>1050xuIkuCwbciPjL7NYnIQd49nor1NbjSoUBzXpeVrU</v>
      </c>
      <c r="C24" s="25" t="str">
        <f>(Sheet1!B296)</f>
        <v>ARC HERO- MAHIPALPUR</v>
      </c>
      <c r="D24" s="34">
        <v>7000.0</v>
      </c>
      <c r="E24" s="49">
        <v>44654.0</v>
      </c>
      <c r="F24" s="34">
        <v>2.75158197E8</v>
      </c>
      <c r="G24" s="34" t="s">
        <v>3963</v>
      </c>
      <c r="H24" s="34" t="s">
        <v>3950</v>
      </c>
      <c r="I24" s="50">
        <v>44654.54011574074</v>
      </c>
      <c r="J24" s="34" t="s">
        <v>3951</v>
      </c>
      <c r="K24" s="50">
        <v>44654.54284722222</v>
      </c>
      <c r="L24" s="34" t="s">
        <v>3952</v>
      </c>
      <c r="M24" s="34" t="s">
        <v>3953</v>
      </c>
      <c r="N24" s="34">
        <v>2.0220403125746E13</v>
      </c>
    </row>
    <row r="25">
      <c r="A25" s="30" t="s">
        <v>4005</v>
      </c>
      <c r="B25" s="25" t="str">
        <f>(Sheet1!A296)</f>
        <v>1050xuIkuCwbciPjL7NYnIQd49nor1NbjSoUBzXpeVrU</v>
      </c>
      <c r="C25" s="25" t="str">
        <f>(Sheet1!B296)</f>
        <v>ARC HERO- MAHIPALPUR</v>
      </c>
      <c r="D25" s="34">
        <v>30000.0</v>
      </c>
      <c r="E25" s="49">
        <v>44654.0</v>
      </c>
      <c r="F25" s="34">
        <v>2.75508832E8</v>
      </c>
      <c r="G25" s="34" t="s">
        <v>3963</v>
      </c>
      <c r="H25" s="34" t="s">
        <v>3950</v>
      </c>
      <c r="I25" s="50">
        <v>44654.54101851852</v>
      </c>
      <c r="J25" s="34" t="s">
        <v>3951</v>
      </c>
      <c r="K25" s="50">
        <v>44654.542974537035</v>
      </c>
      <c r="L25" s="34" t="s">
        <v>3952</v>
      </c>
      <c r="M25" s="34" t="s">
        <v>3953</v>
      </c>
      <c r="N25" s="34">
        <v>2.0220403125904E13</v>
      </c>
    </row>
    <row r="26">
      <c r="A26" s="30" t="s">
        <v>4006</v>
      </c>
      <c r="B26" s="25" t="str">
        <f>(Sheet1!A329)</f>
        <v>1Glot5DmufEUxf7sEoY2RAdbIWFVDuW2SHPtNIbHYEdc</v>
      </c>
      <c r="C26" s="25" t="str">
        <f>(Sheet1!B329)</f>
        <v>UPPER INDIA -DELHI</v>
      </c>
      <c r="D26" s="34">
        <v>26000.0</v>
      </c>
      <c r="E26" s="49">
        <v>44654.0</v>
      </c>
      <c r="F26" s="34">
        <v>3.30528769E8</v>
      </c>
      <c r="G26" s="34" t="s">
        <v>3984</v>
      </c>
      <c r="H26" s="34" t="s">
        <v>3950</v>
      </c>
      <c r="I26" s="50">
        <v>44654.54158564815</v>
      </c>
      <c r="J26" s="34" t="s">
        <v>3951</v>
      </c>
      <c r="K26" s="50">
        <v>44654.543020833335</v>
      </c>
      <c r="L26" s="34" t="s">
        <v>3952</v>
      </c>
      <c r="M26" s="34" t="s">
        <v>3953</v>
      </c>
      <c r="N26" s="34">
        <v>2.0220403125953E13</v>
      </c>
    </row>
    <row r="27">
      <c r="A27" s="30" t="s">
        <v>4007</v>
      </c>
      <c r="B27" s="25" t="str">
        <f>(Sheet1!A342)</f>
        <v>1Bgq0uJUKdFTQouDxCzlEEpEbjOG76Fl_PVNJNSPhG8Y</v>
      </c>
      <c r="C27" s="25" t="str">
        <f>(Sheet1!B342)</f>
        <v>KANHAIYA MOTORS- BHADARUGANJ</v>
      </c>
      <c r="D27" s="34">
        <v>1000.0</v>
      </c>
      <c r="E27" s="49">
        <v>44654.0</v>
      </c>
      <c r="F27" s="34"/>
      <c r="G27" s="34" t="s">
        <v>4008</v>
      </c>
      <c r="H27" s="34" t="s">
        <v>3950</v>
      </c>
      <c r="I27" s="50">
        <v>44654.59920138889</v>
      </c>
      <c r="J27" s="34" t="s">
        <v>3951</v>
      </c>
      <c r="K27" s="50">
        <v>44654.599907407406</v>
      </c>
      <c r="L27" s="34" t="s">
        <v>3952</v>
      </c>
      <c r="M27" s="34" t="s">
        <v>4009</v>
      </c>
      <c r="N27" s="34">
        <v>2.0220403142251E13</v>
      </c>
    </row>
    <row r="28">
      <c r="A28" s="30" t="s">
        <v>4010</v>
      </c>
      <c r="B28" s="25" t="str">
        <f>(Sheet1!A342)</f>
        <v>1Bgq0uJUKdFTQouDxCzlEEpEbjOG76Fl_PVNJNSPhG8Y</v>
      </c>
      <c r="C28" s="25" t="str">
        <f>(Sheet1!B342)</f>
        <v>KANHAIYA MOTORS- BHADARUGANJ</v>
      </c>
      <c r="D28" s="34">
        <v>1000.0</v>
      </c>
      <c r="E28" s="49">
        <v>44654.0</v>
      </c>
      <c r="F28" s="34">
        <v>2.09311224143E11</v>
      </c>
      <c r="G28" s="34" t="s">
        <v>4011</v>
      </c>
      <c r="H28" s="34" t="s">
        <v>3950</v>
      </c>
      <c r="I28" s="50">
        <v>44654.60204861111</v>
      </c>
      <c r="J28" s="34" t="s">
        <v>3951</v>
      </c>
      <c r="K28" s="50">
        <v>44654.602638888886</v>
      </c>
      <c r="L28" s="34" t="s">
        <v>4012</v>
      </c>
      <c r="M28" s="34" t="s">
        <v>3953</v>
      </c>
      <c r="N28" s="34">
        <v>2.0220403142657E13</v>
      </c>
    </row>
    <row r="29">
      <c r="A29" s="30" t="s">
        <v>4013</v>
      </c>
      <c r="B29" s="25" t="str">
        <f>(Sheet1!A342)</f>
        <v>1Bgq0uJUKdFTQouDxCzlEEpEbjOG76Fl_PVNJNSPhG8Y</v>
      </c>
      <c r="C29" s="25" t="str">
        <f>(Sheet1!B342)</f>
        <v>KANHAIYA MOTORS- BHADARUGANJ</v>
      </c>
      <c r="D29" s="34">
        <v>1000.0</v>
      </c>
      <c r="E29" s="49">
        <v>44654.0</v>
      </c>
      <c r="F29" s="34"/>
      <c r="G29" s="34" t="s">
        <v>4014</v>
      </c>
      <c r="H29" s="34" t="s">
        <v>3950</v>
      </c>
      <c r="I29" s="50">
        <v>44654.604733796295</v>
      </c>
      <c r="J29" s="34" t="s">
        <v>3951</v>
      </c>
      <c r="K29" s="50">
        <v>44654.60585648148</v>
      </c>
      <c r="L29" s="34" t="s">
        <v>3952</v>
      </c>
      <c r="M29" s="34" t="s">
        <v>4015</v>
      </c>
      <c r="N29" s="34">
        <v>2.0220403143049E13</v>
      </c>
    </row>
    <row r="30">
      <c r="A30" s="30" t="s">
        <v>4016</v>
      </c>
      <c r="B30" s="25" t="str">
        <f>(Sheet1!A342)</f>
        <v>1Bgq0uJUKdFTQouDxCzlEEpEbjOG76Fl_PVNJNSPhG8Y</v>
      </c>
      <c r="C30" s="25" t="str">
        <f>(Sheet1!B342)</f>
        <v>KANHAIYA MOTORS- BHADARUGANJ</v>
      </c>
      <c r="D30" s="34">
        <v>2000.0</v>
      </c>
      <c r="E30" s="49">
        <v>44654.0</v>
      </c>
      <c r="F30" s="34">
        <v>2.09311224143E11</v>
      </c>
      <c r="G30" s="34" t="s">
        <v>4011</v>
      </c>
      <c r="H30" s="34" t="s">
        <v>3950</v>
      </c>
      <c r="I30" s="50">
        <v>44654.60543981481</v>
      </c>
      <c r="J30" s="34" t="s">
        <v>3951</v>
      </c>
      <c r="K30" s="50">
        <v>44654.60592592593</v>
      </c>
      <c r="L30" s="34" t="s">
        <v>3952</v>
      </c>
      <c r="M30" s="34" t="s">
        <v>3953</v>
      </c>
      <c r="N30" s="34">
        <v>2.022040314315E13</v>
      </c>
    </row>
    <row r="31">
      <c r="A31" s="30" t="s">
        <v>4017</v>
      </c>
      <c r="B31" s="25" t="str">
        <f>(Sheet1!A36)</f>
        <v>1AjVyIHPgPw3jscNmkTH1qzR2RokK5FZaJLjeNfOiYAA</v>
      </c>
      <c r="C31" s="25" t="str">
        <f>(Sheet1!B36)</f>
        <v>AAA</v>
      </c>
      <c r="D31" s="34">
        <v>100000.0</v>
      </c>
      <c r="E31" s="49">
        <v>44654.0</v>
      </c>
      <c r="F31" s="34"/>
      <c r="G31" s="34" t="s">
        <v>4018</v>
      </c>
      <c r="H31" s="34" t="s">
        <v>3951</v>
      </c>
      <c r="I31" s="50">
        <v>44654.690787037034</v>
      </c>
      <c r="J31" s="34" t="s">
        <v>3951</v>
      </c>
      <c r="K31" s="50">
        <v>44654.69087962963</v>
      </c>
      <c r="L31" s="34" t="s">
        <v>3952</v>
      </c>
      <c r="M31" s="34" t="s">
        <v>4009</v>
      </c>
      <c r="N31" s="34">
        <v>2.0220403163444E13</v>
      </c>
    </row>
    <row r="32">
      <c r="A32" s="30" t="s">
        <v>4019</v>
      </c>
      <c r="B32" s="25" t="str">
        <f>(Sheet1!A320)</f>
        <v>12q3xzc4QnJvovb5WwDYonjwLc2kiwxvpEYShhfp6tf4</v>
      </c>
      <c r="C32" s="25" t="str">
        <f>(Sheet1!B320)</f>
        <v>Metro Motors- Narela(MMR)</v>
      </c>
      <c r="D32" s="34">
        <v>100000.0</v>
      </c>
      <c r="E32" s="49">
        <v>44654.0</v>
      </c>
      <c r="F32" s="34">
        <v>2.09315528881E11</v>
      </c>
      <c r="G32" s="34" t="s">
        <v>4020</v>
      </c>
      <c r="H32" s="34" t="s">
        <v>3951</v>
      </c>
      <c r="I32" s="50">
        <v>44654.69287037037</v>
      </c>
      <c r="J32" s="34" t="s">
        <v>3951</v>
      </c>
      <c r="K32" s="50">
        <v>44654.69295138889</v>
      </c>
      <c r="L32" s="34" t="s">
        <v>3952</v>
      </c>
      <c r="M32" s="34" t="s">
        <v>3953</v>
      </c>
      <c r="N32" s="34">
        <v>2.0220403163744E13</v>
      </c>
    </row>
    <row r="33">
      <c r="A33" s="30" t="s">
        <v>4021</v>
      </c>
      <c r="B33" s="25" t="str">
        <f>(Sheet1!A296)</f>
        <v>1050xuIkuCwbciPjL7NYnIQd49nor1NbjSoUBzXpeVrU</v>
      </c>
      <c r="C33" s="25" t="str">
        <f>(Sheet1!B296)</f>
        <v>ARC HERO- MAHIPALPUR</v>
      </c>
      <c r="D33" s="34">
        <v>5500.0</v>
      </c>
      <c r="E33" s="49">
        <v>44654.0</v>
      </c>
      <c r="F33" s="34">
        <v>2.79028174E8</v>
      </c>
      <c r="G33" s="34" t="s">
        <v>4022</v>
      </c>
      <c r="H33" s="34" t="s">
        <v>3951</v>
      </c>
      <c r="I33" s="50">
        <v>44654.694236111114</v>
      </c>
      <c r="J33" s="34" t="s">
        <v>3951</v>
      </c>
      <c r="K33" s="50">
        <v>44654.69431712963</v>
      </c>
      <c r="L33" s="34" t="s">
        <v>3952</v>
      </c>
      <c r="M33" s="34" t="s">
        <v>3953</v>
      </c>
      <c r="N33" s="34">
        <v>2.0220403163942E13</v>
      </c>
    </row>
    <row r="34">
      <c r="A34" s="30" t="s">
        <v>4023</v>
      </c>
      <c r="B34" s="25" t="str">
        <f>(Sheet1!A214)</f>
        <v>1cVGXbO2lp52NndvygvM_F7Cqcy0EMGxzT1ZUlpTQeiI</v>
      </c>
      <c r="C34" s="25" t="str">
        <f>(Sheet1!B214)</f>
        <v>BARABANKI MOTORS</v>
      </c>
      <c r="D34" s="34">
        <v>19500.0</v>
      </c>
      <c r="E34" s="49">
        <v>44654.0</v>
      </c>
      <c r="F34" s="34" t="s">
        <v>4024</v>
      </c>
      <c r="G34" s="34" t="s">
        <v>3970</v>
      </c>
      <c r="H34" s="34" t="s">
        <v>3950</v>
      </c>
      <c r="I34" s="50">
        <v>44654.70065972222</v>
      </c>
      <c r="J34" s="34" t="s">
        <v>3951</v>
      </c>
      <c r="K34" s="50">
        <v>44654.7016087963</v>
      </c>
      <c r="L34" s="34" t="s">
        <v>3952</v>
      </c>
      <c r="M34" s="34" t="s">
        <v>3953</v>
      </c>
      <c r="N34" s="34">
        <v>2.0220403164857E13</v>
      </c>
    </row>
    <row r="35">
      <c r="A35" s="30" t="s">
        <v>4025</v>
      </c>
      <c r="B35" s="25" t="str">
        <f>(Sheet1!A8)</f>
        <v>150xD2ZWlv_NqqijpFlWWgIoGhpbdGM3zmaQdQAd1q5M</v>
      </c>
      <c r="C35" s="25" t="str">
        <f>(Sheet1!B8)</f>
        <v>Singla Automobiles (Main Branch)</v>
      </c>
      <c r="D35" s="34">
        <v>200000.0</v>
      </c>
      <c r="E35" s="49">
        <v>44654.0</v>
      </c>
      <c r="F35" s="34">
        <v>2.81986303E8</v>
      </c>
      <c r="G35" s="34" t="s">
        <v>4026</v>
      </c>
      <c r="H35" s="34" t="s">
        <v>3950</v>
      </c>
      <c r="I35" s="50">
        <v>44654.84690972222</v>
      </c>
      <c r="J35" s="34" t="s">
        <v>3951</v>
      </c>
      <c r="K35" s="50">
        <v>44654.84853009259</v>
      </c>
      <c r="L35" s="34" t="s">
        <v>3952</v>
      </c>
      <c r="M35" s="34" t="s">
        <v>3953</v>
      </c>
      <c r="N35" s="34">
        <v>2.0220403201933E13</v>
      </c>
    </row>
    <row r="36">
      <c r="A36" s="30" t="s">
        <v>4027</v>
      </c>
      <c r="B36" s="25" t="str">
        <f>(Sheet1!A171)</f>
        <v>1kKJQREB-gMUjjfvkNJBZGf8b6FppISEs2byO4uZriFc</v>
      </c>
      <c r="C36" s="25" t="str">
        <f>(Sheet1!B171)</f>
        <v>Navya Motors - Gorakhpur</v>
      </c>
      <c r="D36" s="34">
        <v>50000.0</v>
      </c>
      <c r="E36" s="49">
        <v>44654.0</v>
      </c>
      <c r="F36" s="34">
        <v>2.79870431E8</v>
      </c>
      <c r="G36" s="34" t="s">
        <v>4028</v>
      </c>
      <c r="H36" s="34" t="s">
        <v>3950</v>
      </c>
      <c r="I36" s="50">
        <v>44654.84752314815</v>
      </c>
      <c r="J36" s="34" t="s">
        <v>3951</v>
      </c>
      <c r="K36" s="50">
        <v>44654.84846064815</v>
      </c>
      <c r="L36" s="34" t="s">
        <v>3952</v>
      </c>
      <c r="M36" s="34" t="s">
        <v>3953</v>
      </c>
      <c r="N36" s="34">
        <v>2.0220403202026E13</v>
      </c>
    </row>
    <row r="37">
      <c r="A37" s="30" t="s">
        <v>4029</v>
      </c>
      <c r="B37" s="25" t="str">
        <f>(Sheet1!A343)</f>
        <v>1QVBShIrTLBej8s_qXhBmCICNAN5JsR5KakezwfMLZV0</v>
      </c>
      <c r="C37" s="25" t="str">
        <f>(Sheet1!B343)</f>
        <v>ANAS MOTORS- SUPAUL</v>
      </c>
      <c r="D37" s="34">
        <v>1000.0</v>
      </c>
      <c r="E37" s="49">
        <v>44655.0</v>
      </c>
      <c r="F37" s="34"/>
      <c r="G37" s="34" t="s">
        <v>4030</v>
      </c>
      <c r="H37" s="34" t="s">
        <v>3950</v>
      </c>
      <c r="I37" s="50">
        <v>44655.47112268519</v>
      </c>
      <c r="J37" s="34" t="s">
        <v>3951</v>
      </c>
      <c r="K37" s="50">
        <v>44655.485868055555</v>
      </c>
      <c r="L37" s="34" t="s">
        <v>3952</v>
      </c>
      <c r="M37" s="34" t="s">
        <v>4009</v>
      </c>
      <c r="N37" s="34">
        <v>2.0220404111825E13</v>
      </c>
    </row>
    <row r="38">
      <c r="A38" s="30" t="s">
        <v>4031</v>
      </c>
      <c r="B38" s="25" t="str">
        <f>(Sheet1!A317)</f>
        <v>1HzstXOBJIBMFHwYm7RpvmCIhHH60rtXQ81VHl3OF7OM</v>
      </c>
      <c r="C38" s="25" t="str">
        <f>(Sheet1!B317)</f>
        <v>SHIVANI MOTORS- ALLAHABAD</v>
      </c>
      <c r="D38" s="34">
        <v>20000.0</v>
      </c>
      <c r="E38" s="49">
        <v>44655.0</v>
      </c>
      <c r="F38" s="34" t="s">
        <v>4032</v>
      </c>
      <c r="G38" s="34" t="s">
        <v>4033</v>
      </c>
      <c r="H38" s="34" t="s">
        <v>3950</v>
      </c>
      <c r="I38" s="50">
        <v>44655.472766203704</v>
      </c>
      <c r="J38" s="34" t="s">
        <v>3951</v>
      </c>
      <c r="K38" s="50">
        <v>44655.4971875</v>
      </c>
      <c r="L38" s="34" t="s">
        <v>3952</v>
      </c>
      <c r="M38" s="34" t="s">
        <v>3953</v>
      </c>
      <c r="N38" s="34">
        <v>2.0220404112047E13</v>
      </c>
    </row>
    <row r="39">
      <c r="A39" s="30" t="s">
        <v>4034</v>
      </c>
      <c r="B39" s="25" t="str">
        <f>(Sheet1!A318)</f>
        <v>1YAU91TFMaYFp0IiAMJOnSMw_yeIgNk_GdChvblrhYL8</v>
      </c>
      <c r="C39" s="25" t="str">
        <f>(Sheet1!B318)</f>
        <v>A.R.C.C- HERO(SMA)</v>
      </c>
      <c r="D39" s="34">
        <v>4000.0</v>
      </c>
      <c r="E39" s="49">
        <v>44655.0</v>
      </c>
      <c r="F39" s="34">
        <v>2.09467389729E11</v>
      </c>
      <c r="G39" s="34" t="s">
        <v>4003</v>
      </c>
      <c r="H39" s="34" t="s">
        <v>3950</v>
      </c>
      <c r="I39" s="50">
        <v>44655.49686342593</v>
      </c>
      <c r="J39" s="34" t="s">
        <v>3951</v>
      </c>
      <c r="K39" s="50">
        <v>44655.52135416667</v>
      </c>
      <c r="L39" s="34" t="s">
        <v>3952</v>
      </c>
      <c r="M39" s="34" t="s">
        <v>3953</v>
      </c>
      <c r="N39" s="34">
        <v>2.0220404115529E13</v>
      </c>
    </row>
    <row r="40">
      <c r="A40" s="30" t="s">
        <v>4035</v>
      </c>
      <c r="B40" s="25" t="str">
        <f>(Sheet1!A133)</f>
        <v>1whkrB_X-9Od4l-1CkkLvnSLfIwfTyRMI1A3rhlUbkHU</v>
      </c>
      <c r="C40" s="25" t="str">
        <f>(Sheet1!B133)</f>
        <v>Titan Automobiles - Chhattisgarh</v>
      </c>
      <c r="D40" s="34">
        <v>20000.0</v>
      </c>
      <c r="E40" s="49">
        <v>44655.0</v>
      </c>
      <c r="F40" s="34">
        <v>86.0</v>
      </c>
      <c r="G40" s="34" t="s">
        <v>4036</v>
      </c>
      <c r="H40" s="34" t="s">
        <v>3950</v>
      </c>
      <c r="I40" s="50">
        <v>44655.55685185185</v>
      </c>
      <c r="J40" s="34" t="s">
        <v>3951</v>
      </c>
      <c r="K40" s="50">
        <v>44655.57103009259</v>
      </c>
      <c r="L40" s="34" t="s">
        <v>3952</v>
      </c>
      <c r="M40" s="34" t="s">
        <v>3953</v>
      </c>
      <c r="N40" s="34">
        <v>2.0220404132152E13</v>
      </c>
    </row>
    <row r="41">
      <c r="A41" s="30" t="s">
        <v>4037</v>
      </c>
      <c r="B41" s="25" t="str">
        <f>(Sheet1!A217)</f>
        <v>19J_y8BUN9RSe9TTg9cxKYBBv29Tfi7RwvKo8Va7MJRQ</v>
      </c>
      <c r="C41" s="25" t="str">
        <f>(Sheet1!B217)</f>
        <v>Kshitij Auto Wheelers - Mirzapur</v>
      </c>
      <c r="D41" s="34">
        <v>50000.0</v>
      </c>
      <c r="E41" s="49">
        <v>44655.0</v>
      </c>
      <c r="F41" s="34" t="s">
        <v>4038</v>
      </c>
      <c r="G41" s="34" t="s">
        <v>4039</v>
      </c>
      <c r="H41" s="34" t="s">
        <v>3950</v>
      </c>
      <c r="I41" s="50">
        <v>44655.69971064815</v>
      </c>
      <c r="J41" s="34" t="s">
        <v>3951</v>
      </c>
      <c r="K41" s="50">
        <v>44655.70355324074</v>
      </c>
      <c r="L41" s="34" t="s">
        <v>3952</v>
      </c>
      <c r="M41" s="34" t="s">
        <v>3953</v>
      </c>
      <c r="N41" s="34">
        <v>2.0220404164735E13</v>
      </c>
    </row>
    <row r="42">
      <c r="A42" s="30" t="s">
        <v>4040</v>
      </c>
      <c r="B42" s="25" t="str">
        <f>(Sheet1!A121)</f>
        <v>1egrFzds1dA_qcyd-YeJKBrt74ORJ0Jzk4cfbN-wYoKI</v>
      </c>
      <c r="C42" s="25" t="str">
        <f>(Sheet1!B121)</f>
        <v>Venus Hero Venture - Firozabad</v>
      </c>
      <c r="D42" s="34">
        <v>100000.0</v>
      </c>
      <c r="E42" s="49">
        <v>44655.0</v>
      </c>
      <c r="F42" s="34" t="s">
        <v>4041</v>
      </c>
      <c r="G42" s="34" t="s">
        <v>4042</v>
      </c>
      <c r="H42" s="34" t="s">
        <v>3950</v>
      </c>
      <c r="I42" s="50">
        <v>44655.70040509259</v>
      </c>
      <c r="J42" s="34" t="s">
        <v>3951</v>
      </c>
      <c r="K42" s="50">
        <v>44655.703622685185</v>
      </c>
      <c r="L42" s="34" t="s">
        <v>3952</v>
      </c>
      <c r="M42" s="34" t="s">
        <v>3953</v>
      </c>
      <c r="N42" s="34">
        <v>2.0220404164835E13</v>
      </c>
    </row>
    <row r="43">
      <c r="A43" s="30" t="s">
        <v>4043</v>
      </c>
      <c r="B43" s="25" t="str">
        <f>(Sheet1!A339)</f>
        <v>1fHCHQnIWmfXqP4jwi-agXjfK1q2zM0BUeG3fwB0qApc</v>
      </c>
      <c r="C43" s="25" t="str">
        <f>(Sheet1!B339)</f>
        <v>Mahabir Automobiles -Sultanpur</v>
      </c>
      <c r="D43" s="34">
        <v>5000.0</v>
      </c>
      <c r="E43" s="49">
        <v>44655.0</v>
      </c>
      <c r="F43" s="34"/>
      <c r="G43" s="34" t="s">
        <v>4044</v>
      </c>
      <c r="H43" s="34" t="s">
        <v>3950</v>
      </c>
      <c r="I43" s="50">
        <v>44655.70297453704</v>
      </c>
      <c r="J43" s="34" t="s">
        <v>3951</v>
      </c>
      <c r="K43" s="50">
        <v>44655.70369212963</v>
      </c>
      <c r="L43" s="34" t="s">
        <v>3952</v>
      </c>
      <c r="M43" s="34" t="s">
        <v>3953</v>
      </c>
      <c r="N43" s="34">
        <v>2.0220404165217E13</v>
      </c>
    </row>
    <row r="44">
      <c r="A44" s="30" t="s">
        <v>4045</v>
      </c>
      <c r="B44" s="25" t="str">
        <f>(Sheet1!A329)</f>
        <v>1Glot5DmufEUxf7sEoY2RAdbIWFVDuW2SHPtNIbHYEdc</v>
      </c>
      <c r="C44" s="25" t="str">
        <f>(Sheet1!B329)</f>
        <v>UPPER INDIA -DELHI</v>
      </c>
      <c r="D44" s="34">
        <v>50000.0</v>
      </c>
      <c r="E44" s="49">
        <v>44655.0</v>
      </c>
      <c r="F44" s="34">
        <v>1.87151644E8</v>
      </c>
      <c r="G44" s="34" t="s">
        <v>4046</v>
      </c>
      <c r="H44" s="34" t="s">
        <v>3950</v>
      </c>
      <c r="I44" s="50">
        <v>44655.71157407408</v>
      </c>
      <c r="J44" s="34" t="s">
        <v>3951</v>
      </c>
      <c r="K44" s="50">
        <v>44655.71177083333</v>
      </c>
      <c r="L44" s="34" t="s">
        <v>3952</v>
      </c>
      <c r="M44" s="34" t="s">
        <v>3953</v>
      </c>
      <c r="N44" s="34">
        <v>2.022040417044E13</v>
      </c>
    </row>
    <row r="45">
      <c r="A45" s="30" t="s">
        <v>4047</v>
      </c>
      <c r="B45" s="25" t="str">
        <f>(Sheet1!A36)</f>
        <v>1AjVyIHPgPw3jscNmkTH1qzR2RokK5FZaJLjeNfOiYAA</v>
      </c>
      <c r="C45" s="25" t="str">
        <f>(Sheet1!B36)</f>
        <v>AAA</v>
      </c>
      <c r="D45" s="34">
        <v>100000.0</v>
      </c>
      <c r="E45" s="49">
        <v>44655.0</v>
      </c>
      <c r="F45" s="34">
        <v>2.09417812891E11</v>
      </c>
      <c r="G45" s="34" t="s">
        <v>4048</v>
      </c>
      <c r="H45" s="34" t="s">
        <v>3950</v>
      </c>
      <c r="I45" s="50">
        <v>44655.72677083333</v>
      </c>
      <c r="J45" s="34" t="s">
        <v>3951</v>
      </c>
      <c r="K45" s="50">
        <v>44655.7283912037</v>
      </c>
      <c r="L45" s="34" t="s">
        <v>3952</v>
      </c>
      <c r="M45" s="34" t="s">
        <v>3953</v>
      </c>
      <c r="N45" s="34">
        <v>2.0220404172633E13</v>
      </c>
    </row>
    <row r="46">
      <c r="A46" s="30" t="s">
        <v>4049</v>
      </c>
      <c r="B46" s="25" t="str">
        <f>(Sheet1!A36)</f>
        <v>1AjVyIHPgPw3jscNmkTH1qzR2RokK5FZaJLjeNfOiYAA</v>
      </c>
      <c r="C46" s="25" t="str">
        <f>(Sheet1!B36)</f>
        <v>AAA</v>
      </c>
      <c r="D46" s="34">
        <v>100000.0</v>
      </c>
      <c r="E46" s="49">
        <v>44655.0</v>
      </c>
      <c r="F46" s="34"/>
      <c r="G46" s="34" t="s">
        <v>4050</v>
      </c>
      <c r="H46" s="34" t="s">
        <v>3950</v>
      </c>
      <c r="I46" s="50">
        <v>44655.72803240741</v>
      </c>
      <c r="J46" s="34" t="s">
        <v>3951</v>
      </c>
      <c r="K46" s="50">
        <v>44655.72833333333</v>
      </c>
      <c r="L46" s="34" t="s">
        <v>3952</v>
      </c>
      <c r="M46" s="34" t="s">
        <v>4015</v>
      </c>
      <c r="N46" s="34">
        <v>2.0220404172822E13</v>
      </c>
    </row>
    <row r="47">
      <c r="A47" s="30" t="s">
        <v>4051</v>
      </c>
      <c r="B47" s="25" t="str">
        <f>(Sheet1!A218)</f>
        <v>1pIkLTEq99ZID0V0k8H0hOFXZDJQMaAoy2fsIol-e81k</v>
      </c>
      <c r="C47" s="25" t="str">
        <f>(Sheet1!B218)</f>
        <v>NITIN MATANHELIA - GORAKHPUR</v>
      </c>
      <c r="D47" s="34">
        <v>35000.0</v>
      </c>
      <c r="E47" s="49">
        <v>44655.0</v>
      </c>
      <c r="F47" s="34">
        <v>2.0941867654E11</v>
      </c>
      <c r="G47" s="34" t="s">
        <v>4052</v>
      </c>
      <c r="H47" s="34" t="s">
        <v>3950</v>
      </c>
      <c r="I47" s="50">
        <v>44656.380532407406</v>
      </c>
      <c r="J47" s="34" t="s">
        <v>3951</v>
      </c>
      <c r="K47" s="50">
        <v>44656.46457175926</v>
      </c>
      <c r="L47" s="34" t="s">
        <v>3952</v>
      </c>
      <c r="M47" s="34" t="s">
        <v>3953</v>
      </c>
      <c r="N47" s="34">
        <v>2.0220405090758E13</v>
      </c>
    </row>
    <row r="48">
      <c r="A48" s="30" t="s">
        <v>4053</v>
      </c>
      <c r="B48" s="25" t="str">
        <f>(Sheet1!A221)</f>
        <v>1WXvYHRsq58CQOMiTQW5jz_Rk7VXZzJwGsE9DYysdKio</v>
      </c>
      <c r="C48" s="25" t="str">
        <f>(Sheet1!B221)</f>
        <v>Goel Motors - Lucknow</v>
      </c>
      <c r="D48" s="34">
        <v>48020.0</v>
      </c>
      <c r="E48" s="49">
        <v>44655.0</v>
      </c>
      <c r="F48" s="34">
        <v>2.09418745035E11</v>
      </c>
      <c r="G48" s="34" t="s">
        <v>4054</v>
      </c>
      <c r="H48" s="34" t="s">
        <v>3950</v>
      </c>
      <c r="I48" s="50">
        <v>44656.381273148145</v>
      </c>
      <c r="J48" s="34" t="s">
        <v>3951</v>
      </c>
      <c r="K48" s="50">
        <v>44656.46461805556</v>
      </c>
      <c r="L48" s="34" t="s">
        <v>3952</v>
      </c>
      <c r="M48" s="34" t="s">
        <v>3953</v>
      </c>
      <c r="N48" s="34">
        <v>2.0220405090902E13</v>
      </c>
    </row>
    <row r="49">
      <c r="A49" s="30" t="s">
        <v>4055</v>
      </c>
      <c r="B49" s="25" t="str">
        <f>(Sheet1!A174)</f>
        <v>1NEcDRVp7-BhxvyRG6JkeAHZpznEr-vKt291CED4WZPk</v>
      </c>
      <c r="C49" s="25" t="str">
        <f>(Sheet1!B174)</f>
        <v>Bal Mukund Hero - Etah</v>
      </c>
      <c r="D49" s="34">
        <v>25000.0</v>
      </c>
      <c r="E49" s="49">
        <v>44656.0</v>
      </c>
      <c r="F49" s="34" t="s">
        <v>4056</v>
      </c>
      <c r="G49" s="34" t="s">
        <v>4057</v>
      </c>
      <c r="H49" s="34" t="s">
        <v>3950</v>
      </c>
      <c r="I49" s="50">
        <v>44656.38199074074</v>
      </c>
      <c r="J49" s="34" t="s">
        <v>3951</v>
      </c>
      <c r="K49" s="50">
        <v>44656.4646875</v>
      </c>
      <c r="L49" s="34" t="s">
        <v>3952</v>
      </c>
      <c r="M49" s="34" t="s">
        <v>3953</v>
      </c>
      <c r="N49" s="34">
        <v>2.0220405091004E13</v>
      </c>
    </row>
    <row r="50">
      <c r="A50" s="30" t="s">
        <v>4058</v>
      </c>
      <c r="B50" s="25" t="str">
        <f>(Sheet1!A8)</f>
        <v>150xD2ZWlv_NqqijpFlWWgIoGhpbdGM3zmaQdQAd1q5M</v>
      </c>
      <c r="C50" s="25" t="str">
        <f>(Sheet1!B8)</f>
        <v>Singla Automobiles (Main Branch)</v>
      </c>
      <c r="D50" s="34">
        <v>100000.0</v>
      </c>
      <c r="E50" s="49">
        <v>44656.0</v>
      </c>
      <c r="F50" s="34">
        <v>1.21804309E8</v>
      </c>
      <c r="G50" s="34" t="s">
        <v>3977</v>
      </c>
      <c r="H50" s="34" t="s">
        <v>3950</v>
      </c>
      <c r="I50" s="50">
        <v>44656.48924768518</v>
      </c>
      <c r="J50" s="34" t="s">
        <v>3951</v>
      </c>
      <c r="K50" s="50">
        <v>44656.49765046296</v>
      </c>
      <c r="L50" s="34" t="s">
        <v>3952</v>
      </c>
      <c r="M50" s="34" t="s">
        <v>3953</v>
      </c>
      <c r="N50" s="34">
        <v>2.0220405114431E13</v>
      </c>
    </row>
    <row r="51">
      <c r="A51" s="30" t="s">
        <v>4059</v>
      </c>
      <c r="B51" s="25" t="str">
        <f>(Sheet1!A318)</f>
        <v>1YAU91TFMaYFp0IiAMJOnSMw_yeIgNk_GdChvblrhYL8</v>
      </c>
      <c r="C51" s="25" t="str">
        <f>(Sheet1!B318)</f>
        <v>A.R.C.C- HERO(SMA)</v>
      </c>
      <c r="D51" s="34">
        <v>10000.0</v>
      </c>
      <c r="E51" s="49">
        <v>44656.0</v>
      </c>
      <c r="F51" s="34">
        <v>2.09544910434E11</v>
      </c>
      <c r="G51" s="34" t="s">
        <v>4003</v>
      </c>
      <c r="H51" s="34" t="s">
        <v>3950</v>
      </c>
      <c r="I51" s="50">
        <v>44656.54833333333</v>
      </c>
      <c r="J51" s="34" t="s">
        <v>3951</v>
      </c>
      <c r="K51" s="50">
        <v>44656.57613425926</v>
      </c>
      <c r="L51" s="34" t="s">
        <v>3952</v>
      </c>
      <c r="M51" s="34" t="s">
        <v>3953</v>
      </c>
      <c r="N51" s="34">
        <v>2.0220405130936E13</v>
      </c>
    </row>
    <row r="52">
      <c r="A52" s="30" t="s">
        <v>4060</v>
      </c>
      <c r="B52" s="25" t="str">
        <f>(Sheet1!A217)</f>
        <v>19J_y8BUN9RSe9TTg9cxKYBBv29Tfi7RwvKo8Va7MJRQ</v>
      </c>
      <c r="C52" s="25" t="str">
        <f>(Sheet1!B217)</f>
        <v>Kshitij Auto Wheelers - Mirzapur</v>
      </c>
      <c r="D52" s="34">
        <v>40000.0</v>
      </c>
      <c r="E52" s="49">
        <v>44656.0</v>
      </c>
      <c r="F52" s="34" t="s">
        <v>4061</v>
      </c>
      <c r="G52" s="34" t="s">
        <v>4062</v>
      </c>
      <c r="H52" s="34" t="s">
        <v>3950</v>
      </c>
      <c r="I52" s="50">
        <v>44656.54956018519</v>
      </c>
      <c r="J52" s="34" t="s">
        <v>3951</v>
      </c>
      <c r="K52" s="50">
        <v>44656.57630787037</v>
      </c>
      <c r="L52" s="34" t="s">
        <v>3952</v>
      </c>
      <c r="M52" s="34" t="s">
        <v>3953</v>
      </c>
      <c r="N52" s="34">
        <v>2.0220405131122E13</v>
      </c>
    </row>
    <row r="53">
      <c r="A53" s="30" t="s">
        <v>4063</v>
      </c>
      <c r="B53" s="25" t="str">
        <f>(Sheet1!A211)</f>
        <v>11KI2mOYZ4I9wDgZ2By8zUkmcvYLaWDOUT2Ivww0nVBM</v>
      </c>
      <c r="C53" s="25" t="str">
        <f>(Sheet1!B211)</f>
        <v>Shree Balaji Bajaj Showroom(VT) - Raichur</v>
      </c>
      <c r="D53" s="34">
        <v>20000.0</v>
      </c>
      <c r="E53" s="49">
        <v>44656.0</v>
      </c>
      <c r="F53" s="34">
        <v>5.2478344E8</v>
      </c>
      <c r="G53" s="34" t="s">
        <v>4064</v>
      </c>
      <c r="H53" s="34" t="s">
        <v>3950</v>
      </c>
      <c r="I53" s="50">
        <v>44656.5509375</v>
      </c>
      <c r="J53" s="34" t="s">
        <v>3951</v>
      </c>
      <c r="K53" s="50">
        <v>44656.57644675926</v>
      </c>
      <c r="L53" s="34" t="s">
        <v>3952</v>
      </c>
      <c r="M53" s="34" t="s">
        <v>3953</v>
      </c>
      <c r="N53" s="34">
        <v>2.0220405131321E13</v>
      </c>
    </row>
    <row r="54">
      <c r="A54" s="30" t="s">
        <v>4065</v>
      </c>
      <c r="B54" s="25" t="str">
        <f>(Sheet1!A336)</f>
        <v>1BMhoyJRK7DCg_LO256ufPw72_BuKa1iu3f1v8JCofH0</v>
      </c>
      <c r="C54" s="25" t="str">
        <f>(Sheet1!B336)</f>
        <v>North Bihar Agro Agencies</v>
      </c>
      <c r="D54" s="34">
        <v>10000.0</v>
      </c>
      <c r="E54" s="49">
        <v>44656.0</v>
      </c>
      <c r="F54" s="34" t="s">
        <v>4066</v>
      </c>
      <c r="G54" s="34" t="s">
        <v>4067</v>
      </c>
      <c r="H54" s="34" t="s">
        <v>3950</v>
      </c>
      <c r="I54" s="50">
        <v>44656.58849537037</v>
      </c>
      <c r="J54" s="34" t="s">
        <v>3951</v>
      </c>
      <c r="K54" s="50">
        <v>44656.59395833333</v>
      </c>
      <c r="L54" s="34" t="s">
        <v>3952</v>
      </c>
      <c r="M54" s="34" t="s">
        <v>3953</v>
      </c>
      <c r="N54" s="34">
        <v>2.0220405140726E13</v>
      </c>
    </row>
    <row r="55">
      <c r="A55" s="30" t="s">
        <v>4068</v>
      </c>
      <c r="B55" s="25" t="str">
        <f>(Sheet1!A336)</f>
        <v>1BMhoyJRK7DCg_LO256ufPw72_BuKa1iu3f1v8JCofH0</v>
      </c>
      <c r="C55" s="25" t="str">
        <f>(Sheet1!B336)</f>
        <v>North Bihar Agro Agencies</v>
      </c>
      <c r="D55" s="34">
        <v>10000.0</v>
      </c>
      <c r="E55" s="49">
        <v>44656.0</v>
      </c>
      <c r="F55" s="34" t="s">
        <v>4069</v>
      </c>
      <c r="G55" s="34" t="s">
        <v>4070</v>
      </c>
      <c r="H55" s="34" t="s">
        <v>4071</v>
      </c>
      <c r="I55" s="50">
        <v>44656.600439814814</v>
      </c>
      <c r="J55" s="34" t="s">
        <v>3951</v>
      </c>
      <c r="K55" s="50">
        <v>44656.60146990741</v>
      </c>
      <c r="L55" s="34" t="s">
        <v>4012</v>
      </c>
      <c r="M55" s="34" t="s">
        <v>3953</v>
      </c>
      <c r="N55" s="34">
        <v>2.0220405142438E13</v>
      </c>
    </row>
    <row r="56">
      <c r="A56" s="30" t="s">
        <v>4072</v>
      </c>
      <c r="B56" s="25" t="str">
        <f>(Sheet1!A328)</f>
        <v>1mxT1doFWSIKC49QGKrgrgC6fUkICfT4DLlAcSQC9Pc4</v>
      </c>
      <c r="C56" s="25" t="str">
        <f>(Sheet1!B328)</f>
        <v>KSHIPRA HERO-UJJAIN</v>
      </c>
      <c r="D56" s="34">
        <v>15000.0</v>
      </c>
      <c r="E56" s="49">
        <v>44656.0</v>
      </c>
      <c r="F56" s="34">
        <v>2.34368758E8</v>
      </c>
      <c r="G56" s="34" t="s">
        <v>4073</v>
      </c>
      <c r="H56" s="34" t="s">
        <v>3950</v>
      </c>
      <c r="I56" s="50">
        <v>44656.619942129626</v>
      </c>
      <c r="J56" s="34" t="s">
        <v>3951</v>
      </c>
      <c r="K56" s="50">
        <v>44656.62054398148</v>
      </c>
      <c r="L56" s="34" t="s">
        <v>3952</v>
      </c>
      <c r="M56" s="34" t="s">
        <v>3953</v>
      </c>
      <c r="N56" s="34">
        <v>2.0220405145243E13</v>
      </c>
    </row>
    <row r="57">
      <c r="A57" s="30" t="s">
        <v>4074</v>
      </c>
      <c r="B57" s="25" t="str">
        <f>(Sheet1!A296)</f>
        <v>1050xuIkuCwbciPjL7NYnIQd49nor1NbjSoUBzXpeVrU</v>
      </c>
      <c r="C57" s="25" t="str">
        <f>(Sheet1!B296)</f>
        <v>ARC HERO- MAHIPALPUR</v>
      </c>
      <c r="D57" s="34">
        <v>25000.0</v>
      </c>
      <c r="E57" s="49">
        <v>44656.0</v>
      </c>
      <c r="F57" s="34">
        <v>1.29150803E8</v>
      </c>
      <c r="G57" s="34" t="s">
        <v>3963</v>
      </c>
      <c r="H57" s="34" t="s">
        <v>3950</v>
      </c>
      <c r="I57" s="50">
        <v>44656.63810185185</v>
      </c>
      <c r="J57" s="34" t="s">
        <v>3951</v>
      </c>
      <c r="K57" s="50">
        <v>44656.64875</v>
      </c>
      <c r="L57" s="34" t="s">
        <v>3952</v>
      </c>
      <c r="M57" s="34" t="s">
        <v>3953</v>
      </c>
      <c r="N57" s="34">
        <v>2.0220405151852E13</v>
      </c>
    </row>
    <row r="58">
      <c r="A58" s="30" t="s">
        <v>4075</v>
      </c>
      <c r="B58" s="25" t="str">
        <f>(Sheet1!A182)</f>
        <v>1VIUqOp_UXFVjhTtvQswmqJ7NEi8nkGyfHAoJPy-wvSA</v>
      </c>
      <c r="C58" s="25" t="str">
        <f>(Sheet1!B182)</f>
        <v>Kamal Hero - Gonda</v>
      </c>
      <c r="D58" s="34">
        <v>10000.0</v>
      </c>
      <c r="E58" s="49">
        <v>44656.0</v>
      </c>
      <c r="F58" s="34" t="s">
        <v>4076</v>
      </c>
      <c r="G58" s="34" t="s">
        <v>4077</v>
      </c>
      <c r="H58" s="34" t="s">
        <v>3950</v>
      </c>
      <c r="I58" s="50">
        <v>44656.639756944445</v>
      </c>
      <c r="J58" s="34" t="s">
        <v>3951</v>
      </c>
      <c r="K58" s="50">
        <v>44656.64865740741</v>
      </c>
      <c r="L58" s="34" t="s">
        <v>3952</v>
      </c>
      <c r="M58" s="34" t="s">
        <v>3953</v>
      </c>
      <c r="N58" s="34">
        <v>2.0220405152115E13</v>
      </c>
    </row>
    <row r="59">
      <c r="A59" s="30" t="s">
        <v>4078</v>
      </c>
      <c r="B59" s="25" t="str">
        <f>(Sheet1!A345)</f>
        <v>1igxhDrZmAR4XaBSU0Vyrw9LNbKLoFuELF4hEOFDqD9M</v>
      </c>
      <c r="C59" s="25" t="str">
        <f>(Sheet1!B345)</f>
        <v>KHAGARIA AUTO AGENCY- KHAGARIA</v>
      </c>
      <c r="D59" s="34">
        <v>1000.0</v>
      </c>
      <c r="E59" s="49">
        <v>44656.0</v>
      </c>
      <c r="F59" s="34"/>
      <c r="G59" s="34" t="s">
        <v>4018</v>
      </c>
      <c r="H59" s="34" t="s">
        <v>3950</v>
      </c>
      <c r="I59" s="50">
        <v>44656.64745370371</v>
      </c>
      <c r="J59" s="34" t="s">
        <v>3951</v>
      </c>
      <c r="K59" s="50">
        <v>44656.64855324074</v>
      </c>
      <c r="L59" s="34" t="s">
        <v>3952</v>
      </c>
      <c r="M59" s="34" t="s">
        <v>4009</v>
      </c>
      <c r="N59" s="34">
        <v>2.022040515322E13</v>
      </c>
    </row>
    <row r="60">
      <c r="A60" s="30" t="s">
        <v>4079</v>
      </c>
      <c r="B60" s="25" t="str">
        <f>(Sheet1!A344)</f>
        <v>1lHqETbIH4pLQdUL2QQgIDownEvMU9QozqqnIMcLSCfg</v>
      </c>
      <c r="C60" s="25" t="str">
        <f>(Sheet1!B344)</f>
        <v>SHRI RAM AUTOMOBILES - HATPIPLIYA</v>
      </c>
      <c r="D60" s="34">
        <v>1000.0</v>
      </c>
      <c r="E60" s="49">
        <v>44656.0</v>
      </c>
      <c r="F60" s="34"/>
      <c r="G60" s="34" t="s">
        <v>4080</v>
      </c>
      <c r="H60" s="34" t="s">
        <v>3950</v>
      </c>
      <c r="I60" s="50">
        <v>44656.689467592594</v>
      </c>
      <c r="J60" s="34" t="s">
        <v>3951</v>
      </c>
      <c r="K60" s="50">
        <v>44656.69495370371</v>
      </c>
      <c r="L60" s="34" t="s">
        <v>3952</v>
      </c>
      <c r="M60" s="34" t="s">
        <v>4009</v>
      </c>
      <c r="N60" s="34">
        <v>2.022040516325E13</v>
      </c>
    </row>
    <row r="61">
      <c r="A61" s="30" t="s">
        <v>4081</v>
      </c>
      <c r="B61" s="25" t="str">
        <f>(Sheet1!A224)</f>
        <v>1JAbS28NFmfJxZrsQ7twsfzmqCme35J_wqOELlcNcX1c</v>
      </c>
      <c r="C61" s="25" t="str">
        <f>(Sheet1!B224)</f>
        <v>STALLIONZ TVS - AHMEDABAD</v>
      </c>
      <c r="D61" s="34">
        <v>20000.0</v>
      </c>
      <c r="E61" s="49">
        <v>44656.0</v>
      </c>
      <c r="F61" s="34">
        <v>2.09515572134E11</v>
      </c>
      <c r="G61" s="34" t="s">
        <v>4082</v>
      </c>
      <c r="H61" s="34" t="s">
        <v>3950</v>
      </c>
      <c r="I61" s="50">
        <v>44656.693761574075</v>
      </c>
      <c r="J61" s="34" t="s">
        <v>3951</v>
      </c>
      <c r="K61" s="50">
        <v>44656.695925925924</v>
      </c>
      <c r="L61" s="34" t="s">
        <v>3952</v>
      </c>
      <c r="M61" s="34" t="s">
        <v>3953</v>
      </c>
      <c r="N61" s="34">
        <v>2.0220405163901E13</v>
      </c>
    </row>
    <row r="62">
      <c r="A62" s="30" t="s">
        <v>4083</v>
      </c>
      <c r="B62" s="25" t="str">
        <f>(Sheet1!A58)</f>
        <v>1geel52z8WCTlGIS5yuTVHXXiwt6tFtcJPqsUJk3zExI</v>
      </c>
      <c r="C62" s="25" t="str">
        <f>(Sheet1!B58)</f>
        <v>Saanvi Hero - Dehradun</v>
      </c>
      <c r="D62" s="34">
        <v>72882.0</v>
      </c>
      <c r="E62" s="49">
        <v>44656.0</v>
      </c>
      <c r="F62" s="34" t="s">
        <v>4084</v>
      </c>
      <c r="G62" s="34" t="s">
        <v>4085</v>
      </c>
      <c r="H62" s="34" t="s">
        <v>3950</v>
      </c>
      <c r="I62" s="50">
        <v>44656.773206018515</v>
      </c>
      <c r="J62" s="34" t="s">
        <v>3951</v>
      </c>
      <c r="K62" s="50">
        <v>44656.78989583333</v>
      </c>
      <c r="L62" s="34" t="s">
        <v>3952</v>
      </c>
      <c r="M62" s="34" t="s">
        <v>3953</v>
      </c>
      <c r="N62" s="34">
        <v>2.0220405183325E13</v>
      </c>
    </row>
    <row r="63">
      <c r="A63" s="30" t="s">
        <v>4086</v>
      </c>
      <c r="B63" s="25" t="str">
        <f>(Sheet1!A24)</f>
        <v>1mkGLSaVL5-IAXKq9KqXFgJH64Li9oMA9V0u_seCn1jg</v>
      </c>
      <c r="C63" s="25" t="str">
        <f>(Sheet1!B24)</f>
        <v>Maharaja Autoworld</v>
      </c>
      <c r="D63" s="34">
        <v>200000.0</v>
      </c>
      <c r="E63" s="49">
        <v>44656.0</v>
      </c>
      <c r="F63" s="34">
        <v>95.0</v>
      </c>
      <c r="G63" s="34" t="s">
        <v>4087</v>
      </c>
      <c r="H63" s="34" t="s">
        <v>3950</v>
      </c>
      <c r="I63" s="50">
        <v>44656.773831018516</v>
      </c>
      <c r="J63" s="34" t="s">
        <v>3951</v>
      </c>
      <c r="K63" s="50">
        <v>44656.78994212963</v>
      </c>
      <c r="L63" s="34" t="s">
        <v>3952</v>
      </c>
      <c r="M63" s="34" t="s">
        <v>3953</v>
      </c>
      <c r="N63" s="34">
        <v>2.0220405183419E13</v>
      </c>
    </row>
    <row r="64">
      <c r="A64" s="30" t="s">
        <v>4088</v>
      </c>
      <c r="B64" s="25" t="str">
        <f>(Sheet1!A26)</f>
        <v>1LnxzSZR-Hn1GFJEM91CqSDi8yQ1-11OqyVT04QUkFAM</v>
      </c>
      <c r="C64" s="25" t="str">
        <f>(Sheet1!B26)</f>
        <v>Shri Durga Motors</v>
      </c>
      <c r="D64" s="34">
        <v>100000.0</v>
      </c>
      <c r="E64" s="49">
        <v>44656.0</v>
      </c>
      <c r="F64" s="34" t="s">
        <v>4089</v>
      </c>
      <c r="G64" s="34" t="s">
        <v>4090</v>
      </c>
      <c r="H64" s="34" t="s">
        <v>3950</v>
      </c>
      <c r="I64" s="50">
        <v>44656.7891087963</v>
      </c>
      <c r="J64" s="34" t="s">
        <v>3951</v>
      </c>
      <c r="K64" s="50">
        <v>44656.789988425924</v>
      </c>
      <c r="L64" s="34" t="s">
        <v>3952</v>
      </c>
      <c r="M64" s="34" t="s">
        <v>3953</v>
      </c>
      <c r="N64" s="34">
        <v>2.0220405185619E13</v>
      </c>
    </row>
    <row r="65">
      <c r="A65" s="30" t="s">
        <v>4091</v>
      </c>
      <c r="B65" s="25" t="str">
        <f>(Sheet1!A330)</f>
        <v>1KWrdiOy0dFeVUlvkflxUZSwfdTKjD2WtnSGQxGgKBiw</v>
      </c>
      <c r="C65" s="25" t="str">
        <f>(Sheet1!B330)</f>
        <v>NAKODA AUTOMOBILES- JHABUA</v>
      </c>
      <c r="D65" s="34">
        <v>5000.0</v>
      </c>
      <c r="E65" s="49">
        <v>44656.0</v>
      </c>
      <c r="F65" s="34">
        <v>2.09513909837E11</v>
      </c>
      <c r="G65" s="34" t="s">
        <v>4092</v>
      </c>
      <c r="H65" s="34" t="s">
        <v>3950</v>
      </c>
      <c r="I65" s="50">
        <v>44657.45386574074</v>
      </c>
      <c r="J65" s="34" t="s">
        <v>3951</v>
      </c>
      <c r="K65" s="50">
        <v>44657.45553240741</v>
      </c>
      <c r="L65" s="34" t="s">
        <v>3952</v>
      </c>
      <c r="M65" s="34" t="s">
        <v>3953</v>
      </c>
      <c r="N65" s="34">
        <v>2.0220406105334E13</v>
      </c>
    </row>
    <row r="66">
      <c r="A66" s="30" t="s">
        <v>4093</v>
      </c>
      <c r="B66" s="25" t="str">
        <f>(Sheet1!A345)</f>
        <v>1igxhDrZmAR4XaBSU0Vyrw9LNbKLoFuELF4hEOFDqD9M</v>
      </c>
      <c r="C66" s="25" t="str">
        <f>(Sheet1!B345)</f>
        <v>KHAGARIA AUTO AGENCY- KHAGARIA</v>
      </c>
      <c r="D66" s="34">
        <v>1000.0</v>
      </c>
      <c r="E66" s="49">
        <v>44657.0</v>
      </c>
      <c r="F66" s="34"/>
      <c r="G66" s="34" t="s">
        <v>4094</v>
      </c>
      <c r="H66" s="34" t="s">
        <v>3950</v>
      </c>
      <c r="I66" s="50">
        <v>44657.456458333334</v>
      </c>
      <c r="J66" s="34" t="s">
        <v>3951</v>
      </c>
      <c r="K66" s="50">
        <v>44657.459178240744</v>
      </c>
      <c r="L66" s="34" t="s">
        <v>3952</v>
      </c>
      <c r="M66" s="34" t="s">
        <v>4015</v>
      </c>
      <c r="N66" s="34">
        <v>2.0220406105718E13</v>
      </c>
    </row>
    <row r="67">
      <c r="A67" s="30" t="s">
        <v>4095</v>
      </c>
      <c r="B67" s="25" t="str">
        <f>(Sheet1!A345)</f>
        <v>1igxhDrZmAR4XaBSU0Vyrw9LNbKLoFuELF4hEOFDqD9M</v>
      </c>
      <c r="C67" s="25" t="str">
        <f>(Sheet1!B345)</f>
        <v>KHAGARIA AUTO AGENCY- KHAGARIA</v>
      </c>
      <c r="D67" s="34">
        <v>5000.0</v>
      </c>
      <c r="E67" s="49">
        <v>44657.0</v>
      </c>
      <c r="F67" s="34" t="s">
        <v>4096</v>
      </c>
      <c r="G67" s="34" t="s">
        <v>4097</v>
      </c>
      <c r="H67" s="34" t="s">
        <v>3950</v>
      </c>
      <c r="I67" s="50">
        <v>44657.45700231481</v>
      </c>
      <c r="J67" s="34" t="s">
        <v>3951</v>
      </c>
      <c r="K67" s="50">
        <v>44657.45927083334</v>
      </c>
      <c r="L67" s="34" t="s">
        <v>3952</v>
      </c>
      <c r="M67" s="34" t="s">
        <v>3953</v>
      </c>
      <c r="N67" s="34">
        <v>2.0220406105805E13</v>
      </c>
    </row>
    <row r="68">
      <c r="A68" s="30" t="s">
        <v>4098</v>
      </c>
      <c r="B68" s="25" t="str">
        <f>(Sheet1!A296)</f>
        <v>1050xuIkuCwbciPjL7NYnIQd49nor1NbjSoUBzXpeVrU</v>
      </c>
      <c r="C68" s="25" t="str">
        <f>(Sheet1!B296)</f>
        <v>ARC HERO- MAHIPALPUR</v>
      </c>
      <c r="D68" s="34">
        <v>14000.0</v>
      </c>
      <c r="E68" s="49">
        <v>44657.0</v>
      </c>
      <c r="F68" s="34">
        <v>1.46957106E8</v>
      </c>
      <c r="G68" s="34" t="s">
        <v>3963</v>
      </c>
      <c r="H68" s="34" t="s">
        <v>3950</v>
      </c>
      <c r="I68" s="50">
        <v>44657.459074074075</v>
      </c>
      <c r="J68" s="34" t="s">
        <v>3951</v>
      </c>
      <c r="K68" s="50">
        <v>44657.45994212963</v>
      </c>
      <c r="L68" s="34" t="s">
        <v>3952</v>
      </c>
      <c r="M68" s="34" t="s">
        <v>3953</v>
      </c>
      <c r="N68" s="34">
        <v>2.0220406110104E13</v>
      </c>
    </row>
    <row r="69">
      <c r="A69" s="30" t="s">
        <v>4099</v>
      </c>
      <c r="B69" s="25" t="str">
        <f>(Sheet1!A325)</f>
        <v>16tjO40jnriUy06QB22S0NR8Wknhx9T0lcBH_yEqsZIw</v>
      </c>
      <c r="C69" s="25" t="str">
        <f>(Sheet1!B325)</f>
        <v>TANUSHKA HERO- GWALIOR</v>
      </c>
      <c r="D69" s="34">
        <v>50000.0</v>
      </c>
      <c r="E69" s="49">
        <v>44657.0</v>
      </c>
      <c r="F69" s="34" t="s">
        <v>4100</v>
      </c>
      <c r="G69" s="34" t="s">
        <v>4101</v>
      </c>
      <c r="H69" s="34" t="s">
        <v>3950</v>
      </c>
      <c r="I69" s="50">
        <v>44657.53559027778</v>
      </c>
      <c r="J69" s="34" t="s">
        <v>3951</v>
      </c>
      <c r="K69" s="50">
        <v>44657.539039351854</v>
      </c>
      <c r="L69" s="34" t="s">
        <v>3952</v>
      </c>
      <c r="M69" s="34" t="s">
        <v>3953</v>
      </c>
      <c r="N69" s="34">
        <v>2.0220406125115E13</v>
      </c>
    </row>
    <row r="70">
      <c r="A70" s="30" t="s">
        <v>4102</v>
      </c>
      <c r="B70" s="25" t="str">
        <f>(Sheet1!A213)</f>
        <v>1GSsoBjWtxEEY9Oe4QB_zfBq2Y31JMCHYWDUPZcHZ4Is</v>
      </c>
      <c r="C70" s="25" t="str">
        <f>(Sheet1!B213)</f>
        <v>Begusarai Auto Agencies - Begusarai</v>
      </c>
      <c r="D70" s="34">
        <v>1000.0</v>
      </c>
      <c r="E70" s="49">
        <v>44657.0</v>
      </c>
      <c r="F70" s="34"/>
      <c r="G70" s="34" t="s">
        <v>4008</v>
      </c>
      <c r="H70" s="34" t="s">
        <v>3950</v>
      </c>
      <c r="I70" s="50">
        <v>44657.56644675926</v>
      </c>
      <c r="J70" s="34" t="s">
        <v>3951</v>
      </c>
      <c r="K70" s="50">
        <v>44657.5671875</v>
      </c>
      <c r="L70" s="34" t="s">
        <v>3952</v>
      </c>
      <c r="M70" s="34" t="s">
        <v>3812</v>
      </c>
      <c r="N70" s="34">
        <v>2.0220406133541E13</v>
      </c>
    </row>
    <row r="71">
      <c r="A71" s="30" t="s">
        <v>4103</v>
      </c>
      <c r="B71" s="25" t="str">
        <f>(Sheet1!A8)</f>
        <v>150xD2ZWlv_NqqijpFlWWgIoGhpbdGM3zmaQdQAd1q5M</v>
      </c>
      <c r="C71" s="25" t="str">
        <f>(Sheet1!B8)</f>
        <v>Singla Automobiles (Main Branch)</v>
      </c>
      <c r="D71" s="34">
        <v>100000.0</v>
      </c>
      <c r="E71" s="49">
        <v>44657.0</v>
      </c>
      <c r="F71" s="34">
        <v>1.5465355E8</v>
      </c>
      <c r="G71" s="34" t="s">
        <v>3977</v>
      </c>
      <c r="H71" s="34" t="s">
        <v>3950</v>
      </c>
      <c r="I71" s="50">
        <v>44657.613217592596</v>
      </c>
      <c r="J71" s="34" t="s">
        <v>3951</v>
      </c>
      <c r="K71" s="50">
        <v>44657.61381944444</v>
      </c>
      <c r="L71" s="34" t="s">
        <v>3952</v>
      </c>
      <c r="M71" s="34" t="s">
        <v>3953</v>
      </c>
      <c r="N71" s="34">
        <v>2.0220406144302E13</v>
      </c>
    </row>
    <row r="72">
      <c r="A72" s="30" t="s">
        <v>4104</v>
      </c>
      <c r="B72" s="25" t="str">
        <f>(Sheet1!A344)</f>
        <v>1lHqETbIH4pLQdUL2QQgIDownEvMU9QozqqnIMcLSCfg</v>
      </c>
      <c r="C72" s="25" t="str">
        <f>(Sheet1!B344)</f>
        <v>SHRI RAM AUTOMOBILES - HATPIPLIYA</v>
      </c>
      <c r="D72" s="34">
        <v>1000.0</v>
      </c>
      <c r="E72" s="49">
        <v>44657.0</v>
      </c>
      <c r="F72" s="34"/>
      <c r="G72" s="34" t="s">
        <v>4008</v>
      </c>
      <c r="H72" s="34" t="s">
        <v>3950</v>
      </c>
      <c r="I72" s="50">
        <v>44657.63967592592</v>
      </c>
      <c r="J72" s="34" t="s">
        <v>3951</v>
      </c>
      <c r="K72" s="50">
        <v>44657.64028935185</v>
      </c>
      <c r="L72" s="34" t="s">
        <v>3952</v>
      </c>
      <c r="M72" s="34" t="s">
        <v>3812</v>
      </c>
      <c r="N72" s="34">
        <v>2.0220406152108E13</v>
      </c>
    </row>
    <row r="73">
      <c r="A73" s="30" t="s">
        <v>4105</v>
      </c>
      <c r="B73" s="25" t="str">
        <f>(Sheet1!A218)</f>
        <v>1pIkLTEq99ZID0V0k8H0hOFXZDJQMaAoy2fsIol-e81k</v>
      </c>
      <c r="C73" s="25" t="str">
        <f>(Sheet1!B218)</f>
        <v>NITIN MATANHELIA - GORAKHPUR</v>
      </c>
      <c r="D73" s="34">
        <v>40000.0</v>
      </c>
      <c r="E73" s="49">
        <v>44657.0</v>
      </c>
      <c r="F73" s="34">
        <v>2.09616547587E11</v>
      </c>
      <c r="G73" s="34" t="s">
        <v>4106</v>
      </c>
      <c r="H73" s="34" t="s">
        <v>3950</v>
      </c>
      <c r="I73" s="50">
        <v>44657.678935185184</v>
      </c>
      <c r="J73" s="34" t="s">
        <v>3951</v>
      </c>
      <c r="K73" s="50">
        <v>44657.71265046296</v>
      </c>
      <c r="L73" s="34" t="s">
        <v>3952</v>
      </c>
      <c r="M73" s="34" t="s">
        <v>3953</v>
      </c>
      <c r="N73" s="34">
        <v>2.022040616174E13</v>
      </c>
    </row>
    <row r="74">
      <c r="A74" s="30" t="s">
        <v>4107</v>
      </c>
      <c r="B74" s="25" t="str">
        <f>(Sheet1!A45)</f>
        <v>1XmVYrBOLuyIm0rpXhFaYpcRQ1t4YH3PN3pmiTosn08E</v>
      </c>
      <c r="C74" s="25" t="str">
        <f>(Sheet1!B45)</f>
        <v>Shraman Hero - GT Karnal Road</v>
      </c>
      <c r="D74" s="34">
        <v>100000.0</v>
      </c>
      <c r="E74" s="49">
        <v>44657.0</v>
      </c>
      <c r="F74" s="34">
        <v>2.09616135276E11</v>
      </c>
      <c r="G74" s="34" t="s">
        <v>4108</v>
      </c>
      <c r="H74" s="34" t="s">
        <v>3950</v>
      </c>
      <c r="I74" s="50">
        <v>44657.76037037037</v>
      </c>
      <c r="J74" s="34" t="s">
        <v>3951</v>
      </c>
      <c r="K74" s="50">
        <v>44657.77075231481</v>
      </c>
      <c r="L74" s="34" t="s">
        <v>3952</v>
      </c>
      <c r="M74" s="34" t="s">
        <v>3953</v>
      </c>
      <c r="N74" s="34">
        <v>2.0220406181456E13</v>
      </c>
    </row>
    <row r="75">
      <c r="A75" s="30" t="s">
        <v>4109</v>
      </c>
      <c r="B75" s="25" t="str">
        <f>(Sheet1!A181)</f>
        <v>1Bn0dgc_QYbF664LnJPJT-IEcqhx5gMA1AtzkRyd3ZGA</v>
      </c>
      <c r="C75" s="25" t="str">
        <f>(Sheet1!B181)</f>
        <v>Jai Automobiles - Akbarpur</v>
      </c>
      <c r="D75" s="34">
        <v>100000.0</v>
      </c>
      <c r="E75" s="49">
        <v>44657.0</v>
      </c>
      <c r="F75" s="34">
        <v>2759.0</v>
      </c>
      <c r="G75" s="34" t="s">
        <v>4110</v>
      </c>
      <c r="H75" s="34" t="s">
        <v>3950</v>
      </c>
      <c r="I75" s="50">
        <v>44657.76179398148</v>
      </c>
      <c r="J75" s="34" t="s">
        <v>3951</v>
      </c>
      <c r="K75" s="50">
        <v>44657.770891203705</v>
      </c>
      <c r="L75" s="34" t="s">
        <v>3952</v>
      </c>
      <c r="M75" s="34" t="s">
        <v>3953</v>
      </c>
      <c r="N75" s="34">
        <v>2.0220406181659E13</v>
      </c>
    </row>
    <row r="76">
      <c r="A76" s="30" t="s">
        <v>4111</v>
      </c>
      <c r="B76" s="25" t="str">
        <f>(Sheet1!A343)</f>
        <v>1QVBShIrTLBej8s_qXhBmCICNAN5JsR5KakezwfMLZV0</v>
      </c>
      <c r="C76" s="25" t="str">
        <f>(Sheet1!B343)</f>
        <v>ANAS MOTORS- SUPAUL</v>
      </c>
      <c r="D76" s="34">
        <v>25000.0</v>
      </c>
      <c r="E76" s="49">
        <v>44657.0</v>
      </c>
      <c r="F76" s="34" t="s">
        <v>4112</v>
      </c>
      <c r="G76" s="34" t="s">
        <v>4113</v>
      </c>
      <c r="H76" s="34" t="s">
        <v>3950</v>
      </c>
      <c r="I76" s="50">
        <v>44657.762604166666</v>
      </c>
      <c r="J76" s="34" t="s">
        <v>3951</v>
      </c>
      <c r="K76" s="50">
        <v>44657.77133101852</v>
      </c>
      <c r="L76" s="34" t="s">
        <v>3952</v>
      </c>
      <c r="M76" s="34" t="s">
        <v>3953</v>
      </c>
      <c r="N76" s="34">
        <v>2.0220406181809E13</v>
      </c>
    </row>
    <row r="77">
      <c r="A77" s="30" t="s">
        <v>4114</v>
      </c>
      <c r="B77" s="25" t="str">
        <f>(Sheet1!A343)</f>
        <v>1QVBShIrTLBej8s_qXhBmCICNAN5JsR5KakezwfMLZV0</v>
      </c>
      <c r="C77" s="25" t="str">
        <f>(Sheet1!B343)</f>
        <v>ANAS MOTORS- SUPAUL</v>
      </c>
      <c r="D77" s="34">
        <v>1000.0</v>
      </c>
      <c r="E77" s="49">
        <v>44657.0</v>
      </c>
      <c r="F77" s="34"/>
      <c r="G77" s="34" t="s">
        <v>4115</v>
      </c>
      <c r="H77" s="34" t="s">
        <v>3950</v>
      </c>
      <c r="I77" s="50">
        <v>44657.764756944445</v>
      </c>
      <c r="J77" s="34" t="s">
        <v>3951</v>
      </c>
      <c r="K77" s="50">
        <v>44657.77104166667</v>
      </c>
      <c r="L77" s="34" t="s">
        <v>3952</v>
      </c>
      <c r="M77" s="34" t="s">
        <v>4015</v>
      </c>
      <c r="N77" s="34">
        <v>2.0220406182115E13</v>
      </c>
    </row>
    <row r="78">
      <c r="A78" s="30" t="s">
        <v>4116</v>
      </c>
      <c r="B78" s="25" t="str">
        <f>(Sheet1!A213)</f>
        <v>1GSsoBjWtxEEY9Oe4QB_zfBq2Y31JMCHYWDUPZcHZ4Is</v>
      </c>
      <c r="C78" s="25" t="str">
        <f>(Sheet1!B213)</f>
        <v>Begusarai Auto Agencies - Begusarai</v>
      </c>
      <c r="D78" s="34">
        <v>5000.0</v>
      </c>
      <c r="E78" s="49">
        <v>44657.0</v>
      </c>
      <c r="F78" s="34" t="s">
        <v>4117</v>
      </c>
      <c r="G78" s="34" t="s">
        <v>4118</v>
      </c>
      <c r="H78" s="34" t="s">
        <v>3950</v>
      </c>
      <c r="I78" s="50">
        <v>44657.765752314815</v>
      </c>
      <c r="J78" s="34" t="s">
        <v>3951</v>
      </c>
      <c r="K78" s="50">
        <v>44657.77166666667</v>
      </c>
      <c r="L78" s="34" t="s">
        <v>3952</v>
      </c>
      <c r="M78" s="34" t="s">
        <v>3953</v>
      </c>
      <c r="N78" s="34">
        <v>2.0220406182241E13</v>
      </c>
    </row>
    <row r="79">
      <c r="A79" s="30" t="s">
        <v>4119</v>
      </c>
      <c r="B79" s="25" t="str">
        <f>(Sheet1!A147)</f>
        <v>1S2YNz2hsIyDIwT68EF1VR8O-D7oanl9HQJpcApwJPG4</v>
      </c>
      <c r="C79" s="25" t="str">
        <f>(Sheet1!B147)</f>
        <v>Vanshadi Motors - Faizabad</v>
      </c>
      <c r="D79" s="34">
        <v>137020.0</v>
      </c>
      <c r="E79" s="49">
        <v>44657.0</v>
      </c>
      <c r="F79" s="34" t="s">
        <v>4120</v>
      </c>
      <c r="G79" s="34" t="s">
        <v>4121</v>
      </c>
      <c r="H79" s="34" t="s">
        <v>3950</v>
      </c>
      <c r="I79" s="50">
        <v>44657.76851851852</v>
      </c>
      <c r="J79" s="34" t="s">
        <v>3951</v>
      </c>
      <c r="K79" s="50">
        <v>44657.77208333334</v>
      </c>
      <c r="L79" s="34" t="s">
        <v>3952</v>
      </c>
      <c r="M79" s="34" t="s">
        <v>3953</v>
      </c>
      <c r="N79" s="34">
        <v>2.022040618264E13</v>
      </c>
    </row>
    <row r="80">
      <c r="A80" s="30" t="s">
        <v>4122</v>
      </c>
      <c r="B80" s="25" t="str">
        <f>(Sheet1!A155)</f>
        <v>1TMTMDBTSLXzi0POas5HDprui-sp3TCVvRYWE8buap-0</v>
      </c>
      <c r="C80" s="25" t="str">
        <f>(Sheet1!B155)</f>
        <v>Chandra Automobiles - Faizabad</v>
      </c>
      <c r="D80" s="34">
        <v>202384.0</v>
      </c>
      <c r="E80" s="49">
        <v>44657.0</v>
      </c>
      <c r="F80" s="34" t="s">
        <v>4120</v>
      </c>
      <c r="G80" s="34" t="s">
        <v>4123</v>
      </c>
      <c r="H80" s="34" t="s">
        <v>3950</v>
      </c>
      <c r="I80" s="50">
        <v>44657.76930555556</v>
      </c>
      <c r="J80" s="34" t="s">
        <v>3951</v>
      </c>
      <c r="K80" s="50">
        <v>44657.772523148145</v>
      </c>
      <c r="L80" s="34" t="s">
        <v>3952</v>
      </c>
      <c r="M80" s="34" t="s">
        <v>3953</v>
      </c>
      <c r="N80" s="34">
        <v>2.0220406182748E13</v>
      </c>
    </row>
    <row r="81">
      <c r="A81" s="30" t="s">
        <v>4124</v>
      </c>
      <c r="B81" s="25" t="str">
        <f>(Sheet1!A217)</f>
        <v>19J_y8BUN9RSe9TTg9cxKYBBv29Tfi7RwvKo8Va7MJRQ</v>
      </c>
      <c r="C81" s="25" t="str">
        <f>(Sheet1!B217)</f>
        <v>Kshitij Auto Wheelers - Mirzapur</v>
      </c>
      <c r="D81" s="34">
        <v>50000.0</v>
      </c>
      <c r="E81" s="49">
        <v>44658.0</v>
      </c>
      <c r="F81" s="34" t="s">
        <v>4125</v>
      </c>
      <c r="G81" s="34" t="s">
        <v>4126</v>
      </c>
      <c r="H81" s="34" t="s">
        <v>3950</v>
      </c>
      <c r="I81" s="50">
        <v>44658.396053240744</v>
      </c>
      <c r="J81" s="34" t="s">
        <v>3951</v>
      </c>
      <c r="K81" s="50">
        <v>44658.42387731482</v>
      </c>
      <c r="L81" s="34" t="s">
        <v>3952</v>
      </c>
      <c r="M81" s="34" t="s">
        <v>3953</v>
      </c>
      <c r="N81" s="34">
        <v>2.0220407093019E13</v>
      </c>
    </row>
    <row r="82">
      <c r="A82" s="30" t="s">
        <v>4127</v>
      </c>
      <c r="B82" s="25" t="str">
        <f>(Sheet1!A179)</f>
        <v>1rHOrl-RR_wmvN1hR6qvRLwO5p4_e081st6veS3SDnKk</v>
      </c>
      <c r="C82" s="25" t="str">
        <f>(Sheet1!B179)</f>
        <v>AGARWAL HERO SITAPUR</v>
      </c>
      <c r="D82" s="34">
        <v>50000.0</v>
      </c>
      <c r="E82" s="49">
        <v>44658.0</v>
      </c>
      <c r="F82" s="34">
        <v>2.09712155273E11</v>
      </c>
      <c r="G82" s="34" t="s">
        <v>4128</v>
      </c>
      <c r="H82" s="34" t="s">
        <v>3950</v>
      </c>
      <c r="I82" s="50">
        <v>44658.53026620371</v>
      </c>
      <c r="J82" s="34" t="s">
        <v>3951</v>
      </c>
      <c r="K82" s="50">
        <v>44658.53138888889</v>
      </c>
      <c r="L82" s="34" t="s">
        <v>3952</v>
      </c>
      <c r="M82" s="34" t="s">
        <v>3953</v>
      </c>
      <c r="N82" s="34">
        <v>2.0220407124335E13</v>
      </c>
    </row>
    <row r="83">
      <c r="A83" s="30" t="s">
        <v>4129</v>
      </c>
      <c r="B83" s="25" t="str">
        <f>(Sheet1!A214)</f>
        <v>1cVGXbO2lp52NndvygvM_F7Cqcy0EMGxzT1ZUlpTQeiI</v>
      </c>
      <c r="C83" s="25" t="str">
        <f>(Sheet1!B214)</f>
        <v>BARABANKI MOTORS</v>
      </c>
      <c r="D83" s="34">
        <v>19500.0</v>
      </c>
      <c r="E83" s="49">
        <v>44658.0</v>
      </c>
      <c r="F83" s="34" t="s">
        <v>4130</v>
      </c>
      <c r="G83" s="34" t="s">
        <v>4131</v>
      </c>
      <c r="H83" s="34" t="s">
        <v>3950</v>
      </c>
      <c r="I83" s="50">
        <v>44658.611226851855</v>
      </c>
      <c r="J83" s="34" t="s">
        <v>3951</v>
      </c>
      <c r="K83" s="50">
        <v>44658.61373842593</v>
      </c>
      <c r="L83" s="34" t="s">
        <v>3952</v>
      </c>
      <c r="M83" s="34" t="s">
        <v>3953</v>
      </c>
      <c r="N83" s="34">
        <v>2.022040714401E13</v>
      </c>
    </row>
    <row r="84">
      <c r="A84" s="30" t="s">
        <v>4132</v>
      </c>
      <c r="B84" s="25" t="str">
        <f>(Sheet1!A335)</f>
        <v>1r0KUrXS28gDx7-fgD3zjnrel7PaC3KXGiEtHPv0wv_M</v>
      </c>
      <c r="C84" s="25" t="str">
        <f>(Sheet1!B335)</f>
        <v>PAL ENTERPRISE- VIDISHA</v>
      </c>
      <c r="D84" s="34">
        <v>15000.0</v>
      </c>
      <c r="E84" s="49">
        <v>44658.0</v>
      </c>
      <c r="F84" s="34" t="s">
        <v>4133</v>
      </c>
      <c r="G84" s="34" t="s">
        <v>4134</v>
      </c>
      <c r="H84" s="34" t="s">
        <v>3950</v>
      </c>
      <c r="I84" s="50">
        <v>44658.61208333333</v>
      </c>
      <c r="J84" s="34" t="s">
        <v>3951</v>
      </c>
      <c r="K84" s="50">
        <v>44658.61383101852</v>
      </c>
      <c r="L84" s="34" t="s">
        <v>3952</v>
      </c>
      <c r="M84" s="34" t="s">
        <v>3953</v>
      </c>
      <c r="N84" s="34">
        <v>2.0220407144124E13</v>
      </c>
    </row>
    <row r="85">
      <c r="A85" s="30" t="s">
        <v>4135</v>
      </c>
      <c r="B85" s="25" t="str">
        <f>(Sheet1!A344)</f>
        <v>1lHqETbIH4pLQdUL2QQgIDownEvMU9QozqqnIMcLSCfg</v>
      </c>
      <c r="C85" s="25" t="str">
        <f>(Sheet1!B344)</f>
        <v>SHRI RAM AUTOMOBILES - HATPIPLIYA</v>
      </c>
      <c r="D85" s="34">
        <v>1000.0</v>
      </c>
      <c r="E85" s="49">
        <v>44658.0</v>
      </c>
      <c r="F85" s="34"/>
      <c r="G85" s="34" t="s">
        <v>4136</v>
      </c>
      <c r="H85" s="34" t="s">
        <v>3950</v>
      </c>
      <c r="I85" s="50">
        <v>44658.72530092593</v>
      </c>
      <c r="J85" s="34" t="s">
        <v>3951</v>
      </c>
      <c r="K85" s="50">
        <v>44658.72824074074</v>
      </c>
      <c r="L85" s="34" t="s">
        <v>3952</v>
      </c>
      <c r="M85" s="34" t="s">
        <v>4015</v>
      </c>
      <c r="N85" s="34">
        <v>2.0220407172426E13</v>
      </c>
    </row>
    <row r="86">
      <c r="A86" s="30" t="s">
        <v>4137</v>
      </c>
      <c r="B86" s="25" t="str">
        <f>(Sheet1!A344)</f>
        <v>1lHqETbIH4pLQdUL2QQgIDownEvMU9QozqqnIMcLSCfg</v>
      </c>
      <c r="C86" s="25" t="str">
        <f>(Sheet1!B344)</f>
        <v>SHRI RAM AUTOMOBILES - HATPIPLIYA</v>
      </c>
      <c r="D86" s="34">
        <v>1000.0</v>
      </c>
      <c r="E86" s="49">
        <v>44658.0</v>
      </c>
      <c r="F86" s="34" t="s">
        <v>4138</v>
      </c>
      <c r="G86" s="34" t="s">
        <v>4139</v>
      </c>
      <c r="H86" s="34" t="s">
        <v>3950</v>
      </c>
      <c r="I86" s="50">
        <v>44658.725960648146</v>
      </c>
      <c r="J86" s="34" t="s">
        <v>3951</v>
      </c>
      <c r="K86" s="50">
        <v>44658.72820601852</v>
      </c>
      <c r="L86" s="34" t="s">
        <v>3952</v>
      </c>
      <c r="M86" s="34" t="s">
        <v>3953</v>
      </c>
      <c r="N86" s="34">
        <v>2.0220407172523E13</v>
      </c>
    </row>
    <row r="87">
      <c r="A87" s="30" t="s">
        <v>4140</v>
      </c>
      <c r="B87" s="25" t="str">
        <f>(Sheet1!A344)</f>
        <v>1lHqETbIH4pLQdUL2QQgIDownEvMU9QozqqnIMcLSCfg</v>
      </c>
      <c r="C87" s="25" t="str">
        <f>(Sheet1!B344)</f>
        <v>SHRI RAM AUTOMOBILES - HATPIPLIYA</v>
      </c>
      <c r="D87" s="34">
        <v>6000.0</v>
      </c>
      <c r="E87" s="49">
        <v>44658.0</v>
      </c>
      <c r="F87" s="34" t="s">
        <v>4141</v>
      </c>
      <c r="G87" s="34" t="s">
        <v>4142</v>
      </c>
      <c r="H87" s="34" t="s">
        <v>3950</v>
      </c>
      <c r="I87" s="50">
        <v>44658.726643518516</v>
      </c>
      <c r="J87" s="34" t="s">
        <v>3951</v>
      </c>
      <c r="K87" s="50">
        <v>44658.72862268519</v>
      </c>
      <c r="L87" s="34" t="s">
        <v>3952</v>
      </c>
      <c r="M87" s="34" t="s">
        <v>3953</v>
      </c>
      <c r="N87" s="34">
        <v>2.0220407172622E13</v>
      </c>
    </row>
    <row r="88">
      <c r="A88" s="30" t="s">
        <v>4143</v>
      </c>
      <c r="B88" s="25" t="str">
        <f>(Sheet1!A338)</f>
        <v>1LVFmg-oYUYvWwI6u3WOnpzEWG7hGErkioBifgg4ml3c</v>
      </c>
      <c r="C88" s="25" t="str">
        <f>(Sheet1!B338)</f>
        <v>J.M Motors- Forbesganj</v>
      </c>
      <c r="D88" s="34">
        <v>5000.0</v>
      </c>
      <c r="E88" s="49">
        <v>44658.0</v>
      </c>
      <c r="F88" s="34">
        <v>2.85816628E8</v>
      </c>
      <c r="G88" s="34" t="s">
        <v>4144</v>
      </c>
      <c r="H88" s="34" t="s">
        <v>3950</v>
      </c>
      <c r="I88" s="50">
        <v>44658.74943287037</v>
      </c>
      <c r="J88" s="34" t="s">
        <v>3951</v>
      </c>
      <c r="K88" s="50">
        <v>44658.81386574074</v>
      </c>
      <c r="L88" s="34" t="s">
        <v>3952</v>
      </c>
      <c r="M88" s="34" t="s">
        <v>3953</v>
      </c>
      <c r="N88" s="34">
        <v>2.0220407175911E13</v>
      </c>
    </row>
    <row r="89">
      <c r="A89" s="30" t="s">
        <v>4145</v>
      </c>
      <c r="B89" s="25" t="str">
        <f>(Sheet1!A296)</f>
        <v>1050xuIkuCwbciPjL7NYnIQd49nor1NbjSoUBzXpeVrU</v>
      </c>
      <c r="C89" s="25" t="str">
        <f>(Sheet1!B296)</f>
        <v>ARC HERO- MAHIPALPUR</v>
      </c>
      <c r="D89" s="34">
        <v>30000.0</v>
      </c>
      <c r="E89" s="49">
        <v>44659.0</v>
      </c>
      <c r="F89" s="34">
        <v>1.98467006E8</v>
      </c>
      <c r="G89" s="34" t="s">
        <v>3963</v>
      </c>
      <c r="H89" s="34" t="s">
        <v>3950</v>
      </c>
      <c r="I89" s="50">
        <v>44659.458761574075</v>
      </c>
      <c r="J89" s="34" t="s">
        <v>3951</v>
      </c>
      <c r="K89" s="50">
        <v>44659.462800925925</v>
      </c>
      <c r="L89" s="34" t="s">
        <v>3952</v>
      </c>
      <c r="M89" s="34" t="s">
        <v>3953</v>
      </c>
      <c r="N89" s="34">
        <v>2.0220408110037E13</v>
      </c>
    </row>
    <row r="90">
      <c r="A90" s="30" t="s">
        <v>4146</v>
      </c>
      <c r="B90" s="25" t="str">
        <f>(Sheet1!A23)</f>
        <v>1RySEyS05cXvVcjfIhWh9Hhv1aLw7DmuiSqcsr3PfWVo</v>
      </c>
      <c r="C90" s="25" t="str">
        <f>(Sheet1!B23)</f>
        <v>Atmaram HERO</v>
      </c>
      <c r="D90" s="34">
        <v>200190.0</v>
      </c>
      <c r="E90" s="49">
        <v>44659.0</v>
      </c>
      <c r="F90" s="34">
        <v>1.99157945E8</v>
      </c>
      <c r="G90" s="34" t="s">
        <v>4147</v>
      </c>
      <c r="H90" s="34" t="s">
        <v>3950</v>
      </c>
      <c r="I90" s="50">
        <v>44659.48993055556</v>
      </c>
      <c r="J90" s="34" t="s">
        <v>3951</v>
      </c>
      <c r="K90" s="50">
        <v>44659.49128472222</v>
      </c>
      <c r="L90" s="34" t="s">
        <v>3952</v>
      </c>
      <c r="M90" s="34" t="s">
        <v>3953</v>
      </c>
      <c r="N90" s="34">
        <v>2.022040811453E13</v>
      </c>
    </row>
    <row r="91">
      <c r="A91" s="30" t="s">
        <v>4148</v>
      </c>
      <c r="B91" s="25" t="str">
        <f>(Sheet1!A317)</f>
        <v>1HzstXOBJIBMFHwYm7RpvmCIhHH60rtXQ81VHl3OF7OM</v>
      </c>
      <c r="C91" s="25" t="str">
        <f>(Sheet1!B317)</f>
        <v>SHIVANI MOTORS- ALLAHABAD</v>
      </c>
      <c r="D91" s="34">
        <v>25000.0</v>
      </c>
      <c r="E91" s="49">
        <v>44659.0</v>
      </c>
      <c r="F91" s="34" t="s">
        <v>4149</v>
      </c>
      <c r="G91" s="34" t="s">
        <v>4150</v>
      </c>
      <c r="H91" s="34" t="s">
        <v>3950</v>
      </c>
      <c r="I91" s="50">
        <v>44659.64333333333</v>
      </c>
      <c r="J91" s="34" t="s">
        <v>3951</v>
      </c>
      <c r="K91" s="50">
        <v>44659.644733796296</v>
      </c>
      <c r="L91" s="34" t="s">
        <v>3952</v>
      </c>
      <c r="M91" s="34" t="s">
        <v>3953</v>
      </c>
      <c r="N91" s="34">
        <v>2.0220408152624E13</v>
      </c>
    </row>
    <row r="92">
      <c r="A92" s="30" t="s">
        <v>4151</v>
      </c>
      <c r="B92" s="25" t="str">
        <f>(Sheet1!A27)</f>
        <v>1ytBGcO8tIze81xKkAa9lWDcflthsPL6SuADAXbhmuwA</v>
      </c>
      <c r="C92" s="25" t="str">
        <f>(Sheet1!B27)</f>
        <v>Brij Biwheelers</v>
      </c>
      <c r="D92" s="34">
        <v>50000.0</v>
      </c>
      <c r="E92" s="49">
        <v>44659.0</v>
      </c>
      <c r="F92" s="34">
        <v>2.09816450143E11</v>
      </c>
      <c r="G92" s="34" t="s">
        <v>4152</v>
      </c>
      <c r="H92" s="34" t="s">
        <v>3950</v>
      </c>
      <c r="I92" s="50">
        <v>44659.70768518518</v>
      </c>
      <c r="J92" s="34" t="s">
        <v>3951</v>
      </c>
      <c r="K92" s="50">
        <v>44659.714849537035</v>
      </c>
      <c r="L92" s="34" t="s">
        <v>3952</v>
      </c>
      <c r="M92" s="34" t="s">
        <v>3953</v>
      </c>
      <c r="N92" s="34">
        <v>2.0220408165904E13</v>
      </c>
    </row>
    <row r="93">
      <c r="A93" s="30" t="s">
        <v>4153</v>
      </c>
      <c r="B93" s="25" t="str">
        <f>(Sheet1!A213)</f>
        <v>1GSsoBjWtxEEY9Oe4QB_zfBq2Y31JMCHYWDUPZcHZ4Is</v>
      </c>
      <c r="C93" s="25" t="str">
        <f>(Sheet1!B213)</f>
        <v>Begusarai Auto Agencies - Begusarai</v>
      </c>
      <c r="D93" s="34">
        <v>10000.0</v>
      </c>
      <c r="E93" s="49">
        <v>44659.0</v>
      </c>
      <c r="F93" s="34"/>
      <c r="G93" s="34" t="s">
        <v>4154</v>
      </c>
      <c r="H93" s="34" t="s">
        <v>3950</v>
      </c>
      <c r="I93" s="50">
        <v>44659.714050925926</v>
      </c>
      <c r="J93" s="34" t="s">
        <v>3951</v>
      </c>
      <c r="K93" s="50">
        <v>44659.71501157407</v>
      </c>
      <c r="L93" s="34" t="s">
        <v>3952</v>
      </c>
      <c r="M93" s="34" t="s">
        <v>3953</v>
      </c>
      <c r="N93" s="34">
        <v>2.0220408170814E13</v>
      </c>
    </row>
    <row r="94">
      <c r="A94" s="30" t="s">
        <v>4155</v>
      </c>
      <c r="B94" s="25" t="str">
        <f>(Sheet1!A8)</f>
        <v>150xD2ZWlv_NqqijpFlWWgIoGhpbdGM3zmaQdQAd1q5M</v>
      </c>
      <c r="C94" s="25" t="str">
        <f>(Sheet1!B8)</f>
        <v>Singla Automobiles (Main Branch)</v>
      </c>
      <c r="D94" s="34">
        <v>4000.0</v>
      </c>
      <c r="E94" s="49">
        <v>44616.0</v>
      </c>
      <c r="F94" s="34" t="s">
        <v>4156</v>
      </c>
      <c r="G94" s="34" t="s">
        <v>4157</v>
      </c>
      <c r="H94" s="34" t="s">
        <v>4071</v>
      </c>
      <c r="I94" s="50">
        <v>44659.74071759259</v>
      </c>
      <c r="J94" s="34" t="s">
        <v>3951</v>
      </c>
      <c r="K94" s="50">
        <v>44659.76436342593</v>
      </c>
      <c r="L94" s="34" t="s">
        <v>3952</v>
      </c>
      <c r="M94" s="34" t="s">
        <v>4015</v>
      </c>
      <c r="N94" s="34">
        <v>2.0220408174638E13</v>
      </c>
    </row>
    <row r="95">
      <c r="A95" s="30" t="s">
        <v>4158</v>
      </c>
      <c r="B95" s="25" t="str">
        <f>(Sheet1!A296)</f>
        <v>1050xuIkuCwbciPjL7NYnIQd49nor1NbjSoUBzXpeVrU</v>
      </c>
      <c r="C95" s="25" t="str">
        <f>(Sheet1!B296)</f>
        <v>ARC HERO- MAHIPALPUR</v>
      </c>
      <c r="D95" s="34">
        <v>4000.0</v>
      </c>
      <c r="E95" s="49">
        <v>44599.0</v>
      </c>
      <c r="F95" s="34" t="s">
        <v>4159</v>
      </c>
      <c r="G95" s="34" t="s">
        <v>4160</v>
      </c>
      <c r="H95" s="34" t="s">
        <v>4071</v>
      </c>
      <c r="I95" s="50">
        <v>44659.74346064815</v>
      </c>
      <c r="J95" s="34" t="s">
        <v>3951</v>
      </c>
      <c r="K95" s="50">
        <v>44659.76453703704</v>
      </c>
      <c r="L95" s="34" t="s">
        <v>3952</v>
      </c>
      <c r="M95" s="34" t="s">
        <v>4015</v>
      </c>
      <c r="N95" s="34">
        <v>2.0220408175035E13</v>
      </c>
    </row>
    <row r="96">
      <c r="A96" s="30" t="s">
        <v>4161</v>
      </c>
      <c r="B96" s="25" t="str">
        <f>(Sheet1!A8)</f>
        <v>150xD2ZWlv_NqqijpFlWWgIoGhpbdGM3zmaQdQAd1q5M</v>
      </c>
      <c r="C96" s="25" t="str">
        <f>(Sheet1!B8)</f>
        <v>Singla Automobiles (Main Branch)</v>
      </c>
      <c r="D96" s="34">
        <v>2000.0</v>
      </c>
      <c r="E96" s="49">
        <v>44648.0</v>
      </c>
      <c r="F96" s="34" t="s">
        <v>4162</v>
      </c>
      <c r="G96" s="34" t="s">
        <v>4163</v>
      </c>
      <c r="H96" s="34" t="s">
        <v>4071</v>
      </c>
      <c r="I96" s="50">
        <v>44659.74528935185</v>
      </c>
      <c r="J96" s="34" t="s">
        <v>3951</v>
      </c>
      <c r="K96" s="50">
        <v>44659.76483796296</v>
      </c>
      <c r="L96" s="34" t="s">
        <v>3952</v>
      </c>
      <c r="M96" s="34" t="s">
        <v>4015</v>
      </c>
      <c r="N96" s="34">
        <v>2.0220408175313E13</v>
      </c>
    </row>
    <row r="97">
      <c r="A97" s="30" t="s">
        <v>4164</v>
      </c>
      <c r="B97" s="25" t="str">
        <f>(Sheet1!A325)</f>
        <v>16tjO40jnriUy06QB22S0NR8Wknhx9T0lcBH_yEqsZIw</v>
      </c>
      <c r="C97" s="25" t="str">
        <f>(Sheet1!B325)</f>
        <v>TANUSHKA HERO- GWALIOR</v>
      </c>
      <c r="D97" s="34">
        <v>50000.0</v>
      </c>
      <c r="E97" s="49">
        <v>44659.0</v>
      </c>
      <c r="F97" s="34" t="s">
        <v>4165</v>
      </c>
      <c r="G97" s="34" t="s">
        <v>4166</v>
      </c>
      <c r="H97" s="34" t="s">
        <v>3950</v>
      </c>
      <c r="I97" s="50">
        <v>44659.77363425926</v>
      </c>
      <c r="J97" s="34" t="s">
        <v>3951</v>
      </c>
      <c r="K97" s="50">
        <v>44659.77428240741</v>
      </c>
      <c r="L97" s="34" t="s">
        <v>3952</v>
      </c>
      <c r="M97" s="34" t="s">
        <v>3953</v>
      </c>
      <c r="N97" s="34">
        <v>2.0220408183402E13</v>
      </c>
    </row>
    <row r="98">
      <c r="A98" s="30" t="s">
        <v>4167</v>
      </c>
      <c r="B98" s="25" t="str">
        <f>(Sheet1!A350)</f>
        <v>15UOdwT--s7Zl9Su2K5mgFsbjsO9NxCbTdpJ5AlQkVMM</v>
      </c>
      <c r="C98" s="25" t="str">
        <f>(Sheet1!B350)</f>
        <v>KHURANA MOTORS- DEWAS</v>
      </c>
      <c r="D98" s="34">
        <v>1000.0</v>
      </c>
      <c r="E98" s="49">
        <v>44660.0</v>
      </c>
      <c r="F98" s="34"/>
      <c r="G98" s="34" t="s">
        <v>4168</v>
      </c>
      <c r="H98" s="34" t="s">
        <v>3950</v>
      </c>
      <c r="I98" s="50">
        <v>44660.47107638889</v>
      </c>
      <c r="J98" s="34" t="s">
        <v>3951</v>
      </c>
      <c r="K98" s="50">
        <v>44660.47209490741</v>
      </c>
      <c r="L98" s="34" t="s">
        <v>3952</v>
      </c>
      <c r="M98" s="34" t="s">
        <v>3812</v>
      </c>
      <c r="N98" s="34">
        <v>2.0220409111821E13</v>
      </c>
    </row>
    <row r="99">
      <c r="A99" s="30" t="s">
        <v>4169</v>
      </c>
      <c r="B99" s="25" t="str">
        <f>(Sheet1!A175)</f>
        <v>1DVpSm5a7kKqZxFgDUdJBRIcgAuTZosRKDnkmPEIdEG4</v>
      </c>
      <c r="C99" s="25" t="str">
        <f>(Sheet1!B175)</f>
        <v>MAHESH MOTORS - DINAJPUR</v>
      </c>
      <c r="D99" s="34">
        <v>25000.0</v>
      </c>
      <c r="E99" s="49">
        <v>44660.0</v>
      </c>
      <c r="F99" s="34" t="s">
        <v>4170</v>
      </c>
      <c r="G99" s="34" t="s">
        <v>4171</v>
      </c>
      <c r="H99" s="34" t="s">
        <v>3950</v>
      </c>
      <c r="I99" s="50">
        <v>44660.490208333336</v>
      </c>
      <c r="J99" s="34" t="s">
        <v>3951</v>
      </c>
      <c r="K99" s="50">
        <v>44660.49120370371</v>
      </c>
      <c r="L99" s="34" t="s">
        <v>3952</v>
      </c>
      <c r="M99" s="34" t="s">
        <v>3953</v>
      </c>
      <c r="N99" s="34">
        <v>2.0220409114554E13</v>
      </c>
    </row>
    <row r="100">
      <c r="A100" s="30" t="s">
        <v>4172</v>
      </c>
      <c r="B100" s="25" t="str">
        <f>(Sheet1!A350)</f>
        <v>15UOdwT--s7Zl9Su2K5mgFsbjsO9NxCbTdpJ5AlQkVMM</v>
      </c>
      <c r="C100" s="25" t="str">
        <f>(Sheet1!B350)</f>
        <v>KHURANA MOTORS- DEWAS</v>
      </c>
      <c r="D100" s="34">
        <v>10000.0</v>
      </c>
      <c r="E100" s="49">
        <v>44661.0</v>
      </c>
      <c r="F100" s="34">
        <v>2.0991794079E11</v>
      </c>
      <c r="G100" s="34" t="s">
        <v>4173</v>
      </c>
      <c r="H100" s="34" t="s">
        <v>3950</v>
      </c>
      <c r="I100" s="50">
        <v>44661.481944444444</v>
      </c>
      <c r="J100" s="34" t="s">
        <v>3951</v>
      </c>
      <c r="K100" s="50">
        <v>44661.48539351852</v>
      </c>
      <c r="L100" s="34" t="s">
        <v>3952</v>
      </c>
      <c r="M100" s="34" t="s">
        <v>3953</v>
      </c>
      <c r="N100" s="34">
        <v>2.02204101134E13</v>
      </c>
    </row>
    <row r="101">
      <c r="A101" s="30" t="s">
        <v>4174</v>
      </c>
      <c r="B101" s="25" t="str">
        <f>(Sheet1!A217)</f>
        <v>19J_y8BUN9RSe9TTg9cxKYBBv29Tfi7RwvKo8Va7MJRQ</v>
      </c>
      <c r="C101" s="25" t="str">
        <f>(Sheet1!B217)</f>
        <v>Kshitij Auto Wheelers - Mirzapur</v>
      </c>
      <c r="D101" s="34">
        <v>50000.0</v>
      </c>
      <c r="E101" s="49">
        <v>44661.0</v>
      </c>
      <c r="F101" s="34" t="s">
        <v>4175</v>
      </c>
      <c r="G101" s="34" t="s">
        <v>4176</v>
      </c>
      <c r="H101" s="34" t="s">
        <v>3950</v>
      </c>
      <c r="I101" s="50">
        <v>44661.48289351852</v>
      </c>
      <c r="J101" s="34" t="s">
        <v>3951</v>
      </c>
      <c r="K101" s="50">
        <v>44661.48548611111</v>
      </c>
      <c r="L101" s="34" t="s">
        <v>3952</v>
      </c>
      <c r="M101" s="34" t="s">
        <v>3953</v>
      </c>
      <c r="N101" s="34">
        <v>2.0220410113522E13</v>
      </c>
    </row>
    <row r="102">
      <c r="A102" s="30" t="s">
        <v>4177</v>
      </c>
      <c r="B102" s="25" t="str">
        <f>(Sheet1!A171)</f>
        <v>1kKJQREB-gMUjjfvkNJBZGf8b6FppISEs2byO4uZriFc</v>
      </c>
      <c r="C102" s="25" t="str">
        <f>(Sheet1!B171)</f>
        <v>Navya Motors - Gorakhpur</v>
      </c>
      <c r="D102" s="34">
        <v>50000.0</v>
      </c>
      <c r="E102" s="49">
        <v>44660.0</v>
      </c>
      <c r="F102" s="34">
        <v>1.2857173E8</v>
      </c>
      <c r="G102" s="34" t="s">
        <v>4178</v>
      </c>
      <c r="H102" s="34" t="s">
        <v>3950</v>
      </c>
      <c r="I102" s="50">
        <v>44661.48388888889</v>
      </c>
      <c r="J102" s="34" t="s">
        <v>3951</v>
      </c>
      <c r="K102" s="50">
        <v>44661.48552083333</v>
      </c>
      <c r="L102" s="34" t="s">
        <v>3952</v>
      </c>
      <c r="M102" s="34" t="s">
        <v>3953</v>
      </c>
      <c r="N102" s="34">
        <v>2.0220410113648E13</v>
      </c>
    </row>
    <row r="103">
      <c r="A103" s="30" t="s">
        <v>4179</v>
      </c>
      <c r="B103" s="25" t="str">
        <f>(Sheet1!A8)</f>
        <v>150xD2ZWlv_NqqijpFlWWgIoGhpbdGM3zmaQdQAd1q5M</v>
      </c>
      <c r="C103" s="25" t="str">
        <f>(Sheet1!B8)</f>
        <v>Singla Automobiles (Main Branch)</v>
      </c>
      <c r="D103" s="34">
        <v>50000.0</v>
      </c>
      <c r="E103" s="49">
        <v>44661.0</v>
      </c>
      <c r="F103" s="34">
        <v>1.37192536E8</v>
      </c>
      <c r="G103" s="34" t="s">
        <v>3977</v>
      </c>
      <c r="H103" s="34" t="s">
        <v>3950</v>
      </c>
      <c r="I103" s="50">
        <v>44661.57748842592</v>
      </c>
      <c r="J103" s="34" t="s">
        <v>3951</v>
      </c>
      <c r="K103" s="50">
        <v>44661.57790509259</v>
      </c>
      <c r="L103" s="34" t="s">
        <v>3952</v>
      </c>
      <c r="M103" s="34" t="s">
        <v>3953</v>
      </c>
      <c r="N103" s="34">
        <v>2.0220410135135E13</v>
      </c>
    </row>
    <row r="104">
      <c r="A104" s="30" t="s">
        <v>4180</v>
      </c>
      <c r="B104" s="25" t="str">
        <f>(Sheet1!A344)</f>
        <v>1lHqETbIH4pLQdUL2QQgIDownEvMU9QozqqnIMcLSCfg</v>
      </c>
      <c r="C104" s="25" t="str">
        <f>(Sheet1!B344)</f>
        <v>SHRI RAM AUTOMOBILES - HATPIPLIYA</v>
      </c>
      <c r="D104" s="34">
        <v>10000.0</v>
      </c>
      <c r="E104" s="49">
        <v>44661.0</v>
      </c>
      <c r="F104" s="34" t="s">
        <v>4181</v>
      </c>
      <c r="G104" s="34" t="s">
        <v>4182</v>
      </c>
      <c r="H104" s="34" t="s">
        <v>3950</v>
      </c>
      <c r="I104" s="50">
        <v>44661.61163194444</v>
      </c>
      <c r="J104" s="34" t="s">
        <v>3951</v>
      </c>
      <c r="K104" s="50">
        <v>44661.68309027778</v>
      </c>
      <c r="L104" s="34" t="s">
        <v>3952</v>
      </c>
      <c r="M104" s="34" t="s">
        <v>3953</v>
      </c>
      <c r="N104" s="34">
        <v>2.0220410144045E13</v>
      </c>
    </row>
    <row r="105">
      <c r="A105" s="30" t="s">
        <v>4183</v>
      </c>
      <c r="B105" s="25" t="str">
        <f>(Sheet1!A343)</f>
        <v>1QVBShIrTLBej8s_qXhBmCICNAN5JsR5KakezwfMLZV0</v>
      </c>
      <c r="C105" s="25" t="str">
        <f>(Sheet1!B343)</f>
        <v>ANAS MOTORS- SUPAUL</v>
      </c>
      <c r="D105" s="34">
        <v>25000.0</v>
      </c>
      <c r="E105" s="49">
        <v>44661.0</v>
      </c>
      <c r="F105" s="34">
        <v>2.10016548246E11</v>
      </c>
      <c r="G105" s="34" t="s">
        <v>4184</v>
      </c>
      <c r="H105" s="34" t="s">
        <v>3950</v>
      </c>
      <c r="I105" s="50">
        <v>44661.68189814815</v>
      </c>
      <c r="J105" s="34" t="s">
        <v>3951</v>
      </c>
      <c r="K105" s="50">
        <v>44661.682905092595</v>
      </c>
      <c r="L105" s="34" t="s">
        <v>3952</v>
      </c>
      <c r="M105" s="34" t="s">
        <v>3953</v>
      </c>
      <c r="N105" s="34">
        <v>2.0220410162156E13</v>
      </c>
    </row>
    <row r="106">
      <c r="A106" s="30" t="s">
        <v>4185</v>
      </c>
      <c r="B106" s="25" t="str">
        <f>(Sheet1!A8)</f>
        <v>150xD2ZWlv_NqqijpFlWWgIoGhpbdGM3zmaQdQAd1q5M</v>
      </c>
      <c r="C106" s="25" t="str">
        <f>(Sheet1!B8)</f>
        <v>Singla Automobiles (Main Branch)</v>
      </c>
      <c r="D106" s="34">
        <v>45000.0</v>
      </c>
      <c r="E106" s="49">
        <v>44661.0</v>
      </c>
      <c r="F106" s="34">
        <v>1.40608381E8</v>
      </c>
      <c r="G106" s="34" t="s">
        <v>3977</v>
      </c>
      <c r="H106" s="34" t="s">
        <v>3950</v>
      </c>
      <c r="I106" s="50">
        <v>44661.8025462963</v>
      </c>
      <c r="J106" s="34" t="s">
        <v>3951</v>
      </c>
      <c r="K106" s="50">
        <v>44661.803622685184</v>
      </c>
      <c r="L106" s="34" t="s">
        <v>3952</v>
      </c>
      <c r="M106" s="34" t="s">
        <v>3953</v>
      </c>
      <c r="N106" s="34">
        <v>2.022041019154E13</v>
      </c>
    </row>
    <row r="107">
      <c r="A107" s="30" t="s">
        <v>4186</v>
      </c>
      <c r="B107" s="25" t="str">
        <f>(Sheet1!A318)</f>
        <v>1YAU91TFMaYFp0IiAMJOnSMw_yeIgNk_GdChvblrhYL8</v>
      </c>
      <c r="C107" s="25" t="str">
        <f>(Sheet1!B318)</f>
        <v>A.R.C.C- HERO(SMA)</v>
      </c>
      <c r="D107" s="34">
        <v>10000.0</v>
      </c>
      <c r="E107" s="49">
        <v>44661.0</v>
      </c>
      <c r="F107" s="34">
        <v>2.10031258864E11</v>
      </c>
      <c r="G107" s="34" t="s">
        <v>4003</v>
      </c>
      <c r="H107" s="34" t="s">
        <v>3950</v>
      </c>
      <c r="I107" s="50">
        <v>44661.876655092594</v>
      </c>
      <c r="J107" s="34" t="s">
        <v>3951</v>
      </c>
      <c r="K107" s="50">
        <v>44661.878287037034</v>
      </c>
      <c r="L107" s="34" t="s">
        <v>3952</v>
      </c>
      <c r="M107" s="34" t="s">
        <v>3953</v>
      </c>
      <c r="N107" s="34">
        <v>2.0220410210223E13</v>
      </c>
    </row>
    <row r="108">
      <c r="A108" s="30" t="s">
        <v>4187</v>
      </c>
      <c r="B108" s="25" t="str">
        <f>(Sheet1!A270)</f>
        <v>1T9TOPNccEkZyvcMjs5_ErkZRFNoV3A33YcZPKCnjNeI</v>
      </c>
      <c r="C108" s="25" t="str">
        <f>(Sheet1!B270)</f>
        <v>VAISHNO MOTORS - JHUGAWA</v>
      </c>
      <c r="D108" s="34">
        <v>100000.0</v>
      </c>
      <c r="E108" s="49">
        <v>44662.0</v>
      </c>
      <c r="F108" s="34">
        <v>1.52285223E8</v>
      </c>
      <c r="G108" s="34" t="s">
        <v>4188</v>
      </c>
      <c r="H108" s="34" t="s">
        <v>3950</v>
      </c>
      <c r="I108" s="50">
        <v>44662.54864583333</v>
      </c>
      <c r="J108" s="34" t="s">
        <v>3951</v>
      </c>
      <c r="K108" s="50">
        <v>44662.54980324074</v>
      </c>
      <c r="L108" s="34" t="s">
        <v>3952</v>
      </c>
      <c r="M108" s="34" t="s">
        <v>3953</v>
      </c>
      <c r="N108" s="34">
        <v>2.0220411131003E13</v>
      </c>
    </row>
    <row r="109">
      <c r="A109" s="30" t="s">
        <v>4189</v>
      </c>
      <c r="B109" s="25" t="str">
        <f>(Sheet1!A339)</f>
        <v>1fHCHQnIWmfXqP4jwi-agXjfK1q2zM0BUeG3fwB0qApc</v>
      </c>
      <c r="C109" s="25" t="str">
        <f>(Sheet1!B339)</f>
        <v>Mahabir Automobiles -Sultanpur</v>
      </c>
      <c r="D109" s="34">
        <v>20000.0</v>
      </c>
      <c r="E109" s="49">
        <v>44662.0</v>
      </c>
      <c r="F109" s="34"/>
      <c r="G109" s="34" t="s">
        <v>4190</v>
      </c>
      <c r="H109" s="34" t="s">
        <v>3950</v>
      </c>
      <c r="I109" s="50">
        <v>44662.777395833335</v>
      </c>
      <c r="J109" s="34" t="s">
        <v>3951</v>
      </c>
      <c r="K109" s="50">
        <v>44662.7791087963</v>
      </c>
      <c r="L109" s="34" t="s">
        <v>3952</v>
      </c>
      <c r="M109" s="34" t="s">
        <v>3953</v>
      </c>
      <c r="N109" s="34">
        <v>2.0220411183927E13</v>
      </c>
    </row>
    <row r="110">
      <c r="A110" s="30" t="s">
        <v>4191</v>
      </c>
      <c r="B110" s="25" t="str">
        <f>(Sheet1!A162)</f>
        <v>1TMacegY-Sk7pr6CF_YiZtnxppf8kQ29DX8ZSzN8Nba0</v>
      </c>
      <c r="C110" s="25" t="str">
        <f>(Sheet1!B162)</f>
        <v>YASH AUTOMOBILES-PUNE</v>
      </c>
      <c r="D110" s="34">
        <v>25866.0</v>
      </c>
      <c r="E110" s="49">
        <v>44662.0</v>
      </c>
      <c r="F110" s="34" t="s">
        <v>4192</v>
      </c>
      <c r="G110" s="34" t="s">
        <v>4193</v>
      </c>
      <c r="H110" s="34" t="s">
        <v>3950</v>
      </c>
      <c r="I110" s="50">
        <v>44662.78597222222</v>
      </c>
      <c r="J110" s="34" t="s">
        <v>3951</v>
      </c>
      <c r="K110" s="50">
        <v>44662.78947916667</v>
      </c>
      <c r="L110" s="34" t="s">
        <v>3952</v>
      </c>
      <c r="M110" s="34" t="s">
        <v>3953</v>
      </c>
      <c r="N110" s="34">
        <v>2.0220411185148E13</v>
      </c>
    </row>
    <row r="111">
      <c r="A111" s="30" t="s">
        <v>4194</v>
      </c>
      <c r="B111" s="25" t="str">
        <f>(Sheet1!A214)</f>
        <v>1cVGXbO2lp52NndvygvM_F7Cqcy0EMGxzT1ZUlpTQeiI</v>
      </c>
      <c r="C111" s="25" t="str">
        <f>(Sheet1!B214)</f>
        <v>BARABANKI MOTORS</v>
      </c>
      <c r="D111" s="34">
        <v>19500.0</v>
      </c>
      <c r="E111" s="49">
        <v>44662.0</v>
      </c>
      <c r="F111" s="34" t="s">
        <v>4195</v>
      </c>
      <c r="G111" s="34" t="s">
        <v>4131</v>
      </c>
      <c r="H111" s="34" t="s">
        <v>3950</v>
      </c>
      <c r="I111" s="50">
        <v>44662.78673611111</v>
      </c>
      <c r="J111" s="34" t="s">
        <v>3951</v>
      </c>
      <c r="K111" s="50">
        <v>44662.789675925924</v>
      </c>
      <c r="L111" s="34" t="s">
        <v>3952</v>
      </c>
      <c r="M111" s="34" t="s">
        <v>3953</v>
      </c>
      <c r="N111" s="34">
        <v>2.0220411185254E13</v>
      </c>
    </row>
    <row r="112">
      <c r="A112" s="30" t="s">
        <v>4196</v>
      </c>
      <c r="B112" s="25" t="str">
        <f>(Sheet1!A121)</f>
        <v>1egrFzds1dA_qcyd-YeJKBrt74ORJ0Jzk4cfbN-wYoKI</v>
      </c>
      <c r="C112" s="25" t="str">
        <f>(Sheet1!B121)</f>
        <v>Venus Hero Venture - Firozabad</v>
      </c>
      <c r="D112" s="34">
        <v>100000.0</v>
      </c>
      <c r="E112" s="49">
        <v>44662.0</v>
      </c>
      <c r="F112" s="34" t="s">
        <v>4197</v>
      </c>
      <c r="G112" s="34" t="s">
        <v>4198</v>
      </c>
      <c r="H112" s="34" t="s">
        <v>3950</v>
      </c>
      <c r="I112" s="50">
        <v>44662.787407407406</v>
      </c>
      <c r="J112" s="34" t="s">
        <v>3951</v>
      </c>
      <c r="K112" s="50">
        <v>44662.78980324074</v>
      </c>
      <c r="L112" s="34" t="s">
        <v>3952</v>
      </c>
      <c r="M112" s="34" t="s">
        <v>3953</v>
      </c>
      <c r="N112" s="34">
        <v>2.0220411185352E13</v>
      </c>
    </row>
    <row r="113">
      <c r="A113" s="30" t="s">
        <v>4199</v>
      </c>
      <c r="B113" s="25" t="str">
        <f>(Sheet1!A224)</f>
        <v>1JAbS28NFmfJxZrsQ7twsfzmqCme35J_wqOELlcNcX1c</v>
      </c>
      <c r="C113" s="25" t="str">
        <f>(Sheet1!B224)</f>
        <v>STALLIONZ TVS - AHMEDABAD</v>
      </c>
      <c r="D113" s="34">
        <v>10000.0</v>
      </c>
      <c r="E113" s="49">
        <v>44662.0</v>
      </c>
      <c r="F113" s="34">
        <v>2.10117621839E11</v>
      </c>
      <c r="G113" s="34" t="s">
        <v>4082</v>
      </c>
      <c r="H113" s="34" t="s">
        <v>3950</v>
      </c>
      <c r="I113" s="50">
        <v>44662.788125</v>
      </c>
      <c r="J113" s="34" t="s">
        <v>3951</v>
      </c>
      <c r="K113" s="50">
        <v>44662.78991898148</v>
      </c>
      <c r="L113" s="34" t="s">
        <v>3952</v>
      </c>
      <c r="M113" s="34" t="s">
        <v>3953</v>
      </c>
      <c r="N113" s="34">
        <v>2.0220411185454E13</v>
      </c>
    </row>
    <row r="114">
      <c r="A114" s="30" t="s">
        <v>4200</v>
      </c>
      <c r="B114" s="25" t="str">
        <f>(Sheet1!A24)</f>
        <v>1mkGLSaVL5-IAXKq9KqXFgJH64Li9oMA9V0u_seCn1jg</v>
      </c>
      <c r="C114" s="25" t="str">
        <f>(Sheet1!B24)</f>
        <v>Maharaja Autoworld</v>
      </c>
      <c r="D114" s="34">
        <v>300000.0</v>
      </c>
      <c r="E114" s="49">
        <v>44662.0</v>
      </c>
      <c r="F114" s="34">
        <v>96.0</v>
      </c>
      <c r="G114" s="34" t="s">
        <v>4201</v>
      </c>
      <c r="H114" s="34" t="s">
        <v>3950</v>
      </c>
      <c r="I114" s="50">
        <v>44662.793125</v>
      </c>
      <c r="J114" s="34" t="s">
        <v>3951</v>
      </c>
      <c r="K114" s="50">
        <v>44662.79356481481</v>
      </c>
      <c r="L114" s="34" t="s">
        <v>3952</v>
      </c>
      <c r="M114" s="34" t="s">
        <v>3953</v>
      </c>
      <c r="N114" s="34">
        <v>2.0220411190206E13</v>
      </c>
    </row>
    <row r="115">
      <c r="A115" s="30" t="s">
        <v>4202</v>
      </c>
      <c r="B115" s="25" t="str">
        <f>(Sheet1!A211)</f>
        <v>11KI2mOYZ4I9wDgZ2By8zUkmcvYLaWDOUT2Ivww0nVBM</v>
      </c>
      <c r="C115" s="25" t="str">
        <f>(Sheet1!B211)</f>
        <v>Shree Balaji Bajaj Showroom(VT) - Raichur</v>
      </c>
      <c r="D115" s="34">
        <v>15000.0</v>
      </c>
      <c r="E115" s="49">
        <v>44662.0</v>
      </c>
      <c r="F115" s="34">
        <v>5.30470134E8</v>
      </c>
      <c r="G115" s="34" t="s">
        <v>4203</v>
      </c>
      <c r="H115" s="34" t="s">
        <v>3950</v>
      </c>
      <c r="I115" s="50">
        <v>44663.35386574074</v>
      </c>
      <c r="J115" s="34" t="s">
        <v>3951</v>
      </c>
      <c r="K115" s="50">
        <v>44663.433020833334</v>
      </c>
      <c r="L115" s="34" t="s">
        <v>3952</v>
      </c>
      <c r="M115" s="34" t="s">
        <v>3953</v>
      </c>
      <c r="N115" s="34">
        <v>2.0220412082934E13</v>
      </c>
    </row>
    <row r="116">
      <c r="A116" s="30" t="s">
        <v>4204</v>
      </c>
      <c r="B116" s="25" t="str">
        <f>(Sheet1!A217)</f>
        <v>19J_y8BUN9RSe9TTg9cxKYBBv29Tfi7RwvKo8Va7MJRQ</v>
      </c>
      <c r="C116" s="25" t="str">
        <f>(Sheet1!B217)</f>
        <v>Kshitij Auto Wheelers - Mirzapur</v>
      </c>
      <c r="D116" s="34">
        <v>25000.0</v>
      </c>
      <c r="E116" s="49">
        <v>44662.0</v>
      </c>
      <c r="F116" s="34" t="s">
        <v>4205</v>
      </c>
      <c r="G116" s="34" t="s">
        <v>4206</v>
      </c>
      <c r="H116" s="34" t="s">
        <v>3950</v>
      </c>
      <c r="I116" s="50">
        <v>44663.35459490741</v>
      </c>
      <c r="J116" s="34" t="s">
        <v>3951</v>
      </c>
      <c r="K116" s="50">
        <v>44663.43309027778</v>
      </c>
      <c r="L116" s="34" t="s">
        <v>3952</v>
      </c>
      <c r="M116" s="34" t="s">
        <v>3953</v>
      </c>
      <c r="N116" s="34">
        <v>2.0220412083037E13</v>
      </c>
    </row>
    <row r="117">
      <c r="A117" s="30" t="s">
        <v>4207</v>
      </c>
      <c r="B117" s="25" t="str">
        <f>(Sheet1!A328)</f>
        <v>1mxT1doFWSIKC49QGKrgrgC6fUkICfT4DLlAcSQC9Pc4</v>
      </c>
      <c r="C117" s="25" t="str">
        <f>(Sheet1!B328)</f>
        <v>KSHIPRA HERO-UJJAIN</v>
      </c>
      <c r="D117" s="34">
        <v>10000.0</v>
      </c>
      <c r="E117" s="49">
        <v>44663.0</v>
      </c>
      <c r="F117" s="34">
        <v>1.33113047E8</v>
      </c>
      <c r="G117" s="34" t="s">
        <v>4208</v>
      </c>
      <c r="H117" s="34" t="s">
        <v>3950</v>
      </c>
      <c r="I117" s="50">
        <v>44663.468136574076</v>
      </c>
      <c r="J117" s="34" t="s">
        <v>3951</v>
      </c>
      <c r="K117" s="50">
        <v>44663.47924768519</v>
      </c>
      <c r="L117" s="34" t="s">
        <v>3952</v>
      </c>
      <c r="M117" s="34" t="s">
        <v>3953</v>
      </c>
      <c r="N117" s="34">
        <v>2.0220412111407E13</v>
      </c>
    </row>
    <row r="118">
      <c r="A118" s="30" t="s">
        <v>4209</v>
      </c>
      <c r="B118" s="25" t="str">
        <f>(Sheet1!A345)</f>
        <v>1igxhDrZmAR4XaBSU0Vyrw9LNbKLoFuELF4hEOFDqD9M</v>
      </c>
      <c r="C118" s="25" t="str">
        <f>(Sheet1!B345)</f>
        <v>KHAGARIA AUTO AGENCY- KHAGARIA</v>
      </c>
      <c r="D118" s="34">
        <v>10000.0</v>
      </c>
      <c r="E118" s="49">
        <v>44663.0</v>
      </c>
      <c r="F118" s="34" t="s">
        <v>4210</v>
      </c>
      <c r="G118" s="34" t="s">
        <v>4211</v>
      </c>
      <c r="H118" s="34" t="s">
        <v>3950</v>
      </c>
      <c r="I118" s="50">
        <v>44664.46979166667</v>
      </c>
      <c r="J118" s="34" t="s">
        <v>3951</v>
      </c>
      <c r="K118" s="50">
        <v>44664.47511574074</v>
      </c>
      <c r="L118" s="34" t="s">
        <v>3952</v>
      </c>
      <c r="M118" s="34" t="s">
        <v>3953</v>
      </c>
      <c r="N118" s="34">
        <v>2.022041311163E13</v>
      </c>
    </row>
    <row r="119">
      <c r="A119" s="30" t="s">
        <v>4212</v>
      </c>
      <c r="B119" s="25" t="str">
        <f>(Sheet1!A312)</f>
        <v>1Ymh97cWP9AVJD4TFdCUxIgPTHzjxbv5sRAkjPizS2d8</v>
      </c>
      <c r="C119" s="25" t="str">
        <f>(Sheet1!B312)</f>
        <v>TWIN CITY -KHANNA</v>
      </c>
      <c r="D119" s="34">
        <v>7000.0</v>
      </c>
      <c r="E119" s="49">
        <v>44663.0</v>
      </c>
      <c r="F119" s="34">
        <v>2.10217632719E11</v>
      </c>
      <c r="G119" s="34" t="s">
        <v>4213</v>
      </c>
      <c r="H119" s="34" t="s">
        <v>3950</v>
      </c>
      <c r="I119" s="50">
        <v>44664.47042824074</v>
      </c>
      <c r="J119" s="34" t="s">
        <v>3951</v>
      </c>
      <c r="K119" s="50">
        <v>44664.47513888889</v>
      </c>
      <c r="L119" s="34" t="s">
        <v>3952</v>
      </c>
      <c r="M119" s="34" t="s">
        <v>3953</v>
      </c>
      <c r="N119" s="34">
        <v>2.0220413111725E13</v>
      </c>
    </row>
    <row r="120">
      <c r="A120" s="30" t="s">
        <v>4214</v>
      </c>
      <c r="B120" s="25" t="str">
        <f>(Sheet1!A217)</f>
        <v>19J_y8BUN9RSe9TTg9cxKYBBv29Tfi7RwvKo8Va7MJRQ</v>
      </c>
      <c r="C120" s="25" t="str">
        <f>(Sheet1!B217)</f>
        <v>Kshitij Auto Wheelers - Mirzapur</v>
      </c>
      <c r="D120" s="34">
        <v>40000.0</v>
      </c>
      <c r="E120" s="49">
        <v>44664.0</v>
      </c>
      <c r="F120" s="34">
        <v>2.10309072208E11</v>
      </c>
      <c r="G120" s="34" t="s">
        <v>4215</v>
      </c>
      <c r="H120" s="34" t="s">
        <v>3950</v>
      </c>
      <c r="I120" s="50">
        <v>44664.47178240741</v>
      </c>
      <c r="J120" s="34" t="s">
        <v>3951</v>
      </c>
      <c r="K120" s="50">
        <v>44664.47516203704</v>
      </c>
      <c r="L120" s="34" t="s">
        <v>3952</v>
      </c>
      <c r="M120" s="34" t="s">
        <v>3953</v>
      </c>
      <c r="N120" s="34">
        <v>2.0220413111922E13</v>
      </c>
    </row>
    <row r="121">
      <c r="A121" s="30" t="s">
        <v>4216</v>
      </c>
      <c r="B121" s="25" t="str">
        <f>(Sheet1!A335)</f>
        <v>1r0KUrXS28gDx7-fgD3zjnrel7PaC3KXGiEtHPv0wv_M</v>
      </c>
      <c r="C121" s="25" t="str">
        <f>(Sheet1!B335)</f>
        <v>PAL ENTERPRISE- VIDISHA</v>
      </c>
      <c r="D121" s="34">
        <v>15000.0</v>
      </c>
      <c r="E121" s="49">
        <v>44664.0</v>
      </c>
      <c r="F121" s="34" t="s">
        <v>4217</v>
      </c>
      <c r="G121" s="34" t="s">
        <v>4218</v>
      </c>
      <c r="H121" s="34" t="s">
        <v>3950</v>
      </c>
      <c r="I121" s="50">
        <v>44664.47319444444</v>
      </c>
      <c r="J121" s="34" t="s">
        <v>3951</v>
      </c>
      <c r="K121" s="50">
        <v>44664.475810185184</v>
      </c>
      <c r="L121" s="34" t="s">
        <v>3952</v>
      </c>
      <c r="M121" s="34" t="s">
        <v>3953</v>
      </c>
      <c r="N121" s="34">
        <v>2.0220413112124E13</v>
      </c>
    </row>
    <row r="122">
      <c r="A122" s="30" t="s">
        <v>4219</v>
      </c>
      <c r="B122" s="25" t="str">
        <f>(Sheet1!A45)</f>
        <v>1XmVYrBOLuyIm0rpXhFaYpcRQ1t4YH3PN3pmiTosn08E</v>
      </c>
      <c r="C122" s="25" t="str">
        <f>(Sheet1!B45)</f>
        <v>Shraman Hero - GT Karnal Road</v>
      </c>
      <c r="D122" s="34">
        <v>200000.0</v>
      </c>
      <c r="E122" s="49">
        <v>44664.0</v>
      </c>
      <c r="F122" s="34">
        <v>2.10311631616E11</v>
      </c>
      <c r="G122" s="34" t="s">
        <v>4220</v>
      </c>
      <c r="H122" s="34" t="s">
        <v>3950</v>
      </c>
      <c r="I122" s="50">
        <v>44664.50503472222</v>
      </c>
      <c r="J122" s="34" t="s">
        <v>3951</v>
      </c>
      <c r="K122" s="50">
        <v>44664.506215277775</v>
      </c>
      <c r="L122" s="34" t="s">
        <v>3952</v>
      </c>
      <c r="M122" s="34" t="s">
        <v>3953</v>
      </c>
      <c r="N122" s="34">
        <v>2.0220413120715E13</v>
      </c>
    </row>
    <row r="123">
      <c r="A123" s="30" t="s">
        <v>4221</v>
      </c>
      <c r="B123" s="25" t="str">
        <f>(Sheet1!A8)</f>
        <v>150xD2ZWlv_NqqijpFlWWgIoGhpbdGM3zmaQdQAd1q5M</v>
      </c>
      <c r="C123" s="25" t="str">
        <f>(Sheet1!B8)</f>
        <v>Singla Automobiles (Main Branch)</v>
      </c>
      <c r="D123" s="34">
        <v>63000.0</v>
      </c>
      <c r="E123" s="49">
        <v>44664.0</v>
      </c>
      <c r="F123" s="34" t="s">
        <v>4222</v>
      </c>
      <c r="G123" s="34" t="s">
        <v>4223</v>
      </c>
      <c r="H123" s="34" t="s">
        <v>4071</v>
      </c>
      <c r="I123" s="50">
        <v>44664.521678240744</v>
      </c>
      <c r="J123" s="34" t="s">
        <v>3951</v>
      </c>
      <c r="K123" s="50">
        <v>44664.53107638889</v>
      </c>
      <c r="L123" s="34" t="s">
        <v>3952</v>
      </c>
      <c r="M123" s="34" t="s">
        <v>4009</v>
      </c>
      <c r="N123" s="34">
        <v>2.0220413123113E13</v>
      </c>
    </row>
    <row r="124">
      <c r="A124" s="30" t="s">
        <v>4224</v>
      </c>
      <c r="B124" s="25" t="str">
        <f>(Sheet1!A182)</f>
        <v>1VIUqOp_UXFVjhTtvQswmqJ7NEi8nkGyfHAoJPy-wvSA</v>
      </c>
      <c r="C124" s="25" t="str">
        <f>(Sheet1!B182)</f>
        <v>Kamal Hero - Gonda</v>
      </c>
      <c r="D124" s="34">
        <v>10000.0</v>
      </c>
      <c r="E124" s="49">
        <v>44664.0</v>
      </c>
      <c r="F124" s="34" t="s">
        <v>4225</v>
      </c>
      <c r="G124" s="34" t="s">
        <v>4077</v>
      </c>
      <c r="H124" s="34" t="s">
        <v>3950</v>
      </c>
      <c r="I124" s="50">
        <v>44664.67252314815</v>
      </c>
      <c r="J124" s="34" t="s">
        <v>3951</v>
      </c>
      <c r="K124" s="50">
        <v>44664.67978009259</v>
      </c>
      <c r="L124" s="34" t="s">
        <v>3952</v>
      </c>
      <c r="M124" s="34" t="s">
        <v>3953</v>
      </c>
      <c r="N124" s="34">
        <v>2.0220413160826E13</v>
      </c>
    </row>
    <row r="125">
      <c r="A125" s="30" t="s">
        <v>4226</v>
      </c>
      <c r="B125" s="25" t="str">
        <f>(Sheet1!A317)</f>
        <v>1HzstXOBJIBMFHwYm7RpvmCIhHH60rtXQ81VHl3OF7OM</v>
      </c>
      <c r="C125" s="25" t="str">
        <f>(Sheet1!B317)</f>
        <v>SHIVANI MOTORS- ALLAHABAD</v>
      </c>
      <c r="D125" s="34">
        <v>30000.0</v>
      </c>
      <c r="E125" s="49">
        <v>44664.0</v>
      </c>
      <c r="F125" s="34" t="s">
        <v>4227</v>
      </c>
      <c r="G125" s="34" t="s">
        <v>4228</v>
      </c>
      <c r="H125" s="34" t="s">
        <v>3950</v>
      </c>
      <c r="I125" s="50">
        <v>44664.67318287037</v>
      </c>
      <c r="J125" s="34" t="s">
        <v>3951</v>
      </c>
      <c r="K125" s="50">
        <v>44664.67982638889</v>
      </c>
      <c r="L125" s="34" t="s">
        <v>3952</v>
      </c>
      <c r="M125" s="34" t="s">
        <v>3953</v>
      </c>
      <c r="N125" s="34">
        <v>2.0220413160923E13</v>
      </c>
    </row>
    <row r="126">
      <c r="A126" s="30" t="s">
        <v>4229</v>
      </c>
      <c r="B126" s="25" t="str">
        <f>(Sheet1!A4)</f>
        <v>184Y3L-ZLT7vcLiFDItIcLa-18phpzEbgBCBDgt_LGCQ</v>
      </c>
      <c r="C126" s="25" t="str">
        <f>(Sheet1!B4)</f>
        <v>Jain Motorcycle Company</v>
      </c>
      <c r="D126" s="34">
        <v>465590.0</v>
      </c>
      <c r="E126" s="49">
        <v>44664.0</v>
      </c>
      <c r="F126" s="34" t="s">
        <v>4230</v>
      </c>
      <c r="G126" s="34" t="s">
        <v>4231</v>
      </c>
      <c r="H126" s="34" t="s">
        <v>3950</v>
      </c>
      <c r="I126" s="50">
        <v>44664.67459490741</v>
      </c>
      <c r="J126" s="34" t="s">
        <v>3951</v>
      </c>
      <c r="K126" s="50">
        <v>44664.67990740741</v>
      </c>
      <c r="L126" s="34" t="s">
        <v>3952</v>
      </c>
      <c r="M126" s="34" t="s">
        <v>3953</v>
      </c>
      <c r="N126" s="34">
        <v>2.0220413161125E13</v>
      </c>
    </row>
    <row r="127">
      <c r="A127" s="30" t="s">
        <v>4232</v>
      </c>
      <c r="B127" s="25" t="str">
        <f>(Sheet1!A343)</f>
        <v>1QVBShIrTLBej8s_qXhBmCICNAN5JsR5KakezwfMLZV0</v>
      </c>
      <c r="C127" s="25" t="str">
        <f>(Sheet1!B343)</f>
        <v>ANAS MOTORS- SUPAUL</v>
      </c>
      <c r="D127" s="34">
        <v>25000.0</v>
      </c>
      <c r="E127" s="49">
        <v>44664.0</v>
      </c>
      <c r="F127" s="34">
        <v>2.10317753863E11</v>
      </c>
      <c r="G127" s="34" t="s">
        <v>4233</v>
      </c>
      <c r="H127" s="34" t="s">
        <v>3950</v>
      </c>
      <c r="I127" s="50">
        <v>44664.72493055555</v>
      </c>
      <c r="J127" s="34" t="s">
        <v>3951</v>
      </c>
      <c r="K127" s="50">
        <v>44664.72599537037</v>
      </c>
      <c r="L127" s="34" t="s">
        <v>3952</v>
      </c>
      <c r="M127" s="34" t="s">
        <v>3953</v>
      </c>
      <c r="N127" s="34">
        <v>2.0220413172354E13</v>
      </c>
    </row>
    <row r="128">
      <c r="A128" s="30" t="s">
        <v>4234</v>
      </c>
      <c r="B128" s="25" t="str">
        <f>(Sheet1!A318)</f>
        <v>1YAU91TFMaYFp0IiAMJOnSMw_yeIgNk_GdChvblrhYL8</v>
      </c>
      <c r="C128" s="25" t="str">
        <f>(Sheet1!B318)</f>
        <v>A.R.C.C- HERO(SMA)</v>
      </c>
      <c r="D128" s="34">
        <v>10000.0</v>
      </c>
      <c r="E128" s="49">
        <v>44664.0</v>
      </c>
      <c r="F128" s="34">
        <v>2.10381385198E11</v>
      </c>
      <c r="G128" s="34" t="s">
        <v>4003</v>
      </c>
      <c r="H128" s="34" t="s">
        <v>3950</v>
      </c>
      <c r="I128" s="50">
        <v>44664.76130787037</v>
      </c>
      <c r="J128" s="34" t="s">
        <v>3951</v>
      </c>
      <c r="K128" s="50">
        <v>44664.81459490741</v>
      </c>
      <c r="L128" s="34" t="s">
        <v>3952</v>
      </c>
      <c r="M128" s="34" t="s">
        <v>3953</v>
      </c>
      <c r="N128" s="34">
        <v>2.0220413181617E13</v>
      </c>
    </row>
    <row r="129">
      <c r="A129" s="30" t="s">
        <v>4235</v>
      </c>
      <c r="B129" s="25" t="str">
        <f>(Sheet1!A217)</f>
        <v>19J_y8BUN9RSe9TTg9cxKYBBv29Tfi7RwvKo8Va7MJRQ</v>
      </c>
      <c r="C129" s="25" t="str">
        <f>(Sheet1!B217)</f>
        <v>Kshitij Auto Wheelers - Mirzapur</v>
      </c>
      <c r="D129" s="34">
        <v>40000.0</v>
      </c>
      <c r="E129" s="49">
        <v>44664.0</v>
      </c>
      <c r="F129" s="34" t="s">
        <v>4236</v>
      </c>
      <c r="G129" s="34" t="s">
        <v>4062</v>
      </c>
      <c r="H129" s="34" t="s">
        <v>3950</v>
      </c>
      <c r="I129" s="50">
        <v>44665.47883101852</v>
      </c>
      <c r="J129" s="34" t="s">
        <v>3951</v>
      </c>
      <c r="K129" s="50">
        <v>44665.62486111111</v>
      </c>
      <c r="L129" s="34" t="s">
        <v>3952</v>
      </c>
      <c r="M129" s="34" t="s">
        <v>3953</v>
      </c>
      <c r="N129" s="34">
        <v>2.0220414112931E13</v>
      </c>
    </row>
    <row r="130">
      <c r="A130" s="30" t="s">
        <v>4237</v>
      </c>
      <c r="B130" s="25" t="str">
        <f>(Sheet1!A214)</f>
        <v>1cVGXbO2lp52NndvygvM_F7Cqcy0EMGxzT1ZUlpTQeiI</v>
      </c>
      <c r="C130" s="25" t="str">
        <f>(Sheet1!B214)</f>
        <v>BARABANKI MOTORS</v>
      </c>
      <c r="D130" s="34">
        <v>19500.0</v>
      </c>
      <c r="E130" s="49">
        <v>44665.0</v>
      </c>
      <c r="F130" s="34" t="s">
        <v>4238</v>
      </c>
      <c r="G130" s="34" t="s">
        <v>4131</v>
      </c>
      <c r="H130" s="34" t="s">
        <v>3950</v>
      </c>
      <c r="I130" s="50">
        <v>44665.508935185186</v>
      </c>
      <c r="J130" s="34" t="s">
        <v>3951</v>
      </c>
      <c r="K130" s="50">
        <v>44665.51688657407</v>
      </c>
      <c r="L130" s="34" t="s">
        <v>3952</v>
      </c>
      <c r="M130" s="34" t="s">
        <v>3953</v>
      </c>
      <c r="N130" s="34">
        <v>2.0220414121252E13</v>
      </c>
    </row>
    <row r="131">
      <c r="A131" s="30" t="s">
        <v>4239</v>
      </c>
      <c r="B131" s="25" t="str">
        <f>(Sheet1!A338)</f>
        <v>1LVFmg-oYUYvWwI6u3WOnpzEWG7hGErkioBifgg4ml3c</v>
      </c>
      <c r="C131" s="25" t="str">
        <f>(Sheet1!B338)</f>
        <v>J.M Motors- Forbesganj</v>
      </c>
      <c r="D131" s="34">
        <v>5000.0</v>
      </c>
      <c r="E131" s="49">
        <v>44665.0</v>
      </c>
      <c r="F131" s="34">
        <v>2.15249302E8</v>
      </c>
      <c r="G131" s="34" t="s">
        <v>4240</v>
      </c>
      <c r="H131" s="34" t="s">
        <v>3950</v>
      </c>
      <c r="I131" s="50">
        <v>44665.51259259259</v>
      </c>
      <c r="J131" s="34" t="s">
        <v>3951</v>
      </c>
      <c r="K131" s="50">
        <v>44665.51684027778</v>
      </c>
      <c r="L131" s="34" t="s">
        <v>3952</v>
      </c>
      <c r="M131" s="34" t="s">
        <v>3953</v>
      </c>
      <c r="N131" s="34">
        <v>2.0220414121808E13</v>
      </c>
    </row>
    <row r="132">
      <c r="A132" s="30" t="s">
        <v>4241</v>
      </c>
      <c r="B132" s="25" t="str">
        <f>(Sheet1!A296)</f>
        <v>1050xuIkuCwbciPjL7NYnIQd49nor1NbjSoUBzXpeVrU</v>
      </c>
      <c r="C132" s="25" t="str">
        <f>(Sheet1!B296)</f>
        <v>ARC HERO- MAHIPALPUR</v>
      </c>
      <c r="D132" s="34">
        <v>12000.0</v>
      </c>
      <c r="E132" s="49">
        <v>44665.0</v>
      </c>
      <c r="F132" s="34">
        <v>2.16964511E8</v>
      </c>
      <c r="G132" s="34" t="s">
        <v>3963</v>
      </c>
      <c r="H132" s="34" t="s">
        <v>3950</v>
      </c>
      <c r="I132" s="50">
        <v>44665.55608796296</v>
      </c>
      <c r="J132" s="34" t="s">
        <v>3951</v>
      </c>
      <c r="K132" s="50">
        <v>44665.56348379629</v>
      </c>
      <c r="L132" s="34" t="s">
        <v>3952</v>
      </c>
      <c r="M132" s="34" t="s">
        <v>3953</v>
      </c>
      <c r="N132" s="34">
        <v>2.0220414132046E13</v>
      </c>
    </row>
    <row r="133">
      <c r="A133" s="30" t="s">
        <v>4242</v>
      </c>
      <c r="B133" s="25" t="str">
        <f>(Sheet1!A330)</f>
        <v>1KWrdiOy0dFeVUlvkflxUZSwfdTKjD2WtnSGQxGgKBiw</v>
      </c>
      <c r="C133" s="25" t="str">
        <f>(Sheet1!B330)</f>
        <v>NAKODA AUTOMOBILES- JHABUA</v>
      </c>
      <c r="D133" s="34">
        <v>10000.0</v>
      </c>
      <c r="E133" s="49">
        <v>44665.0</v>
      </c>
      <c r="F133" s="34">
        <v>2.10412039515E11</v>
      </c>
      <c r="G133" s="34" t="s">
        <v>4092</v>
      </c>
      <c r="H133" s="34" t="s">
        <v>3950</v>
      </c>
      <c r="I133" s="50">
        <v>44665.55837962963</v>
      </c>
      <c r="J133" s="34" t="s">
        <v>3951</v>
      </c>
      <c r="K133" s="50">
        <v>44665.56355324074</v>
      </c>
      <c r="L133" s="34" t="s">
        <v>3952</v>
      </c>
      <c r="M133" s="34" t="s">
        <v>3953</v>
      </c>
      <c r="N133" s="34">
        <v>2.0220414132404E13</v>
      </c>
    </row>
    <row r="134">
      <c r="A134" s="30" t="s">
        <v>4243</v>
      </c>
      <c r="B134" s="25" t="str">
        <f>(Sheet1!A217)</f>
        <v>19J_y8BUN9RSe9TTg9cxKYBBv29Tfi7RwvKo8Va7MJRQ</v>
      </c>
      <c r="C134" s="25" t="str">
        <f>(Sheet1!B217)</f>
        <v>Kshitij Auto Wheelers - Mirzapur</v>
      </c>
      <c r="D134" s="34">
        <v>40000.0</v>
      </c>
      <c r="E134" s="49">
        <v>44665.0</v>
      </c>
      <c r="F134" s="34" t="s">
        <v>4244</v>
      </c>
      <c r="G134" s="34" t="s">
        <v>4176</v>
      </c>
      <c r="H134" s="34" t="s">
        <v>3950</v>
      </c>
      <c r="I134" s="50">
        <v>44666.46318287037</v>
      </c>
      <c r="J134" s="34" t="s">
        <v>3951</v>
      </c>
      <c r="K134" s="50">
        <v>44666.464479166665</v>
      </c>
      <c r="L134" s="34" t="s">
        <v>3952</v>
      </c>
      <c r="M134" s="34" t="s">
        <v>3953</v>
      </c>
      <c r="N134" s="34">
        <v>2.0220415110659E13</v>
      </c>
    </row>
    <row r="135">
      <c r="A135" s="30" t="s">
        <v>4245</v>
      </c>
      <c r="B135" s="25" t="str">
        <f>(Sheet1!A325)</f>
        <v>16tjO40jnriUy06QB22S0NR8Wknhx9T0lcBH_yEqsZIw</v>
      </c>
      <c r="C135" s="25" t="str">
        <f>(Sheet1!B325)</f>
        <v>TANUSHKA HERO- GWALIOR</v>
      </c>
      <c r="D135" s="34">
        <v>50000.0</v>
      </c>
      <c r="E135" s="49">
        <v>44666.0</v>
      </c>
      <c r="F135" s="34"/>
      <c r="G135" s="34" t="s">
        <v>4246</v>
      </c>
      <c r="H135" s="34" t="s">
        <v>3950</v>
      </c>
      <c r="I135" s="50">
        <v>44666.46760416667</v>
      </c>
      <c r="J135" s="34" t="s">
        <v>3951</v>
      </c>
      <c r="K135" s="50">
        <v>44666.475381944445</v>
      </c>
      <c r="L135" s="34" t="s">
        <v>3952</v>
      </c>
      <c r="M135" s="34" t="s">
        <v>3953</v>
      </c>
      <c r="N135" s="34">
        <v>2.0220415111321E13</v>
      </c>
    </row>
    <row r="136">
      <c r="A136" s="30" t="s">
        <v>4247</v>
      </c>
      <c r="B136" s="25" t="str">
        <f>(Sheet1!A218)</f>
        <v>1pIkLTEq99ZID0V0k8H0hOFXZDJQMaAoy2fsIol-e81k</v>
      </c>
      <c r="C136" s="25" t="str">
        <f>(Sheet1!B218)</f>
        <v>NITIN MATANHELIA - GORAKHPUR</v>
      </c>
      <c r="D136" s="34">
        <v>50000.0</v>
      </c>
      <c r="E136" s="49">
        <v>44666.0</v>
      </c>
      <c r="F136" s="34">
        <v>2.10512362067E11</v>
      </c>
      <c r="G136" s="34" t="s">
        <v>4248</v>
      </c>
      <c r="H136" s="34" t="s">
        <v>3950</v>
      </c>
      <c r="I136" s="50">
        <v>44666.535266203704</v>
      </c>
      <c r="J136" s="34" t="s">
        <v>3951</v>
      </c>
      <c r="K136" s="50">
        <v>44666.53631944444</v>
      </c>
      <c r="L136" s="34" t="s">
        <v>3952</v>
      </c>
      <c r="M136" s="34" t="s">
        <v>3953</v>
      </c>
      <c r="N136" s="34">
        <v>2.0220415125047E13</v>
      </c>
    </row>
    <row r="137">
      <c r="A137" s="30" t="s">
        <v>4249</v>
      </c>
      <c r="B137" s="25" t="str">
        <f>(Sheet1!A296)</f>
        <v>1050xuIkuCwbciPjL7NYnIQd49nor1NbjSoUBzXpeVrU</v>
      </c>
      <c r="C137" s="25" t="str">
        <f>(Sheet1!B296)</f>
        <v>ARC HERO- MAHIPALPUR</v>
      </c>
      <c r="D137" s="34">
        <v>18000.0</v>
      </c>
      <c r="E137" s="49">
        <v>44666.0</v>
      </c>
      <c r="F137" s="34">
        <v>1.30929284E8</v>
      </c>
      <c r="G137" s="34" t="s">
        <v>3963</v>
      </c>
      <c r="H137" s="34" t="s">
        <v>3950</v>
      </c>
      <c r="I137" s="50">
        <v>44666.54357638889</v>
      </c>
      <c r="J137" s="34" t="s">
        <v>3951</v>
      </c>
      <c r="K137" s="50">
        <v>44666.544375</v>
      </c>
      <c r="L137" s="34" t="s">
        <v>3952</v>
      </c>
      <c r="M137" s="34" t="s">
        <v>3953</v>
      </c>
      <c r="N137" s="34">
        <v>2.0220415130245E13</v>
      </c>
    </row>
    <row r="138">
      <c r="A138" s="30" t="s">
        <v>4250</v>
      </c>
      <c r="B138" s="25" t="str">
        <f>(Sheet1!A296)</f>
        <v>1050xuIkuCwbciPjL7NYnIQd49nor1NbjSoUBzXpeVrU</v>
      </c>
      <c r="C138" s="25" t="str">
        <f>(Sheet1!B296)</f>
        <v>ARC HERO- MAHIPALPUR</v>
      </c>
      <c r="D138" s="34">
        <v>24000.0</v>
      </c>
      <c r="E138" s="49">
        <v>44666.0</v>
      </c>
      <c r="F138" s="34">
        <v>1.33516756E8</v>
      </c>
      <c r="G138" s="34" t="s">
        <v>3963</v>
      </c>
      <c r="H138" s="34" t="s">
        <v>3950</v>
      </c>
      <c r="I138" s="50">
        <v>44666.65230324074</v>
      </c>
      <c r="J138" s="34" t="s">
        <v>3951</v>
      </c>
      <c r="K138" s="50">
        <v>44666.664606481485</v>
      </c>
      <c r="L138" s="34" t="s">
        <v>3952</v>
      </c>
      <c r="M138" s="34" t="s">
        <v>3953</v>
      </c>
      <c r="N138" s="34">
        <v>2.0220415153919E13</v>
      </c>
    </row>
    <row r="139">
      <c r="A139" s="30" t="s">
        <v>4251</v>
      </c>
      <c r="B139" s="25" t="str">
        <f>(Sheet1!A217)</f>
        <v>19J_y8BUN9RSe9TTg9cxKYBBv29Tfi7RwvKo8Va7MJRQ</v>
      </c>
      <c r="C139" s="25" t="str">
        <f>(Sheet1!B217)</f>
        <v>Kshitij Auto Wheelers - Mirzapur</v>
      </c>
      <c r="D139" s="34">
        <v>150000.0</v>
      </c>
      <c r="E139" s="49">
        <v>44667.0</v>
      </c>
      <c r="F139" s="34" t="s">
        <v>4252</v>
      </c>
      <c r="G139" s="34" t="s">
        <v>4039</v>
      </c>
      <c r="H139" s="34" t="s">
        <v>3950</v>
      </c>
      <c r="I139" s="50">
        <v>44667.51954861111</v>
      </c>
      <c r="J139" s="34" t="s">
        <v>3951</v>
      </c>
      <c r="K139" s="50">
        <v>44667.75709490741</v>
      </c>
      <c r="L139" s="34" t="s">
        <v>3952</v>
      </c>
      <c r="M139" s="34" t="s">
        <v>3953</v>
      </c>
      <c r="N139" s="34">
        <v>2.0220416122809E13</v>
      </c>
    </row>
    <row r="140">
      <c r="A140" s="30" t="s">
        <v>4253</v>
      </c>
      <c r="B140" s="25" t="str">
        <f>(Sheet1!A180)</f>
        <v>15if03Q4YLoDcHi2HznX5QBpY6yQHJPDyifJKxRYKV-8</v>
      </c>
      <c r="C140" s="25" t="str">
        <f>(Sheet1!B180)</f>
        <v>SATKAR HONDA - RUDRAPUR</v>
      </c>
      <c r="D140" s="34">
        <v>17680.0</v>
      </c>
      <c r="E140" s="49">
        <v>44667.0</v>
      </c>
      <c r="F140" s="34" t="s">
        <v>4254</v>
      </c>
      <c r="G140" s="34" t="s">
        <v>4255</v>
      </c>
      <c r="H140" s="34" t="s">
        <v>3950</v>
      </c>
      <c r="I140" s="50">
        <v>44667.72537037037</v>
      </c>
      <c r="J140" s="34" t="s">
        <v>3951</v>
      </c>
      <c r="K140" s="50">
        <v>44667.757048611114</v>
      </c>
      <c r="L140" s="34" t="s">
        <v>3952</v>
      </c>
      <c r="M140" s="34" t="s">
        <v>3953</v>
      </c>
      <c r="N140" s="34">
        <v>2.0220416172432E13</v>
      </c>
    </row>
    <row r="141">
      <c r="A141" s="30" t="s">
        <v>4256</v>
      </c>
      <c r="B141" s="25" t="str">
        <f>(Sheet1!A296)</f>
        <v>1050xuIkuCwbciPjL7NYnIQd49nor1NbjSoUBzXpeVrU</v>
      </c>
      <c r="C141" s="25" t="str">
        <f>(Sheet1!B296)</f>
        <v>ARC HERO- MAHIPALPUR</v>
      </c>
      <c r="D141" s="34">
        <v>12000.0</v>
      </c>
      <c r="E141" s="49">
        <v>44667.0</v>
      </c>
      <c r="F141" s="34">
        <v>3.51212506E8</v>
      </c>
      <c r="G141" s="34" t="s">
        <v>3963</v>
      </c>
      <c r="H141" s="34" t="s">
        <v>3950</v>
      </c>
      <c r="I141" s="50">
        <v>44667.754699074074</v>
      </c>
      <c r="J141" s="34" t="s">
        <v>3951</v>
      </c>
      <c r="K141" s="50">
        <v>44667.75701388889</v>
      </c>
      <c r="L141" s="34" t="s">
        <v>3952</v>
      </c>
      <c r="M141" s="34" t="s">
        <v>3953</v>
      </c>
      <c r="N141" s="34">
        <v>2.0220416180646E13</v>
      </c>
    </row>
    <row r="142">
      <c r="A142" s="30" t="s">
        <v>4257</v>
      </c>
      <c r="B142" s="25" t="str">
        <f>(Sheet1!A296)</f>
        <v>1050xuIkuCwbciPjL7NYnIQd49nor1NbjSoUBzXpeVrU</v>
      </c>
      <c r="C142" s="25" t="str">
        <f>(Sheet1!B296)</f>
        <v>ARC HERO- MAHIPALPUR</v>
      </c>
      <c r="D142" s="34">
        <v>30000.0</v>
      </c>
      <c r="E142" s="49">
        <v>44668.0</v>
      </c>
      <c r="F142" s="34">
        <v>2.56986038E8</v>
      </c>
      <c r="G142" s="34" t="s">
        <v>3963</v>
      </c>
      <c r="H142" s="34" t="s">
        <v>3950</v>
      </c>
      <c r="I142" s="50">
        <v>44668.46349537037</v>
      </c>
      <c r="J142" s="34" t="s">
        <v>3951</v>
      </c>
      <c r="K142" s="50">
        <v>44668.46434027778</v>
      </c>
      <c r="L142" s="34" t="s">
        <v>3952</v>
      </c>
      <c r="M142" s="34" t="s">
        <v>3953</v>
      </c>
      <c r="N142" s="34">
        <v>2.0220417110726E13</v>
      </c>
    </row>
    <row r="143">
      <c r="A143" s="30" t="s">
        <v>4258</v>
      </c>
      <c r="B143" s="25" t="str">
        <f>(Sheet1!A343)</f>
        <v>1QVBShIrTLBej8s_qXhBmCICNAN5JsR5KakezwfMLZV0</v>
      </c>
      <c r="C143" s="25" t="str">
        <f>(Sheet1!B343)</f>
        <v>ANAS MOTORS- SUPAUL</v>
      </c>
      <c r="D143" s="34">
        <v>25000.0</v>
      </c>
      <c r="E143" s="49">
        <v>44668.0</v>
      </c>
      <c r="F143" s="34">
        <v>2.10715982606E11</v>
      </c>
      <c r="G143" s="34" t="s">
        <v>4259</v>
      </c>
      <c r="H143" s="34" t="s">
        <v>3950</v>
      </c>
      <c r="I143" s="50">
        <v>44668.64616898148</v>
      </c>
      <c r="J143" s="34" t="s">
        <v>3951</v>
      </c>
      <c r="K143" s="50">
        <v>44668.64726851852</v>
      </c>
      <c r="L143" s="34" t="s">
        <v>3952</v>
      </c>
      <c r="M143" s="34" t="s">
        <v>3953</v>
      </c>
      <c r="N143" s="34">
        <v>2.0220417153029E13</v>
      </c>
    </row>
    <row r="144">
      <c r="A144" s="30" t="s">
        <v>4260</v>
      </c>
      <c r="B144" s="25" t="str">
        <f>(Sheet1!A171)</f>
        <v>1kKJQREB-gMUjjfvkNJBZGf8b6FppISEs2byO4uZriFc</v>
      </c>
      <c r="C144" s="25" t="str">
        <f>(Sheet1!B171)</f>
        <v>Navya Motors - Gorakhpur</v>
      </c>
      <c r="D144" s="34">
        <v>50000.0</v>
      </c>
      <c r="E144" s="49">
        <v>44669.0</v>
      </c>
      <c r="F144" s="34">
        <v>1.70725042E8</v>
      </c>
      <c r="G144" s="34" t="s">
        <v>4261</v>
      </c>
      <c r="H144" s="34" t="s">
        <v>3950</v>
      </c>
      <c r="I144" s="50">
        <v>44669.51464120371</v>
      </c>
      <c r="J144" s="34" t="s">
        <v>3951</v>
      </c>
      <c r="K144" s="50">
        <v>44669.515381944446</v>
      </c>
      <c r="L144" s="34" t="s">
        <v>3952</v>
      </c>
      <c r="M144" s="34" t="s">
        <v>3953</v>
      </c>
      <c r="N144" s="34">
        <v>2.0220418122105E13</v>
      </c>
    </row>
    <row r="145">
      <c r="A145" s="30" t="s">
        <v>4262</v>
      </c>
      <c r="B145" s="25" t="str">
        <f>(Sheet1!A328)</f>
        <v>1mxT1doFWSIKC49QGKrgrgC6fUkICfT4DLlAcSQC9Pc4</v>
      </c>
      <c r="C145" s="25" t="str">
        <f>(Sheet1!B328)</f>
        <v>KSHIPRA HERO-UJJAIN</v>
      </c>
      <c r="D145" s="34">
        <v>25000.0</v>
      </c>
      <c r="E145" s="49">
        <v>44669.0</v>
      </c>
      <c r="F145" s="34">
        <v>1.35737223E8</v>
      </c>
      <c r="G145" s="34" t="s">
        <v>4073</v>
      </c>
      <c r="H145" s="34" t="s">
        <v>3950</v>
      </c>
      <c r="I145" s="50">
        <v>44669.540914351855</v>
      </c>
      <c r="J145" s="34" t="s">
        <v>3951</v>
      </c>
      <c r="K145" s="50">
        <v>44669.58762731482</v>
      </c>
      <c r="L145" s="34" t="s">
        <v>3952</v>
      </c>
      <c r="M145" s="34" t="s">
        <v>3953</v>
      </c>
      <c r="N145" s="34">
        <v>2.0220418125855E13</v>
      </c>
    </row>
    <row r="146">
      <c r="A146" s="30" t="s">
        <v>4263</v>
      </c>
      <c r="B146" s="25" t="str">
        <f>(Sheet1!A318)</f>
        <v>1YAU91TFMaYFp0IiAMJOnSMw_yeIgNk_GdChvblrhYL8</v>
      </c>
      <c r="C146" s="25" t="str">
        <f>(Sheet1!B318)</f>
        <v>A.R.C.C- HERO(SMA)</v>
      </c>
      <c r="D146" s="34">
        <v>10000.0</v>
      </c>
      <c r="E146" s="49">
        <v>44669.0</v>
      </c>
      <c r="F146" s="34">
        <v>2.10863513493E11</v>
      </c>
      <c r="G146" s="34" t="s">
        <v>4264</v>
      </c>
      <c r="H146" s="34" t="s">
        <v>3950</v>
      </c>
      <c r="I146" s="50">
        <v>44669.5883912037</v>
      </c>
      <c r="J146" s="34" t="s">
        <v>3951</v>
      </c>
      <c r="K146" s="50">
        <v>44669.59206018518</v>
      </c>
      <c r="L146" s="34" t="s">
        <v>3952</v>
      </c>
      <c r="M146" s="34" t="s">
        <v>3953</v>
      </c>
      <c r="N146" s="34">
        <v>2.0220418140717E13</v>
      </c>
    </row>
    <row r="147">
      <c r="A147" s="30" t="s">
        <v>4265</v>
      </c>
      <c r="B147" s="25" t="str">
        <f>(Sheet1!A214)</f>
        <v>1cVGXbO2lp52NndvygvM_F7Cqcy0EMGxzT1ZUlpTQeiI</v>
      </c>
      <c r="C147" s="25" t="str">
        <f>(Sheet1!B214)</f>
        <v>BARABANKI MOTORS</v>
      </c>
      <c r="D147" s="34">
        <v>19500.0</v>
      </c>
      <c r="E147" s="49">
        <v>44669.0</v>
      </c>
      <c r="F147" s="34" t="s">
        <v>4266</v>
      </c>
      <c r="G147" s="34" t="s">
        <v>4131</v>
      </c>
      <c r="H147" s="34" t="s">
        <v>3950</v>
      </c>
      <c r="I147" s="50">
        <v>44669.63109953704</v>
      </c>
      <c r="J147" s="34" t="s">
        <v>3951</v>
      </c>
      <c r="K147" s="50">
        <v>44669.632152777776</v>
      </c>
      <c r="L147" s="34" t="s">
        <v>3952</v>
      </c>
      <c r="M147" s="34" t="s">
        <v>3953</v>
      </c>
      <c r="N147" s="34">
        <v>2.0220418150847E13</v>
      </c>
    </row>
    <row r="148">
      <c r="A148" s="30" t="s">
        <v>4267</v>
      </c>
      <c r="B148" s="25" t="str">
        <f>(Sheet1!A8)</f>
        <v>150xD2ZWlv_NqqijpFlWWgIoGhpbdGM3zmaQdQAd1q5M</v>
      </c>
      <c r="C148" s="25" t="str">
        <f>(Sheet1!B8)</f>
        <v>Singla Automobiles (Main Branch)</v>
      </c>
      <c r="D148" s="34">
        <v>45000.0</v>
      </c>
      <c r="E148" s="49">
        <v>44669.0</v>
      </c>
      <c r="F148" s="34">
        <v>1.79354039E8</v>
      </c>
      <c r="G148" s="34" t="s">
        <v>3977</v>
      </c>
      <c r="H148" s="34" t="s">
        <v>3950</v>
      </c>
      <c r="I148" s="50">
        <v>44669.70447916666</v>
      </c>
      <c r="J148" s="34" t="s">
        <v>3951</v>
      </c>
      <c r="K148" s="50">
        <v>44669.70894675926</v>
      </c>
      <c r="L148" s="34" t="s">
        <v>3952</v>
      </c>
      <c r="M148" s="34" t="s">
        <v>3953</v>
      </c>
      <c r="N148" s="34">
        <v>2.0220418165427E13</v>
      </c>
    </row>
    <row r="149">
      <c r="A149" s="30" t="s">
        <v>4268</v>
      </c>
      <c r="B149" s="25" t="str">
        <f>(Sheet1!A335)</f>
        <v>1r0KUrXS28gDx7-fgD3zjnrel7PaC3KXGiEtHPv0wv_M</v>
      </c>
      <c r="C149" s="25" t="str">
        <f>(Sheet1!B335)</f>
        <v>PAL ENTERPRISE- VIDISHA</v>
      </c>
      <c r="D149" s="34">
        <v>25000.0</v>
      </c>
      <c r="E149" s="49">
        <v>44669.0</v>
      </c>
      <c r="F149" s="34" t="s">
        <v>4269</v>
      </c>
      <c r="G149" s="34" t="s">
        <v>4134</v>
      </c>
      <c r="H149" s="34" t="s">
        <v>3950</v>
      </c>
      <c r="I149" s="50">
        <v>44669.70556712963</v>
      </c>
      <c r="J149" s="34" t="s">
        <v>3951</v>
      </c>
      <c r="K149" s="50">
        <v>44669.709131944444</v>
      </c>
      <c r="L149" s="34" t="s">
        <v>3952</v>
      </c>
      <c r="M149" s="34" t="s">
        <v>3953</v>
      </c>
      <c r="N149" s="34">
        <v>2.0220418165601E13</v>
      </c>
    </row>
    <row r="150">
      <c r="A150" s="30" t="s">
        <v>4270</v>
      </c>
      <c r="B150" s="25" t="str">
        <f>(Sheet1!A320)</f>
        <v>12q3xzc4QnJvovb5WwDYonjwLc2kiwxvpEYShhfp6tf4</v>
      </c>
      <c r="C150" s="25" t="str">
        <f>(Sheet1!B320)</f>
        <v>Metro Motors- Narela(MMR)</v>
      </c>
      <c r="D150" s="34">
        <v>100000.0</v>
      </c>
      <c r="E150" s="49">
        <v>44669.0</v>
      </c>
      <c r="F150" s="34">
        <v>2.10817400947E11</v>
      </c>
      <c r="G150" s="34" t="s">
        <v>4271</v>
      </c>
      <c r="H150" s="34" t="s">
        <v>3950</v>
      </c>
      <c r="I150" s="50">
        <v>44669.74744212963</v>
      </c>
      <c r="J150" s="34" t="s">
        <v>3951</v>
      </c>
      <c r="K150" s="50">
        <v>44669.74853009259</v>
      </c>
      <c r="L150" s="34" t="s">
        <v>3952</v>
      </c>
      <c r="M150" s="34" t="s">
        <v>3953</v>
      </c>
      <c r="N150" s="34">
        <v>2.0220418175619E13</v>
      </c>
    </row>
    <row r="151">
      <c r="A151" s="30" t="s">
        <v>4272</v>
      </c>
      <c r="B151" s="25" t="str">
        <f>(Sheet1!A8)</f>
        <v>150xD2ZWlv_NqqijpFlWWgIoGhpbdGM3zmaQdQAd1q5M</v>
      </c>
      <c r="C151" s="25" t="str">
        <f>(Sheet1!B8)</f>
        <v>Singla Automobiles (Main Branch)</v>
      </c>
      <c r="D151" s="34">
        <v>35000.0</v>
      </c>
      <c r="E151" s="49">
        <v>44669.0</v>
      </c>
      <c r="F151" s="34">
        <v>1.81493421E8</v>
      </c>
      <c r="G151" s="34" t="s">
        <v>3977</v>
      </c>
      <c r="H151" s="34" t="s">
        <v>3950</v>
      </c>
      <c r="I151" s="50">
        <v>44669.768599537034</v>
      </c>
      <c r="J151" s="34" t="s">
        <v>3951</v>
      </c>
      <c r="K151" s="50">
        <v>44669.769375</v>
      </c>
      <c r="L151" s="34" t="s">
        <v>3952</v>
      </c>
      <c r="M151" s="34" t="s">
        <v>3953</v>
      </c>
      <c r="N151" s="34">
        <v>2.0220418182647E13</v>
      </c>
    </row>
    <row r="152">
      <c r="A152" s="30" t="s">
        <v>4273</v>
      </c>
      <c r="B152" s="25" t="str">
        <f>(Sheet1!A336)</f>
        <v>1BMhoyJRK7DCg_LO256ufPw72_BuKa1iu3f1v8JCofH0</v>
      </c>
      <c r="C152" s="25" t="str">
        <f>(Sheet1!B336)</f>
        <v>North Bihar Agro Agencies</v>
      </c>
      <c r="D152" s="34">
        <v>10000.0</v>
      </c>
      <c r="E152" s="49">
        <v>44670.0</v>
      </c>
      <c r="F152" s="34" t="s">
        <v>4274</v>
      </c>
      <c r="G152" s="34" t="s">
        <v>4067</v>
      </c>
      <c r="H152" s="34" t="s">
        <v>3950</v>
      </c>
      <c r="I152" s="50">
        <v>44670.46449074074</v>
      </c>
      <c r="J152" s="34" t="s">
        <v>3951</v>
      </c>
      <c r="K152" s="50">
        <v>44670.51542824074</v>
      </c>
      <c r="L152" s="34" t="s">
        <v>3952</v>
      </c>
      <c r="M152" s="34" t="s">
        <v>3953</v>
      </c>
      <c r="N152" s="34">
        <v>2.0220419110852E13</v>
      </c>
    </row>
    <row r="153">
      <c r="A153" s="30" t="s">
        <v>4275</v>
      </c>
      <c r="B153" s="25" t="str">
        <f>(Sheet1!A130)</f>
        <v>1dV47fJN9zfoEbGvv71kLmpN6o-gQtGRvXq4lwNICvVc</v>
      </c>
      <c r="C153" s="25" t="str">
        <f>(Sheet1!B130)</f>
        <v>Dhansri Motors - Noida</v>
      </c>
      <c r="D153" s="34">
        <v>50000.0</v>
      </c>
      <c r="E153" s="49">
        <v>44670.0</v>
      </c>
      <c r="F153" s="34" t="s">
        <v>4276</v>
      </c>
      <c r="G153" s="34" t="s">
        <v>4277</v>
      </c>
      <c r="H153" s="34" t="s">
        <v>3950</v>
      </c>
      <c r="I153" s="50">
        <v>44670.51159722222</v>
      </c>
      <c r="J153" s="34" t="s">
        <v>3951</v>
      </c>
      <c r="K153" s="50">
        <v>44670.51547453704</v>
      </c>
      <c r="L153" s="34" t="s">
        <v>3952</v>
      </c>
      <c r="M153" s="34" t="s">
        <v>3953</v>
      </c>
      <c r="N153" s="34">
        <v>2.0220419121642E13</v>
      </c>
    </row>
    <row r="154">
      <c r="A154" s="30" t="s">
        <v>4278</v>
      </c>
      <c r="B154" s="25" t="str">
        <f>(Sheet1!A269)</f>
        <v>1Ql_6BdBcHGAyITSZt1pNUK3bW54CzeThIBXr7aH7K3Y</v>
      </c>
      <c r="C154" s="25" t="str">
        <f>(Sheet1!B269)</f>
        <v>Gupta Automobiles - Padrauna</v>
      </c>
      <c r="D154" s="34">
        <v>200000.0</v>
      </c>
      <c r="E154" s="49">
        <v>44670.0</v>
      </c>
      <c r="F154" s="34" t="s">
        <v>4279</v>
      </c>
      <c r="G154" s="34" t="s">
        <v>4280</v>
      </c>
      <c r="H154" s="34" t="s">
        <v>3950</v>
      </c>
      <c r="I154" s="50">
        <v>44670.513657407406</v>
      </c>
      <c r="J154" s="34" t="s">
        <v>3951</v>
      </c>
      <c r="K154" s="50">
        <v>44670.515543981484</v>
      </c>
      <c r="L154" s="34" t="s">
        <v>3952</v>
      </c>
      <c r="M154" s="34" t="s">
        <v>3953</v>
      </c>
      <c r="N154" s="34">
        <v>2.022041912194E13</v>
      </c>
    </row>
    <row r="155">
      <c r="A155" s="30" t="s">
        <v>4281</v>
      </c>
      <c r="B155" s="25" t="str">
        <f>(Sheet1!A184)</f>
        <v>1hlnCiW64Y7uZNVOj2ewyfTULbWj1dUaXX2rUREx8W8o</v>
      </c>
      <c r="C155" s="25" t="str">
        <f>(Sheet1!B184)</f>
        <v>Asha Motor - Kannauj</v>
      </c>
      <c r="D155" s="34">
        <v>200000.0</v>
      </c>
      <c r="E155" s="49">
        <v>44670.0</v>
      </c>
      <c r="F155" s="34">
        <v>5.36149309E8</v>
      </c>
      <c r="G155" s="34" t="s">
        <v>4282</v>
      </c>
      <c r="H155" s="34" t="s">
        <v>3950</v>
      </c>
      <c r="I155" s="50">
        <v>44670.57885416667</v>
      </c>
      <c r="J155" s="34" t="s">
        <v>3951</v>
      </c>
      <c r="K155" s="50">
        <v>44670.58195601852</v>
      </c>
      <c r="L155" s="34" t="s">
        <v>3952</v>
      </c>
      <c r="M155" s="34" t="s">
        <v>3953</v>
      </c>
      <c r="N155" s="34">
        <v>2.0220419135333E13</v>
      </c>
    </row>
    <row r="156">
      <c r="A156" s="30" t="s">
        <v>4283</v>
      </c>
      <c r="B156" s="25" t="str">
        <f>(Sheet1!A8)</f>
        <v>150xD2ZWlv_NqqijpFlWWgIoGhpbdGM3zmaQdQAd1q5M</v>
      </c>
      <c r="C156" s="25" t="str">
        <f>(Sheet1!B8)</f>
        <v>Singla Automobiles (Main Branch)</v>
      </c>
      <c r="D156" s="34">
        <v>65000.0</v>
      </c>
      <c r="E156" s="49">
        <v>44670.0</v>
      </c>
      <c r="F156" s="34"/>
      <c r="G156" s="34" t="s">
        <v>3977</v>
      </c>
      <c r="H156" s="34" t="s">
        <v>3950</v>
      </c>
      <c r="I156" s="50">
        <v>44670.57954861111</v>
      </c>
      <c r="J156" s="34" t="s">
        <v>3951</v>
      </c>
      <c r="K156" s="50">
        <v>44670.58186342593</v>
      </c>
      <c r="L156" s="34" t="s">
        <v>3952</v>
      </c>
      <c r="M156" s="34" t="s">
        <v>3953</v>
      </c>
      <c r="N156" s="34">
        <v>2.0220419135433E13</v>
      </c>
    </row>
    <row r="157">
      <c r="A157" s="30" t="s">
        <v>4284</v>
      </c>
      <c r="B157" s="25" t="str">
        <f>(Sheet1!A344)</f>
        <v>1lHqETbIH4pLQdUL2QQgIDownEvMU9QozqqnIMcLSCfg</v>
      </c>
      <c r="C157" s="25" t="str">
        <f>(Sheet1!B344)</f>
        <v>SHRI RAM AUTOMOBILES - HATPIPLIYA</v>
      </c>
      <c r="D157" s="34">
        <v>10000.0</v>
      </c>
      <c r="E157" s="49">
        <v>44670.0</v>
      </c>
      <c r="F157" s="34" t="s">
        <v>4285</v>
      </c>
      <c r="G157" s="34" t="s">
        <v>4286</v>
      </c>
      <c r="H157" s="34" t="s">
        <v>3950</v>
      </c>
      <c r="I157" s="50">
        <v>44670.63892361111</v>
      </c>
      <c r="J157" s="34" t="s">
        <v>3951</v>
      </c>
      <c r="K157" s="50">
        <v>44670.6425</v>
      </c>
      <c r="L157" s="34" t="s">
        <v>3952</v>
      </c>
      <c r="M157" s="34" t="s">
        <v>3953</v>
      </c>
      <c r="N157" s="34">
        <v>2.0220419152003E13</v>
      </c>
    </row>
    <row r="158">
      <c r="A158" s="30" t="s">
        <v>4287</v>
      </c>
      <c r="B158" s="25" t="str">
        <f>(Sheet1!A181)</f>
        <v>1Bn0dgc_QYbF664LnJPJT-IEcqhx5gMA1AtzkRyd3ZGA</v>
      </c>
      <c r="C158" s="25" t="str">
        <f>(Sheet1!B181)</f>
        <v>Jai Automobiles - Akbarpur</v>
      </c>
      <c r="D158" s="34">
        <v>200000.0</v>
      </c>
      <c r="E158" s="49">
        <v>44670.0</v>
      </c>
      <c r="F158" s="34">
        <v>2766.0</v>
      </c>
      <c r="G158" s="34" t="s">
        <v>4288</v>
      </c>
      <c r="H158" s="34" t="s">
        <v>3950</v>
      </c>
      <c r="I158" s="50">
        <v>44670.64098379629</v>
      </c>
      <c r="J158" s="34" t="s">
        <v>3951</v>
      </c>
      <c r="K158" s="50">
        <v>44670.64255787037</v>
      </c>
      <c r="L158" s="34" t="s">
        <v>3952</v>
      </c>
      <c r="M158" s="34" t="s">
        <v>3953</v>
      </c>
      <c r="N158" s="34">
        <v>2.0220419152301E13</v>
      </c>
    </row>
    <row r="159">
      <c r="A159" s="30" t="s">
        <v>4289</v>
      </c>
      <c r="B159" s="25" t="str">
        <f>(Sheet1!A222)</f>
        <v>1Y48WevU4dZlpN_oRadqFSD4ED20x97CYUdeAzWdn3go</v>
      </c>
      <c r="C159" s="25" t="str">
        <f>(Sheet1!B222)</f>
        <v>Mahalaxmi TVS- AHEMDABAD</v>
      </c>
      <c r="D159" s="34">
        <v>50000.0</v>
      </c>
      <c r="E159" s="49">
        <v>44670.0</v>
      </c>
      <c r="F159" s="34">
        <v>2.10916503242E11</v>
      </c>
      <c r="G159" s="34" t="s">
        <v>4290</v>
      </c>
      <c r="H159" s="34" t="s">
        <v>3950</v>
      </c>
      <c r="I159" s="50">
        <v>44670.68195601852</v>
      </c>
      <c r="J159" s="34" t="s">
        <v>3951</v>
      </c>
      <c r="K159" s="50">
        <v>44670.80658564815</v>
      </c>
      <c r="L159" s="34" t="s">
        <v>3952</v>
      </c>
      <c r="M159" s="34" t="s">
        <v>3953</v>
      </c>
      <c r="N159" s="34">
        <v>2.0220419162201E13</v>
      </c>
    </row>
    <row r="160">
      <c r="A160" s="30" t="s">
        <v>4291</v>
      </c>
      <c r="B160" s="25" t="str">
        <f>(Sheet1!A296)</f>
        <v>1050xuIkuCwbciPjL7NYnIQd49nor1NbjSoUBzXpeVrU</v>
      </c>
      <c r="C160" s="25" t="str">
        <f>(Sheet1!B296)</f>
        <v>ARC HERO- MAHIPALPUR</v>
      </c>
      <c r="D160" s="34">
        <v>7000.0</v>
      </c>
      <c r="E160" s="49">
        <v>44670.0</v>
      </c>
      <c r="F160" s="34">
        <v>3.018964E8</v>
      </c>
      <c r="G160" s="34" t="s">
        <v>3963</v>
      </c>
      <c r="H160" s="34" t="s">
        <v>3950</v>
      </c>
      <c r="I160" s="50">
        <v>44670.71755787037</v>
      </c>
      <c r="J160" s="34" t="s">
        <v>3951</v>
      </c>
      <c r="K160" s="50">
        <v>44670.722349537034</v>
      </c>
      <c r="L160" s="34" t="s">
        <v>3952</v>
      </c>
      <c r="M160" s="34" t="s">
        <v>3953</v>
      </c>
      <c r="N160" s="34">
        <v>2.0220419171317E13</v>
      </c>
    </row>
    <row r="161">
      <c r="A161" s="30" t="s">
        <v>4292</v>
      </c>
      <c r="B161" s="25" t="str">
        <f>(Sheet1!A339)</f>
        <v>1fHCHQnIWmfXqP4jwi-agXjfK1q2zM0BUeG3fwB0qApc</v>
      </c>
      <c r="C161" s="25" t="str">
        <f>(Sheet1!B339)</f>
        <v>Mahabir Automobiles -Sultanpur</v>
      </c>
      <c r="D161" s="34">
        <v>20000.0</v>
      </c>
      <c r="E161" s="49">
        <v>44671.0</v>
      </c>
      <c r="F161" s="34" t="s">
        <v>4293</v>
      </c>
      <c r="G161" s="34" t="s">
        <v>4294</v>
      </c>
      <c r="H161" s="34" t="s">
        <v>3950</v>
      </c>
      <c r="I161" s="50">
        <v>44671.43707175926</v>
      </c>
      <c r="J161" s="34" t="s">
        <v>3951</v>
      </c>
      <c r="K161" s="50">
        <v>44671.440092592595</v>
      </c>
      <c r="L161" s="34" t="s">
        <v>3952</v>
      </c>
      <c r="M161" s="34" t="s">
        <v>3953</v>
      </c>
      <c r="N161" s="34">
        <v>2.0220420102923E13</v>
      </c>
    </row>
    <row r="162">
      <c r="A162" s="30" t="s">
        <v>4295</v>
      </c>
      <c r="B162" s="25" t="str">
        <f>(Sheet1!A357)</f>
        <v>1zpjD0n2MDMpnv6d3XmAb2OMfLjhiWI0P_3JnMudl7oI</v>
      </c>
      <c r="C162" s="25" t="str">
        <f>(Sheet1!B357)</f>
        <v>BHARAT HERO - ISLAMPUR</v>
      </c>
      <c r="D162" s="34">
        <v>1000.0</v>
      </c>
      <c r="E162" s="49">
        <v>44671.0</v>
      </c>
      <c r="F162" s="34" t="s">
        <v>4296</v>
      </c>
      <c r="G162" s="34" t="s">
        <v>4296</v>
      </c>
      <c r="H162" s="34" t="s">
        <v>4071</v>
      </c>
      <c r="I162" s="50">
        <v>44671.550532407404</v>
      </c>
      <c r="J162" s="34" t="s">
        <v>3951</v>
      </c>
      <c r="K162" s="50">
        <v>44671.551099537035</v>
      </c>
      <c r="L162" s="34" t="s">
        <v>3952</v>
      </c>
      <c r="M162" s="34" t="s">
        <v>3812</v>
      </c>
      <c r="N162" s="34">
        <v>2.0220420131246E13</v>
      </c>
    </row>
    <row r="163">
      <c r="A163" s="30" t="s">
        <v>4297</v>
      </c>
      <c r="B163" s="25" t="str">
        <f>(Sheet1!A318)</f>
        <v>1YAU91TFMaYFp0IiAMJOnSMw_yeIgNk_GdChvblrhYL8</v>
      </c>
      <c r="C163" s="25" t="str">
        <f>(Sheet1!B318)</f>
        <v>A.R.C.C- HERO(SMA)</v>
      </c>
      <c r="D163" s="34">
        <v>10000.0</v>
      </c>
      <c r="E163" s="49">
        <v>44671.0</v>
      </c>
      <c r="F163" s="34">
        <v>2.11000036208E11</v>
      </c>
      <c r="G163" s="34" t="s">
        <v>4003</v>
      </c>
      <c r="H163" s="34" t="s">
        <v>3950</v>
      </c>
      <c r="I163" s="50">
        <v>44671.60429398148</v>
      </c>
      <c r="J163" s="34" t="s">
        <v>3951</v>
      </c>
      <c r="K163" s="50">
        <v>44671.60525462963</v>
      </c>
      <c r="L163" s="34" t="s">
        <v>3952</v>
      </c>
      <c r="M163" s="34" t="s">
        <v>3953</v>
      </c>
      <c r="N163" s="34">
        <v>2.0220420143011E13</v>
      </c>
    </row>
    <row r="164">
      <c r="A164" s="30" t="s">
        <v>4298</v>
      </c>
      <c r="B164" s="25" t="str">
        <f>(Sheet1!A151)</f>
        <v>1Gr4Dqm3VC_aFirTVGJtSHZmd3Y6Hkd8pWAN1HsALU_o</v>
      </c>
      <c r="C164" s="25" t="str">
        <f>(Sheet1!B151)</f>
        <v>Jay Kumar Arun Kumar Hero - Meerut</v>
      </c>
      <c r="D164" s="34">
        <v>723867.0</v>
      </c>
      <c r="E164" s="49">
        <v>44671.0</v>
      </c>
      <c r="F164" s="34" t="s">
        <v>4299</v>
      </c>
      <c r="G164" s="34" t="s">
        <v>4300</v>
      </c>
      <c r="H164" s="34" t="s">
        <v>3950</v>
      </c>
      <c r="I164" s="50">
        <v>44671.68240740741</v>
      </c>
      <c r="J164" s="34" t="s">
        <v>3951</v>
      </c>
      <c r="K164" s="50">
        <v>44671.713472222225</v>
      </c>
      <c r="L164" s="34" t="s">
        <v>3952</v>
      </c>
      <c r="M164" s="34" t="s">
        <v>3953</v>
      </c>
      <c r="N164" s="34">
        <v>2.022042016224E13</v>
      </c>
    </row>
    <row r="165">
      <c r="A165" s="30" t="s">
        <v>4301</v>
      </c>
      <c r="B165" s="25" t="str">
        <f>(Sheet1!A121)</f>
        <v>1egrFzds1dA_qcyd-YeJKBrt74ORJ0Jzk4cfbN-wYoKI</v>
      </c>
      <c r="C165" s="25" t="str">
        <f>(Sheet1!B121)</f>
        <v>Venus Hero Venture - Firozabad</v>
      </c>
      <c r="D165" s="34">
        <v>100000.0</v>
      </c>
      <c r="E165" s="49">
        <v>44671.0</v>
      </c>
      <c r="F165" s="34" t="s">
        <v>4302</v>
      </c>
      <c r="G165" s="34" t="s">
        <v>4303</v>
      </c>
      <c r="H165" s="34" t="s">
        <v>3950</v>
      </c>
      <c r="I165" s="50">
        <v>44671.68445601852</v>
      </c>
      <c r="J165" s="34" t="s">
        <v>3951</v>
      </c>
      <c r="K165" s="50">
        <v>44671.713587962964</v>
      </c>
      <c r="L165" s="34" t="s">
        <v>3952</v>
      </c>
      <c r="M165" s="34" t="s">
        <v>3953</v>
      </c>
      <c r="N165" s="34">
        <v>2.0220420162537E13</v>
      </c>
    </row>
    <row r="166">
      <c r="A166" s="30" t="s">
        <v>4304</v>
      </c>
      <c r="B166" s="25" t="str">
        <f>(Sheet1!A329)</f>
        <v>1Glot5DmufEUxf7sEoY2RAdbIWFVDuW2SHPtNIbHYEdc</v>
      </c>
      <c r="C166" s="25" t="str">
        <f>(Sheet1!B329)</f>
        <v>UPPER INDIA -DELHI</v>
      </c>
      <c r="D166" s="34">
        <v>30000.0</v>
      </c>
      <c r="E166" s="49">
        <v>44671.0</v>
      </c>
      <c r="F166" s="34">
        <v>1.19323857E8</v>
      </c>
      <c r="G166" s="34" t="s">
        <v>4305</v>
      </c>
      <c r="H166" s="34" t="s">
        <v>3950</v>
      </c>
      <c r="I166" s="50">
        <v>44671.685949074075</v>
      </c>
      <c r="J166" s="34" t="s">
        <v>3951</v>
      </c>
      <c r="K166" s="50">
        <v>44671.713692129626</v>
      </c>
      <c r="L166" s="34" t="s">
        <v>3952</v>
      </c>
      <c r="M166" s="34" t="s">
        <v>3953</v>
      </c>
      <c r="N166" s="34">
        <v>2.0220420162746E13</v>
      </c>
    </row>
    <row r="167">
      <c r="A167" s="30" t="s">
        <v>4306</v>
      </c>
      <c r="B167" s="25" t="str">
        <f>(Sheet1!A214)</f>
        <v>1cVGXbO2lp52NndvygvM_F7Cqcy0EMGxzT1ZUlpTQeiI</v>
      </c>
      <c r="C167" s="25" t="str">
        <f>(Sheet1!B214)</f>
        <v>BARABANKI MOTORS</v>
      </c>
      <c r="D167" s="34">
        <v>19500.0</v>
      </c>
      <c r="E167" s="49">
        <v>44671.0</v>
      </c>
      <c r="F167" s="34" t="s">
        <v>4307</v>
      </c>
      <c r="G167" s="34" t="s">
        <v>4308</v>
      </c>
      <c r="H167" s="34" t="s">
        <v>3950</v>
      </c>
      <c r="I167" s="50">
        <v>44671.68736111111</v>
      </c>
      <c r="J167" s="34" t="s">
        <v>3951</v>
      </c>
      <c r="K167" s="50">
        <v>44671.71381944444</v>
      </c>
      <c r="L167" s="34" t="s">
        <v>3952</v>
      </c>
      <c r="M167" s="34" t="s">
        <v>3953</v>
      </c>
      <c r="N167" s="34">
        <v>2.0220420162948E13</v>
      </c>
    </row>
    <row r="168">
      <c r="A168" s="30" t="s">
        <v>4309</v>
      </c>
      <c r="B168" s="25" t="str">
        <f>(Sheet1!A24)</f>
        <v>1mkGLSaVL5-IAXKq9KqXFgJH64Li9oMA9V0u_seCn1jg</v>
      </c>
      <c r="C168" s="25" t="str">
        <f>(Sheet1!B24)</f>
        <v>Maharaja Autoworld</v>
      </c>
      <c r="D168" s="34">
        <v>524435.0</v>
      </c>
      <c r="E168" s="49">
        <v>44671.0</v>
      </c>
      <c r="F168" s="34" t="s">
        <v>4310</v>
      </c>
      <c r="G168" s="34" t="s">
        <v>4310</v>
      </c>
      <c r="H168" s="34" t="s">
        <v>4071</v>
      </c>
      <c r="I168" s="50">
        <v>44671.70414351852</v>
      </c>
      <c r="J168" s="34" t="s">
        <v>3951</v>
      </c>
      <c r="K168" s="50">
        <v>44671.70564814815</v>
      </c>
      <c r="L168" s="34" t="s">
        <v>3952</v>
      </c>
      <c r="M168" s="34" t="s">
        <v>4009</v>
      </c>
      <c r="N168" s="34">
        <v>2.0220420165358E13</v>
      </c>
    </row>
    <row r="169">
      <c r="A169" s="30" t="s">
        <v>4311</v>
      </c>
      <c r="B169" s="25" t="str">
        <f>(Sheet1!A182)</f>
        <v>1VIUqOp_UXFVjhTtvQswmqJ7NEi8nkGyfHAoJPy-wvSA</v>
      </c>
      <c r="C169" s="25" t="str">
        <f>(Sheet1!B182)</f>
        <v>Kamal Hero - Gonda</v>
      </c>
      <c r="D169" s="34">
        <v>5000.0</v>
      </c>
      <c r="E169" s="49">
        <v>44671.0</v>
      </c>
      <c r="F169" s="34"/>
      <c r="G169" s="34"/>
      <c r="H169" s="34" t="s">
        <v>4071</v>
      </c>
      <c r="I169" s="50">
        <v>44671.71671296296</v>
      </c>
      <c r="J169" s="34" t="s">
        <v>3951</v>
      </c>
      <c r="K169" s="50">
        <v>44671.71737268518</v>
      </c>
      <c r="L169" s="34" t="s">
        <v>3952</v>
      </c>
      <c r="M169" s="34" t="s">
        <v>3812</v>
      </c>
      <c r="N169" s="34">
        <v>2.0220420171204E13</v>
      </c>
    </row>
    <row r="170">
      <c r="A170" s="30" t="s">
        <v>4312</v>
      </c>
      <c r="B170" s="25" t="str">
        <f>(Sheet1!A343)</f>
        <v>1QVBShIrTLBej8s_qXhBmCICNAN5JsR5KakezwfMLZV0</v>
      </c>
      <c r="C170" s="25" t="str">
        <f>(Sheet1!B343)</f>
        <v>ANAS MOTORS- SUPAUL</v>
      </c>
      <c r="D170" s="34">
        <v>25000.0</v>
      </c>
      <c r="E170" s="49">
        <v>44671.0</v>
      </c>
      <c r="F170" s="34" t="s">
        <v>4313</v>
      </c>
      <c r="G170" s="34" t="s">
        <v>4313</v>
      </c>
      <c r="H170" s="34" t="s">
        <v>4071</v>
      </c>
      <c r="I170" s="50">
        <v>44671.721134259256</v>
      </c>
      <c r="J170" s="34" t="s">
        <v>3951</v>
      </c>
      <c r="K170" s="50">
        <v>44671.72190972222</v>
      </c>
      <c r="L170" s="34" t="s">
        <v>3952</v>
      </c>
      <c r="M170" s="34" t="s">
        <v>3953</v>
      </c>
      <c r="N170" s="34">
        <v>2.0220420171826E13</v>
      </c>
    </row>
    <row r="171">
      <c r="A171" s="30" t="s">
        <v>4314</v>
      </c>
      <c r="B171" s="25" t="str">
        <f>(Sheet1!A8)</f>
        <v>150xD2ZWlv_NqqijpFlWWgIoGhpbdGM3zmaQdQAd1q5M</v>
      </c>
      <c r="C171" s="25" t="str">
        <f>(Sheet1!B8)</f>
        <v>Singla Automobiles (Main Branch)</v>
      </c>
      <c r="D171" s="34">
        <v>100000.0</v>
      </c>
      <c r="E171" s="49">
        <v>44671.0</v>
      </c>
      <c r="F171" s="34"/>
      <c r="G171" s="34" t="s">
        <v>4026</v>
      </c>
      <c r="H171" s="34" t="s">
        <v>3950</v>
      </c>
      <c r="I171" s="50">
        <v>44671.72421296296</v>
      </c>
      <c r="J171" s="34" t="s">
        <v>3951</v>
      </c>
      <c r="K171" s="50">
        <v>44671.725011574075</v>
      </c>
      <c r="L171" s="34" t="s">
        <v>3952</v>
      </c>
      <c r="M171" s="34" t="s">
        <v>3953</v>
      </c>
      <c r="N171" s="34">
        <v>2.0220420172252E13</v>
      </c>
    </row>
    <row r="172">
      <c r="A172" s="30" t="s">
        <v>4315</v>
      </c>
      <c r="B172" s="25" t="str">
        <f>(Sheet1!A182)</f>
        <v>1VIUqOp_UXFVjhTtvQswmqJ7NEi8nkGyfHAoJPy-wvSA</v>
      </c>
      <c r="C172" s="25" t="str">
        <f>(Sheet1!B182)</f>
        <v>Kamal Hero - Gonda</v>
      </c>
      <c r="D172" s="34">
        <v>25000.0</v>
      </c>
      <c r="E172" s="49">
        <v>44671.0</v>
      </c>
      <c r="F172" s="34" t="s">
        <v>4316</v>
      </c>
      <c r="G172" s="34" t="s">
        <v>4316</v>
      </c>
      <c r="H172" s="34" t="s">
        <v>4071</v>
      </c>
      <c r="I172" s="50">
        <v>44671.729317129626</v>
      </c>
      <c r="J172" s="34" t="s">
        <v>3951</v>
      </c>
      <c r="K172" s="50">
        <v>44671.74091435185</v>
      </c>
      <c r="L172" s="34" t="s">
        <v>3952</v>
      </c>
      <c r="M172" s="34" t="s">
        <v>3953</v>
      </c>
      <c r="N172" s="34">
        <v>2.0220420173013E13</v>
      </c>
    </row>
    <row r="173">
      <c r="A173" s="30" t="s">
        <v>4317</v>
      </c>
      <c r="B173" s="25" t="str">
        <f>(Sheet1!A296)</f>
        <v>1050xuIkuCwbciPjL7NYnIQd49nor1NbjSoUBzXpeVrU</v>
      </c>
      <c r="C173" s="25" t="str">
        <f>(Sheet1!B296)</f>
        <v>ARC HERO- MAHIPALPUR</v>
      </c>
      <c r="D173" s="34">
        <v>12000.0</v>
      </c>
      <c r="E173" s="49">
        <v>44671.0</v>
      </c>
      <c r="F173" s="34">
        <v>4.23590973E8</v>
      </c>
      <c r="G173" s="34" t="s">
        <v>3963</v>
      </c>
      <c r="H173" s="34" t="s">
        <v>3950</v>
      </c>
      <c r="I173" s="50">
        <v>44671.73982638889</v>
      </c>
      <c r="J173" s="34" t="s">
        <v>3951</v>
      </c>
      <c r="K173" s="50">
        <v>44671.74076388889</v>
      </c>
      <c r="L173" s="34" t="s">
        <v>3952</v>
      </c>
      <c r="M173" s="34" t="s">
        <v>3953</v>
      </c>
      <c r="N173" s="34">
        <v>2.0220420174521E13</v>
      </c>
    </row>
    <row r="174">
      <c r="A174" s="30" t="s">
        <v>4318</v>
      </c>
      <c r="B174" s="25" t="str">
        <f>(Sheet1!A224)</f>
        <v>1JAbS28NFmfJxZrsQ7twsfzmqCme35J_wqOELlcNcX1c</v>
      </c>
      <c r="C174" s="25" t="str">
        <f>(Sheet1!B224)</f>
        <v>STALLIONZ TVS - AHMEDABAD</v>
      </c>
      <c r="D174" s="34">
        <v>10000.0</v>
      </c>
      <c r="E174" s="49">
        <v>44671.0</v>
      </c>
      <c r="F174" s="34" t="s">
        <v>4319</v>
      </c>
      <c r="G174" s="34" t="s">
        <v>4320</v>
      </c>
      <c r="H174" s="34" t="s">
        <v>3951</v>
      </c>
      <c r="I174" s="50">
        <v>44671.78052083333</v>
      </c>
      <c r="J174" s="34" t="s">
        <v>3951</v>
      </c>
      <c r="K174" s="50">
        <v>44671.78074074074</v>
      </c>
      <c r="L174" s="34" t="s">
        <v>3952</v>
      </c>
      <c r="M174" s="34" t="s">
        <v>3953</v>
      </c>
      <c r="N174" s="34">
        <v>2.0220420184357E13</v>
      </c>
    </row>
    <row r="175">
      <c r="A175" s="30" t="s">
        <v>4321</v>
      </c>
      <c r="B175" s="25" t="str">
        <f>(Sheet1!A338)</f>
        <v>1LVFmg-oYUYvWwI6u3WOnpzEWG7hGErkioBifgg4ml3c</v>
      </c>
      <c r="C175" s="25" t="str">
        <f>(Sheet1!B338)</f>
        <v>J.M Motors- Forbesganj</v>
      </c>
      <c r="D175" s="34">
        <v>10000.0</v>
      </c>
      <c r="E175" s="49">
        <v>44672.0</v>
      </c>
      <c r="F175" s="34">
        <v>2.32171061E8</v>
      </c>
      <c r="G175" s="34" t="s">
        <v>4322</v>
      </c>
      <c r="H175" s="34" t="s">
        <v>3950</v>
      </c>
      <c r="I175" s="50">
        <v>44672.42334490741</v>
      </c>
      <c r="J175" s="34" t="s">
        <v>3951</v>
      </c>
      <c r="K175" s="50">
        <v>44672.426712962966</v>
      </c>
      <c r="L175" s="34" t="s">
        <v>3952</v>
      </c>
      <c r="M175" s="34" t="s">
        <v>3953</v>
      </c>
      <c r="N175" s="34">
        <v>2.0220421100937E13</v>
      </c>
    </row>
    <row r="176">
      <c r="A176" s="30" t="s">
        <v>4323</v>
      </c>
      <c r="B176" s="25" t="str">
        <f>(Sheet1!A224)</f>
        <v>1JAbS28NFmfJxZrsQ7twsfzmqCme35J_wqOELlcNcX1c</v>
      </c>
      <c r="C176" s="25" t="str">
        <f>(Sheet1!B224)</f>
        <v>STALLIONZ TVS - AHMEDABAD</v>
      </c>
      <c r="D176" s="34">
        <v>10000.0</v>
      </c>
      <c r="E176" s="49">
        <v>44672.0</v>
      </c>
      <c r="F176" s="34" t="s">
        <v>4319</v>
      </c>
      <c r="G176" s="34" t="s">
        <v>4082</v>
      </c>
      <c r="H176" s="34" t="s">
        <v>3950</v>
      </c>
      <c r="I176" s="50">
        <v>44672.4243287037</v>
      </c>
      <c r="J176" s="34" t="s">
        <v>3951</v>
      </c>
      <c r="K176" s="50">
        <v>44672.426666666666</v>
      </c>
      <c r="L176" s="34" t="s">
        <v>4012</v>
      </c>
      <c r="M176" s="34" t="s">
        <v>3953</v>
      </c>
      <c r="N176" s="34">
        <v>2.0220421101102E13</v>
      </c>
    </row>
    <row r="177">
      <c r="A177" s="30" t="s">
        <v>4324</v>
      </c>
      <c r="B177" s="25" t="str">
        <f>(Sheet1!A4)</f>
        <v>184Y3L-ZLT7vcLiFDItIcLa-18phpzEbgBCBDgt_LGCQ</v>
      </c>
      <c r="C177" s="25" t="str">
        <f>(Sheet1!B4)</f>
        <v>Jain Motorcycle Company</v>
      </c>
      <c r="D177" s="34">
        <v>275000.0</v>
      </c>
      <c r="E177" s="49">
        <v>44672.0</v>
      </c>
      <c r="F177" s="34" t="s">
        <v>4325</v>
      </c>
      <c r="G177" s="34" t="s">
        <v>4326</v>
      </c>
      <c r="H177" s="34" t="s">
        <v>3950</v>
      </c>
      <c r="I177" s="50">
        <v>44673.63599537037</v>
      </c>
      <c r="J177" s="34" t="s">
        <v>3951</v>
      </c>
      <c r="K177" s="50">
        <v>44673.63949074074</v>
      </c>
      <c r="L177" s="34" t="s">
        <v>3952</v>
      </c>
      <c r="M177" s="34" t="s">
        <v>3953</v>
      </c>
      <c r="N177" s="34">
        <v>2.022042215155E13</v>
      </c>
    </row>
    <row r="178">
      <c r="A178" s="30" t="s">
        <v>4327</v>
      </c>
      <c r="B178" s="25" t="str">
        <f>(Sheet1!A217)</f>
        <v>19J_y8BUN9RSe9TTg9cxKYBBv29Tfi7RwvKo8Va7MJRQ</v>
      </c>
      <c r="C178" s="25" t="str">
        <f>(Sheet1!B217)</f>
        <v>Kshitij Auto Wheelers - Mirzapur</v>
      </c>
      <c r="D178" s="34">
        <v>45000.0</v>
      </c>
      <c r="E178" s="49">
        <v>44673.0</v>
      </c>
      <c r="F178" s="34" t="s">
        <v>4328</v>
      </c>
      <c r="G178" s="34" t="s">
        <v>4039</v>
      </c>
      <c r="H178" s="34" t="s">
        <v>3950</v>
      </c>
      <c r="I178" s="50">
        <v>44673.6375462963</v>
      </c>
      <c r="J178" s="34" t="s">
        <v>3951</v>
      </c>
      <c r="K178" s="50">
        <v>44673.63953703704</v>
      </c>
      <c r="L178" s="34" t="s">
        <v>3952</v>
      </c>
      <c r="M178" s="34" t="s">
        <v>3953</v>
      </c>
      <c r="N178" s="34">
        <v>2.0220422151804E13</v>
      </c>
    </row>
    <row r="179">
      <c r="A179" s="30" t="s">
        <v>4329</v>
      </c>
      <c r="B179" s="25" t="str">
        <f>(Sheet1!A211)</f>
        <v>11KI2mOYZ4I9wDgZ2By8zUkmcvYLaWDOUT2Ivww0nVBM</v>
      </c>
      <c r="C179" s="25" t="str">
        <f>(Sheet1!B211)</f>
        <v>Shree Balaji Bajaj Showroom(VT) - Raichur</v>
      </c>
      <c r="D179" s="34">
        <v>15000.0</v>
      </c>
      <c r="E179" s="49">
        <v>44673.0</v>
      </c>
      <c r="F179" s="34">
        <v>5.38596669E8</v>
      </c>
      <c r="G179" s="34" t="s">
        <v>4330</v>
      </c>
      <c r="H179" s="34" t="s">
        <v>3950</v>
      </c>
      <c r="I179" s="50">
        <v>44673.63837962963</v>
      </c>
      <c r="J179" s="34" t="s">
        <v>3951</v>
      </c>
      <c r="K179" s="50">
        <v>44673.63961805555</v>
      </c>
      <c r="L179" s="34" t="s">
        <v>3952</v>
      </c>
      <c r="M179" s="34" t="s">
        <v>3953</v>
      </c>
      <c r="N179" s="34">
        <v>2.0220422151916E13</v>
      </c>
    </row>
    <row r="180">
      <c r="A180" s="30" t="s">
        <v>4331</v>
      </c>
      <c r="B180" s="25" t="str">
        <f>(Sheet1!A217)</f>
        <v>19J_y8BUN9RSe9TTg9cxKYBBv29Tfi7RwvKo8Va7MJRQ</v>
      </c>
      <c r="C180" s="25" t="str">
        <f>(Sheet1!B217)</f>
        <v>Kshitij Auto Wheelers - Mirzapur</v>
      </c>
      <c r="D180" s="34">
        <v>40000.0</v>
      </c>
      <c r="E180" s="49">
        <v>44673.0</v>
      </c>
      <c r="F180" s="34" t="s">
        <v>4332</v>
      </c>
      <c r="G180" s="34" t="s">
        <v>4333</v>
      </c>
      <c r="H180" s="34" t="s">
        <v>3950</v>
      </c>
      <c r="I180" s="50">
        <v>44674.427037037036</v>
      </c>
      <c r="J180" s="34" t="s">
        <v>3951</v>
      </c>
      <c r="K180" s="50">
        <v>44674.42996527778</v>
      </c>
      <c r="L180" s="34" t="s">
        <v>3952</v>
      </c>
      <c r="M180" s="34" t="s">
        <v>3953</v>
      </c>
      <c r="N180" s="34">
        <v>2.0220423101456E13</v>
      </c>
    </row>
    <row r="181">
      <c r="A181" s="30" t="s">
        <v>4334</v>
      </c>
      <c r="B181" s="25" t="str">
        <f>(Sheet1!A234)</f>
        <v>1R0uwjETF80Vss8P2a0gSsIF2iqphq4WIGrUlHbCVjKw</v>
      </c>
      <c r="C181" s="25" t="str">
        <f>(Sheet1!B234)</f>
        <v>VTECH TVS- AHMEDABAD</v>
      </c>
      <c r="D181" s="34">
        <v>30000.0</v>
      </c>
      <c r="E181" s="49">
        <v>44674.0</v>
      </c>
      <c r="F181" s="34" t="s">
        <v>4335</v>
      </c>
      <c r="G181" s="34" t="s">
        <v>4336</v>
      </c>
      <c r="H181" s="34" t="s">
        <v>3950</v>
      </c>
      <c r="I181" s="50">
        <v>44674.58378472222</v>
      </c>
      <c r="J181" s="34" t="s">
        <v>3951</v>
      </c>
      <c r="K181" s="50">
        <v>44674.584756944445</v>
      </c>
      <c r="L181" s="34" t="s">
        <v>3952</v>
      </c>
      <c r="M181" s="34" t="s">
        <v>3953</v>
      </c>
      <c r="N181" s="34">
        <v>2.0220423140039E13</v>
      </c>
    </row>
    <row r="182">
      <c r="A182" s="30" t="s">
        <v>4337</v>
      </c>
      <c r="B182" s="25" t="str">
        <f>(Sheet1!A325)</f>
        <v>16tjO40jnriUy06QB22S0NR8Wknhx9T0lcBH_yEqsZIw</v>
      </c>
      <c r="C182" s="25" t="str">
        <f>(Sheet1!B325)</f>
        <v>TANUSHKA HERO- GWALIOR</v>
      </c>
      <c r="D182" s="34">
        <v>50000.0</v>
      </c>
      <c r="E182" s="49">
        <v>44674.0</v>
      </c>
      <c r="F182" s="34"/>
      <c r="G182" s="34" t="s">
        <v>4338</v>
      </c>
      <c r="H182" s="34" t="s">
        <v>3950</v>
      </c>
      <c r="I182" s="50">
        <v>44674.6415162037</v>
      </c>
      <c r="J182" s="34" t="s">
        <v>3951</v>
      </c>
      <c r="K182" s="50">
        <v>44674.64179398148</v>
      </c>
      <c r="L182" s="34" t="s">
        <v>3952</v>
      </c>
      <c r="M182" s="34" t="s">
        <v>3953</v>
      </c>
      <c r="N182" s="34">
        <v>2.0220423152347E13</v>
      </c>
    </row>
    <row r="183">
      <c r="A183" s="30" t="s">
        <v>4339</v>
      </c>
      <c r="B183" s="25" t="str">
        <f>(Sheet1!A224)</f>
        <v>1JAbS28NFmfJxZrsQ7twsfzmqCme35J_wqOELlcNcX1c</v>
      </c>
      <c r="C183" s="25" t="str">
        <f>(Sheet1!B224)</f>
        <v>STALLIONZ TVS - AHMEDABAD</v>
      </c>
      <c r="D183" s="34">
        <v>20000.0</v>
      </c>
      <c r="E183" s="49">
        <v>44674.0</v>
      </c>
      <c r="F183" s="34" t="s">
        <v>4340</v>
      </c>
      <c r="G183" s="34" t="s">
        <v>4341</v>
      </c>
      <c r="H183" s="34" t="s">
        <v>3950</v>
      </c>
      <c r="I183" s="50">
        <v>44674.70071759259</v>
      </c>
      <c r="J183" s="34" t="s">
        <v>3951</v>
      </c>
      <c r="K183" s="50">
        <v>44674.746157407404</v>
      </c>
      <c r="L183" s="34" t="s">
        <v>3952</v>
      </c>
      <c r="M183" s="34" t="s">
        <v>3953</v>
      </c>
      <c r="N183" s="34">
        <v>2.0220423164902E13</v>
      </c>
    </row>
    <row r="184">
      <c r="A184" s="30" t="s">
        <v>4342</v>
      </c>
      <c r="B184" s="25" t="str">
        <f>(Sheet1!A27)</f>
        <v>1ytBGcO8tIze81xKkAa9lWDcflthsPL6SuADAXbhmuwA</v>
      </c>
      <c r="C184" s="25" t="str">
        <f>(Sheet1!B27)</f>
        <v>Brij Biwheelers</v>
      </c>
      <c r="D184" s="34">
        <v>30000.0</v>
      </c>
      <c r="E184" s="49">
        <v>44675.0</v>
      </c>
      <c r="F184" s="34">
        <v>2.11414870403E11</v>
      </c>
      <c r="G184" s="34" t="s">
        <v>4343</v>
      </c>
      <c r="H184" s="34" t="s">
        <v>3950</v>
      </c>
      <c r="I184" s="50">
        <v>44675.594039351854</v>
      </c>
      <c r="J184" s="34" t="s">
        <v>3951</v>
      </c>
      <c r="K184" s="50">
        <v>44675.59778935185</v>
      </c>
      <c r="L184" s="34" t="s">
        <v>3952</v>
      </c>
      <c r="M184" s="34" t="s">
        <v>3953</v>
      </c>
      <c r="N184" s="34">
        <v>2.0220424141525E13</v>
      </c>
    </row>
    <row r="185">
      <c r="A185" s="30" t="s">
        <v>4344</v>
      </c>
      <c r="B185" s="25" t="str">
        <f>(Sheet1!A45)</f>
        <v>1XmVYrBOLuyIm0rpXhFaYpcRQ1t4YH3PN3pmiTosn08E</v>
      </c>
      <c r="C185" s="25" t="str">
        <f>(Sheet1!B45)</f>
        <v>Shraman Hero - GT Karnal Road</v>
      </c>
      <c r="D185" s="34">
        <v>125000.0</v>
      </c>
      <c r="E185" s="49">
        <v>44675.0</v>
      </c>
      <c r="F185" s="34">
        <v>2.11411772463E11</v>
      </c>
      <c r="G185" s="34" t="s">
        <v>4345</v>
      </c>
      <c r="H185" s="34" t="s">
        <v>3950</v>
      </c>
      <c r="I185" s="50">
        <v>44675.59465277778</v>
      </c>
      <c r="J185" s="34" t="s">
        <v>3951</v>
      </c>
      <c r="K185" s="50">
        <v>44675.619097222225</v>
      </c>
      <c r="L185" s="34" t="s">
        <v>3952</v>
      </c>
      <c r="M185" s="34" t="s">
        <v>3953</v>
      </c>
      <c r="N185" s="34">
        <v>2.0220424141618E13</v>
      </c>
    </row>
    <row r="186">
      <c r="A186" s="30" t="s">
        <v>4346</v>
      </c>
      <c r="B186" s="25" t="str">
        <f>(Sheet1!A218)</f>
        <v>1pIkLTEq99ZID0V0k8H0hOFXZDJQMaAoy2fsIol-e81k</v>
      </c>
      <c r="C186" s="25" t="str">
        <f>(Sheet1!B218)</f>
        <v>NITIN MATANHELIA - GORAKHPUR</v>
      </c>
      <c r="D186" s="34">
        <v>40000.0</v>
      </c>
      <c r="E186" s="49">
        <v>44675.0</v>
      </c>
      <c r="F186" s="34">
        <v>2.11416075632E11</v>
      </c>
      <c r="G186" s="34" t="s">
        <v>4106</v>
      </c>
      <c r="H186" s="34" t="s">
        <v>3950</v>
      </c>
      <c r="I186" s="50">
        <v>44675.70457175926</v>
      </c>
      <c r="J186" s="34" t="s">
        <v>3951</v>
      </c>
      <c r="K186" s="50">
        <v>44675.70655092593</v>
      </c>
      <c r="L186" s="34" t="s">
        <v>3952</v>
      </c>
      <c r="M186" s="34" t="s">
        <v>3953</v>
      </c>
      <c r="N186" s="34">
        <v>2.0220424165435E13</v>
      </c>
    </row>
    <row r="187">
      <c r="A187" s="30" t="s">
        <v>4347</v>
      </c>
      <c r="B187" s="25" t="str">
        <f>(Sheet1!A343)</f>
        <v>1QVBShIrTLBej8s_qXhBmCICNAN5JsR5KakezwfMLZV0</v>
      </c>
      <c r="C187" s="25" t="str">
        <f>(Sheet1!B343)</f>
        <v>ANAS MOTORS- SUPAUL</v>
      </c>
      <c r="D187" s="34">
        <v>25000.0</v>
      </c>
      <c r="E187" s="49">
        <v>44675.0</v>
      </c>
      <c r="F187" s="34">
        <v>2.11416879041E11</v>
      </c>
      <c r="G187" s="34" t="s">
        <v>4259</v>
      </c>
      <c r="H187" s="34" t="s">
        <v>3950</v>
      </c>
      <c r="I187" s="50">
        <v>44675.70538194444</v>
      </c>
      <c r="J187" s="34" t="s">
        <v>3951</v>
      </c>
      <c r="K187" s="50">
        <v>44675.706608796296</v>
      </c>
      <c r="L187" s="34" t="s">
        <v>3952</v>
      </c>
      <c r="M187" s="34" t="s">
        <v>3953</v>
      </c>
      <c r="N187" s="34">
        <v>2.0220424165545E13</v>
      </c>
    </row>
    <row r="188">
      <c r="A188" s="30" t="s">
        <v>4348</v>
      </c>
      <c r="B188" s="25" t="str">
        <f>(Sheet1!A345)</f>
        <v>1igxhDrZmAR4XaBSU0Vyrw9LNbKLoFuELF4hEOFDqD9M</v>
      </c>
      <c r="C188" s="25" t="str">
        <f>(Sheet1!B345)</f>
        <v>KHAGARIA AUTO AGENCY- KHAGARIA</v>
      </c>
      <c r="D188" s="34">
        <v>1000.0</v>
      </c>
      <c r="E188" s="49">
        <v>44676.0</v>
      </c>
      <c r="F188" s="34"/>
      <c r="G188" s="34" t="s">
        <v>3812</v>
      </c>
      <c r="H188" s="34" t="s">
        <v>3950</v>
      </c>
      <c r="I188" s="50">
        <v>44676.457650462966</v>
      </c>
      <c r="J188" s="34" t="s">
        <v>3951</v>
      </c>
      <c r="K188" s="50">
        <v>44676.458553240744</v>
      </c>
      <c r="L188" s="34" t="s">
        <v>3952</v>
      </c>
      <c r="M188" s="34" t="s">
        <v>3812</v>
      </c>
      <c r="N188" s="34">
        <v>2.0220425105901E13</v>
      </c>
    </row>
    <row r="189">
      <c r="A189" s="30" t="s">
        <v>4349</v>
      </c>
      <c r="B189" s="25" t="str">
        <f>(Sheet1!A171)</f>
        <v>1kKJQREB-gMUjjfvkNJBZGf8b6FppISEs2byO4uZriFc</v>
      </c>
      <c r="C189" s="25" t="str">
        <f>(Sheet1!B171)</f>
        <v>Navya Motors - Gorakhpur</v>
      </c>
      <c r="D189" s="34">
        <v>50000.0</v>
      </c>
      <c r="E189" s="49">
        <v>44676.0</v>
      </c>
      <c r="F189" s="34">
        <v>1.98145423E8</v>
      </c>
      <c r="G189" s="34" t="s">
        <v>4350</v>
      </c>
      <c r="H189" s="34" t="s">
        <v>3950</v>
      </c>
      <c r="I189" s="50">
        <v>44676.46388888889</v>
      </c>
      <c r="J189" s="34" t="s">
        <v>3951</v>
      </c>
      <c r="K189" s="50">
        <v>44676.48631944445</v>
      </c>
      <c r="L189" s="34" t="s">
        <v>3952</v>
      </c>
      <c r="M189" s="34" t="s">
        <v>3953</v>
      </c>
      <c r="N189" s="34">
        <v>2.02204251108E13</v>
      </c>
    </row>
    <row r="190">
      <c r="A190" s="30" t="s">
        <v>4351</v>
      </c>
      <c r="B190" s="25" t="str">
        <f>(Sheet1!A317)</f>
        <v>1HzstXOBJIBMFHwYm7RpvmCIhHH60rtXQ81VHl3OF7OM</v>
      </c>
      <c r="C190" s="25" t="str">
        <f>(Sheet1!B317)</f>
        <v>SHIVANI MOTORS- ALLAHABAD</v>
      </c>
      <c r="D190" s="34">
        <v>50000.0</v>
      </c>
      <c r="E190" s="49">
        <v>44676.0</v>
      </c>
      <c r="F190" s="34" t="s">
        <v>4352</v>
      </c>
      <c r="G190" s="34" t="s">
        <v>4353</v>
      </c>
      <c r="H190" s="34" t="s">
        <v>3950</v>
      </c>
      <c r="I190" s="50">
        <v>44676.489340277774</v>
      </c>
      <c r="J190" s="34" t="s">
        <v>3951</v>
      </c>
      <c r="K190" s="50">
        <v>44676.49564814815</v>
      </c>
      <c r="L190" s="34" t="s">
        <v>3952</v>
      </c>
      <c r="M190" s="34" t="s">
        <v>3953</v>
      </c>
      <c r="N190" s="34">
        <v>2.0220425114439E13</v>
      </c>
    </row>
    <row r="191">
      <c r="A191" s="30" t="s">
        <v>4354</v>
      </c>
      <c r="B191" s="25" t="str">
        <f>(Sheet1!A214)</f>
        <v>1cVGXbO2lp52NndvygvM_F7Cqcy0EMGxzT1ZUlpTQeiI</v>
      </c>
      <c r="C191" s="25" t="str">
        <f>(Sheet1!B214)</f>
        <v>BARABANKI MOTORS</v>
      </c>
      <c r="D191" s="34">
        <v>19500.0</v>
      </c>
      <c r="E191" s="49">
        <v>44676.0</v>
      </c>
      <c r="F191" s="34" t="s">
        <v>4355</v>
      </c>
      <c r="G191" s="34" t="s">
        <v>4356</v>
      </c>
      <c r="H191" s="34" t="s">
        <v>3950</v>
      </c>
      <c r="I191" s="50">
        <v>44676.73552083333</v>
      </c>
      <c r="J191" s="34" t="s">
        <v>3951</v>
      </c>
      <c r="K191" s="50">
        <v>44676.74980324074</v>
      </c>
      <c r="L191" s="34" t="s">
        <v>3952</v>
      </c>
      <c r="M191" s="34" t="s">
        <v>3953</v>
      </c>
      <c r="N191" s="34">
        <v>2.0220425173909E13</v>
      </c>
    </row>
    <row r="192">
      <c r="A192" s="30" t="s">
        <v>4357</v>
      </c>
      <c r="B192" s="25" t="str">
        <f>(Sheet1!A217)</f>
        <v>19J_y8BUN9RSe9TTg9cxKYBBv29Tfi7RwvKo8Va7MJRQ</v>
      </c>
      <c r="C192" s="25" t="str">
        <f>(Sheet1!B217)</f>
        <v>Kshitij Auto Wheelers - Mirzapur</v>
      </c>
      <c r="D192" s="34">
        <v>47000.0</v>
      </c>
      <c r="E192" s="49">
        <v>44676.0</v>
      </c>
      <c r="F192" s="34" t="s">
        <v>4358</v>
      </c>
      <c r="G192" s="34" t="s">
        <v>4206</v>
      </c>
      <c r="H192" s="34" t="s">
        <v>3950</v>
      </c>
      <c r="I192" s="50">
        <v>44676.73637731482</v>
      </c>
      <c r="J192" s="34" t="s">
        <v>3951</v>
      </c>
      <c r="K192" s="50">
        <v>44676.74989583333</v>
      </c>
      <c r="L192" s="34" t="s">
        <v>3952</v>
      </c>
      <c r="M192" s="34" t="s">
        <v>3953</v>
      </c>
      <c r="N192" s="34">
        <v>2.0220425174023E13</v>
      </c>
    </row>
    <row r="193">
      <c r="A193" s="30" t="s">
        <v>4359</v>
      </c>
      <c r="B193" s="25" t="str">
        <f>(Sheet1!A318)</f>
        <v>1YAU91TFMaYFp0IiAMJOnSMw_yeIgNk_GdChvblrhYL8</v>
      </c>
      <c r="C193" s="25" t="str">
        <f>(Sheet1!B318)</f>
        <v>A.R.C.C- HERO(SMA)</v>
      </c>
      <c r="D193" s="34">
        <v>10000.0</v>
      </c>
      <c r="E193" s="49">
        <v>44677.0</v>
      </c>
      <c r="F193" s="34">
        <v>2.1160686079E11</v>
      </c>
      <c r="G193" s="34" t="s">
        <v>4003</v>
      </c>
      <c r="H193" s="34" t="s">
        <v>3950</v>
      </c>
      <c r="I193" s="50">
        <v>44677.62611111111</v>
      </c>
      <c r="J193" s="34" t="s">
        <v>3951</v>
      </c>
      <c r="K193" s="50">
        <v>44677.64896990741</v>
      </c>
      <c r="L193" s="34" t="s">
        <v>3952</v>
      </c>
      <c r="M193" s="34" t="s">
        <v>3953</v>
      </c>
      <c r="N193" s="34">
        <v>2.0220426150136E13</v>
      </c>
    </row>
    <row r="194">
      <c r="A194" s="30" t="s">
        <v>4360</v>
      </c>
      <c r="B194" s="25" t="str">
        <f>(Sheet1!A345)</f>
        <v>1igxhDrZmAR4XaBSU0Vyrw9LNbKLoFuELF4hEOFDqD9M</v>
      </c>
      <c r="C194" s="25" t="str">
        <f>(Sheet1!B345)</f>
        <v>KHAGARIA AUTO AGENCY- KHAGARIA</v>
      </c>
      <c r="D194" s="34">
        <v>25000.0</v>
      </c>
      <c r="E194" s="49">
        <v>44678.0</v>
      </c>
      <c r="F194" s="34" t="s">
        <v>4361</v>
      </c>
      <c r="G194" s="34" t="s">
        <v>4097</v>
      </c>
      <c r="H194" s="34" t="s">
        <v>3950</v>
      </c>
      <c r="I194" s="50">
        <v>44678.45798611111</v>
      </c>
      <c r="J194" s="34" t="s">
        <v>3951</v>
      </c>
      <c r="K194" s="50">
        <v>44678.46923611111</v>
      </c>
      <c r="L194" s="34" t="s">
        <v>3952</v>
      </c>
      <c r="M194" s="34" t="s">
        <v>3953</v>
      </c>
      <c r="N194" s="34">
        <v>2.022042710593E13</v>
      </c>
    </row>
    <row r="195">
      <c r="A195" s="30" t="s">
        <v>4362</v>
      </c>
      <c r="B195" s="25" t="str">
        <f>(Sheet1!A48)</f>
        <v>14s_HeeebHqLRTUCX5FSlJ3K7aiTvnkajbPMefm6jg1M</v>
      </c>
      <c r="C195" s="25" t="str">
        <f>(Sheet1!B48)</f>
        <v>Bharat Auto - Kasganj</v>
      </c>
      <c r="D195" s="34">
        <v>125000.0</v>
      </c>
      <c r="E195" s="49">
        <v>44678.0</v>
      </c>
      <c r="F195" s="34" t="s">
        <v>4363</v>
      </c>
      <c r="G195" s="34" t="s">
        <v>4364</v>
      </c>
      <c r="H195" s="34" t="s">
        <v>3950</v>
      </c>
      <c r="I195" s="50">
        <v>44678.459398148145</v>
      </c>
      <c r="J195" s="34" t="s">
        <v>3951</v>
      </c>
      <c r="K195" s="50">
        <v>44678.46953703704</v>
      </c>
      <c r="L195" s="34" t="s">
        <v>3952</v>
      </c>
      <c r="M195" s="34" t="s">
        <v>3953</v>
      </c>
      <c r="N195" s="34">
        <v>2.0220427110132E13</v>
      </c>
    </row>
    <row r="196">
      <c r="A196" s="30" t="s">
        <v>4365</v>
      </c>
      <c r="B196" s="25" t="str">
        <f>(Sheet1!A48)</f>
        <v>14s_HeeebHqLRTUCX5FSlJ3K7aiTvnkajbPMefm6jg1M</v>
      </c>
      <c r="C196" s="25" t="str">
        <f>(Sheet1!B48)</f>
        <v>Bharat Auto - Kasganj</v>
      </c>
      <c r="D196" s="34">
        <v>150000.0</v>
      </c>
      <c r="E196" s="49">
        <v>44677.0</v>
      </c>
      <c r="F196" s="34" t="s">
        <v>4366</v>
      </c>
      <c r="G196" s="34" t="s">
        <v>4367</v>
      </c>
      <c r="H196" s="34" t="s">
        <v>3950</v>
      </c>
      <c r="I196" s="50">
        <v>44678.46016203704</v>
      </c>
      <c r="J196" s="34" t="s">
        <v>3951</v>
      </c>
      <c r="K196" s="50">
        <v>44678.46959490741</v>
      </c>
      <c r="L196" s="34" t="s">
        <v>3952</v>
      </c>
      <c r="M196" s="34" t="s">
        <v>3953</v>
      </c>
      <c r="N196" s="34">
        <v>2.0220427110238E13</v>
      </c>
    </row>
    <row r="197">
      <c r="A197" s="30" t="s">
        <v>4368</v>
      </c>
      <c r="B197" s="25" t="str">
        <f>(Sheet1!A217)</f>
        <v>19J_y8BUN9RSe9TTg9cxKYBBv29Tfi7RwvKo8Va7MJRQ</v>
      </c>
      <c r="C197" s="25" t="str">
        <f>(Sheet1!B217)</f>
        <v>Kshitij Auto Wheelers - Mirzapur</v>
      </c>
      <c r="D197" s="34">
        <v>49000.0</v>
      </c>
      <c r="E197" s="49">
        <v>44677.0</v>
      </c>
      <c r="F197" s="34" t="s">
        <v>4369</v>
      </c>
      <c r="G197" s="34" t="s">
        <v>4062</v>
      </c>
      <c r="H197" s="34" t="s">
        <v>3950</v>
      </c>
      <c r="I197" s="50">
        <v>44678.46131944445</v>
      </c>
      <c r="J197" s="34" t="s">
        <v>3951</v>
      </c>
      <c r="K197" s="50">
        <v>44678.46965277778</v>
      </c>
      <c r="L197" s="34" t="s">
        <v>3952</v>
      </c>
      <c r="M197" s="34" t="s">
        <v>3953</v>
      </c>
      <c r="N197" s="34">
        <v>2.0220427110418E13</v>
      </c>
    </row>
    <row r="198">
      <c r="A198" s="30" t="s">
        <v>4370</v>
      </c>
      <c r="B198" s="25" t="str">
        <f>(Sheet1!A336)</f>
        <v>1BMhoyJRK7DCg_LO256ufPw72_BuKa1iu3f1v8JCofH0</v>
      </c>
      <c r="C198" s="25" t="str">
        <f>(Sheet1!B336)</f>
        <v>North Bihar Agro Agencies</v>
      </c>
      <c r="D198" s="34">
        <v>10000.0</v>
      </c>
      <c r="E198" s="49">
        <v>44678.0</v>
      </c>
      <c r="F198" s="34" t="s">
        <v>4371</v>
      </c>
      <c r="G198" s="34" t="s">
        <v>4067</v>
      </c>
      <c r="H198" s="34" t="s">
        <v>3950</v>
      </c>
      <c r="I198" s="50">
        <v>44678.55677083333</v>
      </c>
      <c r="J198" s="34" t="s">
        <v>3951</v>
      </c>
      <c r="K198" s="50">
        <v>44678.56329861111</v>
      </c>
      <c r="L198" s="34" t="s">
        <v>3952</v>
      </c>
      <c r="M198" s="34" t="s">
        <v>3953</v>
      </c>
      <c r="N198" s="34">
        <v>2.0220427132145E13</v>
      </c>
    </row>
    <row r="199">
      <c r="A199" s="30" t="s">
        <v>4372</v>
      </c>
      <c r="B199" s="25" t="str">
        <f>(Sheet1!A335)</f>
        <v>1r0KUrXS28gDx7-fgD3zjnrel7PaC3KXGiEtHPv0wv_M</v>
      </c>
      <c r="C199" s="25" t="str">
        <f>(Sheet1!B335)</f>
        <v>PAL ENTERPRISE- VIDISHA</v>
      </c>
      <c r="D199" s="34">
        <v>25000.0</v>
      </c>
      <c r="E199" s="49">
        <v>44678.0</v>
      </c>
      <c r="F199" s="34" t="s">
        <v>4373</v>
      </c>
      <c r="G199" s="34" t="s">
        <v>4134</v>
      </c>
      <c r="H199" s="34" t="s">
        <v>3950</v>
      </c>
      <c r="I199" s="50">
        <v>44678.5577662037</v>
      </c>
      <c r="J199" s="34" t="s">
        <v>3951</v>
      </c>
      <c r="K199" s="50">
        <v>44678.56335648148</v>
      </c>
      <c r="L199" s="34" t="s">
        <v>3952</v>
      </c>
      <c r="M199" s="34" t="s">
        <v>3953</v>
      </c>
      <c r="N199" s="34">
        <v>2.0220427132311E13</v>
      </c>
    </row>
    <row r="200">
      <c r="A200" s="30" t="s">
        <v>4374</v>
      </c>
      <c r="B200" s="25" t="str">
        <f>(Sheet1!A338)</f>
        <v>1LVFmg-oYUYvWwI6u3WOnpzEWG7hGErkioBifgg4ml3c</v>
      </c>
      <c r="C200" s="25" t="str">
        <f>(Sheet1!B338)</f>
        <v>J.M Motors- Forbesganj</v>
      </c>
      <c r="D200" s="34">
        <v>10000.0</v>
      </c>
      <c r="E200" s="49">
        <v>44678.0</v>
      </c>
      <c r="F200" s="34">
        <v>2.11713108468E11</v>
      </c>
      <c r="G200" s="34" t="s">
        <v>4375</v>
      </c>
      <c r="H200" s="34" t="s">
        <v>3950</v>
      </c>
      <c r="I200" s="50">
        <v>44678.56172453704</v>
      </c>
      <c r="J200" s="34" t="s">
        <v>3951</v>
      </c>
      <c r="K200" s="50">
        <v>44678.5633912037</v>
      </c>
      <c r="L200" s="34" t="s">
        <v>3952</v>
      </c>
      <c r="M200" s="34" t="s">
        <v>3953</v>
      </c>
      <c r="N200" s="34">
        <v>2.0220427132853E13</v>
      </c>
    </row>
    <row r="201">
      <c r="A201" s="30" t="s">
        <v>4376</v>
      </c>
      <c r="B201" s="25" t="str">
        <f>(Sheet1!A27)</f>
        <v>1ytBGcO8tIze81xKkAa9lWDcflthsPL6SuADAXbhmuwA</v>
      </c>
      <c r="C201" s="25" t="str">
        <f>(Sheet1!B27)</f>
        <v>Brij Biwheelers</v>
      </c>
      <c r="D201" s="34">
        <v>70000.0</v>
      </c>
      <c r="E201" s="49">
        <v>44678.0</v>
      </c>
      <c r="F201" s="34">
        <v>2.11714052167E11</v>
      </c>
      <c r="G201" s="34" t="s">
        <v>4377</v>
      </c>
      <c r="H201" s="34" t="s">
        <v>3950</v>
      </c>
      <c r="I201" s="50">
        <v>44678.618414351855</v>
      </c>
      <c r="J201" s="34" t="s">
        <v>3951</v>
      </c>
      <c r="K201" s="50">
        <v>44678.682291666664</v>
      </c>
      <c r="L201" s="34" t="s">
        <v>3952</v>
      </c>
      <c r="M201" s="34" t="s">
        <v>3953</v>
      </c>
      <c r="N201" s="34">
        <v>2.0220427145031E13</v>
      </c>
    </row>
    <row r="202">
      <c r="A202" s="30" t="s">
        <v>4378</v>
      </c>
      <c r="B202" s="25" t="str">
        <f>(Sheet1!A343)</f>
        <v>1QVBShIrTLBej8s_qXhBmCICNAN5JsR5KakezwfMLZV0</v>
      </c>
      <c r="C202" s="25" t="str">
        <f>(Sheet1!B343)</f>
        <v>ANAS MOTORS- SUPAUL</v>
      </c>
      <c r="D202" s="34">
        <v>25000.0</v>
      </c>
      <c r="E202" s="49">
        <v>44678.0</v>
      </c>
      <c r="F202" s="34">
        <v>2.11716844574E11</v>
      </c>
      <c r="G202" s="34" t="s">
        <v>4259</v>
      </c>
      <c r="H202" s="34" t="s">
        <v>3950</v>
      </c>
      <c r="I202" s="50">
        <v>44678.68099537037</v>
      </c>
      <c r="J202" s="34" t="s">
        <v>3951</v>
      </c>
      <c r="K202" s="50">
        <v>44678.68240740741</v>
      </c>
      <c r="L202" s="34" t="s">
        <v>3952</v>
      </c>
      <c r="M202" s="34" t="s">
        <v>3953</v>
      </c>
      <c r="N202" s="34">
        <v>2.0220427162038E13</v>
      </c>
    </row>
    <row r="203">
      <c r="A203" s="30" t="s">
        <v>4379</v>
      </c>
      <c r="B203" s="25" t="str">
        <f>(Sheet1!A339)</f>
        <v>1fHCHQnIWmfXqP4jwi-agXjfK1q2zM0BUeG3fwB0qApc</v>
      </c>
      <c r="C203" s="25" t="str">
        <f>(Sheet1!B339)</f>
        <v>Mahabir Automobiles -Sultanpur</v>
      </c>
      <c r="D203" s="34">
        <v>25000.0</v>
      </c>
      <c r="E203" s="49">
        <v>44678.0</v>
      </c>
      <c r="F203" s="34" t="s">
        <v>4380</v>
      </c>
      <c r="G203" s="34" t="s">
        <v>4381</v>
      </c>
      <c r="H203" s="34" t="s">
        <v>3950</v>
      </c>
      <c r="I203" s="50">
        <v>44678.76033564815</v>
      </c>
      <c r="J203" s="34" t="s">
        <v>3951</v>
      </c>
      <c r="K203" s="50">
        <v>44678.76206018519</v>
      </c>
      <c r="L203" s="34" t="s">
        <v>3952</v>
      </c>
      <c r="M203" s="34" t="s">
        <v>3953</v>
      </c>
      <c r="N203" s="34">
        <v>2.0220427181453E13</v>
      </c>
    </row>
    <row r="204">
      <c r="A204" s="30" t="s">
        <v>4382</v>
      </c>
      <c r="B204" s="25" t="str">
        <f>(Sheet1!A357)</f>
        <v>1zpjD0n2MDMpnv6d3XmAb2OMfLjhiWI0P_3JnMudl7oI</v>
      </c>
      <c r="C204" s="25" t="str">
        <f>(Sheet1!B357)</f>
        <v>BHARAT HERO - ISLAMPUR</v>
      </c>
      <c r="D204" s="34">
        <v>5000.0</v>
      </c>
      <c r="E204" s="49">
        <v>44678.0</v>
      </c>
      <c r="F204" s="34"/>
      <c r="G204" s="34" t="s">
        <v>4383</v>
      </c>
      <c r="H204" s="34" t="s">
        <v>3950</v>
      </c>
      <c r="I204" s="50">
        <v>44678.76878472222</v>
      </c>
      <c r="J204" s="34" t="s">
        <v>3951</v>
      </c>
      <c r="K204" s="50">
        <v>44678.78082175926</v>
      </c>
      <c r="L204" s="34" t="s">
        <v>3952</v>
      </c>
      <c r="M204" s="34" t="s">
        <v>3953</v>
      </c>
      <c r="N204" s="34">
        <v>2.0220427182703E13</v>
      </c>
    </row>
    <row r="205">
      <c r="A205" s="30" t="s">
        <v>4384</v>
      </c>
      <c r="B205" s="25" t="str">
        <f>(Sheet1!A217)</f>
        <v>19J_y8BUN9RSe9TTg9cxKYBBv29Tfi7RwvKo8Va7MJRQ</v>
      </c>
      <c r="C205" s="25" t="str">
        <f>(Sheet1!B217)</f>
        <v>Kshitij Auto Wheelers - Mirzapur</v>
      </c>
      <c r="D205" s="34">
        <v>40000.0</v>
      </c>
      <c r="E205" s="49">
        <v>44678.0</v>
      </c>
      <c r="F205" s="34" t="s">
        <v>4385</v>
      </c>
      <c r="G205" s="34" t="s">
        <v>4176</v>
      </c>
      <c r="H205" s="34" t="s">
        <v>3950</v>
      </c>
      <c r="I205" s="50">
        <v>44679.411099537036</v>
      </c>
      <c r="J205" s="34" t="s">
        <v>3951</v>
      </c>
      <c r="K205" s="50">
        <v>44679.53936342592</v>
      </c>
      <c r="L205" s="34" t="s">
        <v>3952</v>
      </c>
      <c r="M205" s="34" t="s">
        <v>3953</v>
      </c>
      <c r="N205" s="34">
        <v>2.0220428095159E13</v>
      </c>
    </row>
    <row r="206">
      <c r="A206" s="30" t="s">
        <v>4386</v>
      </c>
      <c r="B206" s="25" t="str">
        <f>(Sheet1!A224)</f>
        <v>1JAbS28NFmfJxZrsQ7twsfzmqCme35J_wqOELlcNcX1c</v>
      </c>
      <c r="C206" s="25" t="str">
        <f>(Sheet1!B224)</f>
        <v>STALLIONZ TVS - AHMEDABAD</v>
      </c>
      <c r="D206" s="34">
        <v>10000.0</v>
      </c>
      <c r="E206" s="49">
        <v>44679.0</v>
      </c>
      <c r="F206" s="34" t="s">
        <v>4387</v>
      </c>
      <c r="G206" s="34" t="s">
        <v>4082</v>
      </c>
      <c r="H206" s="34" t="s">
        <v>3950</v>
      </c>
      <c r="I206" s="50">
        <v>44679.411782407406</v>
      </c>
      <c r="J206" s="34" t="s">
        <v>3951</v>
      </c>
      <c r="K206" s="50">
        <v>44679.53953703704</v>
      </c>
      <c r="L206" s="34" t="s">
        <v>3952</v>
      </c>
      <c r="M206" s="34" t="s">
        <v>3953</v>
      </c>
      <c r="N206" s="34">
        <v>2.0220428095258E13</v>
      </c>
    </row>
    <row r="207">
      <c r="A207" s="30" t="s">
        <v>4388</v>
      </c>
      <c r="B207" s="25" t="str">
        <f>(Sheet1!A214)</f>
        <v>1cVGXbO2lp52NndvygvM_F7Cqcy0EMGxzT1ZUlpTQeiI</v>
      </c>
      <c r="C207" s="25" t="str">
        <f>(Sheet1!B214)</f>
        <v>BARABANKI MOTORS</v>
      </c>
      <c r="D207" s="34">
        <v>19500.0</v>
      </c>
      <c r="E207" s="49">
        <v>44678.0</v>
      </c>
      <c r="F207" s="34" t="s">
        <v>4389</v>
      </c>
      <c r="G207" s="34" t="s">
        <v>4131</v>
      </c>
      <c r="H207" s="34" t="s">
        <v>3950</v>
      </c>
      <c r="I207" s="50">
        <v>44679.412511574075</v>
      </c>
      <c r="J207" s="34" t="s">
        <v>3951</v>
      </c>
      <c r="K207" s="50">
        <v>44679.53991898148</v>
      </c>
      <c r="L207" s="34" t="s">
        <v>3952</v>
      </c>
      <c r="M207" s="34" t="s">
        <v>3953</v>
      </c>
      <c r="N207" s="34">
        <v>2.0220428095401E13</v>
      </c>
    </row>
    <row r="208">
      <c r="A208" s="30" t="s">
        <v>4390</v>
      </c>
      <c r="B208" s="25" t="str">
        <f>(Sheet1!A121)</f>
        <v>1egrFzds1dA_qcyd-YeJKBrt74ORJ0Jzk4cfbN-wYoKI</v>
      </c>
      <c r="C208" s="25" t="str">
        <f>(Sheet1!B121)</f>
        <v>Venus Hero Venture - Firozabad</v>
      </c>
      <c r="D208" s="34">
        <v>100000.0</v>
      </c>
      <c r="E208" s="49">
        <v>44678.0</v>
      </c>
      <c r="F208" s="34" t="s">
        <v>4391</v>
      </c>
      <c r="G208" s="34" t="s">
        <v>4392</v>
      </c>
      <c r="H208" s="34" t="s">
        <v>3950</v>
      </c>
      <c r="I208" s="50">
        <v>44679.41354166667</v>
      </c>
      <c r="J208" s="34" t="s">
        <v>3951</v>
      </c>
      <c r="K208" s="50">
        <v>44679.540601851855</v>
      </c>
      <c r="L208" s="34" t="s">
        <v>3952</v>
      </c>
      <c r="M208" s="34" t="s">
        <v>3953</v>
      </c>
      <c r="N208" s="34">
        <v>2.022042809553E13</v>
      </c>
    </row>
    <row r="209">
      <c r="A209" s="30" t="s">
        <v>4393</v>
      </c>
      <c r="B209" s="25" t="str">
        <f>(Sheet1!A36)</f>
        <v>1AjVyIHPgPw3jscNmkTH1qzR2RokK5FZaJLjeNfOiYAA</v>
      </c>
      <c r="C209" s="25" t="str">
        <f>(Sheet1!B36)</f>
        <v>AAA</v>
      </c>
      <c r="D209" s="34">
        <v>10000.0</v>
      </c>
      <c r="E209" s="49">
        <v>44679.0</v>
      </c>
      <c r="F209" s="34"/>
      <c r="G209" s="34" t="s">
        <v>4394</v>
      </c>
      <c r="H209" s="34" t="s">
        <v>3950</v>
      </c>
      <c r="I209" s="50">
        <v>44679.527453703704</v>
      </c>
      <c r="J209" s="34" t="s">
        <v>3951</v>
      </c>
      <c r="K209" s="50">
        <v>44679.52792824074</v>
      </c>
      <c r="L209" s="34" t="s">
        <v>3952</v>
      </c>
      <c r="M209" s="34" t="s">
        <v>3812</v>
      </c>
      <c r="N209" s="34">
        <v>2.0220428123932E13</v>
      </c>
    </row>
    <row r="210">
      <c r="A210" s="30" t="s">
        <v>4395</v>
      </c>
      <c r="B210" s="25" t="str">
        <f>(Sheet1!A36)</f>
        <v>1AjVyIHPgPw3jscNmkTH1qzR2RokK5FZaJLjeNfOiYAA</v>
      </c>
      <c r="C210" s="25" t="str">
        <f>(Sheet1!B36)</f>
        <v>AAA</v>
      </c>
      <c r="D210" s="34">
        <v>100000.0</v>
      </c>
      <c r="E210" s="49">
        <v>44679.0</v>
      </c>
      <c r="F210" s="34">
        <v>2.11812739603E11</v>
      </c>
      <c r="G210" s="34" t="s">
        <v>4396</v>
      </c>
      <c r="H210" s="34" t="s">
        <v>3950</v>
      </c>
      <c r="I210" s="50">
        <v>44679.532430555555</v>
      </c>
      <c r="J210" s="34" t="s">
        <v>3951</v>
      </c>
      <c r="K210" s="50">
        <v>44679.646875</v>
      </c>
      <c r="L210" s="34" t="s">
        <v>3952</v>
      </c>
      <c r="M210" s="34" t="s">
        <v>3953</v>
      </c>
      <c r="N210" s="34">
        <v>2.0220428124642E13</v>
      </c>
    </row>
    <row r="211">
      <c r="A211" s="30" t="s">
        <v>4397</v>
      </c>
      <c r="B211" s="25" t="str">
        <f>(Sheet1!A217)</f>
        <v>19J_y8BUN9RSe9TTg9cxKYBBv29Tfi7RwvKo8Va7MJRQ</v>
      </c>
      <c r="C211" s="25" t="str">
        <f>(Sheet1!B217)</f>
        <v>Kshitij Auto Wheelers - Mirzapur</v>
      </c>
      <c r="D211" s="34">
        <v>40000.0</v>
      </c>
      <c r="E211" s="49">
        <v>44679.0</v>
      </c>
      <c r="F211" s="34" t="s">
        <v>4398</v>
      </c>
      <c r="G211" s="34" t="s">
        <v>4176</v>
      </c>
      <c r="H211" s="34" t="s">
        <v>3950</v>
      </c>
      <c r="I211" s="50">
        <v>44679.640023148146</v>
      </c>
      <c r="J211" s="34" t="s">
        <v>3951</v>
      </c>
      <c r="K211" s="50">
        <v>44679.64711805555</v>
      </c>
      <c r="L211" s="34" t="s">
        <v>3952</v>
      </c>
      <c r="M211" s="34" t="s">
        <v>3953</v>
      </c>
      <c r="N211" s="34">
        <v>2.0220428152138E13</v>
      </c>
    </row>
    <row r="212">
      <c r="A212" s="30" t="s">
        <v>4399</v>
      </c>
      <c r="B212" s="25" t="str">
        <f>(Sheet1!A119)</f>
        <v>11FZlKtFUzBvNAVUVwf1C2KpyoxHhbZTiI7E_EdPr-mg</v>
      </c>
      <c r="C212" s="25" t="str">
        <f>(Sheet1!B119)</f>
        <v>Sumitra Sons - Shahajahanpur</v>
      </c>
      <c r="D212" s="34">
        <v>25000.0</v>
      </c>
      <c r="E212" s="49">
        <v>44679.0</v>
      </c>
      <c r="F212" s="34" t="s">
        <v>4400</v>
      </c>
      <c r="G212" s="34" t="s">
        <v>4401</v>
      </c>
      <c r="H212" s="34" t="s">
        <v>3950</v>
      </c>
      <c r="I212" s="50">
        <v>44679.68009259259</v>
      </c>
      <c r="J212" s="34" t="s">
        <v>3951</v>
      </c>
      <c r="K212" s="50">
        <v>44679.68140046296</v>
      </c>
      <c r="L212" s="34" t="s">
        <v>3952</v>
      </c>
      <c r="M212" s="34" t="s">
        <v>3953</v>
      </c>
      <c r="N212" s="34">
        <v>2.022042816192E13</v>
      </c>
    </row>
    <row r="213">
      <c r="A213" s="30" t="s">
        <v>4402</v>
      </c>
      <c r="B213" s="25" t="str">
        <f>(Sheet1!A171)</f>
        <v>1kKJQREB-gMUjjfvkNJBZGf8b6FppISEs2byO4uZriFc</v>
      </c>
      <c r="C213" s="25" t="str">
        <f>(Sheet1!B171)</f>
        <v>Navya Motors - Gorakhpur</v>
      </c>
      <c r="D213" s="34">
        <v>50000.0</v>
      </c>
      <c r="E213" s="49">
        <v>44679.0</v>
      </c>
      <c r="F213" s="34">
        <v>1.74430853E8</v>
      </c>
      <c r="G213" s="34" t="s">
        <v>4261</v>
      </c>
      <c r="H213" s="34" t="s">
        <v>3950</v>
      </c>
      <c r="I213" s="50">
        <v>44679.7415625</v>
      </c>
      <c r="J213" s="34" t="s">
        <v>3951</v>
      </c>
      <c r="K213" s="50">
        <v>44679.74706018518</v>
      </c>
      <c r="L213" s="34" t="s">
        <v>3952</v>
      </c>
      <c r="M213" s="34" t="s">
        <v>3953</v>
      </c>
      <c r="N213" s="34">
        <v>2.0220428174751E13</v>
      </c>
    </row>
    <row r="214">
      <c r="A214" s="30" t="s">
        <v>4403</v>
      </c>
      <c r="B214" s="25" t="str">
        <f>(Sheet1!A325)</f>
        <v>16tjO40jnriUy06QB22S0NR8Wknhx9T0lcBH_yEqsZIw</v>
      </c>
      <c r="C214" s="25" t="str">
        <f>(Sheet1!B325)</f>
        <v>TANUSHKA HERO- GWALIOR</v>
      </c>
      <c r="D214" s="34">
        <v>100000.0</v>
      </c>
      <c r="E214" s="49">
        <v>44680.0</v>
      </c>
      <c r="F214" s="34" t="s">
        <v>4404</v>
      </c>
      <c r="G214" s="34" t="s">
        <v>4338</v>
      </c>
      <c r="H214" s="34" t="s">
        <v>3950</v>
      </c>
      <c r="I214" s="50">
        <v>44680.48559027778</v>
      </c>
      <c r="J214" s="34" t="s">
        <v>3951</v>
      </c>
      <c r="K214" s="50">
        <v>44680.55037037037</v>
      </c>
      <c r="L214" s="34" t="s">
        <v>3952</v>
      </c>
      <c r="M214" s="34" t="s">
        <v>3953</v>
      </c>
      <c r="N214" s="34">
        <v>2.0220429113915E13</v>
      </c>
    </row>
    <row r="215">
      <c r="A215" s="30" t="s">
        <v>4405</v>
      </c>
      <c r="B215" s="25" t="str">
        <f>(Sheet1!A318)</f>
        <v>1YAU91TFMaYFp0IiAMJOnSMw_yeIgNk_GdChvblrhYL8</v>
      </c>
      <c r="C215" s="25" t="str">
        <f>(Sheet1!B318)</f>
        <v>A.R.C.C- HERO(SMA)</v>
      </c>
      <c r="D215" s="34">
        <v>10000.0</v>
      </c>
      <c r="E215" s="49">
        <v>44680.0</v>
      </c>
      <c r="F215" s="34">
        <v>2.11962939539E11</v>
      </c>
      <c r="G215" s="34" t="s">
        <v>4003</v>
      </c>
      <c r="H215" s="34" t="s">
        <v>3950</v>
      </c>
      <c r="I215" s="50">
        <v>44680.66986111111</v>
      </c>
      <c r="J215" s="34" t="s">
        <v>3951</v>
      </c>
      <c r="K215" s="50">
        <v>44680.73443287037</v>
      </c>
      <c r="L215" s="34" t="s">
        <v>3952</v>
      </c>
      <c r="M215" s="34" t="s">
        <v>3953</v>
      </c>
      <c r="N215" s="34">
        <v>2.0220429160436E13</v>
      </c>
    </row>
    <row r="216">
      <c r="A216" s="30" t="s">
        <v>4406</v>
      </c>
      <c r="B216" s="25" t="str">
        <f>(Sheet1!A7)</f>
        <v>1944RLX7T1M23YXRXYoMnJ6nD_bKLldQXRpFRA0rDLvg</v>
      </c>
      <c r="C216" s="25" t="str">
        <f>(Sheet1!B7)</f>
        <v>Vikas Autowheels</v>
      </c>
      <c r="D216" s="34">
        <v>117640.0</v>
      </c>
      <c r="E216" s="49">
        <v>44680.0</v>
      </c>
      <c r="F216" s="34" t="s">
        <v>4407</v>
      </c>
      <c r="G216" s="34" t="s">
        <v>4408</v>
      </c>
      <c r="H216" s="34" t="s">
        <v>3950</v>
      </c>
      <c r="I216" s="50">
        <v>44680.70107638889</v>
      </c>
      <c r="J216" s="34" t="s">
        <v>3951</v>
      </c>
      <c r="K216" s="50">
        <v>44680.73447916667</v>
      </c>
      <c r="L216" s="34" t="s">
        <v>3952</v>
      </c>
      <c r="M216" s="34" t="s">
        <v>3953</v>
      </c>
      <c r="N216" s="34">
        <v>2.0220429164933E13</v>
      </c>
    </row>
    <row r="217">
      <c r="A217" s="30" t="s">
        <v>4409</v>
      </c>
      <c r="B217" s="25" t="str">
        <f>(Sheet1!A234)</f>
        <v>1R0uwjETF80Vss8P2a0gSsIF2iqphq4WIGrUlHbCVjKw</v>
      </c>
      <c r="C217" s="25" t="str">
        <f>(Sheet1!B234)</f>
        <v>VTECH TVS- AHMEDABAD</v>
      </c>
      <c r="D217" s="34">
        <v>25000.0</v>
      </c>
      <c r="E217" s="49">
        <v>44680.0</v>
      </c>
      <c r="F217" s="34" t="s">
        <v>4410</v>
      </c>
      <c r="G217" s="34" t="s">
        <v>4411</v>
      </c>
      <c r="H217" s="34" t="s">
        <v>3950</v>
      </c>
      <c r="I217" s="50">
        <v>44680.75387731481</v>
      </c>
      <c r="J217" s="34" t="s">
        <v>3951</v>
      </c>
      <c r="K217" s="50">
        <v>44680.75465277778</v>
      </c>
      <c r="L217" s="34" t="s">
        <v>3952</v>
      </c>
      <c r="M217" s="34" t="s">
        <v>3953</v>
      </c>
      <c r="N217" s="34">
        <v>2.0220429180535E13</v>
      </c>
    </row>
    <row r="218">
      <c r="A218" s="30" t="s">
        <v>4412</v>
      </c>
      <c r="B218" s="25" t="str">
        <f>(Sheet1!A344)</f>
        <v>1lHqETbIH4pLQdUL2QQgIDownEvMU9QozqqnIMcLSCfg</v>
      </c>
      <c r="C218" s="25" t="str">
        <f>(Sheet1!B344)</f>
        <v>SHRI RAM AUTOMOBILES - HATPIPLIYA</v>
      </c>
      <c r="D218" s="34">
        <v>10000.0</v>
      </c>
      <c r="E218" s="49">
        <v>44680.0</v>
      </c>
      <c r="F218" s="34" t="s">
        <v>4413</v>
      </c>
      <c r="G218" s="34" t="s">
        <v>4414</v>
      </c>
      <c r="H218" s="34" t="s">
        <v>3950</v>
      </c>
      <c r="I218" s="50">
        <v>44681.36503472222</v>
      </c>
      <c r="J218" s="34" t="s">
        <v>3951</v>
      </c>
      <c r="K218" s="50">
        <v>44681.4309375</v>
      </c>
      <c r="L218" s="34" t="s">
        <v>3952</v>
      </c>
      <c r="M218" s="34" t="s">
        <v>3953</v>
      </c>
      <c r="N218" s="34">
        <v>2.0220430084539E13</v>
      </c>
    </row>
    <row r="219">
      <c r="A219" s="30" t="s">
        <v>4415</v>
      </c>
      <c r="B219" s="25" t="str">
        <f>(Sheet1!A328)</f>
        <v>1mxT1doFWSIKC49QGKrgrgC6fUkICfT4DLlAcSQC9Pc4</v>
      </c>
      <c r="C219" s="25" t="str">
        <f>(Sheet1!B328)</f>
        <v>KSHIPRA HERO-UJJAIN</v>
      </c>
      <c r="D219" s="34">
        <v>25000.0</v>
      </c>
      <c r="E219" s="49">
        <v>44681.0</v>
      </c>
      <c r="F219" s="34">
        <v>2.82722921E8</v>
      </c>
      <c r="G219" s="34" t="s">
        <v>4416</v>
      </c>
      <c r="H219" s="34" t="s">
        <v>3950</v>
      </c>
      <c r="I219" s="50">
        <v>44681.60679398148</v>
      </c>
      <c r="J219" s="34" t="s">
        <v>3951</v>
      </c>
      <c r="K219" s="50">
        <v>44681.63872685185</v>
      </c>
      <c r="L219" s="34" t="s">
        <v>3952</v>
      </c>
      <c r="M219" s="34" t="s">
        <v>3953</v>
      </c>
      <c r="N219" s="34">
        <v>2.0220430143347E13</v>
      </c>
    </row>
    <row r="220">
      <c r="A220" s="30" t="s">
        <v>4417</v>
      </c>
      <c r="B220" s="25" t="str">
        <f>(Sheet1!A358)</f>
        <v>1jfpEW8cuuUihhL5SOgSGnhE6g038H7_TOjUmP2QGajY</v>
      </c>
      <c r="C220" s="25" t="str">
        <f>(Sheet1!B358)</f>
        <v>ZUMMERWALA TVS- VADODRA</v>
      </c>
      <c r="D220" s="34">
        <v>70000.0</v>
      </c>
      <c r="E220" s="49">
        <v>44682.0</v>
      </c>
      <c r="F220" s="34" t="s">
        <v>4418</v>
      </c>
      <c r="G220" s="34" t="s">
        <v>4419</v>
      </c>
      <c r="H220" s="34" t="s">
        <v>3950</v>
      </c>
      <c r="I220" s="50">
        <v>44682.69871527778</v>
      </c>
      <c r="J220" s="34" t="s">
        <v>3951</v>
      </c>
      <c r="K220" s="50">
        <v>44682.71556712963</v>
      </c>
      <c r="L220" s="34" t="s">
        <v>3952</v>
      </c>
      <c r="M220" s="34" t="s">
        <v>3953</v>
      </c>
      <c r="N220" s="34">
        <v>2.0220501164609E13</v>
      </c>
    </row>
    <row r="221">
      <c r="A221" s="30" t="s">
        <v>4420</v>
      </c>
      <c r="B221" s="25" t="str">
        <f>(Sheet1!A158)</f>
        <v>1L9RtM1bzB4DA93tD_IGwUFHY3tNGdFYoNpultJI5GgQ</v>
      </c>
      <c r="C221" s="25" t="str">
        <f>(Sheet1!B158)</f>
        <v>Sushil automobiles - Basti</v>
      </c>
      <c r="D221" s="34">
        <v>150000.0</v>
      </c>
      <c r="E221" s="49">
        <v>44682.0</v>
      </c>
      <c r="F221" s="34">
        <v>2.05018652639E11</v>
      </c>
      <c r="G221" s="34" t="s">
        <v>4421</v>
      </c>
      <c r="H221" s="34" t="s">
        <v>3950</v>
      </c>
      <c r="I221" s="50">
        <v>44682.70045138889</v>
      </c>
      <c r="J221" s="34" t="s">
        <v>3951</v>
      </c>
      <c r="K221" s="50">
        <v>44682.71574074074</v>
      </c>
      <c r="L221" s="34" t="s">
        <v>3952</v>
      </c>
      <c r="M221" s="34" t="s">
        <v>3953</v>
      </c>
      <c r="N221" s="34">
        <v>2.0220501164839E13</v>
      </c>
    </row>
    <row r="222">
      <c r="A222" s="30" t="s">
        <v>4422</v>
      </c>
      <c r="B222" s="25" t="str">
        <f>(Sheet1!A218)</f>
        <v>1pIkLTEq99ZID0V0k8H0hOFXZDJQMaAoy2fsIol-e81k</v>
      </c>
      <c r="C222" s="25" t="str">
        <f>(Sheet1!B218)</f>
        <v>NITIN MATANHELIA - GORAKHPUR</v>
      </c>
      <c r="D222" s="34">
        <v>35000.0</v>
      </c>
      <c r="E222" s="49">
        <v>44682.0</v>
      </c>
      <c r="F222" s="34">
        <v>2.12115388388E11</v>
      </c>
      <c r="G222" s="34" t="s">
        <v>4423</v>
      </c>
      <c r="H222" s="34" t="s">
        <v>3950</v>
      </c>
      <c r="I222" s="50">
        <v>44682.70164351852</v>
      </c>
      <c r="J222" s="34" t="s">
        <v>3951</v>
      </c>
      <c r="K222" s="50">
        <v>44682.715844907405</v>
      </c>
      <c r="L222" s="34" t="s">
        <v>3952</v>
      </c>
      <c r="M222" s="34" t="s">
        <v>3953</v>
      </c>
      <c r="N222" s="34">
        <v>2.0220501165022E13</v>
      </c>
    </row>
    <row r="223">
      <c r="A223" s="30" t="s">
        <v>4424</v>
      </c>
      <c r="B223" s="25" t="str">
        <f>(Sheet1!A217)</f>
        <v>19J_y8BUN9RSe9TTg9cxKYBBv29Tfi7RwvKo8Va7MJRQ</v>
      </c>
      <c r="C223" s="25" t="str">
        <f>(Sheet1!B217)</f>
        <v>Kshitij Auto Wheelers - Mirzapur</v>
      </c>
      <c r="D223" s="34">
        <v>40000.0</v>
      </c>
      <c r="E223" s="49">
        <v>44682.0</v>
      </c>
      <c r="F223" s="34" t="s">
        <v>4425</v>
      </c>
      <c r="G223" s="34" t="s">
        <v>4176</v>
      </c>
      <c r="H223" s="34" t="s">
        <v>3950</v>
      </c>
      <c r="I223" s="50">
        <v>44682.70284722222</v>
      </c>
      <c r="J223" s="34" t="s">
        <v>3951</v>
      </c>
      <c r="K223" s="50">
        <v>44682.71597222222</v>
      </c>
      <c r="L223" s="34" t="s">
        <v>3952</v>
      </c>
      <c r="M223" s="34" t="s">
        <v>3953</v>
      </c>
      <c r="N223" s="34">
        <v>2.0220501165206E13</v>
      </c>
    </row>
    <row r="224">
      <c r="A224" s="30" t="s">
        <v>4426</v>
      </c>
      <c r="B224" s="25" t="str">
        <f>(Sheet1!A343)</f>
        <v>1QVBShIrTLBej8s_qXhBmCICNAN5JsR5KakezwfMLZV0</v>
      </c>
      <c r="C224" s="25" t="str">
        <f>(Sheet1!B343)</f>
        <v>ANAS MOTORS- SUPAUL</v>
      </c>
      <c r="D224" s="34">
        <v>25000.0</v>
      </c>
      <c r="E224" s="49">
        <v>44682.0</v>
      </c>
      <c r="F224" s="34">
        <v>2.12116769276E11</v>
      </c>
      <c r="G224" s="34" t="s">
        <v>4233</v>
      </c>
      <c r="H224" s="34" t="s">
        <v>3950</v>
      </c>
      <c r="I224" s="50">
        <v>44682.70380787037</v>
      </c>
      <c r="J224" s="34" t="s">
        <v>3951</v>
      </c>
      <c r="K224" s="50">
        <v>44682.71605324074</v>
      </c>
      <c r="L224" s="34" t="s">
        <v>3952</v>
      </c>
      <c r="M224" s="34" t="s">
        <v>3953</v>
      </c>
      <c r="N224" s="34">
        <v>2.0220501165329E13</v>
      </c>
    </row>
    <row r="225">
      <c r="A225" s="30" t="s">
        <v>4427</v>
      </c>
      <c r="B225" s="25" t="str">
        <f>(Sheet1!A214)</f>
        <v>1cVGXbO2lp52NndvygvM_F7Cqcy0EMGxzT1ZUlpTQeiI</v>
      </c>
      <c r="C225" s="25" t="str">
        <f>(Sheet1!B214)</f>
        <v>BARABANKI MOTORS</v>
      </c>
      <c r="D225" s="34">
        <v>19500.0</v>
      </c>
      <c r="E225" s="49">
        <v>44682.0</v>
      </c>
      <c r="F225" s="34" t="s">
        <v>4428</v>
      </c>
      <c r="G225" s="34" t="s">
        <v>4131</v>
      </c>
      <c r="H225" s="34" t="s">
        <v>3950</v>
      </c>
      <c r="I225" s="50">
        <v>44682.7062037037</v>
      </c>
      <c r="J225" s="34" t="s">
        <v>3951</v>
      </c>
      <c r="K225" s="50">
        <v>44682.716203703705</v>
      </c>
      <c r="L225" s="34" t="s">
        <v>3952</v>
      </c>
      <c r="M225" s="34" t="s">
        <v>3953</v>
      </c>
      <c r="N225" s="34">
        <v>2.0220501165656E13</v>
      </c>
    </row>
    <row r="226">
      <c r="A226" s="30" t="s">
        <v>4429</v>
      </c>
      <c r="B226" s="25" t="str">
        <f>(Sheet1!A296)</f>
        <v>1050xuIkuCwbciPjL7NYnIQd49nor1NbjSoUBzXpeVrU</v>
      </c>
      <c r="C226" s="25" t="str">
        <f>(Sheet1!B296)</f>
        <v>ARC HERO- MAHIPALPUR</v>
      </c>
      <c r="D226" s="34">
        <v>12000.0</v>
      </c>
      <c r="E226" s="49">
        <v>44682.0</v>
      </c>
      <c r="F226" s="34">
        <v>3.36173089E8</v>
      </c>
      <c r="G226" s="34" t="s">
        <v>3963</v>
      </c>
      <c r="H226" s="34" t="s">
        <v>3950</v>
      </c>
      <c r="I226" s="50">
        <v>44682.72766203704</v>
      </c>
      <c r="J226" s="34" t="s">
        <v>3951</v>
      </c>
      <c r="K226" s="50">
        <v>44682.7341087963</v>
      </c>
      <c r="L226" s="34" t="s">
        <v>3952</v>
      </c>
      <c r="M226" s="34" t="s">
        <v>3953</v>
      </c>
      <c r="N226" s="34">
        <v>2.022050117275E13</v>
      </c>
    </row>
    <row r="227">
      <c r="A227" s="30" t="s">
        <v>4430</v>
      </c>
      <c r="B227" s="25" t="str">
        <f>(Sheet1!A269)</f>
        <v>1Ql_6BdBcHGAyITSZt1pNUK3bW54CzeThIBXr7aH7K3Y</v>
      </c>
      <c r="C227" s="25" t="str">
        <f>(Sheet1!B269)</f>
        <v>Gupta Automobiles - Padrauna</v>
      </c>
      <c r="D227" s="34">
        <v>200000.0</v>
      </c>
      <c r="E227" s="49">
        <v>44683.0</v>
      </c>
      <c r="F227" s="34" t="s">
        <v>4431</v>
      </c>
      <c r="G227" s="34" t="s">
        <v>4432</v>
      </c>
      <c r="H227" s="34" t="s">
        <v>3950</v>
      </c>
      <c r="I227" s="50">
        <v>44683.59747685185</v>
      </c>
      <c r="J227" s="34" t="s">
        <v>3951</v>
      </c>
      <c r="K227" s="50">
        <v>44683.63869212963</v>
      </c>
      <c r="L227" s="34" t="s">
        <v>3952</v>
      </c>
      <c r="M227" s="34" t="s">
        <v>3953</v>
      </c>
      <c r="N227" s="34">
        <v>2.0220502142022E13</v>
      </c>
    </row>
    <row r="228">
      <c r="A228" s="30" t="s">
        <v>4433</v>
      </c>
      <c r="B228" s="25" t="str">
        <f>(Sheet1!A318)</f>
        <v>1YAU91TFMaYFp0IiAMJOnSMw_yeIgNk_GdChvblrhYL8</v>
      </c>
      <c r="C228" s="25" t="str">
        <f>(Sheet1!B318)</f>
        <v>A.R.C.C- HERO(SMA)</v>
      </c>
      <c r="D228" s="34">
        <v>10000.0</v>
      </c>
      <c r="E228" s="49">
        <v>44683.0</v>
      </c>
      <c r="F228" s="34">
        <v>2.12211363995E11</v>
      </c>
      <c r="G228" s="34" t="s">
        <v>4003</v>
      </c>
      <c r="H228" s="34" t="s">
        <v>3950</v>
      </c>
      <c r="I228" s="50">
        <v>44683.59813657407</v>
      </c>
      <c r="J228" s="34" t="s">
        <v>3951</v>
      </c>
      <c r="K228" s="50">
        <v>44683.63891203704</v>
      </c>
      <c r="L228" s="34" t="s">
        <v>3952</v>
      </c>
      <c r="M228" s="34" t="s">
        <v>3953</v>
      </c>
      <c r="N228" s="34">
        <v>2.0220502142119E13</v>
      </c>
    </row>
    <row r="229">
      <c r="A229" s="30" t="s">
        <v>4434</v>
      </c>
      <c r="B229" s="25" t="str">
        <f>(Sheet1!A214)</f>
        <v>1cVGXbO2lp52NndvygvM_F7Cqcy0EMGxzT1ZUlpTQeiI</v>
      </c>
      <c r="C229" s="25" t="str">
        <f>(Sheet1!B214)</f>
        <v>BARABANKI MOTORS</v>
      </c>
      <c r="D229" s="34">
        <v>39000.0</v>
      </c>
      <c r="E229" s="49">
        <v>44683.0</v>
      </c>
      <c r="F229" s="34" t="s">
        <v>4435</v>
      </c>
      <c r="G229" s="34" t="s">
        <v>4131</v>
      </c>
      <c r="H229" s="34" t="s">
        <v>3950</v>
      </c>
      <c r="I229" s="50">
        <v>44683.629525462966</v>
      </c>
      <c r="J229" s="34" t="s">
        <v>3951</v>
      </c>
      <c r="K229" s="50">
        <v>44683.639131944445</v>
      </c>
      <c r="L229" s="34" t="s">
        <v>3952</v>
      </c>
      <c r="M229" s="34" t="s">
        <v>3953</v>
      </c>
      <c r="N229" s="34">
        <v>2.0220502150631E13</v>
      </c>
    </row>
    <row r="230">
      <c r="A230" s="30" t="s">
        <v>4436</v>
      </c>
      <c r="B230" s="25" t="str">
        <f>(Sheet1!A357)</f>
        <v>1zpjD0n2MDMpnv6d3XmAb2OMfLjhiWI0P_3JnMudl7oI</v>
      </c>
      <c r="C230" s="25" t="str">
        <f>(Sheet1!B357)</f>
        <v>BHARAT HERO - ISLAMPUR</v>
      </c>
      <c r="D230" s="34">
        <v>25000.0</v>
      </c>
      <c r="E230" s="49">
        <v>44683.0</v>
      </c>
      <c r="F230" s="34"/>
      <c r="G230" s="34" t="s">
        <v>4437</v>
      </c>
      <c r="H230" s="34" t="s">
        <v>3950</v>
      </c>
      <c r="I230" s="50">
        <v>44683.67849537037</v>
      </c>
      <c r="J230" s="34" t="s">
        <v>3951</v>
      </c>
      <c r="K230" s="50">
        <v>44683.679085648146</v>
      </c>
      <c r="L230" s="34" t="s">
        <v>3952</v>
      </c>
      <c r="M230" s="34" t="s">
        <v>3953</v>
      </c>
      <c r="N230" s="34">
        <v>2.0220502161702E13</v>
      </c>
    </row>
    <row r="231">
      <c r="A231" s="30" t="s">
        <v>4438</v>
      </c>
      <c r="B231" s="25" t="str">
        <f>(Sheet1!A180)</f>
        <v>15if03Q4YLoDcHi2HznX5QBpY6yQHJPDyifJKxRYKV-8</v>
      </c>
      <c r="C231" s="25" t="str">
        <f>(Sheet1!B180)</f>
        <v>SATKAR HONDA - RUDRAPUR</v>
      </c>
      <c r="D231" s="34">
        <v>14144.0</v>
      </c>
      <c r="E231" s="49">
        <v>44683.0</v>
      </c>
      <c r="F231" s="34" t="s">
        <v>4439</v>
      </c>
      <c r="G231" s="34" t="s">
        <v>4440</v>
      </c>
      <c r="H231" s="34" t="s">
        <v>3950</v>
      </c>
      <c r="I231" s="50">
        <v>44683.911203703705</v>
      </c>
      <c r="J231" s="34" t="s">
        <v>3951</v>
      </c>
      <c r="K231" s="50">
        <v>44683.96703703704</v>
      </c>
      <c r="L231" s="34" t="s">
        <v>3952</v>
      </c>
      <c r="M231" s="34" t="s">
        <v>3953</v>
      </c>
      <c r="N231" s="34">
        <v>2.0220502215208E13</v>
      </c>
    </row>
    <row r="232">
      <c r="A232" s="30" t="s">
        <v>4441</v>
      </c>
      <c r="B232" s="25" t="str">
        <f>(Sheet1!A296)</f>
        <v>1050xuIkuCwbciPjL7NYnIQd49nor1NbjSoUBzXpeVrU</v>
      </c>
      <c r="C232" s="25" t="str">
        <f>(Sheet1!B296)</f>
        <v>ARC HERO- MAHIPALPUR</v>
      </c>
      <c r="D232" s="34">
        <v>18000.0</v>
      </c>
      <c r="E232" s="49">
        <v>44684.0</v>
      </c>
      <c r="F232" s="34">
        <v>1.76131619E8</v>
      </c>
      <c r="G232" s="34" t="s">
        <v>3963</v>
      </c>
      <c r="H232" s="34" t="s">
        <v>3950</v>
      </c>
      <c r="I232" s="50">
        <v>44684.60663194444</v>
      </c>
      <c r="J232" s="34" t="s">
        <v>3951</v>
      </c>
      <c r="K232" s="50">
        <v>44684.60870370371</v>
      </c>
      <c r="L232" s="34" t="s">
        <v>3952</v>
      </c>
      <c r="M232" s="34" t="s">
        <v>3953</v>
      </c>
      <c r="N232" s="34">
        <v>2.0220503143333E13</v>
      </c>
    </row>
    <row r="233">
      <c r="A233" s="30" t="s">
        <v>4442</v>
      </c>
      <c r="B233" s="25" t="str">
        <f>(Sheet1!A358)</f>
        <v>1jfpEW8cuuUihhL5SOgSGnhE6g038H7_TOjUmP2QGajY</v>
      </c>
      <c r="C233" s="25" t="str">
        <f>(Sheet1!B358)</f>
        <v>ZUMMERWALA TVS- VADODRA</v>
      </c>
      <c r="D233" s="34">
        <v>13062.75</v>
      </c>
      <c r="E233" s="49">
        <v>44684.0</v>
      </c>
      <c r="F233" s="34" t="s">
        <v>4443</v>
      </c>
      <c r="G233" s="34" t="s">
        <v>4443</v>
      </c>
      <c r="H233" s="34" t="s">
        <v>4071</v>
      </c>
      <c r="I233" s="50">
        <v>44684.70197916667</v>
      </c>
      <c r="J233" s="34" t="s">
        <v>3951</v>
      </c>
      <c r="K233" s="50">
        <v>44684.773125</v>
      </c>
      <c r="L233" s="34" t="s">
        <v>4012</v>
      </c>
      <c r="M233" s="34" t="s">
        <v>4009</v>
      </c>
      <c r="N233" s="34">
        <v>2.0220503165051E13</v>
      </c>
    </row>
    <row r="234">
      <c r="A234" s="30" t="s">
        <v>4444</v>
      </c>
      <c r="B234" s="25" t="str">
        <f>(Sheet1!A296)</f>
        <v>1050xuIkuCwbciPjL7NYnIQd49nor1NbjSoUBzXpeVrU</v>
      </c>
      <c r="C234" s="25" t="str">
        <f>(Sheet1!B296)</f>
        <v>ARC HERO- MAHIPALPUR</v>
      </c>
      <c r="D234" s="34">
        <v>12000.0</v>
      </c>
      <c r="E234" s="49">
        <v>44684.0</v>
      </c>
      <c r="F234" s="34">
        <v>1.8012025E8</v>
      </c>
      <c r="G234" s="34" t="s">
        <v>3963</v>
      </c>
      <c r="H234" s="34" t="s">
        <v>3950</v>
      </c>
      <c r="I234" s="50">
        <v>44684.758738425924</v>
      </c>
      <c r="J234" s="34" t="s">
        <v>3951</v>
      </c>
      <c r="K234" s="50">
        <v>44684.76082175926</v>
      </c>
      <c r="L234" s="34" t="s">
        <v>3952</v>
      </c>
      <c r="M234" s="34" t="s">
        <v>3953</v>
      </c>
      <c r="N234" s="34">
        <v>2.0220503181235E13</v>
      </c>
    </row>
    <row r="235">
      <c r="A235" s="30" t="s">
        <v>4445</v>
      </c>
      <c r="B235" s="25" t="str">
        <f>(Sheet1!A175)</f>
        <v>1DVpSm5a7kKqZxFgDUdJBRIcgAuTZosRKDnkmPEIdEG4</v>
      </c>
      <c r="C235" s="25" t="str">
        <f>(Sheet1!B175)</f>
        <v>MAHESH MOTORS - DINAJPUR</v>
      </c>
      <c r="D235" s="34">
        <v>30000.0</v>
      </c>
      <c r="E235" s="49">
        <v>44684.0</v>
      </c>
      <c r="F235" s="34" t="s">
        <v>4446</v>
      </c>
      <c r="G235" s="34" t="s">
        <v>4447</v>
      </c>
      <c r="H235" s="34" t="s">
        <v>3950</v>
      </c>
      <c r="I235" s="50">
        <v>44684.75951388889</v>
      </c>
      <c r="J235" s="34" t="s">
        <v>3951</v>
      </c>
      <c r="K235" s="50">
        <v>44684.76085648148</v>
      </c>
      <c r="L235" s="34" t="s">
        <v>3952</v>
      </c>
      <c r="M235" s="34" t="s">
        <v>3953</v>
      </c>
      <c r="N235" s="34">
        <v>2.0220503181342E13</v>
      </c>
    </row>
    <row r="236">
      <c r="A236" s="30" t="s">
        <v>4448</v>
      </c>
      <c r="B236" s="25" t="str">
        <f>(Sheet1!A224)</f>
        <v>1JAbS28NFmfJxZrsQ7twsfzmqCme35J_wqOELlcNcX1c</v>
      </c>
      <c r="C236" s="25" t="str">
        <f>(Sheet1!B224)</f>
        <v>STALLIONZ TVS - AHMEDABAD</v>
      </c>
      <c r="D236" s="34">
        <v>10000.0</v>
      </c>
      <c r="E236" s="49">
        <v>44684.0</v>
      </c>
      <c r="F236" s="34" t="s">
        <v>4449</v>
      </c>
      <c r="G236" s="34" t="s">
        <v>4450</v>
      </c>
      <c r="H236" s="34" t="s">
        <v>3950</v>
      </c>
      <c r="I236" s="50">
        <v>44685.43828703704</v>
      </c>
      <c r="J236" s="34" t="s">
        <v>3951</v>
      </c>
      <c r="K236" s="50">
        <v>44685.43952546296</v>
      </c>
      <c r="L236" s="34" t="s">
        <v>3952</v>
      </c>
      <c r="M236" s="34" t="s">
        <v>3953</v>
      </c>
      <c r="N236" s="34">
        <v>2.0220504103108E13</v>
      </c>
    </row>
    <row r="237">
      <c r="A237" s="30" t="s">
        <v>4451</v>
      </c>
      <c r="B237" s="25" t="str">
        <f>(Sheet1!A330)</f>
        <v>1KWrdiOy0dFeVUlvkflxUZSwfdTKjD2WtnSGQxGgKBiw</v>
      </c>
      <c r="C237" s="25" t="str">
        <f>(Sheet1!B330)</f>
        <v>NAKODA AUTOMOBILES- JHABUA</v>
      </c>
      <c r="D237" s="34">
        <v>10000.0</v>
      </c>
      <c r="E237" s="49">
        <v>44685.0</v>
      </c>
      <c r="F237" s="34" t="s">
        <v>4452</v>
      </c>
      <c r="G237" s="34" t="s">
        <v>4453</v>
      </c>
      <c r="H237" s="34" t="s">
        <v>3950</v>
      </c>
      <c r="I237" s="50">
        <v>44685.49208333333</v>
      </c>
      <c r="J237" s="34" t="s">
        <v>3951</v>
      </c>
      <c r="K237" s="50">
        <v>44685.49292824074</v>
      </c>
      <c r="L237" s="34" t="s">
        <v>3952</v>
      </c>
      <c r="M237" s="34" t="s">
        <v>3953</v>
      </c>
      <c r="N237" s="34">
        <v>2.0220504114836E13</v>
      </c>
    </row>
    <row r="238">
      <c r="A238" s="30" t="s">
        <v>4454</v>
      </c>
      <c r="B238" s="25" t="str">
        <f>(Sheet1!A7)</f>
        <v>1944RLX7T1M23YXRXYoMnJ6nD_bKLldQXRpFRA0rDLvg</v>
      </c>
      <c r="C238" s="25" t="str">
        <f>(Sheet1!B7)</f>
        <v>Vikas Autowheels</v>
      </c>
      <c r="D238" s="34">
        <v>4599609.0</v>
      </c>
      <c r="E238" s="49">
        <v>44683.0</v>
      </c>
      <c r="F238" s="34" t="s">
        <v>4455</v>
      </c>
      <c r="G238" s="34" t="s">
        <v>4456</v>
      </c>
      <c r="H238" s="34" t="s">
        <v>4071</v>
      </c>
      <c r="I238" s="50">
        <v>44685.55719907407</v>
      </c>
      <c r="J238" s="34" t="s">
        <v>3951</v>
      </c>
      <c r="K238" s="50">
        <v>44685.55755787037</v>
      </c>
      <c r="L238" s="34" t="s">
        <v>3952</v>
      </c>
      <c r="M238" s="34" t="s">
        <v>4009</v>
      </c>
      <c r="N238" s="34">
        <v>2.0220504132222E13</v>
      </c>
    </row>
    <row r="239">
      <c r="A239" s="30" t="s">
        <v>4457</v>
      </c>
      <c r="B239" s="25" t="str">
        <f>(Sheet1!A296)</f>
        <v>1050xuIkuCwbciPjL7NYnIQd49nor1NbjSoUBzXpeVrU</v>
      </c>
      <c r="C239" s="25" t="str">
        <f>(Sheet1!B296)</f>
        <v>ARC HERO- MAHIPALPUR</v>
      </c>
      <c r="D239" s="34">
        <v>10000.0</v>
      </c>
      <c r="E239" s="49">
        <v>44685.0</v>
      </c>
      <c r="F239" s="34">
        <v>1.98010226E8</v>
      </c>
      <c r="G239" s="34" t="s">
        <v>3963</v>
      </c>
      <c r="H239" s="34" t="s">
        <v>3950</v>
      </c>
      <c r="I239" s="50">
        <v>44685.57916666667</v>
      </c>
      <c r="J239" s="34" t="s">
        <v>3951</v>
      </c>
      <c r="K239" s="50">
        <v>44685.60188657408</v>
      </c>
      <c r="L239" s="34" t="s">
        <v>3952</v>
      </c>
      <c r="M239" s="34" t="s">
        <v>3953</v>
      </c>
      <c r="N239" s="34">
        <v>2.02205041354E13</v>
      </c>
    </row>
    <row r="240">
      <c r="A240" s="30" t="s">
        <v>4458</v>
      </c>
      <c r="B240" s="25" t="str">
        <f>(Sheet1!A171)</f>
        <v>1kKJQREB-gMUjjfvkNJBZGf8b6FppISEs2byO4uZriFc</v>
      </c>
      <c r="C240" s="25" t="str">
        <f>(Sheet1!B171)</f>
        <v>Navya Motors - Gorakhpur</v>
      </c>
      <c r="D240" s="34">
        <v>100000.0</v>
      </c>
      <c r="E240" s="49">
        <v>44685.0</v>
      </c>
      <c r="F240" s="34">
        <v>1.99532764E8</v>
      </c>
      <c r="G240" s="34" t="s">
        <v>4459</v>
      </c>
      <c r="H240" s="34" t="s">
        <v>3950</v>
      </c>
      <c r="I240" s="50">
        <v>44685.67700231481</v>
      </c>
      <c r="J240" s="34" t="s">
        <v>3951</v>
      </c>
      <c r="K240" s="50">
        <v>44685.679976851854</v>
      </c>
      <c r="L240" s="34" t="s">
        <v>3952</v>
      </c>
      <c r="M240" s="34" t="s">
        <v>3953</v>
      </c>
      <c r="N240" s="34">
        <v>2.0220504161453E13</v>
      </c>
    </row>
    <row r="241">
      <c r="A241" s="30" t="s">
        <v>4460</v>
      </c>
      <c r="B241" s="25" t="str">
        <f>(Sheet1!A119)</f>
        <v>11FZlKtFUzBvNAVUVwf1C2KpyoxHhbZTiI7E_EdPr-mg</v>
      </c>
      <c r="C241" s="25" t="str">
        <f>(Sheet1!B119)</f>
        <v>Sumitra Sons - Shahajahanpur</v>
      </c>
      <c r="D241" s="34">
        <v>25000.0</v>
      </c>
      <c r="E241" s="49">
        <v>44685.0</v>
      </c>
      <c r="F241" s="34" t="s">
        <v>4461</v>
      </c>
      <c r="G241" s="34" t="s">
        <v>4462</v>
      </c>
      <c r="H241" s="34" t="s">
        <v>3950</v>
      </c>
      <c r="I241" s="50">
        <v>44685.7471875</v>
      </c>
      <c r="J241" s="34" t="s">
        <v>3951</v>
      </c>
      <c r="K241" s="50">
        <v>44685.76400462963</v>
      </c>
      <c r="L241" s="34" t="s">
        <v>3952</v>
      </c>
      <c r="M241" s="34" t="s">
        <v>3953</v>
      </c>
      <c r="N241" s="34">
        <v>2.0220504175557E13</v>
      </c>
    </row>
    <row r="242">
      <c r="A242" s="30" t="s">
        <v>4463</v>
      </c>
      <c r="B242" s="25" t="str">
        <f>(Sheet1!A181)</f>
        <v>1Bn0dgc_QYbF664LnJPJT-IEcqhx5gMA1AtzkRyd3ZGA</v>
      </c>
      <c r="C242" s="25" t="str">
        <f>(Sheet1!B181)</f>
        <v>Jai Automobiles - Akbarpur</v>
      </c>
      <c r="D242" s="34">
        <v>200000.0</v>
      </c>
      <c r="E242" s="49">
        <v>44685.0</v>
      </c>
      <c r="F242" s="34">
        <v>2792.0</v>
      </c>
      <c r="G242" s="34" t="s">
        <v>4464</v>
      </c>
      <c r="H242" s="34" t="s">
        <v>3950</v>
      </c>
      <c r="I242" s="50">
        <v>44685.748506944445</v>
      </c>
      <c r="J242" s="34" t="s">
        <v>3951</v>
      </c>
      <c r="K242" s="50">
        <v>44685.76417824074</v>
      </c>
      <c r="L242" s="34" t="s">
        <v>3952</v>
      </c>
      <c r="M242" s="34" t="s">
        <v>3953</v>
      </c>
      <c r="N242" s="34">
        <v>2.0220504175751E13</v>
      </c>
    </row>
    <row r="243">
      <c r="A243" s="30" t="s">
        <v>4465</v>
      </c>
      <c r="B243" s="25" t="str">
        <f>(Sheet1!A49)</f>
        <v>1IGdLk1wrvnQTH7dsivMQu4VKWg4A7FvDBYsKsxwLpsE</v>
      </c>
      <c r="C243" s="25" t="str">
        <f>(Sheet1!B49)</f>
        <v>Gupta HERO</v>
      </c>
      <c r="D243" s="34">
        <v>172840.0</v>
      </c>
      <c r="E243" s="49">
        <v>44685.0</v>
      </c>
      <c r="F243" s="34" t="s">
        <v>4466</v>
      </c>
      <c r="G243" s="34" t="s">
        <v>4467</v>
      </c>
      <c r="H243" s="34" t="s">
        <v>3950</v>
      </c>
      <c r="I243" s="50">
        <v>44686.40642361111</v>
      </c>
      <c r="J243" s="34" t="s">
        <v>3951</v>
      </c>
      <c r="K243" s="50">
        <v>44686.41431712963</v>
      </c>
      <c r="L243" s="34" t="s">
        <v>3952</v>
      </c>
      <c r="M243" s="34" t="s">
        <v>3953</v>
      </c>
      <c r="N243" s="34">
        <v>2.0220505094515E13</v>
      </c>
    </row>
    <row r="244">
      <c r="A244" s="30" t="s">
        <v>4468</v>
      </c>
      <c r="B244" s="25" t="str">
        <f>(Sheet1!A217)</f>
        <v>19J_y8BUN9RSe9TTg9cxKYBBv29Tfi7RwvKo8Va7MJRQ</v>
      </c>
      <c r="C244" s="25" t="str">
        <f>(Sheet1!B217)</f>
        <v>Kshitij Auto Wheelers - Mirzapur</v>
      </c>
      <c r="D244" s="34">
        <v>49000.0</v>
      </c>
      <c r="E244" s="49">
        <v>44685.0</v>
      </c>
      <c r="F244" s="34" t="s">
        <v>4469</v>
      </c>
      <c r="G244" s="34" t="s">
        <v>4039</v>
      </c>
      <c r="H244" s="34" t="s">
        <v>3950</v>
      </c>
      <c r="I244" s="50">
        <v>44686.40724537037</v>
      </c>
      <c r="J244" s="34" t="s">
        <v>3951</v>
      </c>
      <c r="K244" s="50">
        <v>44686.41436342592</v>
      </c>
      <c r="L244" s="34" t="s">
        <v>3952</v>
      </c>
      <c r="M244" s="34" t="s">
        <v>3953</v>
      </c>
      <c r="N244" s="34">
        <v>2.0220505094626E13</v>
      </c>
    </row>
    <row r="245">
      <c r="A245" s="30" t="s">
        <v>4470</v>
      </c>
      <c r="B245" s="25" t="str">
        <f>(Sheet1!A336)</f>
        <v>1BMhoyJRK7DCg_LO256ufPw72_BuKa1iu3f1v8JCofH0</v>
      </c>
      <c r="C245" s="25" t="str">
        <f>(Sheet1!B336)</f>
        <v>North Bihar Agro Agencies</v>
      </c>
      <c r="D245" s="34">
        <v>10000.0</v>
      </c>
      <c r="E245" s="49">
        <v>44686.0</v>
      </c>
      <c r="F245" s="34"/>
      <c r="G245" s="34" t="s">
        <v>4067</v>
      </c>
      <c r="H245" s="34" t="s">
        <v>3950</v>
      </c>
      <c r="I245" s="50">
        <v>44686.46020833333</v>
      </c>
      <c r="J245" s="34" t="s">
        <v>3951</v>
      </c>
      <c r="K245" s="50">
        <v>44686.4612037037</v>
      </c>
      <c r="L245" s="34" t="s">
        <v>3952</v>
      </c>
      <c r="M245" s="34" t="s">
        <v>3953</v>
      </c>
      <c r="N245" s="34">
        <v>2.0220505110242E13</v>
      </c>
    </row>
    <row r="246">
      <c r="A246" s="30" t="s">
        <v>4471</v>
      </c>
      <c r="B246" s="25" t="str">
        <f>(Sheet1!A222)</f>
        <v>1Y48WevU4dZlpN_oRadqFSD4ED20x97CYUdeAzWdn3go</v>
      </c>
      <c r="C246" s="25" t="str">
        <f>(Sheet1!B222)</f>
        <v>Mahalaxmi TVS- AHEMDABAD</v>
      </c>
      <c r="D246" s="34">
        <v>50000.0</v>
      </c>
      <c r="E246" s="49">
        <v>44686.0</v>
      </c>
      <c r="F246" s="34">
        <v>2.12511815038E11</v>
      </c>
      <c r="G246" s="34" t="s">
        <v>3990</v>
      </c>
      <c r="H246" s="34" t="s">
        <v>3950</v>
      </c>
      <c r="I246" s="50">
        <v>44686.51900462963</v>
      </c>
      <c r="J246" s="34" t="s">
        <v>3951</v>
      </c>
      <c r="K246" s="50">
        <v>44686.54572916667</v>
      </c>
      <c r="L246" s="34" t="s">
        <v>3952</v>
      </c>
      <c r="M246" s="34" t="s">
        <v>3953</v>
      </c>
      <c r="N246" s="34">
        <v>2.0220505122722E13</v>
      </c>
    </row>
    <row r="247">
      <c r="A247" s="30" t="s">
        <v>4472</v>
      </c>
      <c r="B247" s="25" t="str">
        <f>(Sheet1!A296)</f>
        <v>1050xuIkuCwbciPjL7NYnIQd49nor1NbjSoUBzXpeVrU</v>
      </c>
      <c r="C247" s="25" t="str">
        <f>(Sheet1!B296)</f>
        <v>ARC HERO- MAHIPALPUR</v>
      </c>
      <c r="D247" s="34">
        <v>16000.0</v>
      </c>
      <c r="E247" s="49">
        <v>44686.0</v>
      </c>
      <c r="F247" s="34">
        <v>1.20772185E8</v>
      </c>
      <c r="G247" s="34" t="s">
        <v>3963</v>
      </c>
      <c r="H247" s="34" t="s">
        <v>3950</v>
      </c>
      <c r="I247" s="50">
        <v>44686.520370370374</v>
      </c>
      <c r="J247" s="34" t="s">
        <v>3951</v>
      </c>
      <c r="K247" s="50">
        <v>44686.545335648145</v>
      </c>
      <c r="L247" s="34" t="s">
        <v>3952</v>
      </c>
      <c r="M247" s="34" t="s">
        <v>3953</v>
      </c>
      <c r="N247" s="34">
        <v>2.022050512292E13</v>
      </c>
    </row>
    <row r="248">
      <c r="A248" s="30" t="s">
        <v>4473</v>
      </c>
      <c r="B248" s="25" t="str">
        <f>(Sheet1!A45)</f>
        <v>1XmVYrBOLuyIm0rpXhFaYpcRQ1t4YH3PN3pmiTosn08E</v>
      </c>
      <c r="C248" s="25" t="str">
        <f>(Sheet1!B45)</f>
        <v>Shraman Hero - GT Karnal Road</v>
      </c>
      <c r="D248" s="34">
        <v>250000.0</v>
      </c>
      <c r="E248" s="49">
        <v>44686.0</v>
      </c>
      <c r="F248" s="34">
        <v>2.12512622678E11</v>
      </c>
      <c r="G248" s="34" t="s">
        <v>4474</v>
      </c>
      <c r="H248" s="34" t="s">
        <v>3950</v>
      </c>
      <c r="I248" s="50">
        <v>44686.52159722222</v>
      </c>
      <c r="J248" s="34" t="s">
        <v>3951</v>
      </c>
      <c r="K248" s="50">
        <v>44686.54537037037</v>
      </c>
      <c r="L248" s="34" t="s">
        <v>3952</v>
      </c>
      <c r="M248" s="34" t="s">
        <v>3953</v>
      </c>
      <c r="N248" s="34">
        <v>2.0220505123106E13</v>
      </c>
    </row>
    <row r="249">
      <c r="A249" s="30" t="s">
        <v>4475</v>
      </c>
      <c r="B249" s="25" t="str">
        <f>(Sheet1!A296)</f>
        <v>1050xuIkuCwbciPjL7NYnIQd49nor1NbjSoUBzXpeVrU</v>
      </c>
      <c r="C249" s="25" t="str">
        <f>(Sheet1!B296)</f>
        <v>ARC HERO- MAHIPALPUR</v>
      </c>
      <c r="D249" s="34">
        <v>20000.0</v>
      </c>
      <c r="E249" s="49">
        <v>44686.0</v>
      </c>
      <c r="F249" s="34">
        <v>1.22715715E8</v>
      </c>
      <c r="G249" s="34" t="s">
        <v>3963</v>
      </c>
      <c r="H249" s="34" t="s">
        <v>3950</v>
      </c>
      <c r="I249" s="50">
        <v>44686.547164351854</v>
      </c>
      <c r="J249" s="34" t="s">
        <v>3951</v>
      </c>
      <c r="K249" s="50">
        <v>44686.61971064815</v>
      </c>
      <c r="L249" s="34" t="s">
        <v>3952</v>
      </c>
      <c r="M249" s="34" t="s">
        <v>3953</v>
      </c>
      <c r="N249" s="34">
        <v>2.0220505130755E13</v>
      </c>
    </row>
    <row r="250">
      <c r="A250" s="30" t="s">
        <v>4476</v>
      </c>
      <c r="B250" s="25" t="str">
        <f>(Sheet1!A311)</f>
        <v>10WPh_WCplOI3MhoycaJcKr3lYMretoJR3ta-W3F9m_c</v>
      </c>
      <c r="C250" s="25" t="str">
        <f>(Sheet1!B311)</f>
        <v>SANSAAR HONDA- HARIDWAR</v>
      </c>
      <c r="D250" s="34">
        <v>5000.0</v>
      </c>
      <c r="E250" s="49">
        <v>44686.0</v>
      </c>
      <c r="F250" s="34"/>
      <c r="G250" s="34" t="s">
        <v>4477</v>
      </c>
      <c r="H250" s="34" t="s">
        <v>3950</v>
      </c>
      <c r="I250" s="50">
        <v>44686.5484375</v>
      </c>
      <c r="J250" s="34" t="s">
        <v>3951</v>
      </c>
      <c r="K250" s="50">
        <v>44686.61974537037</v>
      </c>
      <c r="L250" s="34" t="s">
        <v>3952</v>
      </c>
      <c r="M250" s="34" t="s">
        <v>3953</v>
      </c>
      <c r="N250" s="34">
        <v>2.0220505130945E13</v>
      </c>
    </row>
    <row r="251">
      <c r="A251" s="30" t="s">
        <v>4478</v>
      </c>
      <c r="B251" s="25" t="str">
        <f>(Sheet1!A23)</f>
        <v>1RySEyS05cXvVcjfIhWh9Hhv1aLw7DmuiSqcsr3PfWVo</v>
      </c>
      <c r="C251" s="25" t="str">
        <f>(Sheet1!B23)</f>
        <v>Atmaram HERO</v>
      </c>
      <c r="D251" s="34">
        <v>242950.0</v>
      </c>
      <c r="E251" s="49">
        <v>44686.0</v>
      </c>
      <c r="F251" s="34">
        <v>1.27382715E8</v>
      </c>
      <c r="G251" s="34" t="s">
        <v>4479</v>
      </c>
      <c r="H251" s="34" t="s">
        <v>3950</v>
      </c>
      <c r="I251" s="50">
        <v>44686.65430555555</v>
      </c>
      <c r="J251" s="34" t="s">
        <v>3951</v>
      </c>
      <c r="K251" s="50">
        <v>44686.658101851855</v>
      </c>
      <c r="L251" s="34" t="s">
        <v>3952</v>
      </c>
      <c r="M251" s="34" t="s">
        <v>3953</v>
      </c>
      <c r="N251" s="34">
        <v>2.0220505154212E13</v>
      </c>
    </row>
    <row r="252">
      <c r="A252" s="30" t="s">
        <v>4480</v>
      </c>
      <c r="B252" s="25" t="str">
        <f>(Sheet1!A318)</f>
        <v>1YAU91TFMaYFp0IiAMJOnSMw_yeIgNk_GdChvblrhYL8</v>
      </c>
      <c r="C252" s="25" t="str">
        <f>(Sheet1!B318)</f>
        <v>A.R.C.C- HERO(SMA)</v>
      </c>
      <c r="D252" s="34">
        <v>10000.0</v>
      </c>
      <c r="E252" s="49">
        <v>44686.0</v>
      </c>
      <c r="F252" s="34">
        <v>2.12570270642E11</v>
      </c>
      <c r="G252" s="34" t="s">
        <v>4003</v>
      </c>
      <c r="H252" s="34" t="s">
        <v>3950</v>
      </c>
      <c r="I252" s="50">
        <v>44686.69862268519</v>
      </c>
      <c r="J252" s="34" t="s">
        <v>3951</v>
      </c>
      <c r="K252" s="50">
        <v>44686.744050925925</v>
      </c>
      <c r="L252" s="34" t="s">
        <v>3952</v>
      </c>
      <c r="M252" s="34" t="s">
        <v>3953</v>
      </c>
      <c r="N252" s="34">
        <v>2.0220505164601E13</v>
      </c>
    </row>
    <row r="253">
      <c r="A253" s="30" t="s">
        <v>4481</v>
      </c>
      <c r="B253" s="25" t="str">
        <f>(Sheet1!A343)</f>
        <v>1QVBShIrTLBej8s_qXhBmCICNAN5JsR5KakezwfMLZV0</v>
      </c>
      <c r="C253" s="25" t="str">
        <f>(Sheet1!B343)</f>
        <v>ANAS MOTORS- SUPAUL</v>
      </c>
      <c r="D253" s="34">
        <v>25000.0</v>
      </c>
      <c r="E253" s="49">
        <v>44686.0</v>
      </c>
      <c r="F253" s="34">
        <v>2.12517562828E11</v>
      </c>
      <c r="G253" s="34" t="s">
        <v>4233</v>
      </c>
      <c r="H253" s="34" t="s">
        <v>3950</v>
      </c>
      <c r="I253" s="50">
        <v>44686.7427662037</v>
      </c>
      <c r="J253" s="34" t="s">
        <v>3951</v>
      </c>
      <c r="K253" s="50">
        <v>44686.74390046296</v>
      </c>
      <c r="L253" s="34" t="s">
        <v>3952</v>
      </c>
      <c r="M253" s="34" t="s">
        <v>3953</v>
      </c>
      <c r="N253" s="34">
        <v>2.0220505174935E13</v>
      </c>
    </row>
    <row r="254">
      <c r="A254" s="30" t="s">
        <v>4482</v>
      </c>
      <c r="B254" s="25" t="str">
        <f>(Sheet1!A303)</f>
        <v>1L4bmBANLoZzaH3L_g0lUkCl9uqLxMUm5AXoNn34pTXE</v>
      </c>
      <c r="C254" s="25" t="str">
        <f>(Sheet1!B303)</f>
        <v>ETGO MOTORS - NOIDA</v>
      </c>
      <c r="D254" s="34">
        <v>1000.0</v>
      </c>
      <c r="E254" s="49">
        <v>44684.0</v>
      </c>
      <c r="F254" s="34">
        <v>2.12312006749E11</v>
      </c>
      <c r="G254" s="34" t="s">
        <v>4483</v>
      </c>
      <c r="H254" s="34" t="s">
        <v>3950</v>
      </c>
      <c r="I254" s="50">
        <v>44686.79759259259</v>
      </c>
      <c r="J254" s="34" t="s">
        <v>3951</v>
      </c>
      <c r="K254" s="50">
        <v>44686.79861111111</v>
      </c>
      <c r="L254" s="34" t="s">
        <v>3952</v>
      </c>
      <c r="M254" s="34" t="s">
        <v>3953</v>
      </c>
      <c r="N254" s="34">
        <v>2.0220505190832E13</v>
      </c>
    </row>
    <row r="255">
      <c r="A255" s="30" t="s">
        <v>4484</v>
      </c>
      <c r="B255" s="25" t="str">
        <f>(Sheet1!A48)</f>
        <v>14s_HeeebHqLRTUCX5FSlJ3K7aiTvnkajbPMefm6jg1M</v>
      </c>
      <c r="C255" s="25" t="str">
        <f>(Sheet1!B48)</f>
        <v>Bharat Auto - Kasganj</v>
      </c>
      <c r="D255" s="34">
        <v>57592.0</v>
      </c>
      <c r="E255" s="49">
        <v>44686.0</v>
      </c>
      <c r="F255" s="34" t="s">
        <v>4485</v>
      </c>
      <c r="G255" s="34" t="s">
        <v>4486</v>
      </c>
      <c r="H255" s="34" t="s">
        <v>3950</v>
      </c>
      <c r="I255" s="50">
        <v>44686.79920138889</v>
      </c>
      <c r="J255" s="34" t="s">
        <v>3951</v>
      </c>
      <c r="K255" s="50">
        <v>44687.592361111114</v>
      </c>
      <c r="L255" s="34" t="s">
        <v>3952</v>
      </c>
      <c r="M255" s="34" t="s">
        <v>3953</v>
      </c>
      <c r="N255" s="34">
        <v>2.0220505191051E13</v>
      </c>
    </row>
    <row r="256">
      <c r="A256" s="30" t="s">
        <v>4487</v>
      </c>
      <c r="B256" s="25" t="str">
        <f>(Sheet1!A317)</f>
        <v>1HzstXOBJIBMFHwYm7RpvmCIhHH60rtXQ81VHl3OF7OM</v>
      </c>
      <c r="C256" s="25" t="str">
        <f>(Sheet1!B317)</f>
        <v>SHIVANI MOTORS- ALLAHABAD</v>
      </c>
      <c r="D256" s="34">
        <v>50000.0</v>
      </c>
      <c r="E256" s="49">
        <v>44687.0</v>
      </c>
      <c r="F256" s="34" t="s">
        <v>4488</v>
      </c>
      <c r="G256" s="34" t="s">
        <v>4150</v>
      </c>
      <c r="H256" s="34" t="s">
        <v>3950</v>
      </c>
      <c r="I256" s="50">
        <v>44687.59601851852</v>
      </c>
      <c r="J256" s="34" t="s">
        <v>3951</v>
      </c>
      <c r="K256" s="50">
        <v>44687.59725694444</v>
      </c>
      <c r="L256" s="34" t="s">
        <v>3952</v>
      </c>
      <c r="M256" s="34" t="s">
        <v>3953</v>
      </c>
      <c r="N256" s="34">
        <v>2.0220506141816E13</v>
      </c>
    </row>
    <row r="257">
      <c r="A257" s="30" t="s">
        <v>4489</v>
      </c>
      <c r="B257" s="25" t="str">
        <f>(Sheet1!A27)</f>
        <v>1ytBGcO8tIze81xKkAa9lWDcflthsPL6SuADAXbhmuwA</v>
      </c>
      <c r="C257" s="25" t="str">
        <f>(Sheet1!B27)</f>
        <v>Brij Biwheelers</v>
      </c>
      <c r="D257" s="34">
        <v>100000.0</v>
      </c>
      <c r="E257" s="49">
        <v>44687.0</v>
      </c>
      <c r="F257" s="34" t="s">
        <v>4490</v>
      </c>
      <c r="G257" s="34" t="s">
        <v>4491</v>
      </c>
      <c r="H257" s="34" t="s">
        <v>3950</v>
      </c>
      <c r="I257" s="50">
        <v>44687.674722222226</v>
      </c>
      <c r="J257" s="34" t="s">
        <v>3951</v>
      </c>
      <c r="K257" s="50">
        <v>44687.69658564815</v>
      </c>
      <c r="L257" s="34" t="s">
        <v>3952</v>
      </c>
      <c r="M257" s="34" t="s">
        <v>3953</v>
      </c>
      <c r="N257" s="34">
        <v>2.0220506161136E13</v>
      </c>
    </row>
    <row r="258">
      <c r="A258" s="30" t="s">
        <v>4492</v>
      </c>
      <c r="B258" s="25" t="str">
        <f>(Sheet1!A211)</f>
        <v>11KI2mOYZ4I9wDgZ2By8zUkmcvYLaWDOUT2Ivww0nVBM</v>
      </c>
      <c r="C258" s="25" t="str">
        <f>(Sheet1!B211)</f>
        <v>Shree Balaji Bajaj Showroom(VT) - Raichur</v>
      </c>
      <c r="D258" s="34">
        <v>15000.0</v>
      </c>
      <c r="E258" s="49">
        <v>44687.0</v>
      </c>
      <c r="F258" s="34">
        <v>5.50160344E8</v>
      </c>
      <c r="G258" s="34" t="s">
        <v>4493</v>
      </c>
      <c r="H258" s="34" t="s">
        <v>3950</v>
      </c>
      <c r="I258" s="50">
        <v>44687.740428240744</v>
      </c>
      <c r="J258" s="34" t="s">
        <v>3951</v>
      </c>
      <c r="K258" s="50">
        <v>44687.74428240741</v>
      </c>
      <c r="L258" s="34" t="s">
        <v>3952</v>
      </c>
      <c r="M258" s="34" t="s">
        <v>3953</v>
      </c>
      <c r="N258" s="34">
        <v>2.0220506174613E13</v>
      </c>
    </row>
    <row r="259">
      <c r="A259" s="30" t="s">
        <v>4494</v>
      </c>
      <c r="B259" s="25" t="str">
        <f>(Sheet1!A167)</f>
        <v>1EqLBGhhw88ePbxTSdniMo_of3cuMUNJduNtdzPonF7w</v>
      </c>
      <c r="C259" s="25" t="str">
        <f>(Sheet1!B167)</f>
        <v>SHREE SAI AUTOMOBILE</v>
      </c>
      <c r="D259" s="34">
        <v>50000.0</v>
      </c>
      <c r="E259" s="49">
        <v>44687.0</v>
      </c>
      <c r="F259" s="34" t="s">
        <v>4495</v>
      </c>
      <c r="G259" s="34" t="s">
        <v>4496</v>
      </c>
      <c r="H259" s="34" t="s">
        <v>3950</v>
      </c>
      <c r="I259" s="50">
        <v>44688.41709490741</v>
      </c>
      <c r="J259" s="34" t="s">
        <v>3951</v>
      </c>
      <c r="K259" s="50">
        <v>44688.42841435185</v>
      </c>
      <c r="L259" s="34" t="s">
        <v>3952</v>
      </c>
      <c r="M259" s="34" t="s">
        <v>3953</v>
      </c>
      <c r="N259" s="34">
        <v>2.0220507100037E13</v>
      </c>
    </row>
    <row r="260">
      <c r="A260" s="30" t="s">
        <v>4497</v>
      </c>
      <c r="B260" s="25" t="str">
        <f>(Sheet1!A46)</f>
        <v>1qJGCYN0EdS2nWGXVYAHwXqSjiLE2C95anQkkbLONbKQ</v>
      </c>
      <c r="C260" s="25" t="str">
        <f>(Sheet1!B46)</f>
        <v>Shri Balaji Hero - Muzaffarnagar</v>
      </c>
      <c r="D260" s="34">
        <v>100000.0</v>
      </c>
      <c r="E260" s="49">
        <v>44687.0</v>
      </c>
      <c r="F260" s="34" t="s">
        <v>4498</v>
      </c>
      <c r="G260" s="34" t="s">
        <v>4499</v>
      </c>
      <c r="H260" s="34" t="s">
        <v>3950</v>
      </c>
      <c r="I260" s="50">
        <v>44688.41792824074</v>
      </c>
      <c r="J260" s="34" t="s">
        <v>3951</v>
      </c>
      <c r="K260" s="50">
        <v>44688.42849537037</v>
      </c>
      <c r="L260" s="34" t="s">
        <v>3952</v>
      </c>
      <c r="M260" s="34" t="s">
        <v>3953</v>
      </c>
      <c r="N260" s="34">
        <v>2.0220507100149E13</v>
      </c>
    </row>
    <row r="261">
      <c r="A261" s="30" t="s">
        <v>4500</v>
      </c>
      <c r="B261" s="25" t="str">
        <f>(Sheet1!A339)</f>
        <v>1fHCHQnIWmfXqP4jwi-agXjfK1q2zM0BUeG3fwB0qApc</v>
      </c>
      <c r="C261" s="25" t="str">
        <f>(Sheet1!B339)</f>
        <v>Mahabir Automobiles -Sultanpur</v>
      </c>
      <c r="D261" s="34">
        <v>25000.0</v>
      </c>
      <c r="E261" s="49">
        <v>44688.0</v>
      </c>
      <c r="F261" s="34" t="s">
        <v>4501</v>
      </c>
      <c r="G261" s="34" t="s">
        <v>4190</v>
      </c>
      <c r="H261" s="34" t="s">
        <v>3950</v>
      </c>
      <c r="I261" s="50">
        <v>44688.58181712963</v>
      </c>
      <c r="J261" s="34" t="s">
        <v>3951</v>
      </c>
      <c r="K261" s="50">
        <v>44688.602476851855</v>
      </c>
      <c r="L261" s="34" t="s">
        <v>3952</v>
      </c>
      <c r="M261" s="34" t="s">
        <v>3953</v>
      </c>
      <c r="N261" s="34">
        <v>2.0220507135749E13</v>
      </c>
    </row>
    <row r="262">
      <c r="A262" s="30" t="s">
        <v>4502</v>
      </c>
      <c r="B262" s="25" t="str">
        <f>(Sheet1!A335)</f>
        <v>1r0KUrXS28gDx7-fgD3zjnrel7PaC3KXGiEtHPv0wv_M</v>
      </c>
      <c r="C262" s="25" t="str">
        <f>(Sheet1!B335)</f>
        <v>PAL ENTERPRISE- VIDISHA</v>
      </c>
      <c r="D262" s="34">
        <v>25000.0</v>
      </c>
      <c r="E262" s="49">
        <v>44688.0</v>
      </c>
      <c r="F262" s="34" t="s">
        <v>4503</v>
      </c>
      <c r="G262" s="34" t="s">
        <v>4134</v>
      </c>
      <c r="H262" s="34" t="s">
        <v>3950</v>
      </c>
      <c r="I262" s="50">
        <v>44689.51935185185</v>
      </c>
      <c r="J262" s="34" t="s">
        <v>3951</v>
      </c>
      <c r="K262" s="50">
        <v>44689.52138888889</v>
      </c>
      <c r="L262" s="34" t="s">
        <v>3952</v>
      </c>
      <c r="M262" s="34" t="s">
        <v>3953</v>
      </c>
      <c r="N262" s="34">
        <v>2.0220508122752E13</v>
      </c>
    </row>
    <row r="263">
      <c r="A263" s="30" t="s">
        <v>4504</v>
      </c>
      <c r="B263" s="25" t="str">
        <f>(Sheet1!A318)</f>
        <v>1YAU91TFMaYFp0IiAMJOnSMw_yeIgNk_GdChvblrhYL8</v>
      </c>
      <c r="C263" s="25" t="str">
        <f>(Sheet1!B318)</f>
        <v>A.R.C.C- HERO(SMA)</v>
      </c>
      <c r="D263" s="34">
        <v>10000.0</v>
      </c>
      <c r="E263" s="49">
        <v>44689.0</v>
      </c>
      <c r="F263" s="34">
        <v>2.12885408993E11</v>
      </c>
      <c r="G263" s="34" t="s">
        <v>4003</v>
      </c>
      <c r="H263" s="34" t="s">
        <v>3950</v>
      </c>
      <c r="I263" s="50">
        <v>44689.52061342593</v>
      </c>
      <c r="J263" s="34" t="s">
        <v>3951</v>
      </c>
      <c r="K263" s="50">
        <v>44689.52144675926</v>
      </c>
      <c r="L263" s="34" t="s">
        <v>3952</v>
      </c>
      <c r="M263" s="34" t="s">
        <v>3953</v>
      </c>
      <c r="N263" s="34">
        <v>2.0220508122941E13</v>
      </c>
    </row>
    <row r="264">
      <c r="A264" s="30" t="s">
        <v>4505</v>
      </c>
      <c r="B264" s="25" t="str">
        <f>(Sheet1!A343)</f>
        <v>1QVBShIrTLBej8s_qXhBmCICNAN5JsR5KakezwfMLZV0</v>
      </c>
      <c r="C264" s="25" t="str">
        <f>(Sheet1!B343)</f>
        <v>ANAS MOTORS- SUPAUL</v>
      </c>
      <c r="D264" s="34">
        <v>50000.0</v>
      </c>
      <c r="E264" s="49">
        <v>44689.0</v>
      </c>
      <c r="F264" s="34">
        <v>2.12814763729E11</v>
      </c>
      <c r="G264" s="34" t="s">
        <v>4259</v>
      </c>
      <c r="H264" s="34" t="s">
        <v>3950</v>
      </c>
      <c r="I264" s="50">
        <v>44689.625497685185</v>
      </c>
      <c r="J264" s="34" t="s">
        <v>3951</v>
      </c>
      <c r="K264" s="50">
        <v>44689.62724537037</v>
      </c>
      <c r="L264" s="34" t="s">
        <v>3952</v>
      </c>
      <c r="M264" s="34" t="s">
        <v>3953</v>
      </c>
      <c r="N264" s="34">
        <v>2.0220508150043E13</v>
      </c>
    </row>
    <row r="265">
      <c r="A265" s="30" t="s">
        <v>4506</v>
      </c>
      <c r="B265" s="25" t="str">
        <f>(Sheet1!A296)</f>
        <v>1050xuIkuCwbciPjL7NYnIQd49nor1NbjSoUBzXpeVrU</v>
      </c>
      <c r="C265" s="25" t="str">
        <f>(Sheet1!B296)</f>
        <v>ARC HERO- MAHIPALPUR</v>
      </c>
      <c r="D265" s="34">
        <v>12000.0</v>
      </c>
      <c r="E265" s="49">
        <v>44689.0</v>
      </c>
      <c r="F265" s="34">
        <v>1.92559064E8</v>
      </c>
      <c r="G265" s="34" t="s">
        <v>3963</v>
      </c>
      <c r="H265" s="34" t="s">
        <v>3950</v>
      </c>
      <c r="I265" s="50">
        <v>44689.626064814816</v>
      </c>
      <c r="J265" s="34" t="s">
        <v>3951</v>
      </c>
      <c r="K265" s="50">
        <v>44689.62719907407</v>
      </c>
      <c r="L265" s="34" t="s">
        <v>3952</v>
      </c>
      <c r="M265" s="34" t="s">
        <v>3953</v>
      </c>
      <c r="N265" s="34">
        <v>2.0220508150132E13</v>
      </c>
    </row>
    <row r="266">
      <c r="A266" s="30" t="s">
        <v>4507</v>
      </c>
      <c r="B266" s="25" t="str">
        <f>(Sheet1!A296)</f>
        <v>1050xuIkuCwbciPjL7NYnIQd49nor1NbjSoUBzXpeVrU</v>
      </c>
      <c r="C266" s="25" t="str">
        <f>(Sheet1!B296)</f>
        <v>ARC HERO- MAHIPALPUR</v>
      </c>
      <c r="D266" s="34">
        <v>12000.0</v>
      </c>
      <c r="E266" s="49">
        <v>44689.0</v>
      </c>
      <c r="F266" s="34">
        <v>1.95122144E8</v>
      </c>
      <c r="G266" s="34" t="s">
        <v>3961</v>
      </c>
      <c r="H266" s="34" t="s">
        <v>3950</v>
      </c>
      <c r="I266" s="50">
        <v>44690.43402777778</v>
      </c>
      <c r="J266" s="34" t="s">
        <v>3951</v>
      </c>
      <c r="K266" s="50">
        <v>44690.47278935185</v>
      </c>
      <c r="L266" s="34" t="s">
        <v>3952</v>
      </c>
      <c r="M266" s="34" t="s">
        <v>3953</v>
      </c>
      <c r="N266" s="34">
        <v>2.02205091025E13</v>
      </c>
    </row>
    <row r="267">
      <c r="A267" s="30" t="s">
        <v>4508</v>
      </c>
      <c r="B267" s="25" t="str">
        <f>(Sheet1!A329)</f>
        <v>1Glot5DmufEUxf7sEoY2RAdbIWFVDuW2SHPtNIbHYEdc</v>
      </c>
      <c r="C267" s="25" t="str">
        <f>(Sheet1!B329)</f>
        <v>UPPER INDIA -DELHI</v>
      </c>
      <c r="D267" s="34">
        <v>10000.0</v>
      </c>
      <c r="E267" s="49">
        <v>44690.0</v>
      </c>
      <c r="F267" s="34">
        <v>2.03699931E8</v>
      </c>
      <c r="G267" s="34" t="s">
        <v>4509</v>
      </c>
      <c r="H267" s="34" t="s">
        <v>3950</v>
      </c>
      <c r="I267" s="50">
        <v>44690.59502314815</v>
      </c>
      <c r="J267" s="34" t="s">
        <v>3951</v>
      </c>
      <c r="K267" s="50">
        <v>44690.606944444444</v>
      </c>
      <c r="L267" s="34" t="s">
        <v>3952</v>
      </c>
      <c r="M267" s="34" t="s">
        <v>3953</v>
      </c>
      <c r="N267" s="34">
        <v>2.022050914165E13</v>
      </c>
    </row>
    <row r="268">
      <c r="A268" s="30" t="s">
        <v>4510</v>
      </c>
      <c r="B268" s="25" t="str">
        <f>(Sheet1!A221)</f>
        <v>1WXvYHRsq58CQOMiTQW5jz_Rk7VXZzJwGsE9DYysdKio</v>
      </c>
      <c r="C268" s="25" t="str">
        <f>(Sheet1!B221)</f>
        <v>Goel Motors - Lucknow</v>
      </c>
      <c r="D268" s="34">
        <v>69090.0</v>
      </c>
      <c r="E268" s="49">
        <v>44690.0</v>
      </c>
      <c r="F268" s="34">
        <v>2.12911005662E11</v>
      </c>
      <c r="G268" s="34" t="s">
        <v>4511</v>
      </c>
      <c r="H268" s="34" t="s">
        <v>3950</v>
      </c>
      <c r="I268" s="50">
        <v>44690.5991087963</v>
      </c>
      <c r="J268" s="34" t="s">
        <v>3951</v>
      </c>
      <c r="K268" s="50">
        <v>44690.60700231481</v>
      </c>
      <c r="L268" s="34" t="s">
        <v>3952</v>
      </c>
      <c r="M268" s="34" t="s">
        <v>3953</v>
      </c>
      <c r="N268" s="34">
        <v>2.0220509142243E13</v>
      </c>
    </row>
    <row r="269">
      <c r="A269" s="30" t="s">
        <v>4512</v>
      </c>
      <c r="B269" s="25" t="str">
        <f>(Sheet1!A173)</f>
        <v>1_UtGSoyOsljQXvmry7gfXGYwjwEjQbghQQGZebnq45M</v>
      </c>
      <c r="C269" s="25" t="str">
        <f>(Sheet1!B173)</f>
        <v>Modern Auto Agency - Bettiah</v>
      </c>
      <c r="D269" s="34">
        <v>865484.0</v>
      </c>
      <c r="E269" s="49">
        <v>44690.0</v>
      </c>
      <c r="F269" s="34">
        <v>2.07421844E8</v>
      </c>
      <c r="G269" s="34" t="s">
        <v>4513</v>
      </c>
      <c r="H269" s="34" t="s">
        <v>3950</v>
      </c>
      <c r="I269" s="50">
        <v>44690.60155092592</v>
      </c>
      <c r="J269" s="34" t="s">
        <v>3951</v>
      </c>
      <c r="K269" s="50">
        <v>44690.60721064815</v>
      </c>
      <c r="L269" s="34" t="s">
        <v>3952</v>
      </c>
      <c r="M269" s="34" t="s">
        <v>3953</v>
      </c>
      <c r="N269" s="34">
        <v>2.0220509142614E13</v>
      </c>
    </row>
    <row r="270">
      <c r="A270" s="30" t="s">
        <v>4514</v>
      </c>
      <c r="B270" s="25" t="str">
        <f>(Sheet1!A184)</f>
        <v>1hlnCiW64Y7uZNVOj2ewyfTULbWj1dUaXX2rUREx8W8o</v>
      </c>
      <c r="C270" s="25" t="str">
        <f>(Sheet1!B184)</f>
        <v>Asha Motor - Kannauj</v>
      </c>
      <c r="D270" s="34">
        <v>150000.0</v>
      </c>
      <c r="E270" s="49">
        <v>44690.0</v>
      </c>
      <c r="F270" s="34">
        <v>5.52303705E8</v>
      </c>
      <c r="G270" s="34" t="s">
        <v>4515</v>
      </c>
      <c r="H270" s="34" t="s">
        <v>3950</v>
      </c>
      <c r="I270" s="50">
        <v>44690.60254629629</v>
      </c>
      <c r="J270" s="34" t="s">
        <v>3951</v>
      </c>
      <c r="K270" s="50">
        <v>44690.60732638889</v>
      </c>
      <c r="L270" s="34" t="s">
        <v>3952</v>
      </c>
      <c r="M270" s="34" t="s">
        <v>3953</v>
      </c>
      <c r="N270" s="34">
        <v>2.022050914274E13</v>
      </c>
    </row>
    <row r="271">
      <c r="A271" s="30" t="s">
        <v>4516</v>
      </c>
      <c r="B271" s="25" t="str">
        <f>(Sheet1!A55)</f>
        <v>1mX_ZCiMgVCd3AONQ2zBbbc9wQ6Mlj2RvmkSWdpWht-8</v>
      </c>
      <c r="C271" s="25" t="str">
        <f>(Sheet1!B55)</f>
        <v>Krishna Hero - Bulandshahr</v>
      </c>
      <c r="D271" s="34">
        <v>100000.0</v>
      </c>
      <c r="E271" s="49">
        <v>44690.0</v>
      </c>
      <c r="F271" s="34" t="s">
        <v>4517</v>
      </c>
      <c r="G271" s="34" t="s">
        <v>4518</v>
      </c>
      <c r="H271" s="34" t="s">
        <v>3950</v>
      </c>
      <c r="I271" s="50">
        <v>44690.605717592596</v>
      </c>
      <c r="J271" s="34" t="s">
        <v>3951</v>
      </c>
      <c r="K271" s="50">
        <v>44690.607453703706</v>
      </c>
      <c r="L271" s="34" t="s">
        <v>3952</v>
      </c>
      <c r="M271" s="34" t="s">
        <v>3953</v>
      </c>
      <c r="N271" s="34">
        <v>2.0220509143214E13</v>
      </c>
    </row>
    <row r="272">
      <c r="A272" s="30" t="s">
        <v>4519</v>
      </c>
      <c r="B272" s="25" t="str">
        <f>(Sheet1!A4)</f>
        <v>184Y3L-ZLT7vcLiFDItIcLa-18phpzEbgBCBDgt_LGCQ</v>
      </c>
      <c r="C272" s="25" t="str">
        <f>(Sheet1!B4)</f>
        <v>Jain Motorcycle Company</v>
      </c>
      <c r="D272" s="34">
        <v>571230.0</v>
      </c>
      <c r="E272" s="49">
        <v>44690.0</v>
      </c>
      <c r="F272" s="34" t="s">
        <v>4520</v>
      </c>
      <c r="G272" s="34" t="s">
        <v>4521</v>
      </c>
      <c r="H272" s="34" t="s">
        <v>3950</v>
      </c>
      <c r="I272" s="50">
        <v>44690.60686342593</v>
      </c>
      <c r="J272" s="34" t="s">
        <v>3951</v>
      </c>
      <c r="K272" s="50">
        <v>44690.60767361111</v>
      </c>
      <c r="L272" s="34" t="s">
        <v>3952</v>
      </c>
      <c r="M272" s="34" t="s">
        <v>3953</v>
      </c>
      <c r="N272" s="34">
        <v>2.0220509143353E13</v>
      </c>
    </row>
    <row r="273">
      <c r="A273" s="30" t="s">
        <v>4522</v>
      </c>
      <c r="B273" s="25" t="str">
        <f>(Sheet1!A296)</f>
        <v>1050xuIkuCwbciPjL7NYnIQd49nor1NbjSoUBzXpeVrU</v>
      </c>
      <c r="C273" s="25" t="str">
        <f>(Sheet1!B296)</f>
        <v>ARC HERO- MAHIPALPUR</v>
      </c>
      <c r="D273" s="34">
        <v>12000.0</v>
      </c>
      <c r="E273" s="49">
        <v>44690.0</v>
      </c>
      <c r="F273" s="34">
        <v>2.15672232E8</v>
      </c>
      <c r="G273" s="34" t="s">
        <v>3963</v>
      </c>
      <c r="H273" s="34" t="s">
        <v>3950</v>
      </c>
      <c r="I273" s="50">
        <v>44690.711180555554</v>
      </c>
      <c r="J273" s="34" t="s">
        <v>3951</v>
      </c>
      <c r="K273" s="50">
        <v>44690.71548611111</v>
      </c>
      <c r="L273" s="34" t="s">
        <v>3952</v>
      </c>
      <c r="M273" s="34" t="s">
        <v>3953</v>
      </c>
      <c r="N273" s="34">
        <v>2.0220509170406E13</v>
      </c>
    </row>
    <row r="274">
      <c r="A274" s="30" t="s">
        <v>4523</v>
      </c>
      <c r="B274" s="25" t="str">
        <f>(Sheet1!A312)</f>
        <v>1Ymh97cWP9AVJD4TFdCUxIgPTHzjxbv5sRAkjPizS2d8</v>
      </c>
      <c r="C274" s="25" t="str">
        <f>(Sheet1!B312)</f>
        <v>TWIN CITY -KHANNA</v>
      </c>
      <c r="D274" s="34">
        <v>7000.0</v>
      </c>
      <c r="E274" s="49">
        <v>44690.0</v>
      </c>
      <c r="F274" s="34">
        <v>2.12916802385E11</v>
      </c>
      <c r="G274" s="34" t="s">
        <v>4524</v>
      </c>
      <c r="H274" s="34" t="s">
        <v>3950</v>
      </c>
      <c r="I274" s="50">
        <v>44690.71208333333</v>
      </c>
      <c r="J274" s="34" t="s">
        <v>3951</v>
      </c>
      <c r="K274" s="50">
        <v>44690.71523148148</v>
      </c>
      <c r="L274" s="34" t="s">
        <v>3952</v>
      </c>
      <c r="M274" s="34" t="s">
        <v>3953</v>
      </c>
      <c r="N274" s="34">
        <v>2.0220509170524E13</v>
      </c>
    </row>
    <row r="275">
      <c r="A275" s="30" t="s">
        <v>4525</v>
      </c>
      <c r="B275" s="25" t="str">
        <f>(Sheet1!A318)</f>
        <v>1YAU91TFMaYFp0IiAMJOnSMw_yeIgNk_GdChvblrhYL8</v>
      </c>
      <c r="C275" s="25" t="str">
        <f>(Sheet1!B318)</f>
        <v>A.R.C.C- HERO(SMA)</v>
      </c>
      <c r="D275" s="34">
        <v>10000.0</v>
      </c>
      <c r="E275" s="49">
        <v>44690.0</v>
      </c>
      <c r="F275" s="34">
        <v>2.12916884361E11</v>
      </c>
      <c r="G275" s="34" t="s">
        <v>4003</v>
      </c>
      <c r="H275" s="34" t="s">
        <v>3950</v>
      </c>
      <c r="I275" s="50">
        <v>44690.71267361111</v>
      </c>
      <c r="J275" s="34" t="s">
        <v>3951</v>
      </c>
      <c r="K275" s="50">
        <v>44690.71513888889</v>
      </c>
      <c r="L275" s="34" t="s">
        <v>3952</v>
      </c>
      <c r="M275" s="34" t="s">
        <v>3953</v>
      </c>
      <c r="N275" s="34">
        <v>2.0220509170615E13</v>
      </c>
    </row>
    <row r="276">
      <c r="A276" s="30" t="s">
        <v>4526</v>
      </c>
      <c r="B276" s="25" t="str">
        <f>(Sheet1!A130)</f>
        <v>1dV47fJN9zfoEbGvv71kLmpN6o-gQtGRvXq4lwNICvVc</v>
      </c>
      <c r="C276" s="25" t="str">
        <f>(Sheet1!B130)</f>
        <v>Dhansri Motors - Noida</v>
      </c>
      <c r="D276" s="34">
        <v>50000.0</v>
      </c>
      <c r="E276" s="49">
        <v>44690.0</v>
      </c>
      <c r="F276" s="34" t="s">
        <v>4527</v>
      </c>
      <c r="G276" s="34" t="s">
        <v>4528</v>
      </c>
      <c r="H276" s="34" t="s">
        <v>3950</v>
      </c>
      <c r="I276" s="50">
        <v>44690.71377314815</v>
      </c>
      <c r="J276" s="34" t="s">
        <v>3951</v>
      </c>
      <c r="K276" s="50">
        <v>44690.71502314815</v>
      </c>
      <c r="L276" s="34" t="s">
        <v>3952</v>
      </c>
      <c r="M276" s="34" t="s">
        <v>3953</v>
      </c>
      <c r="N276" s="34">
        <v>2.022050917075E13</v>
      </c>
    </row>
    <row r="277">
      <c r="A277" s="30" t="s">
        <v>4529</v>
      </c>
      <c r="B277" s="25" t="str">
        <f>(Sheet1!A218)</f>
        <v>1pIkLTEq99ZID0V0k8H0hOFXZDJQMaAoy2fsIol-e81k</v>
      </c>
      <c r="C277" s="25" t="str">
        <f>(Sheet1!B218)</f>
        <v>NITIN MATANHELIA - GORAKHPUR</v>
      </c>
      <c r="D277" s="34">
        <v>50000.0</v>
      </c>
      <c r="E277" s="49">
        <v>44690.0</v>
      </c>
      <c r="F277" s="34">
        <v>2.12918107189E11</v>
      </c>
      <c r="G277" s="34" t="s">
        <v>4530</v>
      </c>
      <c r="H277" s="34" t="s">
        <v>3950</v>
      </c>
      <c r="I277" s="50">
        <v>44691.462326388886</v>
      </c>
      <c r="J277" s="34" t="s">
        <v>3951</v>
      </c>
      <c r="K277" s="50">
        <v>44691.467152777775</v>
      </c>
      <c r="L277" s="34" t="s">
        <v>3952</v>
      </c>
      <c r="M277" s="34" t="s">
        <v>3953</v>
      </c>
      <c r="N277" s="34">
        <v>2.0220510110545E13</v>
      </c>
    </row>
    <row r="278">
      <c r="A278" s="30" t="s">
        <v>4531</v>
      </c>
      <c r="B278" s="25" t="str">
        <f>(Sheet1!A24)</f>
        <v>1mkGLSaVL5-IAXKq9KqXFgJH64Li9oMA9V0u_seCn1jg</v>
      </c>
      <c r="C278" s="25" t="str">
        <f>(Sheet1!B24)</f>
        <v>Maharaja Autoworld</v>
      </c>
      <c r="D278" s="34">
        <v>300000.0</v>
      </c>
      <c r="E278" s="49">
        <v>44691.0</v>
      </c>
      <c r="F278" s="34">
        <v>99.0</v>
      </c>
      <c r="G278" s="34" t="s">
        <v>4532</v>
      </c>
      <c r="H278" s="34" t="s">
        <v>3950</v>
      </c>
      <c r="I278" s="50">
        <v>44691.465219907404</v>
      </c>
      <c r="J278" s="34" t="s">
        <v>3951</v>
      </c>
      <c r="K278" s="50">
        <v>44691.467199074075</v>
      </c>
      <c r="L278" s="34" t="s">
        <v>3952</v>
      </c>
      <c r="M278" s="34" t="s">
        <v>3953</v>
      </c>
      <c r="N278" s="34">
        <v>2.0220510110955E13</v>
      </c>
    </row>
    <row r="279">
      <c r="A279" s="30" t="s">
        <v>4533</v>
      </c>
      <c r="B279" s="25" t="str">
        <f>(Sheet1!A336)</f>
        <v>1BMhoyJRK7DCg_LO256ufPw72_BuKa1iu3f1v8JCofH0</v>
      </c>
      <c r="C279" s="25" t="str">
        <f>(Sheet1!B336)</f>
        <v>North Bihar Agro Agencies</v>
      </c>
      <c r="D279" s="34">
        <v>10000.0</v>
      </c>
      <c r="E279" s="49">
        <v>44691.0</v>
      </c>
      <c r="F279" s="34" t="s">
        <v>4534</v>
      </c>
      <c r="G279" s="34" t="s">
        <v>4067</v>
      </c>
      <c r="H279" s="34" t="s">
        <v>3950</v>
      </c>
      <c r="I279" s="50">
        <v>44691.51645833333</v>
      </c>
      <c r="J279" s="34" t="s">
        <v>3951</v>
      </c>
      <c r="K279" s="50">
        <v>44691.51893518519</v>
      </c>
      <c r="L279" s="34" t="s">
        <v>3952</v>
      </c>
      <c r="M279" s="34" t="s">
        <v>3953</v>
      </c>
      <c r="N279" s="34">
        <v>2.0220510122342E13</v>
      </c>
    </row>
    <row r="280">
      <c r="A280" s="30" t="s">
        <v>4535</v>
      </c>
      <c r="B280" s="25" t="str">
        <f>(Sheet1!A350)</f>
        <v>15UOdwT--s7Zl9Su2K5mgFsbjsO9NxCbTdpJ5AlQkVMM</v>
      </c>
      <c r="C280" s="25" t="str">
        <f>(Sheet1!B350)</f>
        <v>KHURANA MOTORS- DEWAS</v>
      </c>
      <c r="D280" s="34">
        <v>10000.0</v>
      </c>
      <c r="E280" s="49">
        <v>44691.0</v>
      </c>
      <c r="F280" s="34">
        <v>2.13013284327E11</v>
      </c>
      <c r="G280" s="34" t="s">
        <v>4536</v>
      </c>
      <c r="H280" s="34" t="s">
        <v>3950</v>
      </c>
      <c r="I280" s="50">
        <v>44691.6803125</v>
      </c>
      <c r="J280" s="34" t="s">
        <v>3951</v>
      </c>
      <c r="K280" s="50">
        <v>44691.680868055555</v>
      </c>
      <c r="L280" s="34" t="s">
        <v>3952</v>
      </c>
      <c r="M280" s="34" t="s">
        <v>3953</v>
      </c>
      <c r="N280" s="34">
        <v>2.0220510161939E13</v>
      </c>
    </row>
    <row r="281">
      <c r="A281" s="30" t="s">
        <v>4537</v>
      </c>
      <c r="B281" s="25" t="str">
        <f>(Sheet1!A214)</f>
        <v>1cVGXbO2lp52NndvygvM_F7Cqcy0EMGxzT1ZUlpTQeiI</v>
      </c>
      <c r="C281" s="25" t="str">
        <f>(Sheet1!B214)</f>
        <v>BARABANKI MOTORS</v>
      </c>
      <c r="D281" s="34">
        <v>39000.0</v>
      </c>
      <c r="E281" s="49">
        <v>44691.0</v>
      </c>
      <c r="F281" s="34" t="s">
        <v>4538</v>
      </c>
      <c r="G281" s="34" t="s">
        <v>4539</v>
      </c>
      <c r="H281" s="34" t="s">
        <v>3950</v>
      </c>
      <c r="I281" s="50">
        <v>44692.49549768519</v>
      </c>
      <c r="J281" s="34" t="s">
        <v>3951</v>
      </c>
      <c r="K281" s="50">
        <v>44692.50454861111</v>
      </c>
      <c r="L281" s="34" t="s">
        <v>3952</v>
      </c>
      <c r="M281" s="34" t="s">
        <v>3953</v>
      </c>
      <c r="N281" s="34">
        <v>2.0220511115331E13</v>
      </c>
    </row>
    <row r="282">
      <c r="A282" s="30" t="s">
        <v>4540</v>
      </c>
      <c r="B282" s="25" t="str">
        <f>(Sheet1!A339)</f>
        <v>1fHCHQnIWmfXqP4jwi-agXjfK1q2zM0BUeG3fwB0qApc</v>
      </c>
      <c r="C282" s="25" t="str">
        <f>(Sheet1!B339)</f>
        <v>Mahabir Automobiles -Sultanpur</v>
      </c>
      <c r="D282" s="34">
        <v>50000.0</v>
      </c>
      <c r="E282" s="49">
        <v>44692.0</v>
      </c>
      <c r="F282" s="34"/>
      <c r="G282" s="34" t="s">
        <v>4541</v>
      </c>
      <c r="H282" s="34" t="s">
        <v>3950</v>
      </c>
      <c r="I282" s="50">
        <v>44692.60361111111</v>
      </c>
      <c r="J282" s="34" t="s">
        <v>3951</v>
      </c>
      <c r="K282" s="50">
        <v>44692.60496527778</v>
      </c>
      <c r="L282" s="34" t="s">
        <v>3952</v>
      </c>
      <c r="M282" s="34" t="s">
        <v>3953</v>
      </c>
      <c r="N282" s="34">
        <v>2.0220511142912E13</v>
      </c>
    </row>
    <row r="283">
      <c r="A283" s="30" t="s">
        <v>4542</v>
      </c>
      <c r="B283" s="25" t="str">
        <f>(Sheet1!A133)</f>
        <v>1whkrB_X-9Od4l-1CkkLvnSLfIwfTyRMI1A3rhlUbkHU</v>
      </c>
      <c r="C283" s="25" t="str">
        <f>(Sheet1!B133)</f>
        <v>Titan Automobiles - Chhattisgarh</v>
      </c>
      <c r="D283" s="34">
        <v>20000.0</v>
      </c>
      <c r="E283" s="49">
        <v>44692.0</v>
      </c>
      <c r="F283" s="34">
        <v>88.0</v>
      </c>
      <c r="G283" s="34" t="s">
        <v>4543</v>
      </c>
      <c r="H283" s="34" t="s">
        <v>3950</v>
      </c>
      <c r="I283" s="50">
        <v>44692.604479166665</v>
      </c>
      <c r="J283" s="34" t="s">
        <v>3951</v>
      </c>
      <c r="K283" s="50">
        <v>44692.60519675926</v>
      </c>
      <c r="L283" s="34" t="s">
        <v>3952</v>
      </c>
      <c r="M283" s="34" t="s">
        <v>3953</v>
      </c>
      <c r="N283" s="34">
        <v>2.0220511143027E13</v>
      </c>
    </row>
    <row r="284">
      <c r="A284" s="30" t="s">
        <v>4544</v>
      </c>
      <c r="B284" s="25" t="str">
        <f>(Sheet1!A269)</f>
        <v>1Ql_6BdBcHGAyITSZt1pNUK3bW54CzeThIBXr7aH7K3Y</v>
      </c>
      <c r="C284" s="25" t="str">
        <f>(Sheet1!B269)</f>
        <v>Gupta Automobiles - Padrauna</v>
      </c>
      <c r="D284" s="34">
        <v>200000.0</v>
      </c>
      <c r="E284" s="49">
        <v>44692.0</v>
      </c>
      <c r="F284" s="34" t="s">
        <v>4545</v>
      </c>
      <c r="G284" s="34" t="s">
        <v>4546</v>
      </c>
      <c r="H284" s="34" t="s">
        <v>3950</v>
      </c>
      <c r="I284" s="50">
        <v>44692.60511574074</v>
      </c>
      <c r="J284" s="34" t="s">
        <v>3951</v>
      </c>
      <c r="K284" s="50">
        <v>44692.60545138889</v>
      </c>
      <c r="L284" s="34" t="s">
        <v>3952</v>
      </c>
      <c r="M284" s="34" t="s">
        <v>3953</v>
      </c>
      <c r="N284" s="34">
        <v>2.0220511143122E13</v>
      </c>
    </row>
    <row r="285">
      <c r="A285" s="30" t="s">
        <v>4547</v>
      </c>
      <c r="B285" s="25" t="str">
        <f>(Sheet1!A318)</f>
        <v>1YAU91TFMaYFp0IiAMJOnSMw_yeIgNk_GdChvblrhYL8</v>
      </c>
      <c r="C285" s="25" t="str">
        <f>(Sheet1!B318)</f>
        <v>A.R.C.C- HERO(SMA)</v>
      </c>
      <c r="D285" s="34">
        <v>10000.0</v>
      </c>
      <c r="E285" s="49">
        <v>44692.0</v>
      </c>
      <c r="F285" s="34">
        <v>2.13103867636E11</v>
      </c>
      <c r="G285" s="34" t="s">
        <v>4003</v>
      </c>
      <c r="H285" s="34" t="s">
        <v>3950</v>
      </c>
      <c r="I285" s="50">
        <v>44692.61865740741</v>
      </c>
      <c r="J285" s="34" t="s">
        <v>3951</v>
      </c>
      <c r="K285" s="50">
        <v>44692.62342592593</v>
      </c>
      <c r="L285" s="34" t="s">
        <v>3952</v>
      </c>
      <c r="M285" s="34" t="s">
        <v>3953</v>
      </c>
      <c r="N285" s="34">
        <v>2.0220511145052E13</v>
      </c>
    </row>
    <row r="286">
      <c r="A286" s="30" t="s">
        <v>4548</v>
      </c>
      <c r="B286" s="25" t="str">
        <f>(Sheet1!A119)</f>
        <v>11FZlKtFUzBvNAVUVwf1C2KpyoxHhbZTiI7E_EdPr-mg</v>
      </c>
      <c r="C286" s="25" t="str">
        <f>(Sheet1!B119)</f>
        <v>Sumitra Sons - Shahajahanpur</v>
      </c>
      <c r="D286" s="34">
        <v>25000.0</v>
      </c>
      <c r="E286" s="49">
        <v>44692.0</v>
      </c>
      <c r="F286" s="34" t="s">
        <v>4549</v>
      </c>
      <c r="G286" s="34" t="s">
        <v>4550</v>
      </c>
      <c r="H286" s="34" t="s">
        <v>3950</v>
      </c>
      <c r="I286" s="50">
        <v>44692.63826388889</v>
      </c>
      <c r="J286" s="34" t="s">
        <v>3951</v>
      </c>
      <c r="K286" s="50">
        <v>44692.63958333333</v>
      </c>
      <c r="L286" s="34" t="s">
        <v>3952</v>
      </c>
      <c r="M286" s="34" t="s">
        <v>3953</v>
      </c>
      <c r="N286" s="34">
        <v>2.0220511151906E13</v>
      </c>
    </row>
    <row r="287">
      <c r="A287" s="30" t="s">
        <v>4551</v>
      </c>
      <c r="B287" s="25" t="str">
        <f>(Sheet1!A171)</f>
        <v>1kKJQREB-gMUjjfvkNJBZGf8b6FppISEs2byO4uZriFc</v>
      </c>
      <c r="C287" s="25" t="str">
        <f>(Sheet1!B171)</f>
        <v>Navya Motors - Gorakhpur</v>
      </c>
      <c r="D287" s="34">
        <v>100000.0</v>
      </c>
      <c r="E287" s="49">
        <v>44692.0</v>
      </c>
      <c r="F287" s="34">
        <v>1.60584849E8</v>
      </c>
      <c r="G287" s="34" t="s">
        <v>4261</v>
      </c>
      <c r="H287" s="34" t="s">
        <v>3950</v>
      </c>
      <c r="I287" s="50">
        <v>44692.66924768518</v>
      </c>
      <c r="J287" s="34" t="s">
        <v>3951</v>
      </c>
      <c r="K287" s="50">
        <v>44692.69648148148</v>
      </c>
      <c r="L287" s="34" t="s">
        <v>3952</v>
      </c>
      <c r="M287" s="34" t="s">
        <v>3953</v>
      </c>
      <c r="N287" s="34">
        <v>2.0220511160343E13</v>
      </c>
    </row>
    <row r="288">
      <c r="A288" s="30" t="s">
        <v>4552</v>
      </c>
      <c r="B288" s="25" t="str">
        <f>(Sheet1!A217)</f>
        <v>19J_y8BUN9RSe9TTg9cxKYBBv29Tfi7RwvKo8Va7MJRQ</v>
      </c>
      <c r="C288" s="25" t="str">
        <f>(Sheet1!B217)</f>
        <v>Kshitij Auto Wheelers - Mirzapur</v>
      </c>
      <c r="D288" s="34">
        <v>40000.0</v>
      </c>
      <c r="E288" s="49">
        <v>44692.0</v>
      </c>
      <c r="F288" s="34" t="s">
        <v>4553</v>
      </c>
      <c r="G288" s="34" t="s">
        <v>4554</v>
      </c>
      <c r="H288" s="34" t="s">
        <v>3950</v>
      </c>
      <c r="I288" s="50">
        <v>44692.6703587963</v>
      </c>
      <c r="J288" s="34" t="s">
        <v>3951</v>
      </c>
      <c r="K288" s="50">
        <v>44692.69664351852</v>
      </c>
      <c r="L288" s="34" t="s">
        <v>3952</v>
      </c>
      <c r="M288" s="34" t="s">
        <v>3953</v>
      </c>
      <c r="N288" s="34">
        <v>2.0220511160519E13</v>
      </c>
    </row>
    <row r="289">
      <c r="A289" s="30" t="s">
        <v>4555</v>
      </c>
      <c r="B289" s="25" t="str">
        <f>(Sheet1!A121)</f>
        <v>1egrFzds1dA_qcyd-YeJKBrt74ORJ0Jzk4cfbN-wYoKI</v>
      </c>
      <c r="C289" s="25" t="str">
        <f>(Sheet1!B121)</f>
        <v>Venus Hero Venture - Firozabad</v>
      </c>
      <c r="D289" s="34">
        <v>100000.0</v>
      </c>
      <c r="E289" s="49">
        <v>44692.0</v>
      </c>
      <c r="F289" s="34" t="s">
        <v>4556</v>
      </c>
      <c r="G289" s="34" t="s">
        <v>4557</v>
      </c>
      <c r="H289" s="34" t="s">
        <v>3950</v>
      </c>
      <c r="I289" s="50">
        <v>44693.51100694444</v>
      </c>
      <c r="J289" s="34" t="s">
        <v>3951</v>
      </c>
      <c r="K289" s="50">
        <v>44693.511724537035</v>
      </c>
      <c r="L289" s="34" t="s">
        <v>3952</v>
      </c>
      <c r="M289" s="34" t="s">
        <v>3953</v>
      </c>
      <c r="N289" s="34">
        <v>2.0220512121551E13</v>
      </c>
    </row>
  </sheetData>
  <conditionalFormatting sqref="L1:L1288">
    <cfRule type="cellIs" dxfId="1" priority="1" operator="equal">
      <formula>"Pending"</formula>
    </cfRule>
  </conditionalFormatting>
  <conditionalFormatting sqref="L1:L1288">
    <cfRule type="cellIs" dxfId="2" priority="2" operator="equal">
      <formula>"Approved"</formula>
    </cfRule>
  </conditionalFormatting>
  <conditionalFormatting sqref="L1:L1288">
    <cfRule type="cellIs" dxfId="0" priority="3" operator="equal">
      <formula>"Rejected"</formula>
    </cfRule>
  </conditionalFormatting>
  <drawing r:id="rId1"/>
</worksheet>
</file>